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_rels/sheet15.xml.rels" ContentType="application/vnd.openxmlformats-package.relationships+xml"/>
  <Override PartName="/xl/worksheets/_rels/sheet16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tyles.xml" ContentType="application/vnd.openxmlformats-officedocument.spreadsheetml.styl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wmf" ContentType="image/x-wmf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_DATOS PAC_SGA" sheetId="1" state="visible" r:id="rId3"/>
    <sheet name="V_EAP-AGRI_2023" sheetId="2" state="hidden" r:id="rId4"/>
    <sheet name="V_EAP-AGRI_2024" sheetId="3" state="visible" r:id="rId5"/>
    <sheet name="O_resumen_cultivos" sheetId="4" state="hidden" r:id="rId6"/>
    <sheet name="V_EAP-GAN" sheetId="5" state="visible" r:id="rId7"/>
    <sheet name="V_EST_ECO_PFISyJUR" sheetId="6" state="visible" r:id="rId8"/>
    <sheet name="V_PFIS_MOD_2024_VIABILIDAD_" sheetId="7" state="visible" r:id="rId9"/>
    <sheet name="V_PJUR_MOD_2024_VIABILIDAD_" sheetId="8" state="visible" r:id="rId10"/>
    <sheet name="V_Manual." sheetId="9" state="visible" r:id="rId11"/>
    <sheet name="O_CALC_CultivoPrincipal" sheetId="10" state="hidden" r:id="rId12"/>
    <sheet name="O_CALC_CultivoSecundario" sheetId="11" state="hidden" r:id="rId13"/>
    <sheet name="O_MN, PE_UTA_UGM 2024" sheetId="12" state="hidden" r:id="rId14"/>
    <sheet name="O_MN_PE_UTA_PDF_2024_" sheetId="13" state="hidden" r:id="rId15"/>
    <sheet name="V_PAC_DATOS_ADICIONALES" sheetId="14" state="hidden" r:id="rId16"/>
    <sheet name="O_LISTA_MUN_ZM_ZLE_2019" sheetId="15" state="hidden" r:id="rId17"/>
    <sheet name="O_MN, PE_UTA_UGM 2023" sheetId="16" state="hidden" r:id="rId18"/>
  </sheets>
  <definedNames>
    <definedName function="false" hidden="true" localSheetId="9" name="_xlnm._FilterDatabase" vbProcedure="false">O_CALC_CultivoPrincipal!$B$1:$B$507</definedName>
    <definedName function="false" hidden="true" localSheetId="14" name="_xlnm._FilterDatabase" vbProcedure="false">O_LISTA_MUN_ZM_ZLE_2019!$F$1:$F$675</definedName>
    <definedName function="false" hidden="true" localSheetId="11" name="_xlnm._FilterDatabase" vbProcedure="false">'O_MN, PE_UTA_UGM 2024'!$W$1:$W$420</definedName>
    <definedName function="false" hidden="true" localSheetId="3" name="_xlnm._FilterDatabase" vbProcedure="false">O_resumen_cultivos!$A$1:$A$75</definedName>
    <definedName function="false" hidden="false" localSheetId="1" name="_xlnm.Print_Area" vbProcedure="false">'V_EAP-AGRI_2023'!$B$18:$AD$328</definedName>
    <definedName function="false" hidden="false" localSheetId="2" name="_xlnm.Print_Area" vbProcedure="false">'V_EAP-AGRI_2024'!$G$1:$M$15</definedName>
    <definedName function="false" hidden="true" localSheetId="2" name="_xlnm._FilterDatabase" vbProcedure="false">'V_EAP-AGRI_2024'!$E$12:$F$388</definedName>
    <definedName function="false" hidden="true" localSheetId="4" name="_xlnm._FilterDatabase" vbProcedure="false">'V_EAP-GAN'!$C$10:$D$82</definedName>
    <definedName function="false" hidden="false" localSheetId="5" name="_xlnm.Print_Area" vbProcedure="false">V_EST_ECO_PFISyJUR!$B$1:$J$194</definedName>
    <definedName function="false" hidden="false" localSheetId="6" name="_xlnm.Print_Area" vbProcedure="false">V_PFIS_MOD_2024_VIABILIDAD_!$C$2:$M$80</definedName>
    <definedName function="false" hidden="true" localSheetId="6" name="_xlnm._FilterDatabase" vbProcedure="false">V_PFIS_MOD_2024_VIABILIDAD_!$O$2:$O$219</definedName>
    <definedName function="false" hidden="false" name="a" vbProcedure="false">#REF!</definedName>
    <definedName function="false" hidden="false" name="APEL1CONY" vbProcedure="false">#REF!</definedName>
    <definedName function="false" hidden="false" name="APEL2CONY" vbProcedure="false">#REF!</definedName>
    <definedName function="false" hidden="false" name="APEL2TIT" vbProcedure="false">#REF!</definedName>
    <definedName function="false" hidden="false" name="APELL1TIT" vbProcedure="false">#REF!</definedName>
    <definedName function="false" hidden="false" name="AÑOESTUDIO" vbProcedure="false">#REF!</definedName>
    <definedName function="false" hidden="false" name="CIF" vbProcedure="false">#REF!</definedName>
    <definedName function="false" hidden="false" name="COMARCA" vbProcedure="false">#REF!</definedName>
    <definedName function="false" hidden="false" name="COMODIN" vbProcedure="false">#REF!</definedName>
    <definedName function="false" hidden="false" name="COTITULAR" vbProcedure="false">#REF!</definedName>
    <definedName function="false" hidden="false" name="CP" vbProcedure="false">"v_inicio!#REF!"</definedName>
    <definedName function="false" hidden="false" name="DOMICILIO" vbProcedure="false">#REF!</definedName>
    <definedName function="false" hidden="false" name="EXPEDIENTE" vbProcedure="false">#REF!</definedName>
    <definedName function="false" hidden="false" name="FCONSTI" vbProcedure="false">#REF!</definedName>
    <definedName function="false" hidden="false" name="FNACCONY" vbProcedure="false">#REF!</definedName>
    <definedName function="false" hidden="false" name="FNACTIT" vbProcedure="false">#REF!</definedName>
    <definedName function="false" hidden="false" name="HATIPO" vbProcedure="false">#REF!</definedName>
    <definedName function="false" hidden="false" name="IAE_CES_LOCALIDADES" vbProcedure="false">#REF!</definedName>
    <definedName function="false" hidden="false" name="INE" vbProcedure="false">#REF!</definedName>
    <definedName function="false" hidden="false" name="MBEAGRI" vbProcedure="false">'V_EAP-AGRI_2023'!$E$20</definedName>
    <definedName function="false" hidden="false" name="MBEGAN" vbProcedure="false">'v_eap-gan'!#ref!</definedName>
    <definedName function="false" hidden="false" name="MBTOTAL" vbProcedure="false">#REF!</definedName>
    <definedName function="false" hidden="false" name="MNAGRI" vbProcedure="false">'V_EAP-AGRI_2023'!$E$18</definedName>
    <definedName function="false" hidden="false" name="MNCALCULADO" vbProcedure="false">#REF!</definedName>
    <definedName function="false" hidden="false" name="MNGAN" vbProcedure="false">'V_EAP-GAN'!$F$4</definedName>
    <definedName function="false" hidden="false" name="MNTOTAL" vbProcedure="false">V_EST_ECO_PFISyJUR!$J$13</definedName>
    <definedName function="false" hidden="false" name="MUNI" vbProcedure="false">#REF!</definedName>
    <definedName function="false" hidden="false" name="MUNIDOMIC" vbProcedure="false">#REF!</definedName>
    <definedName function="false" hidden="false" name="MUNIEXPLO" vbProcedure="false">#REF!</definedName>
    <definedName function="false" hidden="false" name="MUNIEXPLOT" vbProcedure="false">#REF!</definedName>
    <definedName function="false" hidden="false" name="NATURA" vbProcedure="false">#REF!</definedName>
    <definedName function="false" hidden="false" name="NIFCONY" vbProcedure="false">#REF!</definedName>
    <definedName function="false" hidden="false" name="NIFTIT" vbProcedure="false">#REF!</definedName>
    <definedName function="false" hidden="false" name="NOMBRECONY" vbProcedure="false">#REF!</definedName>
    <definedName function="false" hidden="false" name="NOMBRETIT" vbProcedure="false">#REF!</definedName>
    <definedName function="false" hidden="false" name="ORIENTACION" vbProcedure="false">#REF!</definedName>
    <definedName function="false" hidden="false" name="OTE" vbProcedure="false">"'v_estud econ perfisica, cb y tc'!#REF!"</definedName>
    <definedName function="false" hidden="false" name="PEAGRI" vbProcedure="false">'v_eap-agri_2023'!#ref!</definedName>
    <definedName function="false" hidden="false" name="PEAJAGRI" vbProcedure="false">'v_eap-agri_2023'!#ref!</definedName>
    <definedName function="false" hidden="false" name="PEAJGAN" vbProcedure="false">'v_eap-gan'!#ref!</definedName>
    <definedName function="false" hidden="false" name="PEAJTOTAL" vbProcedure="false">#REF!</definedName>
    <definedName function="false" hidden="false" name="PEGAN" vbProcedure="false">'V_EAP-GAN'!$F$5</definedName>
    <definedName function="false" hidden="false" name="PETOTAL" vbProcedure="false">#REF!</definedName>
    <definedName function="false" hidden="false" name="PRD_CODIGO" vbProcedure="false">#REF!</definedName>
    <definedName function="false" hidden="false" name="PROV" vbProcedure="false">#REF!</definedName>
    <definedName function="false" hidden="false" name="PROVEXPLOT" vbProcedure="false">#REF!</definedName>
    <definedName function="false" hidden="false" name="RAZONSOCIAL" vbProcedure="false">#REF!</definedName>
    <definedName function="false" hidden="false" name="REPRESENTANTE" vbProcedure="false">#REF!</definedName>
    <definedName function="false" hidden="false" name="RESHATIPO" vbProcedure="false">#REF!</definedName>
    <definedName function="false" hidden="false" name="RESUDE" vbProcedure="false">#REF!</definedName>
    <definedName function="false" hidden="false" name="RR" vbProcedure="false">V_PFIS_MOD_2024_VIABILIDAD_!$D$6</definedName>
    <definedName function="false" hidden="false" name="RUTCOMODIN" vbProcedure="false">#REF!</definedName>
    <definedName function="false" hidden="false" name="RUTNORMAL" vbProcedure="false">#REF!</definedName>
    <definedName function="false" hidden="false" name="SITUACIONEXPLO" vbProcedure="false">#REF!</definedName>
    <definedName function="false" hidden="false" name="SSTIT" vbProcedure="false">"v_inicio!#REF!"</definedName>
    <definedName function="false" hidden="false" name="SUPFORESTAL" vbProcedure="false">'v_eap-agri_2023'!#ref!</definedName>
    <definedName function="false" hidden="false" name="SUPINTEN" vbProcedure="false">'v_eap-agri_2023'!#ref!</definedName>
    <definedName function="false" hidden="false" name="SUPREG" vbProcedure="false">'v_eap-agri_2023'!#ref!</definedName>
    <definedName function="false" hidden="false" name="SUPSEC" vbProcedure="false">'v_eap-agri_2023'!#ref!</definedName>
    <definedName function="false" hidden="false" name="SUPSECANO" vbProcedure="false">'v_eap-agri_2023'!#ref!</definedName>
    <definedName function="false" hidden="false" name="SUPTOTAL" vbProcedure="false">'V_EAP-AGRI_2023'!$E$14</definedName>
    <definedName function="false" hidden="false" name="UDE" vbProcedure="false">#REF!</definedName>
    <definedName function="false" hidden="false" name="UGM" vbProcedure="false">'V_EAP-GAN'!$F$2</definedName>
    <definedName function="false" hidden="false" name="USP_CODIGO" vbProcedure="false">#REF!</definedName>
    <definedName function="false" hidden="false" name="UTAEVENTUALES" vbProcedure="false">#REF!</definedName>
    <definedName function="false" hidden="false" name="UTAFAM" vbProcedure="false">"v_inicio!#REF!"</definedName>
    <definedName function="false" hidden="false" name="UTAFIJOS" vbProcedure="false">#REF!</definedName>
    <definedName function="false" hidden="false" name="UTATIT" vbProcedure="false">#REF!</definedName>
    <definedName function="false" hidden="false" name="UTATOTAL" vbProcedure="false">#REF!</definedName>
    <definedName function="false" hidden="false" name="VALORHATIPO" vbProcedure="false">#REF!</definedName>
    <definedName function="false" hidden="false" name="VALORUDE" vbProcedure="false">#REF!</definedName>
    <definedName function="false" hidden="false" name="ZVULNE" vbProcedure="false">#REF!</definedName>
    <definedName function="false" hidden="false" name="__xlfn_IFERROR" vbProcedure="false">"NA()"</definedName>
    <definedName function="false" hidden="false" name="__xlfn_SUMIFS" vbProcedure="false">"NA()"</definedName>
    <definedName function="false" hidden="false" localSheetId="0" name="CP" vbProcedure="false">"#ref!inicio!#REF!"</definedName>
    <definedName function="false" hidden="false" localSheetId="0" name="Excel_BuiltIn__FilterDatabase" vbProcedure="false">'V_DATOS PAC_SGA'!$A$2:$BU$61</definedName>
    <definedName function="false" hidden="false" localSheetId="0" name="IAE_CES_LOCALIDADES" vbProcedure="false">#REF!</definedName>
    <definedName function="false" hidden="false" localSheetId="0" name="SSTIT" vbProcedure="false">"#ref!inicio!#REF!"</definedName>
    <definedName function="false" hidden="false" localSheetId="9" name="_xlnm.Extract" vbProcedure="false">O_CALC_CultivoPrincipal!$AW$7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<sst xmlns="http://schemas.openxmlformats.org/spreadsheetml/2006/main" count="8700" uniqueCount="2680">
  <si>
    <t xml:space="preserve">ful</t>
  </si>
  <si>
    <t xml:space="preserve">RESUMEN CULTIVOS EXPLOTACION</t>
  </si>
  <si>
    <t xml:space="preserve">Sup. Pac. Ext.</t>
  </si>
  <si>
    <t xml:space="preserve">Sup. Añadida.</t>
  </si>
  <si>
    <t xml:space="preserve">Prod. Est. Total</t>
  </si>
  <si>
    <t xml:space="preserve">Margen Neto.</t>
  </si>
  <si>
    <t xml:space="preserve">SECANO NO ECO</t>
  </si>
  <si>
    <t xml:space="preserve">SECANO ECO</t>
  </si>
  <si>
    <t xml:space="preserve">REGADIO NO ECO</t>
  </si>
  <si>
    <t xml:space="preserve">REGADIO ECO</t>
  </si>
  <si>
    <t xml:space="preserve">TOTAL</t>
  </si>
  <si>
    <t xml:space="preserve">RESULTADOS ECONOMICOS CALCULADOS</t>
  </si>
  <si>
    <t xml:space="preserve">MARGEN NETO</t>
  </si>
  <si>
    <t xml:space="preserve">(Seleccionar)</t>
  </si>
  <si>
    <t xml:space="preserve">MARGEN BRUTO ESTANDAR</t>
  </si>
  <si>
    <t xml:space="preserve">SI</t>
  </si>
  <si>
    <t xml:space="preserve">CULTIVOS EXPLOTACION</t>
  </si>
  <si>
    <t xml:space="preserve">POSIBILIDAD DE AÑADIR MANUALMENTE SUPERFICIES</t>
  </si>
  <si>
    <t xml:space="preserve">Visualizar</t>
  </si>
  <si>
    <t xml:space="preserve">NO</t>
  </si>
  <si>
    <t xml:space="preserve">Parcelas no declaradas</t>
  </si>
  <si>
    <t xml:space="preserve">en ultima PAC</t>
  </si>
  <si>
    <t xml:space="preserve">GRUPO</t>
  </si>
  <si>
    <t xml:space="preserve">PRD_
TIPO</t>
  </si>
  <si>
    <t xml:space="preserve">USP_
CODIGO</t>
  </si>
  <si>
    <t xml:space="preserve">COD.</t>
  </si>
  <si>
    <t xml:space="preserve">CULTIVO</t>
  </si>
  <si>
    <t xml:space="preserve">Superficie (Has.)</t>
  </si>
  <si>
    <t xml:space="preserve">PRODUCCION
ESTÁNDAR (€/HA.)</t>
  </si>
  <si>
    <t xml:space="preserve">MARGEN NETO  (€/HA.)</t>
  </si>
  <si>
    <t xml:space="preserve">PRODUCCION ESTANDAR</t>
  </si>
  <si>
    <t xml:space="preserve">PRODUCCION ESTÁNDAR (€/HA.)</t>
  </si>
  <si>
    <t xml:space="preserve">% SEC</t>
  </si>
  <si>
    <t xml:space="preserve">% REG</t>
  </si>
  <si>
    <t xml:space="preserve">PRODUCCIÓN ESTÁNDAR AJUSTADA</t>
  </si>
  <si>
    <t xml:space="preserve">NO ECOLOGICO</t>
  </si>
  <si>
    <t xml:space="preserve">ECOLOGICO</t>
  </si>
  <si>
    <t xml:space="preserve">SEC</t>
  </si>
  <si>
    <t xml:space="preserve">REG</t>
  </si>
  <si>
    <t xml:space="preserve">Columna1</t>
  </si>
  <si>
    <t xml:space="preserve">Columna2</t>
  </si>
  <si>
    <t xml:space="preserve">Columna3</t>
  </si>
  <si>
    <t xml:space="preserve">Columna4</t>
  </si>
  <si>
    <t xml:space="preserve">Columna5</t>
  </si>
  <si>
    <t xml:space="preserve">Columna6</t>
  </si>
  <si>
    <t xml:space="preserve">SUPERFICIES TOTALES</t>
  </si>
  <si>
    <t xml:space="preserve">PRODUCCION ESTANDAR AJUSTADA</t>
  </si>
  <si>
    <t xml:space="preserve">SUPERFICIES AGREGADAS A LA PAC</t>
  </si>
  <si>
    <t xml:space="preserve">TOTALES</t>
  </si>
  <si>
    <t xml:space="preserve">Sup. PAC (Ha)</t>
  </si>
  <si>
    <t xml:space="preserve">PESNECO</t>
  </si>
  <si>
    <t xml:space="preserve">PERNECO</t>
  </si>
  <si>
    <t xml:space="preserve">PESECO</t>
  </si>
  <si>
    <t xml:space="preserve">PERECO</t>
  </si>
  <si>
    <t xml:space="preserve">Sup. Agr.a (Ha)</t>
  </si>
  <si>
    <t xml:space="preserve">#=SUMA(AV26:AV401)</t>
  </si>
  <si>
    <t xml:space="preserve">#=SUMA(AW26:AW401)</t>
  </si>
  <si>
    <t xml:space="preserve">#=SUMA(AX26:AX401)</t>
  </si>
  <si>
    <t xml:space="preserve">#=SUMA(AY26:AY401)</t>
  </si>
  <si>
    <t xml:space="preserve"> Cultivos extensivos</t>
  </si>
  <si>
    <t xml:space="preserve"> Leñosos fruta dulce: cultivos leñosos de fruta dulce de hueso y pepita</t>
  </si>
  <si>
    <t xml:space="preserve"> Leñosos mediterráneos: olivo, vid, almendro, trufa</t>
  </si>
  <si>
    <t xml:space="preserve"> Hortícolas: cultivos hortícolas al aire libre o en invernadero</t>
  </si>
  <si>
    <t xml:space="preserve"> Aromáticas</t>
  </si>
  <si>
    <t xml:space="preserve">Prod. Est. (€)</t>
  </si>
  <si>
    <t xml:space="preserve">Margen Neto. (€)</t>
  </si>
  <si>
    <t xml:space="preserve">MNSNECO</t>
  </si>
  <si>
    <t xml:space="preserve">MNRNECO</t>
  </si>
  <si>
    <t xml:space="preserve">MNSECO</t>
  </si>
  <si>
    <t xml:space="preserve">MNRECO</t>
  </si>
  <si>
    <t xml:space="preserve">UTAs</t>
  </si>
  <si>
    <t xml:space="preserve">#=SUMA(AZ26:AZ401)</t>
  </si>
  <si>
    <t xml:space="preserve">#=SUMA(BA26:BA401)</t>
  </si>
  <si>
    <t xml:space="preserve">#=SUMA(BB26:BB401)</t>
  </si>
  <si>
    <t xml:space="preserve">#=SUMA(BC26:BC401)</t>
  </si>
  <si>
    <t xml:space="preserve">Prod. Est. SECTORES (€) (sin barbechos)</t>
  </si>
  <si>
    <t xml:space="preserve">UTASNECO</t>
  </si>
  <si>
    <t xml:space="preserve">UTASECO</t>
  </si>
  <si>
    <t xml:space="preserve">UTARNECO</t>
  </si>
  <si>
    <t xml:space="preserve">UTARECO</t>
  </si>
  <si>
    <t xml:space="preserve"> Leñosos fruta dulce:</t>
  </si>
  <si>
    <t xml:space="preserve">#=SUMA(BD26:BD401)</t>
  </si>
  <si>
    <t xml:space="preserve">#=SUMA(BF26:BF401)</t>
  </si>
  <si>
    <t xml:space="preserve">#=SUMA(BE26:BE401)</t>
  </si>
  <si>
    <t xml:space="preserve">#=SUMA(BG26:BG401)</t>
  </si>
  <si>
    <t xml:space="preserve">Olivo, vid, almendro, trufa</t>
  </si>
  <si>
    <t xml:space="preserve"> Hortícolas: </t>
  </si>
  <si>
    <t xml:space="preserve">SECANO</t>
  </si>
  <si>
    <t xml:space="preserve">REGADIO</t>
  </si>
  <si>
    <t xml:space="preserve">Sup. Total</t>
  </si>
  <si>
    <t xml:space="preserve">FILTRAR</t>
  </si>
  <si>
    <t xml:space="preserve">Aromaticas.</t>
  </si>
  <si>
    <t xml:space="preserve">#=+SI(O((#¡REF!+#¡REF!)&gt;0;(#¡REF!+#¡REF!)&gt;0;(AJ14+AK14)&gt;0);"SI";"NO")</t>
  </si>
  <si>
    <t xml:space="preserve">Produccion estandar.</t>
  </si>
  <si>
    <t xml:space="preserve">UTAs.</t>
  </si>
  <si>
    <t xml:space="preserve">PE POR SECTORES PRODUCTIVOS</t>
  </si>
  <si>
    <t xml:space="preserve">ORDEN de Maximos de superfice para resumen cultivos.</t>
  </si>
  <si>
    <t xml:space="preserve">COD. SECTOR PRODUCTIVO
TIPO</t>
  </si>
  <si>
    <t xml:space="preserve">COD. SIST. CULTIVO</t>
  </si>
  <si>
    <t xml:space="preserve">COD. CULTIVO.</t>
  </si>
  <si>
    <t xml:space="preserve">UTAs  (UTA/HA.)</t>
  </si>
  <si>
    <t xml:space="preserve">SUMA SUP TOTAL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</si>
  <si>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</si>
  <si>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</si>
  <si>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</si>
  <si>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</si>
  <si>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</si>
  <si>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</si>
  <si>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</si>
  <si>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</si>
  <si>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</si>
  <si>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</si>
  <si>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</si>
  <si>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</si>
  <si>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</si>
  <si>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14</t>
  </si>
  <si>
    <t xml:space="preserve">15</t>
  </si>
  <si>
    <t xml:space="preserve">16</t>
  </si>
  <si>
    <t xml:space="preserve">17</t>
  </si>
  <si>
    <t xml:space="preserve">18</t>
  </si>
  <si>
    <t xml:space="preserve">19</t>
  </si>
  <si>
    <t xml:space="preserve">20</t>
  </si>
  <si>
    <t xml:space="preserve">21</t>
  </si>
  <si>
    <t xml:space="preserve">22</t>
  </si>
  <si>
    <t xml:space="preserve">23</t>
  </si>
  <si>
    <t xml:space="preserve">24</t>
  </si>
  <si>
    <t xml:space="preserve">25</t>
  </si>
  <si>
    <t xml:space="preserve">26</t>
  </si>
  <si>
    <t xml:space="preserve">27</t>
  </si>
  <si>
    <t xml:space="preserve">28</t>
  </si>
  <si>
    <t xml:space="preserve">29</t>
  </si>
  <si>
    <t xml:space="preserve">30</t>
  </si>
  <si>
    <t xml:space="preserve">31</t>
  </si>
  <si>
    <t xml:space="preserve">32</t>
  </si>
  <si>
    <t xml:space="preserve">33</t>
  </si>
  <si>
    <t xml:space="preserve">34</t>
  </si>
  <si>
    <t xml:space="preserve">35</t>
  </si>
  <si>
    <t xml:space="preserve">36</t>
  </si>
  <si>
    <t xml:space="preserve">37</t>
  </si>
  <si>
    <t xml:space="preserve">38</t>
  </si>
  <si>
    <t xml:space="preserve">39</t>
  </si>
  <si>
    <t xml:space="preserve">40</t>
  </si>
  <si>
    <t xml:space="preserve">41</t>
  </si>
  <si>
    <t xml:space="preserve">42</t>
  </si>
  <si>
    <t xml:space="preserve">43</t>
  </si>
  <si>
    <t xml:space="preserve">44</t>
  </si>
  <si>
    <t xml:space="preserve">45</t>
  </si>
  <si>
    <t xml:space="preserve">46</t>
  </si>
  <si>
    <t xml:space="preserve">47</t>
  </si>
  <si>
    <t xml:space="preserve">48</t>
  </si>
  <si>
    <t xml:space="preserve">49</t>
  </si>
  <si>
    <t xml:space="preserve">50</t>
  </si>
  <si>
    <t xml:space="preserve">#=+SI(O((#¡REF!+#¡REF!)&gt;0;(#¡REF!+#¡REF!)&gt;0;(AJ26+AK26)&gt;0);"SI";"NO")</t>
  </si>
  <si>
    <t xml:space="preserve">#=+SI(O((#¡REF!+#¡REF!)&gt;0;(#¡REF!+#¡REF!)&gt;0;(AJ27+AK27)&gt;0);"SI";"NO")</t>
  </si>
  <si>
    <t xml:space="preserve">#=+SI(O((#¡REF!+#¡REF!)&gt;0;(#¡REF!+#¡REF!)&gt;0;(AJ28+AK28)&gt;0);"SI";"NO")</t>
  </si>
  <si>
    <t xml:space="preserve">#=+SI(O((#¡REF!+#¡REF!)&gt;0;(#¡REF!+#¡REF!)&gt;0;(AJ29+AK29)&gt;0);"SI";"NO")</t>
  </si>
  <si>
    <t xml:space="preserve">#=+SI(O((#¡REF!+#¡REF!)&gt;0;(#¡REF!+#¡REF!)&gt;0;(AJ30+AK30)&gt;0);"SI";"NO")</t>
  </si>
  <si>
    <t xml:space="preserve">#=+SI(O((#¡REF!+#¡REF!)&gt;0;(#¡REF!+#¡REF!)&gt;0;(AJ31+AK31)&gt;0);"SI";"NO")</t>
  </si>
  <si>
    <t xml:space="preserve">#=+SI(O((#¡REF!+#¡REF!)&gt;0;(#¡REF!+#¡REF!)&gt;0;(AJ32+AK32)&gt;0);"SI";"NO")</t>
  </si>
  <si>
    <t xml:space="preserve">#=+SI(O((#¡REF!+#¡REF!)&gt;0;(#¡REF!+#¡REF!)&gt;0;(AJ33+AK33)&gt;0);"SI";"NO")</t>
  </si>
  <si>
    <t xml:space="preserve">#=+SI(O((#¡REF!+#¡REF!)&gt;0;(#¡REF!+#¡REF!)&gt;0;(AJ34+AK34)&gt;0);"SI";"NO")</t>
  </si>
  <si>
    <t xml:space="preserve">#=+SI(O((#¡REF!+#¡REF!)&gt;0;(#¡REF!+#¡REF!)&gt;0;(AJ35+AK35)&gt;0);"SI";"NO")</t>
  </si>
  <si>
    <t xml:space="preserve">#=+SI(O((#¡REF!+#¡REF!)&gt;0;(#¡REF!+#¡REF!)&gt;0;(AJ36+AK36)&gt;0);"SI";"NO")</t>
  </si>
  <si>
    <t xml:space="preserve">#=+SI(O((#¡REF!+#¡REF!)&gt;0;(#¡REF!+#¡REF!)&gt;0;(AJ37+AK37)&gt;0);"SI";"NO")</t>
  </si>
  <si>
    <t xml:space="preserve">#=+SI(O((#¡REF!+#¡REF!)&gt;0;(#¡REF!+#¡REF!)&gt;0;(AJ38+AK38)&gt;0);"SI";"NO")</t>
  </si>
  <si>
    <t xml:space="preserve">#=+SI(O((#¡REF!+#¡REF!)&gt;0;(#¡REF!+#¡REF!)&gt;0;(AJ39+AK39)&gt;0);"SI";"NO")</t>
  </si>
  <si>
    <t xml:space="preserve">#=+SI(O((#¡REF!+#¡REF!)&gt;0;(#¡REF!+#¡REF!)&gt;0;(AJ40+AK40)&gt;0);"SI";"NO")</t>
  </si>
  <si>
    <t xml:space="preserve">#=+SI(O((#¡REF!+#¡REF!)&gt;0;(#¡REF!+#¡REF!)&gt;0;(AJ41+AK41)&gt;0);"SI";"NO")</t>
  </si>
  <si>
    <t xml:space="preserve">#=+SI(O((#¡REF!+#¡REF!)&gt;0;(#¡REF!+#¡REF!)&gt;0;(AJ42+AK42)&gt;0);"SI";"NO")</t>
  </si>
  <si>
    <t xml:space="preserve">#=+SI(O((#¡REF!+#¡REF!)&gt;0;(#¡REF!+#¡REF!)&gt;0;(AJ43+AK43)&gt;0);"SI";"NO")</t>
  </si>
  <si>
    <t xml:space="preserve">#=+SI(O((#¡REF!+#¡REF!)&gt;0;(#¡REF!+#¡REF!)&gt;0;(AJ44+AK44)&gt;0);"SI";"NO")</t>
  </si>
  <si>
    <t xml:space="preserve">#=+SI(O((#¡REF!+#¡REF!)&gt;0;(#¡REF!+#¡REF!)&gt;0;(AJ45+AK45)&gt;0);"SI";"NO")</t>
  </si>
  <si>
    <t xml:space="preserve">#=+SI(O((#¡REF!+#¡REF!)&gt;0;(#¡REF!+#¡REF!)&gt;0;(AJ46+AK46)&gt;0);"SI";"NO")</t>
  </si>
  <si>
    <t xml:space="preserve">#=+SI(O((#¡REF!+#¡REF!)&gt;0;(#¡REF!+#¡REF!)&gt;0;(AJ47+AK47)&gt;0);"SI";"NO")</t>
  </si>
  <si>
    <t xml:space="preserve">#=+SI(O((#¡REF!+#¡REF!)&gt;0;(#¡REF!+#¡REF!)&gt;0;(AJ48+AK48)&gt;0);"SI";"NO")</t>
  </si>
  <si>
    <t xml:space="preserve">#=+SI(O((#¡REF!+#¡REF!)&gt;0;(#¡REF!+#¡REF!)&gt;0;(AJ49+AK49)&gt;0);"SI";"NO")</t>
  </si>
  <si>
    <t xml:space="preserve">#=+SI(O((#¡REF!+#¡REF!)&gt;0;(#¡REF!+#¡REF!)&gt;0;(AJ50+AK50)&gt;0);"SI";"NO")</t>
  </si>
  <si>
    <t xml:space="preserve">#=+SI(O((#¡REF!+#¡REF!)&gt;0;(#¡REF!+#¡REF!)&gt;0;(AJ51+AK51)&gt;0);"SI";"NO")</t>
  </si>
  <si>
    <t xml:space="preserve">#=+SI(O((#¡REF!+#¡REF!)&gt;0;(#¡REF!+#¡REF!)&gt;0;(AJ52+AK52)&gt;0);"SI";"NO")</t>
  </si>
  <si>
    <t xml:space="preserve">#=+SI(O((#¡REF!+#¡REF!)&gt;0;(#¡REF!+#¡REF!)&gt;0;(AJ53+AK53)&gt;0);"SI";"NO")</t>
  </si>
  <si>
    <t xml:space="preserve">#=+SI(O((#¡REF!+#¡REF!)&gt;0;(#¡REF!+#¡REF!)&gt;0;(AJ54+AK54)&gt;0);"SI";"NO")</t>
  </si>
  <si>
    <t xml:space="preserve">#=+SI(O((#¡REF!+#¡REF!)&gt;0;(#¡REF!+#¡REF!)&gt;0;(AJ55+AK55)&gt;0);"SI";"NO")</t>
  </si>
  <si>
    <t xml:space="preserve">#=+SI(O((#¡REF!+#¡REF!)&gt;0;(#¡REF!+#¡REF!)&gt;0;(AJ56+AK56)&gt;0);"SI";"NO")</t>
  </si>
  <si>
    <t xml:space="preserve">#=+SI(O((#¡REF!+#¡REF!)&gt;0;(#¡REF!+#¡REF!)&gt;0;(AJ57+AK57)&gt;0);"SI";"NO")</t>
  </si>
  <si>
    <t xml:space="preserve">#=+SI(O((#¡REF!+#¡REF!)&gt;0;(#¡REF!+#¡REF!)&gt;0;(AJ58+AK58)&gt;0);"SI";"NO")</t>
  </si>
  <si>
    <t xml:space="preserve">#=+SI(O((#¡REF!+#¡REF!)&gt;0;(#¡REF!+#¡REF!)&gt;0;(AJ59+AK59)&gt;0);"SI";"NO")</t>
  </si>
  <si>
    <t xml:space="preserve">#=+SI(O((#¡REF!+#¡REF!)&gt;0;(#¡REF!+#¡REF!)&gt;0;(AJ60+AK60)&gt;0);"SI";"NO")</t>
  </si>
  <si>
    <t xml:space="preserve">#=+SI(O((#¡REF!+#¡REF!)&gt;0;(#¡REF!+#¡REF!)&gt;0;(AJ61+AK61)&gt;0);"SI";"NO")</t>
  </si>
  <si>
    <t xml:space="preserve">#=+SI(O((#¡REF!+#¡REF!)&gt;0;(#¡REF!+#¡REF!)&gt;0;(AJ62+AK62)&gt;0);"SI";"NO")</t>
  </si>
  <si>
    <t xml:space="preserve">#=+SI(O((#¡REF!+#¡REF!)&gt;0;(#¡REF!+#¡REF!)&gt;0;(AJ63+AK63)&gt;0);"SI";"NO")</t>
  </si>
  <si>
    <t xml:space="preserve">#=+SI(O((#¡REF!+#¡REF!)&gt;0;(#¡REF!+#¡REF!)&gt;0;(AJ64+AK64)&gt;0);"SI";"NO")</t>
  </si>
  <si>
    <t xml:space="preserve">#=+SI(O((#¡REF!+#¡REF!)&gt;0;(#¡REF!+#¡REF!)&gt;0;(AJ65+AK65)&gt;0);"SI";"NO")</t>
  </si>
  <si>
    <t xml:space="preserve">#=+SI(O((#¡REF!+#¡REF!)&gt;0;(#¡REF!+#¡REF!)&gt;0;(AJ66+AK66)&gt;0);"SI";"NO")</t>
  </si>
  <si>
    <t xml:space="preserve">#=+SI(O((#¡REF!+#¡REF!)&gt;0;(#¡REF!+#¡REF!)&gt;0;(AJ67+AK67)&gt;0);"SI";"NO")</t>
  </si>
  <si>
    <t xml:space="preserve">#=+SI(O((#¡REF!+#¡REF!)&gt;0;(#¡REF!+#¡REF!)&gt;0;(AJ68+AK68)&gt;0);"SI";"NO")</t>
  </si>
  <si>
    <t xml:space="preserve">#=+SI(O((#¡REF!+#¡REF!)&gt;0;(#¡REF!+#¡REF!)&gt;0;(AJ69+AK69)&gt;0);"SI";"NO")</t>
  </si>
  <si>
    <t xml:space="preserve">#=+SI(O((#¡REF!+#¡REF!)&gt;0;(#¡REF!+#¡REF!)&gt;0;(AJ70+AK70)&gt;0);"SI";"NO")</t>
  </si>
  <si>
    <t xml:space="preserve">#=+SI(O((#¡REF!+#¡REF!)&gt;0;(#¡REF!+#¡REF!)&gt;0;(AJ71+AK71)&gt;0);"SI";"NO")</t>
  </si>
  <si>
    <t xml:space="preserve">#=+SI(O((#¡REF!+#¡REF!)&gt;0;(#¡REF!+#¡REF!)&gt;0;(AJ72+AK72)&gt;0);"SI";"NO")</t>
  </si>
  <si>
    <t xml:space="preserve">#=+SI(O((#¡REF!+#¡REF!)&gt;0;(#¡REF!+#¡REF!)&gt;0;(AJ73+AK73)&gt;0);"SI";"NO")</t>
  </si>
  <si>
    <t xml:space="preserve">#=+SI(O((#¡REF!+#¡REF!)&gt;0;(#¡REF!+#¡REF!)&gt;0;(AJ74+AK74)&gt;0);"SI";"NO")</t>
  </si>
  <si>
    <t xml:space="preserve">#=+SI(O((#¡REF!+#¡REF!)&gt;0;(#¡REF!+#¡REF!)&gt;0;(AJ75+AK75)&gt;0);"SI";"NO")</t>
  </si>
  <si>
    <t xml:space="preserve">#=+SI(O((#¡REF!+#¡REF!)&gt;0;(#¡REF!+#¡REF!)&gt;0;(AJ76+AK76)&gt;0);"SI";"NO")</t>
  </si>
  <si>
    <t xml:space="preserve">#=+SI(O((#¡REF!+#¡REF!)&gt;0;(#¡REF!+#¡REF!)&gt;0;(AJ77+AK77)&gt;0);"SI";"NO")</t>
  </si>
  <si>
    <t xml:space="preserve">#=+SI(O((#¡REF!+#¡REF!)&gt;0;(#¡REF!+#¡REF!)&gt;0;(AJ78+AK78)&gt;0);"SI";"NO")</t>
  </si>
  <si>
    <t xml:space="preserve">#=+SI(O((#¡REF!+#¡REF!)&gt;0;(#¡REF!+#¡REF!)&gt;0;(AJ79+AK79)&gt;0);"SI";"NO")</t>
  </si>
  <si>
    <t xml:space="preserve">#=+SI(O((#¡REF!+#¡REF!)&gt;0;(#¡REF!+#¡REF!)&gt;0;(AJ80+AK80)&gt;0);"SI";"NO")</t>
  </si>
  <si>
    <t xml:space="preserve">#=+SI(O((#¡REF!+#¡REF!)&gt;0;(#¡REF!+#¡REF!)&gt;0;(AJ81+AK81)&gt;0);"SI";"NO")</t>
  </si>
  <si>
    <t xml:space="preserve">#=+SI(O((#¡REF!+#¡REF!)&gt;0;(#¡REF!+#¡REF!)&gt;0;(AJ82+AK82)&gt;0);"SI";"NO")</t>
  </si>
  <si>
    <t xml:space="preserve">#=+SI(O((#¡REF!+#¡REF!)&gt;0;(#¡REF!+#¡REF!)&gt;0;(AJ83+AK83)&gt;0);"SI";"NO")</t>
  </si>
  <si>
    <t xml:space="preserve">#=+SI(O((#¡REF!+#¡REF!)&gt;0;(#¡REF!+#¡REF!)&gt;0;(AJ84+AK84)&gt;0);"SI";"NO")</t>
  </si>
  <si>
    <t xml:space="preserve">#=+SI(O((#¡REF!+#¡REF!)&gt;0;(#¡REF!+#¡REF!)&gt;0;(AJ85+AK85)&gt;0);"SI";"NO")</t>
  </si>
  <si>
    <t xml:space="preserve">#=+SI(O((#¡REF!+#¡REF!)&gt;0;(#¡REF!+#¡REF!)&gt;0;(AJ86+AK86)&gt;0);"SI";"NO")</t>
  </si>
  <si>
    <t xml:space="preserve">#=+SI(O((#¡REF!+#¡REF!)&gt;0;(#¡REF!+#¡REF!)&gt;0;(AJ87+AK87)&gt;0);"SI";"NO")</t>
  </si>
  <si>
    <t xml:space="preserve">#=+SI(O((#¡REF!+#¡REF!)&gt;0;(#¡REF!+#¡REF!)&gt;0;(AJ88+AK88)&gt;0);"SI";"NO")</t>
  </si>
  <si>
    <t xml:space="preserve">#=+SI(O((#¡REF!+#¡REF!)&gt;0;(#¡REF!+#¡REF!)&gt;0;(AJ89+AK89)&gt;0);"SI";"NO")</t>
  </si>
  <si>
    <t xml:space="preserve">#=+SI(O((#¡REF!+#¡REF!)&gt;0;(#¡REF!+#¡REF!)&gt;0;(AJ90+AK90)&gt;0);"SI";"NO")</t>
  </si>
  <si>
    <t xml:space="preserve">#=+SI(O((#¡REF!+#¡REF!)&gt;0;(#¡REF!+#¡REF!)&gt;0;(AJ91+AK91)&gt;0);"SI";"NO")</t>
  </si>
  <si>
    <t xml:space="preserve">#=+SI(O((#¡REF!+#¡REF!)&gt;0;(#¡REF!+#¡REF!)&gt;0;(AJ92+AK92)&gt;0);"SI";"NO")</t>
  </si>
  <si>
    <t xml:space="preserve">#=+SI(O((#¡REF!+#¡REF!)&gt;0;(#¡REF!+#¡REF!)&gt;0;(AJ93+AK93)&gt;0);"SI";"NO")</t>
  </si>
  <si>
    <t xml:space="preserve">#=+SI(O((#¡REF!+#¡REF!)&gt;0;(#¡REF!+#¡REF!)&gt;0;(AJ94+AK94)&gt;0);"SI";"NO")</t>
  </si>
  <si>
    <t xml:space="preserve">#=+SI(O((#¡REF!+#¡REF!)&gt;0;(#¡REF!+#¡REF!)&gt;0;(AJ95+AK95)&gt;0);"SI";"NO")</t>
  </si>
  <si>
    <t xml:space="preserve">#=+SI(O((#¡REF!+#¡REF!)&gt;0;(#¡REF!+#¡REF!)&gt;0;(AJ96+AK96)&gt;0);"SI";"NO")</t>
  </si>
  <si>
    <t xml:space="preserve">#=+SI(O((#¡REF!+#¡REF!)&gt;0;(#¡REF!+#¡REF!)&gt;0;(AJ97+AK97)&gt;0);"SI";"NO")</t>
  </si>
  <si>
    <t xml:space="preserve">#=+SI(O((#¡REF!+#¡REF!)&gt;0;(#¡REF!+#¡REF!)&gt;0;(AJ98+AK98)&gt;0);"SI";"NO")</t>
  </si>
  <si>
    <t xml:space="preserve">#=+SI(O((#¡REF!+#¡REF!)&gt;0;(#¡REF!+#¡REF!)&gt;0;(AJ99+AK99)&gt;0);"SI";"NO")</t>
  </si>
  <si>
    <t xml:space="preserve">#=+SI(O((#¡REF!+#¡REF!)&gt;0;(#¡REF!+#¡REF!)&gt;0;(AJ100+AK100)&gt;0);"SI";"NO")</t>
  </si>
  <si>
    <t xml:space="preserve">#=+SI(O((#¡REF!+#¡REF!)&gt;0;(#¡REF!+#¡REF!)&gt;0;(AJ101+AK101)&gt;0);"SI";"NO")</t>
  </si>
  <si>
    <t xml:space="preserve">#=+SI(O((#¡REF!+#¡REF!)&gt;0;(#¡REF!+#¡REF!)&gt;0;(AJ102+AK102)&gt;0);"SI";"NO")</t>
  </si>
  <si>
    <t xml:space="preserve">#=+SI(O((#¡REF!+#¡REF!)&gt;0;(#¡REF!+#¡REF!)&gt;0;(AJ103+AK103)&gt;0);"SI";"NO")</t>
  </si>
  <si>
    <t xml:space="preserve">#=+SI(O((#¡REF!+#¡REF!)&gt;0;(#¡REF!+#¡REF!)&gt;0;(AJ104+AK104)&gt;0);"SI";"NO")</t>
  </si>
  <si>
    <t xml:space="preserve">#=+SI(O((#¡REF!+#¡REF!)&gt;0;(#¡REF!+#¡REF!)&gt;0;(AJ105+AK105)&gt;0);"SI";"NO")</t>
  </si>
  <si>
    <t xml:space="preserve">#=+SI(O((#¡REF!+#¡REF!)&gt;0;(#¡REF!+#¡REF!)&gt;0;(AJ106+AK106)&gt;0);"SI";"NO")</t>
  </si>
  <si>
    <t xml:space="preserve">#=+SI(O((#¡REF!+#¡REF!)&gt;0;(#¡REF!+#¡REF!)&gt;0;(AJ107+AK107)&gt;0);"SI";"NO")</t>
  </si>
  <si>
    <t xml:space="preserve">#=+SI(O((#¡REF!+#¡REF!)&gt;0;(#¡REF!+#¡REF!)&gt;0;(AJ108+AK108)&gt;0);"SI";"NO")</t>
  </si>
  <si>
    <t xml:space="preserve">#=+SI(O((#¡REF!+#¡REF!)&gt;0;(#¡REF!+#¡REF!)&gt;0;(AJ109+AK109)&gt;0);"SI";"NO")</t>
  </si>
  <si>
    <t xml:space="preserve">#=+SI(O((#¡REF!+#¡REF!)&gt;0;(#¡REF!+#¡REF!)&gt;0;(AJ110+AK110)&gt;0);"SI";"NO")</t>
  </si>
  <si>
    <t xml:space="preserve">#=+SI(O((#¡REF!+#¡REF!)&gt;0;(#¡REF!+#¡REF!)&gt;0;(AJ111+AK111)&gt;0);"SI";"NO")</t>
  </si>
  <si>
    <t xml:space="preserve">#=+SI(O((#¡REF!+#¡REF!)&gt;0;(#¡REF!+#¡REF!)&gt;0;(AJ112+AK112)&gt;0);"SI";"NO")</t>
  </si>
  <si>
    <t xml:space="preserve">#=+SI(O((#¡REF!+#¡REF!)&gt;0;(#¡REF!+#¡REF!)&gt;0;(AJ113+AK113)&gt;0);"SI";"NO")</t>
  </si>
  <si>
    <t xml:space="preserve">#=+SI(O((#¡REF!+#¡REF!)&gt;0;(#¡REF!+#¡REF!)&gt;0;(AJ114+AK114)&gt;0);"SI";"NO")</t>
  </si>
  <si>
    <t xml:space="preserve">#=+SI(O((#¡REF!+#¡REF!)&gt;0;(#¡REF!+#¡REF!)&gt;0;(AJ115+AK115)&gt;0);"SI";"NO")</t>
  </si>
  <si>
    <t xml:space="preserve">#=+SI(O((#¡REF!+#¡REF!)&gt;0;(#¡REF!+#¡REF!)&gt;0;(AJ116+AK116)&gt;0);"SI";"NO")</t>
  </si>
  <si>
    <t xml:space="preserve">#=+SI(O((#¡REF!+#¡REF!)&gt;0;(#¡REF!+#¡REF!)&gt;0;(AJ117+AK117)&gt;0);"SI";"NO")</t>
  </si>
  <si>
    <t xml:space="preserve">#=+SI(O((#¡REF!+#¡REF!)&gt;0;(#¡REF!+#¡REF!)&gt;0;(AJ118+AK118)&gt;0);"SI";"NO")</t>
  </si>
  <si>
    <t xml:space="preserve">#=+SI(O((#¡REF!+#¡REF!)&gt;0;(#¡REF!+#¡REF!)&gt;0;(AJ119+AK119)&gt;0);"SI";"NO")</t>
  </si>
  <si>
    <t xml:space="preserve">#=+SI(O((#¡REF!+#¡REF!)&gt;0;(#¡REF!+#¡REF!)&gt;0;(AJ120+AK120)&gt;0);"SI";"NO")</t>
  </si>
  <si>
    <t xml:space="preserve">#=+SI(O((#¡REF!+#¡REF!)&gt;0;(#¡REF!+#¡REF!)&gt;0;(AJ121+AK121)&gt;0);"SI";"NO")</t>
  </si>
  <si>
    <t xml:space="preserve">#=+SI(O((#¡REF!+#¡REF!)&gt;0;(#¡REF!+#¡REF!)&gt;0;(AJ122+AK122)&gt;0);"SI";"NO")</t>
  </si>
  <si>
    <t xml:space="preserve">#=+SI(O((#¡REF!+#¡REF!)&gt;0;(#¡REF!+#¡REF!)&gt;0;(AJ123+AK123)&gt;0);"SI";"NO")</t>
  </si>
  <si>
    <t xml:space="preserve">#=+SI(O((#¡REF!+#¡REF!)&gt;0;(#¡REF!+#¡REF!)&gt;0;(AJ124+AK124)&gt;0);"SI";"NO")</t>
  </si>
  <si>
    <t xml:space="preserve">#=+SI(O((#¡REF!+#¡REF!)&gt;0;(#¡REF!+#¡REF!)&gt;0;(AJ125+AK125)&gt;0);"SI";"NO")</t>
  </si>
  <si>
    <t xml:space="preserve">#=+SI(O((#¡REF!+#¡REF!)&gt;0;(#¡REF!+#¡REF!)&gt;0;(AJ126+AK126)&gt;0);"SI";"NO")</t>
  </si>
  <si>
    <t xml:space="preserve">#=+SI(O((#¡REF!+#¡REF!)&gt;0;(#¡REF!+#¡REF!)&gt;0;(AJ127+AK127)&gt;0);"SI";"NO")</t>
  </si>
  <si>
    <t xml:space="preserve">#=+SI(O((#¡REF!+#¡REF!)&gt;0;(#¡REF!+#¡REF!)&gt;0;(AJ128+AK128)&gt;0);"SI";"NO")</t>
  </si>
  <si>
    <t xml:space="preserve">#=+SI(O((#¡REF!+#¡REF!)&gt;0;(#¡REF!+#¡REF!)&gt;0;(AJ129+AK129)&gt;0);"SI";"NO")</t>
  </si>
  <si>
    <t xml:space="preserve">#=+SI(O((#¡REF!+#¡REF!)&gt;0;(#¡REF!+#¡REF!)&gt;0;(AJ130+AK130)&gt;0);"SI";"NO")</t>
  </si>
  <si>
    <t xml:space="preserve">#=+SI(O((#¡REF!+#¡REF!)&gt;0;(#¡REF!+#¡REF!)&gt;0;(AJ131+AK131)&gt;0);"SI";"NO")</t>
  </si>
  <si>
    <t xml:space="preserve">#=+SI(O((#¡REF!+#¡REF!)&gt;0;(#¡REF!+#¡REF!)&gt;0;(AJ132+AK132)&gt;0);"SI";"NO")</t>
  </si>
  <si>
    <t xml:space="preserve">#=+SI(O((#¡REF!+#¡REF!)&gt;0;(#¡REF!+#¡REF!)&gt;0;(AJ133+AK133)&gt;0);"SI";"NO")</t>
  </si>
  <si>
    <t xml:space="preserve">#=+SI(O((#¡REF!+#¡REF!)&gt;0;(#¡REF!+#¡REF!)&gt;0;(AJ134+AK134)&gt;0);"SI";"NO")</t>
  </si>
  <si>
    <t xml:space="preserve">#=+SI(O((#¡REF!+#¡REF!)&gt;0;(#¡REF!+#¡REF!)&gt;0;(AJ135+AK135)&gt;0);"SI";"NO")</t>
  </si>
  <si>
    <t xml:space="preserve">#=+SI(O((#¡REF!+#¡REF!)&gt;0;(#¡REF!+#¡REF!)&gt;0;(AJ136+AK136)&gt;0);"SI";"NO")</t>
  </si>
  <si>
    <t xml:space="preserve">#=+SI(O((#¡REF!+#¡REF!)&gt;0;(#¡REF!+#¡REF!)&gt;0;(AJ137+AK137)&gt;0);"SI";"NO")</t>
  </si>
  <si>
    <t xml:space="preserve">#=+SI(O((#¡REF!+#¡REF!)&gt;0;(#¡REF!+#¡REF!)&gt;0;(AJ138+AK138)&gt;0);"SI";"NO")</t>
  </si>
  <si>
    <t xml:space="preserve">#=+SI(O((#¡REF!+#¡REF!)&gt;0;(#¡REF!+#¡REF!)&gt;0;(AJ139+AK139)&gt;0);"SI";"NO")</t>
  </si>
  <si>
    <t xml:space="preserve">#=+SI(O((#¡REF!+#¡REF!)&gt;0;(#¡REF!+#¡REF!)&gt;0;(AJ140+AK140)&gt;0);"SI";"NO")</t>
  </si>
  <si>
    <t xml:space="preserve">#=+SI(O((#¡REF!+#¡REF!)&gt;0;(#¡REF!+#¡REF!)&gt;0;(AJ141+AK141)&gt;0);"SI";"NO")</t>
  </si>
  <si>
    <t xml:space="preserve">#=+SI(O((#¡REF!+#¡REF!)&gt;0;(#¡REF!+#¡REF!)&gt;0;(AJ142+AK142)&gt;0);"SI";"NO")</t>
  </si>
  <si>
    <t xml:space="preserve">#=+SI(O((#¡REF!+#¡REF!)&gt;0;(#¡REF!+#¡REF!)&gt;0;(AJ143+AK143)&gt;0);"SI";"NO")</t>
  </si>
  <si>
    <t xml:space="preserve">#=+SI(O((#¡REF!+#¡REF!)&gt;0;(#¡REF!+#¡REF!)&gt;0;(AJ144+AK144)&gt;0);"SI";"NO")</t>
  </si>
  <si>
    <t xml:space="preserve">#=+SI(O((#¡REF!+#¡REF!)&gt;0;(#¡REF!+#¡REF!)&gt;0;(AJ145+AK145)&gt;0);"SI";"NO")</t>
  </si>
  <si>
    <t xml:space="preserve">#=+SI(O((#¡REF!+#¡REF!)&gt;0;(#¡REF!+#¡REF!)&gt;0;(AJ146+AK146)&gt;0);"SI";"NO")</t>
  </si>
  <si>
    <t xml:space="preserve">#=+SI(O((#¡REF!+#¡REF!)&gt;0;(#¡REF!+#¡REF!)&gt;0;(AJ147+AK147)&gt;0);"SI";"NO")</t>
  </si>
  <si>
    <t xml:space="preserve">#=+SI(O((#¡REF!+#¡REF!)&gt;0;(#¡REF!+#¡REF!)&gt;0;(AJ148+AK148)&gt;0);"SI";"NO")</t>
  </si>
  <si>
    <t xml:space="preserve">#=+SI(O((#¡REF!+#¡REF!)&gt;0;(#¡REF!+#¡REF!)&gt;0;(AJ149+AK149)&gt;0);"SI";"NO")</t>
  </si>
  <si>
    <t xml:space="preserve">#=+SI(O((#¡REF!+#¡REF!)&gt;0;(#¡REF!+#¡REF!)&gt;0;(AJ150+AK150)&gt;0);"SI";"NO")</t>
  </si>
  <si>
    <t xml:space="preserve">#=+SI(O((#¡REF!+#¡REF!)&gt;0;(#¡REF!+#¡REF!)&gt;0;(AJ151+AK151)&gt;0);"SI";"NO")</t>
  </si>
  <si>
    <t xml:space="preserve">#=+SI(O((#¡REF!+#¡REF!)&gt;0;(#¡REF!+#¡REF!)&gt;0;(AJ152+AK152)&gt;0);"SI";"NO")</t>
  </si>
  <si>
    <t xml:space="preserve">#=+SI(O((#¡REF!+#¡REF!)&gt;0;(#¡REF!+#¡REF!)&gt;0;(AJ153+AK153)&gt;0);"SI";"NO")</t>
  </si>
  <si>
    <t xml:space="preserve">#=+SI(O((#¡REF!+#¡REF!)&gt;0;(#¡REF!+#¡REF!)&gt;0;(AJ154+AK154)&gt;0);"SI";"NO")</t>
  </si>
  <si>
    <t xml:space="preserve">#=+SI(O((#¡REF!+#¡REF!)&gt;0;(#¡REF!+#¡REF!)&gt;0;(AJ155+AK155)&gt;0);"SI";"NO")</t>
  </si>
  <si>
    <t xml:space="preserve">#=+SI(O((#¡REF!+#¡REF!)&gt;0;(#¡REF!+#¡REF!)&gt;0;(AJ156+AK156)&gt;0);"SI";"NO")</t>
  </si>
  <si>
    <t xml:space="preserve">#=+SI(O((#¡REF!+#¡REF!)&gt;0;(#¡REF!+#¡REF!)&gt;0;(AJ157+AK157)&gt;0);"SI";"NO")</t>
  </si>
  <si>
    <t xml:space="preserve">#=+SI(O((#¡REF!+#¡REF!)&gt;0;(#¡REF!+#¡REF!)&gt;0;(AJ158+AK158)&gt;0);"SI";"NO")</t>
  </si>
  <si>
    <t xml:space="preserve">#=+SI(O((#¡REF!+#¡REF!)&gt;0;(#¡REF!+#¡REF!)&gt;0;(AJ159+AK159)&gt;0);"SI";"NO")</t>
  </si>
  <si>
    <t xml:space="preserve">#=+SI(O((#¡REF!+#¡REF!)&gt;0;(#¡REF!+#¡REF!)&gt;0;(AJ160+AK160)&gt;0);"SI";"NO")</t>
  </si>
  <si>
    <t xml:space="preserve">#=+SI(O((#¡REF!+#¡REF!)&gt;0;(#¡REF!+#¡REF!)&gt;0;(AJ161+AK161)&gt;0);"SI";"NO")</t>
  </si>
  <si>
    <t xml:space="preserve">#=+SI(O((#¡REF!+#¡REF!)&gt;0;(#¡REF!+#¡REF!)&gt;0;(AJ162+AK162)&gt;0);"SI";"NO")</t>
  </si>
  <si>
    <t xml:space="preserve">#=+SI(O((#¡REF!+#¡REF!)&gt;0;(#¡REF!+#¡REF!)&gt;0;(AJ163+AK163)&gt;0);"SI";"NO")</t>
  </si>
  <si>
    <t xml:space="preserve">#=+SI(O((#¡REF!+#¡REF!)&gt;0;(#¡REF!+#¡REF!)&gt;0;(AJ164+AK164)&gt;0);"SI";"NO")</t>
  </si>
  <si>
    <t xml:space="preserve">#=+SI(O((#¡REF!+#¡REF!)&gt;0;(#¡REF!+#¡REF!)&gt;0;(AJ165+AK165)&gt;0);"SI";"NO")</t>
  </si>
  <si>
    <t xml:space="preserve">#=+SI(O((#¡REF!+#¡REF!)&gt;0;(#¡REF!+#¡REF!)&gt;0;(AJ166+AK166)&gt;0);"SI";"NO")</t>
  </si>
  <si>
    <t xml:space="preserve">#=+SI(O((#¡REF!+#¡REF!)&gt;0;(#¡REF!+#¡REF!)&gt;0;(AJ167+AK167)&gt;0);"SI";"NO")</t>
  </si>
  <si>
    <t xml:space="preserve">#=+SI(O((#¡REF!+#¡REF!)&gt;0;(#¡REF!+#¡REF!)&gt;0;(AJ168+AK168)&gt;0);"SI";"NO")</t>
  </si>
  <si>
    <t xml:space="preserve">#=+SI(O((#¡REF!+#¡REF!)&gt;0;(#¡REF!+#¡REF!)&gt;0;(AJ169+AK169)&gt;0);"SI";"NO")</t>
  </si>
  <si>
    <t xml:space="preserve">#=+SI(O((#¡REF!+#¡REF!)&gt;0;(#¡REF!+#¡REF!)&gt;0;(AJ170+AK170)&gt;0);"SI";"NO")</t>
  </si>
  <si>
    <t xml:space="preserve">#=+SI(O((#¡REF!+#¡REF!)&gt;0;(#¡REF!+#¡REF!)&gt;0;(AJ171+AK171)&gt;0);"SI";"NO")</t>
  </si>
  <si>
    <t xml:space="preserve">#=+SI(O((#¡REF!+#¡REF!)&gt;0;(#¡REF!+#¡REF!)&gt;0;(AJ172+AK172)&gt;0);"SI";"NO")</t>
  </si>
  <si>
    <t xml:space="preserve">#=+SI(O((#¡REF!+#¡REF!)&gt;0;(#¡REF!+#¡REF!)&gt;0;(AJ173+AK173)&gt;0);"SI";"NO")</t>
  </si>
  <si>
    <t xml:space="preserve">#=+SI(O((#¡REF!+#¡REF!)&gt;0;(#¡REF!+#¡REF!)&gt;0;(AJ174+AK174)&gt;0);"SI";"NO")</t>
  </si>
  <si>
    <t xml:space="preserve">#=+SI(O((#¡REF!+#¡REF!)&gt;0;(#¡REF!+#¡REF!)&gt;0;(AJ175+AK175)&gt;0);"SI";"NO")</t>
  </si>
  <si>
    <t xml:space="preserve">#=+SI(O((#¡REF!+#¡REF!)&gt;0;(#¡REF!+#¡REF!)&gt;0;(AJ176+AK176)&gt;0);"SI";"NO")</t>
  </si>
  <si>
    <t xml:space="preserve">#=+SI(O((#¡REF!+#¡REF!)&gt;0;(#¡REF!+#¡REF!)&gt;0;(AJ177+AK177)&gt;0);"SI";"NO")</t>
  </si>
  <si>
    <t xml:space="preserve">#=+SI(O((#¡REF!+#¡REF!)&gt;0;(#¡REF!+#¡REF!)&gt;0;(AJ178+AK178)&gt;0);"SI";"NO")</t>
  </si>
  <si>
    <t xml:space="preserve">#=+SI(O((#¡REF!+#¡REF!)&gt;0;(#¡REF!+#¡REF!)&gt;0;(AJ179+AK179)&gt;0);"SI";"NO")</t>
  </si>
  <si>
    <t xml:space="preserve">#=+SI(O((#¡REF!+#¡REF!)&gt;0;(#¡REF!+#¡REF!)&gt;0;(AJ180+AK180)&gt;0);"SI";"NO")</t>
  </si>
  <si>
    <t xml:space="preserve">#=+SI(O((#¡REF!+#¡REF!)&gt;0;(#¡REF!+#¡REF!)&gt;0;(AJ181+AK181)&gt;0);"SI";"NO")</t>
  </si>
  <si>
    <t xml:space="preserve">#=+SI(O((#¡REF!+#¡REF!)&gt;0;(#¡REF!+#¡REF!)&gt;0;(AJ182+AK182)&gt;0);"SI";"NO")</t>
  </si>
  <si>
    <t xml:space="preserve">#=+SI(O((#¡REF!+#¡REF!)&gt;0;(#¡REF!+#¡REF!)&gt;0;(AJ183+AK183)&gt;0);"SI";"NO")</t>
  </si>
  <si>
    <t xml:space="preserve">#=+SI(O((#¡REF!+#¡REF!)&gt;0;(#¡REF!+#¡REF!)&gt;0;(AJ184+AK184)&gt;0);"SI";"NO")</t>
  </si>
  <si>
    <t xml:space="preserve">#=+SI(O((#¡REF!+#¡REF!)&gt;0;(#¡REF!+#¡REF!)&gt;0;(AJ185+AK185)&gt;0);"SI";"NO")</t>
  </si>
  <si>
    <t xml:space="preserve">#=+SI(O((#¡REF!+#¡REF!)&gt;0;(#¡REF!+#¡REF!)&gt;0;(AJ186+AK186)&gt;0);"SI";"NO")</t>
  </si>
  <si>
    <t xml:space="preserve">#=+SI(O((#¡REF!+#¡REF!)&gt;0;(#¡REF!+#¡REF!)&gt;0;(AJ187+AK187)&gt;0);"SI";"NO")</t>
  </si>
  <si>
    <t xml:space="preserve">#=+SI(O((#¡REF!+#¡REF!)&gt;0;(#¡REF!+#¡REF!)&gt;0;(AJ188+AK188)&gt;0);"SI";"NO")</t>
  </si>
  <si>
    <t xml:space="preserve">#=+SI(O((#¡REF!+#¡REF!)&gt;0;(#¡REF!+#¡REF!)&gt;0;(AJ189+AK189)&gt;0);"SI";"NO")</t>
  </si>
  <si>
    <t xml:space="preserve">#=+SI(O((#¡REF!+#¡REF!)&gt;0;(#¡REF!+#¡REF!)&gt;0;(AJ190+AK190)&gt;0);"SI";"NO")</t>
  </si>
  <si>
    <t xml:space="preserve">#=+SI(O((#¡REF!+#¡REF!)&gt;0;(#¡REF!+#¡REF!)&gt;0;(AJ191+AK191)&gt;0);"SI";"NO")</t>
  </si>
  <si>
    <t xml:space="preserve">#=+SI(O((#¡REF!+#¡REF!)&gt;0;(#¡REF!+#¡REF!)&gt;0;(AJ192+AK192)&gt;0);"SI";"NO")</t>
  </si>
  <si>
    <t xml:space="preserve">#=+SI(O((#¡REF!+#¡REF!)&gt;0;(#¡REF!+#¡REF!)&gt;0;(AJ193+AK193)&gt;0);"SI";"NO")</t>
  </si>
  <si>
    <t xml:space="preserve">#=+SI(O((#¡REF!+#¡REF!)&gt;0;(#¡REF!+#¡REF!)&gt;0;(AJ194+AK194)&gt;0);"SI";"NO")</t>
  </si>
  <si>
    <t xml:space="preserve">#=+SI(O((#¡REF!+#¡REF!)&gt;0;(#¡REF!+#¡REF!)&gt;0;(AJ195+AK195)&gt;0);"SI";"NO")</t>
  </si>
  <si>
    <t xml:space="preserve">#=+SI(O((#¡REF!+#¡REF!)&gt;0;(#¡REF!+#¡REF!)&gt;0;(AJ196+AK196)&gt;0);"SI";"NO")</t>
  </si>
  <si>
    <t xml:space="preserve">#=+SI(O((#¡REF!+#¡REF!)&gt;0;(#¡REF!+#¡REF!)&gt;0;(AJ197+AK197)&gt;0);"SI";"NO")</t>
  </si>
  <si>
    <t xml:space="preserve">#=+SI(O((#¡REF!+#¡REF!)&gt;0;(#¡REF!+#¡REF!)&gt;0;(AJ198+AK198)&gt;0);"SI";"NO")</t>
  </si>
  <si>
    <t xml:space="preserve">#=+SI(O((#¡REF!+#¡REF!)&gt;0;(#¡REF!+#¡REF!)&gt;0;(AJ199+AK199)&gt;0);"SI";"NO")</t>
  </si>
  <si>
    <t xml:space="preserve">#=+SI(O((#¡REF!+#¡REF!)&gt;0;(#¡REF!+#¡REF!)&gt;0;(AJ200+AK200)&gt;0);"SI";"NO")</t>
  </si>
  <si>
    <t xml:space="preserve">#=+SI(O((#¡REF!+#¡REF!)&gt;0;(#¡REF!+#¡REF!)&gt;0;(AJ201+AK201)&gt;0);"SI";"NO")</t>
  </si>
  <si>
    <t xml:space="preserve">#=+SI(O((#¡REF!+#¡REF!)&gt;0;(#¡REF!+#¡REF!)&gt;0;(AJ202+AK202)&gt;0);"SI";"NO")</t>
  </si>
  <si>
    <t xml:space="preserve">#=+SI(O((#¡REF!+#¡REF!)&gt;0;(#¡REF!+#¡REF!)&gt;0;(AJ203+AK203)&gt;0);"SI";"NO")</t>
  </si>
  <si>
    <t xml:space="preserve">#=+SI(O((#¡REF!+#¡REF!)&gt;0;(#¡REF!+#¡REF!)&gt;0;(AJ204+AK204)&gt;0);"SI";"NO")</t>
  </si>
  <si>
    <t xml:space="preserve">#=+SI(O((#¡REF!+#¡REF!)&gt;0;(#¡REF!+#¡REF!)&gt;0;(AJ205+AK205)&gt;0);"SI";"NO")</t>
  </si>
  <si>
    <t xml:space="preserve">#=+SI(O((#¡REF!+#¡REF!)&gt;0;(#¡REF!+#¡REF!)&gt;0;(AJ206+AK206)&gt;0);"SI";"NO")</t>
  </si>
  <si>
    <t xml:space="preserve">#=+SI(O((#¡REF!+#¡REF!)&gt;0;(#¡REF!+#¡REF!)&gt;0;(AJ207+AK207)&gt;0);"SI";"NO")</t>
  </si>
  <si>
    <t xml:space="preserve">#=+SI(O((#¡REF!+#¡REF!)&gt;0;(#¡REF!+#¡REF!)&gt;0;(AJ208+AK208)&gt;0);"SI";"NO")</t>
  </si>
  <si>
    <t xml:space="preserve">#=+SI(O((#¡REF!+#¡REF!)&gt;0;(#¡REF!+#¡REF!)&gt;0;(AJ209+AK209)&gt;0);"SI";"NO")</t>
  </si>
  <si>
    <t xml:space="preserve">#=+SI(O((#¡REF!+#¡REF!)&gt;0;(#¡REF!+#¡REF!)&gt;0;(AJ210+AK210)&gt;0);"SI";"NO")</t>
  </si>
  <si>
    <t xml:space="preserve">#=+SI(O((#¡REF!+#¡REF!)&gt;0;(#¡REF!+#¡REF!)&gt;0;(AJ211+AK211)&gt;0);"SI";"NO")</t>
  </si>
  <si>
    <t xml:space="preserve">#=+SI(O((#¡REF!+#¡REF!)&gt;0;(#¡REF!+#¡REF!)&gt;0;(AJ212+AK212)&gt;0);"SI";"NO")</t>
  </si>
  <si>
    <t xml:space="preserve">#=+SI(O((#¡REF!+#¡REF!)&gt;0;(#¡REF!+#¡REF!)&gt;0;(AJ213+AK213)&gt;0);"SI";"NO")</t>
  </si>
  <si>
    <t xml:space="preserve">#=+SI(O((#¡REF!+#¡REF!)&gt;0;(#¡REF!+#¡REF!)&gt;0;(AJ214+AK214)&gt;0);"SI";"NO")</t>
  </si>
  <si>
    <t xml:space="preserve">#=+SI(O((#¡REF!+#¡REF!)&gt;0;(#¡REF!+#¡REF!)&gt;0;(AJ215+AK215)&gt;0);"SI";"NO")</t>
  </si>
  <si>
    <t xml:space="preserve">#=+SI(O((#¡REF!+#¡REF!)&gt;0;(#¡REF!+#¡REF!)&gt;0;(AJ216+AK216)&gt;0);"SI";"NO")</t>
  </si>
  <si>
    <t xml:space="preserve">#=+SI(O((#¡REF!+#¡REF!)&gt;0;(#¡REF!+#¡REF!)&gt;0;(AJ217+AK217)&gt;0);"SI";"NO")</t>
  </si>
  <si>
    <t xml:space="preserve">#=+SI(O((#¡REF!+#¡REF!)&gt;0;(#¡REF!+#¡REF!)&gt;0;(AJ218+AK218)&gt;0);"SI";"NO")</t>
  </si>
  <si>
    <t xml:space="preserve">#=+SI(O((#¡REF!+#¡REF!)&gt;0;(#¡REF!+#¡REF!)&gt;0;(AJ219+AK219)&gt;0);"SI";"NO")</t>
  </si>
  <si>
    <t xml:space="preserve">#=+SI(O((#¡REF!+#¡REF!)&gt;0;(#¡REF!+#¡REF!)&gt;0;(AJ220+AK220)&gt;0);"SI";"NO")</t>
  </si>
  <si>
    <t xml:space="preserve">#=+SI(O((#¡REF!+#¡REF!)&gt;0;(#¡REF!+#¡REF!)&gt;0;(AJ221+AK221)&gt;0);"SI";"NO")</t>
  </si>
  <si>
    <t xml:space="preserve">#=+SI(O((#¡REF!+#¡REF!)&gt;0;(#¡REF!+#¡REF!)&gt;0;(AJ222+AK222)&gt;0);"SI";"NO")</t>
  </si>
  <si>
    <t xml:space="preserve">#=+SI(O((#¡REF!+#¡REF!)&gt;0;(#¡REF!+#¡REF!)&gt;0;(AJ223+AK223)&gt;0);"SI";"NO")</t>
  </si>
  <si>
    <t xml:space="preserve">#=+SI(O((#¡REF!+#¡REF!)&gt;0;(#¡REF!+#¡REF!)&gt;0;(AJ224+AK224)&gt;0);"SI";"NO")</t>
  </si>
  <si>
    <t xml:space="preserve">#=+SI(O((#¡REF!+#¡REF!)&gt;0;(#¡REF!+#¡REF!)&gt;0;(AJ225+AK225)&gt;0);"SI";"NO")</t>
  </si>
  <si>
    <t xml:space="preserve">#=+SI(O((#¡REF!+#¡REF!)&gt;0;(#¡REF!+#¡REF!)&gt;0;(AJ226+AK226)&gt;0);"SI";"NO")</t>
  </si>
  <si>
    <t xml:space="preserve">#=+SI(O((#¡REF!+#¡REF!)&gt;0;(#¡REF!+#¡REF!)&gt;0;(AJ227+AK227)&gt;0);"SI";"NO")</t>
  </si>
  <si>
    <t xml:space="preserve">#=+SI(O((#¡REF!+#¡REF!)&gt;0;(#¡REF!+#¡REF!)&gt;0;(AJ228+AK228)&gt;0);"SI";"NO")</t>
  </si>
  <si>
    <t xml:space="preserve">#=+SI(O((#¡REF!+#¡REF!)&gt;0;(#¡REF!+#¡REF!)&gt;0;(AJ229+AK229)&gt;0);"SI";"NO")</t>
  </si>
  <si>
    <t xml:space="preserve">#=+SI(O((#¡REF!+#¡REF!)&gt;0;(#¡REF!+#¡REF!)&gt;0;(AJ230+AK230)&gt;0);"SI";"NO")</t>
  </si>
  <si>
    <t xml:space="preserve">#=+SI(O((#¡REF!+#¡REF!)&gt;0;(#¡REF!+#¡REF!)&gt;0;(AJ231+AK231)&gt;0);"SI";"NO")</t>
  </si>
  <si>
    <t xml:space="preserve">#=+SI(O((#¡REF!+#¡REF!)&gt;0;(#¡REF!+#¡REF!)&gt;0;(AJ232+AK232)&gt;0);"SI";"NO")</t>
  </si>
  <si>
    <t xml:space="preserve">#=+SI(O((#¡REF!+#¡REF!)&gt;0;(#¡REF!+#¡REF!)&gt;0;(AJ233+AK233)&gt;0);"SI";"NO")</t>
  </si>
  <si>
    <t xml:space="preserve">#=+SI(O((#¡REF!+#¡REF!)&gt;0;(#¡REF!+#¡REF!)&gt;0;(AJ234+AK234)&gt;0);"SI";"NO")</t>
  </si>
  <si>
    <t xml:space="preserve">#=+SI(O((#¡REF!+#¡REF!)&gt;0;(#¡REF!+#¡REF!)&gt;0;(AJ235+AK235)&gt;0);"SI";"NO")</t>
  </si>
  <si>
    <t xml:space="preserve">#=+SI(O((#¡REF!+#¡REF!)&gt;0;(#¡REF!+#¡REF!)&gt;0;(AJ236+AK236)&gt;0);"SI";"NO")</t>
  </si>
  <si>
    <t xml:space="preserve">#=+SI(O((#¡REF!+#¡REF!)&gt;0;(#¡REF!+#¡REF!)&gt;0;(AJ237+AK237)&gt;0);"SI";"NO")</t>
  </si>
  <si>
    <t xml:space="preserve">#=+SI(O((#¡REF!+#¡REF!)&gt;0;(#¡REF!+#¡REF!)&gt;0;(AJ238+AK238)&gt;0);"SI";"NO")</t>
  </si>
  <si>
    <t xml:space="preserve">#=+SI(O((#¡REF!+#¡REF!)&gt;0;(#¡REF!+#¡REF!)&gt;0;(AJ239+AK239)&gt;0);"SI";"NO")</t>
  </si>
  <si>
    <t xml:space="preserve">#=+SI(O((#¡REF!+#¡REF!)&gt;0;(#¡REF!+#¡REF!)&gt;0;(AJ240+AK240)&gt;0);"SI";"NO")</t>
  </si>
  <si>
    <t xml:space="preserve">#=+SI(O((#¡REF!+#¡REF!)&gt;0;(#¡REF!+#¡REF!)&gt;0;(AJ241+AK241)&gt;0);"SI";"NO")</t>
  </si>
  <si>
    <t xml:space="preserve">#=+SI(O((#¡REF!+#¡REF!)&gt;0;(#¡REF!+#¡REF!)&gt;0;(AJ242+AK242)&gt;0);"SI";"NO")</t>
  </si>
  <si>
    <t xml:space="preserve">#=+SI(O((#¡REF!+#¡REF!)&gt;0;(#¡REF!+#¡REF!)&gt;0;(AJ243+AK243)&gt;0);"SI";"NO")</t>
  </si>
  <si>
    <t xml:space="preserve">#=+SI(O((#¡REF!+#¡REF!)&gt;0;(#¡REF!+#¡REF!)&gt;0;(AJ244+AK244)&gt;0);"SI";"NO")</t>
  </si>
  <si>
    <t xml:space="preserve">#=+SI(O((#¡REF!+#¡REF!)&gt;0;(#¡REF!+#¡REF!)&gt;0;(AJ245+AK245)&gt;0);"SI";"NO")</t>
  </si>
  <si>
    <t xml:space="preserve">#=+SI(O((#¡REF!+#¡REF!)&gt;0;(#¡REF!+#¡REF!)&gt;0;(AJ246+AK246)&gt;0);"SI";"NO")</t>
  </si>
  <si>
    <t xml:space="preserve">#=+SI(O((#¡REF!+#¡REF!)&gt;0;(#¡REF!+#¡REF!)&gt;0;(AJ247+AK247)&gt;0);"SI";"NO")</t>
  </si>
  <si>
    <t xml:space="preserve">#=+SI(O((#¡REF!+#¡REF!)&gt;0;(#¡REF!+#¡REF!)&gt;0;(AJ248+AK248)&gt;0);"SI";"NO")</t>
  </si>
  <si>
    <t xml:space="preserve">#=+SI(O((#¡REF!+#¡REF!)&gt;0;(#¡REF!+#¡REF!)&gt;0;(AJ249+AK249)&gt;0);"SI";"NO")</t>
  </si>
  <si>
    <t xml:space="preserve">#=+SI(O((#¡REF!+#¡REF!)&gt;0;(#¡REF!+#¡REF!)&gt;0;(AJ250+AK250)&gt;0);"SI";"NO")</t>
  </si>
  <si>
    <t xml:space="preserve">#=+SI(O((#¡REF!+#¡REF!)&gt;0;(#¡REF!+#¡REF!)&gt;0;(AJ251+AK251)&gt;0);"SI";"NO")</t>
  </si>
  <si>
    <t xml:space="preserve">#=+SI(O((#¡REF!+#¡REF!)&gt;0;(#¡REF!+#¡REF!)&gt;0;(AJ252+AK252)&gt;0);"SI";"NO")</t>
  </si>
  <si>
    <t xml:space="preserve">#=+SI(O((#¡REF!+#¡REF!)&gt;0;(#¡REF!+#¡REF!)&gt;0;(AJ253+AK253)&gt;0);"SI";"NO")</t>
  </si>
  <si>
    <t xml:space="preserve">#=+SI(O((#¡REF!+#¡REF!)&gt;0;(#¡REF!+#¡REF!)&gt;0;(AJ254+AK254)&gt;0);"SI";"NO")</t>
  </si>
  <si>
    <t xml:space="preserve">#=+SI(O((#¡REF!+#¡REF!)&gt;0;(#¡REF!+#¡REF!)&gt;0;(AJ255+AK255)&gt;0);"SI";"NO")</t>
  </si>
  <si>
    <t xml:space="preserve">#=+SI(O((#¡REF!+#¡REF!)&gt;0;(#¡REF!+#¡REF!)&gt;0;(AJ256+AK256)&gt;0);"SI";"NO")</t>
  </si>
  <si>
    <t xml:space="preserve">#=+SI(O((#¡REF!+#¡REF!)&gt;0;(#¡REF!+#¡REF!)&gt;0;(AJ257+AK257)&gt;0);"SI";"NO")</t>
  </si>
  <si>
    <t xml:space="preserve">#=+SI(O((#¡REF!+#¡REF!)&gt;0;(#¡REF!+#¡REF!)&gt;0;(AJ258+AK258)&gt;0);"SI";"NO")</t>
  </si>
  <si>
    <t xml:space="preserve">#=+SI(O((#¡REF!+#¡REF!)&gt;0;(#¡REF!+#¡REF!)&gt;0;(AJ259+AK259)&gt;0);"SI";"NO")</t>
  </si>
  <si>
    <t xml:space="preserve">#=+SI(O((#¡REF!+#¡REF!)&gt;0;(#¡REF!+#¡REF!)&gt;0;(AJ260+AK260)&gt;0);"SI";"NO")</t>
  </si>
  <si>
    <t xml:space="preserve">#=+SI(O((#¡REF!+#¡REF!)&gt;0;(#¡REF!+#¡REF!)&gt;0;(AJ261+AK261)&gt;0);"SI";"NO")</t>
  </si>
  <si>
    <t xml:space="preserve">#=+SI(O((#¡REF!+#¡REF!)&gt;0;(#¡REF!+#¡REF!)&gt;0;(AJ262+AK262)&gt;0);"SI";"NO")</t>
  </si>
  <si>
    <t xml:space="preserve">#=+SI(O((#¡REF!+#¡REF!)&gt;0;(#¡REF!+#¡REF!)&gt;0;(AJ263+AK263)&gt;0);"SI";"NO")</t>
  </si>
  <si>
    <t xml:space="preserve">#=+SI(O((#¡REF!+#¡REF!)&gt;0;(#¡REF!+#¡REF!)&gt;0;(AJ264+AK264)&gt;0);"SI";"NO")</t>
  </si>
  <si>
    <t xml:space="preserve">#=+SI(O((#¡REF!+#¡REF!)&gt;0;(#¡REF!+#¡REF!)&gt;0;(AJ265+AK265)&gt;0);"SI";"NO")</t>
  </si>
  <si>
    <t xml:space="preserve">#=+SI(O((#¡REF!+#¡REF!)&gt;0;(#¡REF!+#¡REF!)&gt;0;(AJ266+AK266)&gt;0);"SI";"NO")</t>
  </si>
  <si>
    <t xml:space="preserve">#=+SI(O((#¡REF!+#¡REF!)&gt;0;(#¡REF!+#¡REF!)&gt;0;(AJ267+AK267)&gt;0);"SI";"NO")</t>
  </si>
  <si>
    <t xml:space="preserve">#=+SI(O((#¡REF!+#¡REF!)&gt;0;(#¡REF!+#¡REF!)&gt;0;(AJ268+AK268)&gt;0);"SI";"NO")</t>
  </si>
  <si>
    <t xml:space="preserve">#=+SI(O((#¡REF!+#¡REF!)&gt;0;(#¡REF!+#¡REF!)&gt;0;(AJ269+AK269)&gt;0);"SI";"NO")</t>
  </si>
  <si>
    <t xml:space="preserve">#=+SI(O((#¡REF!+#¡REF!)&gt;0;(#¡REF!+#¡REF!)&gt;0;(AJ270+AK270)&gt;0);"SI";"NO")</t>
  </si>
  <si>
    <t xml:space="preserve">#=+SI(O((#¡REF!+#¡REF!)&gt;0;(#¡REF!+#¡REF!)&gt;0;(AJ271+AK271)&gt;0);"SI";"NO")</t>
  </si>
  <si>
    <t xml:space="preserve">#=+SI(O((#¡REF!+#¡REF!)&gt;0;(#¡REF!+#¡REF!)&gt;0;(AJ272+AK272)&gt;0);"SI";"NO")</t>
  </si>
  <si>
    <t xml:space="preserve">#=+SI(O((#¡REF!+#¡REF!)&gt;0;(#¡REF!+#¡REF!)&gt;0;(AJ273+AK273)&gt;0);"SI";"NO")</t>
  </si>
  <si>
    <t xml:space="preserve">#=+SI(O((#¡REF!+#¡REF!)&gt;0;(#¡REF!+#¡REF!)&gt;0;(AJ274+AK274)&gt;0);"SI";"NO")</t>
  </si>
  <si>
    <t xml:space="preserve">#=+SI(O((#¡REF!+#¡REF!)&gt;0;(#¡REF!+#¡REF!)&gt;0;(AJ275+AK275)&gt;0);"SI";"NO")</t>
  </si>
  <si>
    <t xml:space="preserve">#=+SI(O((#¡REF!+#¡REF!)&gt;0;(#¡REF!+#¡REF!)&gt;0;(AJ276+AK276)&gt;0);"SI";"NO")</t>
  </si>
  <si>
    <t xml:space="preserve">#=+SI(O((#¡REF!+#¡REF!)&gt;0;(#¡REF!+#¡REF!)&gt;0;(AJ277+AK277)&gt;0);"SI";"NO")</t>
  </si>
  <si>
    <t xml:space="preserve">#=+SI(O((#¡REF!+#¡REF!)&gt;0;(#¡REF!+#¡REF!)&gt;0;(AJ278+AK278)&gt;0);"SI";"NO")</t>
  </si>
  <si>
    <t xml:space="preserve">#=+SI(O((#¡REF!+#¡REF!)&gt;0;(#¡REF!+#¡REF!)&gt;0;(AJ279+AK279)&gt;0);"SI";"NO")</t>
  </si>
  <si>
    <t xml:space="preserve">#=+SI(O((#¡REF!+#¡REF!)&gt;0;(#¡REF!+#¡REF!)&gt;0;(AJ280+AK280)&gt;0);"SI";"NO")</t>
  </si>
  <si>
    <t xml:space="preserve">#=+SI(O((#¡REF!+#¡REF!)&gt;0;(#¡REF!+#¡REF!)&gt;0;(AJ281+AK281)&gt;0);"SI";"NO")</t>
  </si>
  <si>
    <t xml:space="preserve">#=+SI(O((#¡REF!+#¡REF!)&gt;0;(#¡REF!+#¡REF!)&gt;0;(AJ282+AK282)&gt;0);"SI";"NO")</t>
  </si>
  <si>
    <t xml:space="preserve">#=+SI(O((#¡REF!+#¡REF!)&gt;0;(#¡REF!+#¡REF!)&gt;0;(AJ283+AK283)&gt;0);"SI";"NO")</t>
  </si>
  <si>
    <t xml:space="preserve">#=+SI(O((#¡REF!+#¡REF!)&gt;0;(#¡REF!+#¡REF!)&gt;0;(AJ284+AK284)&gt;0);"SI";"NO")</t>
  </si>
  <si>
    <t xml:space="preserve">#=+SI(O((#¡REF!+#¡REF!)&gt;0;(#¡REF!+#¡REF!)&gt;0;(AJ285+AK285)&gt;0);"SI";"NO")</t>
  </si>
  <si>
    <t xml:space="preserve">#=+SI(O((#¡REF!+#¡REF!)&gt;0;(#¡REF!+#¡REF!)&gt;0;(AJ286+AK286)&gt;0);"SI";"NO")</t>
  </si>
  <si>
    <t xml:space="preserve">#=+SI(O((#¡REF!+#¡REF!)&gt;0;(#¡REF!+#¡REF!)&gt;0;(AJ287+AK287)&gt;0);"SI";"NO")</t>
  </si>
  <si>
    <t xml:space="preserve">#=+SI(O((#¡REF!+#¡REF!)&gt;0;(#¡REF!+#¡REF!)&gt;0;(AJ288+AK288)&gt;0);"SI";"NO")</t>
  </si>
  <si>
    <t xml:space="preserve">#=+SI(O((#¡REF!+#¡REF!)&gt;0;(#¡REF!+#¡REF!)&gt;0;(AJ289+AK289)&gt;0);"SI";"NO")</t>
  </si>
  <si>
    <t xml:space="preserve">#=+SI(O((#¡REF!+#¡REF!)&gt;0;(#¡REF!+#¡REF!)&gt;0;(AJ290+AK290)&gt;0);"SI";"NO")</t>
  </si>
  <si>
    <t xml:space="preserve">#=+SI(O((#¡REF!+#¡REF!)&gt;0;(#¡REF!+#¡REF!)&gt;0;(AJ291+AK291)&gt;0);"SI";"NO")</t>
  </si>
  <si>
    <t xml:space="preserve">#=+SI(O((#¡REF!+#¡REF!)&gt;0;(#¡REF!+#¡REF!)&gt;0;(AJ292+AK292)&gt;0);"SI";"NO")</t>
  </si>
  <si>
    <t xml:space="preserve">#=+SI(O((#¡REF!+#¡REF!)&gt;0;(#¡REF!+#¡REF!)&gt;0;(AJ293+AK293)&gt;0);"SI";"NO")</t>
  </si>
  <si>
    <t xml:space="preserve">#=+SI(O((#¡REF!+#¡REF!)&gt;0;(#¡REF!+#¡REF!)&gt;0;(AJ294+AK294)&gt;0);"SI";"NO")</t>
  </si>
  <si>
    <t xml:space="preserve">#=+SI(O((#¡REF!+#¡REF!)&gt;0;(#¡REF!+#¡REF!)&gt;0;(AJ295+AK295)&gt;0);"SI";"NO")</t>
  </si>
  <si>
    <t xml:space="preserve">#=+SI(O((#¡REF!+#¡REF!)&gt;0;(#¡REF!+#¡REF!)&gt;0;(AJ296+AK296)&gt;0);"SI";"NO")</t>
  </si>
  <si>
    <t xml:space="preserve">#=+SI(O((#¡REF!+#¡REF!)&gt;0;(#¡REF!+#¡REF!)&gt;0;(AJ297+AK297)&gt;0);"SI";"NO")</t>
  </si>
  <si>
    <t xml:space="preserve">#=+SI(O((#¡REF!+#¡REF!)&gt;0;(#¡REF!+#¡REF!)&gt;0;(AJ298+AK298)&gt;0);"SI";"NO")</t>
  </si>
  <si>
    <t xml:space="preserve">#=+SI(O((#¡REF!+#¡REF!)&gt;0;(#¡REF!+#¡REF!)&gt;0;(AJ299+AK299)&gt;0);"SI";"NO")</t>
  </si>
  <si>
    <t xml:space="preserve">#=+SI(O((#¡REF!+#¡REF!)&gt;0;(#¡REF!+#¡REF!)&gt;0;(AJ300+AK300)&gt;0);"SI";"NO")</t>
  </si>
  <si>
    <t xml:space="preserve">#=+SI(O((#¡REF!+#¡REF!)&gt;0;(#¡REF!+#¡REF!)&gt;0;(AJ301+AK301)&gt;0);"SI";"NO")</t>
  </si>
  <si>
    <t xml:space="preserve">#=+SI(O((#¡REF!+#¡REF!)&gt;0;(#¡REF!+#¡REF!)&gt;0;(AJ302+AK302)&gt;0);"SI";"NO")</t>
  </si>
  <si>
    <t xml:space="preserve">#=+SI(O((#¡REF!+#¡REF!)&gt;0;(#¡REF!+#¡REF!)&gt;0;(AJ303+AK303)&gt;0);"SI";"NO")</t>
  </si>
  <si>
    <t xml:space="preserve">#=+SI(O((#¡REF!+#¡REF!)&gt;0;(#¡REF!+#¡REF!)&gt;0;(AJ304+AK304)&gt;0);"SI";"NO")</t>
  </si>
  <si>
    <t xml:space="preserve">#=+SI(O((#¡REF!+#¡REF!)&gt;0;(#¡REF!+#¡REF!)&gt;0;(AJ305+AK305)&gt;0);"SI";"NO")</t>
  </si>
  <si>
    <t xml:space="preserve">#=+SI(O((#¡REF!+#¡REF!)&gt;0;(#¡REF!+#¡REF!)&gt;0;(AJ306+AK306)&gt;0);"SI";"NO")</t>
  </si>
  <si>
    <t xml:space="preserve">#=+SI(O((#¡REF!+#¡REF!)&gt;0;(#¡REF!+#¡REF!)&gt;0;(AJ307+AK307)&gt;0);"SI";"NO")</t>
  </si>
  <si>
    <t xml:space="preserve">#=+SI(O((#¡REF!+#¡REF!)&gt;0;(#¡REF!+#¡REF!)&gt;0;(AJ308+AK308)&gt;0);"SI";"NO")</t>
  </si>
  <si>
    <t xml:space="preserve">#=+SI(O((#¡REF!+#¡REF!)&gt;0;(#¡REF!+#¡REF!)&gt;0;(AJ309+AK309)&gt;0);"SI";"NO")</t>
  </si>
  <si>
    <t xml:space="preserve">#=+SI(O((#¡REF!+#¡REF!)&gt;0;(#¡REF!+#¡REF!)&gt;0;(AJ310+AK310)&gt;0);"SI";"NO")</t>
  </si>
  <si>
    <t xml:space="preserve">#=+SI(O((#¡REF!+#¡REF!)&gt;0;(#¡REF!+#¡REF!)&gt;0;(AJ311+AK311)&gt;0);"SI";"NO")</t>
  </si>
  <si>
    <t xml:space="preserve">#=+SI(O((#¡REF!+#¡REF!)&gt;0;(#¡REF!+#¡REF!)&gt;0;(AJ312+AK312)&gt;0);"SI";"NO")</t>
  </si>
  <si>
    <t xml:space="preserve">#=+SI(O((#¡REF!+#¡REF!)&gt;0;(#¡REF!+#¡REF!)&gt;0;(AJ313+AK313)&gt;0);"SI";"NO")</t>
  </si>
  <si>
    <t xml:space="preserve">#=+SI(O((#¡REF!+#¡REF!)&gt;0;(#¡REF!+#¡REF!)&gt;0;(AJ314+AK314)&gt;0);"SI";"NO")</t>
  </si>
  <si>
    <t xml:space="preserve">#=+SI(O((#¡REF!+#¡REF!)&gt;0;(#¡REF!+#¡REF!)&gt;0;(AJ315+AK315)&gt;0);"SI";"NO")</t>
  </si>
  <si>
    <t xml:space="preserve">#=+SI(O((#¡REF!+#¡REF!)&gt;0;(#¡REF!+#¡REF!)&gt;0;(AJ316+AK316)&gt;0);"SI";"NO")</t>
  </si>
  <si>
    <t xml:space="preserve">#=+SI(O((#¡REF!+#¡REF!)&gt;0;(#¡REF!+#¡REF!)&gt;0;(AJ317+AK317)&gt;0);"SI";"NO")</t>
  </si>
  <si>
    <t xml:space="preserve">ORDEN X SUP</t>
  </si>
  <si>
    <t xml:space="preserve">COD. PRO</t>
  </si>
  <si>
    <t xml:space="preserve">NOMBRE CULTIVO</t>
  </si>
  <si>
    <t xml:space="preserve">Totales</t>
  </si>
  <si>
    <t xml:space="preserve">SUP. SECANO ECO</t>
  </si>
  <si>
    <t xml:space="preserve">SUP. REGADIO ECO</t>
  </si>
  <si>
    <t xml:space="preserve">SUP. SECANO NO ECO</t>
  </si>
  <si>
    <t xml:space="preserve">SUP. REGADIO NO ECO</t>
  </si>
  <si>
    <t xml:space="preserve">Cultivo principal, cultivo secundario y cultivos agregados</t>
  </si>
  <si>
    <t xml:space="preserve">Resumen de cultivos totales, listando de C1, C2 y superficies agregadas. </t>
  </si>
  <si>
    <t xml:space="preserve">sup. Agregadas</t>
  </si>
  <si>
    <t xml:space="preserve">L</t>
  </si>
  <si>
    <t xml:space="preserve">DATOS        EXPLOTACIONES GANADERAS</t>
  </si>
  <si>
    <t xml:space="preserve">GANADO</t>
  </si>
  <si>
    <t xml:space="preserve">Ganaderia extensiva.</t>
  </si>
  <si>
    <t xml:space="preserve">Ganaderia intensiva. </t>
  </si>
  <si>
    <t xml:space="preserve">UGM</t>
  </si>
  <si>
    <t xml:space="preserve">Renta referencia 2025</t>
  </si>
  <si>
    <t xml:space="preserve">UTAS</t>
  </si>
  <si>
    <t xml:space="preserve">TOTALES     NO ECO</t>
  </si>
  <si>
    <t xml:space="preserve">TOTALES  ECO</t>
  </si>
  <si>
    <t xml:space="preserve">MN</t>
  </si>
  <si>
    <t xml:space="preserve">P.E.</t>
  </si>
  <si>
    <t xml:space="preserve">UTA</t>
  </si>
  <si>
    <t xml:space="preserve">Nª Uds      NO ECOLOGICO
(med)</t>
  </si>
  <si>
    <t xml:space="preserve">Nª Uds      ECOLOGICO
(med)2</t>
  </si>
  <si>
    <t xml:space="preserve">Total</t>
  </si>
  <si>
    <t xml:space="preserve"> TIPO GANADO</t>
  </si>
  <si>
    <t xml:space="preserve">Clasificación zootecnica.</t>
  </si>
  <si>
    <t xml:space="preserve">Especie</t>
  </si>
  <si>
    <t xml:space="preserve">SECTOR</t>
  </si>
  <si>
    <t xml:space="preserve">CODIGO</t>
  </si>
  <si>
    <t xml:space="preserve">PROD. ESTAND.</t>
  </si>
  <si>
    <t xml:space="preserve">UD</t>
  </si>
  <si>
    <t xml:space="preserve">PROD. ESTANDAR</t>
  </si>
  <si>
    <t xml:space="preserve">GANADERIA            EXTENSIVA</t>
  </si>
  <si>
    <t xml:space="preserve">GANADERIA            INTENSIVA</t>
  </si>
  <si>
    <t xml:space="preserve">ABEJAS</t>
  </si>
  <si>
    <t xml:space="preserve">Todas</t>
  </si>
  <si>
    <t xml:space="preserve">Abejas</t>
  </si>
  <si>
    <t xml:space="preserve">colmena</t>
  </si>
  <si>
    <t xml:space="preserve">ABEJAS INTEGRADO</t>
  </si>
  <si>
    <t xml:space="preserve">CARACOL DE CEBO</t>
  </si>
  <si>
    <t xml:space="preserve">Caracol</t>
  </si>
  <si>
    <t xml:space="preserve">kg</t>
  </si>
  <si>
    <t xml:space="preserve">CONEJO CARNE</t>
  </si>
  <si>
    <t xml:space="preserve">Producción de gazapos para carne  </t>
  </si>
  <si>
    <t xml:space="preserve">Conejo</t>
  </si>
  <si>
    <t xml:space="preserve">plaza</t>
  </si>
  <si>
    <t xml:space="preserve">CONEJO CARNE INTEGRADO</t>
  </si>
  <si>
    <t xml:space="preserve">ÉQUIDOS CEBO</t>
  </si>
  <si>
    <t xml:space="preserve">Cebo o cebadero</t>
  </si>
  <si>
    <t xml:space="preserve">Équidos</t>
  </si>
  <si>
    <t xml:space="preserve">cabeza</t>
  </si>
  <si>
    <t xml:space="preserve">ÉQUIDOS &gt; 6 MESES (YEGUAS PARA VIDA)</t>
  </si>
  <si>
    <t xml:space="preserve">Reproducción para producción de carne</t>
  </si>
  <si>
    <t xml:space="preserve">POLLITAS RECRÍA</t>
  </si>
  <si>
    <t xml:space="preserve">Granjas de cría para carne (aves de cría)</t>
  </si>
  <si>
    <t xml:space="preserve">Gallinas</t>
  </si>
  <si>
    <t xml:space="preserve">Granjas de cría para carne (aves de explotación)</t>
  </si>
  <si>
    <t xml:space="preserve">Granjas de cría para huevos (aves de cría)</t>
  </si>
  <si>
    <t xml:space="preserve">Granjas de cría para huevos (aves de explotación)</t>
  </si>
  <si>
    <t xml:space="preserve">POLLITAS RECRÍA INTEGRADAS</t>
  </si>
  <si>
    <t xml:space="preserve">GALLINA PONEDORA CONVENCIONAL</t>
  </si>
  <si>
    <t xml:space="preserve">Granjas de producción para huevos (en jaula)</t>
  </si>
  <si>
    <t xml:space="preserve">Granjas de producción para huevos (en suelo)</t>
  </si>
  <si>
    <t xml:space="preserve">GALLINA PONEDORA CONVENCIONAL INTEGRADO</t>
  </si>
  <si>
    <t xml:space="preserve">GALLINA PONEDORA CAMPERA</t>
  </si>
  <si>
    <t xml:space="preserve">Granjas de producción para huevos (campera)</t>
  </si>
  <si>
    <t xml:space="preserve">GALLINA PONEDORA CAMPERA INTEGRADA</t>
  </si>
  <si>
    <t xml:space="preserve">GALLINA PONEDORA ECOLÓGICA</t>
  </si>
  <si>
    <t xml:space="preserve">Granjas de producción para huevos (ecológica)</t>
  </si>
  <si>
    <t xml:space="preserve">GALLINA PONEDORA ECOLÓGICA INTEGRADA</t>
  </si>
  <si>
    <t xml:space="preserve">GALLINA MULTIPLICACIÓN PARA CARNE INTEGRADO</t>
  </si>
  <si>
    <t xml:space="preserve">Granjas de multiplicación para carne</t>
  </si>
  <si>
    <t xml:space="preserve">Granjas de multiplicación para huevos</t>
  </si>
  <si>
    <t xml:space="preserve">GALLINA SELECCIÓN PARA CARNE INTEGRADO</t>
  </si>
  <si>
    <t xml:space="preserve">Granjas de selección para carne</t>
  </si>
  <si>
    <t xml:space="preserve">Granjas de selección para huevos</t>
  </si>
  <si>
    <t xml:space="preserve">POLLOS BROILER</t>
  </si>
  <si>
    <t xml:space="preserve">Granjas de producción para carne</t>
  </si>
  <si>
    <t xml:space="preserve">POLLOS BROILER INTEGRADOS</t>
  </si>
  <si>
    <t xml:space="preserve">PAVOS</t>
  </si>
  <si>
    <t xml:space="preserve">Pavos</t>
  </si>
  <si>
    <t xml:space="preserve">PAVOS INTEGRADOS</t>
  </si>
  <si>
    <t xml:space="preserve">OTRAS AVES: OCAS,PATOS,... </t>
  </si>
  <si>
    <t xml:space="preserve">Ocas con clasificacion zootecnica diferente a "granjas de multiplicacion para carne", patos, pintadas, palomas, faisanes, ratites y cisnes -Todas las clasificaciones zootécnicas</t>
  </si>
  <si>
    <t xml:space="preserve">OCAS MULTIPLICACIÓN PARA CARNE</t>
  </si>
  <si>
    <t xml:space="preserve">Oca</t>
  </si>
  <si>
    <t xml:space="preserve">CODORNIZ</t>
  </si>
  <si>
    <t xml:space="preserve">Codorniz</t>
  </si>
  <si>
    <t xml:space="preserve">CODORNIZ INTEGRADO</t>
  </si>
  <si>
    <t xml:space="preserve">PERDIZ</t>
  </si>
  <si>
    <t xml:space="preserve">Perdiz</t>
  </si>
  <si>
    <t xml:space="preserve">OVINO CARNE</t>
  </si>
  <si>
    <t xml:space="preserve">Ovino</t>
  </si>
  <si>
    <t xml:space="preserve">OVINO LECHE</t>
  </si>
  <si>
    <t xml:space="preserve">Reproducción para producción de leche</t>
  </si>
  <si>
    <t xml:space="preserve">OVINO MIXTA</t>
  </si>
  <si>
    <t xml:space="preserve">Reproducción para producción mixta</t>
  </si>
  <si>
    <t xml:space="preserve">CAPRINO CARNE</t>
  </si>
  <si>
    <t xml:space="preserve">Caprino</t>
  </si>
  <si>
    <t xml:space="preserve">CAPRINO LECHE</t>
  </si>
  <si>
    <t xml:space="preserve">CAPRINO MIXTA</t>
  </si>
  <si>
    <t xml:space="preserve">TERNEROS MAMONES INTEGRADOS (PLAZA)</t>
  </si>
  <si>
    <t xml:space="preserve">Sin clasificación. Estará como cebo abierto o cerrado</t>
  </si>
  <si>
    <t xml:space="preserve">TERNERO CEBO CARNE</t>
  </si>
  <si>
    <t xml:space="preserve">Cebadero de ciclo abierto</t>
  </si>
  <si>
    <t xml:space="preserve">Bovino</t>
  </si>
  <si>
    <t xml:space="preserve">Cebadero de ciclo cerrado</t>
  </si>
  <si>
    <t xml:space="preserve">TERNERO CEBO INTEGRACION</t>
  </si>
  <si>
    <t xml:space="preserve">RECRÍA NOVILLAS</t>
  </si>
  <si>
    <t xml:space="preserve">Recría de novillas</t>
  </si>
  <si>
    <t xml:space="preserve">VACA NODRIZA CARNE</t>
  </si>
  <si>
    <t xml:space="preserve">VACA NODRIZA CARNE INTEGRADO </t>
  </si>
  <si>
    <t xml:space="preserve">VACA LECHE</t>
  </si>
  <si>
    <t xml:space="preserve">VACA NODRIZA MIXTA</t>
  </si>
  <si>
    <t xml:space="preserve">VACA NODRIZA MIXTA INTEGRADO </t>
  </si>
  <si>
    <t xml:space="preserve">CERDO TRANSICIÓN DE LECHONES</t>
  </si>
  <si>
    <t xml:space="preserve">Transición de lechones</t>
  </si>
  <si>
    <t xml:space="preserve">Cerdos</t>
  </si>
  <si>
    <t xml:space="preserve">CERDO TRANSICION DE LECHONES INTEGRADO</t>
  </si>
  <si>
    <t xml:space="preserve">CERDO TRANSICIÓN DE REPRODUCTORAS NULÍPARAS INTEGRADO</t>
  </si>
  <si>
    <t xml:space="preserve">Transición de reproductoras primíparas</t>
  </si>
  <si>
    <t xml:space="preserve">CERDO RECRÍA DE REPRODUCTORES</t>
  </si>
  <si>
    <t xml:space="preserve">Recría de reproductores</t>
  </si>
  <si>
    <t xml:space="preserve">CERDO RECRÍA DE REPRODUCTORES INTEGRADO</t>
  </si>
  <si>
    <t xml:space="preserve">CERDO CEBO</t>
  </si>
  <si>
    <t xml:space="preserve">Cebo destete/acabado</t>
  </si>
  <si>
    <t xml:space="preserve">CERDO CEBO INTEGRADO</t>
  </si>
  <si>
    <t xml:space="preserve">CERDO MADRES</t>
  </si>
  <si>
    <t xml:space="preserve">Producción de ciclo cerrado</t>
  </si>
  <si>
    <t xml:space="preserve">Producción de lechones</t>
  </si>
  <si>
    <t xml:space="preserve">Producción mixto</t>
  </si>
  <si>
    <t xml:space="preserve">Producción de ciclo abierto</t>
  </si>
  <si>
    <t xml:space="preserve">CERDO MADRES INTEGRADO</t>
  </si>
  <si>
    <t xml:space="preserve">CERDO SELECCIÓN</t>
  </si>
  <si>
    <t xml:space="preserve">Selección</t>
  </si>
  <si>
    <t xml:space="preserve">CERDO SELECCIÓN INTEGRADO</t>
  </si>
  <si>
    <t xml:space="preserve">ESTUDIO TÉCNICO-ECONOMICO 
EXPLOTACION AGRARIA PRIORITARIA</t>
  </si>
  <si>
    <t xml:space="preserve">RESULTADOS ECONÓMICOS Per Fisicas, ComBien y TitComp</t>
  </si>
  <si>
    <t xml:space="preserve">EXPEDIENTE:</t>
  </si>
  <si>
    <t xml:space="preserve">TITULAR:</t>
  </si>
  <si>
    <t xml:space="preserve"> Nombre y Apellidos.</t>
  </si>
  <si>
    <t xml:space="preserve">AÑO ESTUDIO</t>
  </si>
  <si>
    <t xml:space="preserve">RESULTADOS ECONOMICOS CALCULADOS 
TOTALES DE LA EXPLOTACION</t>
  </si>
  <si>
    <t xml:space="preserve">RENTA REFERENCIA</t>
  </si>
  <si>
    <t xml:space="preserve">MARGEN NETO (MN)</t>
  </si>
  <si>
    <t xml:space="preserve">120% RR</t>
  </si>
  <si>
    <t xml:space="preserve">PRODUCCIÓN ESTÁNDAR (PE)</t>
  </si>
  <si>
    <t xml:space="preserve">35% RR</t>
  </si>
  <si>
    <t xml:space="preserve">MARGEN NETO + COMODÍN</t>
  </si>
  <si>
    <r>
      <rPr>
        <b val="true"/>
        <sz val="10"/>
        <rFont val="Arial"/>
        <family val="2"/>
        <charset val="1"/>
      </rPr>
      <t xml:space="preserve">15% RR </t>
    </r>
    <r>
      <rPr>
        <b val="true"/>
        <i val="true"/>
        <sz val="8"/>
        <rFont val="Arial"/>
        <family val="2"/>
        <charset val="1"/>
      </rPr>
      <t xml:space="preserve">(sólo ZM)</t>
    </r>
  </si>
  <si>
    <t xml:space="preserve">nº UTAs explotación (calculadas)</t>
  </si>
  <si>
    <t xml:space="preserve">VALORES 
MBE</t>
  </si>
  <si>
    <t xml:space="preserve">1 UDE</t>
  </si>
  <si>
    <t xml:space="preserve">ZdM: Si el MargenNeto &gt; de 35 % (RentRefer-comd) se asigna 1 UTA</t>
  </si>
  <si>
    <t xml:space="preserve">1 Ha. tipo</t>
  </si>
  <si>
    <t xml:space="preserve">  ZM: Si el MargNeto &gt; de 15 % (RentRefer-comd) se asigna 1 UTA</t>
  </si>
  <si>
    <t xml:space="preserve">PROVINCIA</t>
  </si>
  <si>
    <t xml:space="preserve">LOCALIDAD</t>
  </si>
  <si>
    <t xml:space="preserve">ZARAGOZA</t>
  </si>
  <si>
    <t xml:space="preserve">AGON</t>
  </si>
  <si>
    <t xml:space="preserve">ESTADO UTAs</t>
  </si>
  <si>
    <t xml:space="preserve">!=SI($B$25="HUESCA";O_LISTA_MUN_ZM_ZLE_2019!F2:F167;SI(B25="TERUEL";O_LISTA_MUN_ZM_ZLE_2019!F168:F403;SI(B25="ZARAGOZA";O_LISTA_MUN_ZM_ZLE_2019!F404:F675;"seleccionar")))</t>
  </si>
  <si>
    <t xml:space="preserve">ZONA DE MONTAÑA</t>
  </si>
  <si>
    <t xml:space="preserve">Unidad Dimensión Económica</t>
  </si>
  <si>
    <t xml:space="preserve">UDE = </t>
  </si>
  <si>
    <t xml:space="preserve">MB TOTAL</t>
  </si>
  <si>
    <t xml:space="preserve">=</t>
  </si>
  <si>
    <t xml:space="preserve">MARGEN NETO </t>
  </si>
  <si>
    <t xml:space="preserve">CALCULADO</t>
  </si>
  <si>
    <t xml:space="preserve">valor UDE</t>
  </si>
  <si>
    <t xml:space="preserve">menos 25%</t>
  </si>
  <si>
    <t xml:space="preserve">-10% sobre -25%</t>
  </si>
  <si>
    <t xml:space="preserve">Superficie Tipo</t>
  </si>
  <si>
    <t xml:space="preserve">más 25%</t>
  </si>
  <si>
    <t xml:space="preserve">Ha Tipo = </t>
  </si>
  <si>
    <t xml:space="preserve">CON COMODÍN</t>
  </si>
  <si>
    <t xml:space="preserve">valor 1 Ha. Tipo</t>
  </si>
  <si>
    <t xml:space="preserve">Seleccionar comodín</t>
  </si>
  <si>
    <t xml:space="preserve">nº UTAs explotación (Manual)</t>
  </si>
  <si>
    <t xml:space="preserve">Renta Unitaria de Trabajo</t>
  </si>
  <si>
    <t xml:space="preserve">calculadas</t>
  </si>
  <si>
    <t xml:space="preserve">manual</t>
  </si>
  <si>
    <r>
      <rPr>
        <b val="true"/>
        <sz val="12"/>
        <rFont val="Arial"/>
        <family val="2"/>
        <charset val="1"/>
      </rPr>
      <t xml:space="preserve">RUT </t>
    </r>
    <r>
      <rPr>
        <b val="true"/>
        <sz val="8"/>
        <rFont val="Arial"/>
        <family val="2"/>
        <charset val="1"/>
      </rPr>
      <t xml:space="preserve">normal</t>
    </r>
    <r>
      <rPr>
        <b val="true"/>
        <sz val="12"/>
        <rFont val="Arial"/>
        <family val="2"/>
        <charset val="1"/>
      </rPr>
      <t xml:space="preserve"> = </t>
    </r>
  </si>
  <si>
    <r>
      <rPr>
        <b val="true"/>
        <sz val="10"/>
        <rFont val="Arial"/>
        <family val="2"/>
        <charset val="1"/>
      </rPr>
      <t xml:space="preserve">MN </t>
    </r>
    <r>
      <rPr>
        <b val="true"/>
        <sz val="8"/>
        <rFont val="Arial"/>
        <family val="2"/>
        <charset val="1"/>
      </rPr>
      <t xml:space="preserve">calculado</t>
    </r>
  </si>
  <si>
    <t xml:space="preserve">nº UTA</t>
  </si>
  <si>
    <r>
      <rPr>
        <b val="true"/>
        <sz val="12"/>
        <rFont val="Arial"/>
        <family val="2"/>
        <charset val="1"/>
      </rPr>
      <t xml:space="preserve">RUT </t>
    </r>
    <r>
      <rPr>
        <b val="true"/>
        <sz val="8"/>
        <rFont val="Arial"/>
        <family val="2"/>
        <charset val="1"/>
      </rPr>
      <t xml:space="preserve">comodín</t>
    </r>
    <r>
      <rPr>
        <b val="true"/>
        <sz val="12"/>
        <rFont val="Arial"/>
        <family val="2"/>
        <charset val="1"/>
      </rPr>
      <t xml:space="preserve"> = </t>
    </r>
  </si>
  <si>
    <r>
      <rPr>
        <b val="true"/>
        <sz val="10"/>
        <rFont val="Arial"/>
        <family val="2"/>
        <charset val="1"/>
      </rPr>
      <t xml:space="preserve">MN </t>
    </r>
    <r>
      <rPr>
        <b val="true"/>
        <sz val="8"/>
        <rFont val="Arial"/>
        <family val="2"/>
        <charset val="1"/>
      </rPr>
      <t xml:space="preserve">comodín</t>
    </r>
  </si>
  <si>
    <t xml:space="preserve">ORIENTACION PRODUCTIVA</t>
  </si>
  <si>
    <t xml:space="preserve">611-Horticultura y combinaciones de cultivos permanentes</t>
  </si>
  <si>
    <t xml:space="preserve">AYUDA ADMISIBLE</t>
  </si>
  <si>
    <t xml:space="preserve"> EAP</t>
  </si>
  <si>
    <t xml:space="preserve">IMPORTE AYUDA</t>
  </si>
  <si>
    <t xml:space="preserve">Documentación aportada</t>
  </si>
  <si>
    <t xml:space="preserve">¿Cumple requisitos?</t>
  </si>
  <si>
    <t xml:space="preserve">Escritura</t>
  </si>
  <si>
    <t xml:space="preserve">Solicita en escritura la exención del impuesto</t>
  </si>
  <si>
    <t xml:space="preserve">Cédulas catastrales</t>
  </si>
  <si>
    <t xml:space="preserve">Cumple con el IRPF</t>
  </si>
  <si>
    <t xml:space="preserve">Declaración PAC</t>
  </si>
  <si>
    <t xml:space="preserve">Cumple con tiempo trabajo</t>
  </si>
  <si>
    <t xml:space="preserve">Libro explotación ganadera</t>
  </si>
  <si>
    <t xml:space="preserve">Afiliado a la Seguridad Social Agricultura</t>
  </si>
  <si>
    <t xml:space="preserve">Declaración IRPF</t>
  </si>
  <si>
    <t xml:space="preserve">Posee capacitacion</t>
  </si>
  <si>
    <t xml:space="preserve">Informe Vida Laboral</t>
  </si>
  <si>
    <t xml:space="preserve">Cumple con el empadronamiento</t>
  </si>
  <si>
    <t xml:space="preserve">Gastos de explotacion joven</t>
  </si>
  <si>
    <t xml:space="preserve">Producción estandar agric + ganad</t>
  </si>
  <si>
    <t xml:space="preserve">Subvencion por PrEst &gt; 35%</t>
  </si>
  <si>
    <t xml:space="preserve">Producción estandar ajustada</t>
  </si>
  <si>
    <t xml:space="preserve">Subv por gastos explotación joven</t>
  </si>
  <si>
    <t xml:space="preserve">  (Tener encuenta que NO considera los importes de inversión). </t>
  </si>
  <si>
    <t xml:space="preserve">151-Exp. especializadas en cereal (distinta de la de arroz), cultivo plantas oleaginosas y proteaginosas </t>
  </si>
  <si>
    <t xml:space="preserve">Código OTE</t>
  </si>
  <si>
    <t xml:space="preserve">El Funcionario</t>
  </si>
  <si>
    <t xml:space="preserve">INTENSIVO</t>
  </si>
  <si>
    <t xml:space="preserve">FORESTAL</t>
  </si>
  <si>
    <t xml:space="preserve">Fdo.:</t>
  </si>
  <si>
    <t xml:space="preserve">RUT</t>
  </si>
  <si>
    <t xml:space="preserve">UTAS agricolas + ganaderas</t>
  </si>
  <si>
    <t xml:space="preserve">margen neto mas comodin</t>
  </si>
  <si>
    <t xml:space="preserve">cond 1 y 2</t>
  </si>
  <si>
    <t xml:space="preserve">Seleccionar</t>
  </si>
  <si>
    <t xml:space="preserve">cond 3</t>
  </si>
  <si>
    <t xml:space="preserve">cond 4</t>
  </si>
  <si>
    <t xml:space="preserve">cond 5</t>
  </si>
  <si>
    <t xml:space="preserve">NO PROCEDE</t>
  </si>
  <si>
    <t xml:space="preserve">cond 6</t>
  </si>
  <si>
    <t xml:space="preserve">CÓDIGOS OTE</t>
  </si>
  <si>
    <t xml:space="preserve">(Seleccionar Orientación Técnica Económica)</t>
  </si>
  <si>
    <t xml:space="preserve">1 Explotaciones especializadas en grandes cultivos</t>
  </si>
  <si>
    <t xml:space="preserve">Explotación especializadas en cerealicultura y en cultivos de semillas oleaginosas y proteaginosas </t>
  </si>
  <si>
    <t xml:space="preserve">Exp. especializadas en cereal (distinta de la de arroz), cultivo plantas oleaginosas y proteaginosas </t>
  </si>
  <si>
    <t xml:space="preserve">Explotaciones especializadas en arroz </t>
  </si>
  <si>
    <t xml:space="preserve">Explotaciones que combinen cereales, arroz, semillas oleaginosas y proteaginosas </t>
  </si>
  <si>
    <t xml:space="preserve">Explotaciones con grandes cultivos</t>
  </si>
  <si>
    <t xml:space="preserve">Explotaciones especializadas en el cultivo de raíces y tubérculos </t>
  </si>
  <si>
    <t xml:space="preserve">Explotaciones que combinen cereales, semillas oleaginosas y proteaginosas y raíces y tubérculos </t>
  </si>
  <si>
    <t xml:space="preserve">Explotaciones especializadas en el cultivo de hortalizas producidas al aire libre </t>
  </si>
  <si>
    <t xml:space="preserve">Explotaciones especializadas en el cultivo de tabaco</t>
  </si>
  <si>
    <t xml:space="preserve">Explotaciones especializadas en el cultivo de algodón</t>
  </si>
  <si>
    <t xml:space="preserve">Explotaciones con combinaciones de varios grandes  cultivos </t>
  </si>
  <si>
    <t xml:space="preserve">Explotaciones hortícolas especializadas </t>
  </si>
  <si>
    <t xml:space="preserve">Explotaciones hortícolas especializadas en invernadero </t>
  </si>
  <si>
    <t xml:space="preserve">Explotaciones especializadas en hortalizas en invernadero </t>
  </si>
  <si>
    <t xml:space="preserve">Explotaciones especializadas en floricultura y plantas ornamentales en invernadero </t>
  </si>
  <si>
    <t xml:space="preserve">Explotaciones especialistas en policultivo hortícola en invernadero </t>
  </si>
  <si>
    <t xml:space="preserve">Explotaciones especializadas en horticultura al aire libre </t>
  </si>
  <si>
    <t xml:space="preserve">Explotaciones especializadas en hortalizas al aire libre </t>
  </si>
  <si>
    <t xml:space="preserve">Explotaciones especializadas en floricultura y plantas ornamentales al aire libre </t>
  </si>
  <si>
    <t xml:space="preserve">Explotaciones especializadas en policultivo hortícola al aire libre </t>
  </si>
  <si>
    <t xml:space="preserve">Otros tipos de horticultura</t>
  </si>
  <si>
    <t xml:space="preserve">Explotaciones especializadas en el cultivo de setas </t>
  </si>
  <si>
    <t xml:space="preserve">Explotaciones especializadas en viveros </t>
  </si>
  <si>
    <t xml:space="preserve">Horticultura Diversa</t>
  </si>
  <si>
    <t xml:space="preserve">Explotaciones especializadas en cultivos permanentes </t>
  </si>
  <si>
    <t xml:space="preserve">Explotaciones especializadas en viticultura </t>
  </si>
  <si>
    <t xml:space="preserve">Explotaciones vinícolas especializadas que produzcan vinos de calidad </t>
  </si>
  <si>
    <t xml:space="preserve">Explotaciones vinícolas especializadas que produzcan vinos distintos de los vinos de calidad </t>
  </si>
  <si>
    <t xml:space="preserve">Explotaciones especializadas en la producción de uva de mesa </t>
  </si>
  <si>
    <t xml:space="preserve">Otros viñedos</t>
  </si>
  <si>
    <t xml:space="preserve">Explotaciones frutícolas y de cítricos especializadas </t>
  </si>
  <si>
    <r>
      <rPr>
        <sz val="10"/>
        <rFont val="Arial"/>
        <family val="2"/>
        <charset val="1"/>
      </rPr>
      <t xml:space="preserve">Exp.frutícolas especializadas (</t>
    </r>
    <r>
      <rPr>
        <sz val="10"/>
        <rFont val="Symbol"/>
        <family val="1"/>
        <charset val="2"/>
      </rPr>
      <t xml:space="preserve">¹</t>
    </r>
    <r>
      <rPr>
        <sz val="10"/>
        <rFont val="Arial"/>
        <family val="2"/>
        <charset val="1"/>
      </rPr>
      <t xml:space="preserve"> cítricos, frutas tropicales, subtropicales y frutos de cáscara) </t>
    </r>
  </si>
  <si>
    <t xml:space="preserve">(seleccionar)</t>
  </si>
  <si>
    <t xml:space="preserve">Explotaciones de cítricos especializadas </t>
  </si>
  <si>
    <t xml:space="preserve">HUESCA</t>
  </si>
  <si>
    <t xml:space="preserve">Explotaciones especializadas en la producción de frutos de cáscara </t>
  </si>
  <si>
    <t xml:space="preserve">Explotaciones especializadas en la producción de frutas tropicales y subtropicales </t>
  </si>
  <si>
    <t xml:space="preserve">TERUEL</t>
  </si>
  <si>
    <t xml:space="preserve">Exp.Frutícola Mixta especializada en cítrico, fruta tropical, subtropical y frutos de cáscara</t>
  </si>
  <si>
    <t xml:space="preserve">Explotaciones especializadas en aceitunas </t>
  </si>
  <si>
    <t xml:space="preserve">Explotaciones con varias combinaciones de cultivos permanentes </t>
  </si>
  <si>
    <t xml:space="preserve">Explotaciones herbívoras especializadas</t>
  </si>
  <si>
    <t xml:space="preserve">Explotaciones de bovinos especializadas: orientación leche </t>
  </si>
  <si>
    <t xml:space="preserve">Explotaciones de bovinos especializadas: orientación leche</t>
  </si>
  <si>
    <t xml:space="preserve">Explotaciones de bovinos especializadas: orientación cría y carne </t>
  </si>
  <si>
    <t xml:space="preserve"> Explotaciones de bovinos: leche, cría y carne combinados </t>
  </si>
  <si>
    <t xml:space="preserve">Explotaciones de bovinos: leche, cría y carne combinados </t>
  </si>
  <si>
    <t xml:space="preserve">Explotaciones con ovinos, caprinos y otros herbívoros </t>
  </si>
  <si>
    <t xml:space="preserve">Explotaciones de ovinos especializadas </t>
  </si>
  <si>
    <t xml:space="preserve">Explotaciones con ovinos y bovinos combinados </t>
  </si>
  <si>
    <t xml:space="preserve">Explotaciones de caprinos especializadas</t>
  </si>
  <si>
    <t xml:space="preserve">Explotaciones de herbívoros</t>
  </si>
  <si>
    <t xml:space="preserve">Explotaciones especializadas de producción de granívoros</t>
  </si>
  <si>
    <t xml:space="preserve">Explotaciones de porcinos especializadas </t>
  </si>
  <si>
    <t xml:space="preserve"> Explotaciones de porcinos de cría especializadas</t>
  </si>
  <si>
    <t xml:space="preserve"> Explotaciones de porcinos de engorde especializadas </t>
  </si>
  <si>
    <t xml:space="preserve">Explotaciones que combinen la cría y el engorde de porcinos </t>
  </si>
  <si>
    <t xml:space="preserve">Explotaciones de aves especializadas </t>
  </si>
  <si>
    <t xml:space="preserve">Explotaciones de gallinas ponedoras especializadas </t>
  </si>
  <si>
    <t xml:space="preserve"> Explotaciones de aves de corral de carne especializadas </t>
  </si>
  <si>
    <t xml:space="preserve"> Explotaciones que combinen gallinas ponedoras y aves de corral de carne </t>
  </si>
  <si>
    <t xml:space="preserve">Explotaciones con varias combinaciones de granívoros </t>
  </si>
  <si>
    <t xml:space="preserve">Explotaciones de policultivo </t>
  </si>
  <si>
    <t xml:space="preserve">Explotaciones de policultivo</t>
  </si>
  <si>
    <t xml:space="preserve">Horticultura y combinaciones de cultivos permanentes</t>
  </si>
  <si>
    <t xml:space="preserve">Explotaciones que combinen grandes cultivos y horticultura</t>
  </si>
  <si>
    <t xml:space="preserve">Explotaciones que combinen grandes cultivos y vides</t>
  </si>
  <si>
    <t xml:space="preserve">Explotaciones que combinen grandes cultivos y cultivos permanentes</t>
  </si>
  <si>
    <t xml:space="preserve">Explotaciones de policultivo con orientación grandes cultivos</t>
  </si>
  <si>
    <t xml:space="preserve">Explotaciones de otros policultivos</t>
  </si>
  <si>
    <t xml:space="preserve">Explotaciones de poliganaderia</t>
  </si>
  <si>
    <t xml:space="preserve">Explotaciones de poliganadería con orientación herbívoros </t>
  </si>
  <si>
    <t xml:space="preserve">Explotaciones de poliganadería con orientación lechera</t>
  </si>
  <si>
    <t xml:space="preserve">Explotaciones de poliganadería con orientación herbívoros no lecheros</t>
  </si>
  <si>
    <t xml:space="preserve">Explotaciones de poliganadería con orientación granívoros </t>
  </si>
  <si>
    <t xml:space="preserve">Explotaciones de policultivo: granívoros y bovinos lecheros combinados</t>
  </si>
  <si>
    <t xml:space="preserve">Explotaciones de policultivo: granívoros y herbívoros no lecheros</t>
  </si>
  <si>
    <t xml:space="preserve">Explotaciones mixtas cultivos ganadería</t>
  </si>
  <si>
    <t xml:space="preserve">Explotaciones mixtas grandes cultivos: herbívoros </t>
  </si>
  <si>
    <t xml:space="preserve">Explotaciones mixtas grandes cultivos con bovinos lecheros</t>
  </si>
  <si>
    <t xml:space="preserve">Explotaciones mixtas bovinos lecheros con grandes cultivos </t>
  </si>
  <si>
    <t xml:space="preserve">Explotaciones mixtas grandes cultivos con herbívoros no lecheros</t>
  </si>
  <si>
    <t xml:space="preserve">Explotaciones mixtas herbívoros no lecheros con grandes cultivos</t>
  </si>
  <si>
    <t xml:space="preserve">Explotaciones mixtas con varias combinaciones cultivos ganadería </t>
  </si>
  <si>
    <t xml:space="preserve">Explotaciones mixtas con grandes cultivos y granívoros</t>
  </si>
  <si>
    <t xml:space="preserve">Explotaciones mixtas con cultivos permanentes y herbívoros</t>
  </si>
  <si>
    <t xml:space="preserve">Explotaciones apícolas</t>
  </si>
  <si>
    <t xml:space="preserve">Explotaciones con varios cultivos y ganaderías mixtas</t>
  </si>
  <si>
    <t xml:space="preserve">Explotaciones no clasificadas</t>
  </si>
  <si>
    <t xml:space="preserve">&gt;35%</t>
  </si>
  <si>
    <t xml:space="preserve">gastos explot</t>
  </si>
  <si>
    <t xml:space="preserve">IMPRESIÓN</t>
  </si>
  <si>
    <t xml:space="preserve">ESTUDIO TECNICO-ECONOMICO MODERNIZACION DE EXPLOTACIONES Y JOVENES AGRICULTORES</t>
  </si>
  <si>
    <t xml:space="preserve">FILTRO</t>
  </si>
  <si>
    <t xml:space="preserve">VISIBLE</t>
  </si>
  <si>
    <t xml:space="preserve">RR 2025</t>
  </si>
  <si>
    <t xml:space="preserve">RESULTADOS ECONOMICOS DE LA EXPLOTACIÓN.</t>
  </si>
  <si>
    <t xml:space="preserve">RESUMEN POR SUPERFICIES DE LA EXPLOTACIÓN</t>
  </si>
  <si>
    <t xml:space="preserve">PAC</t>
  </si>
  <si>
    <t xml:space="preserve">Agregado.</t>
  </si>
  <si>
    <t xml:space="preserve">SUPERFICIES Y UGMs</t>
  </si>
  <si>
    <t xml:space="preserve">CULTIVO PRINCIPAL</t>
  </si>
  <si>
    <t xml:space="preserve">Secano-No Eco.</t>
  </si>
  <si>
    <t xml:space="preserve">CULTIVO       PRINCIPAL</t>
  </si>
  <si>
    <t xml:space="preserve">CALCULO DE UTAs,</t>
  </si>
  <si>
    <t xml:space="preserve">Secano-Eco.</t>
  </si>
  <si>
    <t xml:space="preserve">LECIÑENA</t>
  </si>
  <si>
    <t xml:space="preserve">Sup. PAC</t>
  </si>
  <si>
    <t xml:space="preserve">Total Sec.</t>
  </si>
  <si>
    <t xml:space="preserve">SUP. AGREGADA</t>
  </si>
  <si>
    <t xml:space="preserve">GANADERIA</t>
  </si>
  <si>
    <t xml:space="preserve">Regadío-No Eco.</t>
  </si>
  <si>
    <t xml:space="preserve"> Regadio-No Eco.</t>
  </si>
  <si>
    <t xml:space="preserve">Regadío-Eco</t>
  </si>
  <si>
    <t xml:space="preserve"> Regadio-Eco.</t>
  </si>
  <si>
    <t xml:space="preserve">Total Reg.</t>
  </si>
  <si>
    <t xml:space="preserve">OCULTO</t>
  </si>
  <si>
    <t xml:space="preserve">CULTIVO SECUNDARIO</t>
  </si>
  <si>
    <t xml:space="preserve">  Secano-No Eco.</t>
  </si>
  <si>
    <t xml:space="preserve"> Secano-Eco.</t>
  </si>
  <si>
    <t xml:space="preserve">UGMs ECOLOGICO</t>
  </si>
  <si>
    <t xml:space="preserve">UGMs NO ECOLOGICO</t>
  </si>
  <si>
    <t xml:space="preserve">MARGEN NETO TOTAL  (MN)</t>
  </si>
  <si>
    <t xml:space="preserve">UGMs Totales. </t>
  </si>
  <si>
    <t xml:space="preserve">Sup. Total Agricola. </t>
  </si>
  <si>
    <t xml:space="preserve">PROD. EST. (PE) (Cult. Principal + Cult. Secundario + Ganaderia+barbechos)</t>
  </si>
  <si>
    <t xml:space="preserve">Num. UTAs calculadas.</t>
  </si>
  <si>
    <t xml:space="preserve">RUT normal =</t>
  </si>
  <si>
    <t xml:space="preserve">MN total calculado</t>
  </si>
  <si>
    <t xml:space="preserve">nº UTAs</t>
  </si>
  <si>
    <t xml:space="preserve">Num. UTAs calculo RUT. (Minimo 0,5 UTAs)</t>
  </si>
  <si>
    <t xml:space="preserve">DIVERSIFICACIÓN POR SECTORES PRODUCTIVOS</t>
  </si>
  <si>
    <t xml:space="preserve">PAC. Prod. Estándar (€)</t>
  </si>
  <si>
    <t xml:space="preserve">Agregada. Prod. Estándar (€)</t>
  </si>
  <si>
    <t xml:space="preserve">% Sup. </t>
  </si>
  <si>
    <t xml:space="preserve"> Ganadería extensiva</t>
  </si>
  <si>
    <t xml:space="preserve"> Ganadería intensiva</t>
  </si>
  <si>
    <t xml:space="preserve">PROD. EST. (PE) (Cult. Principal + Cult. Secundario + Ganaderia) SIN BARBECHOS</t>
  </si>
  <si>
    <t xml:space="preserve">SUPERFICIES DE LOS CULTIVOS DE LA EXPLOTACION.</t>
  </si>
  <si>
    <t xml:space="preserve"> Invernadero (cubierta accesible)</t>
  </si>
  <si>
    <t xml:space="preserve"> Micorrizado</t>
  </si>
  <si>
    <t xml:space="preserve"> Invernadero (cubierta accesible) + Enarenado</t>
  </si>
  <si>
    <t xml:space="preserve">Explotación especializadas en cerealicultura y en cultivos de semillas oleaginosas y proteaginosas</t>
  </si>
  <si>
    <t xml:space="preserve">Exp. especializadas en cereal (distinta de la de arroz), cultivo plantas oleaginosas y proteaginosas</t>
  </si>
  <si>
    <t xml:space="preserve">Explotaciones especializadas en arroz</t>
  </si>
  <si>
    <t xml:space="preserve">Explotaciones que combinen cereales, arroz, semillas oleaginosas y proteaginosas</t>
  </si>
  <si>
    <t xml:space="preserve">Explotaciones especializadas en el cultivo de raíces y tubérculos</t>
  </si>
  <si>
    <t xml:space="preserve">Explotaciones que combinen cereales, semillas oleaginosas y proteaginosas y raíces y tubérculos</t>
  </si>
  <si>
    <t xml:space="preserve">Explotaciones especializadas en el cultivo de hortalizas producidas al aire libre</t>
  </si>
  <si>
    <t xml:space="preserve">Explotaciones con combinaciones de varios grandes  cultivos</t>
  </si>
  <si>
    <t xml:space="preserve">Explotaciones hortícolas especializadas</t>
  </si>
  <si>
    <t xml:space="preserve">Explotaciones hortícolas especializadas en invernadero</t>
  </si>
  <si>
    <t xml:space="preserve">Explotaciones especializadas en hortalizas en invernadero</t>
  </si>
  <si>
    <t xml:space="preserve">Explotaciones especializadas en floricultura y plantas ornamentales en invernadero</t>
  </si>
  <si>
    <t xml:space="preserve">Explotaciones especialistas en policultivo hortícola en invernadero</t>
  </si>
  <si>
    <t xml:space="preserve">Explotaciones especializadas en horticultura al aire libre</t>
  </si>
  <si>
    <t xml:space="preserve">Explotaciones especializadas en hortalizas al aire libre</t>
  </si>
  <si>
    <t xml:space="preserve">Explotaciones especializadas en floricultura y plantas ornamentales al aire libre</t>
  </si>
  <si>
    <t xml:space="preserve">Explotaciones especializadas en policultivo hortícola al aire libre</t>
  </si>
  <si>
    <t xml:space="preserve">Explotaciones especializadas en el cultivo de setas</t>
  </si>
  <si>
    <t xml:space="preserve">Explotaciones especializadas en viveros</t>
  </si>
  <si>
    <t xml:space="preserve">Explotaciones especializadas en cultivos permanentes</t>
  </si>
  <si>
    <t xml:space="preserve">Explotaciones especializadas en viticultura</t>
  </si>
  <si>
    <t xml:space="preserve">Explotaciones vinícolas especializadas que produzcan vinos de calidad</t>
  </si>
  <si>
    <t xml:space="preserve">Explotaciones vinícolas especializadas que produzcan vinos distintos de los vinos de calidad</t>
  </si>
  <si>
    <t xml:space="preserve">Explotaciones especializadas en la producción de uva de mesa</t>
  </si>
  <si>
    <t xml:space="preserve">Explotaciones frutícolas y de cítricos especializadas</t>
  </si>
  <si>
    <r>
      <rPr>
        <sz val="10"/>
        <color rgb="FF000000"/>
        <rFont val="Arial1"/>
        <family val="0"/>
        <charset val="1"/>
      </rPr>
      <t xml:space="preserve">Exp.frutícolas especializadas (</t>
    </r>
    <r>
      <rPr>
        <sz val="10"/>
        <color rgb="FF000000"/>
        <rFont val="Symbol"/>
        <family val="1"/>
        <charset val="2"/>
      </rPr>
      <t xml:space="preserve">¹</t>
    </r>
    <r>
      <rPr>
        <sz val="10"/>
        <color rgb="FF000000"/>
        <rFont val="Arial1"/>
        <family val="0"/>
        <charset val="1"/>
      </rPr>
      <t xml:space="preserve"> cítricos, frutas tropicales, subtropicales y frutos de cáscara)</t>
    </r>
  </si>
  <si>
    <t xml:space="preserve">Explotaciones de cítricos especializadas</t>
  </si>
  <si>
    <t xml:space="preserve">Explotaciones especializadas en la producción de frutos de cáscara</t>
  </si>
  <si>
    <t xml:space="preserve">Explotaciones especializadas en la producción de frutas tropicales y subtropicales</t>
  </si>
  <si>
    <t xml:space="preserve">Explotaciones especializadas en aceitunas</t>
  </si>
  <si>
    <t xml:space="preserve">Explotaciones con varias combinaciones de cultivos permanentes</t>
  </si>
  <si>
    <t xml:space="preserve">Explotaciones de bovinos especializadas: orientación cría y carne</t>
  </si>
  <si>
    <t xml:space="preserve"> Explotaciones de bovinos: leche, cría y carne combinados</t>
  </si>
  <si>
    <t xml:space="preserve">Explotaciones de bovinos: leche, cría y carne combinados</t>
  </si>
  <si>
    <t xml:space="preserve">Explotaciones con ovinos, caprinos y otros herbívoros</t>
  </si>
  <si>
    <t xml:space="preserve">Explotaciones de ovinos especializadas</t>
  </si>
  <si>
    <t xml:space="preserve">Explotaciones con ovinos y bovinos combinados</t>
  </si>
  <si>
    <t xml:space="preserve">Explotaciones de porcinos especializadas</t>
  </si>
  <si>
    <t xml:space="preserve"> Explotaciones de porcinos de engorde especializadas</t>
  </si>
  <si>
    <t xml:space="preserve">Explotaciones que combinen la cría y el engorde de porcinos</t>
  </si>
  <si>
    <t xml:space="preserve">Explotaciones de aves especializadas</t>
  </si>
  <si>
    <t xml:space="preserve">Explotaciones de gallinas ponedoras especializadas</t>
  </si>
  <si>
    <t xml:space="preserve"> Explotaciones de aves de corral de carne especializadas</t>
  </si>
  <si>
    <t xml:space="preserve"> Explotaciones que combinen gallinas ponedoras y aves de corral de carne</t>
  </si>
  <si>
    <t xml:space="preserve">Explotaciones con varias combinaciones de granívoros</t>
  </si>
  <si>
    <t xml:space="preserve">Explotaciones de poliganadería con orientación herbívoros</t>
  </si>
  <si>
    <t xml:space="preserve">Explotaciones de poliganadería con orientación granívoros</t>
  </si>
  <si>
    <t xml:space="preserve">Explotaciones mixtas grandes cultivos: herbívoros</t>
  </si>
  <si>
    <t xml:space="preserve">Explotaciones mixtas bovinos lecheros con grandes cultivos</t>
  </si>
  <si>
    <t xml:space="preserve">Explotaciones mixtas con varias combinaciones cultivos ganadería</t>
  </si>
  <si>
    <t xml:space="preserve">PARTICIPACION EN LA SOCIEDAD:</t>
  </si>
  <si>
    <t xml:space="preserve">UTAs manuales:</t>
  </si>
  <si>
    <t xml:space="preserve">Zona con limitaciones naturales distintas de las de montaña</t>
  </si>
  <si>
    <t xml:space="preserve">PAC Sup. Sec</t>
  </si>
  <si>
    <t xml:space="preserve">PAC Sup. Reg</t>
  </si>
  <si>
    <t xml:space="preserve">Sup. Agr. Sec</t>
  </si>
  <si>
    <t xml:space="preserve">Sup. Agr. Reg</t>
  </si>
  <si>
    <t xml:space="preserve">UTA APORTADA SOCIO:</t>
  </si>
  <si>
    <r>
      <rPr>
        <b val="true"/>
        <sz val="20"/>
        <color rgb="FF000000"/>
        <rFont val="Arial1"/>
        <family val="0"/>
        <charset val="1"/>
      </rPr>
      <t xml:space="preserve">RUT sociedad =(MN</t>
    </r>
    <r>
      <rPr>
        <b val="true"/>
        <sz val="12"/>
        <color rgb="FF000000"/>
        <rFont val="Arial1"/>
        <family val="0"/>
        <charset val="1"/>
      </rPr>
      <t xml:space="preserve">total </t>
    </r>
    <r>
      <rPr>
        <b val="true"/>
        <sz val="20"/>
        <color rgb="FF000000"/>
        <rFont val="Arial1"/>
        <family val="0"/>
        <charset val="1"/>
      </rPr>
      <t xml:space="preserve">/ UTAs</t>
    </r>
    <r>
      <rPr>
        <b val="true"/>
        <sz val="12"/>
        <color rgb="FF000000"/>
        <rFont val="Arial1"/>
        <family val="0"/>
        <charset val="1"/>
      </rPr>
      <t xml:space="preserve">tot.calculadas</t>
    </r>
    <r>
      <rPr>
        <b val="true"/>
        <sz val="20"/>
        <color rgb="FF000000"/>
        <rFont val="Arial1"/>
        <family val="0"/>
        <charset val="1"/>
      </rPr>
      <t xml:space="preserve">)</t>
    </r>
  </si>
  <si>
    <t xml:space="preserve">PROD. EST. (PE) (Cult. Principal + Cult. Secundario + Ganaderia+barbechos) x Participacion.</t>
  </si>
  <si>
    <t xml:space="preserve">RUT Soc. manual =( MNtotal/ UTAs manuales)</t>
  </si>
  <si>
    <t xml:space="preserve">UTAs CALCULADAS EXPLOTACION (228dias/año o 1826 horas/año)</t>
  </si>
  <si>
    <t xml:space="preserve">UTAs SECANO</t>
  </si>
  <si>
    <t xml:space="preserve">UTAS REGADIO</t>
  </si>
  <si>
    <t xml:space="preserve">UTAS TOTAL</t>
  </si>
  <si>
    <t xml:space="preserve">UTAS % Participacion.</t>
  </si>
  <si>
    <t xml:space="preserve">Prod. Est. PAC (€)</t>
  </si>
  <si>
    <t xml:space="preserve">Prod. Est. Sup. Agre. (€)</t>
  </si>
  <si>
    <t xml:space="preserve">151-Exp. especializadas en cereal (distinta de la de arroz), cultivo plantas oleaginosas y proteaginosas</t>
  </si>
  <si>
    <t xml:space="preserve">152-Explotaciones especializadas en arroz</t>
  </si>
  <si>
    <t xml:space="preserve">153-Explotaciones que combinen cereales, arroz, semillas oleaginosas y proteaginosas</t>
  </si>
  <si>
    <t xml:space="preserve">161-Explotaciones especializadas en el cultivo de raíces y tubérculos</t>
  </si>
  <si>
    <t xml:space="preserve">162-Explotaciones que combinen cereales, semillas oleaginosas y proteaginosas y raíces y tubérculos</t>
  </si>
  <si>
    <t xml:space="preserve">163-Explotaciones especializadas en el cultivo de hortalizas producidas al aire libre</t>
  </si>
  <si>
    <t xml:space="preserve">164-Explotaciones especializadas en el cultivo de tabaco</t>
  </si>
  <si>
    <t xml:space="preserve">165-Explotaciones especializadas en el cultivo de algodón</t>
  </si>
  <si>
    <t xml:space="preserve">166-Explotaciones con combinaciones de varios grandes  cultivos</t>
  </si>
  <si>
    <t xml:space="preserve">-</t>
  </si>
  <si>
    <t xml:space="preserve">211-Explotaciones especializadas en hortalizas en invernadero</t>
  </si>
  <si>
    <t xml:space="preserve">212-Explotaciones especializadas en floricultura y plantas ornamentales en invernadero</t>
  </si>
  <si>
    <t xml:space="preserve">213-Explotaciones especialistas en policultivo hortícola en invernadero</t>
  </si>
  <si>
    <t xml:space="preserve">221-Explotaciones especializadas en hortalizas al aire libre</t>
  </si>
  <si>
    <t xml:space="preserve">222-Explotaciones especializadas en floricultura y plantas ornamentales al aire libre</t>
  </si>
  <si>
    <t xml:space="preserve">223-Explotaciones especializadas en policultivo hortícola al aire libre</t>
  </si>
  <si>
    <t xml:space="preserve">231-Explotaciones especializadas en el cultivo de setas</t>
  </si>
  <si>
    <t xml:space="preserve">232-Explotaciones especializadas en viveros</t>
  </si>
  <si>
    <t xml:space="preserve">233-Horticultura Diversa</t>
  </si>
  <si>
    <t xml:space="preserve">351-Explotaciones vinícolas especializadas que produzcan vinos de calidad</t>
  </si>
  <si>
    <t xml:space="preserve">352-Explotaciones vinícolas especializadas que produzcan vinos distintos de los vinos de calidad</t>
  </si>
  <si>
    <t xml:space="preserve">353-Explotaciones especializadas en la producción de uva de mesa</t>
  </si>
  <si>
    <t xml:space="preserve">354-Otros viñedos</t>
  </si>
  <si>
    <t xml:space="preserve">361-Exp.frutícolas especializadas (¹ cítricos, frutas tropicales, subtropicales y frutos de cáscara)</t>
  </si>
  <si>
    <t xml:space="preserve">362-Explotaciones de cítricos especializadas</t>
  </si>
  <si>
    <t xml:space="preserve">363-Explotaciones especializadas en la producción de frutos de cáscara</t>
  </si>
  <si>
    <t xml:space="preserve">364-Explotaciones especializadas en la producción de frutas tropicales y subtropicales</t>
  </si>
  <si>
    <t xml:space="preserve">365-Exp.Frutícola Mixta especializada en cítrico, fruta tropical, subtropical y frutos de cáscara</t>
  </si>
  <si>
    <t xml:space="preserve">370-Explotaciones especializadas en aceitunas</t>
  </si>
  <si>
    <t xml:space="preserve">380-Explotaciones con varias combinaciones de cultivos permanentes</t>
  </si>
  <si>
    <t xml:space="preserve">450-Explotaciones de bovinos especializadas: orientación leche</t>
  </si>
  <si>
    <t xml:space="preserve">460-Explotaciones de bovinos especializadas: orientación cría y carne</t>
  </si>
  <si>
    <t xml:space="preserve">470-Explotaciones de bovinos: leche, cría y carne combinados</t>
  </si>
  <si>
    <t xml:space="preserve">481-Explotaciones de ovinos especializadas</t>
  </si>
  <si>
    <t xml:space="preserve">482-Explotaciones con ovinos y bovinos combinados</t>
  </si>
  <si>
    <t xml:space="preserve">483-Explotaciones de caprinos especializadas</t>
  </si>
  <si>
    <t xml:space="preserve">484-Explotaciones de herbívoros</t>
  </si>
  <si>
    <t xml:space="preserve">511- Explotaciones de porcinos de cría especializadas</t>
  </si>
  <si>
    <t xml:space="preserve">512- Explotaciones de porcinos de engorde especializadas</t>
  </si>
  <si>
    <t xml:space="preserve">513-Explotaciones que combinen la cría y el engorde de porcinos</t>
  </si>
  <si>
    <t xml:space="preserve">521-Explotaciones de gallinas ponedoras especializadas</t>
  </si>
  <si>
    <t xml:space="preserve">522- Explotaciones de aves de corral de carne especializadas</t>
  </si>
  <si>
    <t xml:space="preserve">523- Explotaciones que combinen gallinas ponedoras y aves de corral de carne</t>
  </si>
  <si>
    <t xml:space="preserve">530-Explotaciones con varias combinaciones de granívoros</t>
  </si>
  <si>
    <t xml:space="preserve">612-Explotaciones que combinen grandes cultivos y horticultura</t>
  </si>
  <si>
    <t xml:space="preserve">613-Explotaciones que combinen grandes cultivos y vides</t>
  </si>
  <si>
    <t xml:space="preserve">614-Explotaciones que combinen grandes cultivos y cultivos permanentes</t>
  </si>
  <si>
    <t xml:space="preserve">615-Explotaciones de policultivo con orientación grandes cultivos</t>
  </si>
  <si>
    <t xml:space="preserve">616-Explotaciones de otros policultivos</t>
  </si>
  <si>
    <t xml:space="preserve">731-Explotaciones de poliganadería con orientación lechera</t>
  </si>
  <si>
    <t xml:space="preserve">732-Explotaciones de poliganadería con orientación herbívoros no lecheros</t>
  </si>
  <si>
    <t xml:space="preserve">741-Explotaciones de policultivo: granívoros y bovinos lecheros combinados</t>
  </si>
  <si>
    <t xml:space="preserve">742-Explotaciones de policultivo: granívoros y herbívoros no lecheros</t>
  </si>
  <si>
    <t xml:space="preserve">831-Explotaciones mixtas grandes cultivos con bovinos lecheros</t>
  </si>
  <si>
    <t xml:space="preserve">832-Explotaciones mixtas bovinos lecheros con grandes cultivos</t>
  </si>
  <si>
    <t xml:space="preserve">833-Explotaciones mixtas grandes cultivos con herbívoros no lecheros</t>
  </si>
  <si>
    <t xml:space="preserve">834-Explotaciones mixtas herbívoros no lecheros con grandes cultivos</t>
  </si>
  <si>
    <t xml:space="preserve">841-Explotaciones mixtas con grandes cultivos y granívoros</t>
  </si>
  <si>
    <t xml:space="preserve">842-Explotaciones mixtas con cultivos permanentes y herbívoros</t>
  </si>
  <si>
    <t xml:space="preserve">843-Explotaciones apícolas</t>
  </si>
  <si>
    <t xml:space="preserve">844-Explotaciones con varios cultivos y ganaderías mixtas</t>
  </si>
  <si>
    <t xml:space="preserve">900-Explotaciones no clasificadas</t>
  </si>
  <si>
    <t xml:space="preserve">PE POR PARCELA Y SECTOR PRODUCTIVO.</t>
  </si>
  <si>
    <t xml:space="preserve">PE TOTALES POR SECTOR PRODUCTIVO</t>
  </si>
  <si>
    <t xml:space="preserve">TOT</t>
  </si>
  <si>
    <t xml:space="preserve">ECO x Parcela</t>
  </si>
  <si>
    <t xml:space="preserve">NO ECO x Parcela</t>
  </si>
  <si>
    <t xml:space="preserve">ECO TOTAL</t>
  </si>
  <si>
    <t xml:space="preserve">NO ECO TOTAL</t>
  </si>
  <si>
    <t xml:space="preserve">TOTAL ECO + NO ECO.</t>
  </si>
  <si>
    <t xml:space="preserve">Codigo producto</t>
  </si>
  <si>
    <t xml:space="preserve">Codigo producto sintetico</t>
  </si>
  <si>
    <t xml:space="preserve">SECTOR PRODUCTIVO</t>
  </si>
  <si>
    <t xml:space="preserve">USO SIGPAC INVERNADERO?</t>
  </si>
  <si>
    <t xml:space="preserve">Produccion Estandar unitaria (€/Hectarea)</t>
  </si>
  <si>
    <t xml:space="preserve">SECTORES Produccion Estándar (€ / Ha)</t>
  </si>
  <si>
    <t xml:space="preserve">LISTA DE CULTIVOS</t>
  </si>
  <si>
    <t xml:space="preserve">SUP. TOTALES POR CULTIVO</t>
  </si>
  <si>
    <t xml:space="preserve">cultivos</t>
  </si>
  <si>
    <t xml:space="preserve">MARGEN NETO  (€/HA.)   SEC</t>
  </si>
  <si>
    <t xml:space="preserve">MARGEN NETO  (€/HA.)   REG</t>
  </si>
  <si>
    <t xml:space="preserve">PRODUCCIÓN ESTANDARD (€/HA.)   SEC</t>
  </si>
  <si>
    <t xml:space="preserve">PRODUCCIÓN ESTANDARD (€/HA.)   REG</t>
  </si>
  <si>
    <t xml:space="preserve">UTA/has   SEC</t>
  </si>
  <si>
    <t xml:space="preserve">UTA/has   REG</t>
  </si>
  <si>
    <t xml:space="preserve">UTA/has   reg</t>
  </si>
  <si>
    <t xml:space="preserve">SR</t>
  </si>
  <si>
    <t xml:space="preserve">.</t>
  </si>
  <si>
    <t xml:space="preserve">EC</t>
  </si>
  <si>
    <t xml:space="preserve">Cod. Cultivo</t>
  </si>
  <si>
    <t xml:space="preserve">Secano</t>
  </si>
  <si>
    <t xml:space="preserve">NADA</t>
  </si>
  <si>
    <t xml:space="preserve">COSECHA</t>
  </si>
  <si>
    <t xml:space="preserve">cod. Pro</t>
  </si>
  <si>
    <t xml:space="preserve">vrd_codigo</t>
  </si>
  <si>
    <t xml:space="preserve">CodCultSisT_Sintetico</t>
  </si>
  <si>
    <t xml:space="preserve">PRODUCCIÓN</t>
  </si>
  <si>
    <t xml:space="preserve">tipo</t>
  </si>
  <si>
    <t xml:space="preserve">MN-SEC</t>
  </si>
  <si>
    <t xml:space="preserve">MN-REG</t>
  </si>
  <si>
    <t xml:space="preserve">PE-SEC</t>
  </si>
  <si>
    <t xml:space="preserve">PE-REG</t>
  </si>
  <si>
    <t xml:space="preserve">UTA-SEC</t>
  </si>
  <si>
    <t xml:space="preserve">UTA-REG</t>
  </si>
  <si>
    <t xml:space="preserve">SIST CULT</t>
  </si>
  <si>
    <t xml:space="preserve">TRIGO BLANDO</t>
  </si>
  <si>
    <t xml:space="preserve">ESPELTA</t>
  </si>
  <si>
    <t xml:space="preserve">TRIGO DURO</t>
  </si>
  <si>
    <t xml:space="preserve">MAÍZ</t>
  </si>
  <si>
    <t xml:space="preserve">CEBADA</t>
  </si>
  <si>
    <t xml:space="preserve">CENTENO</t>
  </si>
  <si>
    <t xml:space="preserve">SORGO</t>
  </si>
  <si>
    <t xml:space="preserve">AVENA</t>
  </si>
  <si>
    <t xml:space="preserve">ALFORFÓN</t>
  </si>
  <si>
    <t xml:space="preserve">MIJO</t>
  </si>
  <si>
    <t xml:space="preserve">ALPISTE</t>
  </si>
  <si>
    <t xml:space="preserve">TRANQUILLÓN</t>
  </si>
  <si>
    <t xml:space="preserve">TRITICALE</t>
  </si>
  <si>
    <t xml:space="preserve">TRITORDEUM</t>
  </si>
  <si>
    <t xml:space="preserve">TEFF</t>
  </si>
  <si>
    <t xml:space="preserve">BARBECHO TRADICIONAL</t>
  </si>
  <si>
    <t xml:space="preserve">BARBECHO MEDIOAMBIENTAL</t>
  </si>
  <si>
    <t xml:space="preserve">GIRASOL</t>
  </si>
  <si>
    <t xml:space="preserve">SOJA</t>
  </si>
  <si>
    <t xml:space="preserve">COLZA</t>
  </si>
  <si>
    <t xml:space="preserve">CAMELINA</t>
  </si>
  <si>
    <t xml:space="preserve">GUISANTE</t>
  </si>
  <si>
    <t xml:space="preserve">HABA</t>
  </si>
  <si>
    <t xml:space="preserve">ALTRAMUZ BLANCO</t>
  </si>
  <si>
    <t xml:space="preserve">ALUBIA</t>
  </si>
  <si>
    <t xml:space="preserve">GARBANZO</t>
  </si>
  <si>
    <t xml:space="preserve">LENTEJA</t>
  </si>
  <si>
    <t xml:space="preserve">VEZA</t>
  </si>
  <si>
    <t xml:space="preserve">YEROS</t>
  </si>
  <si>
    <t xml:space="preserve">ALFALFA</t>
  </si>
  <si>
    <t xml:space="preserve">ALHOLVA</t>
  </si>
  <si>
    <t xml:space="preserve">ESPARCETA</t>
  </si>
  <si>
    <t xml:space="preserve">PASTOS PERMANENTES DE 5 O MÁS AÑOS</t>
  </si>
  <si>
    <t xml:space="preserve">FESTUCA</t>
  </si>
  <si>
    <t xml:space="preserve">PASTOS DE MENOS DE 5 AÑOS</t>
  </si>
  <si>
    <t xml:space="preserve">RAYGRASS PERENNE</t>
  </si>
  <si>
    <t xml:space="preserve">AGROSTIS</t>
  </si>
  <si>
    <t xml:space="preserve">ARRHENATHERUM</t>
  </si>
  <si>
    <t xml:space="preserve">DACTILO</t>
  </si>
  <si>
    <t xml:space="preserve">FLEO</t>
  </si>
  <si>
    <t xml:space="preserve">POA</t>
  </si>
  <si>
    <t xml:space="preserve">ZULLA</t>
  </si>
  <si>
    <t xml:space="preserve">TRÉBOL</t>
  </si>
  <si>
    <t xml:space="preserve">RAYGRASS ANUAL</t>
  </si>
  <si>
    <t xml:space="preserve">ARROZ</t>
  </si>
  <si>
    <t xml:space="preserve">REMOLACHA</t>
  </si>
  <si>
    <t xml:space="preserve">LÚPULO</t>
  </si>
  <si>
    <t xml:space="preserve">LINO</t>
  </si>
  <si>
    <t xml:space="preserve">CÁÑAMO</t>
  </si>
  <si>
    <t xml:space="preserve">CACAHUETE</t>
  </si>
  <si>
    <t xml:space="preserve">CÁRTAMO</t>
  </si>
  <si>
    <t xml:space="preserve">REGALIZ</t>
  </si>
  <si>
    <t xml:space="preserve">ROMANESCU</t>
  </si>
  <si>
    <t xml:space="preserve">ESPECIES AROMÁTICAS HERBÁCEAS</t>
  </si>
  <si>
    <t xml:space="preserve">AROMÁTICAS HERBACEAS </t>
  </si>
  <si>
    <t xml:space="preserve">PATATA</t>
  </si>
  <si>
    <t xml:space="preserve">OLIVO</t>
  </si>
  <si>
    <t xml:space="preserve">VIÑA</t>
  </si>
  <si>
    <t xml:space="preserve">ALMENDRO</t>
  </si>
  <si>
    <t xml:space="preserve">MELOCOTONERO</t>
  </si>
  <si>
    <t xml:space="preserve">NECTARINO</t>
  </si>
  <si>
    <t xml:space="preserve">ALBARICOQUERO</t>
  </si>
  <si>
    <t xml:space="preserve">PERAL</t>
  </si>
  <si>
    <t xml:space="preserve">MANZANO</t>
  </si>
  <si>
    <t xml:space="preserve">CEREZO</t>
  </si>
  <si>
    <t xml:space="preserve">CIRUELO</t>
  </si>
  <si>
    <t xml:space="preserve">NOGAL</t>
  </si>
  <si>
    <t xml:space="preserve">NOGAL micorrizado.</t>
  </si>
  <si>
    <t xml:space="preserve">OTROS FRUTALES</t>
  </si>
  <si>
    <t xml:space="preserve">CASTAÑO</t>
  </si>
  <si>
    <t xml:space="preserve">ESPECIES AROMÁTICAS LEÑOSAS</t>
  </si>
  <si>
    <t xml:space="preserve">AROMÁTICAS LEÑOSAS</t>
  </si>
  <si>
    <t xml:space="preserve">VIÑA - OLIVAR</t>
  </si>
  <si>
    <t xml:space="preserve">BONIATO</t>
  </si>
  <si>
    <t xml:space="preserve">BONIATO en Invernadero</t>
  </si>
  <si>
    <t xml:space="preserve">BONIATO en invernadero enarenado</t>
  </si>
  <si>
    <t xml:space="preserve">ALGARROBO</t>
  </si>
  <si>
    <t xml:space="preserve">AVELLANO</t>
  </si>
  <si>
    <t xml:space="preserve">AVELLANO micorrizado.</t>
  </si>
  <si>
    <t xml:space="preserve">PISTACHO</t>
  </si>
  <si>
    <t xml:space="preserve">BONIATO INVERNADERO</t>
  </si>
  <si>
    <t xml:space="preserve">FRUTOS DE CÁSCARA</t>
  </si>
  <si>
    <t xml:space="preserve">ADORMIDERA</t>
  </si>
  <si>
    <t xml:space="preserve">HIERBA CINTA</t>
  </si>
  <si>
    <t xml:space="preserve">ABACA ALIAS MANILA</t>
  </si>
  <si>
    <t xml:space="preserve">KENAF</t>
  </si>
  <si>
    <t xml:space="preserve">YUTE</t>
  </si>
  <si>
    <t xml:space="preserve">SISAL</t>
  </si>
  <si>
    <t xml:space="preserve">ENCINA</t>
  </si>
  <si>
    <t xml:space="preserve">ENCINA micorrizado.</t>
  </si>
  <si>
    <t xml:space="preserve">PUERRO</t>
  </si>
  <si>
    <t xml:space="preserve">PUERRO en Invernadero</t>
  </si>
  <si>
    <t xml:space="preserve">PUERRO en invernadero enarenado</t>
  </si>
  <si>
    <t xml:space="preserve">PIMIENTO</t>
  </si>
  <si>
    <t xml:space="preserve">PIMIENTO en Invernadero</t>
  </si>
  <si>
    <t xml:space="preserve">PIMIENTO en invernadero enarenado</t>
  </si>
  <si>
    <t xml:space="preserve">PUERRO INVERNADERO</t>
  </si>
  <si>
    <t xml:space="preserve">MELÓN</t>
  </si>
  <si>
    <t xml:space="preserve">MELÓN en Invernadero</t>
  </si>
  <si>
    <t xml:space="preserve">MELÓN en invernadero enarenado</t>
  </si>
  <si>
    <t xml:space="preserve">PIMIENTO INVERNADERO</t>
  </si>
  <si>
    <t xml:space="preserve">BRÓCOLI</t>
  </si>
  <si>
    <t xml:space="preserve">BRÓCOLI en Invernadero</t>
  </si>
  <si>
    <t xml:space="preserve">BRÓCOLI en invernadero enarenado</t>
  </si>
  <si>
    <t xml:space="preserve">MELÓN INVERNADERO</t>
  </si>
  <si>
    <t xml:space="preserve">LECHUGA</t>
  </si>
  <si>
    <t xml:space="preserve">LECHUGA en Invernadero</t>
  </si>
  <si>
    <t xml:space="preserve">LECHUGA en invernadero enarenado</t>
  </si>
  <si>
    <t xml:space="preserve">BRÓCOLI INVERNADERO</t>
  </si>
  <si>
    <t xml:space="preserve">SANDÍA</t>
  </si>
  <si>
    <t xml:space="preserve">SANDÍA en Invernadero</t>
  </si>
  <si>
    <t xml:space="preserve">SANDÍA en invernadero enarenado</t>
  </si>
  <si>
    <t xml:space="preserve">LECHUGA INVERNADERO</t>
  </si>
  <si>
    <t xml:space="preserve">CEBOLLA</t>
  </si>
  <si>
    <t xml:space="preserve">CEBOLLA en Invernadero</t>
  </si>
  <si>
    <t xml:space="preserve">CEBOLLA en invernadero enarenado</t>
  </si>
  <si>
    <t xml:space="preserve">SANDÍA INVERNADERO</t>
  </si>
  <si>
    <t xml:space="preserve">APIO</t>
  </si>
  <si>
    <t xml:space="preserve">APIO en Invernadero</t>
  </si>
  <si>
    <t xml:space="preserve">APIO en invernadero enarenado</t>
  </si>
  <si>
    <t xml:space="preserve">CEBOLLA INVERNADERO</t>
  </si>
  <si>
    <t xml:space="preserve">COLIRRÁBANO</t>
  </si>
  <si>
    <t xml:space="preserve">COLIRRÁBANO en Invernadero</t>
  </si>
  <si>
    <t xml:space="preserve">COLIRRÁBANO en invernadero enarenado</t>
  </si>
  <si>
    <t xml:space="preserve">APIO INVERNADERO</t>
  </si>
  <si>
    <t xml:space="preserve">COLIFLOR</t>
  </si>
  <si>
    <t xml:space="preserve">COLIFLOR en Invernadero</t>
  </si>
  <si>
    <t xml:space="preserve">COLIFLOR en invernadero enarenado</t>
  </si>
  <si>
    <t xml:space="preserve">COLIRRÁBANO INVERNADERO</t>
  </si>
  <si>
    <t xml:space="preserve">BERENJENA</t>
  </si>
  <si>
    <t xml:space="preserve">BERENJENA en Invernadero</t>
  </si>
  <si>
    <t xml:space="preserve">BERENJENA en invernadero enarenado</t>
  </si>
  <si>
    <t xml:space="preserve">COLIFLOR INVERNADERO</t>
  </si>
  <si>
    <t xml:space="preserve">CALABACÍN</t>
  </si>
  <si>
    <t xml:space="preserve">CALABACÍN en Invernadero</t>
  </si>
  <si>
    <t xml:space="preserve">CALABACÍN en invernadero enarenado</t>
  </si>
  <si>
    <t xml:space="preserve">BERENJENA INVERNADERO</t>
  </si>
  <si>
    <t xml:space="preserve">ALCACHOFA</t>
  </si>
  <si>
    <t xml:space="preserve">ALCACHOFA en Invernadero</t>
  </si>
  <si>
    <t xml:space="preserve">ALCACHOFA en invernadero enarenado</t>
  </si>
  <si>
    <t xml:space="preserve">CALABACÍN INVERNADERO</t>
  </si>
  <si>
    <t xml:space="preserve">PEPINO</t>
  </si>
  <si>
    <t xml:space="preserve">PEPINO en Invernadero</t>
  </si>
  <si>
    <t xml:space="preserve">PEPINO en invernadero enarenado</t>
  </si>
  <si>
    <t xml:space="preserve">ALCACHOFA INVERNADERO</t>
  </si>
  <si>
    <t xml:space="preserve">ACELGA</t>
  </si>
  <si>
    <t xml:space="preserve">ACELGA en Invernadero</t>
  </si>
  <si>
    <t xml:space="preserve">ACELGA en invernadero enarenado</t>
  </si>
  <si>
    <t xml:space="preserve">PEPINO INVERNADERO</t>
  </si>
  <si>
    <t xml:space="preserve">CEBOLLETA</t>
  </si>
  <si>
    <t xml:space="preserve">CEBOLLETA en Invernadero</t>
  </si>
  <si>
    <t xml:space="preserve">CEBOLLETA en invernadero enarenado</t>
  </si>
  <si>
    <t xml:space="preserve">ACELGA INVERNADERO</t>
  </si>
  <si>
    <t xml:space="preserve">CHALOTA</t>
  </si>
  <si>
    <t xml:space="preserve">CHALOTA en Invernadero</t>
  </si>
  <si>
    <t xml:space="preserve">CHALOTA en invernadero enarenado</t>
  </si>
  <si>
    <t xml:space="preserve">CEBOLLETA INVERNADERO</t>
  </si>
  <si>
    <t xml:space="preserve">AJO</t>
  </si>
  <si>
    <t xml:space="preserve">AJO en Invernadero</t>
  </si>
  <si>
    <t xml:space="preserve">AJO en invernadero enarenado</t>
  </si>
  <si>
    <t xml:space="preserve">CHALOTA INVERNADERO</t>
  </si>
  <si>
    <t xml:space="preserve">CHIRIVÍA</t>
  </si>
  <si>
    <t xml:space="preserve">CHIRIVÍA en Invernadero</t>
  </si>
  <si>
    <t xml:space="preserve">CHIRIVÍA en invernadero enarenado</t>
  </si>
  <si>
    <t xml:space="preserve">AJO INVERNADERO</t>
  </si>
  <si>
    <t xml:space="preserve">REPOLLO</t>
  </si>
  <si>
    <t xml:space="preserve">REPOLLO en Invernadero</t>
  </si>
  <si>
    <t xml:space="preserve">REPOLLO en invernadero enarenado</t>
  </si>
  <si>
    <t xml:space="preserve">CHIRIVÍA INVERNADERO</t>
  </si>
  <si>
    <t xml:space="preserve">COL ROJA O LOMBARDA</t>
  </si>
  <si>
    <t xml:space="preserve">COL ROJA O LOMBARDA en Invernadero</t>
  </si>
  <si>
    <t xml:space="preserve">COL ROJA O LOMBARDA en invernadero enarenado</t>
  </si>
  <si>
    <t xml:space="preserve">REPOLLO INVERNADERO</t>
  </si>
  <si>
    <t xml:space="preserve">COL MILÁN</t>
  </si>
  <si>
    <t xml:space="preserve">COL MILÁN en Invernadero</t>
  </si>
  <si>
    <t xml:space="preserve">COL MILÁN en invernadero enarenado</t>
  </si>
  <si>
    <t xml:space="preserve">COL ROJA O LOMBARDA INVERNADERO</t>
  </si>
  <si>
    <t xml:space="preserve">BERZA</t>
  </si>
  <si>
    <t xml:space="preserve">BERZA en Invernadero</t>
  </si>
  <si>
    <t xml:space="preserve">BERZA en invernadero enarenado</t>
  </si>
  <si>
    <t xml:space="preserve">COL MILÁN INVERNADERO</t>
  </si>
  <si>
    <t xml:space="preserve">COL DE BRUSELAS</t>
  </si>
  <si>
    <t xml:space="preserve">COL DE BRUSELAS en Invernadero</t>
  </si>
  <si>
    <t xml:space="preserve">COL DE BRUSELAS en invernadero enarenado</t>
  </si>
  <si>
    <t xml:space="preserve">BERZA INVERNADERO</t>
  </si>
  <si>
    <t xml:space="preserve">ENDIVIA</t>
  </si>
  <si>
    <t xml:space="preserve">ENDIVIA en Invernadero</t>
  </si>
  <si>
    <t xml:space="preserve">ENDIVIA en invernadero enarenado</t>
  </si>
  <si>
    <t xml:space="preserve">COL DE BRUSELAS INVERNADERO</t>
  </si>
  <si>
    <t xml:space="preserve">ZANAHORIA</t>
  </si>
  <si>
    <t xml:space="preserve">ZANAHORIA en Invernadero</t>
  </si>
  <si>
    <t xml:space="preserve">ZANAHORIA en invernadero enarenado</t>
  </si>
  <si>
    <t xml:space="preserve">ENDIVIA INVERNADERO</t>
  </si>
  <si>
    <t xml:space="preserve">NABO</t>
  </si>
  <si>
    <t xml:space="preserve">NABO en Invernadero</t>
  </si>
  <si>
    <t xml:space="preserve">NABO en invernadero enarenado</t>
  </si>
  <si>
    <t xml:space="preserve">ZANAHORIA INVERNADERO</t>
  </si>
  <si>
    <t xml:space="preserve">ACHICORIA</t>
  </si>
  <si>
    <t xml:space="preserve">ACHICORIA en Invernadero</t>
  </si>
  <si>
    <t xml:space="preserve">ACHICORIA en invernadero enarenado</t>
  </si>
  <si>
    <t xml:space="preserve">NABO INVERNADERO</t>
  </si>
  <si>
    <t xml:space="preserve">GUINDILLA</t>
  </si>
  <si>
    <t xml:space="preserve">GUINDILLA en Invernadero</t>
  </si>
  <si>
    <t xml:space="preserve">GUINDILLA en invernadero enarenado</t>
  </si>
  <si>
    <t xml:space="preserve">ACHICORIA INVERNADERO</t>
  </si>
  <si>
    <t xml:space="preserve">ESPINACA</t>
  </si>
  <si>
    <t xml:space="preserve">ESPINACA en Invernadero</t>
  </si>
  <si>
    <t xml:space="preserve">ESPINACA en invernadero enarenado</t>
  </si>
  <si>
    <t xml:space="preserve">GUINDILLA INVERNADERO</t>
  </si>
  <si>
    <t xml:space="preserve">CARDO</t>
  </si>
  <si>
    <t xml:space="preserve">CARDO en Invernadero</t>
  </si>
  <si>
    <t xml:space="preserve">CARDO en invernadero enarenado</t>
  </si>
  <si>
    <t xml:space="preserve">ESPINACA INVERNADERO</t>
  </si>
  <si>
    <t xml:space="preserve">CALABAZA</t>
  </si>
  <si>
    <t xml:space="preserve">CALABAZA en Invernadero</t>
  </si>
  <si>
    <t xml:space="preserve">CALABAZA en invernadero enarenado</t>
  </si>
  <si>
    <t xml:space="preserve">CARDO INVERNADERO</t>
  </si>
  <si>
    <t xml:space="preserve">CALABAZA DEL PEREGRINO</t>
  </si>
  <si>
    <t xml:space="preserve">CALABAZA DEL PEREGRINO en Invernadero</t>
  </si>
  <si>
    <t xml:space="preserve">CALABAZA DEL PEREGRINO en invernadero enarenado</t>
  </si>
  <si>
    <t xml:space="preserve">CALABAZA INVERNADERO</t>
  </si>
  <si>
    <t xml:space="preserve">BORRAJA</t>
  </si>
  <si>
    <t xml:space="preserve">BORRAJA en Invernadero</t>
  </si>
  <si>
    <t xml:space="preserve">BORRAJA en invernadero enarenado</t>
  </si>
  <si>
    <t xml:space="preserve">CALABAZA DEL PEREGRINO INVERNADERO</t>
  </si>
  <si>
    <t xml:space="preserve">ESCAROLA</t>
  </si>
  <si>
    <t xml:space="preserve">ESCAROLA en Invernadero</t>
  </si>
  <si>
    <t xml:space="preserve">ESCAROLA en invernadero enarenado</t>
  </si>
  <si>
    <t xml:space="preserve">BORRAJA INVERNADERO</t>
  </si>
  <si>
    <t xml:space="preserve">RÁBANO</t>
  </si>
  <si>
    <t xml:space="preserve">RÁBANO en Invernadero</t>
  </si>
  <si>
    <t xml:space="preserve">RÁBANO en invernadero enarenado</t>
  </si>
  <si>
    <t xml:space="preserve">ESCAROLA INVERNADERO</t>
  </si>
  <si>
    <t xml:space="preserve">BERRO DE AGUA</t>
  </si>
  <si>
    <t xml:space="preserve">BERRO DE AGUA en Invernadero</t>
  </si>
  <si>
    <t xml:space="preserve">BERRO DE AGUA en invernadero enarenado</t>
  </si>
  <si>
    <t xml:space="preserve">RÁBANO INVERNADERO</t>
  </si>
  <si>
    <t xml:space="preserve">FRAMBUESA</t>
  </si>
  <si>
    <t xml:space="preserve">FRAMBUESA en Invernadero</t>
  </si>
  <si>
    <t xml:space="preserve">FRAMBUESA en invernadero enarenado</t>
  </si>
  <si>
    <t xml:space="preserve">BERRO DE AGUA INVERNADERO</t>
  </si>
  <si>
    <t xml:space="preserve">HUERTA</t>
  </si>
  <si>
    <t xml:space="preserve">HUERTA en Invernadero</t>
  </si>
  <si>
    <t xml:space="preserve">HUERTA en invernadero enarenado</t>
  </si>
  <si>
    <t xml:space="preserve">FRAMBUESA INVERNADERO</t>
  </si>
  <si>
    <t xml:space="preserve">CHAMPIÑÓN</t>
  </si>
  <si>
    <t xml:space="preserve">TOMATE</t>
  </si>
  <si>
    <t xml:space="preserve">TOMATE en Invernadero</t>
  </si>
  <si>
    <t xml:space="preserve">HUERTA INVERNADERO</t>
  </si>
  <si>
    <t xml:space="preserve">TOMATE en invernadero enarenado</t>
  </si>
  <si>
    <t xml:space="preserve">PAULONIA</t>
  </si>
  <si>
    <t xml:space="preserve">PLATERINA</t>
  </si>
  <si>
    <t xml:space="preserve">PARAGUAYO</t>
  </si>
  <si>
    <t xml:space="preserve">TOMATE INVERNADERO</t>
  </si>
  <si>
    <t xml:space="preserve">ENDRINO o ARAÑÓN</t>
  </si>
  <si>
    <t xml:space="preserve">CLEMENTINA</t>
  </si>
  <si>
    <t xml:space="preserve">SATSUMA</t>
  </si>
  <si>
    <t xml:space="preserve">NARANJO</t>
  </si>
  <si>
    <t xml:space="preserve">LIMONERO</t>
  </si>
  <si>
    <t xml:space="preserve">POMELO O TORONJA</t>
  </si>
  <si>
    <t xml:space="preserve">MANDARINO</t>
  </si>
  <si>
    <t xml:space="preserve">MANDARINO HÍBRIDO</t>
  </si>
  <si>
    <t xml:space="preserve">MEMBRILLO</t>
  </si>
  <si>
    <t xml:space="preserve">KIWI</t>
  </si>
  <si>
    <t xml:space="preserve">CAQUI o PALOSANTO</t>
  </si>
  <si>
    <t xml:space="preserve">NÍSPERO</t>
  </si>
  <si>
    <t xml:space="preserve">GROSELLERO</t>
  </si>
  <si>
    <t xml:space="preserve">GROSELLERO en Invernadero</t>
  </si>
  <si>
    <t xml:space="preserve">GROSELLERO en invernadero enarenado</t>
  </si>
  <si>
    <t xml:space="preserve">ARÁNDANO</t>
  </si>
  <si>
    <t xml:space="preserve">ARÁNDANO en Invernadero</t>
  </si>
  <si>
    <t xml:space="preserve">ARÁNDANO en invernadero enarenado</t>
  </si>
  <si>
    <t xml:space="preserve">GROSELLERO INVERNADERO</t>
  </si>
  <si>
    <t xml:space="preserve">GRANADO</t>
  </si>
  <si>
    <t xml:space="preserve">GRANADO en invernadero enarenado</t>
  </si>
  <si>
    <t xml:space="preserve">GRANADO en Invernadero</t>
  </si>
  <si>
    <t xml:space="preserve">ARÁNDANO INVERNADERO</t>
  </si>
  <si>
    <t xml:space="preserve">HIGUERA</t>
  </si>
  <si>
    <t xml:space="preserve">HIGUERA en Invernadero</t>
  </si>
  <si>
    <t xml:space="preserve">HIGUERA en invernadero enarenado</t>
  </si>
  <si>
    <t xml:space="preserve">GRANADO INVERNADERO</t>
  </si>
  <si>
    <t xml:space="preserve">FRESA</t>
  </si>
  <si>
    <t xml:space="preserve">FRESA en Invernadero</t>
  </si>
  <si>
    <t xml:space="preserve">FRESA en invernadero enarenado</t>
  </si>
  <si>
    <t xml:space="preserve">HIGUERA INVERNADERO</t>
  </si>
  <si>
    <t xml:space="preserve">CAÑA DE AZÚCAR</t>
  </si>
  <si>
    <t xml:space="preserve">QUINOA</t>
  </si>
  <si>
    <t xml:space="preserve">MISCANTHUS</t>
  </si>
  <si>
    <t xml:space="preserve">FRESA INVERNADERO</t>
  </si>
  <si>
    <t xml:space="preserve">HUAXYACAC</t>
  </si>
  <si>
    <t xml:space="preserve">ALTRAMUZ AMARILLO</t>
  </si>
  <si>
    <t xml:space="preserve">ALMORTA</t>
  </si>
  <si>
    <t xml:space="preserve">TITARROS</t>
  </si>
  <si>
    <t xml:space="preserve">MEZCLA AVENA-VEZA</t>
  </si>
  <si>
    <t xml:space="preserve">MEZCLA TRITICALE-VEZA</t>
  </si>
  <si>
    <t xml:space="preserve">MEZCLA TRIGO-VEZA</t>
  </si>
  <si>
    <t xml:space="preserve">MEZCLA CEBADA-VEZA</t>
  </si>
  <si>
    <t xml:space="preserve">MEZCLA AVENA-ZULLA</t>
  </si>
  <si>
    <t xml:space="preserve">MEZCLA CEBADA-ZULLA</t>
  </si>
  <si>
    <t xml:space="preserve">CULTIVOS MIXTOS DE ESPECIES PRATENSES</t>
  </si>
  <si>
    <t xml:space="preserve">CULTIVOS MIXTOS DE
ESPECIES PRATENSES</t>
  </si>
  <si>
    <t xml:space="preserve">ALGARROBA</t>
  </si>
  <si>
    <t xml:space="preserve">ALVERJA</t>
  </si>
  <si>
    <t xml:space="preserve">ALBERJÓN</t>
  </si>
  <si>
    <t xml:space="preserve">AJEDREA</t>
  </si>
  <si>
    <t xml:space="preserve">CILANTRO</t>
  </si>
  <si>
    <t xml:space="preserve">ANÍS DULCE</t>
  </si>
  <si>
    <t xml:space="preserve">ENELDO</t>
  </si>
  <si>
    <t xml:space="preserve">VALERIANA</t>
  </si>
  <si>
    <t xml:space="preserve">ARTEMISA</t>
  </si>
  <si>
    <t xml:space="preserve">GENCIANA</t>
  </si>
  <si>
    <t xml:space="preserve">HISOPO</t>
  </si>
  <si>
    <t xml:space="preserve">HINOJO</t>
  </si>
  <si>
    <t xml:space="preserve">PEREJIL</t>
  </si>
  <si>
    <t xml:space="preserve">AZAFRÁN</t>
  </si>
  <si>
    <t xml:space="preserve">TOMILLO</t>
  </si>
  <si>
    <t xml:space="preserve">ALBAHACA</t>
  </si>
  <si>
    <t xml:space="preserve">MELISA O TORONJIL</t>
  </si>
  <si>
    <t xml:space="preserve">MENTA</t>
  </si>
  <si>
    <t xml:space="preserve">ORÉGANO</t>
  </si>
  <si>
    <t xml:space="preserve">SALVIA</t>
  </si>
  <si>
    <t xml:space="preserve">PERIFOLLO</t>
  </si>
  <si>
    <t xml:space="preserve">ESTRAGÓN</t>
  </si>
  <si>
    <t xml:space="preserve">MEJORANA</t>
  </si>
  <si>
    <t xml:space="preserve">CALÉNDULA</t>
  </si>
  <si>
    <t xml:space="preserve">COMINO</t>
  </si>
  <si>
    <t xml:space="preserve">ESTEVIA</t>
  </si>
  <si>
    <t xml:space="preserve">HIPÉRICO</t>
  </si>
  <si>
    <t xml:space="preserve">HIERBABUENA</t>
  </si>
  <si>
    <t xml:space="preserve">VERBENA</t>
  </si>
  <si>
    <t xml:space="preserve">FRUTOS DEL BOSQUE</t>
  </si>
  <si>
    <t xml:space="preserve">ESPÁRRAGO</t>
  </si>
  <si>
    <t xml:space="preserve">ESPÁRRAGO en Invernadero</t>
  </si>
  <si>
    <t xml:space="preserve">ESPÁRRAGO en invernadero enarenado</t>
  </si>
  <si>
    <t xml:space="preserve">TRUFA</t>
  </si>
  <si>
    <t xml:space="preserve">LAVANDA</t>
  </si>
  <si>
    <t xml:space="preserve">LAVANDÍN</t>
  </si>
  <si>
    <t xml:space="preserve">ALCAPARRA</t>
  </si>
  <si>
    <t xml:space="preserve">ESPÁRRAGO INVERNADERO</t>
  </si>
  <si>
    <t xml:space="preserve">AJENJO</t>
  </si>
  <si>
    <t xml:space="preserve">ESPLIEGO</t>
  </si>
  <si>
    <t xml:space="preserve">HELICRISO</t>
  </si>
  <si>
    <t xml:space="preserve">HIERBALUISA</t>
  </si>
  <si>
    <t xml:space="preserve">ROMERO</t>
  </si>
  <si>
    <t xml:space="preserve">SANTOLINA</t>
  </si>
  <si>
    <t xml:space="preserve">MEZCLA CEBADA-GUISANTE</t>
  </si>
  <si>
    <t xml:space="preserve">MEZCLA AVENA-GUISANTE</t>
  </si>
  <si>
    <t xml:space="preserve">COL CHINA</t>
  </si>
  <si>
    <t xml:space="preserve">COL CHINA en Invernadero</t>
  </si>
  <si>
    <t xml:space="preserve">COL CHINA en invernadero enarenado</t>
  </si>
  <si>
    <t xml:space="preserve">MEZCLA AVENA-TRIGO</t>
  </si>
  <si>
    <t xml:space="preserve">MEZCLA AVENA-CEBADA</t>
  </si>
  <si>
    <t xml:space="preserve">MEZCLA AVENA-TRITICALE</t>
  </si>
  <si>
    <t xml:space="preserve">MALVAVISCO</t>
  </si>
  <si>
    <t xml:space="preserve">MANZANILLA AMARGA</t>
  </si>
  <si>
    <t xml:space="preserve">MANZANILLA DULCE</t>
  </si>
  <si>
    <t xml:space="preserve">COL CHINA INVERNADERO</t>
  </si>
  <si>
    <t xml:space="preserve">MILENRAMA</t>
  </si>
  <si>
    <t xml:space="preserve">POLEO</t>
  </si>
  <si>
    <t xml:space="preserve">TRIGO KHORASAN</t>
  </si>
  <si>
    <t xml:space="preserve">PASTO DEL SUDÁN</t>
  </si>
  <si>
    <t xml:space="preserve">AMARANTO</t>
  </si>
  <si>
    <t xml:space="preserve">MORINGA</t>
  </si>
  <si>
    <t xml:space="preserve">MOSTAZA</t>
  </si>
  <si>
    <t xml:space="preserve">MEZCLA ALGARROBA-AVENA</t>
  </si>
  <si>
    <t xml:space="preserve">MEZCLA ALGARROBA-CEBADA</t>
  </si>
  <si>
    <t xml:space="preserve">MEZCLA RAYGRASS-VEZA</t>
  </si>
  <si>
    <t xml:space="preserve">MEZCLA AVENA-YEROS</t>
  </si>
  <si>
    <t xml:space="preserve">MEZCLA CEBADA-YEROS</t>
  </si>
  <si>
    <t xml:space="preserve">SILPHIUM</t>
  </si>
  <si>
    <t xml:space="preserve">AGUACATE</t>
  </si>
  <si>
    <t xml:space="preserve">MANGO</t>
  </si>
  <si>
    <t xml:space="preserve">CHIRIMOYO</t>
  </si>
  <si>
    <t xml:space="preserve">PAPAYA</t>
  </si>
  <si>
    <t xml:space="preserve">MORERA</t>
  </si>
  <si>
    <t xml:space="preserve">VIÑA - FRUTAL</t>
  </si>
  <si>
    <t xml:space="preserve">OLIVAR - FRUTAL</t>
  </si>
  <si>
    <t xml:space="preserve">CÍTRICOS HÍBRIDOS-CAQUI</t>
  </si>
  <si>
    <t xml:space="preserve">NARANJO-AGUACATE</t>
  </si>
  <si>
    <t xml:space="preserve">CEREZO-OLIVAR</t>
  </si>
  <si>
    <t xml:space="preserve">CEREZO-ALGARROBO</t>
  </si>
  <si>
    <t xml:space="preserve">RICINO</t>
  </si>
  <si>
    <t xml:space="preserve">NARANJO AMARGO</t>
  </si>
  <si>
    <t xml:space="preserve">HABONCILLO</t>
  </si>
  <si>
    <t xml:space="preserve">MEZCLA ALUBIA-MAÍZ</t>
  </si>
  <si>
    <t xml:space="preserve">ESCANDA</t>
  </si>
  <si>
    <t xml:space="preserve">ESCAÑA</t>
  </si>
  <si>
    <t xml:space="preserve">PANIZO</t>
  </si>
  <si>
    <t xml:space="preserve">JUDÍA ESCARLATA</t>
  </si>
  <si>
    <t xml:space="preserve">RAMIO</t>
  </si>
  <si>
    <t xml:space="preserve">CEBOLLINO</t>
  </si>
  <si>
    <t xml:space="preserve">CANÓNIGO</t>
  </si>
  <si>
    <t xml:space="preserve">RUIBARBO</t>
  </si>
  <si>
    <t xml:space="preserve">RÁBANO PICANTE</t>
  </si>
  <si>
    <t xml:space="preserve">JUDÍA DE LIMA</t>
  </si>
  <si>
    <t xml:space="preserve">COL CRESPA</t>
  </si>
  <si>
    <t xml:space="preserve">MEZCLA CEREAL-RAYGRASS</t>
  </si>
  <si>
    <t xml:space="preserve">MEZCLA AVENA-MAÍZ</t>
  </si>
  <si>
    <t xml:space="preserve">MEZCLA HABA-VEZA</t>
  </si>
  <si>
    <t xml:space="preserve">MEZCLA CEBADA-TRIGO</t>
  </si>
  <si>
    <t xml:space="preserve">MEZCLA CENTENO-TRIGO</t>
  </si>
  <si>
    <t xml:space="preserve">MEZCLA AVENA-MAÍZ-VEZA</t>
  </si>
  <si>
    <t xml:space="preserve">MEZCLA CEBADA-MAÍZ-VEZA</t>
  </si>
  <si>
    <t xml:space="preserve">MEZCLA ALTRAMUZ-AVENA</t>
  </si>
  <si>
    <t xml:space="preserve">MEZCLA AVENA-CENTENO</t>
  </si>
  <si>
    <t xml:space="preserve">MEZCLA CENTENO-MAÍZ</t>
  </si>
  <si>
    <t xml:space="preserve">MEZCLA MAÍZ-SORGO</t>
  </si>
  <si>
    <t xml:space="preserve">CAUPÍ</t>
  </si>
  <si>
    <t xml:space="preserve">MELILOTO AMARILLO</t>
  </si>
  <si>
    <t xml:space="preserve">BRÓCOLI CHINO</t>
  </si>
  <si>
    <t xml:space="preserve">BATATA ACUÁTICA</t>
  </si>
  <si>
    <t xml:space="preserve">JUDÍA DE EGIPTO</t>
  </si>
  <si>
    <t xml:space="preserve">COLINABO</t>
  </si>
  <si>
    <t xml:space="preserve">VEZA VELLOSA</t>
  </si>
  <si>
    <t xml:space="preserve">ALVERJA HÚNGARA</t>
  </si>
  <si>
    <t xml:space="preserve">MEZCLA RAYGRASS-TREBOL</t>
  </si>
  <si>
    <t xml:space="preserve">CROTALARIA JUNCEA</t>
  </si>
  <si>
    <t xml:space="preserve">LIMA</t>
  </si>
  <si>
    <t xml:space="preserve">KALE</t>
  </si>
  <si>
    <t xml:space="preserve">OKRA</t>
  </si>
  <si>
    <t xml:space="preserve">FRESÓN</t>
  </si>
  <si>
    <t xml:space="preserve">ALMENDRO-OLIVAR</t>
  </si>
  <si>
    <t xml:space="preserve">NARANJO-CAQUI</t>
  </si>
  <si>
    <t xml:space="preserve">NARANJO-MANDARINO</t>
  </si>
  <si>
    <t xml:space="preserve">NÍSPERO-CAQUI</t>
  </si>
  <si>
    <t xml:space="preserve">PALMERA DATILERA</t>
  </si>
  <si>
    <t xml:space="preserve">MEZCLA AVENA-HABA</t>
  </si>
  <si>
    <t xml:space="preserve">MEZCLA AVENA-CEBADA-VEZA</t>
  </si>
  <si>
    <t xml:space="preserve">CLEMENTINA-CAQUI</t>
  </si>
  <si>
    <t xml:space="preserve">SATSUMA-CAQUI</t>
  </si>
  <si>
    <t xml:space="preserve"> en Invernadero</t>
  </si>
  <si>
    <t xml:space="preserve"> en invernadero enarenado</t>
  </si>
  <si>
    <t xml:space="preserve"> micorrizado.</t>
  </si>
  <si>
    <t xml:space="preserve">&amp;nbsp;</t>
  </si>
  <si>
    <t xml:space="preserve">Código Provincia</t>
  </si>
  <si>
    <t xml:space="preserve">Cód. Municipio</t>
  </si>
  <si>
    <t xml:space="preserve">Agregado</t>
  </si>
  <si>
    <t xml:space="preserve">Zona</t>
  </si>
  <si>
    <t xml:space="preserve">Polígono</t>
  </si>
  <si>
    <t xml:space="preserve">Parcela</t>
  </si>
  <si>
    <t xml:space="preserve">Recinto</t>
  </si>
  <si>
    <t xml:space="preserve">Número Parcela Agrícola</t>
  </si>
  <si>
    <t xml:space="preserve">Código Producto</t>
  </si>
  <si>
    <t xml:space="preserve">Desc. Producto</t>
  </si>
  <si>
    <t xml:space="preserve">Secano / Regadío</t>
  </si>
  <si>
    <t xml:space="preserve">Paraje</t>
  </si>
  <si>
    <t xml:space="preserve">Variedad / Especie / Tipo</t>
  </si>
  <si>
    <t xml:space="preserve">Variedad</t>
  </si>
  <si>
    <t xml:space="preserve">Var. ppal. modif. Gen.</t>
  </si>
  <si>
    <t xml:space="preserve">Código de Producto 2º</t>
  </si>
  <si>
    <t xml:space="preserve">Producto Sec.</t>
  </si>
  <si>
    <t xml:space="preserve">Codigo Variedad 2ª</t>
  </si>
  <si>
    <t xml:space="preserve">Variedad 2ª</t>
  </si>
  <si>
    <t xml:space="preserve">Var. sec. modif. Gen.</t>
  </si>
  <si>
    <t xml:space="preserve">Cod. Sistema de riego</t>
  </si>
  <si>
    <t xml:space="preserve">Sistema de riego</t>
  </si>
  <si>
    <t xml:space="preserve">Cod. Sistema de Cultivo</t>
  </si>
  <si>
    <t xml:space="preserve">Sistemas de Cultivo</t>
  </si>
  <si>
    <t xml:space="preserve">Marco de Plantación Vertical</t>
  </si>
  <si>
    <t xml:space="preserve">Marco de Plantación Horizontal</t>
  </si>
  <si>
    <t xml:space="preserve">Año plantación/Implantación</t>
  </si>
  <si>
    <t xml:space="preserve">Número de Árboles</t>
  </si>
  <si>
    <t xml:space="preserve">Cod. Patrón</t>
  </si>
  <si>
    <t xml:space="preserve">Patrón</t>
  </si>
  <si>
    <t xml:space="preserve">Cod. Vivero</t>
  </si>
  <si>
    <t xml:space="preserve">Vivero</t>
  </si>
  <si>
    <t xml:space="preserve">Año Reinjerto</t>
  </si>
  <si>
    <t xml:space="preserve">Cód. Certificación 1</t>
  </si>
  <si>
    <t xml:space="preserve">Certificación 1</t>
  </si>
  <si>
    <t xml:space="preserve">Cód. Certificación 2</t>
  </si>
  <si>
    <t xml:space="preserve">Certificación 2</t>
  </si>
  <si>
    <t xml:space="preserve">Cód. Certificación 3</t>
  </si>
  <si>
    <t xml:space="preserve">Certificación 3</t>
  </si>
  <si>
    <t xml:space="preserve">Cod. Sist. Prod. Olivar</t>
  </si>
  <si>
    <t xml:space="preserve">Sist. Prod. Olivar</t>
  </si>
  <si>
    <t xml:space="preserve">Fecha Mantenimiento Pastos</t>
  </si>
  <si>
    <t xml:space="preserve">Cod. Medio Mant. Pastos</t>
  </si>
  <si>
    <t xml:space="preserve">Medio Mantenimiento Pastos</t>
  </si>
  <si>
    <t xml:space="preserve">Coberturas</t>
  </si>
  <si>
    <t xml:space="preserve">Año plantación &lt; 2010</t>
  </si>
  <si>
    <t xml:space="preserve">Dosis siembra cáñamo (kg/ha)</t>
  </si>
  <si>
    <t xml:space="preserve">Siembra Directa</t>
  </si>
  <si>
    <t xml:space="preserve">Restos Vegetales</t>
  </si>
  <si>
    <t xml:space="preserve">Cód. Sistema de Conducción</t>
  </si>
  <si>
    <t xml:space="preserve">Sistema de Conducción</t>
  </si>
  <si>
    <t xml:space="preserve">Cód. Denominación de Origen</t>
  </si>
  <si>
    <t xml:space="preserve">Denominación de Origen</t>
  </si>
  <si>
    <t xml:space="preserve">Cód. Ind. Geograf./Ind. Geograf. Protegida</t>
  </si>
  <si>
    <t xml:space="preserve">S</t>
  </si>
  <si>
    <t xml:space="preserve">ANGUITA POLIG</t>
  </si>
  <si>
    <t xml:space="preserve">SIN VARIEDAD</t>
  </si>
  <si>
    <t xml:space="preserve">LAS PLANAS</t>
  </si>
  <si>
    <t xml:space="preserve">ATHORIS</t>
  </si>
  <si>
    <t xml:space="preserve">R</t>
  </si>
  <si>
    <t xml:space="preserve">Superficie o Gravedad</t>
  </si>
  <si>
    <t xml:space="preserve">MARUJA</t>
  </si>
  <si>
    <t xml:space="preserve">KWS FANTEX</t>
  </si>
  <si>
    <t xml:space="preserve">RINCONES</t>
  </si>
  <si>
    <t xml:space="preserve">PARDINA</t>
  </si>
  <si>
    <t xml:space="preserve">BOJ</t>
  </si>
  <si>
    <t xml:space="preserve">BOJ </t>
  </si>
  <si>
    <t xml:space="preserve">HORCADA</t>
  </si>
  <si>
    <t xml:space="preserve">MACHIN</t>
  </si>
  <si>
    <t xml:space="preserve">CO BOJ</t>
  </si>
  <si>
    <t xml:space="preserve">ARGA</t>
  </si>
  <si>
    <t xml:space="preserve">GRAMENAR</t>
  </si>
  <si>
    <t xml:space="preserve">VEDADO</t>
  </si>
  <si>
    <t xml:space="preserve">JAIME NAVE</t>
  </si>
  <si>
    <t xml:space="preserve">LA SARDA</t>
  </si>
  <si>
    <t xml:space="preserve">JAVIER</t>
  </si>
  <si>
    <t xml:space="preserve">CARTOUCHE</t>
  </si>
  <si>
    <t xml:space="preserve">BUETA</t>
  </si>
  <si>
    <t xml:space="preserve">ADONIS</t>
  </si>
  <si>
    <t xml:space="preserve">MERIDA</t>
  </si>
  <si>
    <t xml:space="preserve">SEGRIA</t>
  </si>
  <si>
    <t xml:space="preserve">SASO MIRAFLORES</t>
  </si>
  <si>
    <t xml:space="preserve">GARNACHA TINTA</t>
  </si>
  <si>
    <t xml:space="preserve">Aire libre</t>
  </si>
  <si>
    <t xml:space="preserve">TEMPRANILLO</t>
  </si>
  <si>
    <t xml:space="preserve">COD_PROV</t>
  </si>
  <si>
    <t xml:space="preserve">COD_MUN_SIGPAC</t>
  </si>
  <si>
    <t xml:space="preserve">CODIGO_SIGPAC</t>
  </si>
  <si>
    <t xml:space="preserve">COD_INE</t>
  </si>
  <si>
    <t xml:space="preserve">MUNICIPIO</t>
  </si>
  <si>
    <t xml:space="preserve">COD_ZONA</t>
  </si>
  <si>
    <t xml:space="preserve">ZONA</t>
  </si>
  <si>
    <t xml:space="preserve">LINEA ZLN 2019</t>
  </si>
  <si>
    <t xml:space="preserve">001</t>
  </si>
  <si>
    <t xml:space="preserve">ABIEGO</t>
  </si>
  <si>
    <t xml:space="preserve">ABABUJ</t>
  </si>
  <si>
    <t xml:space="preserve">Zona de montaña</t>
  </si>
  <si>
    <t xml:space="preserve">002</t>
  </si>
  <si>
    <t xml:space="preserve">ABIZANDA</t>
  </si>
  <si>
    <t xml:space="preserve">ABANTO</t>
  </si>
  <si>
    <t xml:space="preserve">005</t>
  </si>
  <si>
    <t xml:space="preserve">ADAHUESCA</t>
  </si>
  <si>
    <t xml:space="preserve">ABEJUELA</t>
  </si>
  <si>
    <t xml:space="preserve">007</t>
  </si>
  <si>
    <t xml:space="preserve">AGÜERO</t>
  </si>
  <si>
    <t xml:space="preserve">009</t>
  </si>
  <si>
    <t xml:space="preserve">AINSA-SOBRARBE</t>
  </si>
  <si>
    <t xml:space="preserve">010</t>
  </si>
  <si>
    <t xml:space="preserve">AISA</t>
  </si>
  <si>
    <t xml:space="preserve">ACERED</t>
  </si>
  <si>
    <t xml:space="preserve">012</t>
  </si>
  <si>
    <t xml:space="preserve">ALBALATILLO</t>
  </si>
  <si>
    <t xml:space="preserve">015</t>
  </si>
  <si>
    <t xml:space="preserve">ALBERO ALTO</t>
  </si>
  <si>
    <t xml:space="preserve">019</t>
  </si>
  <si>
    <t xml:space="preserve">ALCALA DE GURREA</t>
  </si>
  <si>
    <t xml:space="preserve">AGUARON</t>
  </si>
  <si>
    <t xml:space="preserve">020</t>
  </si>
  <si>
    <t xml:space="preserve">ALCALA DEL OBISPO</t>
  </si>
  <si>
    <t xml:space="preserve">AGUATON</t>
  </si>
  <si>
    <t xml:space="preserve">021</t>
  </si>
  <si>
    <t xml:space="preserve">ALCAMPELL</t>
  </si>
  <si>
    <t xml:space="preserve">AGUAVIVA</t>
  </si>
  <si>
    <t xml:space="preserve">Zona con otras limitaciones específicas</t>
  </si>
  <si>
    <t xml:space="preserve">023</t>
  </si>
  <si>
    <t xml:space="preserve">ALCUBIERRE</t>
  </si>
  <si>
    <t xml:space="preserve">024</t>
  </si>
  <si>
    <t xml:space="preserve">ALERRE</t>
  </si>
  <si>
    <t xml:space="preserve">AGUILAR DEL ALFAMBRA</t>
  </si>
  <si>
    <t xml:space="preserve">027</t>
  </si>
  <si>
    <t xml:space="preserve">ALMUDEVAR</t>
  </si>
  <si>
    <t xml:space="preserve">AGUILON</t>
  </si>
  <si>
    <t xml:space="preserve">028</t>
  </si>
  <si>
    <t xml:space="preserve">ALMUNIA DE SAN JUAN</t>
  </si>
  <si>
    <t xml:space="preserve">030</t>
  </si>
  <si>
    <t xml:space="preserve">ALQUEZAR</t>
  </si>
  <si>
    <t xml:space="preserve">AINZON</t>
  </si>
  <si>
    <t xml:space="preserve">032</t>
  </si>
  <si>
    <t xml:space="preserve">ANGÜES</t>
  </si>
  <si>
    <t xml:space="preserve">034</t>
  </si>
  <si>
    <t xml:space="preserve">ANSO</t>
  </si>
  <si>
    <t xml:space="preserve">ALACON</t>
  </si>
  <si>
    <t xml:space="preserve">035</t>
  </si>
  <si>
    <t xml:space="preserve">ANTILLON</t>
  </si>
  <si>
    <t xml:space="preserve">ALADREN</t>
  </si>
  <si>
    <t xml:space="preserve">039</t>
  </si>
  <si>
    <t xml:space="preserve">ARAGÜES DEL PUERTO</t>
  </si>
  <si>
    <t xml:space="preserve">ALARBA</t>
  </si>
  <si>
    <t xml:space="preserve">044</t>
  </si>
  <si>
    <t xml:space="preserve">AREN</t>
  </si>
  <si>
    <t xml:space="preserve">ALBA</t>
  </si>
  <si>
    <t xml:space="preserve">045</t>
  </si>
  <si>
    <t xml:space="preserve">ARGAVIESO</t>
  </si>
  <si>
    <t xml:space="preserve">ALBALATE DEL ARZOBISPO</t>
  </si>
  <si>
    <t xml:space="preserve">046</t>
  </si>
  <si>
    <t xml:space="preserve">ARGUIS</t>
  </si>
  <si>
    <t xml:space="preserve">049</t>
  </si>
  <si>
    <t xml:space="preserve">AYERBE</t>
  </si>
  <si>
    <t xml:space="preserve">ALBARRACIN</t>
  </si>
  <si>
    <t xml:space="preserve">050</t>
  </si>
  <si>
    <t xml:space="preserve">AZANUY-ALINS</t>
  </si>
  <si>
    <t xml:space="preserve">ALBENTOSA</t>
  </si>
  <si>
    <t xml:space="preserve">051</t>
  </si>
  <si>
    <t xml:space="preserve">AZARA</t>
  </si>
  <si>
    <t xml:space="preserve">ALBERITE DE SAN JUAN</t>
  </si>
  <si>
    <t xml:space="preserve">052</t>
  </si>
  <si>
    <t xml:space="preserve">AZLOR</t>
  </si>
  <si>
    <t xml:space="preserve">053</t>
  </si>
  <si>
    <t xml:space="preserve">BAELLS</t>
  </si>
  <si>
    <t xml:space="preserve">ALBETA</t>
  </si>
  <si>
    <t xml:space="preserve">054</t>
  </si>
  <si>
    <t xml:space="preserve">BAILO</t>
  </si>
  <si>
    <t xml:space="preserve">ALBORGE</t>
  </si>
  <si>
    <t xml:space="preserve">055</t>
  </si>
  <si>
    <t xml:space="preserve">BALDELLOU</t>
  </si>
  <si>
    <t xml:space="preserve">ALCAINE</t>
  </si>
  <si>
    <t xml:space="preserve">056</t>
  </si>
  <si>
    <t xml:space="preserve">BALLOBAR</t>
  </si>
  <si>
    <t xml:space="preserve">059</t>
  </si>
  <si>
    <t xml:space="preserve">BANASTAS</t>
  </si>
  <si>
    <t xml:space="preserve">ALCALA DE LA SELVA</t>
  </si>
  <si>
    <t xml:space="preserve">061</t>
  </si>
  <si>
    <t xml:space="preserve">BARBASTRO</t>
  </si>
  <si>
    <t xml:space="preserve">ALCALA DE MONCAYO</t>
  </si>
  <si>
    <t xml:space="preserve">064</t>
  </si>
  <si>
    <t xml:space="preserve">BARBUÑALES</t>
  </si>
  <si>
    <t xml:space="preserve">065</t>
  </si>
  <si>
    <t xml:space="preserve">BARCABO</t>
  </si>
  <si>
    <t xml:space="preserve">068</t>
  </si>
  <si>
    <t xml:space="preserve">BENABARRE</t>
  </si>
  <si>
    <t xml:space="preserve">ALCAÑIZ</t>
  </si>
  <si>
    <t xml:space="preserve">069</t>
  </si>
  <si>
    <t xml:space="preserve">BENASQUE</t>
  </si>
  <si>
    <t xml:space="preserve">ALCONCHEL DE ARIZA</t>
  </si>
  <si>
    <t xml:space="preserve">072</t>
  </si>
  <si>
    <t xml:space="preserve">BERBEGAL</t>
  </si>
  <si>
    <t xml:space="preserve">ALCORISA</t>
  </si>
  <si>
    <t xml:space="preserve">079</t>
  </si>
  <si>
    <t xml:space="preserve">BIELSA</t>
  </si>
  <si>
    <t xml:space="preserve">080</t>
  </si>
  <si>
    <t xml:space="preserve">BIERGE</t>
  </si>
  <si>
    <t xml:space="preserve">ALDEHUELA DE LIESTOS</t>
  </si>
  <si>
    <t xml:space="preserve">081</t>
  </si>
  <si>
    <t xml:space="preserve">BIESCAS</t>
  </si>
  <si>
    <t xml:space="preserve">085</t>
  </si>
  <si>
    <t xml:space="preserve">BISAURRI</t>
  </si>
  <si>
    <t xml:space="preserve">ALFAJARIN</t>
  </si>
  <si>
    <t xml:space="preserve">086</t>
  </si>
  <si>
    <t xml:space="preserve">BISCARRUES</t>
  </si>
  <si>
    <t xml:space="preserve">ALFAMBRA</t>
  </si>
  <si>
    <t xml:space="preserve">087</t>
  </si>
  <si>
    <t xml:space="preserve">BLECUA Y TORRES</t>
  </si>
  <si>
    <t xml:space="preserve">ALFAMEN</t>
  </si>
  <si>
    <t xml:space="preserve">089</t>
  </si>
  <si>
    <t xml:space="preserve">BOLTAÑA</t>
  </si>
  <si>
    <t xml:space="preserve">ALFORQUE</t>
  </si>
  <si>
    <t xml:space="preserve">090</t>
  </si>
  <si>
    <t xml:space="preserve">BONANSA</t>
  </si>
  <si>
    <t xml:space="preserve">ALHAMA DE ARAGON</t>
  </si>
  <si>
    <t xml:space="preserve">092</t>
  </si>
  <si>
    <t xml:space="preserve">BORAU</t>
  </si>
  <si>
    <t xml:space="preserve">ALIAGA</t>
  </si>
  <si>
    <t xml:space="preserve">094</t>
  </si>
  <si>
    <t xml:space="preserve">BROTO</t>
  </si>
  <si>
    <t xml:space="preserve">ALLEPUZ</t>
  </si>
  <si>
    <t xml:space="preserve">038</t>
  </si>
  <si>
    <t xml:space="preserve">CALDEARENAS</t>
  </si>
  <si>
    <t xml:space="preserve">ALLOZA</t>
  </si>
  <si>
    <t xml:space="preserve">102</t>
  </si>
  <si>
    <t xml:space="preserve">CAMPO</t>
  </si>
  <si>
    <t xml:space="preserve">ALLUEVA</t>
  </si>
  <si>
    <t xml:space="preserve">103</t>
  </si>
  <si>
    <t xml:space="preserve">CAMPORRELLS</t>
  </si>
  <si>
    <t xml:space="preserve">ALMOCHUEL</t>
  </si>
  <si>
    <t xml:space="preserve">073</t>
  </si>
  <si>
    <t xml:space="preserve">CANAL DE BERDUN</t>
  </si>
  <si>
    <t xml:space="preserve">ALMOHAJA</t>
  </si>
  <si>
    <t xml:space="preserve">105</t>
  </si>
  <si>
    <t xml:space="preserve">CANFRANC</t>
  </si>
  <si>
    <t xml:space="preserve">ALMOLDA (LA)</t>
  </si>
  <si>
    <t xml:space="preserve">107</t>
  </si>
  <si>
    <t xml:space="preserve">CAPELLA</t>
  </si>
  <si>
    <t xml:space="preserve">ALMONACID DE LA CUBA</t>
  </si>
  <si>
    <t xml:space="preserve">109</t>
  </si>
  <si>
    <t xml:space="preserve">CASBAS DE HUESCA</t>
  </si>
  <si>
    <t xml:space="preserve">ALMONACID DE LA SIERRA</t>
  </si>
  <si>
    <t xml:space="preserve">113</t>
  </si>
  <si>
    <t xml:space="preserve">CASTEJON DE MONEGROS</t>
  </si>
  <si>
    <t xml:space="preserve">115</t>
  </si>
  <si>
    <t xml:space="preserve">CASTEJON DE SOS</t>
  </si>
  <si>
    <t xml:space="preserve">ALMUNIA DE DOÑA GODINA (LA)</t>
  </si>
  <si>
    <t xml:space="preserve">117</t>
  </si>
  <si>
    <t xml:space="preserve">CASTIELLO DE JACA</t>
  </si>
  <si>
    <t xml:space="preserve">118</t>
  </si>
  <si>
    <t xml:space="preserve">CASTIGALEU</t>
  </si>
  <si>
    <t xml:space="preserve">ALOBRAS</t>
  </si>
  <si>
    <t xml:space="preserve">120</t>
  </si>
  <si>
    <t xml:space="preserve">CASTILLAZUELO</t>
  </si>
  <si>
    <t xml:space="preserve">ALPARTIR</t>
  </si>
  <si>
    <t xml:space="preserve">121</t>
  </si>
  <si>
    <t xml:space="preserve">CASTILLONROY</t>
  </si>
  <si>
    <t xml:space="preserve">ALPEÑES</t>
  </si>
  <si>
    <t xml:space="preserve">133</t>
  </si>
  <si>
    <t xml:space="preserve">CHIA</t>
  </si>
  <si>
    <t xml:space="preserve">134</t>
  </si>
  <si>
    <t xml:space="preserve">CHIMILLAS</t>
  </si>
  <si>
    <t xml:space="preserve">AMBEL</t>
  </si>
  <si>
    <t xml:space="preserve">123</t>
  </si>
  <si>
    <t xml:space="preserve">COLUNGO</t>
  </si>
  <si>
    <t xml:space="preserve">ANADON</t>
  </si>
  <si>
    <t xml:space="preserve">144</t>
  </si>
  <si>
    <t xml:space="preserve">ESTADA</t>
  </si>
  <si>
    <t xml:space="preserve">ANDORRA</t>
  </si>
  <si>
    <t xml:space="preserve">145</t>
  </si>
  <si>
    <t xml:space="preserve">ESTADILLA</t>
  </si>
  <si>
    <t xml:space="preserve">ANENTO</t>
  </si>
  <si>
    <t xml:space="preserve">147</t>
  </si>
  <si>
    <t xml:space="preserve">ESTOPIÑAN DEL CASTILLO</t>
  </si>
  <si>
    <t xml:space="preserve">148</t>
  </si>
  <si>
    <t xml:space="preserve">FAGO</t>
  </si>
  <si>
    <t xml:space="preserve">ANIÑON</t>
  </si>
  <si>
    <t xml:space="preserve">149</t>
  </si>
  <si>
    <t xml:space="preserve">FANLO</t>
  </si>
  <si>
    <t xml:space="preserve">152</t>
  </si>
  <si>
    <t xml:space="preserve">FISCAL</t>
  </si>
  <si>
    <t xml:space="preserve">153</t>
  </si>
  <si>
    <t xml:space="preserve">FONZ</t>
  </si>
  <si>
    <t xml:space="preserve">AÑON DE MONCAYO</t>
  </si>
  <si>
    <t xml:space="preserve">154</t>
  </si>
  <si>
    <t xml:space="preserve">FORADADA DEL TOSCAR</t>
  </si>
  <si>
    <t xml:space="preserve">155</t>
  </si>
  <si>
    <t xml:space="preserve">FRAGA</t>
  </si>
  <si>
    <t xml:space="preserve">ARANDA DE MONCAYO</t>
  </si>
  <si>
    <t xml:space="preserve">350</t>
  </si>
  <si>
    <t xml:space="preserve">FUEVA (LA)</t>
  </si>
  <si>
    <t xml:space="preserve">ARANDIGA</t>
  </si>
  <si>
    <t xml:space="preserve">160</t>
  </si>
  <si>
    <t xml:space="preserve">GISTAIN</t>
  </si>
  <si>
    <t xml:space="preserve">ARCOS DE LAS SALINAS</t>
  </si>
  <si>
    <t xml:space="preserve">161</t>
  </si>
  <si>
    <t xml:space="preserve">GRADO (EL)</t>
  </si>
  <si>
    <t xml:space="preserve">ARDISA</t>
  </si>
  <si>
    <t xml:space="preserve">163</t>
  </si>
  <si>
    <t xml:space="preserve">GRAUS</t>
  </si>
  <si>
    <t xml:space="preserve">167</t>
  </si>
  <si>
    <t xml:space="preserve">GURREA DE GALLEGO</t>
  </si>
  <si>
    <t xml:space="preserve">ARENS DE LLEDO</t>
  </si>
  <si>
    <t xml:space="preserve">170</t>
  </si>
  <si>
    <t xml:space="preserve">HOZ DE JACA</t>
  </si>
  <si>
    <t xml:space="preserve">169</t>
  </si>
  <si>
    <t xml:space="preserve">HOZ Y COSTEAN</t>
  </si>
  <si>
    <t xml:space="preserve">ARGENTE</t>
  </si>
  <si>
    <t xml:space="preserve">901</t>
  </si>
  <si>
    <t xml:space="preserve">174</t>
  </si>
  <si>
    <t xml:space="preserve">IBIECA</t>
  </si>
  <si>
    <t xml:space="preserve">ARIÑO</t>
  </si>
  <si>
    <t xml:space="preserve">175</t>
  </si>
  <si>
    <t xml:space="preserve">IGRIES</t>
  </si>
  <si>
    <t xml:space="preserve">ARIZA</t>
  </si>
  <si>
    <t xml:space="preserve">272</t>
  </si>
  <si>
    <t xml:space="preserve">ISABENA</t>
  </si>
  <si>
    <t xml:space="preserve">ARTIEDA</t>
  </si>
  <si>
    <t xml:space="preserve">178</t>
  </si>
  <si>
    <t xml:space="preserve">JACA</t>
  </si>
  <si>
    <t xml:space="preserve">ASIN</t>
  </si>
  <si>
    <t xml:space="preserve">179</t>
  </si>
  <si>
    <t xml:space="preserve">JASA</t>
  </si>
  <si>
    <t xml:space="preserve">ATEA</t>
  </si>
  <si>
    <t xml:space="preserve">185</t>
  </si>
  <si>
    <t xml:space="preserve">LABUERDA</t>
  </si>
  <si>
    <t xml:space="preserve">ATECA</t>
  </si>
  <si>
    <t xml:space="preserve">189</t>
  </si>
  <si>
    <t xml:space="preserve">LALUENGA</t>
  </si>
  <si>
    <t xml:space="preserve">191</t>
  </si>
  <si>
    <t xml:space="preserve">LANAJA</t>
  </si>
  <si>
    <t xml:space="preserve">AZAILA</t>
  </si>
  <si>
    <t xml:space="preserve">193</t>
  </si>
  <si>
    <t xml:space="preserve">LAPERDIGUERA</t>
  </si>
  <si>
    <t xml:space="preserve">196</t>
  </si>
  <si>
    <t xml:space="preserve">LASCELLAS-PONZANO</t>
  </si>
  <si>
    <t xml:space="preserve">197</t>
  </si>
  <si>
    <t xml:space="preserve">LASCUARRE</t>
  </si>
  <si>
    <t xml:space="preserve">198</t>
  </si>
  <si>
    <t xml:space="preserve">LASPAULES</t>
  </si>
  <si>
    <t xml:space="preserve">AZUARA</t>
  </si>
  <si>
    <t xml:space="preserve">199</t>
  </si>
  <si>
    <t xml:space="preserve">LASPUÑA</t>
  </si>
  <si>
    <t xml:space="preserve">BADENAS</t>
  </si>
  <si>
    <t xml:space="preserve">205</t>
  </si>
  <si>
    <t xml:space="preserve">LOARRE</t>
  </si>
  <si>
    <t xml:space="preserve">BADULES</t>
  </si>
  <si>
    <t xml:space="preserve">206</t>
  </si>
  <si>
    <t xml:space="preserve">LOPORZANO</t>
  </si>
  <si>
    <t xml:space="preserve">207</t>
  </si>
  <si>
    <t xml:space="preserve">LOSCORRALES</t>
  </si>
  <si>
    <t xml:space="preserve">BAGUENA</t>
  </si>
  <si>
    <t xml:space="preserve">208</t>
  </si>
  <si>
    <t xml:space="preserve">LUPIÑEN-ORTILLA</t>
  </si>
  <si>
    <t xml:space="preserve">BAGUES</t>
  </si>
  <si>
    <t xml:space="preserve">215</t>
  </si>
  <si>
    <t xml:space="preserve">MONESMA Y CAJIGAR</t>
  </si>
  <si>
    <t xml:space="preserve">217</t>
  </si>
  <si>
    <t xml:space="preserve">MONTANUY</t>
  </si>
  <si>
    <t xml:space="preserve">BALCONCHAN</t>
  </si>
  <si>
    <t xml:space="preserve">222</t>
  </si>
  <si>
    <t xml:space="preserve">NAVAL</t>
  </si>
  <si>
    <t xml:space="preserve">226</t>
  </si>
  <si>
    <t xml:space="preserve">NOVALES</t>
  </si>
  <si>
    <t xml:space="preserve">227</t>
  </si>
  <si>
    <t xml:space="preserve">NUENO</t>
  </si>
  <si>
    <t xml:space="preserve">230</t>
  </si>
  <si>
    <t xml:space="preserve">OLVENA</t>
  </si>
  <si>
    <t xml:space="preserve">BAÑON</t>
  </si>
  <si>
    <t xml:space="preserve">231</t>
  </si>
  <si>
    <t xml:space="preserve">ONTIÑENA</t>
  </si>
  <si>
    <t xml:space="preserve">236</t>
  </si>
  <si>
    <t xml:space="preserve">PALO</t>
  </si>
  <si>
    <t xml:space="preserve">BARBOLES</t>
  </si>
  <si>
    <t xml:space="preserve">239</t>
  </si>
  <si>
    <t xml:space="preserve">PANTICOSA</t>
  </si>
  <si>
    <t xml:space="preserve">241</t>
  </si>
  <si>
    <t xml:space="preserve">PEÑALBA</t>
  </si>
  <si>
    <t xml:space="preserve">270</t>
  </si>
  <si>
    <t xml:space="preserve">PEÑAS DE RIGLOS (LAS)</t>
  </si>
  <si>
    <t xml:space="preserve">BARDALLUR</t>
  </si>
  <si>
    <t xml:space="preserve">242</t>
  </si>
  <si>
    <t xml:space="preserve">PERALTA DE ALCOFEA</t>
  </si>
  <si>
    <t xml:space="preserve">BARRACHINA</t>
  </si>
  <si>
    <t xml:space="preserve">243</t>
  </si>
  <si>
    <t xml:space="preserve">PERALTA DE CALASANZ</t>
  </si>
  <si>
    <t xml:space="preserve">BEA</t>
  </si>
  <si>
    <t xml:space="preserve">244</t>
  </si>
  <si>
    <t xml:space="preserve">PERALTILLA</t>
  </si>
  <si>
    <t xml:space="preserve">BECEITE</t>
  </si>
  <si>
    <t xml:space="preserve">245</t>
  </si>
  <si>
    <t xml:space="preserve">PERARRUA</t>
  </si>
  <si>
    <t xml:space="preserve">BELCHITE</t>
  </si>
  <si>
    <t xml:space="preserve">246</t>
  </si>
  <si>
    <t xml:space="preserve">PERTUSA</t>
  </si>
  <si>
    <t xml:space="preserve">BELLO</t>
  </si>
  <si>
    <t xml:space="preserve">249</t>
  </si>
  <si>
    <t xml:space="preserve">PIRACES</t>
  </si>
  <si>
    <t xml:space="preserve">BELMONTE DE GRACIAN</t>
  </si>
  <si>
    <t xml:space="preserve">250</t>
  </si>
  <si>
    <t xml:space="preserve">PLAN</t>
  </si>
  <si>
    <t xml:space="preserve">BELMONTE DE SAN JOSE</t>
  </si>
  <si>
    <t xml:space="preserve">255</t>
  </si>
  <si>
    <t xml:space="preserve">POZAN DE VERO</t>
  </si>
  <si>
    <t xml:space="preserve">256</t>
  </si>
  <si>
    <t xml:space="preserve">PUEBLA DE CASTRO (LA)</t>
  </si>
  <si>
    <t xml:space="preserve">259</t>
  </si>
  <si>
    <t xml:space="preserve">PUENTE DE MONTAÑANA</t>
  </si>
  <si>
    <t xml:space="preserve">288</t>
  </si>
  <si>
    <t xml:space="preserve">PUENTE LA REINA DE JACA</t>
  </si>
  <si>
    <t xml:space="preserve">BERDEJO</t>
  </si>
  <si>
    <t xml:space="preserve">260</t>
  </si>
  <si>
    <t xml:space="preserve">PUERTOLAS</t>
  </si>
  <si>
    <t xml:space="preserve">BERGE</t>
  </si>
  <si>
    <t xml:space="preserve">261</t>
  </si>
  <si>
    <t xml:space="preserve">PUEYO DE ARAGUAS (EL)</t>
  </si>
  <si>
    <t xml:space="preserve">BERRUECO</t>
  </si>
  <si>
    <t xml:space="preserve">266</t>
  </si>
  <si>
    <t xml:space="preserve">QUICENA</t>
  </si>
  <si>
    <t xml:space="preserve">BEZAS</t>
  </si>
  <si>
    <t xml:space="preserve">271</t>
  </si>
  <si>
    <t xml:space="preserve">ROBRES</t>
  </si>
  <si>
    <t xml:space="preserve">BIEL-FUENCALDERAS</t>
  </si>
  <si>
    <t xml:space="preserve">275</t>
  </si>
  <si>
    <t xml:space="preserve">SABIÑANIGO</t>
  </si>
  <si>
    <t xml:space="preserve">276</t>
  </si>
  <si>
    <t xml:space="preserve">SAHUN</t>
  </si>
  <si>
    <t xml:space="preserve">277</t>
  </si>
  <si>
    <t xml:space="preserve">SALAS ALTAS</t>
  </si>
  <si>
    <t xml:space="preserve">278</t>
  </si>
  <si>
    <t xml:space="preserve">SALAS BAJAS</t>
  </si>
  <si>
    <t xml:space="preserve">BIJUESCA</t>
  </si>
  <si>
    <t xml:space="preserve">279</t>
  </si>
  <si>
    <t xml:space="preserve">SALILLAS</t>
  </si>
  <si>
    <t xml:space="preserve">BIOTA</t>
  </si>
  <si>
    <t xml:space="preserve">282</t>
  </si>
  <si>
    <t xml:space="preserve">SALLENT DE GALLEGO</t>
  </si>
  <si>
    <t xml:space="preserve">283</t>
  </si>
  <si>
    <t xml:space="preserve">SAN ESTEBAN DE LITERA</t>
  </si>
  <si>
    <t xml:space="preserve">285</t>
  </si>
  <si>
    <t xml:space="preserve">SAN JUAN DE PLAN</t>
  </si>
  <si>
    <t xml:space="preserve">BISIMBRE</t>
  </si>
  <si>
    <t xml:space="preserve">286</t>
  </si>
  <si>
    <t xml:space="preserve">SANTA CILIA DE JACA</t>
  </si>
  <si>
    <t xml:space="preserve">BLANCAS</t>
  </si>
  <si>
    <t xml:space="preserve">287</t>
  </si>
  <si>
    <t xml:space="preserve">SANTA CRUZ DE LA SEROS</t>
  </si>
  <si>
    <t xml:space="preserve">171</t>
  </si>
  <si>
    <t xml:space="preserve">SANTA MARIA DE DULCIS</t>
  </si>
  <si>
    <t xml:space="preserve">BLESA</t>
  </si>
  <si>
    <t xml:space="preserve">291</t>
  </si>
  <si>
    <t xml:space="preserve">SANTALIESTRA Y SAN QUILEZ</t>
  </si>
  <si>
    <t xml:space="preserve">298</t>
  </si>
  <si>
    <t xml:space="preserve">SECASTILLA</t>
  </si>
  <si>
    <t xml:space="preserve">299</t>
  </si>
  <si>
    <t xml:space="preserve">SEIRA</t>
  </si>
  <si>
    <t xml:space="preserve">301</t>
  </si>
  <si>
    <t xml:space="preserve">SENA</t>
  </si>
  <si>
    <t xml:space="preserve">BORDALBA</t>
  </si>
  <si>
    <t xml:space="preserve">303</t>
  </si>
  <si>
    <t xml:space="preserve">SENES DE ALCUBIERRE</t>
  </si>
  <si>
    <t xml:space="preserve">BORDON</t>
  </si>
  <si>
    <t xml:space="preserve">305</t>
  </si>
  <si>
    <t xml:space="preserve">SESA</t>
  </si>
  <si>
    <t xml:space="preserve">BORJA</t>
  </si>
  <si>
    <t xml:space="preserve">306</t>
  </si>
  <si>
    <t xml:space="preserve">SESUE</t>
  </si>
  <si>
    <t xml:space="preserve">BOTORRITA</t>
  </si>
  <si>
    <t xml:space="preserve">309</t>
  </si>
  <si>
    <t xml:space="preserve">SIETAMO</t>
  </si>
  <si>
    <t xml:space="preserve">BREA DE ARAGON</t>
  </si>
  <si>
    <t xml:space="preserve">313</t>
  </si>
  <si>
    <t xml:space="preserve">SOPEIRA</t>
  </si>
  <si>
    <t xml:space="preserve">BRONCHALES</t>
  </si>
  <si>
    <t xml:space="preserve">088</t>
  </si>
  <si>
    <t xml:space="preserve">SOTONERA (LA)</t>
  </si>
  <si>
    <t xml:space="preserve">316</t>
  </si>
  <si>
    <t xml:space="preserve">TARDIENTA</t>
  </si>
  <si>
    <t xml:space="preserve">BUBIERCA</t>
  </si>
  <si>
    <t xml:space="preserve">317</t>
  </si>
  <si>
    <t xml:space="preserve">TELLA-SIN</t>
  </si>
  <si>
    <t xml:space="preserve">BUEÑA</t>
  </si>
  <si>
    <t xml:space="preserve">318</t>
  </si>
  <si>
    <t xml:space="preserve">TIERZ</t>
  </si>
  <si>
    <t xml:space="preserve">BUJARALOZ</t>
  </si>
  <si>
    <t xml:space="preserve">320</t>
  </si>
  <si>
    <t xml:space="preserve">TOLVA</t>
  </si>
  <si>
    <t xml:space="preserve">BULBUENTE</t>
  </si>
  <si>
    <t xml:space="preserve">321</t>
  </si>
  <si>
    <t xml:space="preserve">TORLA</t>
  </si>
  <si>
    <t xml:space="preserve">BURBAGUENA</t>
  </si>
  <si>
    <t xml:space="preserve">323</t>
  </si>
  <si>
    <t xml:space="preserve">TORRALBA DE ARAGON</t>
  </si>
  <si>
    <t xml:space="preserve">BURETA</t>
  </si>
  <si>
    <t xml:space="preserve">324</t>
  </si>
  <si>
    <t xml:space="preserve">TORRE LA RIBERA</t>
  </si>
  <si>
    <t xml:space="preserve">BUSTE (EL)</t>
  </si>
  <si>
    <t xml:space="preserve">325</t>
  </si>
  <si>
    <t xml:space="preserve">TORRENTE DE CINCA</t>
  </si>
  <si>
    <t xml:space="preserve">CABOLAFUENTE</t>
  </si>
  <si>
    <t xml:space="preserve">336</t>
  </si>
  <si>
    <t xml:space="preserve">VALFARTA</t>
  </si>
  <si>
    <t xml:space="preserve">CABRA DE MORA</t>
  </si>
  <si>
    <t xml:space="preserve">337</t>
  </si>
  <si>
    <t xml:space="preserve">VALLE DE BARDAJI</t>
  </si>
  <si>
    <t xml:space="preserve">CADRETE</t>
  </si>
  <si>
    <t xml:space="preserve">168</t>
  </si>
  <si>
    <t xml:space="preserve">VALLE DE HECHO</t>
  </si>
  <si>
    <t xml:space="preserve">CALACEITE</t>
  </si>
  <si>
    <t xml:space="preserve">338</t>
  </si>
  <si>
    <t xml:space="preserve">VALLE DE LIERP</t>
  </si>
  <si>
    <t xml:space="preserve">CALAMOCHA</t>
  </si>
  <si>
    <t xml:space="preserve">339</t>
  </si>
  <si>
    <t xml:space="preserve">VELILLA DE CINCA</t>
  </si>
  <si>
    <t xml:space="preserve">CALANDA</t>
  </si>
  <si>
    <t xml:space="preserve">071</t>
  </si>
  <si>
    <t xml:space="preserve">VERACRUZ</t>
  </si>
  <si>
    <t xml:space="preserve">CALATAYUD</t>
  </si>
  <si>
    <t xml:space="preserve">341</t>
  </si>
  <si>
    <t xml:space="preserve">VIACAMP Y LITERA</t>
  </si>
  <si>
    <t xml:space="preserve">CALATORAO</t>
  </si>
  <si>
    <t xml:space="preserve">342</t>
  </si>
  <si>
    <t xml:space="preserve">VICIEN</t>
  </si>
  <si>
    <t xml:space="preserve">CALCENA</t>
  </si>
  <si>
    <t xml:space="preserve">343</t>
  </si>
  <si>
    <t xml:space="preserve">VILLANOVA</t>
  </si>
  <si>
    <t xml:space="preserve">344</t>
  </si>
  <si>
    <t xml:space="preserve">VILLANUA</t>
  </si>
  <si>
    <t xml:space="preserve">CALMARZA</t>
  </si>
  <si>
    <t xml:space="preserve">345</t>
  </si>
  <si>
    <t xml:space="preserve">VILLANUEVA DE SIGENA</t>
  </si>
  <si>
    <t xml:space="preserve">CALOMARDE</t>
  </si>
  <si>
    <t xml:space="preserve">347</t>
  </si>
  <si>
    <t xml:space="preserve">YEBRA DE BASA</t>
  </si>
  <si>
    <t xml:space="preserve">CAMAÑAS</t>
  </si>
  <si>
    <t xml:space="preserve">348</t>
  </si>
  <si>
    <t xml:space="preserve">YESERO</t>
  </si>
  <si>
    <t xml:space="preserve">CAMARENA DE LA SIERRA</t>
  </si>
  <si>
    <t xml:space="preserve">CAMARILLAS</t>
  </si>
  <si>
    <t xml:space="preserve">CAMINREAL</t>
  </si>
  <si>
    <t xml:space="preserve">003</t>
  </si>
  <si>
    <t xml:space="preserve">CAMPILLO DE ARAGON</t>
  </si>
  <si>
    <t xml:space="preserve">004</t>
  </si>
  <si>
    <t xml:space="preserve">006</t>
  </si>
  <si>
    <t xml:space="preserve">008</t>
  </si>
  <si>
    <t xml:space="preserve">CANTAVIEJA</t>
  </si>
  <si>
    <t xml:space="preserve">CAÑADA DE BENATANDUZ</t>
  </si>
  <si>
    <t xml:space="preserve">CAÑADA DE VERICH (LA)</t>
  </si>
  <si>
    <t xml:space="preserve">011</t>
  </si>
  <si>
    <t xml:space="preserve">CAÑADA VELLIDA</t>
  </si>
  <si>
    <t xml:space="preserve">CAÑIZAR DEL OLIVAR</t>
  </si>
  <si>
    <t xml:space="preserve">013</t>
  </si>
  <si>
    <t xml:space="preserve">014</t>
  </si>
  <si>
    <t xml:space="preserve">CARENAS</t>
  </si>
  <si>
    <t xml:space="preserve">016</t>
  </si>
  <si>
    <t xml:space="preserve">CARIÑENA</t>
  </si>
  <si>
    <t xml:space="preserve">017</t>
  </si>
  <si>
    <t xml:space="preserve">CASCANTE DEL RIO</t>
  </si>
  <si>
    <t xml:space="preserve">022</t>
  </si>
  <si>
    <t xml:space="preserve">CASPE</t>
  </si>
  <si>
    <t xml:space="preserve">CASTEJON DE ALARBA</t>
  </si>
  <si>
    <t xml:space="preserve">018</t>
  </si>
  <si>
    <t xml:space="preserve">CASTEJON DE LAS ARMAS</t>
  </si>
  <si>
    <t xml:space="preserve">CASTEJON DE TORNOS</t>
  </si>
  <si>
    <t xml:space="preserve">025</t>
  </si>
  <si>
    <t xml:space="preserve">CASTEJON DE VALDEJASA</t>
  </si>
  <si>
    <t xml:space="preserve">026</t>
  </si>
  <si>
    <t xml:space="preserve">CASTEL DE CABRA</t>
  </si>
  <si>
    <t xml:space="preserve">CASTELLAR (EL)</t>
  </si>
  <si>
    <t xml:space="preserve">CASTELLOTE</t>
  </si>
  <si>
    <t xml:space="preserve">029</t>
  </si>
  <si>
    <t xml:space="preserve">CASTELNOU</t>
  </si>
  <si>
    <t xml:space="preserve">031</t>
  </si>
  <si>
    <t xml:space="preserve">CASTELSERAS</t>
  </si>
  <si>
    <t xml:space="preserve">033</t>
  </si>
  <si>
    <t xml:space="preserve">CASTILISCAR</t>
  </si>
  <si>
    <t xml:space="preserve">036</t>
  </si>
  <si>
    <t xml:space="preserve">037</t>
  </si>
  <si>
    <t xml:space="preserve">CEDRILLAS</t>
  </si>
  <si>
    <t xml:space="preserve">CELADAS</t>
  </si>
  <si>
    <t xml:space="preserve">CELLA</t>
  </si>
  <si>
    <t xml:space="preserve">040</t>
  </si>
  <si>
    <t xml:space="preserve">CEROLLERA (LA)</t>
  </si>
  <si>
    <t xml:space="preserve">041</t>
  </si>
  <si>
    <t xml:space="preserve">CERVERA DE LA CAÑADA</t>
  </si>
  <si>
    <t xml:space="preserve">042</t>
  </si>
  <si>
    <t xml:space="preserve">CERVERUELA</t>
  </si>
  <si>
    <t xml:space="preserve">043</t>
  </si>
  <si>
    <t xml:space="preserve">CETINA</t>
  </si>
  <si>
    <t xml:space="preserve">CHIPRANA</t>
  </si>
  <si>
    <t xml:space="preserve">047</t>
  </si>
  <si>
    <t xml:space="preserve">CHODES</t>
  </si>
  <si>
    <t xml:space="preserve">048</t>
  </si>
  <si>
    <t xml:space="preserve">CIMBALLA</t>
  </si>
  <si>
    <t xml:space="preserve">CINCO OLIVAS</t>
  </si>
  <si>
    <t xml:space="preserve">CLARES DE RIBOTA</t>
  </si>
  <si>
    <t xml:space="preserve">CODO</t>
  </si>
  <si>
    <t xml:space="preserve">CODOÐERA (LA)</t>
  </si>
  <si>
    <t xml:space="preserve">CODOS</t>
  </si>
  <si>
    <t xml:space="preserve">CONTAMINA</t>
  </si>
  <si>
    <t xml:space="preserve">CORBALAN</t>
  </si>
  <si>
    <t xml:space="preserve">CORTES DE ARAGON</t>
  </si>
  <si>
    <t xml:space="preserve">060</t>
  </si>
  <si>
    <t xml:space="preserve">COSA</t>
  </si>
  <si>
    <t xml:space="preserve">COSUENDA</t>
  </si>
  <si>
    <t xml:space="preserve">062</t>
  </si>
  <si>
    <t xml:space="preserve">CRETAS</t>
  </si>
  <si>
    <t xml:space="preserve">063</t>
  </si>
  <si>
    <t xml:space="preserve">CRIVILLEN</t>
  </si>
  <si>
    <t xml:space="preserve">CUARTE DE HUERVA</t>
  </si>
  <si>
    <t xml:space="preserve">CUBA (LA)</t>
  </si>
  <si>
    <t xml:space="preserve">066</t>
  </si>
  <si>
    <t xml:space="preserve">CUBEL</t>
  </si>
  <si>
    <t xml:space="preserve">070</t>
  </si>
  <si>
    <t xml:space="preserve">CUBLA</t>
  </si>
  <si>
    <t xml:space="preserve">CUCALON</t>
  </si>
  <si>
    <t xml:space="preserve">067</t>
  </si>
  <si>
    <t xml:space="preserve">CUERLAS (LAS)</t>
  </si>
  <si>
    <t xml:space="preserve">CUERVO (EL)</t>
  </si>
  <si>
    <t xml:space="preserve">074</t>
  </si>
  <si>
    <t xml:space="preserve">CUEVAS DE ALMUDEN</t>
  </si>
  <si>
    <t xml:space="preserve">075</t>
  </si>
  <si>
    <t xml:space="preserve">CUEVAS LABRADAS</t>
  </si>
  <si>
    <t xml:space="preserve">076</t>
  </si>
  <si>
    <t xml:space="preserve">DAROCA</t>
  </si>
  <si>
    <t xml:space="preserve">077</t>
  </si>
  <si>
    <t xml:space="preserve">EJULVE</t>
  </si>
  <si>
    <t xml:space="preserve">EMBID DE ARIZA</t>
  </si>
  <si>
    <t xml:space="preserve">084</t>
  </si>
  <si>
    <t xml:space="preserve">ENCINACORBA</t>
  </si>
  <si>
    <t xml:space="preserve">EPILA</t>
  </si>
  <si>
    <t xml:space="preserve">ESCATRON</t>
  </si>
  <si>
    <t xml:space="preserve">ESCORIHUELA</t>
  </si>
  <si>
    <t xml:space="preserve">ESCUCHA</t>
  </si>
  <si>
    <t xml:space="preserve">091</t>
  </si>
  <si>
    <t xml:space="preserve">ESTERCUEL</t>
  </si>
  <si>
    <t xml:space="preserve">095</t>
  </si>
  <si>
    <t xml:space="preserve">FABARA</t>
  </si>
  <si>
    <t xml:space="preserve">098</t>
  </si>
  <si>
    <t xml:space="preserve">101</t>
  </si>
  <si>
    <t xml:space="preserve">FARLETE</t>
  </si>
  <si>
    <t xml:space="preserve">104</t>
  </si>
  <si>
    <t xml:space="preserve">FAYON</t>
  </si>
  <si>
    <t xml:space="preserve">FAYOS (LOS)</t>
  </si>
  <si>
    <t xml:space="preserve">106</t>
  </si>
  <si>
    <t xml:space="preserve">FERRERUELA DE HUERVA</t>
  </si>
  <si>
    <t xml:space="preserve">FONFRIA</t>
  </si>
  <si>
    <t xml:space="preserve">108</t>
  </si>
  <si>
    <t xml:space="preserve">FORMICHE ALTO</t>
  </si>
  <si>
    <t xml:space="preserve">FOMBUENA</t>
  </si>
  <si>
    <t xml:space="preserve">110</t>
  </si>
  <si>
    <t xml:space="preserve">FORNOLES</t>
  </si>
  <si>
    <t xml:space="preserve">111</t>
  </si>
  <si>
    <t xml:space="preserve">FORTANETE</t>
  </si>
  <si>
    <t xml:space="preserve">112</t>
  </si>
  <si>
    <t xml:space="preserve">FOZ-CALANDA</t>
  </si>
  <si>
    <t xml:space="preserve">FRESNEDA (LA)</t>
  </si>
  <si>
    <t xml:space="preserve">114</t>
  </si>
  <si>
    <t xml:space="preserve">FRIAS DE ALBARRACIN</t>
  </si>
  <si>
    <t xml:space="preserve">FUENFERRADA</t>
  </si>
  <si>
    <t xml:space="preserve">116</t>
  </si>
  <si>
    <t xml:space="preserve">FUENTES CALIENTES</t>
  </si>
  <si>
    <t xml:space="preserve">FUENTES CLARAS</t>
  </si>
  <si>
    <t xml:space="preserve">FUENTES DE RUBIELOS</t>
  </si>
  <si>
    <t xml:space="preserve">FRAGO (EL)</t>
  </si>
  <si>
    <t xml:space="preserve">119</t>
  </si>
  <si>
    <t xml:space="preserve">FUENTESPALDA</t>
  </si>
  <si>
    <t xml:space="preserve">FRASNO (EL)</t>
  </si>
  <si>
    <t xml:space="preserve">GALVE</t>
  </si>
  <si>
    <t xml:space="preserve">FRESCANO</t>
  </si>
  <si>
    <t xml:space="preserve">GARGALLO</t>
  </si>
  <si>
    <t xml:space="preserve">122</t>
  </si>
  <si>
    <t xml:space="preserve">GEA DE ALBARRACIN</t>
  </si>
  <si>
    <t xml:space="preserve">GINEBROSA (LA)</t>
  </si>
  <si>
    <t xml:space="preserve">FUENDEJALON</t>
  </si>
  <si>
    <t xml:space="preserve">125</t>
  </si>
  <si>
    <t xml:space="preserve">GRIEGOS</t>
  </si>
  <si>
    <t xml:space="preserve">FUENDETODOS</t>
  </si>
  <si>
    <t xml:space="preserve">126</t>
  </si>
  <si>
    <t xml:space="preserve">GUADALAVIAR</t>
  </si>
  <si>
    <t xml:space="preserve">127</t>
  </si>
  <si>
    <t xml:space="preserve">GUDAR</t>
  </si>
  <si>
    <t xml:space="preserve">128</t>
  </si>
  <si>
    <t xml:space="preserve">HIJAR</t>
  </si>
  <si>
    <t xml:space="preserve">129</t>
  </si>
  <si>
    <t xml:space="preserve">HINOJOSA DE JARQUE</t>
  </si>
  <si>
    <t xml:space="preserve">FUENTES DE EBRO</t>
  </si>
  <si>
    <t xml:space="preserve">130</t>
  </si>
  <si>
    <t xml:space="preserve">HOZ DE LA VIEJA (LA)</t>
  </si>
  <si>
    <t xml:space="preserve">FUENTES DE JILOCA</t>
  </si>
  <si>
    <t xml:space="preserve">131</t>
  </si>
  <si>
    <t xml:space="preserve">HUESA DEL COMUN</t>
  </si>
  <si>
    <t xml:space="preserve">132</t>
  </si>
  <si>
    <t xml:space="preserve">IGLESUELA DEL CID (LA)</t>
  </si>
  <si>
    <t xml:space="preserve">JABALOYAS</t>
  </si>
  <si>
    <t xml:space="preserve">JARQUE DE LA VAL</t>
  </si>
  <si>
    <t xml:space="preserve">GALLOCANTA</t>
  </si>
  <si>
    <t xml:space="preserve">135</t>
  </si>
  <si>
    <t xml:space="preserve">JATIEL</t>
  </si>
  <si>
    <t xml:space="preserve">136</t>
  </si>
  <si>
    <t xml:space="preserve">JORCAS</t>
  </si>
  <si>
    <t xml:space="preserve">137</t>
  </si>
  <si>
    <t xml:space="preserve">JOSA</t>
  </si>
  <si>
    <t xml:space="preserve">139</t>
  </si>
  <si>
    <t xml:space="preserve">LAGUERUELA</t>
  </si>
  <si>
    <t xml:space="preserve">GELSA</t>
  </si>
  <si>
    <t xml:space="preserve">140</t>
  </si>
  <si>
    <t xml:space="preserve">LANZUELA</t>
  </si>
  <si>
    <t xml:space="preserve">142</t>
  </si>
  <si>
    <t xml:space="preserve">LIBROS</t>
  </si>
  <si>
    <t xml:space="preserve">143</t>
  </si>
  <si>
    <t xml:space="preserve">LIDON</t>
  </si>
  <si>
    <t xml:space="preserve">GODOJOS</t>
  </si>
  <si>
    <t xml:space="preserve">LINARES DE MORA</t>
  </si>
  <si>
    <t xml:space="preserve">GOTOR</t>
  </si>
  <si>
    <t xml:space="preserve">LLEDO</t>
  </si>
  <si>
    <t xml:space="preserve">LOSCOS</t>
  </si>
  <si>
    <t xml:space="preserve">MAICAS</t>
  </si>
  <si>
    <t xml:space="preserve">150</t>
  </si>
  <si>
    <t xml:space="preserve">MANZANERA</t>
  </si>
  <si>
    <t xml:space="preserve">GRISEL</t>
  </si>
  <si>
    <t xml:space="preserve">151</t>
  </si>
  <si>
    <t xml:space="preserve">MARTIN DEL RIO</t>
  </si>
  <si>
    <t xml:space="preserve">GRISEN</t>
  </si>
  <si>
    <t xml:space="preserve">MAS DE LAS MATAS</t>
  </si>
  <si>
    <t xml:space="preserve">MATA DE LOS OLMOS (LA)</t>
  </si>
  <si>
    <t xml:space="preserve">MAZALEON</t>
  </si>
  <si>
    <t xml:space="preserve">MEZQUITA DE JARQUE</t>
  </si>
  <si>
    <t xml:space="preserve">HERRERA DE LOS NAVARROS</t>
  </si>
  <si>
    <t xml:space="preserve">157</t>
  </si>
  <si>
    <t xml:space="preserve">MIRAMBEL</t>
  </si>
  <si>
    <t xml:space="preserve">158</t>
  </si>
  <si>
    <t xml:space="preserve">MIRAVETE DE LA SIERRA</t>
  </si>
  <si>
    <t xml:space="preserve">159</t>
  </si>
  <si>
    <t xml:space="preserve">MOLINOS</t>
  </si>
  <si>
    <t xml:space="preserve">MONFORTE DE MOYUELA</t>
  </si>
  <si>
    <t xml:space="preserve">MONREAL DEL CAMPO</t>
  </si>
  <si>
    <t xml:space="preserve">162</t>
  </si>
  <si>
    <t xml:space="preserve">MONROYO</t>
  </si>
  <si>
    <t xml:space="preserve">MONTALBAN</t>
  </si>
  <si>
    <t xml:space="preserve">164</t>
  </si>
  <si>
    <t xml:space="preserve">MONTEAGUDO DEL CASTILLO</t>
  </si>
  <si>
    <t xml:space="preserve">IBDES</t>
  </si>
  <si>
    <t xml:space="preserve">165</t>
  </si>
  <si>
    <t xml:space="preserve">MONTERDE DE ALBARRACIN</t>
  </si>
  <si>
    <t xml:space="preserve">MORA DE RUBIELOS</t>
  </si>
  <si>
    <t xml:space="preserve">MOSCARDON</t>
  </si>
  <si>
    <t xml:space="preserve">MOSQUERUELA</t>
  </si>
  <si>
    <t xml:space="preserve">ILLUECA</t>
  </si>
  <si>
    <t xml:space="preserve">MUNIESA</t>
  </si>
  <si>
    <t xml:space="preserve">172</t>
  </si>
  <si>
    <t xml:space="preserve">NOGUERA DE ALBARRACIN</t>
  </si>
  <si>
    <t xml:space="preserve">ISUERRE</t>
  </si>
  <si>
    <t xml:space="preserve">173</t>
  </si>
  <si>
    <t xml:space="preserve">NOGUERAS</t>
  </si>
  <si>
    <t xml:space="preserve">NOGUERUELAS</t>
  </si>
  <si>
    <t xml:space="preserve">176</t>
  </si>
  <si>
    <t xml:space="preserve">OBON</t>
  </si>
  <si>
    <t xml:space="preserve">JARABA</t>
  </si>
  <si>
    <t xml:space="preserve">177</t>
  </si>
  <si>
    <t xml:space="preserve">ODON</t>
  </si>
  <si>
    <t xml:space="preserve">JARQUE</t>
  </si>
  <si>
    <t xml:space="preserve">OJOS NEGROS</t>
  </si>
  <si>
    <t xml:space="preserve">180</t>
  </si>
  <si>
    <t xml:space="preserve">OLBA</t>
  </si>
  <si>
    <t xml:space="preserve">181</t>
  </si>
  <si>
    <t xml:space="preserve">OLIETE</t>
  </si>
  <si>
    <t xml:space="preserve">182</t>
  </si>
  <si>
    <t xml:space="preserve">OLMOS (LOS)</t>
  </si>
  <si>
    <t xml:space="preserve">JAULIN</t>
  </si>
  <si>
    <t xml:space="preserve">183</t>
  </si>
  <si>
    <t xml:space="preserve">ORIHUELA DEL TREMEDAL</t>
  </si>
  <si>
    <t xml:space="preserve">184</t>
  </si>
  <si>
    <t xml:space="preserve">ORRIOS</t>
  </si>
  <si>
    <t xml:space="preserve">PALOMAR DE ARROYOS</t>
  </si>
  <si>
    <t xml:space="preserve">186</t>
  </si>
  <si>
    <t xml:space="preserve">PANCRUDO</t>
  </si>
  <si>
    <t xml:space="preserve">LAGATA</t>
  </si>
  <si>
    <t xml:space="preserve">187</t>
  </si>
  <si>
    <t xml:space="preserve">PARRAS DE CASTELLOTE (LAS)</t>
  </si>
  <si>
    <t xml:space="preserve">PEÑARROYA DE TASTAVINS</t>
  </si>
  <si>
    <t xml:space="preserve">190</t>
  </si>
  <si>
    <t xml:space="preserve">PERACENSE</t>
  </si>
  <si>
    <t xml:space="preserve">PERALEJOS</t>
  </si>
  <si>
    <t xml:space="preserve">LANGA DEL CASTILLO</t>
  </si>
  <si>
    <t xml:space="preserve">192</t>
  </si>
  <si>
    <t xml:space="preserve">PERALES DEL ALFAMBRA</t>
  </si>
  <si>
    <t xml:space="preserve">194</t>
  </si>
  <si>
    <t xml:space="preserve">PITARQUE</t>
  </si>
  <si>
    <t xml:space="preserve">195</t>
  </si>
  <si>
    <t xml:space="preserve">PLOU</t>
  </si>
  <si>
    <t xml:space="preserve">POBO (EL)</t>
  </si>
  <si>
    <t xml:space="preserve">PORTELLADA (LA)</t>
  </si>
  <si>
    <t xml:space="preserve">200</t>
  </si>
  <si>
    <t xml:space="preserve">POZONDON</t>
  </si>
  <si>
    <t xml:space="preserve">201</t>
  </si>
  <si>
    <t xml:space="preserve">POZUEL DEL CAMPO</t>
  </si>
  <si>
    <t xml:space="preserve">LAYANA</t>
  </si>
  <si>
    <t xml:space="preserve">202</t>
  </si>
  <si>
    <t xml:space="preserve">PUEBLA DE HIJAR (LA)</t>
  </si>
  <si>
    <t xml:space="preserve">LECERA</t>
  </si>
  <si>
    <t xml:space="preserve">203</t>
  </si>
  <si>
    <t xml:space="preserve">PUEBLA DE VALVERDE (LA)</t>
  </si>
  <si>
    <t xml:space="preserve">LECHON</t>
  </si>
  <si>
    <t xml:space="preserve">204</t>
  </si>
  <si>
    <t xml:space="preserve">PUERTOMINGALVO</t>
  </si>
  <si>
    <t xml:space="preserve">RAFALES</t>
  </si>
  <si>
    <t xml:space="preserve">LETUX</t>
  </si>
  <si>
    <t xml:space="preserve">RILLO</t>
  </si>
  <si>
    <t xml:space="preserve">RIODEVA</t>
  </si>
  <si>
    <t xml:space="preserve">209</t>
  </si>
  <si>
    <t xml:space="preserve">RODENAS</t>
  </si>
  <si>
    <t xml:space="preserve">210</t>
  </si>
  <si>
    <t xml:space="preserve">ROYUELA</t>
  </si>
  <si>
    <t xml:space="preserve">LITAGO</t>
  </si>
  <si>
    <t xml:space="preserve">211</t>
  </si>
  <si>
    <t xml:space="preserve">RUBIALES</t>
  </si>
  <si>
    <t xml:space="preserve">LITUENIGO</t>
  </si>
  <si>
    <t xml:space="preserve">212</t>
  </si>
  <si>
    <t xml:space="preserve">RUBIELOS DE LA CERIDA</t>
  </si>
  <si>
    <t xml:space="preserve">213</t>
  </si>
  <si>
    <t xml:space="preserve">RUBIELOS DE MORA</t>
  </si>
  <si>
    <t xml:space="preserve">SALCEDILLO</t>
  </si>
  <si>
    <t xml:space="preserve">LOBERA DE ONSELLA</t>
  </si>
  <si>
    <t xml:space="preserve">216</t>
  </si>
  <si>
    <t xml:space="preserve">SALDON</t>
  </si>
  <si>
    <t xml:space="preserve">LONGARES</t>
  </si>
  <si>
    <t xml:space="preserve">SAMPER DE CALANDA</t>
  </si>
  <si>
    <t xml:space="preserve">LONGAS</t>
  </si>
  <si>
    <t xml:space="preserve">218</t>
  </si>
  <si>
    <t xml:space="preserve">SAN AGUSTIN</t>
  </si>
  <si>
    <t xml:space="preserve">219</t>
  </si>
  <si>
    <t xml:space="preserve">SAN MARTIN DEL RIO</t>
  </si>
  <si>
    <t xml:space="preserve">220</t>
  </si>
  <si>
    <t xml:space="preserve">SANTA CRUZ DE NOGUERAS</t>
  </si>
  <si>
    <t xml:space="preserve">221</t>
  </si>
  <si>
    <t xml:space="preserve">SANTA EULALIA</t>
  </si>
  <si>
    <t xml:space="preserve">LUCENA DE JALON</t>
  </si>
  <si>
    <t xml:space="preserve">223</t>
  </si>
  <si>
    <t xml:space="preserve">SARRION</t>
  </si>
  <si>
    <t xml:space="preserve">LUESIA</t>
  </si>
  <si>
    <t xml:space="preserve">224</t>
  </si>
  <si>
    <t xml:space="preserve">SEGURA DE LOS BAÑOS</t>
  </si>
  <si>
    <t xml:space="preserve">LUESMA</t>
  </si>
  <si>
    <t xml:space="preserve">225</t>
  </si>
  <si>
    <t xml:space="preserve">SENO</t>
  </si>
  <si>
    <t xml:space="preserve">LUMPIAQUE</t>
  </si>
  <si>
    <t xml:space="preserve">SINGRA</t>
  </si>
  <si>
    <t xml:space="preserve">LUNA</t>
  </si>
  <si>
    <t xml:space="preserve">228</t>
  </si>
  <si>
    <t xml:space="preserve">TERRIENTE</t>
  </si>
  <si>
    <t xml:space="preserve">900</t>
  </si>
  <si>
    <t xml:space="preserve">MAELLA</t>
  </si>
  <si>
    <t xml:space="preserve">TORIL Y MASEGOSO</t>
  </si>
  <si>
    <t xml:space="preserve">MAGALLON</t>
  </si>
  <si>
    <t xml:space="preserve">TORMON</t>
  </si>
  <si>
    <t xml:space="preserve">232</t>
  </si>
  <si>
    <t xml:space="preserve">TORNOS</t>
  </si>
  <si>
    <t xml:space="preserve">MAINAR</t>
  </si>
  <si>
    <t xml:space="preserve">233</t>
  </si>
  <si>
    <t xml:space="preserve">TORRALBA DE LOS SISONES</t>
  </si>
  <si>
    <t xml:space="preserve">MALANQUILLA</t>
  </si>
  <si>
    <t xml:space="preserve">TORRE DE ARCAS</t>
  </si>
  <si>
    <t xml:space="preserve">MALEJAN</t>
  </si>
  <si>
    <t xml:space="preserve">237</t>
  </si>
  <si>
    <t xml:space="preserve">TORRE DE LAS ARCAS</t>
  </si>
  <si>
    <t xml:space="preserve">MALON</t>
  </si>
  <si>
    <t xml:space="preserve">238</t>
  </si>
  <si>
    <t xml:space="preserve">TORRE DEL COMPTE</t>
  </si>
  <si>
    <t xml:space="preserve">MALUENDA</t>
  </si>
  <si>
    <t xml:space="preserve">240</t>
  </si>
  <si>
    <t xml:space="preserve">TORRE LOS NEGROS</t>
  </si>
  <si>
    <t xml:space="preserve">MANCHONES</t>
  </si>
  <si>
    <t xml:space="preserve">234</t>
  </si>
  <si>
    <t xml:space="preserve">TORRECILLA DE ALCAÑIZ</t>
  </si>
  <si>
    <t xml:space="preserve">235</t>
  </si>
  <si>
    <t xml:space="preserve">TORRECILLA DEL REBOLLAR</t>
  </si>
  <si>
    <t xml:space="preserve">MARA</t>
  </si>
  <si>
    <t xml:space="preserve">TORRELACARCEL</t>
  </si>
  <si>
    <t xml:space="preserve">MARIA DE HUERVA</t>
  </si>
  <si>
    <t xml:space="preserve">TORREMOCHA DE JILOCA</t>
  </si>
  <si>
    <t xml:space="preserve">MARRACOS</t>
  </si>
  <si>
    <t xml:space="preserve">TORRES DE ALBARRACIN</t>
  </si>
  <si>
    <t xml:space="preserve">TORREVELILLA</t>
  </si>
  <si>
    <t xml:space="preserve">TORRIJAS</t>
  </si>
  <si>
    <t xml:space="preserve">TORRIJO DEL CAMPO</t>
  </si>
  <si>
    <t xml:space="preserve">247</t>
  </si>
  <si>
    <t xml:space="preserve">TRAMACASTIEL</t>
  </si>
  <si>
    <t xml:space="preserve">MEDIANA DE ARAGON</t>
  </si>
  <si>
    <t xml:space="preserve">248</t>
  </si>
  <si>
    <t xml:space="preserve">TRAMACASTILLA</t>
  </si>
  <si>
    <t xml:space="preserve">MEQUINENZA</t>
  </si>
  <si>
    <t xml:space="preserve">TRONCHON</t>
  </si>
  <si>
    <t xml:space="preserve">MESONES DE ISUELA</t>
  </si>
  <si>
    <t xml:space="preserve">URREA DE GAEN</t>
  </si>
  <si>
    <t xml:space="preserve">MEZALOCHA</t>
  </si>
  <si>
    <t xml:space="preserve">251</t>
  </si>
  <si>
    <t xml:space="preserve">UTRILLAS</t>
  </si>
  <si>
    <t xml:space="preserve">252</t>
  </si>
  <si>
    <t xml:space="preserve">VALACLOCHE</t>
  </si>
  <si>
    <t xml:space="preserve">MIANOS</t>
  </si>
  <si>
    <t xml:space="preserve">253</t>
  </si>
  <si>
    <t xml:space="preserve">VALBONA</t>
  </si>
  <si>
    <t xml:space="preserve">MIEDES DE ARAGON</t>
  </si>
  <si>
    <t xml:space="preserve">254</t>
  </si>
  <si>
    <t xml:space="preserve">VALDEALGORFA</t>
  </si>
  <si>
    <t xml:space="preserve">257</t>
  </si>
  <si>
    <t xml:space="preserve">VALDECUENCA</t>
  </si>
  <si>
    <t xml:space="preserve">258</t>
  </si>
  <si>
    <t xml:space="preserve">VALDELINARES</t>
  </si>
  <si>
    <t xml:space="preserve">VALDELTORMO</t>
  </si>
  <si>
    <t xml:space="preserve">MONEGRILLO</t>
  </si>
  <si>
    <t xml:space="preserve">VALDERROBRES</t>
  </si>
  <si>
    <t xml:space="preserve">VALJUNQUERA</t>
  </si>
  <si>
    <t xml:space="preserve">MONEVA</t>
  </si>
  <si>
    <t xml:space="preserve">263</t>
  </si>
  <si>
    <t xml:space="preserve">VALLECILLO (EL)</t>
  </si>
  <si>
    <t xml:space="preserve">264</t>
  </si>
  <si>
    <t xml:space="preserve">VEGUILLAS DE LA SIERRA</t>
  </si>
  <si>
    <t xml:space="preserve">MONREAL DE ARIZA</t>
  </si>
  <si>
    <t xml:space="preserve">265</t>
  </si>
  <si>
    <t xml:space="preserve">VILLAFRANCA DEL CAMPO</t>
  </si>
  <si>
    <t xml:space="preserve">VILLAHERMOSA DEL CAMPO</t>
  </si>
  <si>
    <t xml:space="preserve">VILLANUEVA DEL REBOLLAR DE LA</t>
  </si>
  <si>
    <t xml:space="preserve">VILLAR DEL COBO</t>
  </si>
  <si>
    <t xml:space="preserve">VILLAR DEL SALZ</t>
  </si>
  <si>
    <t xml:space="preserve">274</t>
  </si>
  <si>
    <t xml:space="preserve">VILLARLUENGO</t>
  </si>
  <si>
    <t xml:space="preserve">MONTERDE</t>
  </si>
  <si>
    <t xml:space="preserve">VILLARQUEMADO</t>
  </si>
  <si>
    <t xml:space="preserve">VILLARROYA DE LOS PINARES</t>
  </si>
  <si>
    <t xml:space="preserve">MONTON</t>
  </si>
  <si>
    <t xml:space="preserve">VILLASTAR</t>
  </si>
  <si>
    <t xml:space="preserve">VILLEL</t>
  </si>
  <si>
    <t xml:space="preserve">MORATA DE JALON</t>
  </si>
  <si>
    <t xml:space="preserve">VINACEITE</t>
  </si>
  <si>
    <t xml:space="preserve">MORATA DE JILOCA</t>
  </si>
  <si>
    <t xml:space="preserve">280</t>
  </si>
  <si>
    <t xml:space="preserve">VISIEDO</t>
  </si>
  <si>
    <t xml:space="preserve">MORES</t>
  </si>
  <si>
    <t xml:space="preserve">281</t>
  </si>
  <si>
    <t xml:space="preserve">VIVEL DEL RIO MARTIN</t>
  </si>
  <si>
    <t xml:space="preserve">MOROS</t>
  </si>
  <si>
    <t xml:space="preserve">ZOMA (LA)</t>
  </si>
  <si>
    <t xml:space="preserve">MOYUELA</t>
  </si>
  <si>
    <t xml:space="preserve">MOZOTA</t>
  </si>
  <si>
    <t xml:space="preserve">MUEL</t>
  </si>
  <si>
    <t xml:space="preserve">MUELA (LA)</t>
  </si>
  <si>
    <t xml:space="preserve">MUNEBREGA</t>
  </si>
  <si>
    <t xml:space="preserve">MURERO</t>
  </si>
  <si>
    <t xml:space="preserve">MURILLO DE GALLEGO</t>
  </si>
  <si>
    <t xml:space="preserve">NAVARDUN</t>
  </si>
  <si>
    <t xml:space="preserve">NIGUELLA</t>
  </si>
  <si>
    <t xml:space="preserve">NOMBREVILLA</t>
  </si>
  <si>
    <t xml:space="preserve">NONASPE</t>
  </si>
  <si>
    <t xml:space="preserve">NOVALLAS</t>
  </si>
  <si>
    <t xml:space="preserve">NUEVALOS</t>
  </si>
  <si>
    <t xml:space="preserve">OLVES</t>
  </si>
  <si>
    <t xml:space="preserve">ORCAJO</t>
  </si>
  <si>
    <t xml:space="preserve">ORERA</t>
  </si>
  <si>
    <t xml:space="preserve">ORES</t>
  </si>
  <si>
    <t xml:space="preserve">OSEJA</t>
  </si>
  <si>
    <t xml:space="preserve">PANIZA</t>
  </si>
  <si>
    <t xml:space="preserve">PARACUELLOS DE JILOCA</t>
  </si>
  <si>
    <t xml:space="preserve">PARACUELLOS DE LA RIBERA</t>
  </si>
  <si>
    <t xml:space="preserve">PEDROLA</t>
  </si>
  <si>
    <t xml:space="preserve">PEDROSAS (LAS)</t>
  </si>
  <si>
    <t xml:space="preserve">057</t>
  </si>
  <si>
    <t xml:space="preserve">058</t>
  </si>
  <si>
    <t xml:space="preserve">PERDIGUERA</t>
  </si>
  <si>
    <t xml:space="preserve">PIEDRATAJADA</t>
  </si>
  <si>
    <t xml:space="preserve">PINA DE EBRO</t>
  </si>
  <si>
    <t xml:space="preserve">PINTANOS (LOS)</t>
  </si>
  <si>
    <t xml:space="preserve">PLASENCIA DE JALON</t>
  </si>
  <si>
    <t xml:space="preserve">PLEITAS</t>
  </si>
  <si>
    <t xml:space="preserve">PLENAS</t>
  </si>
  <si>
    <t xml:space="preserve">POMER</t>
  </si>
  <si>
    <t xml:space="preserve">078</t>
  </si>
  <si>
    <t xml:space="preserve">POZUEL DE ARIZA</t>
  </si>
  <si>
    <t xml:space="preserve">POZUELO DE ARAGON</t>
  </si>
  <si>
    <t xml:space="preserve">PRADILLA DE EBRO</t>
  </si>
  <si>
    <t xml:space="preserve">093</t>
  </si>
  <si>
    <t xml:space="preserve">PUEBLA DE ALBORTON</t>
  </si>
  <si>
    <t xml:space="preserve">082</t>
  </si>
  <si>
    <t xml:space="preserve">PUEBLA DE ALFINDEN</t>
  </si>
  <si>
    <t xml:space="preserve">083</t>
  </si>
  <si>
    <t xml:space="preserve">PUENDELUNA</t>
  </si>
  <si>
    <t xml:space="preserve">PURUJOSA</t>
  </si>
  <si>
    <t xml:space="preserve">096</t>
  </si>
  <si>
    <t xml:space="preserve">QUINTO</t>
  </si>
  <si>
    <t xml:space="preserve">099</t>
  </si>
  <si>
    <t xml:space="preserve">REMOLINOS</t>
  </si>
  <si>
    <t xml:space="preserve">RETASCON</t>
  </si>
  <si>
    <t xml:space="preserve">RICLA</t>
  </si>
  <si>
    <t xml:space="preserve">ROMANOS</t>
  </si>
  <si>
    <t xml:space="preserve">RUEDA DE JALON</t>
  </si>
  <si>
    <t xml:space="preserve">RUESCA</t>
  </si>
  <si>
    <t xml:space="preserve">SABIÑAN</t>
  </si>
  <si>
    <t xml:space="preserve">124</t>
  </si>
  <si>
    <t xml:space="preserve">SALILLAS DE JALON</t>
  </si>
  <si>
    <t xml:space="preserve">SALVATIERRA DE ESCA</t>
  </si>
  <si>
    <t xml:space="preserve">SAMPER DEL SALZ</t>
  </si>
  <si>
    <t xml:space="preserve">SAN MARTIN DE LA VIRGEN DE MON</t>
  </si>
  <si>
    <t xml:space="preserve">138</t>
  </si>
  <si>
    <t xml:space="preserve">SAN MATEO DE GALLEGO</t>
  </si>
  <si>
    <t xml:space="preserve">141</t>
  </si>
  <si>
    <t xml:space="preserve">SANTA CRUZ DE GRIO</t>
  </si>
  <si>
    <t xml:space="preserve">SANTA CRUZ DE MONCAYO</t>
  </si>
  <si>
    <t xml:space="preserve">SANTA EULALIA DE GALLEGO</t>
  </si>
  <si>
    <t xml:space="preserve">SANTED</t>
  </si>
  <si>
    <t xml:space="preserve">SASTAGO</t>
  </si>
  <si>
    <t xml:space="preserve">156</t>
  </si>
  <si>
    <t xml:space="preserve">SEDILES</t>
  </si>
  <si>
    <t xml:space="preserve">SESTRICA</t>
  </si>
  <si>
    <t xml:space="preserve">166</t>
  </si>
  <si>
    <t xml:space="preserve">SIERRA DE LUNA</t>
  </si>
  <si>
    <t xml:space="preserve">SIGUES</t>
  </si>
  <si>
    <t xml:space="preserve">SISAMON</t>
  </si>
  <si>
    <t xml:space="preserve">SOS DEL REY CATOLICO</t>
  </si>
  <si>
    <t xml:space="preserve">TABUENCA</t>
  </si>
  <si>
    <t xml:space="preserve">TALAMANTES</t>
  </si>
  <si>
    <t xml:space="preserve">TARAZONA</t>
  </si>
  <si>
    <t xml:space="preserve">TAUSTE</t>
  </si>
  <si>
    <t xml:space="preserve">TERRER</t>
  </si>
  <si>
    <t xml:space="preserve">TIERGA</t>
  </si>
  <si>
    <t xml:space="preserve">TOBED</t>
  </si>
  <si>
    <t xml:space="preserve">188</t>
  </si>
  <si>
    <t xml:space="preserve">TORRALBA DE LOS FRAILES</t>
  </si>
  <si>
    <t xml:space="preserve">TORRALBA DE RIBOTA</t>
  </si>
  <si>
    <t xml:space="preserve">TORRALBILLA</t>
  </si>
  <si>
    <t xml:space="preserve">TORREHERMOSA</t>
  </si>
  <si>
    <t xml:space="preserve">TORRELAPAJA</t>
  </si>
  <si>
    <t xml:space="preserve">TORRELLAS</t>
  </si>
  <si>
    <t xml:space="preserve">214</t>
  </si>
  <si>
    <t xml:space="preserve">TORRES DE BERRELLEN</t>
  </si>
  <si>
    <t xml:space="preserve">TORRIJO DE LA CAÑADA</t>
  </si>
  <si>
    <t xml:space="preserve">TOSOS</t>
  </si>
  <si>
    <t xml:space="preserve">TRASMOZ</t>
  </si>
  <si>
    <t xml:space="preserve">TRASOBARES</t>
  </si>
  <si>
    <t xml:space="preserve">UNCASTILLO</t>
  </si>
  <si>
    <t xml:space="preserve">229</t>
  </si>
  <si>
    <t xml:space="preserve">UNDUES DE LERDA</t>
  </si>
  <si>
    <t xml:space="preserve">URREA DE JALON</t>
  </si>
  <si>
    <t xml:space="preserve">URRIES</t>
  </si>
  <si>
    <t xml:space="preserve">USED</t>
  </si>
  <si>
    <t xml:space="preserve">VAL DE SAN MARTIN</t>
  </si>
  <si>
    <t xml:space="preserve">VALDEHORNA</t>
  </si>
  <si>
    <t xml:space="preserve">VALMADRID</t>
  </si>
  <si>
    <t xml:space="preserve">VALPALMAS</t>
  </si>
  <si>
    <t xml:space="preserve">VALTORRES</t>
  </si>
  <si>
    <t xml:space="preserve">VELILLA DE EBRO</t>
  </si>
  <si>
    <t xml:space="preserve">VELILLA DE JILOCA</t>
  </si>
  <si>
    <t xml:space="preserve">VERA DE MONCAYO</t>
  </si>
  <si>
    <t xml:space="preserve">262</t>
  </si>
  <si>
    <t xml:space="preserve">VIERLAS</t>
  </si>
  <si>
    <t xml:space="preserve">VILLADOZ</t>
  </si>
  <si>
    <t xml:space="preserve">267</t>
  </si>
  <si>
    <t xml:space="preserve">VILLAFELICHE</t>
  </si>
  <si>
    <t xml:space="preserve">268</t>
  </si>
  <si>
    <t xml:space="preserve">VILLAFRANCA DE EBRO</t>
  </si>
  <si>
    <t xml:space="preserve">269</t>
  </si>
  <si>
    <t xml:space="preserve">VILLALBA DE PEREJIL</t>
  </si>
  <si>
    <t xml:space="preserve">VILLALENGUA</t>
  </si>
  <si>
    <t xml:space="preserve">VILLAMAYOR DE GALLEGO</t>
  </si>
  <si>
    <t xml:space="preserve">VILLANUEVA DE GALLEGO</t>
  </si>
  <si>
    <t xml:space="preserve">VILLANUEVA DE HUERVA</t>
  </si>
  <si>
    <t xml:space="preserve">VILLANUEVA DE JILOCA</t>
  </si>
  <si>
    <t xml:space="preserve">VILLAR DE LOS NAVARROS</t>
  </si>
  <si>
    <t xml:space="preserve">284</t>
  </si>
  <si>
    <t xml:space="preserve">289</t>
  </si>
  <si>
    <t xml:space="preserve">VILLARREAL DE HUERVA</t>
  </si>
  <si>
    <t xml:space="preserve">290</t>
  </si>
  <si>
    <t xml:space="preserve">VILLARROYA DE LA SIERRA</t>
  </si>
  <si>
    <t xml:space="preserve">292</t>
  </si>
  <si>
    <t xml:space="preserve">VILLARROYA DEL CAMPO</t>
  </si>
  <si>
    <t xml:space="preserve">293</t>
  </si>
  <si>
    <t xml:space="preserve">295</t>
  </si>
  <si>
    <t xml:space="preserve">VILUEÑA (LA)</t>
  </si>
  <si>
    <t xml:space="preserve">294</t>
  </si>
  <si>
    <t xml:space="preserve">296</t>
  </si>
  <si>
    <t xml:space="preserve">297</t>
  </si>
  <si>
    <t xml:space="preserve">VISTABELLA</t>
  </si>
  <si>
    <t xml:space="preserve">300</t>
  </si>
  <si>
    <t xml:space="preserve">ZAIDA (LA)</t>
  </si>
  <si>
    <t xml:space="preserve">302</t>
  </si>
  <si>
    <t xml:space="preserve">304</t>
  </si>
  <si>
    <t xml:space="preserve">ZUERA</t>
  </si>
  <si>
    <t xml:space="preserve">PRD_
CODIGO</t>
  </si>
  <si>
    <t xml:space="preserve">MARGEN BRUTO ESTÁNDAR (€/HA.)</t>
  </si>
  <si>
    <t xml:space="preserve">PRODUCCIÓN ESTANDARD (€/HA.)</t>
  </si>
  <si>
    <t xml:space="preserve">UTA/has</t>
  </si>
  <si>
    <t xml:space="preserve">MARGEN BRUTO ESTÁNDAR (€/HA.)   SEC</t>
  </si>
  <si>
    <t xml:space="preserve">MARGEN BRUTO ESTÁNDAR (€/HA.)   REG</t>
  </si>
  <si>
    <t xml:space="preserve">r</t>
  </si>
  <si>
    <t xml:space="preserve">ABANDONO 20 años</t>
  </si>
  <si>
    <t xml:space="preserve">ABETO</t>
  </si>
  <si>
    <t xml:space="preserve">ACACIA</t>
  </si>
  <si>
    <t xml:space="preserve">AGRIMONIA</t>
  </si>
  <si>
    <t xml:space="preserve">AILANTHUS</t>
  </si>
  <si>
    <t xml:space="preserve">ALBARICOQUEROS</t>
  </si>
  <si>
    <t xml:space="preserve">ALVERJON</t>
  </si>
  <si>
    <t xml:space="preserve">ALCORNOQUE</t>
  </si>
  <si>
    <t xml:space="preserve">ALFORFON</t>
  </si>
  <si>
    <t xml:space="preserve">ALGODÓN</t>
  </si>
  <si>
    <t xml:space="preserve">ALMENDROS</t>
  </si>
  <si>
    <t xml:space="preserve">ALOE VERA</t>
  </si>
  <si>
    <t xml:space="preserve">ALTRAMUZ</t>
  </si>
  <si>
    <t xml:space="preserve">ALTRAMUZ DULCE</t>
  </si>
  <si>
    <t xml:space="preserve">ALUBIAS</t>
  </si>
  <si>
    <t xml:space="preserve">BARBECHO MEDIOAMBIENTAL ABANDONO 5 AÑOS</t>
  </si>
  <si>
    <t xml:space="preserve">BARBECHO SIE CON ESPECIES MELÍFERAS</t>
  </si>
  <si>
    <t xml:space="preserve">BARBECHO SIN PRODUCCIÓN</t>
  </si>
  <si>
    <t xml:space="preserve">BARDANA</t>
  </si>
  <si>
    <t xml:space="preserve">BERRO</t>
  </si>
  <si>
    <t xml:space="preserve">BRASSICA CARINATA</t>
  </si>
  <si>
    <t xml:space="preserve">BRASSICA JUNCEA</t>
  </si>
  <si>
    <t xml:space="preserve">BROCOLI</t>
  </si>
  <si>
    <t xml:space="preserve">CABECERA DE CULTIVO PERMANENTE</t>
  </si>
  <si>
    <t xml:space="preserve">CAFÉ</t>
  </si>
  <si>
    <t xml:space="preserve">CALABACIN</t>
  </si>
  <si>
    <t xml:space="preserve">CAÑA COMÚN (ARUNDO DONAX)</t>
  </si>
  <si>
    <t xml:space="preserve">CAÑA DE AZUCAR</t>
  </si>
  <si>
    <t xml:space="preserve">CAÑAMO PARA FIBRA</t>
  </si>
  <si>
    <t xml:space="preserve">CARDO  </t>
  </si>
  <si>
    <t xml:space="preserve">CARTAMO</t>
  </si>
  <si>
    <t xml:space="preserve">CASTAÑO (FORESTAL)</t>
  </si>
  <si>
    <t xml:space="preserve">CASTAÑOS</t>
  </si>
  <si>
    <t xml:space="preserve">CEREZOS</t>
  </si>
  <si>
    <t xml:space="preserve">CHAMPIÑON</t>
  </si>
  <si>
    <t xml:space="preserve">CHOPOS</t>
  </si>
  <si>
    <t xml:space="preserve">CHUFA</t>
  </si>
  <si>
    <t xml:space="preserve">CIRUELOS</t>
  </si>
  <si>
    <t xml:space="preserve">CITRICOS HIBRIDOS</t>
  </si>
  <si>
    <t xml:space="preserve">CLEMENTINAS</t>
  </si>
  <si>
    <t xml:space="preserve">COL</t>
  </si>
  <si>
    <t xml:space="preserve">COL MILAN</t>
  </si>
  <si>
    <t xml:space="preserve">COLES DE BRUSELAS</t>
  </si>
  <si>
    <t xml:space="preserve">COLIRRABANO</t>
  </si>
  <si>
    <t xml:space="preserve">DIENTE DE LEÓN</t>
  </si>
  <si>
    <t xml:space="preserve">ELEMENTO DEL PAISAJE</t>
  </si>
  <si>
    <t xml:space="preserve">ENDRINO</t>
  </si>
  <si>
    <t xml:space="preserve">ENEBRO</t>
  </si>
  <si>
    <t xml:space="preserve">ENULA</t>
  </si>
  <si>
    <t xml:space="preserve">EQUINACEA</t>
  </si>
  <si>
    <t xml:space="preserve">ESPÁRRAGOS</t>
  </si>
  <si>
    <t xml:space="preserve">ESPECIES AROMATICAS HERBÁCEAS</t>
  </si>
  <si>
    <t xml:space="preserve">ESPECIES AROMATICAS LEÑOSAS</t>
  </si>
  <si>
    <t xml:space="preserve">EUCALYPTUS</t>
  </si>
  <si>
    <t xml:space="preserve">FLORES</t>
  </si>
  <si>
    <t xml:space="preserve">FORESTACIONES VINCULADAS AL REGLAMENTO Nº 1257/1999</t>
  </si>
  <si>
    <t xml:space="preserve">FORESTACIONES VINCULADAS AL REGLAMENTO Nº 1305/2013</t>
  </si>
  <si>
    <t xml:space="preserve">FORESTACIONES VINCULADAS AL REGLAMENTO Nº 1698/2005</t>
  </si>
  <si>
    <t xml:space="preserve">FRAMBUESAS</t>
  </si>
  <si>
    <t xml:space="preserve">FRESAS</t>
  </si>
  <si>
    <t xml:space="preserve">GARBANZOS</t>
  </si>
  <si>
    <t xml:space="preserve">GINSENG</t>
  </si>
  <si>
    <t xml:space="preserve">GLEDITSIA</t>
  </si>
  <si>
    <t xml:space="preserve">GROSELLA</t>
  </si>
  <si>
    <t xml:space="preserve">GROSELLA NEGRA</t>
  </si>
  <si>
    <t xml:space="preserve">GUINDILLAS</t>
  </si>
  <si>
    <t xml:space="preserve">GUISANTES  </t>
  </si>
  <si>
    <t xml:space="preserve">HABAS  </t>
  </si>
  <si>
    <t xml:space="preserve">HAYA</t>
  </si>
  <si>
    <t xml:space="preserve">invernadero</t>
  </si>
  <si>
    <t xml:space="preserve">JACARANDA</t>
  </si>
  <si>
    <t xml:space="preserve">JATROPHA</t>
  </si>
  <si>
    <t xml:space="preserve">JUDÍA</t>
  </si>
  <si>
    <t xml:space="preserve">LENTEJAS</t>
  </si>
  <si>
    <t xml:space="preserve">LEUCAENA</t>
  </si>
  <si>
    <t xml:space="preserve">LINO NO TEXTIL</t>
  </si>
  <si>
    <t xml:space="preserve">LINO TEXTIL PARA FIBRA</t>
  </si>
  <si>
    <t xml:space="preserve">LLANTÉN</t>
  </si>
  <si>
    <t xml:space="preserve">LUPULO</t>
  </si>
  <si>
    <t xml:space="preserve">MAÍZ  </t>
  </si>
  <si>
    <t xml:space="preserve">MAÍZ DULCE</t>
  </si>
  <si>
    <t xml:space="preserve">MANZANILLA</t>
  </si>
  <si>
    <t xml:space="preserve">MANZANOS</t>
  </si>
  <si>
    <t xml:space="preserve">MELOCOTONEROS</t>
  </si>
  <si>
    <t xml:space="preserve">MEZCLA ALGARROBAS-AVENA</t>
  </si>
  <si>
    <t xml:space="preserve">MEZCLA ALGARROBAS-CEBADA</t>
  </si>
  <si>
    <t xml:space="preserve">MEZCLA DE RESERVORIOS</t>
  </si>
  <si>
    <t xml:space="preserve">MEZCLA EN MÁRGENES MULTIFUNCIONALES</t>
  </si>
  <si>
    <t xml:space="preserve">MEZCLA GUISANTE-AVENA</t>
  </si>
  <si>
    <t xml:space="preserve">MEZCLA GUISANTE-CEBADA</t>
  </si>
  <si>
    <t xml:space="preserve">MEZCLA VEZA – AVENA</t>
  </si>
  <si>
    <t xml:space="preserve">MEZCLA VEZA-CEBADA</t>
  </si>
  <si>
    <t xml:space="preserve">MEZCLA VEZA-RAYGRASS</t>
  </si>
  <si>
    <t xml:space="preserve">MEZCLA VEZA-TRIGO</t>
  </si>
  <si>
    <t xml:space="preserve">MEZCLA VEZA-TRITICALE</t>
  </si>
  <si>
    <t xml:space="preserve">MEZCLA YEROS-AVENA</t>
  </si>
  <si>
    <t xml:space="preserve">MEZCLA YEROS-CEBADA</t>
  </si>
  <si>
    <t xml:space="preserve">MEZCLA ZULLA – AVENA</t>
  </si>
  <si>
    <t xml:space="preserve">MEZCLA ZULLA – CEBADA</t>
  </si>
  <si>
    <t xml:space="preserve">NASHI</t>
  </si>
  <si>
    <t xml:space="preserve">NECTARINOS</t>
  </si>
  <si>
    <t xml:space="preserve">NISPERO</t>
  </si>
  <si>
    <t xml:space="preserve">NOGALES</t>
  </si>
  <si>
    <t xml:space="preserve">OLIVAR</t>
  </si>
  <si>
    <t xml:space="preserve">OPUNTIA</t>
  </si>
  <si>
    <t xml:space="preserve">OTRAS CRUCÍFERAS</t>
  </si>
  <si>
    <t xml:space="preserve">OTRAS MEZCLAS CON PREDOMINIO CFN</t>
  </si>
  <si>
    <t xml:space="preserve">OTRAS SUPERFICIES FORESTALES</t>
  </si>
  <si>
    <t xml:space="preserve">OTRAS SUPERFICIES FORESTALES-VUELO</t>
  </si>
  <si>
    <t xml:space="preserve">OTRAS UTILIZACIONES NO AGRARIAS NI FORESTALES</t>
  </si>
  <si>
    <t xml:space="preserve">PASTIZAL DE 5 O MÁS AÑOS</t>
  </si>
  <si>
    <t xml:space="preserve">PASTO ARBOLADO DE 5 O MÁS AÑOS</t>
  </si>
  <si>
    <t xml:space="preserve">PASTO ARBUSTIVO DE 5 O MÁS AÑOS</t>
  </si>
  <si>
    <t xml:space="preserve">PASTOS de menos de 5 años</t>
  </si>
  <si>
    <t xml:space="preserve">PAULOWNIA</t>
  </si>
  <si>
    <t xml:space="preserve">PEPINILLOS</t>
  </si>
  <si>
    <t xml:space="preserve">PERALES</t>
  </si>
  <si>
    <t xml:space="preserve">PHYTOLACCA</t>
  </si>
  <si>
    <t xml:space="preserve">PIMIENTO PARA PIMENTÓN</t>
  </si>
  <si>
    <t xml:space="preserve">PINOS</t>
  </si>
  <si>
    <t xml:space="preserve">PINSAPO</t>
  </si>
  <si>
    <t xml:space="preserve">POMELO</t>
  </si>
  <si>
    <t xml:space="preserve">PORTAINJERTOS DE VID</t>
  </si>
  <si>
    <t xml:space="preserve">PUERROS</t>
  </si>
  <si>
    <t xml:space="preserve">RAYGRAS peremne</t>
  </si>
  <si>
    <t xml:space="preserve">RABANO</t>
  </si>
  <si>
    <t xml:space="preserve">RÁBANO NEGRO</t>
  </si>
  <si>
    <t xml:space="preserve">RASTROJERAS</t>
  </si>
  <si>
    <t xml:space="preserve">RAYGRAS anual</t>
  </si>
  <si>
    <t xml:space="preserve">REMOLACHA DE MESA</t>
  </si>
  <si>
    <t xml:space="preserve">RETIRADA FORESTACIÓN</t>
  </si>
  <si>
    <t xml:space="preserve">ROBINIA</t>
  </si>
  <si>
    <t xml:space="preserve">ROBLE</t>
  </si>
  <si>
    <t xml:space="preserve">ROMPEPIEDRA</t>
  </si>
  <si>
    <t xml:space="preserve">SABINA</t>
  </si>
  <si>
    <t xml:space="preserve">SALIX</t>
  </si>
  <si>
    <t xml:space="preserve">SANDIA</t>
  </si>
  <si>
    <t xml:space="preserve">SATSUMAS</t>
  </si>
  <si>
    <t xml:space="preserve">SETAS</t>
  </si>
  <si>
    <t xml:space="preserve">SINAPIS ALBA</t>
  </si>
  <si>
    <t xml:space="preserve">HECTÁREAS AGROSILVICULTURA AYUDAS RTO Nº 1698/2005 Y/O RTO Nº 1305/2013</t>
  </si>
  <si>
    <t xml:space="preserve">SUPERFICIES FORESTALES DE ROTACIÓN CORTA</t>
  </si>
  <si>
    <t xml:space="preserve">SUPERFICIES FORESTALES MADERABLES</t>
  </si>
  <si>
    <t xml:space="preserve">TABACO</t>
  </si>
  <si>
    <t xml:space="preserve">TOMATE PARA TRANSFORMACIÓN</t>
  </si>
  <si>
    <t xml:space="preserve">TRANQUILLON</t>
  </si>
  <si>
    <t xml:space="preserve">TRAVALERA</t>
  </si>
  <si>
    <t xml:space="preserve">TRITICUM SPELTA</t>
  </si>
  <si>
    <t xml:space="preserve">UVA DE MESA</t>
  </si>
  <si>
    <t xml:space="preserve">UVA PASA</t>
  </si>
  <si>
    <t xml:space="preserve">VARA DE ORO</t>
  </si>
  <si>
    <t xml:space="preserve">VEZA  </t>
  </si>
  <si>
    <t xml:space="preserve">VIÑA – OLIVAR</t>
  </si>
  <si>
    <t xml:space="preserve">VIÑEDO VINIFICACION</t>
  </si>
  <si>
    <t xml:space="preserve">VIVEROS</t>
  </si>
</sst>
</file>

<file path=xl/styles.xml><?xml version="1.0" encoding="utf-8"?>
<styleSheet xmlns="http://schemas.openxmlformats.org/spreadsheetml/2006/main">
  <numFmts count="26">
    <numFmt numFmtId="164" formatCode="General"/>
    <numFmt numFmtId="165" formatCode="* #,##0.00\ [$€-401]\ ;\-* #,##0.00\ [$€-401]\ ;* \-#\ [$€-401]\ "/>
    <numFmt numFmtId="166" formatCode="0\ %"/>
    <numFmt numFmtId="167" formatCode="0.00"/>
    <numFmt numFmtId="168" formatCode="#,##0.00"/>
    <numFmt numFmtId="169" formatCode="#,##0.00&quot; €&quot;"/>
    <numFmt numFmtId="170" formatCode="#,##0.0"/>
    <numFmt numFmtId="171" formatCode="#,##0"/>
    <numFmt numFmtId="172" formatCode="0.00\ %"/>
    <numFmt numFmtId="173" formatCode="0.00000"/>
    <numFmt numFmtId="174" formatCode="0"/>
    <numFmt numFmtId="175" formatCode="#,##0.00\ ;\-#,##0.00\ "/>
    <numFmt numFmtId="176" formatCode="_-* #,##0.00&quot; €&quot;_-;\-* #,##0.00&quot; €&quot;_-;_-* \-??&quot; €&quot;_-;_-@_-"/>
    <numFmt numFmtId="177" formatCode="0.0000"/>
    <numFmt numFmtId="178" formatCode="0.000000"/>
    <numFmt numFmtId="179" formatCode="_-* #,##0.00\ [$€-1]_-;\-* #,##0.00\ [$€-1]_-;_-* \-??\ [$€-1]_-"/>
    <numFmt numFmtId="180" formatCode="0.0%"/>
    <numFmt numFmtId="181" formatCode="* #,##0.00\ ;* \(#,##0.00\);* \-#\ ;@\ "/>
    <numFmt numFmtId="182" formatCode="_-* #,##0.00\ [$€-1]_-;\-* #,##0.00\ [$€-1]_-;_-* \-??\ [$€-1]_-;_-@_-"/>
    <numFmt numFmtId="183" formatCode="#,##0.000"/>
    <numFmt numFmtId="184" formatCode="##,##0.00&quot; Ha&quot;"/>
    <numFmt numFmtId="185" formatCode="#,##0.00&quot; UGM&quot;"/>
    <numFmt numFmtId="186" formatCode="_-* #,##0.00\ [$€-803]_-;\-* #,##0.00\ [$€-803]_-;_-* \-??\ [$€-803]_-;_-@_-"/>
    <numFmt numFmtId="187" formatCode="#,##0.00\ _€;[RED]\-#,##0.00\ _€"/>
    <numFmt numFmtId="188" formatCode="00"/>
    <numFmt numFmtId="189" formatCode="#,##0.00\ [$€-C0A];[RED]\-#,##0.00\ [$€-C0A]"/>
  </numFmts>
  <fonts count="189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sz val="11"/>
      <color rgb="FF008000"/>
      <name val="Calibri"/>
      <family val="2"/>
      <charset val="1"/>
    </font>
    <font>
      <b val="true"/>
      <sz val="11"/>
      <color rgb="FFFA7D00"/>
      <name val="Calibri"/>
      <family val="2"/>
      <charset val="1"/>
    </font>
    <font>
      <sz val="11"/>
      <color rgb="FF3F3F76"/>
      <name val="Calibri"/>
      <family val="2"/>
      <charset val="1"/>
    </font>
    <font>
      <sz val="10"/>
      <color rgb="FF000000"/>
      <name val="Arial1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sz val="24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u val="single"/>
      <sz val="10"/>
      <color rgb="FF0000FF"/>
      <name val="Arial1"/>
      <family val="2"/>
      <charset val="1"/>
    </font>
    <font>
      <u val="single"/>
      <sz val="10"/>
      <color rgb="FF0000EE"/>
      <name val="Arial"/>
      <family val="2"/>
      <charset val="1"/>
    </font>
    <font>
      <sz val="11"/>
      <color rgb="FF9933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Aptos Narrow"/>
      <family val="2"/>
      <charset val="1"/>
    </font>
    <font>
      <sz val="10"/>
      <color rgb="FF000000"/>
      <name val="MS Sans Serif"/>
      <family val="0"/>
      <charset val="1"/>
    </font>
    <font>
      <sz val="10"/>
      <color rgb="FF333333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i val="true"/>
      <u val="single"/>
      <sz val="10"/>
      <color rgb="FF000000"/>
      <name val="Arial"/>
      <family val="2"/>
      <charset val="1"/>
    </font>
    <font>
      <u val="single"/>
      <sz val="11"/>
      <color rgb="FF000000"/>
      <name val="Aptos Narrow"/>
      <family val="2"/>
      <charset val="1"/>
    </font>
    <font>
      <b val="true"/>
      <sz val="12"/>
      <color rgb="FF000000"/>
      <name val="Arial1"/>
      <family val="0"/>
      <charset val="1"/>
    </font>
    <font>
      <sz val="10"/>
      <color rgb="FF000000"/>
      <name val="Arial Narrow"/>
      <family val="2"/>
      <charset val="1"/>
    </font>
    <font>
      <b val="true"/>
      <sz val="10"/>
      <color rgb="FF000000"/>
      <name val="Arial1"/>
      <family val="0"/>
      <charset val="1"/>
    </font>
    <font>
      <i val="true"/>
      <sz val="8"/>
      <color rgb="FF000000"/>
      <name val="Arial1"/>
      <family val="0"/>
      <charset val="1"/>
    </font>
    <font>
      <i val="true"/>
      <sz val="9"/>
      <color rgb="FF000000"/>
      <name val="Arial1"/>
      <family val="0"/>
      <charset val="1"/>
    </font>
    <font>
      <b val="true"/>
      <sz val="11"/>
      <color rgb="FF000000"/>
      <name val="Arial1"/>
      <family val="0"/>
      <charset val="1"/>
    </font>
    <font>
      <b val="true"/>
      <sz val="11"/>
      <color rgb="FF000000"/>
      <name val="Arial Narrow"/>
      <family val="2"/>
      <charset val="1"/>
    </font>
    <font>
      <b val="true"/>
      <sz val="9"/>
      <color rgb="FF000000"/>
      <name val="Arial1"/>
      <family val="0"/>
      <charset val="1"/>
    </font>
    <font>
      <b val="true"/>
      <sz val="10"/>
      <color rgb="FF000000"/>
      <name val="Arial Narrow"/>
      <family val="2"/>
      <charset val="1"/>
    </font>
    <font>
      <sz val="9"/>
      <color rgb="FF000000"/>
      <name val="Arial1"/>
      <family val="0"/>
      <charset val="1"/>
    </font>
    <font>
      <b val="true"/>
      <sz val="10"/>
      <color rgb="FFFF0000"/>
      <name val="Arial1"/>
      <family val="0"/>
      <charset val="1"/>
    </font>
    <font>
      <b val="true"/>
      <sz val="10"/>
      <color rgb="FF0000FF"/>
      <name val="Arial1"/>
      <family val="0"/>
      <charset val="1"/>
    </font>
    <font>
      <sz val="6"/>
      <color rgb="FF000000"/>
      <name val="Arial1"/>
      <family val="0"/>
      <charset val="1"/>
    </font>
    <font>
      <b val="true"/>
      <sz val="12"/>
      <color rgb="FF0000FF"/>
      <name val="Arial1"/>
      <family val="0"/>
      <charset val="1"/>
    </font>
    <font>
      <b val="true"/>
      <sz val="18"/>
      <color rgb="FF008000"/>
      <name val="Arial1"/>
      <family val="0"/>
      <charset val="1"/>
    </font>
    <font>
      <sz val="9.5"/>
      <color rgb="FFFFFFFF"/>
      <name val="Arial1"/>
      <family val="0"/>
      <charset val="1"/>
    </font>
    <font>
      <sz val="9"/>
      <color rgb="FFFFFFFF"/>
      <name val="Arial1"/>
      <family val="0"/>
      <charset val="1"/>
    </font>
    <font>
      <sz val="10"/>
      <color rgb="FFFFFFFF"/>
      <name val="Arial1"/>
      <family val="0"/>
      <charset val="1"/>
    </font>
    <font>
      <sz val="8"/>
      <color rgb="FF000000"/>
      <name val="Arial1"/>
      <family val="0"/>
      <charset val="1"/>
    </font>
    <font>
      <b val="true"/>
      <sz val="9"/>
      <color rgb="FF000000"/>
      <name val="Arial Narrow"/>
      <family val="2"/>
      <charset val="1"/>
    </font>
    <font>
      <b val="true"/>
      <sz val="5"/>
      <color rgb="FF000000"/>
      <name val="Arial Narrow"/>
      <family val="2"/>
      <charset val="1"/>
    </font>
    <font>
      <sz val="10"/>
      <color rgb="FF000000"/>
      <name val="Arial1"/>
      <family val="0"/>
      <charset val="1"/>
    </font>
    <font>
      <sz val="12"/>
      <color rgb="FF000000"/>
      <name val="Arial Narrow"/>
      <family val="2"/>
      <charset val="1"/>
    </font>
    <font>
      <b val="true"/>
      <sz val="10"/>
      <color rgb="FF993300"/>
      <name val="Arial1"/>
      <family val="0"/>
      <charset val="1"/>
    </font>
    <font>
      <b val="true"/>
      <sz val="10"/>
      <color rgb="FFCCFFCC"/>
      <name val="Arial1"/>
      <family val="0"/>
      <charset val="1"/>
    </font>
    <font>
      <b val="true"/>
      <sz val="10"/>
      <color rgb="FF993300"/>
      <name val="Arial1"/>
      <family val="2"/>
      <charset val="1"/>
    </font>
    <font>
      <b val="true"/>
      <sz val="22"/>
      <color rgb="FFFFFFFF"/>
      <name val="Arial"/>
      <family val="2"/>
      <charset val="1"/>
    </font>
    <font>
      <sz val="10"/>
      <color rgb="FF000000"/>
      <name val="Aptos Narrow"/>
      <family val="2"/>
      <charset val="1"/>
    </font>
    <font>
      <sz val="8"/>
      <color rgb="FF000000"/>
      <name val="Aptos Narrow"/>
      <family val="2"/>
      <charset val="1"/>
    </font>
    <font>
      <sz val="11"/>
      <color rgb="FF000000"/>
      <name val="Arial Narrow"/>
      <family val="2"/>
      <charset val="1"/>
    </font>
    <font>
      <sz val="11"/>
      <color rgb="FF000000"/>
      <name val="Arial1"/>
      <family val="0"/>
      <charset val="1"/>
    </font>
    <font>
      <b val="true"/>
      <sz val="11"/>
      <color rgb="FF000000"/>
      <name val="Arial"/>
      <family val="2"/>
      <charset val="1"/>
    </font>
    <font>
      <b val="true"/>
      <sz val="11"/>
      <color rgb="FF000000"/>
      <name val="Aptos Narrow"/>
      <family val="2"/>
      <charset val="1"/>
    </font>
    <font>
      <b val="true"/>
      <sz val="11"/>
      <color rgb="FF0000FF"/>
      <name val="Arial1"/>
      <family val="0"/>
      <charset val="1"/>
    </font>
    <font>
      <b val="true"/>
      <sz val="11"/>
      <color theme="9" tint="-0.5"/>
      <name val="Arial1"/>
      <family val="0"/>
      <charset val="1"/>
    </font>
    <font>
      <b val="true"/>
      <sz val="8"/>
      <color rgb="FF000000"/>
      <name val="Aptos Narrow"/>
      <family val="2"/>
      <charset val="1"/>
    </font>
    <font>
      <b val="true"/>
      <sz val="13"/>
      <color rgb="FFFFFFFF"/>
      <name val="Arial"/>
      <family val="2"/>
      <charset val="1"/>
    </font>
    <font>
      <b val="true"/>
      <sz val="13"/>
      <color rgb="FF000000"/>
      <name val="Arial1"/>
      <family val="0"/>
      <charset val="1"/>
    </font>
    <font>
      <sz val="13"/>
      <color rgb="FF000000"/>
      <name val="Aptos Narrow"/>
      <family val="2"/>
      <charset val="1"/>
    </font>
    <font>
      <sz val="13"/>
      <name val="Arial1"/>
      <family val="0"/>
      <charset val="1"/>
    </font>
    <font>
      <sz val="13"/>
      <name val="Arial"/>
      <family val="2"/>
      <charset val="1"/>
    </font>
    <font>
      <b val="true"/>
      <sz val="13"/>
      <color rgb="FF000000"/>
      <name val="Arial Narrow"/>
      <family val="2"/>
      <charset val="1"/>
    </font>
    <font>
      <b val="true"/>
      <sz val="13"/>
      <name val="Arial"/>
      <family val="2"/>
      <charset val="1"/>
    </font>
    <font>
      <b val="true"/>
      <sz val="16"/>
      <color rgb="FFFFFFFF"/>
      <name val="Arial"/>
      <family val="2"/>
      <charset val="1"/>
    </font>
    <font>
      <sz val="16"/>
      <color rgb="FF000000"/>
      <name val="Aptos Narrow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sz val="10"/>
      <name val="Arial"/>
      <family val="2"/>
      <charset val="1"/>
    </font>
    <font>
      <sz val="10"/>
      <name val="Arial1"/>
      <family val="0"/>
      <charset val="1"/>
    </font>
    <font>
      <b val="true"/>
      <sz val="12"/>
      <name val="Arial1"/>
      <family val="0"/>
      <charset val="1"/>
    </font>
    <font>
      <b val="true"/>
      <sz val="12"/>
      <name val="Arial"/>
      <family val="2"/>
      <charset val="1"/>
    </font>
    <font>
      <b val="true"/>
      <sz val="10"/>
      <name val="Arial1"/>
      <family val="0"/>
      <charset val="1"/>
    </font>
    <font>
      <sz val="11"/>
      <color theme="1"/>
      <name val="Calibri"/>
      <family val="2"/>
      <charset val="1"/>
    </font>
    <font>
      <sz val="11"/>
      <color rgb="FF006100"/>
      <name val="Calibri"/>
      <family val="2"/>
      <charset val="1"/>
    </font>
    <font>
      <sz val="11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FFFFFF"/>
      <name val="Aptos Narrow"/>
      <family val="2"/>
      <charset val="1"/>
    </font>
    <font>
      <sz val="10"/>
      <color rgb="FFFFFFFF"/>
      <name val="Arial"/>
      <family val="2"/>
      <charset val="1"/>
    </font>
    <font>
      <sz val="11"/>
      <color rgb="FFFF0000"/>
      <name val="Calibri"/>
      <family val="2"/>
      <charset val="1"/>
    </font>
    <font>
      <b val="true"/>
      <sz val="14"/>
      <color theme="0"/>
      <name val="Berlin Sans FB Demi"/>
      <family val="2"/>
      <charset val="1"/>
    </font>
    <font>
      <sz val="14"/>
      <name val="Berlin Sans FB Demi"/>
      <family val="2"/>
      <charset val="1"/>
    </font>
    <font>
      <b val="true"/>
      <sz val="10"/>
      <name val="Arial"/>
      <family val="2"/>
      <charset val="1"/>
    </font>
    <font>
      <b val="true"/>
      <i val="true"/>
      <sz val="9"/>
      <color rgb="FFCCCCCC"/>
      <name val="Arial"/>
      <family val="2"/>
      <charset val="1"/>
    </font>
    <font>
      <b val="true"/>
      <i val="true"/>
      <sz val="14"/>
      <color rgb="FFFFFFFF"/>
      <name val="Arial"/>
      <family val="2"/>
      <charset val="1"/>
    </font>
    <font>
      <b val="true"/>
      <sz val="10"/>
      <name val="Arial Narrow"/>
      <family val="2"/>
      <charset val="1"/>
    </font>
    <font>
      <b val="true"/>
      <sz val="11"/>
      <color rgb="FF4B2EF8"/>
      <name val="Arial"/>
      <family val="2"/>
      <charset val="1"/>
    </font>
    <font>
      <b val="true"/>
      <sz val="11"/>
      <name val="Arial Narrow"/>
      <family val="2"/>
      <charset val="1"/>
    </font>
    <font>
      <b val="true"/>
      <sz val="11"/>
      <color theme="3" tint="0.4995"/>
      <name val="Aptos Narrow"/>
      <family val="2"/>
      <charset val="1"/>
    </font>
    <font>
      <b val="true"/>
      <sz val="11"/>
      <color theme="3" tint="0.4995"/>
      <name val="Arial"/>
      <family val="2"/>
      <charset val="1"/>
    </font>
    <font>
      <b val="true"/>
      <sz val="9"/>
      <name val="Arial"/>
      <family val="2"/>
      <charset val="1"/>
    </font>
    <font>
      <sz val="9"/>
      <name val="Arial"/>
      <family val="2"/>
      <charset val="1"/>
    </font>
    <font>
      <b val="true"/>
      <sz val="9"/>
      <color theme="0"/>
      <name val="Arial"/>
      <family val="2"/>
      <charset val="1"/>
    </font>
    <font>
      <sz val="9"/>
      <color theme="0"/>
      <name val="Arial"/>
      <family val="2"/>
      <charset val="1"/>
    </font>
    <font>
      <b val="true"/>
      <sz val="10"/>
      <color theme="0"/>
      <name val="Arial"/>
      <family val="2"/>
      <charset val="1"/>
    </font>
    <font>
      <sz val="10"/>
      <color theme="0"/>
      <name val="Arial"/>
      <family val="2"/>
      <charset val="1"/>
    </font>
    <font>
      <b val="true"/>
      <i val="true"/>
      <sz val="8"/>
      <name val="Arial"/>
      <family val="2"/>
      <charset val="1"/>
    </font>
    <font>
      <b val="true"/>
      <sz val="13"/>
      <color rgb="FF4B2EF8"/>
      <name val="Arial"/>
      <family val="2"/>
      <charset val="1"/>
    </font>
    <font>
      <sz val="9"/>
      <name val="Arial Narrow"/>
      <family val="2"/>
      <charset val="1"/>
    </font>
    <font>
      <sz val="11"/>
      <color rgb="FFFF0000"/>
      <name val="Aptos Narrow"/>
      <family val="2"/>
      <charset val="1"/>
    </font>
    <font>
      <sz val="10"/>
      <color rgb="FFFF0000"/>
      <name val="Arial"/>
      <family val="2"/>
      <charset val="1"/>
    </font>
    <font>
      <b val="true"/>
      <sz val="8"/>
      <color rgb="FF4B2EF8"/>
      <name val="Arial"/>
      <family val="2"/>
      <charset val="1"/>
    </font>
    <font>
      <b val="true"/>
      <sz val="12"/>
      <color theme="1"/>
      <name val="Arial Narrow"/>
      <family val="2"/>
      <charset val="1"/>
    </font>
    <font>
      <b val="true"/>
      <sz val="8"/>
      <color theme="1"/>
      <name val="Arial Narrow"/>
      <family val="2"/>
      <charset val="1"/>
    </font>
    <font>
      <b val="true"/>
      <sz val="11"/>
      <name val="Arial"/>
      <family val="2"/>
      <charset val="1"/>
    </font>
    <font>
      <sz val="11"/>
      <name val="Arial"/>
      <family val="2"/>
      <charset val="1"/>
    </font>
    <font>
      <sz val="11"/>
      <color theme="1"/>
      <name val="Aptos Narrow"/>
      <family val="2"/>
      <charset val="1"/>
    </font>
    <font>
      <b val="true"/>
      <sz val="8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2"/>
      <color theme="1"/>
      <name val="Arial"/>
      <family val="2"/>
      <charset val="1"/>
    </font>
    <font>
      <b val="true"/>
      <sz val="12"/>
      <color rgb="FF4B2EF8"/>
      <name val="Arial"/>
      <family val="2"/>
      <charset val="1"/>
    </font>
    <font>
      <sz val="14"/>
      <name val="Arial"/>
      <family val="2"/>
      <charset val="1"/>
    </font>
    <font>
      <b val="true"/>
      <sz val="12"/>
      <name val="Arial Narrow"/>
      <family val="2"/>
      <charset val="1"/>
    </font>
    <font>
      <sz val="10"/>
      <name val="Arial Narrow"/>
      <family val="2"/>
      <charset val="1"/>
    </font>
    <font>
      <sz val="12"/>
      <name val="Arial"/>
      <family val="2"/>
      <charset val="1"/>
    </font>
    <font>
      <b val="true"/>
      <i val="true"/>
      <sz val="10"/>
      <name val="Arial"/>
      <family val="2"/>
      <charset val="1"/>
    </font>
    <font>
      <b val="true"/>
      <sz val="11"/>
      <name val="Symbol"/>
      <family val="1"/>
      <charset val="2"/>
    </font>
    <font>
      <sz val="10"/>
      <name val="Symbol"/>
      <family val="1"/>
      <charset val="2"/>
    </font>
    <font>
      <sz val="8"/>
      <color theme="1"/>
      <name val="Aptos Narrow"/>
      <family val="0"/>
    </font>
    <font>
      <b val="true"/>
      <sz val="22"/>
      <color theme="0"/>
      <name val="Arial1"/>
      <family val="0"/>
      <charset val="1"/>
    </font>
    <font>
      <b val="true"/>
      <sz val="16"/>
      <color theme="0"/>
      <name val="Arial1"/>
      <family val="0"/>
      <charset val="1"/>
    </font>
    <font>
      <b val="true"/>
      <sz val="20"/>
      <color rgb="FFFFFFFF"/>
      <name val="Arial"/>
      <family val="2"/>
      <charset val="1"/>
    </font>
    <font>
      <sz val="12"/>
      <color rgb="FF000000"/>
      <name val="Aptos Narrow"/>
      <family val="2"/>
      <charset val="1"/>
    </font>
    <font>
      <b val="true"/>
      <sz val="20"/>
      <color rgb="FF0000FF"/>
      <name val="Arial1"/>
      <family val="0"/>
      <charset val="1"/>
    </font>
    <font>
      <b val="true"/>
      <sz val="20"/>
      <color rgb="FF000000"/>
      <name val="Arial1"/>
      <family val="0"/>
      <charset val="1"/>
    </font>
    <font>
      <b val="true"/>
      <sz val="14"/>
      <color rgb="FF000000"/>
      <name val="Arial1"/>
      <family val="0"/>
      <charset val="1"/>
    </font>
    <font>
      <b val="true"/>
      <sz val="24"/>
      <color rgb="FF000000"/>
      <name val="Arial Narrow"/>
      <family val="2"/>
      <charset val="1"/>
    </font>
    <font>
      <sz val="20"/>
      <color rgb="FF000000"/>
      <name val="Aptos Narrow"/>
      <family val="2"/>
      <charset val="1"/>
    </font>
    <font>
      <b val="true"/>
      <sz val="14"/>
      <color rgb="FF000000"/>
      <name val="Arial Narrow"/>
      <family val="2"/>
      <charset val="1"/>
    </font>
    <font>
      <b val="true"/>
      <i val="true"/>
      <sz val="16"/>
      <color rgb="FFC04F15"/>
      <name val="Arial"/>
      <family val="2"/>
      <charset val="1"/>
    </font>
    <font>
      <b val="true"/>
      <sz val="20"/>
      <color rgb="FF215F9A"/>
      <name val="Arial1"/>
      <family val="0"/>
      <charset val="1"/>
    </font>
    <font>
      <b val="true"/>
      <sz val="20"/>
      <color rgb="FF000000"/>
      <name val="Arial"/>
      <family val="2"/>
      <charset val="1"/>
    </font>
    <font>
      <sz val="20"/>
      <name val="Aptos Narrow"/>
      <family val="2"/>
      <charset val="1"/>
    </font>
    <font>
      <b val="true"/>
      <sz val="20"/>
      <name val="Arial"/>
      <family val="2"/>
      <charset val="1"/>
    </font>
    <font>
      <b val="true"/>
      <sz val="24"/>
      <color rgb="FF000000"/>
      <name val="Aptos Narrow"/>
      <family val="2"/>
      <charset val="1"/>
    </font>
    <font>
      <b val="true"/>
      <sz val="20"/>
      <color rgb="FF000000"/>
      <name val="Aptos Narrow"/>
      <family val="2"/>
      <charset val="1"/>
    </font>
    <font>
      <b val="true"/>
      <sz val="20"/>
      <color rgb="FF000000"/>
      <name val="Arial Narrow"/>
      <family val="2"/>
      <charset val="1"/>
    </font>
    <font>
      <b val="true"/>
      <sz val="20"/>
      <color theme="5" tint="-0.5"/>
      <name val="Arial1"/>
      <family val="0"/>
      <charset val="1"/>
    </font>
    <font>
      <b val="true"/>
      <sz val="20"/>
      <color theme="7" tint="-0.25"/>
      <name val="Arial1"/>
      <family val="0"/>
      <charset val="1"/>
    </font>
    <font>
      <b val="true"/>
      <sz val="20"/>
      <color rgb="FF168253"/>
      <name val="Arial1"/>
      <family val="0"/>
      <charset val="1"/>
    </font>
    <font>
      <b val="true"/>
      <sz val="20"/>
      <color rgb="FF3465A4"/>
      <name val="Arial1"/>
      <family val="0"/>
      <charset val="1"/>
    </font>
    <font>
      <sz val="20"/>
      <color rgb="FFFFFFFF"/>
      <name val="Arial1"/>
      <family val="0"/>
      <charset val="1"/>
    </font>
    <font>
      <sz val="20"/>
      <color rgb="FF000000"/>
      <name val="Arial1"/>
      <family val="0"/>
      <charset val="1"/>
    </font>
    <font>
      <sz val="14"/>
      <color rgb="FF000000"/>
      <name val="Arial1"/>
      <family val="0"/>
      <charset val="1"/>
    </font>
    <font>
      <sz val="22"/>
      <color theme="0"/>
      <name val="Aptos Narrow"/>
      <family val="2"/>
      <charset val="1"/>
    </font>
    <font>
      <b val="true"/>
      <sz val="12"/>
      <color rgb="FF800000"/>
      <name val="Arial1"/>
      <family val="0"/>
      <charset val="1"/>
    </font>
    <font>
      <i val="true"/>
      <sz val="10"/>
      <color rgb="FFFF6D6D"/>
      <name val="Arial"/>
      <family val="2"/>
      <charset val="1"/>
    </font>
    <font>
      <sz val="10"/>
      <color rgb="FF355269"/>
      <name val="Arial"/>
      <family val="2"/>
      <charset val="1"/>
    </font>
    <font>
      <b val="true"/>
      <sz val="12"/>
      <color rgb="FFFF0000"/>
      <name val="Arial1"/>
      <family val="0"/>
      <charset val="1"/>
    </font>
    <font>
      <b val="true"/>
      <sz val="11"/>
      <color rgb="FF000000"/>
      <name val="Symbol"/>
      <family val="1"/>
      <charset val="2"/>
    </font>
    <font>
      <b val="true"/>
      <sz val="22"/>
      <color theme="0"/>
      <name val="Symbol"/>
      <family val="1"/>
      <charset val="2"/>
    </font>
    <font>
      <sz val="10"/>
      <color rgb="FF000000"/>
      <name val="Symbol"/>
      <family val="1"/>
      <charset val="2"/>
    </font>
    <font>
      <b val="true"/>
      <sz val="9"/>
      <color rgb="FF0000FF"/>
      <name val="Arial1"/>
      <family val="0"/>
      <charset val="1"/>
    </font>
    <font>
      <sz val="12"/>
      <color rgb="FF000000"/>
      <name val="Arial1"/>
      <family val="0"/>
      <charset val="1"/>
    </font>
    <font>
      <sz val="8"/>
      <color rgb="FF000000"/>
      <name val="Times New Roman"/>
      <family val="0"/>
    </font>
    <font>
      <sz val="11"/>
      <color rgb="FF000000"/>
      <name val="Times New Roman"/>
      <family val="0"/>
    </font>
    <font>
      <b val="true"/>
      <sz val="16"/>
      <color rgb="FF000000"/>
      <name val="Arial1"/>
      <family val="0"/>
      <charset val="1"/>
    </font>
    <font>
      <b val="true"/>
      <sz val="28"/>
      <color rgb="FF0000FF"/>
      <name val="Arial1"/>
      <family val="0"/>
      <charset val="1"/>
    </font>
    <font>
      <sz val="48"/>
      <name val="Aptos Narrow"/>
      <family val="2"/>
      <charset val="1"/>
    </font>
    <font>
      <b val="true"/>
      <sz val="20"/>
      <name val="Arial1"/>
      <family val="0"/>
      <charset val="1"/>
    </font>
    <font>
      <sz val="20"/>
      <color rgb="FF000000"/>
      <name val="Aptos Narrow"/>
      <family val="0"/>
    </font>
    <font>
      <sz val="20"/>
      <color rgb="FFFF0000"/>
      <name val="Times New Roman"/>
      <family val="0"/>
    </font>
    <font>
      <sz val="24"/>
      <color rgb="FF000000"/>
      <name val="Times New Roman"/>
      <family val="0"/>
    </font>
    <font>
      <u val="single"/>
      <sz val="24"/>
      <color theme="6" tint="-0.25"/>
      <name val="Aptos Narrow"/>
      <family val="0"/>
    </font>
    <font>
      <sz val="20"/>
      <color rgb="FF000000"/>
      <name val="Times New Roman"/>
      <family val="0"/>
    </font>
    <font>
      <b val="true"/>
      <sz val="20"/>
      <color theme="7" tint="0.4"/>
      <name val="Aptos Narrow"/>
      <family val="0"/>
    </font>
    <font>
      <b val="true"/>
      <sz val="20"/>
      <color theme="6" tint="0.4"/>
      <name val="Aptos Narrow"/>
      <family val="0"/>
    </font>
    <font>
      <b val="true"/>
      <sz val="20"/>
      <color theme="5" tint="-0.25"/>
      <name val="Aptos Narrow"/>
      <family val="0"/>
    </font>
    <font>
      <b val="true"/>
      <sz val="20"/>
      <color theme="4" tint="0.4"/>
      <name val="Aptos Narrow"/>
      <family val="0"/>
    </font>
    <font>
      <b val="true"/>
      <i val="true"/>
      <sz val="20"/>
      <color theme="6" tint="-0.25"/>
      <name val="Aptos Narrow"/>
      <family val="0"/>
    </font>
    <font>
      <i val="true"/>
      <sz val="28"/>
      <color theme="1" tint="0.15"/>
      <name val="Times New Roman"/>
      <family val="0"/>
    </font>
    <font>
      <sz val="28"/>
      <color rgb="FF000000"/>
      <name val="Times New Roman"/>
      <family val="0"/>
    </font>
    <font>
      <sz val="32"/>
      <color rgb="FF000000"/>
      <name val="Times New Roman"/>
      <family val="0"/>
    </font>
    <font>
      <sz val="16"/>
      <color rgb="FF000000"/>
      <name val="Times New Roman"/>
      <family val="0"/>
    </font>
    <font>
      <sz val="10"/>
      <color rgb="FF548235"/>
      <name val="Arial1"/>
      <family val="0"/>
      <charset val="1"/>
    </font>
    <font>
      <sz val="11"/>
      <color rgb="FFF2F2F2"/>
      <name val="Aptos Narrow"/>
      <family val="2"/>
      <charset val="1"/>
    </font>
    <font>
      <sz val="10"/>
      <color rgb="FFF2F2F2"/>
      <name val="Arial1"/>
      <family val="0"/>
      <charset val="1"/>
    </font>
    <font>
      <sz val="8"/>
      <name val="Arial"/>
      <family val="2"/>
      <charset val="1"/>
    </font>
    <font>
      <sz val="8"/>
      <color theme="1"/>
      <name val="Arial"/>
      <family val="2"/>
      <charset val="1"/>
    </font>
    <font>
      <b val="true"/>
      <sz val="10"/>
      <color rgb="FF333399"/>
      <name val="Arial"/>
      <family val="2"/>
      <charset val="1"/>
    </font>
    <font>
      <b val="true"/>
      <i val="true"/>
      <sz val="12"/>
      <color rgb="FF000000"/>
      <name val="Arial Narrow"/>
      <family val="2"/>
      <charset val="1"/>
    </font>
    <font>
      <strike val="true"/>
      <sz val="10"/>
      <color rgb="FF000000"/>
      <name val="Arial1"/>
      <family val="0"/>
      <charset val="1"/>
    </font>
    <font>
      <sz val="8"/>
      <color rgb="FF000000"/>
      <name val="Arial Narrow"/>
      <family val="2"/>
      <charset val="1"/>
    </font>
  </fonts>
  <fills count="64">
    <fill>
      <patternFill patternType="none"/>
    </fill>
    <fill>
      <patternFill patternType="gray125"/>
    </fill>
    <fill>
      <patternFill patternType="solid">
        <fgColor rgb="FF000000"/>
        <bgColor rgb="FF063B0F"/>
      </patternFill>
    </fill>
    <fill>
      <patternFill patternType="solid">
        <fgColor rgb="FF6088BC"/>
        <bgColor rgb="FF50938A"/>
      </patternFill>
    </fill>
    <fill>
      <patternFill patternType="darkGray">
        <fgColor rgb="FFD7DAE1"/>
        <bgColor rgb="FFD1D1D1"/>
      </patternFill>
    </fill>
    <fill>
      <patternFill patternType="darkGray">
        <fgColor rgb="FFFEC6C3"/>
        <bgColor rgb="FFF6C6AD"/>
      </patternFill>
    </fill>
    <fill>
      <patternFill patternType="solid">
        <fgColor rgb="FFCBFFCC"/>
        <bgColor rgb="FFDAF2D0"/>
      </patternFill>
    </fill>
    <fill>
      <patternFill patternType="solid">
        <fgColor rgb="FFF2F2F2"/>
        <bgColor rgb="FFE2F0D9"/>
      </patternFill>
    </fill>
    <fill>
      <patternFill patternType="solid">
        <fgColor rgb="FFFFCC99"/>
        <bgColor rgb="FFF6C6AD"/>
      </patternFill>
    </fill>
    <fill>
      <patternFill patternType="darkGray">
        <fgColor rgb="FFFF0000"/>
        <bgColor rgb="FFA83202"/>
      </patternFill>
    </fill>
    <fill>
      <patternFill patternType="solid">
        <fgColor rgb="FFFFFF99"/>
        <bgColor rgb="FFFFE699"/>
      </patternFill>
    </fill>
    <fill>
      <patternFill patternType="solid">
        <fgColor rgb="FFFEF7D5"/>
        <bgColor rgb="FFF2F2F2"/>
      </patternFill>
    </fill>
    <fill>
      <patternFill patternType="solid">
        <fgColor rgb="FFDAF2D0"/>
        <bgColor rgb="FFDCF1D3"/>
      </patternFill>
    </fill>
    <fill>
      <patternFill patternType="solid">
        <fgColor rgb="FFC0C0C3"/>
        <bgColor rgb="FFD1D1D1"/>
      </patternFill>
    </fill>
    <fill>
      <patternFill patternType="solid">
        <fgColor rgb="FFFFFFFF"/>
        <bgColor rgb="FFF2F2F2"/>
      </patternFill>
    </fill>
    <fill>
      <patternFill patternType="solid">
        <fgColor rgb="FF82E28F"/>
        <bgColor rgb="FF8ED973"/>
      </patternFill>
    </fill>
    <fill>
      <patternFill patternType="solid">
        <fgColor rgb="FFFFCC00"/>
        <bgColor rgb="FFFFC000"/>
      </patternFill>
    </fill>
    <fill>
      <patternFill patternType="solid">
        <fgColor rgb="FFF2AA84"/>
        <bgColor rgb="FFF4B183"/>
      </patternFill>
    </fill>
    <fill>
      <patternFill patternType="solid">
        <fgColor rgb="FF8ED973"/>
        <bgColor rgb="FF82E28F"/>
      </patternFill>
    </fill>
    <fill>
      <patternFill patternType="solid">
        <fgColor rgb="FFDCF1D3"/>
        <bgColor rgb="FFDAF2D0"/>
      </patternFill>
    </fill>
    <fill>
      <patternFill patternType="solid">
        <fgColor rgb="FFD4EA6B"/>
        <bgColor rgb="FFB4E5A2"/>
      </patternFill>
    </fill>
    <fill>
      <patternFill patternType="solid">
        <fgColor rgb="FFC5E0B4"/>
        <bgColor rgb="FFB4E5A2"/>
      </patternFill>
    </fill>
    <fill>
      <patternFill patternType="solid">
        <fgColor rgb="FFFFE696"/>
        <bgColor rgb="FFFFE699"/>
      </patternFill>
    </fill>
    <fill>
      <patternFill patternType="solid">
        <fgColor rgb="FFFBE3D6"/>
        <bgColor rgb="FFFEF7D5"/>
      </patternFill>
    </fill>
    <fill>
      <patternFill patternType="darkGray">
        <fgColor theme="6" tint="0.7998"/>
        <bgColor rgb="FFDAF2D0"/>
      </patternFill>
    </fill>
    <fill>
      <patternFill patternType="solid">
        <fgColor rgb="FFB4E5A2"/>
        <bgColor rgb="FFC5E0B4"/>
      </patternFill>
    </fill>
    <fill>
      <patternFill patternType="solid">
        <fgColor theme="5" tint="0.5996"/>
        <bgColor rgb="FFFEC6C3"/>
      </patternFill>
    </fill>
    <fill>
      <patternFill patternType="solid">
        <fgColor theme="7" tint="0.5996"/>
        <bgColor rgb="FFC3E5F5"/>
      </patternFill>
    </fill>
    <fill>
      <patternFill patternType="solid">
        <fgColor rgb="FFFFFF00"/>
        <bgColor rgb="FFFFCC00"/>
      </patternFill>
    </fill>
    <fill>
      <patternFill patternType="solid">
        <fgColor theme="2" tint="-0.1"/>
        <bgColor rgb="FFD7DAE1"/>
      </patternFill>
    </fill>
    <fill>
      <patternFill patternType="solid">
        <fgColor theme="4" tint="0.7998"/>
        <bgColor rgb="FFDBE4F3"/>
      </patternFill>
    </fill>
    <fill>
      <patternFill patternType="solid">
        <fgColor rgb="FFFFC000"/>
        <bgColor rgb="FFFFCC00"/>
      </patternFill>
    </fill>
    <fill>
      <patternFill patternType="solid">
        <fgColor rgb="FF92D050"/>
        <bgColor rgb="FF8ED973"/>
      </patternFill>
    </fill>
    <fill>
      <patternFill patternType="solid">
        <fgColor rgb="FFFF6A7F"/>
        <bgColor rgb="FFF98C1F"/>
      </patternFill>
    </fill>
    <fill>
      <patternFill patternType="solid">
        <fgColor rgb="FF50938A"/>
        <bgColor rgb="FF6088BC"/>
      </patternFill>
    </fill>
    <fill>
      <patternFill patternType="darkGray">
        <fgColor rgb="FF2B4BD2"/>
        <bgColor rgb="FF0B76A0"/>
      </patternFill>
    </fill>
    <fill>
      <patternFill patternType="solid">
        <fgColor rgb="FFF89B41"/>
        <bgColor rgb="FFF98C1F"/>
      </patternFill>
    </fill>
    <fill>
      <patternFill patternType="solid">
        <fgColor rgb="FFA83202"/>
        <bgColor rgb="FF84010A"/>
      </patternFill>
    </fill>
    <fill>
      <patternFill patternType="solid">
        <fgColor rgb="FF3FC04B"/>
        <bgColor rgb="FF50938A"/>
      </patternFill>
    </fill>
    <fill>
      <patternFill patternType="solid">
        <fgColor rgb="FF48881F"/>
        <bgColor rgb="FF50938A"/>
      </patternFill>
    </fill>
    <fill>
      <patternFill patternType="darkGray">
        <fgColor rgb="FF045C0A"/>
        <bgColor rgb="FF063B0F"/>
      </patternFill>
    </fill>
    <fill>
      <patternFill patternType="solid">
        <fgColor rgb="FF84010A"/>
        <bgColor rgb="FFA83202"/>
      </patternFill>
    </fill>
    <fill>
      <patternFill patternType="solid">
        <fgColor theme="5" tint="-0.5"/>
        <bgColor rgb="FF84010A"/>
      </patternFill>
    </fill>
    <fill>
      <patternFill patternType="mediumGray">
        <fgColor theme="5"/>
        <bgColor rgb="FFFF6A7F"/>
      </patternFill>
    </fill>
    <fill>
      <patternFill patternType="mediumGray">
        <fgColor rgb="FFF98C1F"/>
        <bgColor rgb="FFF89B41"/>
      </patternFill>
    </fill>
    <fill>
      <patternFill patternType="solid">
        <fgColor theme="3" tint="0.8999"/>
        <bgColor rgb="FFDEEBF7"/>
      </patternFill>
    </fill>
    <fill>
      <patternFill patternType="solid">
        <fgColor theme="6" tint="0.5996"/>
        <bgColor rgb="FF8ED973"/>
      </patternFill>
    </fill>
    <fill>
      <patternFill patternType="solid">
        <fgColor theme="7" tint="-0.25"/>
        <bgColor rgb="FF2B4BD2"/>
      </patternFill>
    </fill>
    <fill>
      <patternFill patternType="solid">
        <fgColor rgb="FFFFE699"/>
        <bgColor rgb="FFFFE696"/>
      </patternFill>
    </fill>
    <fill>
      <patternFill patternType="solid">
        <fgColor rgb="FFDBE4F3"/>
        <bgColor rgb="FFDCEAF7"/>
      </patternFill>
    </fill>
    <fill>
      <patternFill patternType="solid">
        <fgColor rgb="FFF4B183"/>
        <bgColor rgb="FFF2AA84"/>
      </patternFill>
    </fill>
    <fill>
      <patternFill patternType="solid">
        <fgColor rgb="FFCCFFFF"/>
        <bgColor rgb="FFCBFFCC"/>
      </patternFill>
    </fill>
    <fill>
      <patternFill patternType="solid">
        <fgColor rgb="FFE0C2CD"/>
        <bgColor rgb="FFD1D1D1"/>
      </patternFill>
    </fill>
    <fill>
      <patternFill patternType="solid">
        <fgColor rgb="FF61CBF4"/>
        <bgColor rgb="FF3ABEDF"/>
      </patternFill>
    </fill>
    <fill>
      <patternFill patternType="solid">
        <fgColor rgb="FFC3E5F5"/>
        <bgColor rgb="FFDBE4F3"/>
      </patternFill>
    </fill>
    <fill>
      <patternFill patternType="solid">
        <fgColor rgb="FFE59EDD"/>
        <bgColor rgb="FFFF99FF"/>
      </patternFill>
    </fill>
    <fill>
      <patternFill patternType="solid">
        <fgColor rgb="FFF2CFEE"/>
        <bgColor rgb="FFFEC6C3"/>
      </patternFill>
    </fill>
    <fill>
      <patternFill patternType="solid">
        <fgColor rgb="FFE2F0D9"/>
        <bgColor rgb="FFDCF1D3"/>
      </patternFill>
    </fill>
    <fill>
      <patternFill patternType="darkGray">
        <fgColor rgb="FFFEF7D5"/>
        <bgColor rgb="FFF2F2F2"/>
      </patternFill>
    </fill>
    <fill>
      <patternFill patternType="solid">
        <fgColor rgb="FFD7DAE1"/>
        <bgColor rgb="FFDBE4F3"/>
      </patternFill>
    </fill>
    <fill>
      <patternFill patternType="solid">
        <fgColor rgb="FF3ABEDF"/>
        <bgColor rgb="FF61CBF4"/>
      </patternFill>
    </fill>
    <fill>
      <patternFill patternType="darkGray">
        <fgColor rgb="FF063B0F"/>
        <bgColor rgb="FF045C0A"/>
      </patternFill>
    </fill>
    <fill>
      <patternFill patternType="solid">
        <fgColor rgb="FFDEEBF7"/>
        <bgColor rgb="FFDCEAF7"/>
      </patternFill>
    </fill>
    <fill>
      <patternFill patternType="solid">
        <fgColor rgb="FFFF99FF"/>
        <bgColor rgb="FFE59EDD"/>
      </patternFill>
    </fill>
  </fills>
  <borders count="169">
    <border diagonalUp="false" diagonalDown="false">
      <left/>
      <right/>
      <top/>
      <bottom/>
      <diagonal/>
    </border>
    <border diagonalUp="false" diagonalDown="false">
      <left style="thin">
        <color rgb="FF6088BC"/>
      </left>
      <right style="thin">
        <color rgb="FF6088BC"/>
      </right>
      <top style="thin">
        <color rgb="FF6088BC"/>
      </top>
      <bottom style="thin">
        <color rgb="FF6088BC"/>
      </bottom>
      <diagonal/>
    </border>
    <border diagonalUp="false" diagonalDown="false">
      <left style="thin">
        <color rgb="FFC0C0C3"/>
      </left>
      <right style="thin">
        <color rgb="FFC0C0C3"/>
      </right>
      <top style="thin">
        <color rgb="FFC0C0C3"/>
      </top>
      <bottom style="thin">
        <color rgb="FFC0C0C3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ck"/>
      <right style="thin"/>
      <top style="thick"/>
      <bottom style="thin"/>
      <diagonal/>
    </border>
    <border diagonalUp="false" diagonalDown="false">
      <left style="thin"/>
      <right style="thin"/>
      <top style="thick"/>
      <bottom style="thin"/>
      <diagonal/>
    </border>
    <border diagonalUp="false" diagonalDown="false">
      <left style="thin"/>
      <right style="thick"/>
      <top style="thick"/>
      <bottom style="thin"/>
      <diagonal/>
    </border>
    <border diagonalUp="false" diagonalDown="false">
      <left style="thick"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ck"/>
      <top style="thin"/>
      <bottom/>
      <diagonal/>
    </border>
    <border diagonalUp="false" diagonalDown="false">
      <left style="thick"/>
      <right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ck"/>
      <top/>
      <bottom/>
      <diagonal/>
    </border>
    <border diagonalUp="false" diagonalDown="false">
      <left style="thick"/>
      <right/>
      <top/>
      <bottom/>
      <diagonal/>
    </border>
    <border diagonalUp="false" diagonalDown="false">
      <left style="thick"/>
      <right/>
      <top/>
      <bottom style="thick"/>
      <diagonal/>
    </border>
    <border diagonalUp="false" diagonalDown="false">
      <left style="thin"/>
      <right/>
      <top/>
      <bottom style="thick"/>
      <diagonal/>
    </border>
    <border diagonalUp="false" diagonalDown="false">
      <left style="thin"/>
      <right style="thin"/>
      <top style="thin"/>
      <bottom style="thick"/>
      <diagonal/>
    </border>
    <border diagonalUp="false" diagonalDown="false">
      <left style="thin"/>
      <right style="thick"/>
      <top style="thin"/>
      <bottom style="thick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ck"/>
      <right style="thick"/>
      <top style="thin"/>
      <bottom/>
      <diagonal/>
    </border>
    <border diagonalUp="false" diagonalDown="false">
      <left style="thick"/>
      <right style="thick"/>
      <top style="thick"/>
      <bottom style="thin"/>
      <diagonal/>
    </border>
    <border diagonalUp="false" diagonalDown="false">
      <left style="thick"/>
      <right style="thick"/>
      <top style="thick"/>
      <bottom/>
      <diagonal/>
    </border>
    <border diagonalUp="false" diagonalDown="false">
      <left style="thick"/>
      <right style="thin"/>
      <top style="thin"/>
      <bottom style="thin"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 style="thick"/>
      <right style="thick"/>
      <top/>
      <bottom style="thick"/>
      <diagonal/>
    </border>
    <border diagonalUp="false" diagonalDown="false">
      <left style="thick"/>
      <right style="thin"/>
      <top style="thin"/>
      <bottom/>
      <diagonal/>
    </border>
    <border diagonalUp="false" diagonalDown="false">
      <left style="thick"/>
      <right style="thin"/>
      <top style="thin"/>
      <bottom style="thick"/>
      <diagonal/>
    </border>
    <border diagonalUp="false" diagonalDown="false">
      <left style="thin"/>
      <right style="thin"/>
      <top style="thick"/>
      <bottom/>
      <diagonal/>
    </border>
    <border diagonalUp="false" diagonalDown="false">
      <left style="thin"/>
      <right/>
      <top style="thick"/>
      <bottom/>
      <diagonal/>
    </border>
    <border diagonalUp="false" diagonalDown="false">
      <left style="thick"/>
      <right style="thin"/>
      <top style="thick"/>
      <bottom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/>
      <right style="thick"/>
      <top style="thick"/>
      <bottom style="thick"/>
      <diagonal/>
    </border>
    <border diagonalUp="false" diagonalDown="false">
      <left style="thick"/>
      <right/>
      <top style="thick"/>
      <bottom style="thick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ck"/>
      <right style="thin"/>
      <top/>
      <bottom/>
      <diagonal/>
    </border>
    <border diagonalUp="false" diagonalDown="false">
      <left style="thin"/>
      <right style="thick"/>
      <top/>
      <bottom/>
      <diagonal/>
    </border>
    <border diagonalUp="false" diagonalDown="false">
      <left style="thin"/>
      <right style="thick"/>
      <top style="thick"/>
      <bottom/>
      <diagonal/>
    </border>
    <border diagonalUp="false" diagonalDown="false">
      <left style="thick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ck"/>
      <top/>
      <bottom style="thin"/>
      <diagonal/>
    </border>
    <border diagonalUp="false" diagonalDown="false">
      <left style="thin"/>
      <right style="thick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ck"/>
      <bottom/>
      <diagonal/>
    </border>
    <border diagonalUp="false" diagonalDown="false">
      <left style="thin"/>
      <right/>
      <top style="thick"/>
      <bottom style="thin"/>
      <diagonal/>
    </border>
    <border diagonalUp="false" diagonalDown="false">
      <left style="thick"/>
      <right/>
      <top style="thick"/>
      <bottom style="thin"/>
      <diagonal/>
    </border>
    <border diagonalUp="false" diagonalDown="false">
      <left/>
      <right/>
      <top style="thick"/>
      <bottom style="thin"/>
      <diagonal/>
    </border>
    <border diagonalUp="false" diagonalDown="false">
      <left style="thick"/>
      <right/>
      <top style="thin"/>
      <bottom style="thick"/>
      <diagonal/>
    </border>
    <border diagonalUp="false" diagonalDown="false">
      <left style="thin"/>
      <right/>
      <top style="thin"/>
      <bottom style="thick"/>
      <diagonal/>
    </border>
    <border diagonalUp="false" diagonalDown="false">
      <left style="thick"/>
      <right/>
      <top style="thick"/>
      <bottom/>
      <diagonal/>
    </border>
    <border diagonalUp="false" diagonalDown="false">
      <left/>
      <right style="thick"/>
      <top style="thick"/>
      <bottom/>
      <diagonal/>
    </border>
    <border diagonalUp="false" diagonalDown="false">
      <left style="thick"/>
      <right style="thick"/>
      <top/>
      <bottom/>
      <diagonal/>
    </border>
    <border diagonalUp="false" diagonalDown="false">
      <left/>
      <right/>
      <top style="thin"/>
      <bottom style="thick"/>
      <diagonal/>
    </border>
    <border diagonalUp="false" diagonalDown="false">
      <left style="thick"/>
      <right style="thin"/>
      <top/>
      <bottom style="thick"/>
      <diagonal/>
    </border>
    <border diagonalUp="false" diagonalDown="false">
      <left style="thin"/>
      <right style="thick"/>
      <top/>
      <bottom style="thick"/>
      <diagonal/>
    </border>
    <border diagonalUp="false" diagonalDown="false">
      <left/>
      <right/>
      <top/>
      <bottom style="thick"/>
      <diagonal/>
    </border>
    <border diagonalUp="false" diagonalDown="false">
      <left/>
      <right style="thick"/>
      <top/>
      <bottom style="thick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ck"/>
      <right style="thick"/>
      <top style="thin"/>
      <bottom style="thin"/>
      <diagonal/>
    </border>
    <border diagonalUp="false" diagonalDown="false">
      <left style="thick"/>
      <right style="thick"/>
      <top style="thin"/>
      <bottom style="thick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/>
      <top style="thin"/>
      <bottom style="medium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hair"/>
      <top style="hair"/>
      <bottom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thin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/>
      <right/>
      <top style="hair"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/>
      <right style="thin"/>
      <top style="hair"/>
      <bottom/>
      <diagonal/>
    </border>
    <border diagonalUp="false" diagonalDown="false">
      <left/>
      <right style="thin"/>
      <top style="thin"/>
      <bottom style="hair"/>
      <diagonal/>
    </border>
    <border diagonalUp="false" diagonalDown="false">
      <left/>
      <right style="thin"/>
      <top style="hair"/>
      <bottom style="thin"/>
      <diagonal/>
    </border>
    <border diagonalUp="false" diagonalDown="false">
      <left style="double"/>
      <right/>
      <top style="double"/>
      <bottom/>
      <diagonal/>
    </border>
    <border diagonalUp="false" diagonalDown="false">
      <left/>
      <right/>
      <top style="double"/>
      <bottom/>
      <diagonal/>
    </border>
    <border diagonalUp="false" diagonalDown="false">
      <left style="thick"/>
      <right style="double"/>
      <top style="double"/>
      <bottom/>
      <diagonal/>
    </border>
    <border diagonalUp="false" diagonalDown="false">
      <left style="double"/>
      <right/>
      <top/>
      <bottom/>
      <diagonal/>
    </border>
    <border diagonalUp="false" diagonalDown="false">
      <left/>
      <right style="double"/>
      <top/>
      <bottom/>
      <diagonal/>
    </border>
    <border diagonalUp="false" diagonalDown="false">
      <left/>
      <right style="double"/>
      <top/>
      <bottom style="thick"/>
      <diagonal/>
    </border>
    <border diagonalUp="false" diagonalDown="false">
      <left style="double"/>
      <right style="thick"/>
      <top style="thick"/>
      <bottom style="thick"/>
      <diagonal/>
    </border>
    <border diagonalUp="false" diagonalDown="false">
      <left style="thick"/>
      <right style="double"/>
      <top style="thick"/>
      <bottom style="thick"/>
      <diagonal/>
    </border>
    <border diagonalUp="false" diagonalDown="false">
      <left style="thick"/>
      <right style="double"/>
      <top/>
      <bottom/>
      <diagonal/>
    </border>
    <border diagonalUp="false" diagonalDown="false">
      <left style="double"/>
      <right/>
      <top style="thick"/>
      <bottom style="thick"/>
      <diagonal/>
    </border>
    <border diagonalUp="false" diagonalDown="false">
      <left/>
      <right style="thick"/>
      <top style="thick"/>
      <bottom style="thin"/>
      <diagonal/>
    </border>
    <border diagonalUp="false" diagonalDown="false">
      <left/>
      <right style="double"/>
      <top style="thick"/>
      <bottom style="thin"/>
      <diagonal/>
    </border>
    <border diagonalUp="false" diagonalDown="false">
      <left/>
      <right style="thick"/>
      <top style="thin"/>
      <bottom style="thin"/>
      <diagonal/>
    </border>
    <border diagonalUp="false" diagonalDown="false">
      <left/>
      <right style="double"/>
      <top style="thin"/>
      <bottom style="thin"/>
      <diagonal/>
    </border>
    <border diagonalUp="false" diagonalDown="false">
      <left/>
      <right style="thick"/>
      <top/>
      <bottom style="thin"/>
      <diagonal/>
    </border>
    <border diagonalUp="false" diagonalDown="false">
      <left style="thick"/>
      <right/>
      <top style="thin"/>
      <bottom/>
      <diagonal/>
    </border>
    <border diagonalUp="false" diagonalDown="false">
      <left/>
      <right style="double"/>
      <top style="thin"/>
      <bottom/>
      <diagonal/>
    </border>
    <border diagonalUp="false" diagonalDown="false">
      <left/>
      <right style="double"/>
      <top/>
      <bottom style="thin"/>
      <diagonal/>
    </border>
    <border diagonalUp="false" diagonalDown="false">
      <left/>
      <right style="thick"/>
      <top style="thin"/>
      <bottom style="thick"/>
      <diagonal/>
    </border>
    <border diagonalUp="false" diagonalDown="false">
      <left style="double"/>
      <right/>
      <top style="thick"/>
      <bottom/>
      <diagonal/>
    </border>
    <border diagonalUp="false" diagonalDown="false">
      <left style="double"/>
      <right/>
      <top style="double"/>
      <bottom style="double"/>
      <diagonal/>
    </border>
    <border diagonalUp="false" diagonalDown="false">
      <left/>
      <right style="double"/>
      <top style="double"/>
      <bottom style="double"/>
      <diagonal/>
    </border>
    <border diagonalUp="false" diagonalDown="false">
      <left/>
      <right style="double"/>
      <top style="thick"/>
      <bottom/>
      <diagonal/>
    </border>
    <border diagonalUp="false" diagonalDown="false">
      <left/>
      <right style="double"/>
      <top style="thick"/>
      <bottom style="thick"/>
      <diagonal/>
    </border>
    <border diagonalUp="false" diagonalDown="false">
      <left style="thick"/>
      <right style="double"/>
      <top style="thick"/>
      <bottom style="thin"/>
      <diagonal/>
    </border>
    <border diagonalUp="false" diagonalDown="false">
      <left style="double"/>
      <right/>
      <top style="thick"/>
      <bottom style="thin"/>
      <diagonal/>
    </border>
    <border diagonalUp="false" diagonalDown="false">
      <left style="double"/>
      <right/>
      <top style="thin"/>
      <bottom style="thick"/>
      <diagonal/>
    </border>
    <border diagonalUp="false" diagonalDown="false">
      <left style="double"/>
      <right style="thin"/>
      <top style="thick"/>
      <bottom style="thin"/>
      <diagonal/>
    </border>
    <border diagonalUp="false" diagonalDown="false">
      <left style="thin"/>
      <right style="double"/>
      <top style="thick"/>
      <bottom style="thin"/>
      <diagonal/>
    </border>
    <border diagonalUp="false" diagonalDown="false">
      <left style="double"/>
      <right style="thin"/>
      <top style="thin"/>
      <bottom style="thin"/>
      <diagonal/>
    </border>
    <border diagonalUp="false" diagonalDown="false">
      <left style="thin"/>
      <right style="double"/>
      <top style="thin"/>
      <bottom style="thin"/>
      <diagonal/>
    </border>
    <border diagonalUp="false" diagonalDown="false">
      <left style="double"/>
      <right/>
      <top style="thin"/>
      <bottom/>
      <diagonal/>
    </border>
    <border diagonalUp="false" diagonalDown="false">
      <left style="thin"/>
      <right style="double"/>
      <top style="thin"/>
      <bottom/>
      <diagonal/>
    </border>
    <border diagonalUp="false" diagonalDown="false">
      <left style="double"/>
      <right style="thin"/>
      <top style="thin"/>
      <bottom style="thick"/>
      <diagonal/>
    </border>
    <border diagonalUp="false" diagonalDown="false">
      <left style="thin"/>
      <right style="double"/>
      <top style="thin"/>
      <bottom style="thick"/>
      <diagonal/>
    </border>
    <border diagonalUp="false" diagonalDown="false">
      <left style="double"/>
      <right style="double"/>
      <top style="thin"/>
      <bottom/>
      <diagonal/>
    </border>
    <border diagonalUp="false" diagonalDown="false">
      <left style="double"/>
      <right style="thin"/>
      <top/>
      <bottom/>
      <diagonal/>
    </border>
    <border diagonalUp="false" diagonalDown="false">
      <left style="thin"/>
      <right style="double"/>
      <top/>
      <bottom/>
      <diagonal/>
    </border>
    <border diagonalUp="false" diagonalDown="false">
      <left style="double"/>
      <right style="thin"/>
      <top/>
      <bottom style="double"/>
      <diagonal/>
    </border>
    <border diagonalUp="false" diagonalDown="false">
      <left style="thin"/>
      <right style="thin"/>
      <top/>
      <bottom style="double"/>
      <diagonal/>
    </border>
    <border diagonalUp="false" diagonalDown="false">
      <left style="thin"/>
      <right style="double"/>
      <top/>
      <bottom style="double"/>
      <diagonal/>
    </border>
    <border diagonalUp="false" diagonalDown="false">
      <left style="thick"/>
      <right style="thin"/>
      <top style="thick"/>
      <bottom style="thick"/>
      <diagonal/>
    </border>
    <border diagonalUp="false" diagonalDown="false">
      <left style="thin"/>
      <right style="thick"/>
      <top style="thick"/>
      <bottom style="thick"/>
      <diagonal/>
    </border>
    <border diagonalUp="false" diagonalDown="false">
      <left/>
      <right/>
      <top style="thick"/>
      <bottom style="thick"/>
      <diagonal/>
    </border>
    <border diagonalUp="false" diagonalDown="false">
      <left style="thick"/>
      <right style="thick"/>
      <top/>
      <bottom style="thin"/>
      <diagonal/>
    </border>
    <border diagonalUp="false" diagonalDown="false">
      <left/>
      <right/>
      <top/>
      <bottom style="double"/>
      <diagonal/>
    </border>
    <border diagonalUp="false" diagonalDown="false">
      <left/>
      <right/>
      <top style="double"/>
      <bottom style="double"/>
      <diagonal/>
    </border>
    <border diagonalUp="false" diagonalDown="false">
      <left style="hair"/>
      <right style="hair"/>
      <top style="thin"/>
      <bottom style="thin"/>
      <diagonal/>
    </border>
  </borders>
  <cellStyleXfs count="6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81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7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9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1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1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11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11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0" fillId="12" borderId="0" applyFont="true" applyBorder="false" applyAlignment="true" applyProtection="false">
      <alignment horizontal="general" vertical="bottom" textRotation="0" wrapText="false" indent="0" shrinkToFit="false"/>
    </xf>
  </cellStyleXfs>
  <cellXfs count="16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26" fillId="1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14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15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false" hidden="tru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27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2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28" fillId="13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8" fillId="1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8" fillId="13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8" fillId="0" borderId="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9" xfId="0" applyFont="false" applyBorder="tru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8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5" fontId="0" fillId="0" borderId="1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8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1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9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8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9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0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0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1" fillId="0" borderId="15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1" fillId="0" borderId="16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31" fillId="8" borderId="1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9" fontId="31" fillId="8" borderId="1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9" fontId="31" fillId="8" borderId="1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2" fillId="13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33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5" fontId="34" fillId="6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5" fillId="14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28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36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true"/>
    </xf>
    <xf numFmtId="168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8" fontId="0" fillId="14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70" fontId="27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27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70" fontId="2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true"/>
    </xf>
    <xf numFmtId="164" fontId="35" fillId="0" borderId="1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5" fontId="34" fillId="0" borderId="2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7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26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2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26" fillId="0" borderId="0" xfId="0" applyFont="true" applyBorder="false" applyAlignment="true" applyProtection="true">
      <alignment horizontal="right" vertical="center" textRotation="90" wrapText="false" indent="0" shrinkToFit="false"/>
      <protection locked="false" hidden="true"/>
    </xf>
    <xf numFmtId="164" fontId="3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35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35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27" fillId="14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27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38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14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14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3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35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28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34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34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3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14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28" fillId="0" borderId="0" xfId="0" applyFont="true" applyBorder="false" applyAlignment="true" applyProtection="true">
      <alignment horizontal="right" vertical="center" textRotation="90" wrapText="false" indent="0" shrinkToFit="false"/>
      <protection locked="false" hidden="true"/>
    </xf>
    <xf numFmtId="164" fontId="3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40" fillId="8" borderId="3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37" fillId="10" borderId="2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37" fillId="15" borderId="2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28" fillId="16" borderId="3" xfId="0" applyFont="true" applyBorder="true" applyAlignment="true" applyProtection="true">
      <alignment horizontal="center" vertical="center" textRotation="90" wrapText="false" indent="0" shrinkToFit="false"/>
      <protection locked="false" hidden="true"/>
    </xf>
    <xf numFmtId="164" fontId="41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2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42" fillId="14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43" fillId="14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44" fillId="14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37" fillId="1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4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71" fontId="28" fillId="14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8" fontId="0" fillId="14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28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44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28" fillId="0" borderId="8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28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8" fillId="16" borderId="3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8" fontId="33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8" fontId="33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33" fillId="0" borderId="24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8" fontId="33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0" fontId="45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27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0" fontId="45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45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8" fontId="4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33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8" fontId="46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28" fillId="16" borderId="19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8" fontId="33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8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3" fillId="0" borderId="19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33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33" fillId="0" borderId="2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33" fillId="0" borderId="2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47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8" fillId="0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8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35" fillId="10" borderId="8" xfId="0" applyFont="true" applyBorder="true" applyAlignment="true" applyProtection="true">
      <alignment horizontal="general" vertical="center" textRotation="0" wrapText="false" indent="0" shrinkToFit="false"/>
      <protection locked="false" hidden="true"/>
    </xf>
    <xf numFmtId="167" fontId="49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7" fontId="35" fillId="15" borderId="8" xfId="0" applyFont="true" applyBorder="true" applyAlignment="true" applyProtection="true">
      <alignment horizontal="general" vertical="center" textRotation="0" wrapText="false" indent="0" shrinkToFit="false"/>
      <protection locked="false" hidden="true"/>
    </xf>
    <xf numFmtId="168" fontId="4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7" fillId="0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5" fontId="27" fillId="6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27" fillId="14" borderId="22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27" fillId="0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7" fontId="50" fillId="6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50" fillId="6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2" fontId="47" fillId="1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47" fillId="13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8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8" fontId="0" fillId="0" borderId="3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1" fontId="28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7" fontId="51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47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2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25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7" fontId="2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7" fontId="28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2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28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7" fontId="28" fillId="15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28" fillId="15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0" fillId="0" borderId="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5" fontId="34" fillId="0" borderId="3" xfId="29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5" fontId="34" fillId="0" borderId="0" xfId="29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5" fontId="28" fillId="0" borderId="3" xfId="29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35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28" fillId="15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33" fillId="0" borderId="3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35" fillId="0" borderId="19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52" fillId="17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5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5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54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8" fontId="31" fillId="8" borderId="2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1" fillId="12" borderId="1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31" fillId="18" borderId="1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31" fillId="12" borderId="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31" fillId="18" borderId="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5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5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53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5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53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8" fontId="5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53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31" fillId="5" borderId="27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8" fontId="31" fillId="8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2" borderId="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18" borderId="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tru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3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5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7" fontId="0" fillId="12" borderId="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7" fontId="0" fillId="18" borderId="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7" fontId="56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28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7" fillId="19" borderId="3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4" fontId="57" fillId="20" borderId="3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9" fontId="31" fillId="8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12" borderId="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1" fillId="5" borderId="28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56" fillId="21" borderId="22" xfId="0" applyFont="true" applyBorder="true" applyAlignment="true" applyProtection="true">
      <alignment horizontal="right" vertical="bottom" textRotation="90" wrapText="false" indent="0" shrinkToFit="false"/>
      <protection locked="true" hidden="true"/>
    </xf>
    <xf numFmtId="164" fontId="56" fillId="22" borderId="22" xfId="0" applyFont="true" applyBorder="true" applyAlignment="true" applyProtection="true">
      <alignment horizontal="right" vertical="bottom" textRotation="90" wrapText="false" indent="0" shrinkToFit="false"/>
      <protection locked="true" hidden="true"/>
    </xf>
    <xf numFmtId="164" fontId="56" fillId="23" borderId="22" xfId="0" applyFont="true" applyBorder="true" applyAlignment="true" applyProtection="true">
      <alignment horizontal="right" vertical="bottom" textRotation="90" wrapText="false" indent="0" shrinkToFit="false"/>
      <protection locked="true" hidden="true"/>
    </xf>
    <xf numFmtId="164" fontId="57" fillId="24" borderId="2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8" fillId="12" borderId="29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58" fillId="12" borderId="3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8" fontId="58" fillId="12" borderId="3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58" fillId="25" borderId="29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58" fillId="25" borderId="3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8" fontId="58" fillId="25" borderId="3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9" fontId="3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59" fillId="26" borderId="1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60" fillId="12" borderId="1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31" fillId="8" borderId="3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59" fillId="10" borderId="2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59" fillId="27" borderId="2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9" fillId="28" borderId="3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59" fillId="27" borderId="2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59" fillId="29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58" fillId="3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58" fillId="12" borderId="33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58" fillId="12" borderId="17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8" fontId="58" fillId="12" borderId="18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31" fillId="0" borderId="14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37" fillId="10" borderId="3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27" borderId="3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28" borderId="3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27" borderId="3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37" fillId="29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6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54" fillId="0" borderId="14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3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0" fillId="0" borderId="0" xfId="0" applyFont="false" applyBorder="false" applyAlignment="true" applyProtection="true">
      <alignment horizontal="right" vertical="center" textRotation="0" wrapText="false" indent="0" shrinkToFit="false"/>
      <protection locked="true" hidden="true"/>
    </xf>
    <xf numFmtId="164" fontId="37" fillId="10" borderId="2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27" borderId="2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28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27" borderId="2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54" fillId="0" borderId="14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26" fillId="0" borderId="0" xfId="0" applyFont="true" applyBorder="false" applyAlignment="true" applyProtection="true">
      <alignment horizontal="right" vertical="center" textRotation="90" wrapText="false" indent="0" shrinkToFit="false"/>
      <protection locked="true" hidden="true"/>
    </xf>
    <xf numFmtId="164" fontId="3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3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54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3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0" fillId="0" borderId="9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7" fontId="28" fillId="0" borderId="3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28" fillId="0" borderId="3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28" fillId="0" borderId="3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58" fillId="0" borderId="4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8" fillId="0" borderId="0" xfId="0" applyFont="true" applyBorder="false" applyAlignment="true" applyProtection="true">
      <alignment horizontal="right" vertical="center" textRotation="90" wrapText="false" indent="0" shrinkToFit="false"/>
      <protection locked="true" hidden="true"/>
    </xf>
    <xf numFmtId="164" fontId="3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28" fillId="16" borderId="3" xfId="0" applyFont="true" applyBorder="true" applyAlignment="true" applyProtection="true">
      <alignment horizontal="center" vertical="center" textRotation="90" wrapText="false" indent="0" shrinkToFit="false"/>
      <protection locked="true" hidden="true"/>
    </xf>
    <xf numFmtId="164" fontId="41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4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37" fillId="10" borderId="4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4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0" borderId="2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0" borderId="3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4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0" fillId="12" borderId="4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0" fillId="12" borderId="45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0" fillId="12" borderId="46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4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43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8" fontId="0" fillId="12" borderId="29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0" fillId="12" borderId="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0" fillId="12" borderId="30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7" fillId="10" borderId="2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3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0" borderId="2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8" fillId="0" borderId="3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28" fillId="16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3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47" fillId="0" borderId="22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4" fontId="28" fillId="16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33" fillId="0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0" fillId="12" borderId="29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8" fontId="0" fillId="12" borderId="3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8" fontId="0" fillId="12" borderId="30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4" fontId="37" fillId="10" borderId="2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2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3" fillId="0" borderId="21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33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3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37" fillId="10" borderId="3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4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0" borderId="4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2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19" borderId="29" xfId="0" applyFont="false" applyBorder="true" applyAlignment="true" applyProtection="true">
      <alignment horizontal="right" vertical="bottom" textRotation="0" wrapText="false" indent="0" shrinkToFit="false"/>
      <protection locked="true" hidden="true"/>
    </xf>
    <xf numFmtId="164" fontId="0" fillId="20" borderId="29" xfId="0" applyFont="false" applyBorder="true" applyAlignment="true" applyProtection="true">
      <alignment horizontal="right" vertical="bottom" textRotation="0" wrapText="false" indent="0" shrinkToFit="false"/>
      <protection locked="true" hidden="true"/>
    </xf>
    <xf numFmtId="164" fontId="0" fillId="0" borderId="4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7" fillId="0" borderId="34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54" fillId="0" borderId="4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8" fillId="0" borderId="5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8" fillId="0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8" fillId="0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28" fillId="0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9" fillId="14" borderId="4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35" fillId="10" borderId="5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5" borderId="5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3" fillId="0" borderId="3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8" fillId="0" borderId="5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8" fontId="0" fillId="0" borderId="4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8" fillId="0" borderId="34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3" fontId="48" fillId="0" borderId="5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7" fontId="35" fillId="10" borderId="5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0" borderId="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5" borderId="6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0" borderId="5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35" fillId="12" borderId="4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35" fillId="12" borderId="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35" fillId="12" borderId="6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0" borderId="4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5" borderId="4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4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5" fontId="27" fillId="6" borderId="5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27" fillId="6" borderId="49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27" fillId="0" borderId="49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8" fillId="0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35" fillId="10" borderId="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5" borderId="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0" borderId="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5" borderId="3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0" borderId="2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35" fillId="12" borderId="2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35" fillId="12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35" fillId="12" borderId="3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7" fontId="35" fillId="15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5" fontId="27" fillId="6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35" fillId="10" borderId="2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0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5" borderId="2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0" borderId="5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0" borderId="1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5" borderId="54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5" borderId="1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35" fillId="10" borderId="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35" fillId="12" borderId="3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35" fillId="12" borderId="1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35" fillId="12" borderId="1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49" xfId="0" applyFont="false" applyBorder="true" applyAlignment="true" applyProtection="true">
      <alignment horizontal="left" vertical="bottom" textRotation="0" wrapText="false" indent="0" shrinkToFit="false"/>
      <protection locked="true" hidden="true"/>
    </xf>
    <xf numFmtId="164" fontId="48" fillId="0" borderId="4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8" fillId="0" borderId="49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7" fontId="0" fillId="0" borderId="49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49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49" xfId="0" applyFont="false" applyBorder="true" applyAlignment="true" applyProtection="true">
      <alignment horizontal="right" vertical="bottom" textRotation="0" wrapText="false" indent="0" shrinkToFit="false"/>
      <protection locked="true" hidden="true"/>
    </xf>
    <xf numFmtId="164" fontId="27" fillId="0" borderId="4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48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2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23" borderId="9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21" borderId="9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22" borderId="9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0" borderId="3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4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8" fillId="0" borderId="5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4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1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52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3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3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4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3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58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5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2" fillId="17" borderId="6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6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63" fillId="13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63" fillId="13" borderId="2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6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6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6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6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64" fillId="0" borderId="64" xfId="0" applyFont="true" applyBorder="true" applyAlignment="true" applyProtection="true">
      <alignment horizontal="right" vertical="bottom" textRotation="90" wrapText="false" indent="0" shrinkToFit="false"/>
      <protection locked="true" hidden="true"/>
    </xf>
    <xf numFmtId="164" fontId="63" fillId="0" borderId="8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4" fontId="63" fillId="6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6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6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6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63" fillId="0" borderId="8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5" fontId="67" fillId="6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6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6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63" fillId="14" borderId="8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75" fontId="67" fillId="6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76" fontId="68" fillId="31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6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6" fontId="68" fillId="18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6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70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1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5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6" fontId="72" fillId="31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3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2" fillId="18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3" fillId="18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0" fillId="0" borderId="29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5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7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74" fillId="31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74" fillId="32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6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5" fillId="0" borderId="6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6" fillId="0" borderId="6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77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37" fillId="15" borderId="25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37" fillId="29" borderId="2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28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right" vertical="center" textRotation="90" wrapText="false" indent="0" shrinkToFit="false"/>
      <protection locked="true" hidden="true"/>
    </xf>
    <xf numFmtId="164" fontId="74" fillId="31" borderId="3" xfId="29" applyFont="true" applyBorder="true" applyAlignment="true" applyProtection="true">
      <alignment horizontal="center" vertical="center" textRotation="90" wrapText="false" indent="0" shrinkToFit="false"/>
      <protection locked="true" hidden="true"/>
    </xf>
    <xf numFmtId="176" fontId="74" fillId="31" borderId="3" xfId="29" applyFont="true" applyBorder="true" applyAlignment="true" applyProtection="true">
      <alignment horizontal="center" vertical="center" textRotation="90" wrapText="false" indent="0" shrinkToFit="false"/>
      <protection locked="true" hidden="true"/>
    </xf>
    <xf numFmtId="164" fontId="28" fillId="0" borderId="0" xfId="0" applyFont="true" applyBorder="false" applyAlignment="true" applyProtection="true">
      <alignment horizontal="center" vertical="bottom" textRotation="90" wrapText="false" indent="0" shrinkToFit="false"/>
      <protection locked="true" hidden="true"/>
    </xf>
    <xf numFmtId="164" fontId="74" fillId="18" borderId="3" xfId="29" applyFont="true" applyBorder="true" applyAlignment="true" applyProtection="true">
      <alignment horizontal="center" vertical="center" textRotation="90" wrapText="false" indent="0" shrinkToFit="false"/>
      <protection locked="true" hidden="true"/>
    </xf>
    <xf numFmtId="176" fontId="74" fillId="18" borderId="3" xfId="29" applyFont="true" applyBorder="true" applyAlignment="true" applyProtection="true">
      <alignment horizontal="center" vertical="center" textRotation="9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right" vertical="center" textRotation="90" wrapText="false" indent="0" shrinkToFit="false"/>
      <protection locked="true" hidden="true"/>
    </xf>
    <xf numFmtId="164" fontId="37" fillId="15" borderId="2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29" borderId="6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9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79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79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19" fillId="0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7" fontId="19" fillId="0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8" fontId="81" fillId="28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9" fillId="0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74" fillId="31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31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0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74" fillId="18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18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7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82" fillId="33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3" fillId="3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3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82" fillId="33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82" fillId="33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82" fillId="33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4" fillId="33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82" fillId="34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3" fillId="34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34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82" fillId="34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82" fillId="34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82" fillId="34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2" fillId="34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82" fillId="35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4" fillId="35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2" fillId="35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3" fillId="35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82" fillId="35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82" fillId="35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82" fillId="35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2" fillId="35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82" fillId="35" borderId="4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36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4" fillId="36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3" fillId="36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36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82" fillId="36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82" fillId="36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82" fillId="36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2" fillId="36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7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2" fillId="37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79" fillId="37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3" fillId="37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37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19" fillId="37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19" fillId="37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81" fillId="37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9" fillId="37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82" fillId="38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79" fillId="38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3" fillId="38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38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19" fillId="38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19" fillId="38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81" fillId="38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9" fillId="38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74" fillId="31" borderId="21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31" borderId="21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18" borderId="21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18" borderId="21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74" fillId="31" borderId="9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31" borderId="9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0" borderId="9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18" borderId="9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18" borderId="9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31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6" fontId="74" fillId="31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74" fillId="18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6" fontId="74" fillId="18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74" fillId="0" borderId="24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74" fillId="0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6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74" fillId="31" borderId="64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31" borderId="64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0" borderId="64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18" borderId="64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18" borderId="64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31" borderId="45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31" borderId="45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18" borderId="45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74" fillId="18" borderId="45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5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85" fillId="0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5" fillId="0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7" fontId="82" fillId="35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7" fontId="82" fillId="35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2" fillId="39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3" fillId="39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39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82" fillId="39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7" fontId="82" fillId="39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8" fontId="82" fillId="39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2" fillId="39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7" fontId="19" fillId="28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9" fillId="2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2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9" fillId="2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19" fillId="20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19" fillId="20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19" fillId="20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9" fillId="20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82" fillId="4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3" fillId="4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4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82" fillId="40" borderId="3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7" fontId="82" fillId="40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82" fillId="40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2" fillId="40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82" fillId="3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3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82" fillId="3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82" fillId="3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82" fillId="3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2" fillId="3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82" fillId="41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3" fillId="41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2" fillId="41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82" fillId="41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82" fillId="41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82" fillId="41" borderId="3" xfId="62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2" fillId="41" borderId="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37" fillId="29" borderId="6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6" fillId="42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86" fillId="43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8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87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88" fillId="14" borderId="8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4" fillId="44" borderId="2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4" fontId="89" fillId="14" borderId="2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88" fillId="0" borderId="22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88" fillId="14" borderId="22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90" fillId="44" borderId="24" xfId="0" applyFont="true" applyBorder="true" applyAlignment="true" applyProtection="true">
      <alignment horizontal="left" vertical="center" textRotation="0" wrapText="true" indent="0" shrinkToFit="false"/>
      <protection locked="false" hidden="true"/>
    </xf>
    <xf numFmtId="164" fontId="83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7" fontId="0" fillId="0" borderId="2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91" fillId="0" borderId="6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1" fillId="0" borderId="6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2" fillId="31" borderId="69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77" fillId="14" borderId="0" xfId="0" applyFont="true" applyBorder="false" applyAlignment="true" applyProtection="true">
      <alignment horizontal="center" vertical="center" textRotation="0" wrapText="false" indent="0" shrinkToFit="false"/>
      <protection locked="false" hidden="true"/>
    </xf>
    <xf numFmtId="164" fontId="93" fillId="7" borderId="4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70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94" fillId="0" borderId="7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0" borderId="6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0" borderId="6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0" borderId="6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71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88" fillId="7" borderId="4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3" fillId="14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95" fillId="28" borderId="24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88" fillId="14" borderId="72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6" fillId="7" borderId="8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96" fillId="0" borderId="22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9" fontId="88" fillId="25" borderId="24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80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71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9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95" fillId="0" borderId="24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88" fillId="0" borderId="72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6" fillId="0" borderId="71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96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79" fontId="88" fillId="0" borderId="7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5" fontId="96" fillId="14" borderId="72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88" fillId="14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95" fillId="14" borderId="24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7" fillId="0" borderId="71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9" fontId="88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74" fillId="0" borderId="7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5" fontId="96" fillId="0" borderId="0" xfId="29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5" fontId="98" fillId="14" borderId="72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9" fillId="14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79" fontId="100" fillId="14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101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88" fillId="14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7" borderId="74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20" fillId="7" borderId="7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03" fillId="45" borderId="7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68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96" fillId="0" borderId="6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8" fillId="14" borderId="7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7" borderId="6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4" fillId="0" borderId="7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95" fillId="28" borderId="76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96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105" fillId="14" borderId="7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5" fontId="96" fillId="0" borderId="3" xfId="29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04" fillId="0" borderId="7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95" fillId="28" borderId="78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96" fillId="14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88" fillId="7" borderId="7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03" fillId="45" borderId="7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0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5" fontId="96" fillId="14" borderId="0" xfId="29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91" fillId="14" borderId="4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1" fillId="14" borderId="6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1" fillId="14" borderId="6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2" fillId="31" borderId="40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107" fillId="31" borderId="68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108" fillId="14" borderId="68" xfId="0" applyFont="true" applyBorder="true" applyAlignment="true" applyProtection="true">
      <alignment horizontal="general" vertical="center" textRotation="0" wrapText="false" indent="0" shrinkToFit="false"/>
      <protection locked="false" hidden="true"/>
    </xf>
    <xf numFmtId="164" fontId="109" fillId="14" borderId="69" xfId="0" applyFont="true" applyBorder="true" applyAlignment="true" applyProtection="true">
      <alignment horizontal="general" vertical="center" textRotation="0" wrapText="true" indent="0" shrinkToFit="false"/>
      <protection locked="false" hidden="true"/>
    </xf>
    <xf numFmtId="164" fontId="88" fillId="7" borderId="6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03" fillId="14" borderId="6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0" fillId="7" borderId="6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103" fillId="45" borderId="6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7" borderId="7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20" fillId="14" borderId="7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14" borderId="7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14" borderId="7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77" fillId="14" borderId="8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88" fillId="14" borderId="7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88" fillId="25" borderId="78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14" borderId="7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88" fillId="7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10" fillId="7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77" fillId="12" borderId="3" xfId="29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5" fontId="77" fillId="14" borderId="71" xfId="29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111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10" fillId="14" borderId="7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0" fillId="14" borderId="8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14" borderId="7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74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88" fillId="25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111" fillId="14" borderId="7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81" fontId="0" fillId="0" borderId="0" xfId="15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88" fillId="7" borderId="8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0" fillId="14" borderId="8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14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46" borderId="8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77" fillId="14" borderId="8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14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14" borderId="8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77" fillId="46" borderId="8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92" fillId="31" borderId="3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8" fontId="77" fillId="14" borderId="7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88" fillId="14" borderId="8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20" fillId="0" borderId="7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0" fillId="0" borderId="7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88" fillId="0" borderId="8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0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20" fillId="0" borderId="71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8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88" fillId="0" borderId="89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20" fillId="0" borderId="8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03" fillId="45" borderId="9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7" borderId="89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20" fillId="7" borderId="8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92" fillId="31" borderId="90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77" fillId="7" borderId="79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77" fillId="7" borderId="77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77" fillId="14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7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77" fillId="0" borderId="7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7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77" fillId="0" borderId="7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77" fillId="0" borderId="7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77" fillId="0" borderId="75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77" fillId="0" borderId="76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20" fillId="14" borderId="71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0" fillId="0" borderId="7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12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77" fillId="14" borderId="9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14" borderId="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14" borderId="2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114" fillId="12" borderId="92" xfId="29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5" fontId="115" fillId="14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0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88" fillId="14" borderId="9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20" fillId="0" borderId="7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88" fillId="14" borderId="9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112" fillId="14" borderId="6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12" fillId="14" borderId="71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12" fillId="14" borderId="7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7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16" fillId="30" borderId="7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70" fontId="117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77" fillId="14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2" fillId="31" borderId="69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118" fillId="0" borderId="4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7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7" fillId="0" borderId="4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74" fillId="0" borderId="9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0" fontId="1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5" fontId="110" fillId="0" borderId="40" xfId="29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88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8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74" fillId="0" borderId="95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20" fillId="0" borderId="96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0" fillId="0" borderId="97" xfId="0" applyFont="true" applyBorder="true" applyAlignment="true" applyProtection="true">
      <alignment horizontal="center" vertical="bottom" textRotation="0" wrapText="false" indent="0" shrinkToFit="false"/>
      <protection locked="false" hidden="true"/>
    </xf>
    <xf numFmtId="164" fontId="20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true"/>
    </xf>
    <xf numFmtId="164" fontId="119" fillId="0" borderId="95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74" fillId="0" borderId="98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20" fillId="0" borderId="9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0" fillId="0" borderId="100" xfId="0" applyFont="true" applyBorder="true" applyAlignment="true" applyProtection="true">
      <alignment horizontal="center" vertical="bottom" textRotation="0" wrapText="false" indent="0" shrinkToFit="false"/>
      <protection locked="false" hidden="true"/>
    </xf>
    <xf numFmtId="164" fontId="119" fillId="0" borderId="98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74" fillId="0" borderId="101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19" fillId="0" borderId="102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20" fillId="0" borderId="10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0" fillId="0" borderId="104" xfId="0" applyFont="true" applyBorder="true" applyAlignment="true" applyProtection="true">
      <alignment horizontal="center" vertical="bottom" textRotation="0" wrapText="false" indent="0" shrinkToFit="false"/>
      <protection locked="false" hidden="true"/>
    </xf>
    <xf numFmtId="164" fontId="11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77" fillId="14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120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20" fillId="0" borderId="24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77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120" fillId="0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8" fontId="7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8" fontId="7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74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0" fillId="0" borderId="2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120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12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77" fillId="0" borderId="89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21" fillId="0" borderId="105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9" fontId="7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20" fillId="0" borderId="7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7" fillId="0" borderId="8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7" fillId="0" borderId="7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0" fillId="0" borderId="7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4" fillId="0" borderId="4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8" fillId="0" borderId="6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0" fillId="0" borderId="69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4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4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48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9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20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4" fillId="0" borderId="19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9" fontId="77" fillId="0" borderId="106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110" fillId="0" borderId="67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74" fillId="0" borderId="12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74" fillId="0" borderId="64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9" fontId="77" fillId="0" borderId="6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77" fillId="0" borderId="6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4" fillId="14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81" fontId="74" fillId="0" borderId="0" xfId="15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7" fontId="7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0" fillId="0" borderId="25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14" borderId="9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4" fillId="0" borderId="2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9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19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11" fillId="0" borderId="2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1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22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74" fillId="0" borderId="2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4" fillId="0" borderId="4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9" xfId="0" applyFont="false" applyBorder="true" applyAlignment="true" applyProtection="true">
      <alignment horizontal="right" vertical="bottom" textRotation="0" wrapText="false" indent="0" shrinkToFit="false"/>
      <protection locked="true" hidden="true"/>
    </xf>
    <xf numFmtId="164" fontId="0" fillId="0" borderId="12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64" xfId="0" applyFont="false" applyBorder="true" applyAlignment="true" applyProtection="true">
      <alignment horizontal="left" vertical="bottom" textRotation="0" wrapText="false" indent="0" shrinkToFit="false"/>
      <protection locked="true" hidden="true"/>
    </xf>
    <xf numFmtId="164" fontId="0" fillId="14" borderId="6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96" fillId="14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8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88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70" fontId="0" fillId="14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2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10" fillId="0" borderId="22" xfId="0" applyFont="true" applyBorder="true" applyAlignment="true" applyProtection="true">
      <alignment horizontal="general" vertical="top" textRotation="0" wrapText="false" indent="0" shrinkToFit="false"/>
      <protection locked="true" hidden="true"/>
    </xf>
    <xf numFmtId="164" fontId="110" fillId="0" borderId="22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110" fillId="0" borderId="22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8" fontId="0" fillId="0" borderId="2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22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14" borderId="22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14" borderId="2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0" fillId="14" borderId="2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14" borderId="2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22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1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110" fillId="0" borderId="24" xfId="0" applyFont="true" applyBorder="true" applyAlignment="true" applyProtection="true">
      <alignment horizontal="center" vertical="top" textRotation="0" wrapText="true" indent="0" shrinkToFit="false"/>
      <protection locked="true" hidden="true"/>
    </xf>
    <xf numFmtId="164" fontId="111" fillId="0" borderId="107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108" xfId="0" applyFont="true" applyBorder="true" applyAlignment="true" applyProtection="true">
      <alignment horizontal="left" vertical="top" textRotation="0" wrapText="true" indent="0" shrinkToFit="false"/>
      <protection locked="true" hidden="true"/>
    </xf>
    <xf numFmtId="164" fontId="0" fillId="0" borderId="107" xfId="0" applyFont="fals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109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14" borderId="109" xfId="0" applyFont="fals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14" borderId="10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0" fillId="14" borderId="10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14" borderId="10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109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10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110" xfId="0" applyFont="fals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111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14" borderId="111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0" fillId="14" borderId="111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14" borderId="111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111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111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112" xfId="0" applyFont="fals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113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14" borderId="113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0" fillId="14" borderId="113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14" borderId="113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113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113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88" fillId="14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111" fillId="0" borderId="3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24" xfId="0" applyFont="true" applyBorder="true" applyAlignment="true" applyProtection="true">
      <alignment horizontal="left" vertical="top" textRotation="0" wrapText="true" indent="0" shrinkToFit="false"/>
      <protection locked="true" hidden="true"/>
    </xf>
    <xf numFmtId="164" fontId="0" fillId="0" borderId="114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14" borderId="11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0" fillId="14" borderId="11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14" borderId="11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114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11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6" fontId="8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115" xfId="0" applyFont="fals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116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14" borderId="116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0" fillId="14" borderId="116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14" borderId="116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116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116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22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8" fontId="0" fillId="0" borderId="22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22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82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3" xfId="0" applyFont="fals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117" xfId="0" applyFont="fals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3" xfId="0" applyFont="true" applyBorder="true" applyAlignment="true" applyProtection="true">
      <alignment horizontal="left" vertical="top" textRotation="0" wrapText="true" indent="0" shrinkToFit="false"/>
      <protection locked="true" hidden="tru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4" fillId="0" borderId="114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22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110" fillId="0" borderId="64" xfId="0" applyFont="true" applyBorder="true" applyAlignment="true" applyProtection="true">
      <alignment horizontal="general" vertical="top" textRotation="0" wrapText="false" indent="0" shrinkToFit="false"/>
      <protection locked="true" hidden="true"/>
    </xf>
    <xf numFmtId="164" fontId="0" fillId="0" borderId="64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110" fillId="0" borderId="64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8" fontId="0" fillId="0" borderId="64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64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14" borderId="6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0" fillId="14" borderId="6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14" borderId="6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64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21" xfId="0" applyFont="fals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left" vertical="top" textRotation="0" wrapText="true" indent="0" shrinkToFit="false"/>
      <protection locked="true" hidden="true"/>
    </xf>
    <xf numFmtId="164" fontId="110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left" vertical="top" textRotation="0" wrapText="false" indent="0" shrinkToFit="false"/>
      <protection locked="true" hidden="true"/>
    </xf>
    <xf numFmtId="164" fontId="110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22" xfId="0" applyFont="true" applyBorder="true" applyAlignment="true" applyProtection="true">
      <alignment horizontal="left" vertical="top" textRotation="0" wrapText="true" indent="0" shrinkToFit="false"/>
      <protection locked="true" hidden="true"/>
    </xf>
    <xf numFmtId="164" fontId="0" fillId="0" borderId="22" xfId="0" applyFont="false" applyBorder="true" applyAlignment="true" applyProtection="true">
      <alignment horizontal="left" vertical="bottom" textRotation="0" wrapText="false" indent="0" shrinkToFit="false"/>
      <protection locked="true" hidden="true"/>
    </xf>
    <xf numFmtId="164" fontId="0" fillId="14" borderId="109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09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14" borderId="111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11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14" borderId="11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1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88" fillId="0" borderId="22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3" xfId="0" applyFont="true" applyBorder="true" applyAlignment="true" applyProtection="true">
      <alignment horizontal="center" vertical="top" textRotation="0" wrapText="true" indent="0" shrinkToFit="false"/>
      <protection locked="true" hidden="true"/>
    </xf>
    <xf numFmtId="164" fontId="110" fillId="14" borderId="11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10" fillId="0" borderId="11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14" borderId="11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1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14" borderId="116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16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45" xfId="0" applyFont="false" applyBorder="true" applyAlignment="true" applyProtection="true">
      <alignment horizontal="general" vertical="top" textRotation="0" wrapText="false" indent="0" shrinkToFit="false"/>
      <protection locked="true" hidden="true"/>
    </xf>
    <xf numFmtId="164" fontId="0" fillId="0" borderId="45" xfId="0" applyFont="false" applyBorder="true" applyAlignment="true" applyProtection="true">
      <alignment horizontal="center" vertical="top" textRotation="0" wrapText="false" indent="0" shrinkToFit="false"/>
      <protection locked="true" hidden="true"/>
    </xf>
    <xf numFmtId="164" fontId="77" fillId="0" borderId="22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106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0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10" fillId="14" borderId="111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10" fillId="0" borderId="111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1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88" fillId="0" borderId="22" xfId="0" applyFont="true" applyBorder="true" applyAlignment="true" applyProtection="true">
      <alignment horizontal="general" vertical="top" textRotation="0" wrapText="false" indent="0" shrinkToFit="false"/>
      <protection locked="true" hidden="true"/>
    </xf>
    <xf numFmtId="164" fontId="0" fillId="0" borderId="119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120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106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118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108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11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10" fillId="14" borderId="11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10" fillId="0" borderId="11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2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88" fillId="0" borderId="22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120" fillId="0" borderId="22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3" xfId="0" applyFont="false" applyBorder="true" applyAlignment="true" applyProtection="true">
      <alignment horizontal="general" vertical="top" textRotation="0" wrapText="false" indent="0" shrinkToFit="false"/>
      <protection locked="true" hidden="true"/>
    </xf>
    <xf numFmtId="164" fontId="0" fillId="0" borderId="8" xfId="0" applyFont="true" applyBorder="true" applyAlignment="true" applyProtection="true">
      <alignment horizontal="left" vertical="top" textRotation="0" wrapText="true" indent="0" shrinkToFit="false"/>
      <protection locked="true" hidden="true"/>
    </xf>
    <xf numFmtId="164" fontId="0" fillId="0" borderId="24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71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71" fontId="0" fillId="14" borderId="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71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71" fontId="0" fillId="14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5" fontId="125" fillId="47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5" fontId="126" fillId="47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21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22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27" fillId="37" borderId="12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12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28" fillId="0" borderId="12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28" fillId="0" borderId="12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29" fillId="8" borderId="9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5" fontId="129" fillId="10" borderId="3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25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6" fontId="13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2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1" fillId="0" borderId="61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83" fontId="131" fillId="0" borderId="12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2" fillId="17" borderId="12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5" fontId="129" fillId="0" borderId="0" xfId="29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32" fillId="23" borderId="128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26" fillId="14" borderId="5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27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6" fillId="14" borderId="5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66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3" fillId="14" borderId="12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0" fillId="48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4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5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3" fillId="14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30" fillId="0" borderId="12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48" borderId="130" xfId="0" applyFont="true" applyBorder="true" applyAlignment="true" applyProtection="true">
      <alignment horizontal="center" vertical="center" textRotation="90" wrapText="true" indent="0" shrinkToFit="false"/>
      <protection locked="true" hidden="true"/>
    </xf>
    <xf numFmtId="164" fontId="130" fillId="48" borderId="51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48" borderId="52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76" fontId="130" fillId="48" borderId="52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76" fontId="130" fillId="48" borderId="131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0" fillId="48" borderId="39" xfId="0" applyFont="true" applyBorder="true" applyAlignment="true" applyProtection="true">
      <alignment horizontal="center" vertical="center" textRotation="90" wrapText="true" indent="0" shrinkToFit="false"/>
      <protection locked="true" hidden="true"/>
    </xf>
    <xf numFmtId="164" fontId="130" fillId="48" borderId="5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84" fontId="130" fillId="48" borderId="52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84" fontId="130" fillId="48" borderId="132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26" fillId="14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2" fillId="5" borderId="2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4" fillId="23" borderId="2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48" borderId="7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48" borderId="22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76" fontId="130" fillId="48" borderId="22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76" fontId="130" fillId="48" borderId="133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30" fillId="48" borderId="2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84" fontId="130" fillId="48" borderId="22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84" fontId="130" fillId="48" borderId="134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1" fillId="48" borderId="11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83" fontId="131" fillId="48" borderId="13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48" borderId="136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76" fontId="130" fillId="48" borderId="1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5" fontId="13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84" fontId="130" fillId="48" borderId="137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3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1" fillId="48" borderId="7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83" fontId="131" fillId="48" borderId="13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3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76" fontId="13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76" fontId="130" fillId="14" borderId="13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5" fontId="13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133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3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4" fontId="13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84" fontId="130" fillId="14" borderId="125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31" fillId="48" borderId="7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130" fillId="49" borderId="11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49" borderId="64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76" fontId="130" fillId="49" borderId="64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76" fontId="130" fillId="49" borderId="135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0" fillId="49" borderId="6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84" fontId="130" fillId="49" borderId="64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84" fontId="130" fillId="49" borderId="138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1" fillId="48" borderId="5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83" fontId="131" fillId="48" borderId="13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49" borderId="7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49" borderId="22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76" fontId="130" fillId="49" borderId="22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76" fontId="130" fillId="49" borderId="133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0" fillId="49" borderId="2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84" fontId="130" fillId="49" borderId="22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84" fontId="130" fillId="49" borderId="134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0" fillId="49" borderId="136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76" fontId="130" fillId="49" borderId="10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84" fontId="130" fillId="49" borderId="137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3" fillId="0" borderId="12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3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3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4" fontId="133" fillId="0" borderId="1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0" fillId="48" borderId="11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48" borderId="64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76" fontId="130" fillId="48" borderId="64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76" fontId="130" fillId="0" borderId="13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0" fillId="48" borderId="6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84" fontId="130" fillId="48" borderId="64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84" fontId="130" fillId="0" borderId="125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76" fontId="130" fillId="48" borderId="9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84" fontId="130" fillId="48" borderId="9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33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5" fontId="28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76" fontId="130" fillId="49" borderId="9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84" fontId="130" fillId="49" borderId="9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0" fillId="14" borderId="124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0" borderId="14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14" borderId="0" xfId="0" applyFont="true" applyBorder="false" applyAlignment="true" applyProtection="true">
      <alignment horizontal="left" vertical="bottom" textRotation="0" wrapText="false" indent="1" shrinkToFit="false"/>
      <protection locked="true" hidden="true"/>
    </xf>
    <xf numFmtId="176" fontId="130" fillId="14" borderId="0" xfId="0" applyFont="true" applyBorder="false" applyAlignment="true" applyProtection="true">
      <alignment horizontal="left" vertical="bottom" textRotation="0" wrapText="false" indent="1" shrinkToFit="false"/>
      <protection locked="true" hidden="true"/>
    </xf>
    <xf numFmtId="164" fontId="130" fillId="14" borderId="14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30" fillId="14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4" fontId="130" fillId="14" borderId="0" xfId="0" applyFont="true" applyBorder="false" applyAlignment="true" applyProtection="true">
      <alignment horizontal="left" vertical="bottom" textRotation="0" wrapText="false" indent="1" shrinkToFit="false"/>
      <protection locked="true" hidden="true"/>
    </xf>
    <xf numFmtId="164" fontId="130" fillId="50" borderId="140" xfId="0" applyFont="true" applyBorder="true" applyAlignment="true" applyProtection="true">
      <alignment horizontal="center" vertical="center" textRotation="90" wrapText="false" indent="0" shrinkToFit="false"/>
      <protection locked="true" hidden="true"/>
    </xf>
    <xf numFmtId="164" fontId="130" fillId="50" borderId="1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130" fillId="5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30" fillId="50" borderId="55" xfId="0" applyFont="true" applyBorder="true" applyAlignment="true" applyProtection="true">
      <alignment horizontal="center" vertical="center" textRotation="90" wrapText="false" indent="0" shrinkToFit="false"/>
      <protection locked="true" hidden="true"/>
    </xf>
    <xf numFmtId="168" fontId="130" fillId="50" borderId="125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30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76" fontId="130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76" fontId="130" fillId="0" borderId="13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8" fontId="130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8" fontId="130" fillId="0" borderId="125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130" fillId="0" borderId="14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130" fillId="6" borderId="14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3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130" fillId="12" borderId="14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14" borderId="3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4" fontId="130" fillId="12" borderId="14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130" fillId="0" borderId="0" xfId="29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130" fillId="0" borderId="124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0" borderId="0" xfId="0" applyFont="true" applyBorder="false" applyAlignment="true" applyProtection="true">
      <alignment horizontal="left" vertical="bottom" textRotation="0" wrapText="false" indent="1" shrinkToFit="false"/>
      <protection locked="true" hidden="true"/>
    </xf>
    <xf numFmtId="165" fontId="130" fillId="0" borderId="0" xfId="0" applyFont="true" applyBorder="false" applyAlignment="true" applyProtection="true">
      <alignment horizontal="left" vertical="bottom" textRotation="0" wrapText="false" indent="1" shrinkToFit="false"/>
      <protection locked="true" hidden="true"/>
    </xf>
    <xf numFmtId="168" fontId="130" fillId="0" borderId="0" xfId="0" applyFont="true" applyBorder="false" applyAlignment="true" applyProtection="true">
      <alignment horizontal="left" vertical="bottom" textRotation="0" wrapText="false" indent="1" shrinkToFit="false"/>
      <protection locked="true" hidden="true"/>
    </xf>
    <xf numFmtId="165" fontId="130" fillId="0" borderId="125" xfId="0" applyFont="true" applyBorder="true" applyAlignment="true" applyProtection="true">
      <alignment horizontal="left" vertical="bottom" textRotation="0" wrapText="false" indent="1" shrinkToFit="false"/>
      <protection locked="true" hidden="true"/>
    </xf>
    <xf numFmtId="164" fontId="130" fillId="0" borderId="39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5" fontId="130" fillId="6" borderId="3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0" fillId="13" borderId="14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3" fillId="0" borderId="12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3" fillId="0" borderId="136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3" fillId="0" borderId="9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33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3" fillId="0" borderId="13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0" fillId="14" borderId="146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7" fontId="129" fillId="51" borderId="13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15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30" fillId="0" borderId="6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86" fontId="130" fillId="0" borderId="61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5" fontId="136" fillId="6" borderId="126" xfId="29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30" fillId="0" borderId="6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14" borderId="147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7" fontId="129" fillId="51" borderId="13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3" fillId="0" borderId="12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0" fillId="0" borderId="14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5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30" fillId="0" borderId="5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8" fontId="130" fillId="6" borderId="14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3" fillId="19" borderId="15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7" fillId="19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6" fontId="133" fillId="12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6" fontId="133" fillId="12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72" fontId="130" fillId="6" borderId="151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33" fillId="18" borderId="15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7" fillId="18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6" fontId="133" fillId="18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6" fontId="133" fillId="18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33" fillId="12" borderId="15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7" fillId="12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7" fillId="2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6" fontId="133" fillId="2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6" fontId="133" fillId="2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38" fillId="31" borderId="15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9" fillId="31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6" fontId="133" fillId="31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6" fontId="133" fillId="31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38" fillId="17" borderId="15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9" fillId="17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6" fontId="133" fillId="17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6" fontId="133" fillId="17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38" fillId="0" borderId="15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9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9" fillId="0" borderId="4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39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6" fontId="13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2" fontId="130" fillId="0" borderId="153" xfId="0" applyFont="true" applyBorder="true" applyAlignment="true" applyProtection="true">
      <alignment horizontal="right" vertical="bottom" textRotation="0" wrapText="false" indent="1" shrinkToFit="false"/>
      <protection locked="true" hidden="true"/>
    </xf>
    <xf numFmtId="164" fontId="140" fillId="0" borderId="15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1" fillId="0" borderId="17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6" fontId="137" fillId="0" borderId="1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2" fontId="141" fillId="0" borderId="15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2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2" fillId="23" borderId="156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8" fontId="13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81" fontId="13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130" fillId="22" borderId="15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0" fillId="23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3" fillId="21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4" fillId="21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5" fillId="21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6" fillId="21" borderId="15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33" fillId="12" borderId="157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8" fontId="133" fillId="12" borderId="2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133" fillId="12" borderId="15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13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133" fillId="25" borderId="157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8" fontId="133" fillId="25" borderId="2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133" fillId="25" borderId="15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13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3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2" fontId="130" fillId="0" borderId="0" xfId="0" applyFont="true" applyBorder="false" applyAlignment="true" applyProtection="true">
      <alignment horizontal="right" vertical="bottom" textRotation="0" wrapText="false" indent="1" shrinkToFit="false"/>
      <protection locked="true" hidden="true"/>
    </xf>
    <xf numFmtId="164" fontId="133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8" fontId="133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8" fontId="13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72" fontId="13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8" fontId="14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8" fontId="133" fillId="25" borderId="15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8" fontId="133" fillId="12" borderId="15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19" borderId="24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20" borderId="29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19" borderId="29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true"/>
    </xf>
    <xf numFmtId="168" fontId="133" fillId="25" borderId="15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133" fillId="25" borderId="16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133" fillId="25" borderId="16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0" fontId="14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70" fontId="14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15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8" fontId="15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1" fontId="47" fillId="0" borderId="0" xfId="15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4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7" fontId="4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151" fillId="0" borderId="64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14" borderId="64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14" borderId="9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52" fillId="45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53" fillId="45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14" borderId="6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54" fillId="14" borderId="6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15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14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28" fillId="14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33" fillId="1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31" fillId="0" borderId="22" xfId="0" applyFont="true" applyBorder="true" applyAlignment="true" applyProtection="true">
      <alignment horizontal="general" vertical="top" textRotation="0" wrapText="false" indent="0" shrinkToFit="false"/>
      <protection locked="true" hidden="true"/>
    </xf>
    <xf numFmtId="164" fontId="31" fillId="0" borderId="22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81" fontId="31" fillId="0" borderId="22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70" fontId="0" fillId="0" borderId="2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1" fillId="0" borderId="24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56" fillId="0" borderId="3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64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70" fontId="0" fillId="0" borderId="6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0" borderId="64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9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70" fontId="0" fillId="0" borderId="9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9" xfId="0" applyFont="false" applyBorder="true" applyAlignment="true" applyProtection="true">
      <alignment horizontal="left" vertical="center" textRotation="0" wrapText="false" indent="0" shrinkToFit="false"/>
      <protection locked="true" hidden="true"/>
    </xf>
    <xf numFmtId="164" fontId="47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6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47" fillId="0" borderId="2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4" fontId="47" fillId="0" borderId="45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55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15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31" fillId="0" borderId="22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81" fontId="31" fillId="0" borderId="22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3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4" borderId="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7" fillId="0" borderId="22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6" fontId="2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5" fontId="158" fillId="0" borderId="0" xfId="29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31" fillId="0" borderId="64" xfId="0" applyFont="true" applyBorder="true" applyAlignment="true" applyProtection="true">
      <alignment horizontal="general" vertical="top" textRotation="0" wrapText="false" indent="0" shrinkToFit="false"/>
      <protection locked="true" hidden="true"/>
    </xf>
    <xf numFmtId="164" fontId="31" fillId="0" borderId="64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81" fontId="31" fillId="0" borderId="64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31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28" fillId="0" borderId="22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31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6" fillId="0" borderId="22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6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2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1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8" fillId="0" borderId="22" xfId="0" applyFont="true" applyBorder="true" applyAlignment="true" applyProtection="true">
      <alignment horizontal="general" vertical="top" textRotation="0" wrapText="false" indent="0" shrinkToFit="false"/>
      <protection locked="true" hidden="true"/>
    </xf>
    <xf numFmtId="181" fontId="0" fillId="0" borderId="22" xfId="0" applyFont="fals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63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0" fillId="0" borderId="48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28" fillId="0" borderId="22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81" fontId="28" fillId="0" borderId="22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64" fontId="159" fillId="0" borderId="22" xfId="0" applyFont="true" applyBorder="true" applyAlignment="true" applyProtection="true">
      <alignment horizontal="center" vertical="top" textRotation="0" wrapText="false" indent="0" shrinkToFit="false"/>
      <protection locked="true" hidden="true"/>
    </xf>
    <xf numFmtId="164" fontId="0" fillId="0" borderId="8" xfId="0" applyFont="true" applyBorder="true" applyAlignment="true" applyProtection="true">
      <alignment horizontal="left" vertical="top" textRotation="0" wrapText="false" indent="0" shrinkToFit="false"/>
      <protection locked="true" hidden="true"/>
    </xf>
    <xf numFmtId="171" fontId="0" fillId="14" borderId="24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71" fontId="0" fillId="0" borderId="3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71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71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62" fillId="48" borderId="16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72" fontId="163" fillId="44" borderId="18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7" fontId="163" fillId="44" borderId="163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129" fillId="8" borderId="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2" fillId="5" borderId="24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35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33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84" fontId="133" fillId="0" borderId="12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8" fontId="31" fillId="8" borderId="26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1" fillId="12" borderId="11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31" fillId="18" borderId="11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31" fillId="12" borderId="7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31" fillId="18" borderId="7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130" fillId="48" borderId="162" xfId="0" applyFont="true" applyBorder="true" applyAlignment="true" applyProtection="true">
      <alignment horizontal="right" vertical="center" textRotation="0" wrapText="true" indent="0" shrinkToFit="false"/>
      <protection locked="true" hidden="true"/>
    </xf>
    <xf numFmtId="172" fontId="164" fillId="0" borderId="16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64" fillId="0" borderId="16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124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130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5" fontId="130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130" fillId="0" borderId="49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130" fillId="0" borderId="49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130" fillId="0" borderId="49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4" fontId="130" fillId="0" borderId="51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5" fontId="130" fillId="6" borderId="13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6" fontId="129" fillId="51" borderId="3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53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76" fontId="129" fillId="51" borderId="13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13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30" fillId="0" borderId="16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129" fillId="0" borderId="16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129" fillId="51" borderId="3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50" borderId="13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31" fillId="26" borderId="51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7" fontId="165" fillId="26" borderId="13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136" fillId="0" borderId="0" xfId="29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31" fillId="26" borderId="7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7" fontId="165" fillId="26" borderId="13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1" fillId="26" borderId="136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7" fontId="165" fillId="26" borderId="1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1" fillId="26" borderId="39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7" fontId="165" fillId="26" borderId="3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3" fillId="45" borderId="3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7" fontId="129" fillId="51" borderId="3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2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33" fillId="19" borderId="15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33" fillId="18" borderId="15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33" fillId="12" borderId="15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38" fillId="31" borderId="15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38" fillId="17" borderId="15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38" fillId="0" borderId="152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140" fillId="0" borderId="15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30" fillId="22" borderId="15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30" fillId="23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43" fillId="21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44" fillId="21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45" fillId="21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46" fillId="21" borderId="15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19" borderId="24" xfId="0" applyFont="false" applyBorder="true" applyAlignment="true" applyProtection="true">
      <alignment horizontal="right" vertical="bottom" textRotation="0" wrapText="false" indent="0" shrinkToFit="false"/>
      <protection locked="true" hidden="true"/>
    </xf>
    <xf numFmtId="168" fontId="133" fillId="25" borderId="159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14" borderId="6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14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41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41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52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12" borderId="57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52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83" fillId="2" borderId="57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8" fontId="74" fillId="52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4" fillId="5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74" fillId="52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52" borderId="14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52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52" borderId="1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0" borderId="13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23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22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8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74" fillId="52" borderId="5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52" borderId="5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52" borderId="14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87" fontId="0" fillId="0" borderId="0" xfId="0" applyFont="tru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4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53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21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0" fillId="54" borderId="0" xfId="0" applyFont="fals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47" fillId="23" borderId="0" xfId="0" applyFont="true" applyBorder="false" applyAlignment="true" applyProtection="true">
      <alignment horizontal="center" vertical="bottom" textRotation="90" wrapText="false" indent="0" shrinkToFit="false"/>
      <protection locked="true" hidden="false"/>
    </xf>
    <xf numFmtId="164" fontId="0" fillId="12" borderId="57" xf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47" fillId="0" borderId="0" xfId="0" applyFont="tru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43" fillId="2" borderId="57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8" fontId="74" fillId="55" borderId="14" xf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8" fontId="74" fillId="55" borderId="0" xfId="0" applyFont="true" applyBorder="false" applyAlignment="true" applyProtection="true">
      <alignment horizontal="center" vertical="bottom" textRotation="90" wrapText="false" indent="0" shrinkToFit="false"/>
      <protection locked="true" hidden="false"/>
    </xf>
    <xf numFmtId="168" fontId="74" fillId="55" borderId="13" xf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8" fontId="0" fillId="56" borderId="14" xf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8" fontId="0" fillId="56" borderId="0" xfId="0" applyFont="true" applyBorder="false" applyAlignment="true" applyProtection="true">
      <alignment horizontal="center" vertical="bottom" textRotation="90" wrapText="false" indent="0" shrinkToFit="false"/>
      <protection locked="true" hidden="false"/>
    </xf>
    <xf numFmtId="168" fontId="0" fillId="56" borderId="13" xf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0" fillId="0" borderId="20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0" borderId="14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0" borderId="13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21" borderId="74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0" borderId="75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23" borderId="75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21" borderId="75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22" borderId="75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8" fontId="180" fillId="0" borderId="75" xfId="0" applyFont="true" applyBorder="true" applyAlignment="true" applyProtection="true">
      <alignment horizontal="left" vertical="bottom" textRotation="45" wrapText="false" indent="0" shrinkToFit="false"/>
      <protection locked="true" hidden="false"/>
    </xf>
    <xf numFmtId="168" fontId="180" fillId="21" borderId="75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8" fontId="180" fillId="21" borderId="75" xfId="0" applyFont="true" applyBorder="true" applyAlignment="true" applyProtection="true">
      <alignment horizontal="left" vertical="bottom" textRotation="90" wrapText="false" indent="0" shrinkToFit="false"/>
      <protection locked="true" hidden="false"/>
    </xf>
    <xf numFmtId="164" fontId="0" fillId="57" borderId="75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21" borderId="75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58" borderId="75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48" borderId="75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87" fontId="0" fillId="58" borderId="75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87" fontId="0" fillId="48" borderId="75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87" fontId="0" fillId="0" borderId="75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87" fontId="0" fillId="59" borderId="75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87" fontId="47" fillId="59" borderId="75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5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23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12" borderId="5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3" fillId="2" borderId="5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4" fillId="55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4" fillId="55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4" fillId="55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56" borderId="14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56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56" borderId="1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7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71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8" fontId="180" fillId="21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8" fontId="180" fillId="21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5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87" fontId="47" fillId="5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87" fontId="47" fillId="59" borderId="7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7" fontId="47" fillId="59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3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54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23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2" borderId="6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4" fillId="55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4" fillId="55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4" fillId="55" borderId="13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56" borderId="7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56" borderId="2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56" borderId="13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3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13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7" fillId="21" borderId="91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0" borderId="22" xfId="0" applyFont="fals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23" borderId="22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21" borderId="22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47" fillId="22" borderId="22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8" fontId="180" fillId="21" borderId="22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57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8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8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87" fontId="0" fillId="58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87" fontId="0" fillId="48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87" fontId="0" fillId="0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87" fontId="0" fillId="59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5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54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3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3" fillId="2" borderId="5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4" fillId="55" borderId="13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4" fillId="55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4" fillId="55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47" fillId="56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47" fillId="56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47" fillId="56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6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57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4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6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6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6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87" fontId="0" fillId="21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87" fontId="0" fillId="5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87" fontId="0" fillId="59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74" fillId="55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4" fillId="55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74" fillId="55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7" fontId="0" fillId="4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5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7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2" borderId="7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7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7" borderId="7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58" borderId="7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48" borderId="7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3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4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3" borderId="64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2" borderId="16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3" fillId="2" borderId="16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4" fillId="55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4" fillId="55" borderId="6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4" fillId="55" borderId="13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47" fillId="56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47" fillId="56" borderId="6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47" fillId="56" borderId="13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6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3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60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3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2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64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8" fontId="0" fillId="0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7" borderId="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58" borderId="6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48" borderId="6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56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56" borderId="14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56" borderId="1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6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6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5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3" borderId="5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2" borderId="5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80" fillId="21" borderId="5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180" fillId="21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7" borderId="5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8" borderId="5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8" borderId="5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1" borderId="5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3" borderId="5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2" borderId="5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80" fillId="21" borderId="58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180" fillId="21" borderId="5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7" borderId="5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8" borderId="5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8" borderId="5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4" borderId="16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5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1" fillId="61" borderId="57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182" fillId="61" borderId="57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182" fillId="61" borderId="5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0" fillId="21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80" fillId="21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0" fillId="21" borderId="22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181" fillId="61" borderId="5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81" fillId="61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0" fillId="21" borderId="5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80" fillId="21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0" fillId="21" borderId="58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80" fillId="21" borderId="5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3" fillId="58" borderId="16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24" borderId="4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60" borderId="4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5" borderId="4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25" borderId="4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2" borderId="4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2" borderId="3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90" wrapText="false" indent="0" shrinkToFit="false"/>
      <protection locked="true" hidden="false"/>
    </xf>
    <xf numFmtId="164" fontId="0" fillId="25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3" fillId="0" borderId="9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3" fillId="0" borderId="9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3" fontId="183" fillId="28" borderId="9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3" fillId="0" borderId="9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83" fillId="0" borderId="9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3" fillId="0" borderId="9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3" fillId="0" borderId="9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3" fillId="0" borderId="9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84" fillId="0" borderId="9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183" fillId="0" borderId="10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3" fillId="0" borderId="10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3" fontId="183" fillId="28" borderId="10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3" fillId="0" borderId="10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4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2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2" borderId="2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5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20" fillId="2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1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12" borderId="2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20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true">
      <alignment horizontal="left" vertical="bottom" textRotation="90" wrapText="false" indent="0" shrinkToFit="false"/>
      <protection locked="true" hidden="false"/>
    </xf>
    <xf numFmtId="164" fontId="0" fillId="0" borderId="20" xfId="0" applyFont="true" applyBorder="true" applyAlignment="true" applyProtection="true">
      <alignment horizontal="left" vertical="bottom" textRotation="90" wrapText="false" indent="0" shrinkToFit="false"/>
      <protection locked="true" hidden="false"/>
    </xf>
    <xf numFmtId="164" fontId="111" fillId="0" borderId="0" xfId="0" applyFont="true" applyBorder="false" applyAlignment="true" applyProtection="true">
      <alignment horizontal="right" vertical="bottom" textRotation="90" wrapText="false" indent="0" shrinkToFit="false"/>
      <protection locked="true" hidden="false"/>
    </xf>
    <xf numFmtId="164" fontId="1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185" fillId="6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185" fillId="6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88" fontId="185" fillId="6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8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center" textRotation="90" wrapText="false" indent="0" shrinkToFit="false"/>
      <protection locked="true" hidden="false"/>
    </xf>
    <xf numFmtId="164" fontId="44" fillId="0" borderId="3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44" fillId="0" borderId="25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8" fontId="33" fillId="0" borderId="24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8" fontId="33" fillId="62" borderId="3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3" fillId="14" borderId="3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47" fillId="14" borderId="8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47" fillId="14" borderId="3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47" fillId="14" borderId="22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8" fillId="32" borderId="19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8" fillId="32" borderId="21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47" fillId="0" borderId="0" xfId="0" applyFont="tru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44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3" fillId="0" borderId="2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4" fillId="0" borderId="12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3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6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14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12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3" fillId="32" borderId="8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3" fillId="32" borderId="3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48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7" fillId="0" borderId="2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62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7" fillId="28" borderId="8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28" borderId="3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7" fontId="18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8" fontId="47" fillId="0" borderId="8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32" borderId="1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47" fillId="32" borderId="3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8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47" fillId="0" borderId="6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0" borderId="4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62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7" fillId="28" borderId="12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28" borderId="45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6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8" fillId="63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8" fillId="6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7" fillId="63" borderId="2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63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63" borderId="8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63" borderId="3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7" fillId="63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47" fillId="28" borderId="25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28" borderId="21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7" fillId="0" borderId="8" xfId="4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47" fillId="62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0" fillId="32" borderId="1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47" fillId="28" borderId="22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7" fillId="6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62" borderId="4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8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8" borderId="6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7" fillId="32" borderId="1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0" fillId="8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87" fillId="0" borderId="2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187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187" fillId="62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87" fillId="28" borderId="8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187" fillId="28" borderId="3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187" fillId="32" borderId="1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48" fillId="1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8" fillId="14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7" fillId="14" borderId="2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7" fillId="14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7" fillId="14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88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7" fillId="32" borderId="8" xf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8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6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4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Buena" xfId="25"/>
    <cellStyle name="Cálculo 2" xfId="26"/>
    <cellStyle name="Entrada 2" xfId="27"/>
    <cellStyle name="Error 9" xfId="28"/>
    <cellStyle name="Euro" xfId="29"/>
    <cellStyle name="Euro 2" xfId="30"/>
    <cellStyle name="Footnote 10" xfId="31"/>
    <cellStyle name="Good 11" xfId="32"/>
    <cellStyle name="Heading 1 13" xfId="33"/>
    <cellStyle name="Heading 12" xfId="34"/>
    <cellStyle name="Heading 2 14" xfId="35"/>
    <cellStyle name="Hipervínculo 2" xfId="36"/>
    <cellStyle name="Hyperlink 15" xfId="37"/>
    <cellStyle name="Neutral 1" xfId="38"/>
    <cellStyle name="Neutral 2" xfId="39"/>
    <cellStyle name="Normal 10" xfId="40"/>
    <cellStyle name="Normal 11" xfId="41"/>
    <cellStyle name="Normal 12" xfId="42"/>
    <cellStyle name="Normal 13" xfId="43"/>
    <cellStyle name="Normal 2" xfId="44"/>
    <cellStyle name="Normal 2 2" xfId="45"/>
    <cellStyle name="Normal 2_ESTUDIO EAP 2018 en pruebas v9.1" xfId="46"/>
    <cellStyle name="Normal 3" xfId="47"/>
    <cellStyle name="Normal 4" xfId="48"/>
    <cellStyle name="Normal 5" xfId="49"/>
    <cellStyle name="Normal 6" xfId="50"/>
    <cellStyle name="Normal 7" xfId="51"/>
    <cellStyle name="Normal 8" xfId="52"/>
    <cellStyle name="Normal 9" xfId="53"/>
    <cellStyle name="Normal_AYUDAS GAP" xfId="54"/>
    <cellStyle name="Notas 2" xfId="55"/>
    <cellStyle name="Note 16" xfId="56"/>
    <cellStyle name="Porcentaje 2" xfId="57"/>
    <cellStyle name="Result 17" xfId="58"/>
    <cellStyle name="Status 18" xfId="59"/>
    <cellStyle name="Text 19" xfId="60"/>
    <cellStyle name="Warning 20" xfId="61"/>
    <cellStyle name="Excel Built-in Good" xfId="62"/>
  </cellStyles>
  <dxfs count="64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ont>
        <b val="1"/>
        <i val="0"/>
        <color rgb="FF0000FF"/>
      </font>
    </dxf>
    <dxf>
      <font>
        <b val="0"/>
        <color rgb="FFCCFFFF"/>
      </font>
    </dxf>
    <dxf>
      <font>
        <b val="1"/>
        <i val="0"/>
        <color rgb="FF993300"/>
      </font>
    </dxf>
    <dxf>
      <font>
        <b val="0"/>
        <color rgb="FFFFFFCC"/>
      </font>
    </dxf>
    <dxf>
      <font>
        <b val="0"/>
        <color rgb="FFCCFFCC"/>
      </font>
    </dxf>
    <dxf>
      <font>
        <b val="1"/>
        <i val="0"/>
        <color rgb="FF003300"/>
      </font>
    </dxf>
    <dxf>
      <font>
        <b val="0"/>
        <color rgb="FFCCFFCC"/>
      </font>
    </dxf>
    <dxf>
      <font>
        <b val="0"/>
        <color rgb="FFC0C0C0"/>
      </font>
    </dxf>
    <dxf>
      <font>
        <b val="0"/>
        <color rgb="FF000000"/>
      </font>
    </dxf>
    <dxf>
      <fill>
        <patternFill patternType="solid">
          <fgColor rgb="FFCCFFFF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F99"/>
          <bgColor rgb="FF000000"/>
        </patternFill>
      </fill>
    </dxf>
    <dxf>
      <fill>
        <patternFill patternType="solid">
          <fgColor rgb="FFD1D1D1"/>
          <bgColor rgb="FF000000"/>
        </patternFill>
      </fill>
    </dxf>
    <dxf>
      <fill>
        <patternFill patternType="solid">
          <fgColor rgb="FF0000FF"/>
          <bgColor rgb="FF000000"/>
        </patternFill>
      </fill>
    </dxf>
    <dxf>
      <fill>
        <patternFill patternType="solid">
          <fgColor rgb="FFC1E5F5"/>
          <bgColor rgb="FF000000"/>
        </patternFill>
      </fill>
    </dxf>
    <dxf>
      <font>
        <b val="1"/>
        <i val="0"/>
        <color rgb="FF0000FF"/>
      </font>
    </dxf>
    <dxf>
      <font>
        <b val="0"/>
        <color rgb="FFCCFFFF"/>
      </font>
    </dxf>
    <dxf>
      <font>
        <b val="1"/>
        <i val="0"/>
        <color rgb="FF0000FF"/>
      </font>
    </dxf>
    <dxf>
      <font>
        <b val="0"/>
        <color rgb="FFCCFFFF"/>
      </font>
    </dxf>
    <dxf>
      <font>
        <b val="1"/>
        <i val="0"/>
        <color rgb="FF993300"/>
      </font>
    </dxf>
    <dxf>
      <font>
        <b val="0"/>
        <color rgb="FFFFFFCC"/>
      </font>
    </dxf>
    <dxf>
      <font>
        <b val="0"/>
        <color rgb="FFCCFFCC"/>
      </font>
    </dxf>
    <dxf>
      <fill>
        <patternFill patternType="solid">
          <fgColor rgb="FF05530E"/>
          <bgColor rgb="FF000000"/>
        </patternFill>
      </fill>
    </dxf>
    <dxf>
      <fill>
        <patternFill patternType="solid">
          <fgColor rgb="FF275BC2"/>
          <bgColor rgb="FF000000"/>
        </patternFill>
      </fill>
    </dxf>
    <dxf>
      <fill>
        <patternFill patternType="solid">
          <fgColor rgb="FF3FBD4A"/>
          <bgColor rgb="FF000000"/>
        </patternFill>
      </fill>
    </dxf>
    <dxf>
      <fill>
        <patternFill patternType="solid">
          <fgColor rgb="FF47881E"/>
          <bgColor rgb="FF000000"/>
        </patternFill>
      </fill>
    </dxf>
    <dxf>
      <fill>
        <patternFill patternType="solid">
          <fgColor rgb="FF50938A"/>
          <bgColor rgb="FF000000"/>
        </patternFill>
      </fill>
    </dxf>
    <dxf>
      <fill>
        <patternFill patternType="solid">
          <fgColor rgb="FF6087B9"/>
          <bgColor rgb="FF000000"/>
        </patternFill>
      </fill>
    </dxf>
    <dxf>
      <fill>
        <patternFill patternType="solid">
          <fgColor rgb="FF82010D"/>
          <bgColor rgb="FF000000"/>
        </patternFill>
      </fill>
    </dxf>
    <dxf>
      <fill>
        <patternFill patternType="solid">
          <fgColor rgb="FFAC3002"/>
          <bgColor rgb="FF000000"/>
        </patternFill>
      </fill>
    </dxf>
    <dxf>
      <fill>
        <patternFill patternType="solid">
          <fgColor rgb="FFD4EA6B"/>
          <bgColor rgb="FF000000"/>
        </patternFill>
      </fill>
    </dxf>
    <dxf>
      <fill>
        <patternFill patternType="solid">
          <fgColor rgb="FFF89B41"/>
          <bgColor rgb="FF000000"/>
        </patternFill>
      </fill>
    </dxf>
    <dxf>
      <fill>
        <patternFill patternType="solid">
          <fgColor rgb="FFFF6A7C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ont>
        <b val="0"/>
        <color rgb="FFCCFFCC"/>
      </font>
    </dxf>
    <dxf>
      <font>
        <b val="0"/>
        <color rgb="FFCCFFCC"/>
      </font>
    </dxf>
    <dxf>
      <font>
        <b val="0"/>
        <color rgb="FFCCFFCC"/>
      </font>
    </dxf>
    <dxf>
      <font>
        <b val="0"/>
        <color rgb="FFCCFFCC"/>
      </font>
    </dxf>
    <dxf>
      <font>
        <b val="0"/>
        <color rgb="FFCCFFCC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0"/>
        <color rgb="FFFFFFFF"/>
      </font>
    </dxf>
    <dxf>
      <font>
        <color rgb="FF7030A0"/>
      </font>
      <fill>
        <patternFill>
          <bgColor rgb="FFFF6699"/>
        </patternFill>
      </fill>
    </dxf>
    <dxf>
      <font>
        <b val="1"/>
        <i val="0"/>
        <color rgb="FF3B7D23"/>
      </font>
      <fill>
        <patternFill>
          <bgColor rgb="FFCCFFFF"/>
        </patternFill>
      </fill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fill>
        <patternFill>
          <bgColor rgb="FFFFFF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0000"/>
      </font>
    </dxf>
    <dxf>
      <fill>
        <patternFill patternType="solid">
          <fgColor rgb="FF0B76A0"/>
          <bgColor rgb="FF000000"/>
        </patternFill>
      </fill>
    </dxf>
    <dxf>
      <fill>
        <patternFill patternType="solid">
          <fgColor rgb="FF548235"/>
          <bgColor rgb="FF000000"/>
        </patternFill>
      </fill>
    </dxf>
    <dxf>
      <fill>
        <patternFill patternType="solid">
          <fgColor rgb="FF3ABFDF"/>
          <bgColor rgb="FF000000"/>
        </patternFill>
      </fill>
    </dxf>
    <dxf>
      <fill>
        <patternFill patternType="solid">
          <fgColor rgb="FF333399"/>
          <bgColor rgb="FF000000"/>
        </patternFill>
      </fill>
    </dxf>
    <dxf>
      <fill>
        <patternFill patternType="solid">
          <fgColor rgb="FFDEEBF7"/>
          <bgColor rgb="FF000000"/>
        </patternFill>
      </fill>
    </dxf>
  </dxfs>
  <colors>
    <indexedColors>
      <rgbColor rgb="FF000000"/>
      <rgbColor rgb="FFFFFFFF"/>
      <rgbColor rgb="FFFF0000"/>
      <rgbColor rgb="FFC5E0B4"/>
      <rgbColor rgb="FF0000FF"/>
      <rgbColor rgb="FFFFFF00"/>
      <rgbColor rgb="FFFEC6C3"/>
      <rgbColor rgb="FFB4E5A2"/>
      <rgbColor rgb="FF84010A"/>
      <rgbColor rgb="FF045C0A"/>
      <rgbColor rgb="FFE2F0D9"/>
      <rgbColor rgb="FF48881F"/>
      <rgbColor rgb="FFFBE3D6"/>
      <rgbColor rgb="FF0B76A0"/>
      <rgbColor rgb="FFC0C0C3"/>
      <rgbColor rgb="FF6088BC"/>
      <rgbColor rgb="FF61CBF4"/>
      <rgbColor rgb="FFF4B183"/>
      <rgbColor rgb="FFFEF7D5"/>
      <rgbColor rgb="FFCCFFFF"/>
      <rgbColor rgb="FFFFE699"/>
      <rgbColor rgb="FFFF6A7F"/>
      <rgbColor rgb="FFD1D1D1"/>
      <rgbColor rgb="FFD7DAE1"/>
      <rgbColor rgb="FFF2F2F2"/>
      <rgbColor rgb="FFF6C6AD"/>
      <rgbColor rgb="FFD4EA6B"/>
      <rgbColor rgb="FFC3E5F5"/>
      <rgbColor rgb="FFFFE696"/>
      <rgbColor rgb="FFDCF1D3"/>
      <rgbColor rgb="FF3FC04B"/>
      <rgbColor rgb="FFDAF2D0"/>
      <rgbColor rgb="FF82E28F"/>
      <rgbColor rgb="FFDEEBF7"/>
      <rgbColor rgb="FFCBFFCC"/>
      <rgbColor rgb="FFFFFF99"/>
      <rgbColor rgb="FF96DCF8"/>
      <rgbColor rgb="FFE59EDD"/>
      <rgbColor rgb="FFFF99FF"/>
      <rgbColor rgb="FFFFCC99"/>
      <rgbColor rgb="FF2B4BD2"/>
      <rgbColor rgb="FF3ABEDF"/>
      <rgbColor rgb="FF92D050"/>
      <rgbColor rgb="FFFFCC00"/>
      <rgbColor rgb="FFF98C1F"/>
      <rgbColor rgb="FFF89B41"/>
      <rgbColor rgb="FFF2AA84"/>
      <rgbColor rgb="FF8ED973"/>
      <rgbColor rgb="FFDCEAF7"/>
      <rgbColor rgb="FF50938A"/>
      <rgbColor rgb="FF063B0F"/>
      <rgbColor rgb="FFFFC000"/>
      <rgbColor rgb="FFA83202"/>
      <rgbColor rgb="FFE0C2CD"/>
      <rgbColor rgb="FFF2CFEE"/>
      <rgbColor rgb="FFDBE4F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sharedStrings" Target="sharedStrings.xml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73080</xdr:colOff>
      <xdr:row>3</xdr:row>
      <xdr:rowOff>67680</xdr:rowOff>
    </xdr:from>
    <xdr:to>
      <xdr:col>2</xdr:col>
      <xdr:colOff>283320</xdr:colOff>
      <xdr:row>4</xdr:row>
      <xdr:rowOff>131760</xdr:rowOff>
    </xdr:to>
    <xdr:sp>
      <xdr:nvSpPr>
        <xdr:cNvPr id="0" name="CuadroTexto 1"/>
        <xdr:cNvSpPr/>
      </xdr:nvSpPr>
      <xdr:spPr>
        <a:xfrm>
          <a:off x="224280" y="620280"/>
          <a:ext cx="1369080" cy="24480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es-ES" sz="800" strike="noStrike" u="none">
              <a:solidFill>
                <a:schemeClr val="dk1"/>
              </a:solidFill>
              <a:uFillTx/>
              <a:latin typeface="Aptos Narrow"/>
            </a:rPr>
            <a:t>EAP-MOD V10 21/01/2025</a:t>
          </a:r>
          <a:endParaRPr b="0" lang="es-ES" sz="800" strike="noStrike" u="none">
            <a:uFillTx/>
            <a:latin typeface="Times New Roman"/>
          </a:endParaRPr>
        </a:p>
      </xdr:txBody>
    </xdr:sp>
    <xdr:clientData/>
  </xdr:twoCellAnchor>
  <xdr:twoCellAnchor editAs="oneCell">
    <xdr:from>
      <xdr:col>1</xdr:col>
      <xdr:colOff>243720</xdr:colOff>
      <xdr:row>0</xdr:row>
      <xdr:rowOff>15120</xdr:rowOff>
    </xdr:from>
    <xdr:to>
      <xdr:col>2</xdr:col>
      <xdr:colOff>599760</xdr:colOff>
      <xdr:row>3</xdr:row>
      <xdr:rowOff>18720</xdr:rowOff>
    </xdr:to>
    <xdr:pic>
      <xdr:nvPicPr>
        <xdr:cNvPr id="1" name="Imagen 4" descr=""/>
        <xdr:cNvPicPr/>
      </xdr:nvPicPr>
      <xdr:blipFill>
        <a:blip r:embed="rId1"/>
        <a:srcRect l="8967" t="30089" r="69706" b="29463"/>
        <a:stretch/>
      </xdr:blipFill>
      <xdr:spPr>
        <a:xfrm>
          <a:off x="394920" y="15120"/>
          <a:ext cx="1514880" cy="5562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48600</xdr:colOff>
      <xdr:row>3</xdr:row>
      <xdr:rowOff>136800</xdr:rowOff>
    </xdr:from>
    <xdr:to>
      <xdr:col>3</xdr:col>
      <xdr:colOff>378360</xdr:colOff>
      <xdr:row>4</xdr:row>
      <xdr:rowOff>84960</xdr:rowOff>
    </xdr:to>
    <xdr:sp>
      <xdr:nvSpPr>
        <xdr:cNvPr id="2" name="CuadroTexto 3"/>
        <xdr:cNvSpPr/>
      </xdr:nvSpPr>
      <xdr:spPr>
        <a:xfrm>
          <a:off x="938160" y="1296360"/>
          <a:ext cx="3068640" cy="35784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es-ES" sz="800" strike="noStrike" u="none">
              <a:solidFill>
                <a:schemeClr val="dk1"/>
              </a:solidFill>
              <a:uFillTx/>
              <a:latin typeface="Aptos Narrow"/>
            </a:rPr>
            <a:t>20240705</a:t>
          </a:r>
          <a:endParaRPr b="0" lang="es-ES" sz="8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800" strike="noStrike" u="none">
              <a:solidFill>
                <a:schemeClr val="dk1"/>
              </a:solidFill>
              <a:uFillTx/>
              <a:latin typeface="Aptos Narrow"/>
            </a:rPr>
            <a:t>Version 2024 V12</a:t>
          </a:r>
          <a:endParaRPr b="0" lang="es-ES" sz="8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8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1100" strike="noStrike" u="none">
            <a:uFillTx/>
            <a:latin typeface="Times New Roman"/>
          </a:endParaRPr>
        </a:p>
      </xdr:txBody>
    </xdr:sp>
    <xdr:clientData/>
  </xdr:twoCellAnchor>
  <xdr:twoCellAnchor editAs="absolute">
    <xdr:from>
      <xdr:col>2</xdr:col>
      <xdr:colOff>339840</xdr:colOff>
      <xdr:row>0</xdr:row>
      <xdr:rowOff>306360</xdr:rowOff>
    </xdr:from>
    <xdr:to>
      <xdr:col>3</xdr:col>
      <xdr:colOff>2173680</xdr:colOff>
      <xdr:row>4</xdr:row>
      <xdr:rowOff>270360</xdr:rowOff>
    </xdr:to>
    <xdr:pic>
      <xdr:nvPicPr>
        <xdr:cNvPr id="3" name="Imagen 1" descr=""/>
        <xdr:cNvPicPr/>
      </xdr:nvPicPr>
      <xdr:blipFill>
        <a:blip r:embed="rId1"/>
        <a:stretch/>
      </xdr:blipFill>
      <xdr:spPr>
        <a:xfrm>
          <a:off x="1229400" y="306360"/>
          <a:ext cx="4572720" cy="15332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163440</xdr:colOff>
      <xdr:row>3</xdr:row>
      <xdr:rowOff>119520</xdr:rowOff>
    </xdr:from>
    <xdr:to>
      <xdr:col>3</xdr:col>
      <xdr:colOff>49320</xdr:colOff>
      <xdr:row>4</xdr:row>
      <xdr:rowOff>23400</xdr:rowOff>
    </xdr:to>
    <xdr:sp>
      <xdr:nvSpPr>
        <xdr:cNvPr id="4" name="CuadroTexto 3"/>
        <xdr:cNvSpPr/>
      </xdr:nvSpPr>
      <xdr:spPr>
        <a:xfrm>
          <a:off x="703080" y="1279080"/>
          <a:ext cx="3822840" cy="14184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es-ES" sz="800" strike="noStrike" u="none">
              <a:solidFill>
                <a:schemeClr val="dk1"/>
              </a:solidFill>
              <a:uFillTx/>
              <a:latin typeface="Aptos Narrow"/>
            </a:rPr>
            <a:t>20240523 </a:t>
          </a:r>
          <a:endParaRPr b="0" lang="es-ES" sz="8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800" strike="noStrike" u="none">
              <a:solidFill>
                <a:schemeClr val="dk1"/>
              </a:solidFill>
              <a:uFillTx/>
              <a:latin typeface="Aptos Narrow"/>
            </a:rPr>
            <a:t>Version 2024 V4</a:t>
          </a:r>
          <a:endParaRPr b="0" lang="es-ES" sz="8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8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1100" strike="noStrike" u="none">
            <a:uFillTx/>
            <a:latin typeface="Times New Roman"/>
          </a:endParaRPr>
        </a:p>
      </xdr:txBody>
    </xdr:sp>
    <xdr:clientData/>
  </xdr:twoCellAnchor>
  <xdr:twoCellAnchor editAs="absolute">
    <xdr:from>
      <xdr:col>2</xdr:col>
      <xdr:colOff>153000</xdr:colOff>
      <xdr:row>1</xdr:row>
      <xdr:rowOff>68760</xdr:rowOff>
    </xdr:from>
    <xdr:to>
      <xdr:col>2</xdr:col>
      <xdr:colOff>3593520</xdr:colOff>
      <xdr:row>4</xdr:row>
      <xdr:rowOff>237600</xdr:rowOff>
    </xdr:to>
    <xdr:pic>
      <xdr:nvPicPr>
        <xdr:cNvPr id="5" name="Imagen 1" descr=""/>
        <xdr:cNvPicPr/>
      </xdr:nvPicPr>
      <xdr:blipFill>
        <a:blip r:embed="rId1"/>
        <a:stretch/>
      </xdr:blipFill>
      <xdr:spPr>
        <a:xfrm>
          <a:off x="692640" y="408960"/>
          <a:ext cx="3440520" cy="12261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313920</xdr:colOff>
      <xdr:row>0</xdr:row>
      <xdr:rowOff>177840</xdr:rowOff>
    </xdr:from>
    <xdr:to>
      <xdr:col>22</xdr:col>
      <xdr:colOff>23040</xdr:colOff>
      <xdr:row>132</xdr:row>
      <xdr:rowOff>88200</xdr:rowOff>
    </xdr:to>
    <xdr:sp>
      <xdr:nvSpPr>
        <xdr:cNvPr id="6" name="CuadroTexto 1"/>
        <xdr:cNvSpPr/>
      </xdr:nvSpPr>
      <xdr:spPr>
        <a:xfrm>
          <a:off x="313920" y="177840"/>
          <a:ext cx="14876640" cy="2379924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wrap="none"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BREVE MANUAL HOJA EXCEL PARA AYUDA EN EL CALCULO DE MARGENES E INDICES DE MODERNIZACION.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ff0000"/>
              </a:solidFill>
              <a:uFillTx/>
              <a:latin typeface="Times New Roman"/>
            </a:rPr>
            <a:t>(CONSIDERACIÓN DE ESTA HOJA DE CALCULO COMO HERRAMIENTA DE APOYO PARA FACILITAR LAS TAREAS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ff0000"/>
              </a:solidFill>
              <a:uFillTx/>
              <a:latin typeface="Times New Roman"/>
            </a:rPr>
            <a:t>DE CONFECCIÓN DE LAS AYUDAS DE ESTABLECIMIENTO Y MODERNIZACIÓN A LOS BENEFICIARIOS)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24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24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400" strike="noStrike" u="sng">
              <a:solidFill>
                <a:schemeClr val="accent3">
                  <a:lumMod val="75000"/>
                </a:schemeClr>
              </a:solidFill>
              <a:uFillTx/>
              <a:latin typeface="Aptos Narrow"/>
            </a:rPr>
            <a:t>Datos de entrada.</a:t>
          </a:r>
          <a:endParaRPr b="0" lang="es-ES" sz="24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Esta hoja calcula varios índices económicos de la explotación agraria en función de las unidades productivas que se introduzcan.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Hay tres pestañas diferentes para introducir datos de la explotación. 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1" lang="es-ES" sz="2000" strike="noStrike" u="none">
              <a:solidFill>
                <a:schemeClr val="accent4">
                  <a:lumMod val="60000"/>
                  <a:lumOff val="40000"/>
                </a:schemeClr>
              </a:solidFill>
              <a:uFillTx/>
              <a:latin typeface="Aptos Narrow"/>
            </a:rPr>
            <a:t>V_DATOS PAC_SGA.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Aquí se pegan datos descargados desde el SGA en una hoja excel. Hay que copiar la hoja entera y pegarla entera en esta pestaña. 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La hoja toma los datos de las siguientes columnas: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COLUMNA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R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Código de producto Cultivo principal.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Y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Superficie declarada grafica.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AN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Código regadío (1) o secano (2).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BK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Código Prod. ecológica (1), No ecológica (0).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BV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Uso tierra. Usado cuando “IV”, invernadero. 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CC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Código de producto Cultivo secundario.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 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En el caso de que las columnas correspondientes no estén en esas columnas, no se harán los cálculos o serán erróneos.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La salida de datos de las columnas del excel se puede configurar desde el SGA. Por ejemplo, se podía poner que la columna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 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con Código de producto que está en la columna R, salieran en la columna A.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También se puede cambiar la configuración de la hoja excel si hubiera necesidad para adaptarse a la mayoría de los usuarios,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pero esto llevaria mas tiempo. 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 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1" lang="es-ES" sz="2000" strike="noStrike" u="none">
              <a:solidFill>
                <a:schemeClr val="accent3">
                  <a:lumMod val="60000"/>
                  <a:lumOff val="40000"/>
                </a:schemeClr>
              </a:solidFill>
              <a:uFillTx/>
              <a:latin typeface="Aptos Narrow"/>
            </a:rPr>
            <a:t>V_EAP-AGRI_2024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En esta hoja se introducen superficies totales de cultivos, diferenciándolos entre secano o regadío y entre ecológico y no ecológico. 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Cada uno de estos casos tiene márgenes y cálculos diferentes. 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No se introducen datos a nivel de recinto. Puede valer para plantear una explotación únicamente desde aquí sin datos del SGA. 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También se puede usar para agregar cultivos o superficies a una explotación con datos del SGA.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 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 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 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1" lang="es-ES" sz="2000" strike="noStrike" u="none">
              <a:solidFill>
                <a:schemeClr val="accent2">
                  <a:lumMod val="75000"/>
                </a:schemeClr>
              </a:solidFill>
              <a:uFillTx/>
              <a:latin typeface="Aptos Narrow"/>
            </a:rPr>
            <a:t>V_EAP-GAN.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Aquí se introducen el numero de cabezas o plazas autorizadas de la explotación y se calculan los mismos márgenes que en las dos pestañas anteriores. 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Diferencia entre ganadería ecológica y no ecología o convencional.</a:t>
          </a:r>
          <a:endParaRPr b="0" lang="es-ES" sz="2000" strike="noStrike" u="none">
            <a:uFillTx/>
            <a:latin typeface="Times New Roman"/>
          </a:endParaRPr>
        </a:p>
        <a:p>
          <a:pPr>
            <a:lnSpc>
              <a:spcPct val="100000"/>
            </a:lnSpc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4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400" strike="noStrike" u="sng">
              <a:solidFill>
                <a:schemeClr val="accent3">
                  <a:lumMod val="75000"/>
                </a:schemeClr>
              </a:solidFill>
              <a:uFillTx/>
              <a:latin typeface="Aptos Narrow"/>
            </a:rPr>
            <a:t>Datos de salida.</a:t>
          </a:r>
          <a:endParaRPr b="0" lang="es-ES" sz="24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1" lang="es-ES" sz="2000" strike="noStrike" u="none">
              <a:solidFill>
                <a:schemeClr val="accent1">
                  <a:lumMod val="60000"/>
                  <a:lumOff val="40000"/>
                </a:schemeClr>
              </a:solidFill>
              <a:uFillTx/>
              <a:latin typeface="Aptos Narrow"/>
            </a:rPr>
            <a:t>V_PFIS_MOD_2024_VIABILIDAD_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1" lang="es-ES" sz="2000" strike="noStrike" u="none">
              <a:solidFill>
                <a:schemeClr val="accent1">
                  <a:lumMod val="60000"/>
                  <a:lumOff val="40000"/>
                </a:schemeClr>
              </a:solidFill>
              <a:uFillTx/>
              <a:latin typeface="Aptos Narrow"/>
            </a:rPr>
            <a:t>V_PJUR_MOD_2024_VIABILIDAD_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A medida que se van introduciendo datos, los calculos se van actualizando y se pueden ver en la pestaña.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Aparte de ver los resultados totales: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-Producción Estandar (PE)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-Margen Neto (MN)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-Unidad de Trabajo Agrario (UTA)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	</a:t>
          </a: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-Renta Unitaria de Trabajo (RUT)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También se puede ver desglosados por secano o regadío, ecológico o no ecológico, etc. 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1" lang="es-ES" sz="2000" strike="noStrike" u="none">
              <a:solidFill>
                <a:schemeClr val="accent1">
                  <a:lumMod val="60000"/>
                  <a:lumOff val="40000"/>
                </a:schemeClr>
              </a:solidFill>
              <a:uFillTx/>
              <a:latin typeface="Aptos Narrow"/>
            </a:rPr>
            <a:t>V_EST_ECO_PFISyJUR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Aqui se muestra el estudio economico para la tramitacion de Explotaciones Agrarias Prioritarias. 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Para personas fisicas, las UTAs se calcula automaticamente, si se calculan mas de 3 UTAs la pagina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avisa de que hay que justificarlas. Tambien existe la opcion de introducir las UTAs de manera manual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valido para personas juridicas. 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Las casillas en naranja con letra azul son casillas son para introducir datos con menus desplegables o numeros. El resto de colores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Aptos Narrow"/>
            </a:rPr>
            <a:t>son datos calculados a partir de los datos introducidos o resultados de los calculos. 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1" i="1" lang="es-ES" sz="2000" strike="noStrike" u="none">
              <a:solidFill>
                <a:schemeClr val="accent3">
                  <a:lumMod val="75000"/>
                </a:schemeClr>
              </a:solidFill>
              <a:uFillTx/>
              <a:latin typeface="Aptos Narrow"/>
            </a:rPr>
            <a:t>Actualización 15/01/2025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Times New Roman"/>
            </a:rPr>
            <a:t>Se ha actualizado las renta de referencia del 2025 y las UTA unitarias en cultivos y ganaderia. 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lang="es-ES" sz="2000" strike="noStrike" u="none">
              <a:solidFill>
                <a:srgbClr val="000000"/>
              </a:solidFill>
              <a:uFillTx/>
              <a:latin typeface="Times New Roman"/>
            </a:rPr>
            <a:t>Para cualquier duda o cuestión:</a:t>
          </a: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r>
            <a:rPr b="0" i="1" lang="es-ES" sz="2800" strike="noStrike" u="none">
              <a:solidFill>
                <a:schemeClr val="dk1">
                  <a:lumMod val="85000"/>
                  <a:lumOff val="15000"/>
                </a:schemeClr>
              </a:solidFill>
              <a:uFillTx/>
              <a:latin typeface="Times New Roman"/>
            </a:rPr>
            <a:t>jmposadas@aragon.es</a:t>
          </a:r>
          <a:r>
            <a:rPr b="0" i="1" lang="es-ES" sz="2800" strike="noStrike" u="none">
              <a:solidFill>
                <a:schemeClr val="dk1">
                  <a:lumMod val="85000"/>
                  <a:lumOff val="15000"/>
                </a:schemeClr>
              </a:solidFill>
              <a:uFillTx/>
              <a:latin typeface="Times New Roman"/>
            </a:rPr>
            <a:t>	</a:t>
          </a:r>
          <a:r>
            <a:rPr b="0" i="1" lang="es-ES" sz="2800" strike="noStrike" u="none">
              <a:solidFill>
                <a:schemeClr val="dk1">
                  <a:lumMod val="85000"/>
                  <a:lumOff val="15000"/>
                </a:schemeClr>
              </a:solidFill>
              <a:uFillTx/>
              <a:latin typeface="Times New Roman"/>
            </a:rPr>
            <a:t>ó</a:t>
          </a:r>
          <a:r>
            <a:rPr b="0" i="1" lang="es-ES" sz="2800" strike="noStrike" u="none">
              <a:solidFill>
                <a:schemeClr val="dk1">
                  <a:lumMod val="85000"/>
                  <a:lumOff val="15000"/>
                </a:schemeClr>
              </a:solidFill>
              <a:uFillTx/>
              <a:latin typeface="Times New Roman"/>
            </a:rPr>
            <a:t>	</a:t>
          </a:r>
          <a:r>
            <a:rPr b="0" i="1" lang="es-ES" sz="2800" strike="noStrike" u="none">
              <a:solidFill>
                <a:schemeClr val="dk1">
                  <a:lumMod val="85000"/>
                  <a:lumOff val="15000"/>
                </a:schemeClr>
              </a:solidFill>
              <a:uFillTx/>
              <a:latin typeface="Times New Roman"/>
            </a:rPr>
            <a:t>milapenna@aragon.es</a:t>
          </a:r>
          <a:endParaRPr b="0" lang="es-ES" sz="28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8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8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20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32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1600" strike="noStrike" u="none">
            <a:uFillTx/>
            <a:latin typeface="Times New Roman"/>
          </a:endParaRPr>
        </a:p>
        <a:p>
          <a:pPr defTabSz="914400">
            <a:lnSpc>
              <a:spcPct val="100000"/>
            </a:lnSpc>
            <a:tabLst>
              <a:tab algn="l" pos="0"/>
            </a:tabLst>
          </a:pPr>
          <a:endParaRPr b="0" lang="es-ES" sz="1100" strike="noStrike" u="none">
            <a:uFillTx/>
            <a:latin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ables/table1.xml><?xml version="1.0" encoding="utf-8"?>
<table xmlns="http://schemas.openxmlformats.org/spreadsheetml/2006/main" id="1" name="__Anonymous_Sheet_DB__11" displayName="__Anonymous_Sheet_DB__11" ref="AY1:AY424" headerRowCount="1" totalsRowCount="0" totalsRowShown="0">
  <tableColumns count="1">
    <tableColumn id="1" name="Columna1"/>
  </tableColumns>
</table>
</file>

<file path=xl/tables/table2.xml><?xml version="1.0" encoding="utf-8"?>
<table xmlns="http://schemas.openxmlformats.org/spreadsheetml/2006/main" id="2" name="__Anonymous_Sheet_DB__1110" displayName="__Anonymous_Sheet_DB__1110" ref="AY1:AY424" headerRowCount="1" totalsRowCount="0" totalsRowShown="0">
  <autoFilter ref="AY1:AY424"/>
  <tableColumns count="1">
    <tableColumn id="1" name="Columna1"/>
  </tableColumns>
</table>
</file>

<file path=xl/tables/table3.xml><?xml version="1.0" encoding="utf-8"?>
<table xmlns="http://schemas.openxmlformats.org/spreadsheetml/2006/main" id="3" name="__Anonymous_Sheet_DB__14" displayName="__Anonymous_Sheet_DB__14" ref="F1:F301" headerRowCount="1" totalsRowCount="0" totalsRowShown="0">
  <autoFilter ref="F1:F301"/>
  <tableColumns count="1">
    <tableColumn id="1" name="MARGEN NETO  (€/HA.)"/>
  </tableColumns>
</table>
</file>

<file path=xl/tables/table4.xml><?xml version="1.0" encoding="utf-8"?>
<table xmlns="http://schemas.openxmlformats.org/spreadsheetml/2006/main" id="4" name="Tabla3" displayName="Tabla3" ref="A30:F327" headerRowCount="1" totalsRowCount="0" totalsRowShown="0">
  <autoFilter ref="A30:F327"/>
  <tableColumns count="6">
    <tableColumn id="1" name="Columna1"/>
    <tableColumn id="2" name="Columna2"/>
    <tableColumn id="3" name="Columna3"/>
    <tableColumn id="4" name="Columna4"/>
    <tableColumn id="5" name="Columna5"/>
    <tableColumn id="6" name="Columna6"/>
  </tableColumns>
</table>
</file>

<file path=xl/tables/table5.xml><?xml version="1.0" encoding="utf-8"?>
<table xmlns="http://schemas.openxmlformats.org/spreadsheetml/2006/main" id="5" name="Tabla39" displayName="Tabla39" ref="Y25:AH405" headerRowCount="1" totalsRowCount="0" totalsRowShown="0">
  <tableColumns count="10">
    <tableColumn id="1" name="1"/>
    <tableColumn id="2" name="2"/>
    <tableColumn id="3" name="3"/>
    <tableColumn id="4" name="4"/>
    <tableColumn id="5" name="5"/>
    <tableColumn id="6" name="6"/>
    <tableColumn id="7" name="7"/>
    <tableColumn id="8" name="8"/>
    <tableColumn id="9" name="9"/>
    <tableColumn id="10" name="10"/>
  </tableColumns>
</table>
</file>

<file path=xl/theme/theme1.xml><?xml version="1.0" encoding="utf-8"?>
<a:theme xmlns:a="http://schemas.openxmlformats.org/drawingml/2006/main" xmlns:r="http://schemas.openxmlformats.org/officeDocument/2006/relationships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4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5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table" Target="../tables/table1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table" Target="../tables/table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ColWidth="12.75390625" defaultRowHeight="14.25" zeroHeight="false" outlineLevelRow="0" outlineLevelCol="0"/>
  <sheetData>
    <row r="1" customFormat="false" ht="14.25" hidden="false" customHeight="true" outlineLevel="0" collapsed="false">
      <c r="A1" s="1"/>
    </row>
  </sheetData>
  <sheetProtection sheet="true" objects="true" scenarios="true"/>
  <printOptions headings="false" gridLines="false" gridLinesSet="true" horizontalCentered="false" verticalCentered="false"/>
  <pageMargins left="0.7" right="0.7" top="1.14375" bottom="1.14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I355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ColWidth="9.1328125" defaultRowHeight="14.25" zeroHeight="false" outlineLevelRow="0" outlineLevelCol="0"/>
  <cols>
    <col collapsed="false" customWidth="true" hidden="false" outlineLevel="0" max="1" min="1" style="2" width="12.75"/>
    <col collapsed="false" customWidth="true" hidden="false" outlineLevel="0" max="2" min="2" style="2" width="26.25"/>
    <col collapsed="false" customWidth="true" hidden="false" outlineLevel="0" max="4" min="3" style="2" width="12.75"/>
    <col collapsed="false" customWidth="true" hidden="false" outlineLevel="0" max="5" min="5" style="2" width="15.25"/>
    <col collapsed="false" customWidth="true" hidden="false" outlineLevel="0" max="6" min="6" style="2" width="85.38"/>
    <col collapsed="false" customWidth="true" hidden="false" outlineLevel="0" max="7" min="7" style="2" width="16.25"/>
    <col collapsed="false" customWidth="true" hidden="false" outlineLevel="0" max="8" min="8" style="2" width="14.63"/>
    <col collapsed="false" customWidth="true" hidden="false" outlineLevel="0" max="9" min="9" style="2" width="13.88"/>
    <col collapsed="false" customWidth="true" hidden="false" outlineLevel="0" max="10" min="10" style="2" width="5.38"/>
    <col collapsed="false" customWidth="true" hidden="false" outlineLevel="0" max="12" min="11" style="2" width="13.88"/>
    <col collapsed="false" customWidth="true" hidden="false" outlineLevel="0" max="13" min="13" style="2" width="7.25"/>
    <col collapsed="false" customWidth="true" hidden="false" outlineLevel="0" max="14" min="14" style="2" width="9"/>
    <col collapsed="false" customWidth="true" hidden="false" outlineLevel="0" max="15" min="15" style="2" width="11.25"/>
    <col collapsed="false" customWidth="true" hidden="false" outlineLevel="0" max="16" min="16" style="2" width="4.88"/>
    <col collapsed="false" customWidth="true" hidden="false" outlineLevel="0" max="17" min="17" style="2" width="10.13"/>
    <col collapsed="false" customWidth="true" hidden="false" outlineLevel="0" max="18" min="18" style="2" width="11.25"/>
    <col collapsed="false" customWidth="true" hidden="false" outlineLevel="0" max="19" min="19" style="2" width="5.25"/>
    <col collapsed="false" customWidth="true" hidden="false" outlineLevel="0" max="20" min="20" style="2" width="2"/>
    <col collapsed="false" customWidth="true" hidden="false" outlineLevel="0" max="21" min="21" style="2" width="21.25"/>
    <col collapsed="false" customWidth="true" hidden="false" outlineLevel="0" max="22" min="22" style="2" width="2.75"/>
    <col collapsed="false" customWidth="true" hidden="true" outlineLevel="0" max="23" min="23" style="2" width="4"/>
    <col collapsed="false" customWidth="true" hidden="false" outlineLevel="0" max="24" min="24" style="2" width="14"/>
    <col collapsed="false" customWidth="true" hidden="false" outlineLevel="0" max="25" min="25" style="2" width="3.88"/>
    <col collapsed="false" customWidth="true" hidden="false" outlineLevel="0" max="26" min="26" style="2" width="17.25"/>
    <col collapsed="false" customWidth="true" hidden="false" outlineLevel="0" max="27" min="27" style="2" width="7.38"/>
    <col collapsed="false" customWidth="true" hidden="false" outlineLevel="0" max="29" min="28" style="2" width="7.63"/>
    <col collapsed="false" customWidth="true" hidden="false" outlineLevel="0" max="30" min="30" style="2" width="10.25"/>
    <col collapsed="false" customWidth="true" hidden="false" outlineLevel="0" max="34" min="34" style="2" width="13.13"/>
    <col collapsed="false" customWidth="true" hidden="false" outlineLevel="0" max="35" min="35" style="2" width="10.13"/>
  </cols>
  <sheetData>
    <row r="1" customFormat="false" ht="15" hidden="false" customHeight="false" outlineLevel="0" collapsed="false">
      <c r="A1" s="3" t="s">
        <v>0</v>
      </c>
      <c r="B1" s="4" t="s">
        <v>1</v>
      </c>
      <c r="C1" s="4"/>
      <c r="D1" s="4"/>
      <c r="E1" s="4"/>
      <c r="F1" s="5"/>
      <c r="G1" s="3"/>
      <c r="H1" s="3"/>
      <c r="I1" s="3"/>
      <c r="J1" s="6"/>
      <c r="K1" s="7"/>
      <c r="L1" s="7"/>
      <c r="M1" s="8"/>
      <c r="N1" s="3"/>
      <c r="O1" s="3"/>
      <c r="P1" s="3"/>
      <c r="Q1" s="3"/>
      <c r="R1" s="3"/>
      <c r="S1" s="3"/>
      <c r="T1" s="6"/>
      <c r="U1" s="9"/>
      <c r="V1" s="10"/>
      <c r="W1" s="10"/>
      <c r="X1" s="9"/>
      <c r="Y1" s="9"/>
      <c r="Z1" s="9"/>
      <c r="AA1" s="3"/>
      <c r="AB1" s="3"/>
      <c r="AC1" s="3"/>
      <c r="AD1" s="3"/>
      <c r="AE1" s="3"/>
      <c r="AF1" s="3"/>
      <c r="AG1" s="3"/>
      <c r="AH1" s="3"/>
      <c r="AI1" s="3"/>
    </row>
    <row r="2" customFormat="false" ht="14.25" hidden="false" customHeight="false" outlineLevel="0" collapsed="false">
      <c r="A2" s="3"/>
      <c r="B2" s="3"/>
      <c r="C2" s="3"/>
      <c r="D2" s="3"/>
      <c r="E2" s="11"/>
      <c r="F2" s="5"/>
      <c r="G2" s="3"/>
      <c r="H2" s="3"/>
      <c r="I2" s="3"/>
      <c r="J2" s="6"/>
      <c r="K2" s="7"/>
      <c r="L2" s="7"/>
      <c r="M2" s="8"/>
      <c r="N2" s="3"/>
      <c r="O2" s="3"/>
      <c r="P2" s="3"/>
      <c r="Q2" s="3"/>
      <c r="R2" s="3"/>
      <c r="S2" s="3"/>
      <c r="T2" s="6"/>
      <c r="U2" s="9"/>
      <c r="V2" s="10"/>
      <c r="W2" s="10"/>
      <c r="X2" s="9"/>
      <c r="Y2" s="9"/>
      <c r="Z2" s="9"/>
      <c r="AA2" s="3"/>
      <c r="AB2" s="3"/>
      <c r="AC2" s="3"/>
      <c r="AD2" s="3"/>
      <c r="AE2" s="3"/>
      <c r="AF2" s="3"/>
      <c r="AG2" s="3"/>
      <c r="AH2" s="3"/>
      <c r="AI2" s="3"/>
    </row>
    <row r="3" customFormat="false" ht="14.25" hidden="false" customHeight="false" outlineLevel="0" collapsed="false">
      <c r="A3" s="3"/>
      <c r="B3" s="12"/>
      <c r="C3" s="13"/>
      <c r="D3" s="13"/>
      <c r="E3" s="13" t="s">
        <v>2</v>
      </c>
      <c r="F3" s="13" t="s">
        <v>3</v>
      </c>
      <c r="G3" s="13" t="s">
        <v>4</v>
      </c>
      <c r="H3" s="14" t="s">
        <v>5</v>
      </c>
      <c r="I3" s="3"/>
      <c r="J3" s="6"/>
      <c r="K3" s="7"/>
      <c r="L3" s="7"/>
      <c r="M3" s="8"/>
      <c r="N3" s="3"/>
      <c r="O3" s="3"/>
      <c r="P3" s="3"/>
      <c r="Q3" s="3"/>
      <c r="R3" s="3"/>
      <c r="S3" s="3"/>
      <c r="T3" s="6"/>
      <c r="U3" s="9"/>
      <c r="V3" s="10"/>
      <c r="W3" s="10"/>
      <c r="X3" s="9"/>
      <c r="Y3" s="9"/>
      <c r="Z3" s="9"/>
      <c r="AA3" s="3"/>
      <c r="AB3" s="3"/>
      <c r="AC3" s="3"/>
      <c r="AD3" s="3"/>
      <c r="AE3" s="3"/>
      <c r="AF3" s="3"/>
      <c r="AG3" s="3"/>
      <c r="AH3" s="3"/>
      <c r="AI3" s="3"/>
    </row>
    <row r="4" customFormat="false" ht="14.25" hidden="false" customHeight="false" outlineLevel="0" collapsed="false">
      <c r="A4" s="3"/>
      <c r="B4" s="15"/>
      <c r="C4" s="16"/>
      <c r="D4" s="16"/>
      <c r="E4" s="17"/>
      <c r="F4" s="18"/>
      <c r="G4" s="19"/>
      <c r="H4" s="20"/>
      <c r="I4" s="3"/>
      <c r="J4" s="6"/>
      <c r="K4" s="7"/>
      <c r="L4" s="7"/>
      <c r="M4" s="8"/>
      <c r="N4" s="3"/>
      <c r="O4" s="3"/>
      <c r="P4" s="3"/>
      <c r="Q4" s="3"/>
      <c r="R4" s="3"/>
      <c r="S4" s="3"/>
      <c r="T4" s="6"/>
      <c r="U4" s="9"/>
      <c r="V4" s="10"/>
      <c r="W4" s="10"/>
      <c r="X4" s="9"/>
      <c r="Y4" s="9"/>
      <c r="Z4" s="9"/>
      <c r="AA4" s="3"/>
      <c r="AB4" s="3"/>
      <c r="AC4" s="3"/>
      <c r="AD4" s="3"/>
      <c r="AE4" s="3"/>
      <c r="AF4" s="3"/>
      <c r="AG4" s="3"/>
      <c r="AH4" s="3"/>
      <c r="AI4" s="3"/>
    </row>
    <row r="5" customFormat="false" ht="14.25" hidden="false" customHeight="false" outlineLevel="0" collapsed="false">
      <c r="A5" s="3"/>
      <c r="B5" s="21" t="s">
        <v>6</v>
      </c>
      <c r="C5" s="22"/>
      <c r="D5" s="22"/>
      <c r="E5" s="5" t="n">
        <f aca="false">O_CALC_CultivoPrincipal!AJ7</f>
        <v>0</v>
      </c>
      <c r="F5" s="23" t="n">
        <f aca="false">H327</f>
        <v>0</v>
      </c>
      <c r="G5" s="24" t="n">
        <f aca="false">U327</f>
        <v>442400</v>
      </c>
      <c r="H5" s="25" t="n">
        <f aca="false">X327</f>
        <v>79676.22</v>
      </c>
      <c r="I5" s="3"/>
      <c r="J5" s="6"/>
      <c r="K5" s="7"/>
      <c r="L5" s="7"/>
      <c r="M5" s="8"/>
      <c r="N5" s="3"/>
      <c r="O5" s="3"/>
      <c r="P5" s="3"/>
      <c r="Q5" s="3"/>
      <c r="R5" s="3"/>
      <c r="S5" s="3"/>
      <c r="T5" s="6"/>
      <c r="U5" s="9"/>
      <c r="V5" s="10"/>
      <c r="W5" s="10"/>
      <c r="X5" s="9"/>
      <c r="Y5" s="9"/>
      <c r="Z5" s="9"/>
      <c r="AA5" s="3"/>
      <c r="AB5" s="3"/>
      <c r="AC5" s="3"/>
      <c r="AD5" s="3"/>
      <c r="AE5" s="3"/>
      <c r="AF5" s="3"/>
      <c r="AG5" s="3"/>
      <c r="AH5" s="3"/>
      <c r="AI5" s="3"/>
    </row>
    <row r="6" customFormat="false" ht="14.25" hidden="false" customHeight="false" outlineLevel="0" collapsed="false">
      <c r="A6" s="3"/>
      <c r="B6" s="21"/>
      <c r="C6" s="22"/>
      <c r="D6" s="22"/>
      <c r="E6" s="5"/>
      <c r="F6" s="5"/>
      <c r="G6" s="3"/>
      <c r="H6" s="26"/>
      <c r="I6" s="3"/>
      <c r="J6" s="6"/>
      <c r="K6" s="7"/>
      <c r="L6" s="7"/>
      <c r="M6" s="8"/>
      <c r="N6" s="3"/>
      <c r="O6" s="3"/>
      <c r="P6" s="3"/>
      <c r="Q6" s="3"/>
      <c r="R6" s="3"/>
      <c r="S6" s="3"/>
      <c r="T6" s="6"/>
      <c r="U6" s="9"/>
      <c r="V6" s="10"/>
      <c r="W6" s="10"/>
      <c r="X6" s="9"/>
      <c r="Y6" s="9"/>
      <c r="Z6" s="9"/>
      <c r="AA6" s="3"/>
      <c r="AB6" s="3"/>
      <c r="AC6" s="3"/>
      <c r="AD6" s="3"/>
      <c r="AE6" s="3"/>
      <c r="AF6" s="3"/>
      <c r="AG6" s="3"/>
      <c r="AH6" s="3"/>
      <c r="AI6" s="3"/>
    </row>
    <row r="7" customFormat="false" ht="14.25" hidden="false" customHeight="false" outlineLevel="0" collapsed="false">
      <c r="A7" s="3"/>
      <c r="B7" s="21" t="s">
        <v>7</v>
      </c>
      <c r="C7" s="27"/>
      <c r="D7" s="27"/>
      <c r="E7" s="5" t="n">
        <f aca="false">O_CALC_CultivoPrincipal!AI7</f>
        <v>0</v>
      </c>
      <c r="F7" s="23" t="n">
        <f aca="false">K327</f>
        <v>13</v>
      </c>
      <c r="G7" s="3"/>
      <c r="H7" s="26"/>
      <c r="I7" s="3"/>
      <c r="J7" s="6"/>
      <c r="K7" s="7"/>
      <c r="L7" s="7"/>
      <c r="M7" s="8"/>
      <c r="N7" s="3"/>
      <c r="O7" s="3"/>
      <c r="P7" s="3"/>
      <c r="Q7" s="3"/>
      <c r="R7" s="3"/>
      <c r="S7" s="3"/>
      <c r="T7" s="6"/>
      <c r="U7" s="9"/>
      <c r="V7" s="10"/>
      <c r="W7" s="10"/>
      <c r="X7" s="9"/>
      <c r="Y7" s="9"/>
      <c r="Z7" s="9"/>
      <c r="AA7" s="3"/>
      <c r="AB7" s="3"/>
      <c r="AC7" s="3"/>
      <c r="AD7" s="3"/>
      <c r="AE7" s="3"/>
      <c r="AF7" s="3"/>
      <c r="AG7" s="3"/>
      <c r="AH7" s="3"/>
      <c r="AI7" s="3"/>
    </row>
    <row r="8" customFormat="false" ht="14.25" hidden="false" customHeight="false" outlineLevel="0" collapsed="false">
      <c r="A8" s="3"/>
      <c r="B8" s="28"/>
      <c r="C8" s="29"/>
      <c r="D8" s="29"/>
      <c r="E8" s="5"/>
      <c r="F8" s="5"/>
      <c r="G8" s="3"/>
      <c r="H8" s="26"/>
      <c r="I8" s="3"/>
      <c r="J8" s="6"/>
      <c r="K8" s="7"/>
      <c r="L8" s="7"/>
      <c r="M8" s="8"/>
      <c r="N8" s="3"/>
      <c r="O8" s="3"/>
      <c r="P8" s="3"/>
      <c r="Q8" s="3"/>
      <c r="R8" s="3"/>
      <c r="S8" s="3"/>
      <c r="T8" s="6"/>
      <c r="U8" s="9"/>
      <c r="V8" s="10"/>
      <c r="W8" s="10"/>
      <c r="X8" s="9"/>
      <c r="Y8" s="9"/>
      <c r="Z8" s="9"/>
      <c r="AA8" s="3"/>
      <c r="AB8" s="3"/>
      <c r="AC8" s="3"/>
      <c r="AD8" s="3"/>
      <c r="AE8" s="3"/>
      <c r="AF8" s="3"/>
      <c r="AG8" s="3"/>
      <c r="AH8" s="3"/>
      <c r="AI8" s="3"/>
    </row>
    <row r="9" customFormat="false" ht="14.25" hidden="false" customHeight="false" outlineLevel="0" collapsed="false">
      <c r="A9" s="3"/>
      <c r="B9" s="30" t="s">
        <v>8</v>
      </c>
      <c r="C9" s="29"/>
      <c r="D9" s="29"/>
      <c r="E9" s="5" t="n">
        <f aca="false">O_CALC_CultivoPrincipal!AL7</f>
        <v>0</v>
      </c>
      <c r="F9" s="23" t="n">
        <f aca="false">I327</f>
        <v>0</v>
      </c>
      <c r="G9" s="3"/>
      <c r="H9" s="26"/>
      <c r="I9" s="3"/>
      <c r="J9" s="6"/>
      <c r="K9" s="7"/>
      <c r="L9" s="7"/>
      <c r="M9" s="8"/>
      <c r="N9" s="3"/>
      <c r="O9" s="3"/>
      <c r="P9" s="3"/>
      <c r="Q9" s="3"/>
      <c r="R9" s="3"/>
      <c r="S9" s="3"/>
      <c r="T9" s="6"/>
      <c r="U9" s="9"/>
      <c r="V9" s="10"/>
      <c r="W9" s="10"/>
      <c r="X9" s="9"/>
      <c r="Y9" s="9"/>
      <c r="Z9" s="9"/>
      <c r="AA9" s="3"/>
      <c r="AB9" s="3"/>
      <c r="AC9" s="3"/>
      <c r="AD9" s="3"/>
      <c r="AE9" s="3"/>
      <c r="AF9" s="3"/>
      <c r="AG9" s="3"/>
      <c r="AH9" s="3"/>
      <c r="AI9" s="3"/>
    </row>
    <row r="10" customFormat="false" ht="14.25" hidden="false" customHeight="false" outlineLevel="0" collapsed="false">
      <c r="A10" s="3"/>
      <c r="B10" s="31"/>
      <c r="C10" s="27"/>
      <c r="D10" s="27"/>
      <c r="E10" s="5"/>
      <c r="F10" s="5"/>
      <c r="G10" s="3"/>
      <c r="H10" s="26"/>
      <c r="I10" s="3"/>
      <c r="J10" s="6"/>
      <c r="K10" s="7"/>
      <c r="L10" s="7"/>
      <c r="M10" s="8"/>
      <c r="N10" s="3"/>
      <c r="O10" s="3"/>
      <c r="P10" s="3"/>
      <c r="Q10" s="3"/>
      <c r="R10" s="3"/>
      <c r="S10" s="3"/>
      <c r="T10" s="6"/>
      <c r="U10" s="9"/>
      <c r="V10" s="10"/>
      <c r="W10" s="10"/>
      <c r="X10" s="9"/>
      <c r="Y10" s="9"/>
      <c r="Z10" s="9"/>
      <c r="AA10" s="3"/>
      <c r="AB10" s="3"/>
      <c r="AC10" s="3"/>
      <c r="AD10" s="3"/>
      <c r="AE10" s="3"/>
      <c r="AF10" s="3"/>
      <c r="AG10" s="3"/>
      <c r="AH10" s="3"/>
      <c r="AI10" s="3"/>
    </row>
    <row r="11" customFormat="false" ht="14.25" hidden="false" customHeight="false" outlineLevel="0" collapsed="false">
      <c r="A11" s="3"/>
      <c r="B11" s="30" t="s">
        <v>9</v>
      </c>
      <c r="C11" s="32"/>
      <c r="D11" s="32"/>
      <c r="E11" s="5" t="n">
        <f aca="false">O_CALC_CultivoPrincipal!AK7</f>
        <v>0</v>
      </c>
      <c r="F11" s="23" t="n">
        <f aca="false">L327</f>
        <v>44</v>
      </c>
      <c r="G11" s="3"/>
      <c r="H11" s="26"/>
      <c r="I11" s="3"/>
      <c r="J11" s="6"/>
      <c r="K11" s="7"/>
      <c r="L11" s="7"/>
      <c r="M11" s="8"/>
      <c r="N11" s="3"/>
      <c r="O11" s="3"/>
      <c r="P11" s="3"/>
      <c r="Q11" s="3"/>
      <c r="R11" s="3"/>
      <c r="S11" s="3"/>
      <c r="T11" s="6"/>
      <c r="U11" s="9"/>
      <c r="V11" s="10"/>
      <c r="W11" s="10"/>
      <c r="X11" s="9"/>
      <c r="Y11" s="9"/>
      <c r="Z11" s="9"/>
      <c r="AA11" s="3"/>
      <c r="AB11" s="3"/>
      <c r="AC11" s="3"/>
      <c r="AD11" s="3"/>
      <c r="AE11" s="3"/>
      <c r="AF11" s="3"/>
      <c r="AG11" s="3"/>
      <c r="AH11" s="3"/>
      <c r="AI11" s="3"/>
    </row>
    <row r="12" customFormat="false" ht="14.25" hidden="false" customHeight="false" outlineLevel="0" collapsed="false">
      <c r="A12" s="3"/>
      <c r="B12" s="33"/>
      <c r="C12" s="32"/>
      <c r="D12" s="32"/>
      <c r="E12" s="5"/>
      <c r="F12" s="5"/>
      <c r="G12" s="3"/>
      <c r="H12" s="26"/>
      <c r="I12" s="3"/>
      <c r="J12" s="6"/>
      <c r="K12" s="7"/>
      <c r="L12" s="7"/>
      <c r="M12" s="8"/>
      <c r="N12" s="3"/>
      <c r="O12" s="3"/>
      <c r="P12" s="3"/>
      <c r="Q12" s="3"/>
      <c r="R12" s="3"/>
      <c r="S12" s="3"/>
      <c r="T12" s="6"/>
      <c r="U12" s="9"/>
      <c r="V12" s="10"/>
      <c r="W12" s="10"/>
      <c r="X12" s="9"/>
      <c r="Y12" s="9"/>
      <c r="Z12" s="9"/>
      <c r="AA12" s="3"/>
      <c r="AB12" s="3"/>
      <c r="AC12" s="3"/>
      <c r="AD12" s="3"/>
      <c r="AE12" s="3"/>
      <c r="AF12" s="3"/>
      <c r="AG12" s="3"/>
      <c r="AH12" s="3"/>
      <c r="AI12" s="3"/>
    </row>
    <row r="13" customFormat="false" ht="14.25" hidden="false" customHeight="false" outlineLevel="0" collapsed="false">
      <c r="A13" s="3"/>
      <c r="B13" s="30"/>
      <c r="C13" s="27"/>
      <c r="D13" s="27"/>
      <c r="E13" s="5"/>
      <c r="F13" s="5"/>
      <c r="G13" s="3"/>
      <c r="H13" s="26"/>
      <c r="I13" s="3"/>
      <c r="J13" s="6"/>
      <c r="K13" s="7"/>
      <c r="L13" s="7"/>
      <c r="M13" s="8"/>
      <c r="N13" s="3"/>
      <c r="O13" s="3"/>
      <c r="P13" s="3"/>
      <c r="Q13" s="3"/>
      <c r="R13" s="3"/>
      <c r="S13" s="3"/>
      <c r="T13" s="6"/>
      <c r="U13" s="9"/>
      <c r="V13" s="10"/>
      <c r="W13" s="10"/>
      <c r="X13" s="9"/>
      <c r="Y13" s="9"/>
      <c r="Z13" s="9"/>
      <c r="AA13" s="3"/>
      <c r="AB13" s="3"/>
      <c r="AC13" s="3"/>
      <c r="AD13" s="3"/>
      <c r="AE13" s="3"/>
      <c r="AF13" s="3"/>
      <c r="AG13" s="3"/>
      <c r="AH13" s="3"/>
      <c r="AI13" s="3"/>
    </row>
    <row r="14" customFormat="false" ht="14.25" hidden="false" customHeight="false" outlineLevel="0" collapsed="false">
      <c r="A14" s="3"/>
      <c r="B14" s="34" t="s">
        <v>10</v>
      </c>
      <c r="C14" s="35"/>
      <c r="D14" s="35"/>
      <c r="E14" s="36" t="n">
        <f aca="false">SUM(E4:E13)</f>
        <v>0</v>
      </c>
      <c r="F14" s="36" t="n">
        <f aca="false">SUM(F4:F13)</f>
        <v>57</v>
      </c>
      <c r="G14" s="37" t="n">
        <f aca="false">SUM(G4:G13)</f>
        <v>442400</v>
      </c>
      <c r="H14" s="38" t="n">
        <f aca="false">SUM(H4:H13)</f>
        <v>79676.22</v>
      </c>
      <c r="I14" s="3"/>
      <c r="J14" s="6"/>
      <c r="K14" s="7"/>
      <c r="L14" s="7"/>
      <c r="M14" s="8"/>
      <c r="N14" s="3"/>
      <c r="O14" s="3"/>
      <c r="P14" s="3"/>
      <c r="Q14" s="3"/>
      <c r="R14" s="3"/>
      <c r="S14" s="3"/>
      <c r="T14" s="6"/>
      <c r="U14" s="9"/>
      <c r="V14" s="10"/>
      <c r="W14" s="10"/>
      <c r="X14" s="9"/>
      <c r="Y14" s="9"/>
      <c r="Z14" s="9"/>
      <c r="AA14" s="3"/>
      <c r="AB14" s="3"/>
      <c r="AC14" s="3"/>
      <c r="AD14" s="3"/>
      <c r="AE14" s="3"/>
      <c r="AF14" s="3"/>
      <c r="AG14" s="3"/>
      <c r="AH14" s="3"/>
      <c r="AI14" s="3"/>
    </row>
    <row r="15" customFormat="false" ht="14.25" hidden="false" customHeight="false" outlineLevel="0" collapsed="false">
      <c r="A15" s="3"/>
      <c r="B15" s="3"/>
      <c r="C15" s="3"/>
      <c r="D15" s="3"/>
      <c r="E15" s="3"/>
      <c r="F15" s="5"/>
      <c r="G15" s="3"/>
      <c r="H15" s="3"/>
      <c r="I15" s="3"/>
      <c r="J15" s="6"/>
      <c r="K15" s="7"/>
      <c r="L15" s="7"/>
      <c r="M15" s="8"/>
      <c r="N15" s="3"/>
      <c r="O15" s="3"/>
      <c r="P15" s="3"/>
      <c r="Q15" s="3"/>
      <c r="R15" s="3"/>
      <c r="S15" s="3"/>
      <c r="T15" s="6"/>
      <c r="U15" s="9"/>
      <c r="V15" s="10"/>
      <c r="W15" s="10"/>
      <c r="X15" s="9"/>
      <c r="Y15" s="9"/>
      <c r="Z15" s="9"/>
      <c r="AA15" s="3"/>
      <c r="AB15" s="3"/>
      <c r="AC15" s="3"/>
      <c r="AD15" s="3"/>
      <c r="AE15" s="3"/>
      <c r="AF15" s="3"/>
      <c r="AG15" s="3"/>
      <c r="AH15" s="3"/>
      <c r="AI15" s="3"/>
    </row>
    <row r="16" customFormat="false" ht="14.25" hidden="false" customHeight="false" outlineLevel="0" collapsed="false">
      <c r="A16" s="3"/>
      <c r="B16" s="39" t="s">
        <v>11</v>
      </c>
      <c r="C16" s="39"/>
      <c r="D16" s="39"/>
      <c r="E16" s="39"/>
      <c r="F16" s="5"/>
      <c r="G16" s="3"/>
      <c r="H16" s="3"/>
      <c r="I16" s="3"/>
      <c r="J16" s="6"/>
      <c r="K16" s="7"/>
      <c r="L16" s="7"/>
      <c r="M16" s="8"/>
      <c r="N16" s="3"/>
      <c r="O16" s="3"/>
      <c r="P16" s="3"/>
      <c r="Q16" s="3"/>
      <c r="R16" s="3"/>
      <c r="S16" s="3"/>
      <c r="T16" s="6"/>
      <c r="U16" s="9"/>
      <c r="V16" s="10"/>
      <c r="W16" s="10"/>
      <c r="X16" s="9"/>
      <c r="Y16" s="9"/>
      <c r="Z16" s="9"/>
      <c r="AA16" s="3"/>
      <c r="AB16" s="3"/>
      <c r="AC16" s="3"/>
      <c r="AD16" s="3"/>
      <c r="AE16" s="3"/>
      <c r="AF16" s="3"/>
      <c r="AG16" s="3"/>
      <c r="AH16" s="3"/>
      <c r="AI16" s="3"/>
    </row>
    <row r="17" customFormat="false" ht="14.25" hidden="false" customHeight="false" outlineLevel="0" collapsed="false">
      <c r="A17" s="3"/>
      <c r="B17" s="3"/>
      <c r="C17" s="3"/>
      <c r="D17" s="3"/>
      <c r="E17" s="3"/>
      <c r="F17" s="5"/>
      <c r="G17" s="3"/>
      <c r="H17" s="3"/>
      <c r="I17" s="3"/>
      <c r="J17" s="6"/>
      <c r="K17" s="7"/>
      <c r="L17" s="7"/>
      <c r="M17" s="8"/>
      <c r="N17" s="3"/>
      <c r="O17" s="3"/>
      <c r="P17" s="3"/>
      <c r="Q17" s="3"/>
      <c r="R17" s="3"/>
      <c r="S17" s="3"/>
      <c r="T17" s="6"/>
      <c r="U17" s="9"/>
      <c r="V17" s="10"/>
      <c r="W17" s="10"/>
      <c r="X17" s="9"/>
      <c r="Y17" s="9"/>
      <c r="Z17" s="9"/>
      <c r="AA17" s="3"/>
      <c r="AB17" s="3"/>
      <c r="AC17" s="3"/>
      <c r="AD17" s="3"/>
      <c r="AE17" s="3"/>
      <c r="AF17" s="3"/>
      <c r="AG17" s="3"/>
      <c r="AH17" s="3"/>
      <c r="AI17" s="3"/>
    </row>
    <row r="18" customFormat="false" ht="14.25" hidden="false" customHeight="false" outlineLevel="0" collapsed="false">
      <c r="A18" s="3"/>
      <c r="B18" s="40" t="s">
        <v>12</v>
      </c>
      <c r="C18" s="40"/>
      <c r="D18" s="40"/>
      <c r="E18" s="41" t="n">
        <f aca="false">H14</f>
        <v>79676.22</v>
      </c>
      <c r="F18" s="42"/>
      <c r="G18" s="43"/>
      <c r="H18" s="43"/>
      <c r="I18" s="43"/>
      <c r="J18" s="11"/>
      <c r="K18" s="11"/>
      <c r="L18" s="11"/>
      <c r="M18" s="44"/>
      <c r="N18" s="45"/>
      <c r="O18" s="45"/>
      <c r="P18" s="46"/>
      <c r="Q18" s="46"/>
      <c r="R18" s="46"/>
      <c r="S18" s="46"/>
      <c r="T18" s="47"/>
      <c r="U18" s="48"/>
      <c r="V18" s="49"/>
      <c r="W18" s="48"/>
      <c r="X18" s="48"/>
      <c r="Y18" s="50"/>
      <c r="Z18" s="48"/>
      <c r="AA18" s="47"/>
      <c r="AB18" s="47"/>
      <c r="AC18" s="47"/>
      <c r="AD18" s="46"/>
      <c r="AE18" s="51"/>
      <c r="AF18" s="52"/>
      <c r="AG18" s="51"/>
      <c r="AH18" s="51"/>
      <c r="AI18" s="51"/>
    </row>
    <row r="19" customFormat="false" ht="15" hidden="false" customHeight="false" outlineLevel="0" collapsed="false">
      <c r="A19" s="3"/>
      <c r="B19" s="53"/>
      <c r="C19" s="54"/>
      <c r="D19" s="54"/>
      <c r="E19" s="55"/>
      <c r="F19" s="5"/>
      <c r="G19" s="56"/>
      <c r="H19" s="57"/>
      <c r="I19" s="57"/>
      <c r="J19" s="58"/>
      <c r="K19" s="58"/>
      <c r="L19" s="58"/>
      <c r="M19" s="59"/>
      <c r="N19" s="60"/>
      <c r="O19" s="60"/>
      <c r="P19" s="61"/>
      <c r="Q19" s="62"/>
      <c r="R19" s="62"/>
      <c r="S19" s="62"/>
      <c r="T19" s="47"/>
      <c r="U19" s="49"/>
      <c r="V19" s="49"/>
      <c r="W19" s="63"/>
      <c r="X19" s="63"/>
      <c r="Y19" s="64"/>
      <c r="Z19" s="63"/>
      <c r="AA19" s="47"/>
      <c r="AB19" s="65"/>
      <c r="AC19" s="47"/>
      <c r="AD19" s="46"/>
      <c r="AE19" s="51"/>
      <c r="AF19" s="51"/>
      <c r="AG19" s="51"/>
      <c r="AH19" s="66" t="s">
        <v>13</v>
      </c>
      <c r="AI19" s="47"/>
    </row>
    <row r="20" customFormat="false" ht="15" hidden="false" customHeight="false" outlineLevel="0" collapsed="false">
      <c r="A20" s="3"/>
      <c r="B20" s="40" t="s">
        <v>14</v>
      </c>
      <c r="C20" s="40"/>
      <c r="D20" s="40"/>
      <c r="E20" s="41" t="n">
        <f aca="false">G14</f>
        <v>442400</v>
      </c>
      <c r="F20" s="66"/>
      <c r="G20" s="6"/>
      <c r="H20" s="57"/>
      <c r="I20" s="57"/>
      <c r="J20" s="58"/>
      <c r="K20" s="58"/>
      <c r="L20" s="58"/>
      <c r="M20" s="59"/>
      <c r="N20" s="60"/>
      <c r="O20" s="60"/>
      <c r="P20" s="61"/>
      <c r="Q20" s="61"/>
      <c r="R20" s="61"/>
      <c r="S20" s="61"/>
      <c r="T20" s="47"/>
      <c r="U20" s="49"/>
      <c r="V20" s="49"/>
      <c r="W20" s="63"/>
      <c r="X20" s="63"/>
      <c r="Y20" s="64"/>
      <c r="Z20" s="63"/>
      <c r="AA20" s="47"/>
      <c r="AB20" s="65"/>
      <c r="AC20" s="47"/>
      <c r="AD20" s="47"/>
      <c r="AE20" s="51"/>
      <c r="AF20" s="51"/>
      <c r="AG20" s="51"/>
      <c r="AH20" s="66"/>
      <c r="AI20" s="47"/>
    </row>
    <row r="21" customFormat="false" ht="15" hidden="false" customHeight="false" outlineLevel="0" collapsed="false">
      <c r="A21" s="3"/>
      <c r="B21" s="6"/>
      <c r="C21" s="67"/>
      <c r="D21" s="67"/>
      <c r="E21" s="67"/>
      <c r="F21" s="5"/>
      <c r="G21" s="56"/>
      <c r="H21" s="3"/>
      <c r="I21" s="3"/>
      <c r="J21" s="68"/>
      <c r="K21" s="68"/>
      <c r="L21" s="68"/>
      <c r="M21" s="68"/>
      <c r="N21" s="68"/>
      <c r="O21" s="68"/>
      <c r="P21" s="69"/>
      <c r="Q21" s="69"/>
      <c r="R21" s="69"/>
      <c r="S21" s="69"/>
      <c r="T21" s="70"/>
      <c r="U21" s="71"/>
      <c r="V21" s="71"/>
      <c r="W21" s="72"/>
      <c r="X21" s="72"/>
      <c r="Y21" s="73"/>
      <c r="Z21" s="72"/>
      <c r="AA21" s="47"/>
      <c r="AB21" s="47"/>
      <c r="AC21" s="47"/>
      <c r="AD21" s="46"/>
      <c r="AE21" s="51"/>
      <c r="AF21" s="51"/>
      <c r="AG21" s="51"/>
      <c r="AH21" s="74" t="s">
        <v>15</v>
      </c>
      <c r="AI21" s="47"/>
    </row>
    <row r="22" customFormat="false" ht="14.25" hidden="false" customHeight="false" outlineLevel="0" collapsed="false">
      <c r="A22" s="3"/>
      <c r="B22" s="6"/>
      <c r="C22" s="67"/>
      <c r="D22" s="67"/>
      <c r="E22" s="67"/>
      <c r="F22" s="74"/>
      <c r="G22" s="43"/>
      <c r="H22" s="43"/>
      <c r="I22" s="43"/>
      <c r="J22" s="11"/>
      <c r="K22" s="11"/>
      <c r="L22" s="11"/>
      <c r="M22" s="75"/>
      <c r="N22" s="76"/>
      <c r="O22" s="76"/>
      <c r="P22" s="69"/>
      <c r="Q22" s="69"/>
      <c r="R22" s="69"/>
      <c r="S22" s="69"/>
      <c r="T22" s="43"/>
      <c r="U22" s="72"/>
      <c r="V22" s="72"/>
      <c r="W22" s="72"/>
      <c r="X22" s="72"/>
      <c r="Y22" s="73"/>
      <c r="Z22" s="72"/>
      <c r="AA22" s="47"/>
      <c r="AB22" s="47"/>
      <c r="AC22" s="47"/>
      <c r="AD22" s="46"/>
      <c r="AE22" s="51"/>
      <c r="AF22" s="51"/>
      <c r="AG22" s="51"/>
      <c r="AH22" s="74"/>
      <c r="AI22" s="47"/>
    </row>
    <row r="23" customFormat="false" ht="12.75" hidden="false" customHeight="true" outlineLevel="0" collapsed="false">
      <c r="A23" s="3"/>
      <c r="B23" s="6"/>
      <c r="C23" s="67"/>
      <c r="D23" s="67"/>
      <c r="E23" s="67"/>
      <c r="F23" s="77" t="s">
        <v>16</v>
      </c>
      <c r="G23" s="43"/>
      <c r="H23" s="78" t="s">
        <v>17</v>
      </c>
      <c r="I23" s="78"/>
      <c r="J23" s="43"/>
      <c r="K23" s="79" t="s">
        <v>17</v>
      </c>
      <c r="L23" s="79"/>
      <c r="M23" s="80" t="s">
        <v>18</v>
      </c>
      <c r="N23" s="81"/>
      <c r="O23" s="81"/>
      <c r="P23" s="81"/>
      <c r="Q23" s="81"/>
      <c r="R23" s="81"/>
      <c r="S23" s="81"/>
      <c r="T23" s="47"/>
      <c r="U23" s="49"/>
      <c r="V23" s="49"/>
      <c r="W23" s="49"/>
      <c r="X23" s="49"/>
      <c r="Y23" s="82"/>
      <c r="Z23" s="49"/>
      <c r="AA23" s="47"/>
      <c r="AB23" s="47"/>
      <c r="AC23" s="47"/>
      <c r="AD23" s="46"/>
      <c r="AE23" s="51"/>
      <c r="AF23" s="51"/>
      <c r="AG23" s="51"/>
      <c r="AH23" s="74" t="s">
        <v>19</v>
      </c>
      <c r="AI23" s="47"/>
    </row>
    <row r="24" customFormat="false" ht="14.25" hidden="false" customHeight="false" outlineLevel="0" collapsed="false">
      <c r="A24" s="3"/>
      <c r="B24" s="6"/>
      <c r="C24" s="67"/>
      <c r="D24" s="67"/>
      <c r="E24" s="67"/>
      <c r="F24" s="77"/>
      <c r="G24" s="43"/>
      <c r="H24" s="78"/>
      <c r="I24" s="78"/>
      <c r="J24" s="43"/>
      <c r="K24" s="79"/>
      <c r="L24" s="79"/>
      <c r="M24" s="80"/>
      <c r="N24" s="83"/>
      <c r="O24" s="3"/>
      <c r="P24" s="3"/>
      <c r="Q24" s="84"/>
      <c r="R24" s="84"/>
      <c r="S24" s="84"/>
      <c r="T24" s="47"/>
      <c r="U24" s="48"/>
      <c r="V24" s="49"/>
      <c r="W24" s="48"/>
      <c r="X24" s="48"/>
      <c r="Y24" s="50"/>
      <c r="Z24" s="48"/>
      <c r="AA24" s="47"/>
      <c r="AB24" s="47"/>
      <c r="AC24" s="47"/>
      <c r="AD24" s="46"/>
      <c r="AE24" s="51"/>
      <c r="AF24" s="51"/>
      <c r="AG24" s="51"/>
      <c r="AH24" s="74"/>
      <c r="AI24" s="47"/>
    </row>
    <row r="25" customFormat="false" ht="14.25" hidden="false" customHeight="false" outlineLevel="0" collapsed="false">
      <c r="A25" s="3"/>
      <c r="B25" s="6"/>
      <c r="C25" s="67"/>
      <c r="D25" s="67"/>
      <c r="E25" s="67"/>
      <c r="F25" s="85"/>
      <c r="G25" s="43"/>
      <c r="H25" s="86" t="s">
        <v>20</v>
      </c>
      <c r="I25" s="86"/>
      <c r="J25" s="43"/>
      <c r="K25" s="87" t="s">
        <v>20</v>
      </c>
      <c r="L25" s="87"/>
      <c r="M25" s="80"/>
      <c r="N25" s="81"/>
      <c r="O25" s="81"/>
      <c r="P25" s="81"/>
      <c r="Q25" s="81"/>
      <c r="R25" s="81"/>
      <c r="S25" s="81"/>
      <c r="T25" s="47"/>
      <c r="U25" s="88" t="s">
        <v>10</v>
      </c>
      <c r="V25" s="88"/>
      <c r="W25" s="88"/>
      <c r="X25" s="88"/>
      <c r="Y25" s="73"/>
      <c r="Z25" s="73"/>
      <c r="AA25" s="51"/>
      <c r="AB25" s="89" t="s">
        <v>10</v>
      </c>
      <c r="AC25" s="89"/>
      <c r="AD25" s="89"/>
      <c r="AE25" s="90"/>
      <c r="AF25" s="51"/>
      <c r="AG25" s="51"/>
      <c r="AH25" s="66" t="s">
        <v>13</v>
      </c>
      <c r="AI25" s="6"/>
    </row>
    <row r="26" customFormat="false" ht="12.75" hidden="false" customHeight="true" outlineLevel="0" collapsed="false">
      <c r="A26" s="3"/>
      <c r="B26" s="6"/>
      <c r="C26" s="67"/>
      <c r="D26" s="67"/>
      <c r="E26" s="67"/>
      <c r="F26" s="42"/>
      <c r="G26" s="11"/>
      <c r="H26" s="86" t="s">
        <v>21</v>
      </c>
      <c r="I26" s="86"/>
      <c r="J26" s="43"/>
      <c r="K26" s="87" t="s">
        <v>21</v>
      </c>
      <c r="L26" s="87"/>
      <c r="M26" s="80"/>
      <c r="N26" s="46"/>
      <c r="O26" s="46"/>
      <c r="P26" s="46"/>
      <c r="Q26" s="46"/>
      <c r="R26" s="46"/>
      <c r="S26" s="46"/>
      <c r="T26" s="47"/>
      <c r="U26" s="50"/>
      <c r="V26" s="49"/>
      <c r="W26" s="48"/>
      <c r="X26" s="50"/>
      <c r="Y26" s="50"/>
      <c r="Z26" s="50"/>
      <c r="AA26" s="51"/>
      <c r="AB26" s="51"/>
      <c r="AC26" s="51"/>
      <c r="AD26" s="45"/>
      <c r="AE26" s="51"/>
      <c r="AF26" s="51"/>
      <c r="AG26" s="51"/>
      <c r="AH26" s="91" t="n">
        <v>2004</v>
      </c>
      <c r="AI26" s="92" t="n">
        <v>20583</v>
      </c>
    </row>
    <row r="27" customFormat="false" ht="24.75" hidden="false" customHeight="true" outlineLevel="0" collapsed="false">
      <c r="A27" s="3"/>
      <c r="B27" s="93" t="s">
        <v>22</v>
      </c>
      <c r="C27" s="94" t="s">
        <v>23</v>
      </c>
      <c r="D27" s="94" t="s">
        <v>24</v>
      </c>
      <c r="E27" s="94" t="s">
        <v>25</v>
      </c>
      <c r="F27" s="95" t="s">
        <v>26</v>
      </c>
      <c r="G27" s="96"/>
      <c r="H27" s="86" t="s">
        <v>27</v>
      </c>
      <c r="I27" s="86"/>
      <c r="J27" s="43"/>
      <c r="K27" s="87" t="s">
        <v>27</v>
      </c>
      <c r="L27" s="87"/>
      <c r="M27" s="97"/>
      <c r="N27" s="98" t="s">
        <v>28</v>
      </c>
      <c r="O27" s="98"/>
      <c r="P27" s="99"/>
      <c r="Q27" s="100" t="s">
        <v>29</v>
      </c>
      <c r="R27" s="100"/>
      <c r="S27" s="101"/>
      <c r="T27" s="47"/>
      <c r="U27" s="102" t="s">
        <v>30</v>
      </c>
      <c r="V27" s="103"/>
      <c r="W27" s="104"/>
      <c r="X27" s="105" t="s">
        <v>12</v>
      </c>
      <c r="Y27" s="106"/>
      <c r="Z27" s="98" t="s">
        <v>31</v>
      </c>
      <c r="AA27" s="98"/>
      <c r="AB27" s="107" t="s">
        <v>32</v>
      </c>
      <c r="AC27" s="107" t="s">
        <v>33</v>
      </c>
      <c r="AD27" s="108" t="s">
        <v>34</v>
      </c>
      <c r="AE27" s="51"/>
      <c r="AF27" s="52"/>
      <c r="AG27" s="51"/>
      <c r="AH27" s="91" t="n">
        <v>2005</v>
      </c>
      <c r="AI27" s="92" t="n">
        <v>21229</v>
      </c>
    </row>
    <row r="28" customFormat="false" ht="24.75" hidden="false" customHeight="true" outlineLevel="0" collapsed="false">
      <c r="A28" s="3"/>
      <c r="B28" s="93"/>
      <c r="C28" s="94"/>
      <c r="D28" s="94"/>
      <c r="E28" s="94"/>
      <c r="F28" s="95"/>
      <c r="G28" s="11"/>
      <c r="H28" s="86" t="s">
        <v>35</v>
      </c>
      <c r="I28" s="86"/>
      <c r="J28" s="43"/>
      <c r="K28" s="87" t="s">
        <v>36</v>
      </c>
      <c r="L28" s="87"/>
      <c r="M28" s="109"/>
      <c r="N28" s="98"/>
      <c r="O28" s="98"/>
      <c r="P28" s="99"/>
      <c r="Q28" s="110"/>
      <c r="R28" s="110"/>
      <c r="S28" s="101"/>
      <c r="T28" s="47"/>
      <c r="U28" s="102"/>
      <c r="V28" s="103"/>
      <c r="W28" s="104"/>
      <c r="X28" s="105"/>
      <c r="Y28" s="106"/>
      <c r="Z28" s="98"/>
      <c r="AA28" s="98"/>
      <c r="AB28" s="107"/>
      <c r="AC28" s="107"/>
      <c r="AD28" s="108"/>
      <c r="AE28" s="51"/>
      <c r="AF28" s="52"/>
      <c r="AG28" s="51"/>
      <c r="AH28" s="91"/>
      <c r="AI28" s="92"/>
    </row>
    <row r="29" customFormat="false" ht="14.25" hidden="false" customHeight="false" outlineLevel="0" collapsed="false">
      <c r="A29" s="3"/>
      <c r="B29" s="93"/>
      <c r="C29" s="94"/>
      <c r="D29" s="94"/>
      <c r="E29" s="94"/>
      <c r="F29" s="95"/>
      <c r="G29" s="111"/>
      <c r="H29" s="86" t="s">
        <v>37</v>
      </c>
      <c r="I29" s="86" t="s">
        <v>38</v>
      </c>
      <c r="J29" s="43"/>
      <c r="K29" s="87" t="s">
        <v>37</v>
      </c>
      <c r="L29" s="87" t="s">
        <v>38</v>
      </c>
      <c r="M29" s="112" t="n">
        <v>0</v>
      </c>
      <c r="N29" s="113" t="s">
        <v>37</v>
      </c>
      <c r="O29" s="113" t="s">
        <v>38</v>
      </c>
      <c r="P29" s="114"/>
      <c r="Q29" s="113" t="s">
        <v>37</v>
      </c>
      <c r="R29" s="113" t="s">
        <v>38</v>
      </c>
      <c r="S29" s="115"/>
      <c r="T29" s="47"/>
      <c r="U29" s="102"/>
      <c r="V29" s="103"/>
      <c r="W29" s="104"/>
      <c r="X29" s="105"/>
      <c r="Y29" s="106"/>
      <c r="Z29" s="113" t="s">
        <v>37</v>
      </c>
      <c r="AA29" s="113" t="s">
        <v>38</v>
      </c>
      <c r="AB29" s="107"/>
      <c r="AC29" s="107"/>
      <c r="AD29" s="108"/>
      <c r="AE29" s="51"/>
      <c r="AF29" s="52"/>
      <c r="AG29" s="51"/>
      <c r="AH29" s="91" t="n">
        <v>2006</v>
      </c>
      <c r="AI29" s="92" t="n">
        <v>22022</v>
      </c>
    </row>
    <row r="30" customFormat="false" ht="15" hidden="false" customHeight="false" outlineLevel="0" collapsed="false">
      <c r="A30" s="3" t="s">
        <v>39</v>
      </c>
      <c r="B30" s="116" t="s">
        <v>40</v>
      </c>
      <c r="C30" s="117" t="s">
        <v>41</v>
      </c>
      <c r="D30" s="118" t="s">
        <v>42</v>
      </c>
      <c r="E30" s="119" t="s">
        <v>43</v>
      </c>
      <c r="F30" s="120" t="s">
        <v>44</v>
      </c>
      <c r="G30" s="121"/>
      <c r="H30" s="122"/>
      <c r="I30" s="122"/>
      <c r="J30" s="123"/>
      <c r="K30" s="124"/>
      <c r="L30" s="124"/>
      <c r="M30" s="112" t="e">
        <f aca="false">+IF(OR((#REF!+#REF!)&gt;0,(#REF!+#REF!)&gt;0,(K30+L30)&gt;0),"SI","NO")</f>
        <v>#REF!</v>
      </c>
      <c r="N30" s="125" t="n">
        <f aca="false">'O_MN, PE_UTA_UGM 2023'!H4</f>
        <v>119</v>
      </c>
      <c r="O30" s="125" t="n">
        <f aca="false">'O_MN, PE_UTA_UGM 2023'!I4</f>
        <v>256</v>
      </c>
      <c r="P30" s="45"/>
      <c r="Q30" s="126" t="n">
        <f aca="false">VLOOKUP(E31,'O_MN, PE_UTA_UGM 2023'!$B$1:$I$300,5,FALSE())</f>
        <v>48.08</v>
      </c>
      <c r="R30" s="126" t="n">
        <f aca="false">VLOOKUP(E31,'O_MN, PE_UTA_UGM 2023'!$B$1:$I$300,6,FALSE())</f>
        <v>150.25</v>
      </c>
      <c r="S30" s="45"/>
      <c r="T30" s="47"/>
      <c r="U30" s="127" t="n">
        <f aca="false">(H30*N30)+(I30*O30)+((K30*N30)+(L30*O30)*1.25)</f>
        <v>0</v>
      </c>
      <c r="V30" s="128"/>
      <c r="W30" s="128"/>
      <c r="X30" s="127" t="n">
        <f aca="false">(H30*Q30)+(I30*R30)+((K30*Q30)+(L30*R30)*1.25)</f>
        <v>0</v>
      </c>
      <c r="Y30" s="129"/>
      <c r="Z30" s="130" t="e">
        <f aca="false">(#REF!+#REF!+K30)*'O_MN, PE_UTA_UGM 2023'!H4</f>
        <v>#REF!</v>
      </c>
      <c r="AA30" s="131" t="e">
        <f aca="false">(#REF!+#REF!+L30)*'O_MN, PE_UTA_UGM 2023'!I4</f>
        <v>#REF!</v>
      </c>
      <c r="AB30" s="132" t="n">
        <f aca="false">IF(ISERROR(+ROUND(#REF!*N30/#REF!,3)),0,+ROUND(#REF!*N30/#REF!,3))</f>
        <v>0</v>
      </c>
      <c r="AC30" s="132" t="n">
        <f aca="false">IF(ISERROR(+ROUND(#REF!*O30/#REF!,3)),0,+ROUND(#REF!*O30/#REF!,3))</f>
        <v>0</v>
      </c>
      <c r="AD30" s="133" t="n">
        <f aca="false">IF(AND(AB30=0,AC30=0),0,#REF!*(#REF!-(#REF!*AB30/N30))+#REF!*(#REF!-(#REF!*AC30/O30)))</f>
        <v>0</v>
      </c>
      <c r="AE30" s="51"/>
      <c r="AF30" s="52"/>
      <c r="AG30" s="51"/>
      <c r="AH30" s="91" t="n">
        <v>2007</v>
      </c>
      <c r="AI30" s="92" t="n">
        <v>22732</v>
      </c>
    </row>
    <row r="31" customFormat="false" ht="15" hidden="false" customHeight="false" outlineLevel="0" collapsed="false">
      <c r="A31" s="3"/>
      <c r="B31" s="116"/>
      <c r="C31" s="134"/>
      <c r="D31" s="135"/>
      <c r="E31" s="119" t="n">
        <f aca="false">'O_MN, PE_UTA_UGM 2023'!B4</f>
        <v>25</v>
      </c>
      <c r="F31" s="120" t="str">
        <f aca="false">'O_MN, PE_UTA_UGM 2023'!C4</f>
        <v>ABANDONO 20 años</v>
      </c>
      <c r="G31" s="121"/>
      <c r="H31" s="122"/>
      <c r="I31" s="122"/>
      <c r="J31" s="123"/>
      <c r="K31" s="124"/>
      <c r="L31" s="124"/>
      <c r="M31" s="112" t="e">
        <f aca="false">+IF(OR((#REF!+#REF!)&gt;0,(#REF!+#REF!)&gt;0,(K31+L31)&gt;0),"SI","NO")</f>
        <v>#REF!</v>
      </c>
      <c r="N31" s="136" t="n">
        <f aca="false">VLOOKUP(E32,'O_MN, PE_UTA_UGM 2023'!$B$1:$I$300,7,FALSE())</f>
        <v>0</v>
      </c>
      <c r="O31" s="136" t="n">
        <f aca="false">VLOOKUP(E32,'O_MN, PE_UTA_UGM 2023'!$B$1:$I$300,8,FALSE())</f>
        <v>0</v>
      </c>
      <c r="P31" s="45"/>
      <c r="Q31" s="126" t="n">
        <f aca="false">VLOOKUP(E32,'O_MN, PE_UTA_UGM 2023'!$B$1:$I$300,5,FALSE())</f>
        <v>1E-005</v>
      </c>
      <c r="R31" s="126" t="n">
        <f aca="false">VLOOKUP(E32,'O_MN, PE_UTA_UGM 2023'!$B$1:$I$300,6,FALSE())</f>
        <v>1E-005</v>
      </c>
      <c r="S31" s="45"/>
      <c r="T31" s="47"/>
      <c r="U31" s="127" t="n">
        <f aca="false">(H31*N31)+(I31*O31)+((K31*N31)+(L31*O31)*1.25)</f>
        <v>0</v>
      </c>
      <c r="V31" s="128"/>
      <c r="W31" s="128"/>
      <c r="X31" s="127" t="n">
        <f aca="false">(H31*Q31)+(I31*R31)+((K31*Q31)+(L31*R31)*1.25)</f>
        <v>0</v>
      </c>
      <c r="Y31" s="129"/>
      <c r="Z31" s="130" t="e">
        <f aca="false">(#REF!+#REF!+K31)*'O_MN, PE_UTA_UGM 2023'!H5</f>
        <v>#REF!</v>
      </c>
      <c r="AA31" s="131" t="e">
        <f aca="false">(#REF!+#REF!+L31)*'O_MN, PE_UTA_UGM 2023'!I5</f>
        <v>#REF!</v>
      </c>
      <c r="AB31" s="132" t="n">
        <f aca="false">IF(ISERROR(+ROUND(#REF!*N31/#REF!,3)),0,+ROUND(#REF!*N31/#REF!,3))</f>
        <v>0</v>
      </c>
      <c r="AC31" s="132" t="n">
        <f aca="false">IF(ISERROR(+ROUND(#REF!*O31/#REF!,3)),0,+ROUND(#REF!*O31/#REF!,3))</f>
        <v>0</v>
      </c>
      <c r="AD31" s="133" t="n">
        <f aca="false">IF(AND(AB31=0,AC31=0),0,#REF!*(#REF!-(#REF!*AB31/N31))+#REF!*(#REF!-(#REF!*AC31/O31)))</f>
        <v>0</v>
      </c>
      <c r="AE31" s="51"/>
      <c r="AF31" s="52"/>
      <c r="AG31" s="51"/>
      <c r="AH31" s="91" t="n">
        <v>2008</v>
      </c>
      <c r="AI31" s="92" t="n">
        <v>23765</v>
      </c>
    </row>
    <row r="32" customFormat="false" ht="15" hidden="false" customHeight="false" outlineLevel="0" collapsed="false">
      <c r="A32" s="3"/>
      <c r="B32" s="116"/>
      <c r="C32" s="134"/>
      <c r="D32" s="135"/>
      <c r="E32" s="119" t="n">
        <f aca="false">'O_MN, PE_UTA_UGM 2023'!B5</f>
        <v>296</v>
      </c>
      <c r="F32" s="120" t="str">
        <f aca="false">'O_MN, PE_UTA_UGM 2023'!C5</f>
        <v>ABETO</v>
      </c>
      <c r="G32" s="121"/>
      <c r="H32" s="122"/>
      <c r="I32" s="122"/>
      <c r="J32" s="123"/>
      <c r="K32" s="124"/>
      <c r="L32" s="124"/>
      <c r="M32" s="112" t="e">
        <f aca="false">+IF(OR((#REF!+#REF!)&gt;0,(#REF!+#REF!)&gt;0,(K32+L32)&gt;0),"SI","NO")</f>
        <v>#REF!</v>
      </c>
      <c r="N32" s="136" t="n">
        <f aca="false">VLOOKUP(E33,'O_MN, PE_UTA_UGM 2023'!$B$1:$I$300,7,FALSE())</f>
        <v>0</v>
      </c>
      <c r="O32" s="136" t="n">
        <f aca="false">VLOOKUP(E33,'O_MN, PE_UTA_UGM 2023'!$B$1:$I$300,8,FALSE())</f>
        <v>0</v>
      </c>
      <c r="P32" s="45"/>
      <c r="Q32" s="126" t="n">
        <f aca="false">VLOOKUP(E33,'O_MN, PE_UTA_UGM 2023'!$B$1:$I$300,5,FALSE())</f>
        <v>1E-005</v>
      </c>
      <c r="R32" s="126" t="n">
        <f aca="false">VLOOKUP(E33,'O_MN, PE_UTA_UGM 2023'!$B$1:$I$300,6,FALSE())</f>
        <v>1E-005</v>
      </c>
      <c r="S32" s="45"/>
      <c r="T32" s="47"/>
      <c r="U32" s="127" t="n">
        <f aca="false">(H32*N32)+(I32*O32)+((K32*N32)+(L32*O32)*1.25)</f>
        <v>0</v>
      </c>
      <c r="V32" s="128"/>
      <c r="W32" s="128"/>
      <c r="X32" s="127" t="n">
        <f aca="false">(H32*Q32)+(I32*R32)+((K32*Q32)+(L32*R32)*1.25)</f>
        <v>0</v>
      </c>
      <c r="Y32" s="129"/>
      <c r="Z32" s="130" t="e">
        <f aca="false">(#REF!+#REF!+K32)*'O_MN, PE_UTA_UGM 2023'!H6</f>
        <v>#REF!</v>
      </c>
      <c r="AA32" s="131" t="e">
        <f aca="false">(#REF!+#REF!+L32)*'O_MN, PE_UTA_UGM 2023'!I6</f>
        <v>#REF!</v>
      </c>
      <c r="AB32" s="132" t="n">
        <f aca="false">IF(ISERROR(+ROUND(#REF!*N32/#REF!,3)),0,+ROUND(#REF!*N32/#REF!,3))</f>
        <v>0</v>
      </c>
      <c r="AC32" s="132" t="n">
        <f aca="false">IF(ISERROR(+ROUND(#REF!*O32/#REF!,3)),0,+ROUND(#REF!*O32/#REF!,3))</f>
        <v>0</v>
      </c>
      <c r="AD32" s="133" t="n">
        <f aca="false">IF(AND(AB32=0,AC32=0),0,#REF!*(#REF!-(#REF!*AB32/N32))+#REF!*(#REF!-(#REF!*AC32/O32)))</f>
        <v>0</v>
      </c>
      <c r="AE32" s="51"/>
      <c r="AF32" s="52"/>
      <c r="AG32" s="51"/>
      <c r="AH32" s="91" t="n">
        <v>2009</v>
      </c>
      <c r="AI32" s="92" t="n">
        <v>24906</v>
      </c>
    </row>
    <row r="33" customFormat="false" ht="15" hidden="false" customHeight="false" outlineLevel="0" collapsed="false">
      <c r="A33" s="3"/>
      <c r="B33" s="116"/>
      <c r="C33" s="134"/>
      <c r="D33" s="135"/>
      <c r="E33" s="119" t="n">
        <f aca="false">'O_MN, PE_UTA_UGM 2023'!B6</f>
        <v>228</v>
      </c>
      <c r="F33" s="120" t="str">
        <f aca="false">'O_MN, PE_UTA_UGM 2023'!C6</f>
        <v>ACACIA</v>
      </c>
      <c r="G33" s="121"/>
      <c r="H33" s="122"/>
      <c r="I33" s="122"/>
      <c r="J33" s="123"/>
      <c r="K33" s="124"/>
      <c r="L33" s="124"/>
      <c r="M33" s="112" t="e">
        <f aca="false">+IF(OR((#REF!+#REF!)&gt;0,(#REF!+#REF!)&gt;0,(K33+L33)&gt;0),"SI","NO")</f>
        <v>#REF!</v>
      </c>
      <c r="N33" s="136" t="n">
        <f aca="false">VLOOKUP(E34,'O_MN, PE_UTA_UGM 2023'!$B$1:$I$300,7,FALSE())</f>
        <v>0</v>
      </c>
      <c r="O33" s="136" t="n">
        <f aca="false">VLOOKUP(E34,'O_MN, PE_UTA_UGM 2023'!$B$1:$I$300,8,FALSE())</f>
        <v>7200</v>
      </c>
      <c r="P33" s="45"/>
      <c r="Q33" s="126" t="n">
        <f aca="false">VLOOKUP(E34,'O_MN, PE_UTA_UGM 2023'!$B$1:$I$300,5,FALSE())</f>
        <v>360.61</v>
      </c>
      <c r="R33" s="126" t="n">
        <f aca="false">VLOOKUP(E34,'O_MN, PE_UTA_UGM 2023'!$B$1:$I$300,6,FALSE())</f>
        <v>1352.28</v>
      </c>
      <c r="S33" s="45"/>
      <c r="T33" s="47"/>
      <c r="U33" s="127" t="n">
        <f aca="false">(H33*N33)+(I33*O33)+((K33*N33)+(L33*O33)*1.25)</f>
        <v>0</v>
      </c>
      <c r="V33" s="128"/>
      <c r="W33" s="128"/>
      <c r="X33" s="127" t="n">
        <f aca="false">(H33*Q33)+(I33*R33)+((K33*Q33)+(L33*R33)*1.25)</f>
        <v>0</v>
      </c>
      <c r="Y33" s="129"/>
      <c r="Z33" s="130" t="e">
        <f aca="false">(#REF!+#REF!+K33)*'O_MN, PE_UTA_UGM 2023'!H7</f>
        <v>#REF!</v>
      </c>
      <c r="AA33" s="131" t="e">
        <f aca="false">(#REF!+#REF!+L33)*'O_MN, PE_UTA_UGM 2023'!I7</f>
        <v>#REF!</v>
      </c>
      <c r="AB33" s="132" t="n">
        <f aca="false">IF(ISERROR(+ROUND(#REF!*N33/#REF!,3)),0,+ROUND(#REF!*N33/#REF!,3))</f>
        <v>0</v>
      </c>
      <c r="AC33" s="132" t="n">
        <f aca="false">IF(ISERROR(+ROUND(#REF!*O33/#REF!,3)),0,+ROUND(#REF!*O33/#REF!,3))</f>
        <v>0</v>
      </c>
      <c r="AD33" s="133" t="n">
        <f aca="false">IF(AND(AB33=0,AC33=0),0,#REF!*(#REF!-(#REF!*AB33/N33))+#REF!*(#REF!-(#REF!*AC33/O33)))</f>
        <v>0</v>
      </c>
      <c r="AE33" s="51"/>
      <c r="AF33" s="52"/>
      <c r="AG33" s="51"/>
      <c r="AH33" s="91" t="n">
        <v>2010</v>
      </c>
      <c r="AI33" s="92" t="n">
        <v>26305</v>
      </c>
    </row>
    <row r="34" customFormat="false" ht="15" hidden="false" customHeight="false" outlineLevel="0" collapsed="false">
      <c r="A34" s="3"/>
      <c r="B34" s="116"/>
      <c r="C34" s="134"/>
      <c r="D34" s="135"/>
      <c r="E34" s="119" t="n">
        <f aca="false">'O_MN, PE_UTA_UGM 2023'!B7</f>
        <v>166</v>
      </c>
      <c r="F34" s="120" t="str">
        <f aca="false">'O_MN, PE_UTA_UGM 2023'!C7</f>
        <v>ACELGA</v>
      </c>
      <c r="G34" s="121"/>
      <c r="H34" s="122"/>
      <c r="I34" s="122"/>
      <c r="J34" s="123"/>
      <c r="K34" s="124"/>
      <c r="L34" s="124"/>
      <c r="M34" s="112" t="e">
        <f aca="false">+IF(OR((#REF!+#REF!)&gt;0,(#REF!+#REF!)&gt;0,(K34+L34)&gt;0),"SI","NO")</f>
        <v>#REF!</v>
      </c>
      <c r="N34" s="136" t="n">
        <f aca="false">VLOOKUP(E35,'O_MN, PE_UTA_UGM 2023'!$B$1:$I$300,7,FALSE())</f>
        <v>0</v>
      </c>
      <c r="O34" s="136" t="n">
        <f aca="false">VLOOKUP(E35,'O_MN, PE_UTA_UGM 2023'!$B$1:$I$300,8,FALSE())</f>
        <v>5200</v>
      </c>
      <c r="P34" s="45"/>
      <c r="Q34" s="126" t="n">
        <f aca="false">VLOOKUP(E35,'O_MN, PE_UTA_UGM 2023'!$B$1:$I$300,5,FALSE())</f>
        <v>360.61</v>
      </c>
      <c r="R34" s="126" t="n">
        <f aca="false">VLOOKUP(E35,'O_MN, PE_UTA_UGM 2023'!$B$1:$I$300,6,FALSE())</f>
        <v>1352.28</v>
      </c>
      <c r="S34" s="45"/>
      <c r="T34" s="47"/>
      <c r="U34" s="127" t="n">
        <f aca="false">(H34*N34)+(I34*O34)+((K34*N34)+(L34*O34)*1.25)</f>
        <v>0</v>
      </c>
      <c r="V34" s="128"/>
      <c r="W34" s="128"/>
      <c r="X34" s="127" t="n">
        <f aca="false">(H34*Q34)+(I34*R34)+((K34*Q34)+(L34*R34)*1.25)</f>
        <v>0</v>
      </c>
      <c r="Y34" s="129"/>
      <c r="Z34" s="130" t="e">
        <f aca="false">(#REF!+#REF!+K34)*'O_MN, PE_UTA_UGM 2023'!H8</f>
        <v>#REF!</v>
      </c>
      <c r="AA34" s="131" t="e">
        <f aca="false">(#REF!+#REF!+L34)*'O_MN, PE_UTA_UGM 2023'!I8</f>
        <v>#REF!</v>
      </c>
      <c r="AB34" s="132" t="n">
        <f aca="false">IF(ISERROR(+ROUND(#REF!*N34/#REF!,3)),0,+ROUND(#REF!*N34/#REF!,3))</f>
        <v>0</v>
      </c>
      <c r="AC34" s="132" t="n">
        <f aca="false">IF(ISERROR(+ROUND(#REF!*O34/#REF!,3)),0,+ROUND(#REF!*O34/#REF!,3))</f>
        <v>0</v>
      </c>
      <c r="AD34" s="133" t="n">
        <f aca="false">IF(AND(AB34=0,AC34=0),0,#REF!*(#REF!-(#REF!*AB34/N34))+#REF!*(#REF!-(#REF!*AC34/O34)))</f>
        <v>0</v>
      </c>
      <c r="AE34" s="51"/>
      <c r="AF34" s="52"/>
      <c r="AG34" s="51"/>
      <c r="AH34" s="91" t="n">
        <v>2011</v>
      </c>
      <c r="AI34" s="92" t="n">
        <v>27503</v>
      </c>
    </row>
    <row r="35" customFormat="false" ht="15" hidden="false" customHeight="false" outlineLevel="0" collapsed="false">
      <c r="A35" s="3"/>
      <c r="B35" s="116"/>
      <c r="C35" s="134"/>
      <c r="D35" s="135"/>
      <c r="E35" s="119" t="n">
        <f aca="false">'O_MN, PE_UTA_UGM 2023'!B8</f>
        <v>181</v>
      </c>
      <c r="F35" s="120" t="str">
        <f aca="false">'O_MN, PE_UTA_UGM 2023'!C8</f>
        <v>ACHICORIA</v>
      </c>
      <c r="G35" s="121"/>
      <c r="H35" s="122"/>
      <c r="I35" s="122"/>
      <c r="J35" s="123"/>
      <c r="K35" s="124"/>
      <c r="L35" s="124"/>
      <c r="M35" s="112" t="e">
        <f aca="false">+IF(OR((#REF!+#REF!)&gt;0,(#REF!+#REF!)&gt;0,(K35+L35)&gt;0),"SI","NO")</f>
        <v>#REF!</v>
      </c>
      <c r="N35" s="136" t="n">
        <f aca="false">VLOOKUP(E36,'O_MN, PE_UTA_UGM 2023'!$B$1:$I$300,7,FALSE())</f>
        <v>0</v>
      </c>
      <c r="O35" s="136" t="n">
        <f aca="false">VLOOKUP(E36,'O_MN, PE_UTA_UGM 2023'!$B$1:$I$300,8,FALSE())</f>
        <v>5200</v>
      </c>
      <c r="P35" s="45"/>
      <c r="Q35" s="126" t="n">
        <f aca="false">VLOOKUP(E36,'O_MN, PE_UTA_UGM 2023'!$B$1:$I$300,5,FALSE())</f>
        <v>114.19</v>
      </c>
      <c r="R35" s="126" t="n">
        <f aca="false">VLOOKUP(E36,'O_MN, PE_UTA_UGM 2023'!$B$1:$I$300,6,FALSE())</f>
        <v>240.4</v>
      </c>
      <c r="S35" s="45"/>
      <c r="T35" s="47"/>
      <c r="U35" s="127" t="n">
        <f aca="false">(H35*N35)+(I35*O35)+((K35*N35)+(L35*O35)*1.25)</f>
        <v>0</v>
      </c>
      <c r="V35" s="128"/>
      <c r="W35" s="128"/>
      <c r="X35" s="127" t="n">
        <f aca="false">(H35*Q35)+(I35*R35)+((K35*Q35)+(L35*R35)*1.25)</f>
        <v>0</v>
      </c>
      <c r="Y35" s="129"/>
      <c r="Z35" s="130" t="e">
        <f aca="false">(#REF!+#REF!+K35)*'O_MN, PE_UTA_UGM 2023'!H9</f>
        <v>#REF!</v>
      </c>
      <c r="AA35" s="131" t="e">
        <f aca="false">(#REF!+#REF!+L35)*'O_MN, PE_UTA_UGM 2023'!I9</f>
        <v>#REF!</v>
      </c>
      <c r="AB35" s="132" t="n">
        <f aca="false">IF(ISERROR(+ROUND(#REF!*N35/#REF!,3)),0,+ROUND(#REF!*N35/#REF!,3))</f>
        <v>0</v>
      </c>
      <c r="AC35" s="132" t="n">
        <f aca="false">IF(ISERROR(+ROUND(#REF!*O35/#REF!,3)),0,+ROUND(#REF!*O35/#REF!,3))</f>
        <v>0</v>
      </c>
      <c r="AD35" s="133" t="n">
        <f aca="false">IF(AND(AB35=0,AC35=0),0,#REF!*(#REF!-(#REF!*AB35/N35))+#REF!*(#REF!-(#REF!*AC35/O35)))</f>
        <v>0</v>
      </c>
      <c r="AE35" s="51"/>
      <c r="AF35" s="52"/>
      <c r="AG35" s="51"/>
      <c r="AH35" s="91" t="n">
        <v>2012</v>
      </c>
      <c r="AI35" s="92" t="n">
        <v>27907</v>
      </c>
    </row>
    <row r="36" customFormat="false" ht="15" hidden="false" customHeight="false" outlineLevel="0" collapsed="false">
      <c r="A36" s="3"/>
      <c r="B36" s="116"/>
      <c r="C36" s="134"/>
      <c r="D36" s="135"/>
      <c r="E36" s="119" t="n">
        <f aca="false">'O_MN, PE_UTA_UGM 2023'!B9</f>
        <v>138</v>
      </c>
      <c r="F36" s="120" t="str">
        <f aca="false">'O_MN, PE_UTA_UGM 2023'!C9</f>
        <v>ADORMIDERA</v>
      </c>
      <c r="G36" s="121"/>
      <c r="H36" s="122"/>
      <c r="I36" s="122"/>
      <c r="J36" s="123"/>
      <c r="K36" s="124"/>
      <c r="L36" s="124"/>
      <c r="M36" s="112" t="e">
        <f aca="false">+IF(OR((#REF!+#REF!)&gt;0,(#REF!+#REF!)&gt;0,(K36+L36)&gt;0),"SI","NO")</f>
        <v>#REF!</v>
      </c>
      <c r="N36" s="136" t="n">
        <f aca="false">VLOOKUP(E37,'O_MN, PE_UTA_UGM 2023'!$B$1:$I$300,7,FALSE())</f>
        <v>1000</v>
      </c>
      <c r="O36" s="136" t="n">
        <f aca="false">VLOOKUP(E37,'O_MN, PE_UTA_UGM 2023'!$B$1:$I$300,8,FALSE())</f>
        <v>3800</v>
      </c>
      <c r="P36" s="45"/>
      <c r="Q36" s="126" t="n">
        <f aca="false">VLOOKUP(E37,'O_MN, PE_UTA_UGM 2023'!$B$1:$I$300,5,FALSE())</f>
        <v>114.19</v>
      </c>
      <c r="R36" s="126" t="n">
        <f aca="false">VLOOKUP(E37,'O_MN, PE_UTA_UGM 2023'!$B$1:$I$300,6,FALSE())</f>
        <v>240.4</v>
      </c>
      <c r="S36" s="45"/>
      <c r="T36" s="47"/>
      <c r="U36" s="127" t="n">
        <f aca="false">(H36*N36)+(I36*O36)+((K36*N36)+(L36*O36)*1.25)</f>
        <v>0</v>
      </c>
      <c r="V36" s="128"/>
      <c r="W36" s="128"/>
      <c r="X36" s="127" t="n">
        <f aca="false">(H36*Q36)+(I36*R36)+((K36*Q36)+(L36*R36)*1.25)</f>
        <v>0</v>
      </c>
      <c r="Y36" s="129"/>
      <c r="Z36" s="130" t="e">
        <f aca="false">(#REF!+#REF!+K36)*'O_MN, PE_UTA_UGM 2023'!H10</f>
        <v>#REF!</v>
      </c>
      <c r="AA36" s="131" t="e">
        <f aca="false">(#REF!+#REF!+L36)*'O_MN, PE_UTA_UGM 2023'!I10</f>
        <v>#REF!</v>
      </c>
      <c r="AB36" s="132" t="n">
        <f aca="false">IF(ISERROR(+ROUND(#REF!*N36/#REF!,3)),0,+ROUND(#REF!*N36/#REF!,3))</f>
        <v>0</v>
      </c>
      <c r="AC36" s="132" t="n">
        <f aca="false">IF(ISERROR(+ROUND(#REF!*O36/#REF!,3)),0,+ROUND(#REF!*O36/#REF!,3))</f>
        <v>0</v>
      </c>
      <c r="AD36" s="133" t="n">
        <f aca="false">IF(AND(AB36=0,AC36=0),0,#REF!*(#REF!-(#REF!*AB36/N36))+#REF!*(#REF!-(#REF!*AC36/O36)))</f>
        <v>0</v>
      </c>
      <c r="AE36" s="51"/>
      <c r="AF36" s="52"/>
      <c r="AG36" s="51"/>
      <c r="AH36" s="91" t="n">
        <v>2013</v>
      </c>
      <c r="AI36" s="92" t="n">
        <v>28278</v>
      </c>
    </row>
    <row r="37" customFormat="false" ht="15" hidden="false" customHeight="false" outlineLevel="0" collapsed="false">
      <c r="A37" s="3"/>
      <c r="B37" s="116"/>
      <c r="C37" s="134"/>
      <c r="D37" s="135"/>
      <c r="E37" s="119" t="n">
        <f aca="false">'O_MN, PE_UTA_UGM 2023'!B10</f>
        <v>308</v>
      </c>
      <c r="F37" s="120" t="str">
        <f aca="false">'O_MN, PE_UTA_UGM 2023'!C10</f>
        <v>AGRIMONIA</v>
      </c>
      <c r="G37" s="121"/>
      <c r="H37" s="122"/>
      <c r="I37" s="122"/>
      <c r="J37" s="123"/>
      <c r="K37" s="124"/>
      <c r="L37" s="124"/>
      <c r="M37" s="112" t="e">
        <f aca="false">+IF(OR((#REF!+#REF!)&gt;0,(#REF!+#REF!)&gt;0,(K37+L37)&gt;0),"SI","NO")</f>
        <v>#REF!</v>
      </c>
      <c r="N37" s="136" t="n">
        <f aca="false">VLOOKUP(E38,'O_MN, PE_UTA_UGM 2023'!$B$1:$I$300,7,FALSE())</f>
        <v>769.21</v>
      </c>
      <c r="O37" s="136" t="n">
        <f aca="false">VLOOKUP(E38,'O_MN, PE_UTA_UGM 2023'!$B$1:$I$300,8,FALSE())</f>
        <v>2400</v>
      </c>
      <c r="P37" s="45"/>
      <c r="Q37" s="126" t="n">
        <f aca="false">VLOOKUP(E38,'O_MN, PE_UTA_UGM 2023'!$B$1:$I$300,5,FALSE())</f>
        <v>114.19</v>
      </c>
      <c r="R37" s="126" t="n">
        <f aca="false">VLOOKUP(E38,'O_MN, PE_UTA_UGM 2023'!$B$1:$I$300,6,FALSE())</f>
        <v>270.46</v>
      </c>
      <c r="S37" s="45"/>
      <c r="T37" s="47"/>
      <c r="U37" s="127" t="n">
        <f aca="false">(H37*N37)+(I37*O37)+((K37*N37)+(L37*O37)*1.25)</f>
        <v>0</v>
      </c>
      <c r="V37" s="128"/>
      <c r="W37" s="128"/>
      <c r="X37" s="127" t="n">
        <f aca="false">(H37*Q37)+(I37*R37)+((K37*Q37)+(L37*R37)*1.25)</f>
        <v>0</v>
      </c>
      <c r="Y37" s="129"/>
      <c r="Z37" s="130" t="e">
        <f aca="false">(#REF!+#REF!+K37)*'O_MN, PE_UTA_UGM 2023'!H11</f>
        <v>#REF!</v>
      </c>
      <c r="AA37" s="131" t="e">
        <f aca="false">(#REF!+#REF!+L37)*'O_MN, PE_UTA_UGM 2023'!I11</f>
        <v>#REF!</v>
      </c>
      <c r="AB37" s="132" t="n">
        <f aca="false">IF(ISERROR(+ROUND(#REF!*N37/#REF!,3)),0,+ROUND(#REF!*N37/#REF!,3))</f>
        <v>0</v>
      </c>
      <c r="AC37" s="132" t="n">
        <f aca="false">IF(ISERROR(+ROUND(#REF!*O37/#REF!,3)),0,+ROUND(#REF!*O37/#REF!,3))</f>
        <v>0</v>
      </c>
      <c r="AD37" s="133" t="n">
        <f aca="false">IF(AND(AB37=0,AC37=0),0,#REF!*(#REF!-(#REF!*AB37/N37))+#REF!*(#REF!-(#REF!*AC37/O37)))</f>
        <v>0</v>
      </c>
      <c r="AE37" s="51"/>
      <c r="AF37" s="52"/>
      <c r="AG37" s="51"/>
      <c r="AH37" s="91" t="n">
        <v>2014</v>
      </c>
      <c r="AI37" s="92" t="n">
        <v>28165</v>
      </c>
    </row>
    <row r="38" customFormat="false" ht="15" hidden="false" customHeight="false" outlineLevel="0" collapsed="false">
      <c r="A38" s="3"/>
      <c r="B38" s="116"/>
      <c r="C38" s="134"/>
      <c r="D38" s="135"/>
      <c r="E38" s="119" t="n">
        <f aca="false">'O_MN, PE_UTA_UGM 2023'!B11</f>
        <v>70</v>
      </c>
      <c r="F38" s="120" t="str">
        <f aca="false">'O_MN, PE_UTA_UGM 2023'!C11</f>
        <v>AGROSTIS</v>
      </c>
      <c r="G38" s="121"/>
      <c r="H38" s="122"/>
      <c r="I38" s="122"/>
      <c r="J38" s="123"/>
      <c r="K38" s="124"/>
      <c r="L38" s="124"/>
      <c r="M38" s="112" t="e">
        <f aca="false">+IF(OR((#REF!+#REF!)&gt;0,(#REF!+#REF!)&gt;0,(K38+L38)&gt;0),"SI","NO")</f>
        <v>#REF!</v>
      </c>
      <c r="N38" s="136" t="n">
        <f aca="false">VLOOKUP(E39,'O_MN, PE_UTA_UGM 2023'!$B$1:$I$300,7,FALSE())</f>
        <v>0</v>
      </c>
      <c r="O38" s="136" t="n">
        <f aca="false">VLOOKUP(E39,'O_MN, PE_UTA_UGM 2023'!$B$1:$I$300,8,FALSE())</f>
        <v>0</v>
      </c>
      <c r="P38" s="45"/>
      <c r="Q38" s="126" t="n">
        <f aca="false">VLOOKUP(E39,'O_MN, PE_UTA_UGM 2023'!$B$1:$I$300,5,FALSE())</f>
        <v>1E-005</v>
      </c>
      <c r="R38" s="126" t="n">
        <f aca="false">VLOOKUP(E39,'O_MN, PE_UTA_UGM 2023'!$B$1:$I$300,6,FALSE())</f>
        <v>1E-005</v>
      </c>
      <c r="S38" s="45"/>
      <c r="T38" s="47"/>
      <c r="U38" s="127" t="n">
        <f aca="false">(H38*N38)+(I38*O38)+((K38*N38)+(L38*O38)*1.25)</f>
        <v>0</v>
      </c>
      <c r="V38" s="128"/>
      <c r="W38" s="128"/>
      <c r="X38" s="127" t="n">
        <f aca="false">(H38*Q38)+(I38*R38)+((K38*Q38)+(L38*R38)*1.25)</f>
        <v>0</v>
      </c>
      <c r="Y38" s="129"/>
      <c r="Z38" s="130" t="e">
        <f aca="false">(#REF!+#REF!+K38)*'O_MN, PE_UTA_UGM 2023'!H12</f>
        <v>#REF!</v>
      </c>
      <c r="AA38" s="131" t="e">
        <f aca="false">(#REF!+#REF!+L38)*'O_MN, PE_UTA_UGM 2023'!I12</f>
        <v>#REF!</v>
      </c>
      <c r="AB38" s="132" t="n">
        <f aca="false">IF(ISERROR(+ROUND(#REF!*N38/#REF!,3)),0,+ROUND(#REF!*N38/#REF!,3))</f>
        <v>0</v>
      </c>
      <c r="AC38" s="132" t="n">
        <f aca="false">IF(ISERROR(+ROUND(#REF!*O38/#REF!,3)),0,+ROUND(#REF!*O38/#REF!,3))</f>
        <v>0</v>
      </c>
      <c r="AD38" s="133" t="n">
        <f aca="false">IF(AND(AB38=0,AC38=0),0,#REF!*(#REF!-(#REF!*AB38/N38))+#REF!*(#REF!-(#REF!*AC38/O38)))</f>
        <v>0</v>
      </c>
      <c r="AE38" s="51"/>
      <c r="AF38" s="52"/>
      <c r="AG38" s="51"/>
      <c r="AH38" s="91" t="n">
        <v>2015</v>
      </c>
      <c r="AI38" s="92" t="n">
        <v>28051.2</v>
      </c>
    </row>
    <row r="39" customFormat="false" ht="15" hidden="false" customHeight="false" outlineLevel="0" collapsed="false">
      <c r="A39" s="3"/>
      <c r="B39" s="116"/>
      <c r="C39" s="134"/>
      <c r="D39" s="135"/>
      <c r="E39" s="119" t="n">
        <f aca="false">'O_MN, PE_UTA_UGM 2023'!B12</f>
        <v>229</v>
      </c>
      <c r="F39" s="120" t="str">
        <f aca="false">'O_MN, PE_UTA_UGM 2023'!C12</f>
        <v>AILANTHUS</v>
      </c>
      <c r="G39" s="121"/>
      <c r="H39" s="122"/>
      <c r="I39" s="122"/>
      <c r="J39" s="123"/>
      <c r="K39" s="124"/>
      <c r="L39" s="124"/>
      <c r="M39" s="112" t="e">
        <f aca="false">+IF(OR((#REF!+#REF!)&gt;0,(#REF!+#REF!)&gt;0,(K39+L39)&gt;0),"SI","NO")</f>
        <v>#REF!</v>
      </c>
      <c r="N39" s="136" t="n">
        <f aca="false">VLOOKUP(E40,'O_MN, PE_UTA_UGM 2023'!$B$1:$I$300,7,FALSE())</f>
        <v>1000</v>
      </c>
      <c r="O39" s="136" t="n">
        <f aca="false">VLOOKUP(E40,'O_MN, PE_UTA_UGM 2023'!$B$1:$I$300,8,FALSE())</f>
        <v>3800</v>
      </c>
      <c r="P39" s="45"/>
      <c r="Q39" s="126" t="n">
        <f aca="false">VLOOKUP(E40,'O_MN, PE_UTA_UGM 2023'!$B$1:$I$300,5,FALSE())</f>
        <v>114.19</v>
      </c>
      <c r="R39" s="126" t="n">
        <f aca="false">VLOOKUP(E40,'O_MN, PE_UTA_UGM 2023'!$B$1:$I$300,6,FALSE())</f>
        <v>240.4</v>
      </c>
      <c r="S39" s="45"/>
      <c r="T39" s="47"/>
      <c r="U39" s="127" t="n">
        <f aca="false">(H39*N39)+(I39*O39)+((K39*N39)+(L39*O39)*1.25)</f>
        <v>0</v>
      </c>
      <c r="V39" s="128"/>
      <c r="W39" s="128"/>
      <c r="X39" s="127" t="n">
        <f aca="false">(H39*Q39)+(I39*R39)+((K39*Q39)+(L39*R39)*1.25)</f>
        <v>0</v>
      </c>
      <c r="Y39" s="129"/>
      <c r="Z39" s="130" t="e">
        <f aca="false">(#REF!+#REF!+K39)*'O_MN, PE_UTA_UGM 2023'!H13</f>
        <v>#REF!</v>
      </c>
      <c r="AA39" s="131" t="e">
        <f aca="false">(#REF!+#REF!+L39)*'O_MN, PE_UTA_UGM 2023'!I13</f>
        <v>#REF!</v>
      </c>
      <c r="AB39" s="132" t="n">
        <f aca="false">IF(ISERROR(+ROUND(#REF!*N39/#REF!,3)),0,+ROUND(#REF!*N39/#REF!,3))</f>
        <v>0</v>
      </c>
      <c r="AC39" s="132" t="n">
        <f aca="false">IF(ISERROR(+ROUND(#REF!*O39/#REF!,3)),0,+ROUND(#REF!*O39/#REF!,3))</f>
        <v>0</v>
      </c>
      <c r="AD39" s="133" t="n">
        <f aca="false">IF(AND(AB39=0,AC39=0),0,#REF!*(#REF!-(#REF!*AB39/N39))+#REF!*(#REF!-(#REF!*AC39/O39)))</f>
        <v>0</v>
      </c>
      <c r="AE39" s="51"/>
      <c r="AF39" s="52"/>
      <c r="AG39" s="51"/>
      <c r="AH39" s="91" t="n">
        <v>2016</v>
      </c>
      <c r="AI39" s="92" t="n">
        <v>28396.56</v>
      </c>
    </row>
    <row r="40" customFormat="false" ht="15" hidden="false" customHeight="false" outlineLevel="0" collapsed="false">
      <c r="A40" s="3"/>
      <c r="B40" s="116"/>
      <c r="C40" s="134"/>
      <c r="D40" s="135"/>
      <c r="E40" s="119" t="n">
        <f aca="false">'O_MN, PE_UTA_UGM 2023'!B13</f>
        <v>251</v>
      </c>
      <c r="F40" s="120" t="str">
        <f aca="false">'O_MN, PE_UTA_UGM 2023'!C13</f>
        <v>AJEDREA</v>
      </c>
      <c r="G40" s="121"/>
      <c r="H40" s="122"/>
      <c r="I40" s="122"/>
      <c r="J40" s="123"/>
      <c r="K40" s="124"/>
      <c r="L40" s="124"/>
      <c r="M40" s="112" t="e">
        <f aca="false">+IF(OR((#REF!+#REF!)&gt;0,(#REF!+#REF!)&gt;0,(K40+L40)&gt;0),"SI","NO")</f>
        <v>#REF!</v>
      </c>
      <c r="N40" s="136" t="n">
        <f aca="false">VLOOKUP(E41,'O_MN, PE_UTA_UGM 2023'!$B$1:$I$300,7,FALSE())</f>
        <v>1000</v>
      </c>
      <c r="O40" s="136" t="n">
        <f aca="false">VLOOKUP(E41,'O_MN, PE_UTA_UGM 2023'!$B$1:$I$300,8,FALSE())</f>
        <v>3800</v>
      </c>
      <c r="P40" s="45"/>
      <c r="Q40" s="126" t="n">
        <f aca="false">VLOOKUP(E41,'O_MN, PE_UTA_UGM 2023'!$B$1:$I$300,5,FALSE())</f>
        <v>450.76</v>
      </c>
      <c r="R40" s="126" t="n">
        <f aca="false">VLOOKUP(E41,'O_MN, PE_UTA_UGM 2023'!$B$1:$I$300,6,FALSE())</f>
        <v>721.21</v>
      </c>
      <c r="S40" s="45"/>
      <c r="T40" s="47"/>
      <c r="U40" s="127" t="n">
        <f aca="false">(H40*N40)+(I40*O40)+((K40*N40)+(L40*O40)*1.25)</f>
        <v>0</v>
      </c>
      <c r="V40" s="128"/>
      <c r="W40" s="128"/>
      <c r="X40" s="127" t="n">
        <f aca="false">(H40*Q40)+(I40*R40)+((K40*Q40)+(L40*R40)*1.25)</f>
        <v>0</v>
      </c>
      <c r="Y40" s="129"/>
      <c r="Z40" s="130" t="e">
        <f aca="false">(#REF!+#REF!+K40)*'O_MN, PE_UTA_UGM 2023'!H14</f>
        <v>#REF!</v>
      </c>
      <c r="AA40" s="131" t="e">
        <f aca="false">(#REF!+#REF!+L40)*'O_MN, PE_UTA_UGM 2023'!I14</f>
        <v>#REF!</v>
      </c>
      <c r="AB40" s="132" t="n">
        <f aca="false">IF(ISERROR(+ROUND(#REF!*N40/#REF!,3)),0,+ROUND(#REF!*N40/#REF!,3))</f>
        <v>0</v>
      </c>
      <c r="AC40" s="132" t="n">
        <f aca="false">IF(ISERROR(+ROUND(#REF!*O40/#REF!,3)),0,+ROUND(#REF!*O40/#REF!,3))</f>
        <v>0</v>
      </c>
      <c r="AD40" s="133" t="n">
        <f aca="false">IF(AND(AB40=0,AC40=0),0,#REF!*(#REF!-(#REF!*AB40/N40))+#REF!*(#REF!-(#REF!*AC40/O40)))</f>
        <v>0</v>
      </c>
      <c r="AE40" s="51"/>
      <c r="AF40" s="52"/>
      <c r="AG40" s="51"/>
      <c r="AH40" s="137" t="n">
        <v>2017</v>
      </c>
      <c r="AI40" s="45" t="n">
        <v>28549.87</v>
      </c>
    </row>
    <row r="41" customFormat="false" ht="15" hidden="false" customHeight="false" outlineLevel="0" collapsed="false">
      <c r="A41" s="3"/>
      <c r="B41" s="116"/>
      <c r="C41" s="134"/>
      <c r="D41" s="135"/>
      <c r="E41" s="119" t="n">
        <f aca="false">'O_MN, PE_UTA_UGM 2023'!B14</f>
        <v>284</v>
      </c>
      <c r="F41" s="120" t="str">
        <f aca="false">'O_MN, PE_UTA_UGM 2023'!C14</f>
        <v>AJENJO</v>
      </c>
      <c r="G41" s="121"/>
      <c r="H41" s="122"/>
      <c r="I41" s="122"/>
      <c r="J41" s="123"/>
      <c r="K41" s="124"/>
      <c r="L41" s="124"/>
      <c r="M41" s="112" t="e">
        <f aca="false">+IF(OR((#REF!+#REF!)&gt;0,(#REF!+#REF!)&gt;0,(K41+L41)&gt;0),"SI","NO")</f>
        <v>#REF!</v>
      </c>
      <c r="N41" s="136" t="n">
        <f aca="false">VLOOKUP(E42,'O_MN, PE_UTA_UGM 2023'!$B$1:$I$300,7,FALSE())</f>
        <v>0</v>
      </c>
      <c r="O41" s="136" t="n">
        <f aca="false">VLOOKUP(E42,'O_MN, PE_UTA_UGM 2023'!$B$1:$I$300,8,FALSE())</f>
        <v>7200</v>
      </c>
      <c r="P41" s="45"/>
      <c r="Q41" s="126" t="n">
        <f aca="false">VLOOKUP(E42,'O_MN, PE_UTA_UGM 2023'!$B$1:$I$300,5,FALSE())</f>
        <v>360.61</v>
      </c>
      <c r="R41" s="126" t="n">
        <f aca="false">VLOOKUP(E42,'O_MN, PE_UTA_UGM 2023'!$B$1:$I$300,6,FALSE())</f>
        <v>1352.28</v>
      </c>
      <c r="S41" s="45"/>
      <c r="T41" s="47"/>
      <c r="U41" s="127" t="n">
        <f aca="false">(H41*N41)+(I41*O41)+((K41*N41)+(L41*O41)*1.25)</f>
        <v>0</v>
      </c>
      <c r="V41" s="128"/>
      <c r="W41" s="128"/>
      <c r="X41" s="127" t="n">
        <f aca="false">(H41*Q41)+(I41*R41)+((K41*Q41)+(L41*R41)*1.25)</f>
        <v>0</v>
      </c>
      <c r="Y41" s="129"/>
      <c r="Z41" s="130" t="e">
        <f aca="false">(#REF!+#REF!+K41)*'O_MN, PE_UTA_UGM 2023'!H15</f>
        <v>#REF!</v>
      </c>
      <c r="AA41" s="131" t="e">
        <f aca="false">(#REF!+#REF!+L41)*'O_MN, PE_UTA_UGM 2023'!I15</f>
        <v>#REF!</v>
      </c>
      <c r="AB41" s="132" t="n">
        <f aca="false">IF(ISERROR(+ROUND(#REF!*N41/#REF!,3)),0,+ROUND(#REF!*N41/#REF!,3))</f>
        <v>0</v>
      </c>
      <c r="AC41" s="132" t="n">
        <f aca="false">IF(ISERROR(+ROUND(#REF!*O41/#REF!,3)),0,+ROUND(#REF!*O41/#REF!,3))</f>
        <v>0</v>
      </c>
      <c r="AD41" s="133" t="n">
        <f aca="false">IF(AND(AB41=0,AC41=0),0,#REF!*(#REF!-(#REF!*AB41/N41))+#REF!*(#REF!-(#REF!*AC41/O41)))</f>
        <v>0</v>
      </c>
      <c r="AE41" s="51"/>
      <c r="AF41" s="52"/>
      <c r="AG41" s="51"/>
      <c r="AH41" s="51"/>
      <c r="AI41" s="51"/>
    </row>
    <row r="42" customFormat="false" ht="15" hidden="false" customHeight="false" outlineLevel="0" collapsed="false">
      <c r="A42" s="3"/>
      <c r="B42" s="116"/>
      <c r="C42" s="134"/>
      <c r="D42" s="135"/>
      <c r="E42" s="119" t="n">
        <f aca="false">'O_MN, PE_UTA_UGM 2023'!B15</f>
        <v>169</v>
      </c>
      <c r="F42" s="120" t="str">
        <f aca="false">'O_MN, PE_UTA_UGM 2023'!C15</f>
        <v>AJO</v>
      </c>
      <c r="G42" s="121"/>
      <c r="H42" s="122"/>
      <c r="I42" s="122"/>
      <c r="J42" s="123"/>
      <c r="K42" s="124"/>
      <c r="L42" s="124"/>
      <c r="M42" s="112" t="e">
        <f aca="false">+IF(OR((#REF!+#REF!)&gt;0,(#REF!+#REF!)&gt;0,(K42+L42)&gt;0),"SI","NO")</f>
        <v>#REF!</v>
      </c>
      <c r="N42" s="136" t="n">
        <f aca="false">VLOOKUP(E43,'O_MN, PE_UTA_UGM 2023'!$B$1:$I$300,7,FALSE())</f>
        <v>1000</v>
      </c>
      <c r="O42" s="136" t="n">
        <f aca="false">VLOOKUP(E43,'O_MN, PE_UTA_UGM 2023'!$B$1:$I$300,8,FALSE())</f>
        <v>3800</v>
      </c>
      <c r="P42" s="45"/>
      <c r="Q42" s="126" t="n">
        <f aca="false">VLOOKUP(E43,'O_MN, PE_UTA_UGM 2023'!$B$1:$I$300,5,FALSE())</f>
        <v>114.19</v>
      </c>
      <c r="R42" s="126" t="n">
        <f aca="false">VLOOKUP(E43,'O_MN, PE_UTA_UGM 2023'!$B$1:$I$300,6,FALSE())</f>
        <v>240.4</v>
      </c>
      <c r="S42" s="45"/>
      <c r="T42" s="47"/>
      <c r="U42" s="127" t="n">
        <f aca="false">(H42*N42)+(I42*O42)+((K42*N42)+(L42*O42)*1.25)</f>
        <v>0</v>
      </c>
      <c r="V42" s="128"/>
      <c r="W42" s="128"/>
      <c r="X42" s="127" t="n">
        <f aca="false">(H42*Q42)+(I42*R42)+((K42*Q42)+(L42*R42)*1.25)</f>
        <v>0</v>
      </c>
      <c r="Y42" s="129"/>
      <c r="Z42" s="130" t="e">
        <f aca="false">(#REF!+#REF!+K42)*'O_MN, PE_UTA_UGM 2023'!H16</f>
        <v>#REF!</v>
      </c>
      <c r="AA42" s="131" t="e">
        <f aca="false">(#REF!+#REF!+L42)*'O_MN, PE_UTA_UGM 2023'!I16</f>
        <v>#REF!</v>
      </c>
      <c r="AB42" s="132" t="n">
        <f aca="false">IF(ISERROR(+ROUND(#REF!*N42/#REF!,3)),0,+ROUND(#REF!*N42/#REF!,3))</f>
        <v>0</v>
      </c>
      <c r="AC42" s="132" t="n">
        <f aca="false">IF(ISERROR(+ROUND(#REF!*O42/#REF!,3)),0,+ROUND(#REF!*O42/#REF!,3))</f>
        <v>0</v>
      </c>
      <c r="AD42" s="133" t="n">
        <f aca="false">IF(AND(AB42=0,AC42=0),0,#REF!*(#REF!-(#REF!*AB42/N42))+#REF!*(#REF!-(#REF!*AC42/O42)))</f>
        <v>0</v>
      </c>
      <c r="AE42" s="51"/>
      <c r="AF42" s="52"/>
      <c r="AG42" s="51"/>
      <c r="AH42" s="51"/>
      <c r="AI42" s="51"/>
    </row>
    <row r="43" customFormat="false" ht="15" hidden="false" customHeight="false" outlineLevel="0" collapsed="false">
      <c r="A43" s="3"/>
      <c r="B43" s="116"/>
      <c r="C43" s="134"/>
      <c r="D43" s="135"/>
      <c r="E43" s="119" t="n">
        <f aca="false">'O_MN, PE_UTA_UGM 2023'!B16</f>
        <v>264</v>
      </c>
      <c r="F43" s="120" t="str">
        <f aca="false">'O_MN, PE_UTA_UGM 2023'!C16</f>
        <v>ALBAHACA</v>
      </c>
      <c r="G43" s="121"/>
      <c r="H43" s="122"/>
      <c r="I43" s="122"/>
      <c r="J43" s="138"/>
      <c r="K43" s="124" t="n">
        <v>10</v>
      </c>
      <c r="L43" s="124" t="n">
        <v>40</v>
      </c>
      <c r="M43" s="112" t="e">
        <f aca="false">+IF(OR((#REF!+#REF!)&gt;0,(#REF!+#REF!)&gt;0,(K43+L43)&gt;0),"SI","NO")</f>
        <v>#REF!</v>
      </c>
      <c r="N43" s="136" t="n">
        <f aca="false">VLOOKUP(E44,'O_MN, PE_UTA_UGM 2023'!$B$1:$I$300,7,FALSE())</f>
        <v>3000</v>
      </c>
      <c r="O43" s="136" t="n">
        <f aca="false">VLOOKUP(E44,'O_MN, PE_UTA_UGM 2023'!$B$1:$I$300,8,FALSE())</f>
        <v>8000</v>
      </c>
      <c r="P43" s="45"/>
      <c r="Q43" s="126" t="n">
        <f aca="false">VLOOKUP(E44,'O_MN, PE_UTA_UGM 2023'!$B$1:$I$300,5,FALSE())</f>
        <v>480.81</v>
      </c>
      <c r="R43" s="126" t="n">
        <f aca="false">VLOOKUP(E44,'O_MN, PE_UTA_UGM 2023'!$B$1:$I$300,6,FALSE())</f>
        <v>1442.43</v>
      </c>
      <c r="S43" s="45"/>
      <c r="T43" s="47"/>
      <c r="U43" s="127" t="n">
        <f aca="false">(H43*N43)+(I43*O43)+((K43*N43)+(L43*O43)*1.25)</f>
        <v>430000</v>
      </c>
      <c r="V43" s="128"/>
      <c r="W43" s="128"/>
      <c r="X43" s="127" t="n">
        <f aca="false">(H43*Q43)+(I43*R43)+((K43*Q43)+(L43*R43)*1.25)</f>
        <v>76929.6</v>
      </c>
      <c r="Y43" s="129"/>
      <c r="Z43" s="130" t="e">
        <f aca="false">(#REF!+#REF!+K43)*'O_MN, PE_UTA_UGM 2023'!H17</f>
        <v>#REF!</v>
      </c>
      <c r="AA43" s="131" t="e">
        <f aca="false">(#REF!+#REF!+L43)*'O_MN, PE_UTA_UGM 2023'!I17</f>
        <v>#REF!</v>
      </c>
      <c r="AB43" s="132" t="n">
        <f aca="false">IF(ISERROR(+ROUND(#REF!*N43/#REF!,3)),0,+ROUND(#REF!*N43/#REF!,3))</f>
        <v>0</v>
      </c>
      <c r="AC43" s="132" t="n">
        <f aca="false">IF(ISERROR(+ROUND(#REF!*O43/#REF!,3)),0,+ROUND(#REF!*O43/#REF!,3))</f>
        <v>0</v>
      </c>
      <c r="AD43" s="133" t="n">
        <f aca="false">IF(AND(AB43=0,AC43=0),0,#REF!*(#REF!-(#REF!*AB43/N43))+#REF!*(#REF!-(#REF!*AC43/O43)))</f>
        <v>0</v>
      </c>
      <c r="AE43" s="51"/>
      <c r="AF43" s="52"/>
      <c r="AG43" s="51"/>
      <c r="AH43" s="51"/>
      <c r="AI43" s="51"/>
    </row>
    <row r="44" customFormat="false" ht="15" hidden="false" customHeight="false" outlineLevel="0" collapsed="false">
      <c r="A44" s="3"/>
      <c r="B44" s="116"/>
      <c r="C44" s="134"/>
      <c r="D44" s="135"/>
      <c r="E44" s="119" t="n">
        <f aca="false">'O_MN, PE_UTA_UGM 2023'!B17</f>
        <v>107</v>
      </c>
      <c r="F44" s="120" t="str">
        <f aca="false">'O_MN, PE_UTA_UGM 2023'!C17</f>
        <v>ALBARICOQUEROS</v>
      </c>
      <c r="G44" s="121"/>
      <c r="H44" s="122"/>
      <c r="I44" s="122"/>
      <c r="J44" s="123"/>
      <c r="K44" s="124"/>
      <c r="L44" s="124"/>
      <c r="M44" s="112" t="e">
        <f aca="false">+IF(OR((#REF!+#REF!)&gt;0,(#REF!+#REF!)&gt;0,(K44+L44)&gt;0),"SI","NO")</f>
        <v>#REF!</v>
      </c>
      <c r="N44" s="136" t="n">
        <f aca="false">VLOOKUP(E45,'O_MN, PE_UTA_UGM 2023'!$B$1:$I$300,7,FALSE())</f>
        <v>500</v>
      </c>
      <c r="O44" s="136" t="n">
        <f aca="false">VLOOKUP(E45,'O_MN, PE_UTA_UGM 2023'!$B$1:$I$300,8,FALSE())</f>
        <v>1500</v>
      </c>
      <c r="P44" s="45"/>
      <c r="Q44" s="126" t="n">
        <f aca="false">VLOOKUP(E45,'O_MN, PE_UTA_UGM 2023'!$B$1:$I$300,5,FALSE())</f>
        <v>114.19</v>
      </c>
      <c r="R44" s="126" t="n">
        <f aca="false">VLOOKUP(E45,'O_MN, PE_UTA_UGM 2023'!$B$1:$I$300,6,FALSE())</f>
        <v>240.4</v>
      </c>
      <c r="S44" s="45"/>
      <c r="T44" s="47"/>
      <c r="U44" s="127" t="n">
        <f aca="false">(H44*N44)+(I44*O44)+((K44*N44)+(L44*O44)*1.25)</f>
        <v>0</v>
      </c>
      <c r="V44" s="128"/>
      <c r="W44" s="128"/>
      <c r="X44" s="127" t="n">
        <f aca="false">(H44*Q44)+(I44*R44)+((K44*Q44)+(L44*R44)*1.25)</f>
        <v>0</v>
      </c>
      <c r="Y44" s="129"/>
      <c r="Z44" s="130" t="e">
        <f aca="false">(#REF!+#REF!+K44)*'O_MN, PE_UTA_UGM 2023'!H18</f>
        <v>#REF!</v>
      </c>
      <c r="AA44" s="131" t="e">
        <f aca="false">(#REF!+#REF!+L44)*'O_MN, PE_UTA_UGM 2023'!I18</f>
        <v>#REF!</v>
      </c>
      <c r="AB44" s="132" t="n">
        <f aca="false">IF(ISERROR(+ROUND(#REF!*N44/#REF!,3)),0,+ROUND(#REF!*N44/#REF!,3))</f>
        <v>0</v>
      </c>
      <c r="AC44" s="132" t="n">
        <f aca="false">IF(ISERROR(+ROUND(#REF!*O44/#REF!,3)),0,+ROUND(#REF!*O44/#REF!,3))</f>
        <v>0</v>
      </c>
      <c r="AD44" s="133" t="n">
        <f aca="false">IF(AND(AB44=0,AC44=0),0,#REF!*(#REF!-(#REF!*AB44/N44))+#REF!*(#REF!-(#REF!*AC44/O44)))</f>
        <v>0</v>
      </c>
      <c r="AE44" s="51"/>
      <c r="AF44" s="52"/>
      <c r="AG44" s="51"/>
      <c r="AH44" s="91"/>
      <c r="AI44" s="92"/>
    </row>
    <row r="45" customFormat="false" ht="15" hidden="false" customHeight="false" outlineLevel="0" collapsed="false">
      <c r="A45" s="3"/>
      <c r="B45" s="116"/>
      <c r="C45" s="134"/>
      <c r="D45" s="135"/>
      <c r="E45" s="119" t="n">
        <f aca="false">'O_MN, PE_UTA_UGM 2023'!B18</f>
        <v>250</v>
      </c>
      <c r="F45" s="120" t="str">
        <f aca="false">'O_MN, PE_UTA_UGM 2023'!C18</f>
        <v>ALVERJON</v>
      </c>
      <c r="G45" s="121"/>
      <c r="H45" s="122"/>
      <c r="I45" s="122"/>
      <c r="J45" s="123"/>
      <c r="K45" s="124"/>
      <c r="L45" s="124"/>
      <c r="M45" s="112" t="e">
        <f aca="false">+IF(OR((#REF!+#REF!)&gt;0,(#REF!+#REF!)&gt;0,(K45+L45)&gt;0),"SI","NO")</f>
        <v>#REF!</v>
      </c>
      <c r="N45" s="136" t="n">
        <f aca="false">VLOOKUP(E46,'O_MN, PE_UTA_UGM 2023'!$B$1:$I$300,7,FALSE())</f>
        <v>0</v>
      </c>
      <c r="O45" s="136" t="n">
        <f aca="false">VLOOKUP(E46,'O_MN, PE_UTA_UGM 2023'!$B$1:$I$300,8,FALSE())</f>
        <v>10500</v>
      </c>
      <c r="P45" s="45"/>
      <c r="Q45" s="126" t="n">
        <f aca="false">VLOOKUP(E46,'O_MN, PE_UTA_UGM 2023'!$B$1:$I$300,5,FALSE())</f>
        <v>360.61</v>
      </c>
      <c r="R45" s="126" t="n">
        <f aca="false">VLOOKUP(E46,'O_MN, PE_UTA_UGM 2023'!$B$1:$I$300,6,FALSE())</f>
        <v>1352.28</v>
      </c>
      <c r="S45" s="45"/>
      <c r="T45" s="47"/>
      <c r="U45" s="127" t="n">
        <f aca="false">(H45*N45)+(I45*O45)+((K45*N45)+(L45*O45)*1.25)</f>
        <v>0</v>
      </c>
      <c r="V45" s="128"/>
      <c r="W45" s="128"/>
      <c r="X45" s="127" t="n">
        <f aca="false">(H45*Q45)+(I45*R45)+((K45*Q45)+(L45*R45)*1.25)</f>
        <v>0</v>
      </c>
      <c r="Y45" s="129"/>
      <c r="Z45" s="130" t="e">
        <f aca="false">(#REF!+#REF!+K45)*'O_MN, PE_UTA_UGM 2023'!H19</f>
        <v>#REF!</v>
      </c>
      <c r="AA45" s="131" t="e">
        <f aca="false">(#REF!+#REF!+L45)*'O_MN, PE_UTA_UGM 2023'!I19</f>
        <v>#REF!</v>
      </c>
      <c r="AB45" s="132" t="n">
        <f aca="false">IF(ISERROR(+ROUND(#REF!*N45/#REF!,3)),0,+ROUND(#REF!*N45/#REF!,3))</f>
        <v>0</v>
      </c>
      <c r="AC45" s="132" t="n">
        <f aca="false">IF(ISERROR(+ROUND(#REF!*O45/#REF!,3)),0,+ROUND(#REF!*O45/#REF!,3))</f>
        <v>0</v>
      </c>
      <c r="AD45" s="133" t="n">
        <f aca="false">IF(AND(AB45=0,AC45=0),0,#REF!*(#REF!-(#REF!*AB45/N45))+#REF!*(#REF!-(#REF!*AC45/O45)))</f>
        <v>0</v>
      </c>
      <c r="AE45" s="51"/>
      <c r="AF45" s="52"/>
      <c r="AG45" s="51"/>
      <c r="AH45" s="51"/>
      <c r="AI45" s="51"/>
    </row>
    <row r="46" customFormat="false" ht="15" hidden="false" customHeight="false" outlineLevel="0" collapsed="false">
      <c r="A46" s="3"/>
      <c r="B46" s="116"/>
      <c r="C46" s="134"/>
      <c r="D46" s="135"/>
      <c r="E46" s="119" t="n">
        <f aca="false">'O_MN, PE_UTA_UGM 2023'!B19</f>
        <v>164</v>
      </c>
      <c r="F46" s="120" t="str">
        <f aca="false">'O_MN, PE_UTA_UGM 2023'!C19</f>
        <v>ALCACHOFA</v>
      </c>
      <c r="G46" s="121"/>
      <c r="H46" s="122"/>
      <c r="I46" s="122"/>
      <c r="J46" s="123"/>
      <c r="K46" s="124"/>
      <c r="L46" s="124"/>
      <c r="M46" s="112" t="e">
        <f aca="false">+IF(OR((#REF!+#REF!)&gt;0,(#REF!+#REF!)&gt;0,(K46+L46)&gt;0),"SI","NO")</f>
        <v>#REF!</v>
      </c>
      <c r="N46" s="136" t="n">
        <f aca="false">VLOOKUP(E47,'O_MN, PE_UTA_UGM 2023'!$B$1:$I$300,7,FALSE())</f>
        <v>1000</v>
      </c>
      <c r="O46" s="136" t="n">
        <f aca="false">VLOOKUP(E47,'O_MN, PE_UTA_UGM 2023'!$B$1:$I$300,8,FALSE())</f>
        <v>3800</v>
      </c>
      <c r="P46" s="45"/>
      <c r="Q46" s="126" t="n">
        <f aca="false">VLOOKUP(E47,'O_MN, PE_UTA_UGM 2023'!$B$1:$I$300,5,FALSE())</f>
        <v>360.61</v>
      </c>
      <c r="R46" s="126" t="n">
        <f aca="false">VLOOKUP(E47,'O_MN, PE_UTA_UGM 2023'!$B$1:$I$300,6,FALSE())</f>
        <v>1352.28</v>
      </c>
      <c r="S46" s="45"/>
      <c r="T46" s="47"/>
      <c r="U46" s="127" t="n">
        <f aca="false">(H46*N46)+(I46*O46)+((K46*N46)+(L46*O46)*1.25)</f>
        <v>0</v>
      </c>
      <c r="V46" s="128"/>
      <c r="W46" s="128"/>
      <c r="X46" s="127" t="n">
        <f aca="false">(H46*Q46)+(I46*R46)+((K46*Q46)+(L46*R46)*1.25)</f>
        <v>0</v>
      </c>
      <c r="Y46" s="129"/>
      <c r="Z46" s="130" t="e">
        <f aca="false">(#REF!+#REF!+K46)*'O_MN, PE_UTA_UGM 2023'!H20</f>
        <v>#REF!</v>
      </c>
      <c r="AA46" s="131" t="e">
        <f aca="false">(#REF!+#REF!+L46)*'O_MN, PE_UTA_UGM 2023'!I20</f>
        <v>#REF!</v>
      </c>
      <c r="AB46" s="132" t="n">
        <f aca="false">IF(ISERROR(+ROUND(#REF!*N46/#REF!,3)),0,+ROUND(#REF!*N46/#REF!,3))</f>
        <v>0</v>
      </c>
      <c r="AC46" s="132" t="n">
        <f aca="false">IF(ISERROR(+ROUND(#REF!*O46/#REF!,3)),0,+ROUND(#REF!*O46/#REF!,3))</f>
        <v>0</v>
      </c>
      <c r="AD46" s="133" t="n">
        <f aca="false">IF(AND(AB46=0,AC46=0),0,#REF!*(#REF!-(#REF!*AB46/N46))+#REF!*(#REF!-(#REF!*AC46/O46)))</f>
        <v>0</v>
      </c>
      <c r="AE46" s="51"/>
      <c r="AF46" s="52"/>
      <c r="AG46" s="51"/>
      <c r="AH46" s="51"/>
      <c r="AI46" s="51"/>
    </row>
    <row r="47" customFormat="false" ht="15" hidden="false" customHeight="false" outlineLevel="0" collapsed="false">
      <c r="A47" s="3"/>
      <c r="B47" s="116"/>
      <c r="C47" s="134"/>
      <c r="D47" s="135"/>
      <c r="E47" s="119" t="n">
        <f aca="false">'O_MN, PE_UTA_UGM 2023'!B20</f>
        <v>283</v>
      </c>
      <c r="F47" s="120" t="str">
        <f aca="false">'O_MN, PE_UTA_UGM 2023'!C20</f>
        <v>ALCAPARRA</v>
      </c>
      <c r="G47" s="121"/>
      <c r="H47" s="122"/>
      <c r="I47" s="122"/>
      <c r="J47" s="123"/>
      <c r="K47" s="124"/>
      <c r="L47" s="124"/>
      <c r="M47" s="112" t="e">
        <f aca="false">+IF(OR((#REF!+#REF!)&gt;0,(#REF!+#REF!)&gt;0,(K47+L47)&gt;0),"SI","NO")</f>
        <v>#REF!</v>
      </c>
      <c r="N47" s="136" t="n">
        <f aca="false">VLOOKUP(E48,'O_MN, PE_UTA_UGM 2023'!$B$1:$I$300,7,FALSE())</f>
        <v>0</v>
      </c>
      <c r="O47" s="136" t="n">
        <f aca="false">VLOOKUP(E48,'O_MN, PE_UTA_UGM 2023'!$B$1:$I$300,8,FALSE())</f>
        <v>0</v>
      </c>
      <c r="P47" s="45"/>
      <c r="Q47" s="126" t="n">
        <f aca="false">VLOOKUP(E48,'O_MN, PE_UTA_UGM 2023'!$B$1:$I$300,5,FALSE())</f>
        <v>1E-005</v>
      </c>
      <c r="R47" s="126" t="n">
        <f aca="false">VLOOKUP(E48,'O_MN, PE_UTA_UGM 2023'!$B$1:$I$300,6,FALSE())</f>
        <v>1E-005</v>
      </c>
      <c r="S47" s="45"/>
      <c r="T47" s="47"/>
      <c r="U47" s="127" t="n">
        <f aca="false">(H47*N47)+(I47*O47)+((K47*N47)+(L47*O47)*1.25)</f>
        <v>0</v>
      </c>
      <c r="V47" s="128"/>
      <c r="W47" s="128"/>
      <c r="X47" s="127" t="n">
        <f aca="false">(H47*Q47)+(I47*R47)+((K47*Q47)+(L47*R47)*1.25)</f>
        <v>0</v>
      </c>
      <c r="Y47" s="129"/>
      <c r="Z47" s="130" t="e">
        <f aca="false">(#REF!+#REF!+K47)*'O_MN, PE_UTA_UGM 2023'!H21</f>
        <v>#REF!</v>
      </c>
      <c r="AA47" s="131" t="e">
        <f aca="false">(#REF!+#REF!+L47)*'O_MN, PE_UTA_UGM 2023'!I21</f>
        <v>#REF!</v>
      </c>
      <c r="AB47" s="132" t="n">
        <f aca="false">IF(ISERROR(+ROUND(#REF!*N47/#REF!,3)),0,+ROUND(#REF!*N47/#REF!,3))</f>
        <v>0</v>
      </c>
      <c r="AC47" s="132" t="n">
        <f aca="false">IF(ISERROR(+ROUND(#REF!*O47/#REF!,3)),0,+ROUND(#REF!*O47/#REF!,3))</f>
        <v>0</v>
      </c>
      <c r="AD47" s="133" t="n">
        <f aca="false">IF(AND(AB47=0,AC47=0),0,#REF!*(#REF!-(#REF!*AB47/N47))+#REF!*(#REF!-(#REF!*AC47/O47)))</f>
        <v>0</v>
      </c>
      <c r="AE47" s="51"/>
      <c r="AF47" s="52"/>
      <c r="AG47" s="51"/>
      <c r="AH47" s="51"/>
      <c r="AI47" s="51"/>
    </row>
    <row r="48" customFormat="false" ht="15" hidden="false" customHeight="false" outlineLevel="0" collapsed="false">
      <c r="A48" s="3"/>
      <c r="B48" s="116"/>
      <c r="C48" s="134"/>
      <c r="D48" s="135"/>
      <c r="E48" s="119" t="n">
        <f aca="false">'O_MN, PE_UTA_UGM 2023'!B21</f>
        <v>295</v>
      </c>
      <c r="F48" s="120" t="str">
        <f aca="false">'O_MN, PE_UTA_UGM 2023'!C21</f>
        <v>ALCORNOQUE</v>
      </c>
      <c r="G48" s="121"/>
      <c r="H48" s="122"/>
      <c r="I48" s="122"/>
      <c r="J48" s="123"/>
      <c r="K48" s="124" t="n">
        <v>3</v>
      </c>
      <c r="L48" s="124" t="n">
        <v>4</v>
      </c>
      <c r="M48" s="112" t="e">
        <f aca="false">+IF(OR((#REF!+#REF!)&gt;0,(#REF!+#REF!)&gt;0,(K48+L48)&gt;0),"SI","NO")</f>
        <v>#REF!</v>
      </c>
      <c r="N48" s="136" t="n">
        <f aca="false">VLOOKUP(E49,'O_MN, PE_UTA_UGM 2023'!$B$1:$I$300,7,FALSE())</f>
        <v>800</v>
      </c>
      <c r="O48" s="136" t="n">
        <f aca="false">VLOOKUP(E49,'O_MN, PE_UTA_UGM 2023'!$B$1:$I$300,8,FALSE())</f>
        <v>2000</v>
      </c>
      <c r="P48" s="45"/>
      <c r="Q48" s="126" t="n">
        <f aca="false">VLOOKUP(E49,'O_MN, PE_UTA_UGM 2023'!$B$1:$I$300,5,FALSE())</f>
        <v>114.19</v>
      </c>
      <c r="R48" s="126" t="n">
        <f aca="false">VLOOKUP(E49,'O_MN, PE_UTA_UGM 2023'!$B$1:$I$300,6,FALSE())</f>
        <v>480.81</v>
      </c>
      <c r="S48" s="45"/>
      <c r="T48" s="47"/>
      <c r="U48" s="127" t="n">
        <f aca="false">(H48*N48)+(I48*O48)+((K48*N48)+(L48*O48)*1.25)</f>
        <v>12400</v>
      </c>
      <c r="V48" s="128"/>
      <c r="W48" s="128"/>
      <c r="X48" s="127" t="n">
        <f aca="false">(H48*Q48)+(I48*R48)+((K48*Q48)+(L48*R48)*1.25)</f>
        <v>2746.62</v>
      </c>
      <c r="Y48" s="129"/>
      <c r="Z48" s="130" t="e">
        <f aca="false">(#REF!+#REF!+K48)*'O_MN, PE_UTA_UGM 2023'!H22</f>
        <v>#REF!</v>
      </c>
      <c r="AA48" s="131" t="e">
        <f aca="false">(#REF!+#REF!+L48)*'O_MN, PE_UTA_UGM 2023'!I22</f>
        <v>#REF!</v>
      </c>
      <c r="AB48" s="132" t="n">
        <f aca="false">IF(ISERROR(+ROUND(#REF!*N48/#REF!,3)),0,+ROUND(#REF!*N48/#REF!,3))</f>
        <v>0</v>
      </c>
      <c r="AC48" s="132" t="n">
        <f aca="false">IF(ISERROR(+ROUND(#REF!*O48/#REF!,3)),0,+ROUND(#REF!*O48/#REF!,3))</f>
        <v>0</v>
      </c>
      <c r="AD48" s="133" t="n">
        <f aca="false">IF(AND(AB48=0,AC48=0),0,#REF!*(#REF!-(#REF!*AB48/N48))+#REF!*(#REF!-(#REF!*AC48/O48)))</f>
        <v>0</v>
      </c>
      <c r="AE48" s="51"/>
      <c r="AF48" s="52"/>
      <c r="AG48" s="51"/>
      <c r="AH48" s="51"/>
      <c r="AI48" s="51"/>
    </row>
    <row r="49" customFormat="false" ht="15" hidden="false" customHeight="false" outlineLevel="0" collapsed="false">
      <c r="A49" s="3"/>
      <c r="B49" s="116"/>
      <c r="C49" s="134"/>
      <c r="D49" s="135"/>
      <c r="E49" s="119" t="n">
        <f aca="false">'O_MN, PE_UTA_UGM 2023'!B22</f>
        <v>60</v>
      </c>
      <c r="F49" s="120" t="str">
        <f aca="false">'O_MN, PE_UTA_UGM 2023'!C22</f>
        <v>ALFALFA</v>
      </c>
      <c r="G49" s="121"/>
      <c r="H49" s="122"/>
      <c r="I49" s="122"/>
      <c r="J49" s="123"/>
      <c r="K49" s="124"/>
      <c r="L49" s="124"/>
      <c r="M49" s="112" t="e">
        <f aca="false">+IF(OR((#REF!+#REF!)&gt;0,(#REF!+#REF!)&gt;0,(K49+L49)&gt;0),"SI","NO")</f>
        <v>#REF!</v>
      </c>
      <c r="N49" s="136" t="n">
        <f aca="false">VLOOKUP(E50,'O_MN, PE_UTA_UGM 2023'!$B$1:$I$300,7,FALSE())</f>
        <v>265.73</v>
      </c>
      <c r="O49" s="136" t="n">
        <f aca="false">VLOOKUP(E50,'O_MN, PE_UTA_UGM 2023'!$B$1:$I$300,8,FALSE())</f>
        <v>500</v>
      </c>
      <c r="P49" s="45"/>
      <c r="Q49" s="126" t="n">
        <f aca="false">VLOOKUP(E50,'O_MN, PE_UTA_UGM 2023'!$B$1:$I$300,5,FALSE())</f>
        <v>114.19</v>
      </c>
      <c r="R49" s="126" t="n">
        <f aca="false">VLOOKUP(E50,'O_MN, PE_UTA_UGM 2023'!$B$1:$I$300,6,FALSE())</f>
        <v>240.4</v>
      </c>
      <c r="S49" s="45"/>
      <c r="T49" s="47"/>
      <c r="U49" s="127" t="n">
        <f aca="false">(H49*N49)+(I49*O49)+((K49*N49)+(L49*O49)*1.25)</f>
        <v>0</v>
      </c>
      <c r="V49" s="128"/>
      <c r="W49" s="128"/>
      <c r="X49" s="127" t="n">
        <f aca="false">(H49*Q49)+(I49*R49)+((K49*Q49)+(L49*R49)*1.25)</f>
        <v>0</v>
      </c>
      <c r="Y49" s="129"/>
      <c r="Z49" s="130" t="e">
        <f aca="false">(#REF!+#REF!+K49)*'O_MN, PE_UTA_UGM 2023'!H23</f>
        <v>#REF!</v>
      </c>
      <c r="AA49" s="131" t="e">
        <f aca="false">(#REF!+#REF!+L49)*'O_MN, PE_UTA_UGM 2023'!I23</f>
        <v>#REF!</v>
      </c>
      <c r="AB49" s="132" t="n">
        <f aca="false">IF(ISERROR(+ROUND(#REF!*N49/#REF!,3)),0,+ROUND(#REF!*N49/#REF!,3))</f>
        <v>0</v>
      </c>
      <c r="AC49" s="132" t="n">
        <f aca="false">IF(ISERROR(+ROUND(#REF!*O49/#REF!,3)),0,+ROUND(#REF!*O49/#REF!,3))</f>
        <v>0</v>
      </c>
      <c r="AD49" s="133" t="n">
        <f aca="false">IF(AND(AB49=0,AC49=0),0,#REF!*(#REF!-(#REF!*AB49/N49))+#REF!*(#REF!-(#REF!*AC49/O49)))</f>
        <v>0</v>
      </c>
      <c r="AE49" s="3"/>
      <c r="AF49" s="3"/>
      <c r="AG49" s="3"/>
      <c r="AH49" s="3"/>
      <c r="AI49" s="3"/>
    </row>
    <row r="50" customFormat="false" ht="15" hidden="false" customHeight="false" outlineLevel="0" collapsed="false">
      <c r="A50" s="3"/>
      <c r="B50" s="116"/>
      <c r="C50" s="134"/>
      <c r="D50" s="135"/>
      <c r="E50" s="119" t="n">
        <f aca="false">'O_MN, PE_UTA_UGM 2023'!B23</f>
        <v>9</v>
      </c>
      <c r="F50" s="120" t="str">
        <f aca="false">'O_MN, PE_UTA_UGM 2023'!C23</f>
        <v>ALFORFON</v>
      </c>
      <c r="G50" s="121"/>
      <c r="H50" s="122"/>
      <c r="I50" s="122"/>
      <c r="J50" s="123"/>
      <c r="K50" s="124"/>
      <c r="L50" s="124"/>
      <c r="M50" s="112" t="e">
        <f aca="false">+IF(OR((#REF!+#REF!)&gt;0,(#REF!+#REF!)&gt;0,(K50+L50)&gt;0),"SI","NO")</f>
        <v>#REF!</v>
      </c>
      <c r="N50" s="136" t="n">
        <f aca="false">VLOOKUP(E51,'O_MN, PE_UTA_UGM 2023'!$B$1:$I$300,7,FALSE())</f>
        <v>721.21</v>
      </c>
      <c r="O50" s="136" t="n">
        <f aca="false">VLOOKUP(E51,'O_MN, PE_UTA_UGM 2023'!$B$1:$I$300,8,FALSE())</f>
        <v>1500</v>
      </c>
      <c r="P50" s="45"/>
      <c r="Q50" s="126" t="n">
        <f aca="false">VLOOKUP(E51,'O_MN, PE_UTA_UGM 2023'!$B$1:$I$300,5,FALSE())</f>
        <v>450.76</v>
      </c>
      <c r="R50" s="126" t="n">
        <f aca="false">VLOOKUP(E51,'O_MN, PE_UTA_UGM 2023'!$B$1:$I$300,6,FALSE())</f>
        <v>721.21</v>
      </c>
      <c r="S50" s="45"/>
      <c r="T50" s="47"/>
      <c r="U50" s="127" t="n">
        <f aca="false">(H50*N50)+(I50*O50)+((K50*N50)+(L50*O50)*1.25)</f>
        <v>0</v>
      </c>
      <c r="V50" s="128"/>
      <c r="W50" s="128"/>
      <c r="X50" s="127" t="n">
        <f aca="false">(H50*Q50)+(I50*R50)+((K50*Q50)+(L50*R50)*1.25)</f>
        <v>0</v>
      </c>
      <c r="Y50" s="129"/>
      <c r="Z50" s="130" t="e">
        <f aca="false">(#REF!+#REF!+K50)*'O_MN, PE_UTA_UGM 2023'!H24</f>
        <v>#REF!</v>
      </c>
      <c r="AA50" s="131" t="e">
        <f aca="false">(#REF!+#REF!+L50)*'O_MN, PE_UTA_UGM 2023'!I24</f>
        <v>#REF!</v>
      </c>
      <c r="AB50" s="132" t="n">
        <f aca="false">IF(ISERROR(+ROUND(#REF!*N50/#REF!,3)),0,+ROUND(#REF!*N50/#REF!,3))</f>
        <v>0</v>
      </c>
      <c r="AC50" s="132" t="n">
        <f aca="false">IF(ISERROR(+ROUND(#REF!*O50/#REF!,3)),0,+ROUND(#REF!*O50/#REF!,3))</f>
        <v>0</v>
      </c>
      <c r="AD50" s="133" t="n">
        <f aca="false">IF(AND(AB50=0,AC50=0),0,#REF!*(#REF!-(#REF!*AB50/N50))+#REF!*(#REF!-(#REF!*AC50/O50)))</f>
        <v>0</v>
      </c>
      <c r="AE50" s="3"/>
      <c r="AF50" s="3"/>
      <c r="AG50" s="3"/>
      <c r="AH50" s="3"/>
      <c r="AI50" s="3"/>
    </row>
    <row r="51" customFormat="false" ht="15" hidden="false" customHeight="false" outlineLevel="0" collapsed="false">
      <c r="A51" s="3"/>
      <c r="B51" s="116"/>
      <c r="C51" s="134"/>
      <c r="D51" s="135"/>
      <c r="E51" s="119" t="n">
        <f aca="false">'O_MN, PE_UTA_UGM 2023'!B24</f>
        <v>248</v>
      </c>
      <c r="F51" s="120" t="str">
        <f aca="false">'O_MN, PE_UTA_UGM 2023'!C24</f>
        <v>ALGARROBA</v>
      </c>
      <c r="G51" s="121"/>
      <c r="H51" s="122"/>
      <c r="I51" s="122"/>
      <c r="J51" s="123"/>
      <c r="K51" s="124"/>
      <c r="L51" s="124"/>
      <c r="M51" s="112" t="e">
        <f aca="false">+IF(OR((#REF!+#REF!)&gt;0,(#REF!+#REF!)&gt;0,(K51+L51)&gt;0),"SI","NO")</f>
        <v>#REF!</v>
      </c>
      <c r="N51" s="136" t="n">
        <f aca="false">VLOOKUP(E52,'O_MN, PE_UTA_UGM 2023'!$B$1:$I$300,7,FALSE())</f>
        <v>721.21</v>
      </c>
      <c r="O51" s="136" t="n">
        <f aca="false">VLOOKUP(E52,'O_MN, PE_UTA_UGM 2023'!$B$1:$I$300,8,FALSE())</f>
        <v>1500</v>
      </c>
      <c r="P51" s="45"/>
      <c r="Q51" s="126" t="n">
        <f aca="false">VLOOKUP(E52,'O_MN, PE_UTA_UGM 2023'!$B$1:$I$300,5,FALSE())</f>
        <v>450.76</v>
      </c>
      <c r="R51" s="126" t="n">
        <f aca="false">VLOOKUP(E52,'O_MN, PE_UTA_UGM 2023'!$B$1:$I$300,6,FALSE())</f>
        <v>721.21</v>
      </c>
      <c r="S51" s="45"/>
      <c r="T51" s="47"/>
      <c r="U51" s="127" t="n">
        <f aca="false">(H51*N51)+(I51*O51)+((K51*N51)+(L51*O51)*1.25)</f>
        <v>0</v>
      </c>
      <c r="V51" s="128"/>
      <c r="W51" s="128"/>
      <c r="X51" s="127" t="n">
        <f aca="false">(H51*Q51)+(I51*R51)+((K51*Q51)+(L51*R51)*1.25)</f>
        <v>0</v>
      </c>
      <c r="Y51" s="129"/>
      <c r="Z51" s="130" t="e">
        <f aca="false">(#REF!+#REF!+K51)*'O_MN, PE_UTA_UGM 2023'!H25</f>
        <v>#REF!</v>
      </c>
      <c r="AA51" s="131" t="e">
        <f aca="false">(#REF!+#REF!+L51)*'O_MN, PE_UTA_UGM 2023'!I25</f>
        <v>#REF!</v>
      </c>
      <c r="AB51" s="132" t="n">
        <f aca="false">IF(ISERROR(+ROUND(#REF!*N51/#REF!,3)),0,+ROUND(#REF!*N51/#REF!,3))</f>
        <v>0</v>
      </c>
      <c r="AC51" s="132" t="n">
        <f aca="false">IF(ISERROR(+ROUND(#REF!*O51/#REF!,3)),0,+ROUND(#REF!*O51/#REF!,3))</f>
        <v>0</v>
      </c>
      <c r="AD51" s="133" t="n">
        <f aca="false">IF(AND(AB51=0,AC51=0),0,#REF!*(#REF!-(#REF!*AB51/N51))+#REF!*(#REF!-(#REF!*AC51/O51)))</f>
        <v>0</v>
      </c>
      <c r="AE51" s="3"/>
      <c r="AF51" s="3"/>
      <c r="AG51" s="3"/>
      <c r="AH51" s="3"/>
      <c r="AI51" s="3"/>
    </row>
    <row r="52" customFormat="false" ht="15" hidden="false" customHeight="false" outlineLevel="0" collapsed="false">
      <c r="A52" s="3"/>
      <c r="B52" s="116"/>
      <c r="C52" s="134"/>
      <c r="D52" s="135"/>
      <c r="E52" s="119" t="n">
        <f aca="false">'O_MN, PE_UTA_UGM 2023'!B25</f>
        <v>122</v>
      </c>
      <c r="F52" s="120" t="str">
        <f aca="false">'O_MN, PE_UTA_UGM 2023'!C25</f>
        <v>ALGARROBO</v>
      </c>
      <c r="G52" s="121"/>
      <c r="H52" s="122"/>
      <c r="I52" s="122"/>
      <c r="J52" s="123"/>
      <c r="K52" s="124"/>
      <c r="L52" s="124"/>
      <c r="M52" s="112" t="e">
        <f aca="false">+IF(OR((#REF!+#REF!)&gt;0,(#REF!+#REF!)&gt;0,(K52+L52)&gt;0),"SI","NO")</f>
        <v>#REF!</v>
      </c>
      <c r="N52" s="136" t="n">
        <f aca="false">VLOOKUP(E53,'O_MN, PE_UTA_UGM 2023'!$B$1:$I$300,7,FALSE())</f>
        <v>0</v>
      </c>
      <c r="O52" s="136" t="n">
        <f aca="false">VLOOKUP(E53,'O_MN, PE_UTA_UGM 2023'!$B$1:$I$300,8,FALSE())</f>
        <v>600</v>
      </c>
      <c r="P52" s="45"/>
      <c r="Q52" s="126" t="n">
        <f aca="false">VLOOKUP(E53,'O_MN, PE_UTA_UGM 2023'!$B$1:$I$300,5,FALSE())</f>
        <v>1E-005</v>
      </c>
      <c r="R52" s="126" t="n">
        <f aca="false">VLOOKUP(E53,'O_MN, PE_UTA_UGM 2023'!$B$1:$I$300,6,FALSE())</f>
        <v>1E-005</v>
      </c>
      <c r="S52" s="45"/>
      <c r="T52" s="47"/>
      <c r="U52" s="127" t="n">
        <f aca="false">(H52*N52)+(I52*O52)+((K52*N52)+(L52*O52)*1.25)</f>
        <v>0</v>
      </c>
      <c r="V52" s="128"/>
      <c r="W52" s="128"/>
      <c r="X52" s="127" t="n">
        <f aca="false">(H52*Q52)+(I52*R52)+((K52*Q52)+(L52*R52)*1.25)</f>
        <v>0</v>
      </c>
      <c r="Y52" s="129"/>
      <c r="Z52" s="130" t="e">
        <f aca="false">(#REF!+#REF!+K52)*'O_MN, PE_UTA_UGM 2023'!H26</f>
        <v>#REF!</v>
      </c>
      <c r="AA52" s="131" t="e">
        <f aca="false">(#REF!+#REF!+L52)*'O_MN, PE_UTA_UGM 2023'!I26</f>
        <v>#REF!</v>
      </c>
      <c r="AB52" s="132" t="n">
        <f aca="false">IF(ISERROR(+ROUND(#REF!*N52/#REF!,3)),0,+ROUND(#REF!*N52/#REF!,3))</f>
        <v>0</v>
      </c>
      <c r="AC52" s="132" t="n">
        <f aca="false">IF(ISERROR(+ROUND(#REF!*O52/#REF!,3)),0,+ROUND(#REF!*O52/#REF!,3))</f>
        <v>0</v>
      </c>
      <c r="AD52" s="133" t="n">
        <f aca="false">IF(AND(AB52=0,AC52=0),0,#REF!*(#REF!-(#REF!*AB52/N52))+#REF!*(#REF!-(#REF!*AC52/O52)))</f>
        <v>0</v>
      </c>
      <c r="AE52" s="3"/>
      <c r="AF52" s="3"/>
      <c r="AG52" s="3"/>
      <c r="AH52" s="3"/>
      <c r="AI52" s="3"/>
    </row>
    <row r="53" customFormat="false" ht="15" hidden="false" customHeight="false" outlineLevel="0" collapsed="false">
      <c r="A53" s="3"/>
      <c r="B53" s="116"/>
      <c r="C53" s="134"/>
      <c r="D53" s="135"/>
      <c r="E53" s="119" t="n">
        <f aca="false">'O_MN, PE_UTA_UGM 2023'!B26</f>
        <v>81</v>
      </c>
      <c r="F53" s="120" t="str">
        <f aca="false">'O_MN, PE_UTA_UGM 2023'!C26</f>
        <v>ALGODÓN</v>
      </c>
      <c r="G53" s="121"/>
      <c r="H53" s="122"/>
      <c r="I53" s="122"/>
      <c r="J53" s="123"/>
      <c r="K53" s="124"/>
      <c r="L53" s="124"/>
      <c r="M53" s="112" t="e">
        <f aca="false">+IF(OR((#REF!+#REF!)&gt;0,(#REF!+#REF!)&gt;0,(K53+L53)&gt;0),"SI","NO")</f>
        <v>#REF!</v>
      </c>
      <c r="N53" s="136" t="n">
        <f aca="false">VLOOKUP(E54,'O_MN, PE_UTA_UGM 2023'!$B$1:$I$300,7,FALSE())</f>
        <v>700</v>
      </c>
      <c r="O53" s="136" t="n">
        <f aca="false">VLOOKUP(E54,'O_MN, PE_UTA_UGM 2023'!$B$1:$I$300,8,FALSE())</f>
        <v>1800</v>
      </c>
      <c r="P53" s="45"/>
      <c r="Q53" s="126" t="n">
        <f aca="false">VLOOKUP(E54,'O_MN, PE_UTA_UGM 2023'!$B$1:$I$300,5,FALSE())</f>
        <v>114.19</v>
      </c>
      <c r="R53" s="126" t="n">
        <f aca="false">VLOOKUP(E54,'O_MN, PE_UTA_UGM 2023'!$B$1:$I$300,6,FALSE())</f>
        <v>240.4</v>
      </c>
      <c r="S53" s="45"/>
      <c r="T53" s="47"/>
      <c r="U53" s="127" t="n">
        <f aca="false">(H53*N53)+(I53*O53)+((K53*N53)+(L53*O53)*1.25)</f>
        <v>0</v>
      </c>
      <c r="V53" s="128"/>
      <c r="W53" s="128"/>
      <c r="X53" s="127" t="n">
        <f aca="false">(H53*Q53)+(I53*R53)+((K53*Q53)+(L53*R53)*1.25)</f>
        <v>0</v>
      </c>
      <c r="Y53" s="129"/>
      <c r="Z53" s="130" t="e">
        <f aca="false">(#REF!+#REF!+K53)*'O_MN, PE_UTA_UGM 2023'!H27</f>
        <v>#REF!</v>
      </c>
      <c r="AA53" s="131" t="e">
        <f aca="false">(#REF!+#REF!+L53)*'O_MN, PE_UTA_UGM 2023'!I27</f>
        <v>#REF!</v>
      </c>
      <c r="AB53" s="132" t="n">
        <f aca="false">IF(ISERROR(+ROUND(#REF!*N53/#REF!,3)),0,+ROUND(#REF!*N53/#REF!,3))</f>
        <v>0</v>
      </c>
      <c r="AC53" s="132" t="n">
        <f aca="false">IF(ISERROR(+ROUND(#REF!*O53/#REF!,3)),0,+ROUND(#REF!*O53/#REF!,3))</f>
        <v>0</v>
      </c>
      <c r="AD53" s="133" t="n">
        <f aca="false">IF(AND(AB53=0,AC53=0),0,#REF!*(#REF!-(#REF!*AB53/N53))+#REF!*(#REF!-(#REF!*AC53/O53)))</f>
        <v>0</v>
      </c>
      <c r="AE53" s="3"/>
      <c r="AF53" s="3"/>
      <c r="AG53" s="3"/>
      <c r="AH53" s="3"/>
      <c r="AI53" s="3"/>
    </row>
    <row r="54" customFormat="false" ht="15" hidden="false" customHeight="false" outlineLevel="0" collapsed="false">
      <c r="A54" s="3"/>
      <c r="B54" s="116"/>
      <c r="C54" s="134"/>
      <c r="D54" s="135"/>
      <c r="E54" s="119" t="n">
        <f aca="false">'O_MN, PE_UTA_UGM 2023'!B27</f>
        <v>61</v>
      </c>
      <c r="F54" s="120" t="str">
        <f aca="false">'O_MN, PE_UTA_UGM 2023'!C27</f>
        <v>ALHOLVA</v>
      </c>
      <c r="G54" s="121"/>
      <c r="H54" s="122"/>
      <c r="I54" s="122"/>
      <c r="J54" s="123"/>
      <c r="K54" s="124"/>
      <c r="L54" s="124"/>
      <c r="M54" s="112" t="e">
        <f aca="false">+IF(OR((#REF!+#REF!)&gt;0,(#REF!+#REF!)&gt;0,(K54+L54)&gt;0),"SI","NO")</f>
        <v>#REF!</v>
      </c>
      <c r="N54" s="136" t="n">
        <f aca="false">VLOOKUP(E55,'O_MN, PE_UTA_UGM 2023'!$B$1:$I$300,7,FALSE())</f>
        <v>678.7</v>
      </c>
      <c r="O54" s="136" t="n">
        <f aca="false">VLOOKUP(E55,'O_MN, PE_UTA_UGM 2023'!$B$1:$I$300,8,FALSE())</f>
        <v>5000</v>
      </c>
      <c r="P54" s="45"/>
      <c r="Q54" s="126" t="n">
        <f aca="false">VLOOKUP(E55,'O_MN, PE_UTA_UGM 2023'!$B$1:$I$300,5,FALSE())</f>
        <v>405.68</v>
      </c>
      <c r="R54" s="126" t="n">
        <f aca="false">VLOOKUP(E55,'O_MN, PE_UTA_UGM 2023'!$B$1:$I$300,6,FALSE())</f>
        <v>1352.28</v>
      </c>
      <c r="S54" s="45"/>
      <c r="T54" s="47"/>
      <c r="U54" s="127" t="n">
        <f aca="false">(H54*N54)+(I54*O54)+((K54*N54)+(L54*O54)*1.25)</f>
        <v>0</v>
      </c>
      <c r="V54" s="128"/>
      <c r="W54" s="128"/>
      <c r="X54" s="127" t="n">
        <f aca="false">(H54*Q54)+(I54*R54)+((K54*Q54)+(L54*R54)*1.25)</f>
        <v>0</v>
      </c>
      <c r="Y54" s="129"/>
      <c r="Z54" s="130" t="e">
        <f aca="false">(#REF!+#REF!+K54)*'O_MN, PE_UTA_UGM 2023'!H28</f>
        <v>#REF!</v>
      </c>
      <c r="AA54" s="131" t="e">
        <f aca="false">(#REF!+#REF!+L54)*'O_MN, PE_UTA_UGM 2023'!I28</f>
        <v>#REF!</v>
      </c>
      <c r="AB54" s="132" t="n">
        <f aca="false">IF(ISERROR(+ROUND(#REF!*N54/#REF!,3)),0,+ROUND(#REF!*N54/#REF!,3))</f>
        <v>0</v>
      </c>
      <c r="AC54" s="132" t="n">
        <f aca="false">IF(ISERROR(+ROUND(#REF!*O54/#REF!,3)),0,+ROUND(#REF!*O54/#REF!,3))</f>
        <v>0</v>
      </c>
      <c r="AD54" s="133" t="n">
        <f aca="false">IF(AND(AB54=0,AC54=0),0,#REF!*(#REF!-(#REF!*AB54/N54))+#REF!*(#REF!-(#REF!*AC54/O54)))</f>
        <v>0</v>
      </c>
      <c r="AE54" s="3"/>
      <c r="AF54" s="3"/>
      <c r="AG54" s="3"/>
      <c r="AH54" s="3"/>
      <c r="AI54" s="3"/>
    </row>
    <row r="55" customFormat="false" ht="15" hidden="false" customHeight="false" outlineLevel="0" collapsed="false">
      <c r="A55" s="3"/>
      <c r="B55" s="116"/>
      <c r="C55" s="134"/>
      <c r="D55" s="135"/>
      <c r="E55" s="119" t="n">
        <f aca="false">'O_MN, PE_UTA_UGM 2023'!B28</f>
        <v>104</v>
      </c>
      <c r="F55" s="120" t="str">
        <f aca="false">'O_MN, PE_UTA_UGM 2023'!C28</f>
        <v>ALMENDROS</v>
      </c>
      <c r="G55" s="121"/>
      <c r="H55" s="122"/>
      <c r="I55" s="122"/>
      <c r="J55" s="123"/>
      <c r="K55" s="124"/>
      <c r="L55" s="124"/>
      <c r="M55" s="112" t="e">
        <f aca="false">+IF(OR((#REF!+#REF!)&gt;0,(#REF!+#REF!)&gt;0,(K55+L55)&gt;0),"SI","NO")</f>
        <v>#REF!</v>
      </c>
      <c r="N55" s="136" t="n">
        <f aca="false">VLOOKUP(E56,'O_MN, PE_UTA_UGM 2023'!$B$1:$I$300,7,FALSE())</f>
        <v>186.91</v>
      </c>
      <c r="O55" s="136" t="n">
        <f aca="false">VLOOKUP(E56,'O_MN, PE_UTA_UGM 2023'!$B$1:$I$300,8,FALSE())</f>
        <v>540.36</v>
      </c>
      <c r="P55" s="45"/>
      <c r="Q55" s="126" t="n">
        <f aca="false">VLOOKUP(E56,'O_MN, PE_UTA_UGM 2023'!$B$1:$I$300,5,FALSE())</f>
        <v>114.19</v>
      </c>
      <c r="R55" s="126" t="n">
        <f aca="false">VLOOKUP(E56,'O_MN, PE_UTA_UGM 2023'!$B$1:$I$300,6,FALSE())</f>
        <v>240.4</v>
      </c>
      <c r="S55" s="45"/>
      <c r="T55" s="47"/>
      <c r="U55" s="127" t="n">
        <f aca="false">(H55*N55)+(I55*O55)+((K55*N55)+(L55*O55)*1.25)</f>
        <v>0</v>
      </c>
      <c r="V55" s="128"/>
      <c r="W55" s="128"/>
      <c r="X55" s="127" t="n">
        <f aca="false">(H55*Q55)+(I55*R55)+((K55*Q55)+(L55*R55)*1.25)</f>
        <v>0</v>
      </c>
      <c r="Y55" s="129"/>
      <c r="Z55" s="130" t="e">
        <f aca="false">(#REF!+#REF!+K55)*'O_MN, PE_UTA_UGM 2023'!H29</f>
        <v>#REF!</v>
      </c>
      <c r="AA55" s="131" t="e">
        <f aca="false">(#REF!+#REF!+L55)*'O_MN, PE_UTA_UGM 2023'!I29</f>
        <v>#REF!</v>
      </c>
      <c r="AB55" s="132" t="n">
        <f aca="false">IF(ISERROR(+ROUND(#REF!*N55/#REF!,3)),0,+ROUND(#REF!*N55/#REF!,3))</f>
        <v>0</v>
      </c>
      <c r="AC55" s="132" t="n">
        <f aca="false">IF(ISERROR(+ROUND(#REF!*O55/#REF!,3)),0,+ROUND(#REF!*O55/#REF!,3))</f>
        <v>0</v>
      </c>
      <c r="AD55" s="133" t="n">
        <f aca="false">IF(AND(AB55=0,AC55=0),0,#REF!*(#REF!-(#REF!*AB55/N55))+#REF!*(#REF!-(#REF!*AC55/O55)))</f>
        <v>0</v>
      </c>
      <c r="AE55" s="3"/>
      <c r="AF55" s="3"/>
      <c r="AG55" s="3"/>
      <c r="AH55" s="3"/>
      <c r="AI55" s="3"/>
    </row>
    <row r="56" customFormat="false" ht="15" hidden="false" customHeight="false" outlineLevel="0" collapsed="false">
      <c r="A56" s="3"/>
      <c r="B56" s="116"/>
      <c r="C56" s="134"/>
      <c r="D56" s="135"/>
      <c r="E56" s="119" t="n">
        <f aca="false">'O_MN, PE_UTA_UGM 2023'!B29</f>
        <v>239</v>
      </c>
      <c r="F56" s="120" t="str">
        <f aca="false">'O_MN, PE_UTA_UGM 2023'!C29</f>
        <v>ALMORTA</v>
      </c>
      <c r="G56" s="121"/>
      <c r="H56" s="122"/>
      <c r="I56" s="122"/>
      <c r="J56" s="123"/>
      <c r="K56" s="124"/>
      <c r="L56" s="124"/>
      <c r="M56" s="112" t="e">
        <f aca="false">+IF(OR((#REF!+#REF!)&gt;0,(#REF!+#REF!)&gt;0,(K56+L56)&gt;0),"SI","NO")</f>
        <v>#REF!</v>
      </c>
      <c r="N56" s="136" t="n">
        <f aca="false">VLOOKUP(E57,'O_MN, PE_UTA_UGM 2023'!$B$1:$I$300,7,FALSE())</f>
        <v>1000</v>
      </c>
      <c r="O56" s="136" t="n">
        <f aca="false">VLOOKUP(E57,'O_MN, PE_UTA_UGM 2023'!$B$1:$I$300,8,FALSE())</f>
        <v>3800</v>
      </c>
      <c r="P56" s="45"/>
      <c r="Q56" s="126" t="n">
        <f aca="false">VLOOKUP(E57,'O_MN, PE_UTA_UGM 2023'!$B$1:$I$300,5,FALSE())</f>
        <v>114.19</v>
      </c>
      <c r="R56" s="126" t="n">
        <f aca="false">VLOOKUP(E57,'O_MN, PE_UTA_UGM 2023'!$B$1:$I$300,6,FALSE())</f>
        <v>240.4</v>
      </c>
      <c r="S56" s="45"/>
      <c r="T56" s="47"/>
      <c r="U56" s="127" t="n">
        <f aca="false">(H56*N56)+(I56*O56)+((K56*N56)+(L56*O56)*1.25)</f>
        <v>0</v>
      </c>
      <c r="V56" s="128"/>
      <c r="W56" s="128"/>
      <c r="X56" s="127" t="n">
        <f aca="false">(H56*Q56)+(I56*R56)+((K56*Q56)+(L56*R56)*1.25)</f>
        <v>0</v>
      </c>
      <c r="Y56" s="129"/>
      <c r="Z56" s="130" t="e">
        <f aca="false">(#REF!+#REF!+K56)*'O_MN, PE_UTA_UGM 2023'!H30</f>
        <v>#REF!</v>
      </c>
      <c r="AA56" s="131" t="e">
        <f aca="false">(#REF!+#REF!+L56)*'O_MN, PE_UTA_UGM 2023'!I30</f>
        <v>#REF!</v>
      </c>
      <c r="AB56" s="132" t="n">
        <f aca="false">IF(ISERROR(+ROUND(#REF!*N56/#REF!,3)),0,+ROUND(#REF!*N56/#REF!,3))</f>
        <v>0</v>
      </c>
      <c r="AC56" s="132" t="n">
        <f aca="false">IF(ISERROR(+ROUND(#REF!*O56/#REF!,3)),0,+ROUND(#REF!*O56/#REF!,3))</f>
        <v>0</v>
      </c>
      <c r="AD56" s="133" t="n">
        <f aca="false">IF(AND(AB56=0,AC56=0),0,#REF!*(#REF!-(#REF!*AB56/N56))+#REF!*(#REF!-(#REF!*AC56/O56)))</f>
        <v>0</v>
      </c>
      <c r="AE56" s="3"/>
      <c r="AF56" s="3"/>
      <c r="AG56" s="3"/>
      <c r="AH56" s="3"/>
      <c r="AI56" s="3"/>
    </row>
    <row r="57" customFormat="false" ht="15" hidden="false" customHeight="false" outlineLevel="0" collapsed="false">
      <c r="A57" s="3"/>
      <c r="B57" s="116"/>
      <c r="C57" s="134"/>
      <c r="D57" s="135"/>
      <c r="E57" s="119" t="n">
        <f aca="false">'O_MN, PE_UTA_UGM 2023'!B30</f>
        <v>290</v>
      </c>
      <c r="F57" s="120" t="str">
        <f aca="false">'O_MN, PE_UTA_UGM 2023'!C30</f>
        <v>ALOE VERA</v>
      </c>
      <c r="G57" s="121"/>
      <c r="H57" s="122"/>
      <c r="I57" s="122"/>
      <c r="J57" s="123"/>
      <c r="K57" s="124"/>
      <c r="L57" s="124"/>
      <c r="M57" s="112" t="e">
        <f aca="false">+IF(OR((#REF!+#REF!)&gt;0,(#REF!+#REF!)&gt;0,(K57+L57)&gt;0),"SI","NO")</f>
        <v>#REF!</v>
      </c>
      <c r="N57" s="136" t="n">
        <f aca="false">VLOOKUP(E58,'O_MN, PE_UTA_UGM 2023'!$B$1:$I$300,7,FALSE())</f>
        <v>365.73</v>
      </c>
      <c r="O57" s="136" t="n">
        <f aca="false">VLOOKUP(E58,'O_MN, PE_UTA_UGM 2023'!$B$1:$I$300,8,FALSE())</f>
        <v>600</v>
      </c>
      <c r="P57" s="45"/>
      <c r="Q57" s="126" t="n">
        <f aca="false">VLOOKUP(E58,'O_MN, PE_UTA_UGM 2023'!$B$1:$I$300,5,FALSE())</f>
        <v>114.19</v>
      </c>
      <c r="R57" s="126" t="n">
        <f aca="false">VLOOKUP(E58,'O_MN, PE_UTA_UGM 2023'!$B$1:$I$300,6,FALSE())</f>
        <v>240.4</v>
      </c>
      <c r="S57" s="45"/>
      <c r="T57" s="47"/>
      <c r="U57" s="127" t="n">
        <f aca="false">(H57*N57)+(I57*O57)+((K57*N57)+(L57*O57)*1.25)</f>
        <v>0</v>
      </c>
      <c r="V57" s="128"/>
      <c r="W57" s="128"/>
      <c r="X57" s="127" t="n">
        <f aca="false">(H57*Q57)+(I57*R57)+((K57*Q57)+(L57*R57)*1.25)</f>
        <v>0</v>
      </c>
      <c r="Y57" s="129"/>
      <c r="Z57" s="130" t="e">
        <f aca="false">(#REF!+#REF!+K57)*'O_MN, PE_UTA_UGM 2023'!H31</f>
        <v>#REF!</v>
      </c>
      <c r="AA57" s="131" t="e">
        <f aca="false">(#REF!+#REF!+L57)*'O_MN, PE_UTA_UGM 2023'!I31</f>
        <v>#REF!</v>
      </c>
      <c r="AB57" s="132" t="n">
        <f aca="false">IF(ISERROR(+ROUND(#REF!*N57/#REF!,3)),0,+ROUND(#REF!*N57/#REF!,3))</f>
        <v>0</v>
      </c>
      <c r="AC57" s="132" t="n">
        <f aca="false">IF(ISERROR(+ROUND(#REF!*O57/#REF!,3)),0,+ROUND(#REF!*O57/#REF!,3))</f>
        <v>0</v>
      </c>
      <c r="AD57" s="133" t="n">
        <f aca="false">IF(AND(AB57=0,AC57=0),0,#REF!*(#REF!-(#REF!*AB57/N57))+#REF!*(#REF!-(#REF!*AC57/O57)))</f>
        <v>0</v>
      </c>
      <c r="AE57" s="3"/>
      <c r="AF57" s="3"/>
      <c r="AG57" s="3"/>
      <c r="AH57" s="3"/>
      <c r="AI57" s="3"/>
    </row>
    <row r="58" customFormat="false" ht="15" hidden="false" customHeight="false" outlineLevel="0" collapsed="false">
      <c r="A58" s="3"/>
      <c r="B58" s="116"/>
      <c r="C58" s="134"/>
      <c r="D58" s="135"/>
      <c r="E58" s="119" t="n">
        <f aca="false">'O_MN, PE_UTA_UGM 2023'!B31</f>
        <v>11</v>
      </c>
      <c r="F58" s="120" t="str">
        <f aca="false">'O_MN, PE_UTA_UGM 2023'!C31</f>
        <v>ALPISTE</v>
      </c>
      <c r="G58" s="121"/>
      <c r="H58" s="122"/>
      <c r="I58" s="122"/>
      <c r="J58" s="123"/>
      <c r="K58" s="124"/>
      <c r="L58" s="124"/>
      <c r="M58" s="112" t="e">
        <f aca="false">+IF(OR((#REF!+#REF!)&gt;0,(#REF!+#REF!)&gt;0,(K58+L58)&gt;0),"SI","NO")</f>
        <v>#REF!</v>
      </c>
      <c r="N58" s="136" t="n">
        <f aca="false">VLOOKUP(E59,'O_MN, PE_UTA_UGM 2023'!$B$1:$I$300,7,FALSE())</f>
        <v>186.91</v>
      </c>
      <c r="O58" s="136" t="n">
        <f aca="false">VLOOKUP(E59,'O_MN, PE_UTA_UGM 2023'!$B$1:$I$300,8,FALSE())</f>
        <v>540.36</v>
      </c>
      <c r="P58" s="45"/>
      <c r="Q58" s="126" t="n">
        <f aca="false">VLOOKUP(E59,'O_MN, PE_UTA_UGM 2023'!$B$1:$I$300,5,FALSE())</f>
        <v>114.19</v>
      </c>
      <c r="R58" s="126" t="n">
        <f aca="false">VLOOKUP(E59,'O_MN, PE_UTA_UGM 2023'!$B$1:$I$300,6,FALSE())</f>
        <v>240.4</v>
      </c>
      <c r="S58" s="45"/>
      <c r="T58" s="47"/>
      <c r="U58" s="127" t="n">
        <f aca="false">(H58*N58)+(I58*O58)+((K58*N58)+(L58*O58)*1.25)</f>
        <v>0</v>
      </c>
      <c r="V58" s="128"/>
      <c r="W58" s="128"/>
      <c r="X58" s="127" t="n">
        <f aca="false">(H58*Q58)+(I58*R58)+((K58*Q58)+(L58*R58)*1.25)</f>
        <v>0</v>
      </c>
      <c r="Y58" s="129"/>
      <c r="Z58" s="130" t="e">
        <f aca="false">(#REF!+#REF!+K58)*'O_MN, PE_UTA_UGM 2023'!H32</f>
        <v>#REF!</v>
      </c>
      <c r="AA58" s="131" t="e">
        <f aca="false">(#REF!+#REF!+L58)*'O_MN, PE_UTA_UGM 2023'!I32</f>
        <v>#REF!</v>
      </c>
      <c r="AB58" s="132" t="n">
        <f aca="false">IF(ISERROR(+ROUND(#REF!*N58/#REF!,3)),0,+ROUND(#REF!*N58/#REF!,3))</f>
        <v>0</v>
      </c>
      <c r="AC58" s="132" t="n">
        <f aca="false">IF(ISERROR(+ROUND(#REF!*O58/#REF!,3)),0,+ROUND(#REF!*O58/#REF!,3))</f>
        <v>0</v>
      </c>
      <c r="AD58" s="133" t="n">
        <f aca="false">IF(AND(AB58=0,AC58=0),0,#REF!*(#REF!-(#REF!*AB58/N58))+#REF!*(#REF!-(#REF!*AC58/O58)))</f>
        <v>0</v>
      </c>
      <c r="AE58" s="3"/>
      <c r="AF58" s="3"/>
      <c r="AG58" s="3"/>
      <c r="AH58" s="3"/>
      <c r="AI58" s="3"/>
    </row>
    <row r="59" customFormat="false" ht="15" hidden="false" customHeight="false" outlineLevel="0" collapsed="false">
      <c r="A59" s="3"/>
      <c r="B59" s="116"/>
      <c r="C59" s="134"/>
      <c r="D59" s="135"/>
      <c r="E59" s="119" t="n">
        <f aca="false">'O_MN, PE_UTA_UGM 2023'!B32</f>
        <v>238</v>
      </c>
      <c r="F59" s="120" t="str">
        <f aca="false">'O_MN, PE_UTA_UGM 2023'!C32</f>
        <v>ALTRAMUZ</v>
      </c>
      <c r="G59" s="121"/>
      <c r="H59" s="122"/>
      <c r="I59" s="122"/>
      <c r="J59" s="123"/>
      <c r="K59" s="124"/>
      <c r="L59" s="124"/>
      <c r="M59" s="112" t="e">
        <f aca="false">+IF(OR((#REF!+#REF!)&gt;0,(#REF!+#REF!)&gt;0,(K59+L59)&gt;0),"SI","NO")</f>
        <v>#REF!</v>
      </c>
      <c r="N59" s="136" t="n">
        <f aca="false">VLOOKUP(E60,'O_MN, PE_UTA_UGM 2023'!$B$1:$I$300,7,FALSE())</f>
        <v>350</v>
      </c>
      <c r="O59" s="136" t="n">
        <f aca="false">VLOOKUP(E60,'O_MN, PE_UTA_UGM 2023'!$B$1:$I$300,8,FALSE())</f>
        <v>750</v>
      </c>
      <c r="P59" s="45"/>
      <c r="Q59" s="126" t="n">
        <f aca="false">VLOOKUP(E60,'O_MN, PE_UTA_UGM 2023'!$B$1:$I$300,5,FALSE())</f>
        <v>114.19</v>
      </c>
      <c r="R59" s="126" t="n">
        <f aca="false">VLOOKUP(E60,'O_MN, PE_UTA_UGM 2023'!$B$1:$I$300,6,FALSE())</f>
        <v>240.4</v>
      </c>
      <c r="S59" s="45"/>
      <c r="T59" s="47"/>
      <c r="U59" s="127" t="n">
        <f aca="false">(H59*N59)+(I59*O59)+((K59*N59)+(L59*O59)*1.25)</f>
        <v>0</v>
      </c>
      <c r="V59" s="128"/>
      <c r="W59" s="128"/>
      <c r="X59" s="127" t="n">
        <f aca="false">(H59*Q59)+(I59*R59)+((K59*Q59)+(L59*R59)*1.25)</f>
        <v>0</v>
      </c>
      <c r="Y59" s="129"/>
      <c r="Z59" s="130" t="e">
        <f aca="false">(#REF!+#REF!+K59)*'O_MN, PE_UTA_UGM 2023'!H33</f>
        <v>#REF!</v>
      </c>
      <c r="AA59" s="131" t="e">
        <f aca="false">(#REF!+#REF!+L59)*'O_MN, PE_UTA_UGM 2023'!I33</f>
        <v>#REF!</v>
      </c>
      <c r="AB59" s="132" t="n">
        <f aca="false">IF(ISERROR(+ROUND(#REF!*N59/#REF!,3)),0,+ROUND(#REF!*N59/#REF!,3))</f>
        <v>0</v>
      </c>
      <c r="AC59" s="132" t="n">
        <f aca="false">IF(ISERROR(+ROUND(#REF!*O59/#REF!,3)),0,+ROUND(#REF!*O59/#REF!,3))</f>
        <v>0</v>
      </c>
      <c r="AD59" s="133" t="n">
        <f aca="false">IF(AND(AB59=0,AC59=0),0,#REF!*(#REF!-(#REF!*AB59/N59))+#REF!*(#REF!-(#REF!*AC59/O59)))</f>
        <v>0</v>
      </c>
      <c r="AE59" s="3"/>
      <c r="AF59" s="3"/>
      <c r="AG59" s="3"/>
      <c r="AH59" s="3"/>
      <c r="AI59" s="3"/>
    </row>
    <row r="60" customFormat="false" ht="15" hidden="false" customHeight="false" outlineLevel="0" collapsed="false">
      <c r="A60" s="3"/>
      <c r="B60" s="116"/>
      <c r="C60" s="134"/>
      <c r="D60" s="135"/>
      <c r="E60" s="119" t="n">
        <f aca="false">'O_MN, PE_UTA_UGM 2023'!B33</f>
        <v>43</v>
      </c>
      <c r="F60" s="120" t="str">
        <f aca="false">'O_MN, PE_UTA_UGM 2023'!C33</f>
        <v>ALTRAMUZ DULCE</v>
      </c>
      <c r="G60" s="121"/>
      <c r="H60" s="122"/>
      <c r="I60" s="122"/>
      <c r="J60" s="123"/>
      <c r="K60" s="124"/>
      <c r="L60" s="124"/>
      <c r="M60" s="112" t="e">
        <f aca="false">+IF(OR((#REF!+#REF!)&gt;0,(#REF!+#REF!)&gt;0,(K60+L60)&gt;0),"SI","NO")</f>
        <v>#REF!</v>
      </c>
      <c r="N60" s="136" t="n">
        <f aca="false">VLOOKUP(E61,'O_MN, PE_UTA_UGM 2023'!$B$1:$I$300,7,FALSE())</f>
        <v>350</v>
      </c>
      <c r="O60" s="136" t="n">
        <f aca="false">VLOOKUP(E61,'O_MN, PE_UTA_UGM 2023'!$B$1:$I$300,8,FALSE())</f>
        <v>750</v>
      </c>
      <c r="P60" s="45"/>
      <c r="Q60" s="126" t="n">
        <f aca="false">VLOOKUP(E61,'O_MN, PE_UTA_UGM 2023'!$B$1:$I$300,5,FALSE())</f>
        <v>114.19</v>
      </c>
      <c r="R60" s="126" t="n">
        <f aca="false">VLOOKUP(E61,'O_MN, PE_UTA_UGM 2023'!$B$1:$I$300,6,FALSE())</f>
        <v>240.4</v>
      </c>
      <c r="S60" s="45"/>
      <c r="T60" s="47"/>
      <c r="U60" s="127" t="n">
        <f aca="false">(H60*N60)+(I60*O60)+((K60*N60)+(L60*O60)*1.25)</f>
        <v>0</v>
      </c>
      <c r="V60" s="128"/>
      <c r="W60" s="128"/>
      <c r="X60" s="127" t="n">
        <f aca="false">(H60*Q60)+(I60*R60)+((K60*Q60)+(L60*R60)*1.25)</f>
        <v>0</v>
      </c>
      <c r="Y60" s="129"/>
      <c r="Z60" s="130" t="e">
        <f aca="false">(#REF!+#REF!+K60)*'O_MN, PE_UTA_UGM 2023'!H34</f>
        <v>#REF!</v>
      </c>
      <c r="AA60" s="131" t="e">
        <f aca="false">(#REF!+#REF!+L60)*'O_MN, PE_UTA_UGM 2023'!I34</f>
        <v>#REF!</v>
      </c>
      <c r="AB60" s="132" t="n">
        <f aca="false">IF(ISERROR(+ROUND(#REF!*N60/#REF!,3)),0,+ROUND(#REF!*N60/#REF!,3))</f>
        <v>0</v>
      </c>
      <c r="AC60" s="132" t="n">
        <f aca="false">IF(ISERROR(+ROUND(#REF!*O60/#REF!,3)),0,+ROUND(#REF!*O60/#REF!,3))</f>
        <v>0</v>
      </c>
      <c r="AD60" s="133" t="n">
        <f aca="false">IF(AND(AB60=0,AC60=0),0,#REF!*(#REF!-(#REF!*AB60/N60))+#REF!*(#REF!-(#REF!*AC60/O60)))</f>
        <v>0</v>
      </c>
      <c r="AE60" s="3"/>
      <c r="AF60" s="3"/>
      <c r="AG60" s="3"/>
      <c r="AH60" s="3"/>
      <c r="AI60" s="3"/>
    </row>
    <row r="61" customFormat="false" ht="15" hidden="false" customHeight="false" outlineLevel="0" collapsed="false">
      <c r="A61" s="3"/>
      <c r="B61" s="116"/>
      <c r="C61" s="134"/>
      <c r="D61" s="135"/>
      <c r="E61" s="119" t="n">
        <f aca="false">'O_MN, PE_UTA_UGM 2023'!B34</f>
        <v>49</v>
      </c>
      <c r="F61" s="120" t="str">
        <f aca="false">'O_MN, PE_UTA_UGM 2023'!C34</f>
        <v>ALUBIAS</v>
      </c>
      <c r="G61" s="121"/>
      <c r="H61" s="122"/>
      <c r="I61" s="122"/>
      <c r="J61" s="123"/>
      <c r="K61" s="124"/>
      <c r="L61" s="124"/>
      <c r="M61" s="112" t="e">
        <f aca="false">+IF(OR((#REF!+#REF!)&gt;0,(#REF!+#REF!)&gt;0,(K61+L61)&gt;0),"SI","NO")</f>
        <v>#REF!</v>
      </c>
      <c r="N61" s="136" t="n">
        <f aca="false">VLOOKUP(E62,'O_MN, PE_UTA_UGM 2023'!$B$1:$I$300,7,FALSE())</f>
        <v>500</v>
      </c>
      <c r="O61" s="136" t="n">
        <f aca="false">VLOOKUP(E62,'O_MN, PE_UTA_UGM 2023'!$B$1:$I$300,8,FALSE())</f>
        <v>1500</v>
      </c>
      <c r="P61" s="45"/>
      <c r="Q61" s="126" t="n">
        <f aca="false">VLOOKUP(E62,'O_MN, PE_UTA_UGM 2023'!$B$1:$I$300,5,FALSE())</f>
        <v>114.19</v>
      </c>
      <c r="R61" s="126" t="n">
        <f aca="false">VLOOKUP(E62,'O_MN, PE_UTA_UGM 2023'!$B$1:$I$300,6,FALSE())</f>
        <v>240.4</v>
      </c>
      <c r="S61" s="45"/>
      <c r="T61" s="47"/>
      <c r="U61" s="127" t="n">
        <f aca="false">(H61*N61)+(I61*O61)+((K61*N61)+(L61*O61)*1.25)</f>
        <v>0</v>
      </c>
      <c r="V61" s="128"/>
      <c r="W61" s="128"/>
      <c r="X61" s="127" t="n">
        <f aca="false">(H61*Q61)+(I61*R61)+((K61*Q61)+(L61*R61)*1.25)</f>
        <v>0</v>
      </c>
      <c r="Y61" s="129"/>
      <c r="Z61" s="130" t="e">
        <f aca="false">(#REF!+#REF!+K61)*'O_MN, PE_UTA_UGM 2023'!H35</f>
        <v>#REF!</v>
      </c>
      <c r="AA61" s="131" t="e">
        <f aca="false">(#REF!+#REF!+L61)*'O_MN, PE_UTA_UGM 2023'!I35</f>
        <v>#REF!</v>
      </c>
      <c r="AB61" s="132" t="n">
        <f aca="false">IF(ISERROR(+ROUND(#REF!*N61/#REF!,3)),0,+ROUND(#REF!*N61/#REF!,3))</f>
        <v>0</v>
      </c>
      <c r="AC61" s="132" t="n">
        <f aca="false">IF(ISERROR(+ROUND(#REF!*O61/#REF!,3)),0,+ROUND(#REF!*O61/#REF!,3))</f>
        <v>0</v>
      </c>
      <c r="AD61" s="133" t="n">
        <f aca="false">IF(AND(AB61=0,AC61=0),0,#REF!*(#REF!-(#REF!*AB61/N61))+#REF!*(#REF!-(#REF!*AC61/O61)))</f>
        <v>0</v>
      </c>
      <c r="AE61" s="3"/>
      <c r="AF61" s="3"/>
      <c r="AG61" s="3"/>
      <c r="AH61" s="3"/>
      <c r="AI61" s="3"/>
    </row>
    <row r="62" customFormat="false" ht="15" hidden="false" customHeight="false" outlineLevel="0" collapsed="false">
      <c r="A62" s="3"/>
      <c r="B62" s="116"/>
      <c r="C62" s="134"/>
      <c r="D62" s="135"/>
      <c r="E62" s="119" t="n">
        <f aca="false">'O_MN, PE_UTA_UGM 2023'!B35</f>
        <v>249</v>
      </c>
      <c r="F62" s="120" t="str">
        <f aca="false">'O_MN, PE_UTA_UGM 2023'!C35</f>
        <v>ALVERJA</v>
      </c>
      <c r="G62" s="121"/>
      <c r="H62" s="122"/>
      <c r="I62" s="122"/>
      <c r="J62" s="123"/>
      <c r="K62" s="124"/>
      <c r="L62" s="124"/>
      <c r="M62" s="112" t="e">
        <f aca="false">+IF(OR((#REF!+#REF!)&gt;0,(#REF!+#REF!)&gt;0,(K62+L62)&gt;0),"SI","NO")</f>
        <v>#REF!</v>
      </c>
      <c r="N62" s="136" t="n">
        <f aca="false">VLOOKUP(E63,'O_MN, PE_UTA_UGM 2023'!$B$1:$I$300,7,FALSE())</f>
        <v>522.73</v>
      </c>
      <c r="O62" s="136" t="n">
        <f aca="false">VLOOKUP(E63,'O_MN, PE_UTA_UGM 2023'!$B$1:$I$300,8,FALSE())</f>
        <v>1000</v>
      </c>
      <c r="P62" s="45"/>
      <c r="Q62" s="126" t="n">
        <f aca="false">VLOOKUP(E63,'O_MN, PE_UTA_UGM 2023'!$B$1:$I$300,5,FALSE())</f>
        <v>114.19</v>
      </c>
      <c r="R62" s="126" t="n">
        <f aca="false">VLOOKUP(E63,'O_MN, PE_UTA_UGM 2023'!$B$1:$I$300,6,FALSE())</f>
        <v>240.4</v>
      </c>
      <c r="S62" s="45"/>
      <c r="T62" s="47"/>
      <c r="U62" s="127" t="n">
        <f aca="false">(H62*N62)+(I62*O62)+((K62*N62)+(L62*O62)*1.25)</f>
        <v>0</v>
      </c>
      <c r="V62" s="128"/>
      <c r="W62" s="128"/>
      <c r="X62" s="127" t="n">
        <f aca="false">(H62*Q62)+(I62*R62)+((K62*Q62)+(L62*R62)*1.25)</f>
        <v>0</v>
      </c>
      <c r="Y62" s="129"/>
      <c r="Z62" s="130" t="e">
        <f aca="false">(#REF!+#REF!+K62)*'O_MN, PE_UTA_UGM 2023'!H36</f>
        <v>#REF!</v>
      </c>
      <c r="AA62" s="131" t="e">
        <f aca="false">(#REF!+#REF!+L62)*'O_MN, PE_UTA_UGM 2023'!I36</f>
        <v>#REF!</v>
      </c>
      <c r="AB62" s="132" t="n">
        <f aca="false">IF(ISERROR(+ROUND(#REF!*N62/#REF!,3)),0,+ROUND(#REF!*N62/#REF!,3))</f>
        <v>0</v>
      </c>
      <c r="AC62" s="132" t="n">
        <f aca="false">IF(ISERROR(+ROUND(#REF!*O62/#REF!,3)),0,+ROUND(#REF!*O62/#REF!,3))</f>
        <v>0</v>
      </c>
      <c r="AD62" s="133" t="n">
        <f aca="false">IF(AND(AB62=0,AC62=0),0,#REF!*(#REF!-(#REF!*AB62/N62))+#REF!*(#REF!-(#REF!*AC62/O62)))</f>
        <v>0</v>
      </c>
      <c r="AE62" s="3"/>
      <c r="AF62" s="3"/>
      <c r="AG62" s="3"/>
      <c r="AH62" s="3"/>
      <c r="AI62" s="3"/>
    </row>
    <row r="63" customFormat="false" ht="15" hidden="false" customHeight="false" outlineLevel="0" collapsed="false">
      <c r="A63" s="3"/>
      <c r="B63" s="116"/>
      <c r="C63" s="134"/>
      <c r="D63" s="135"/>
      <c r="E63" s="119" t="n">
        <f aca="false">'O_MN, PE_UTA_UGM 2023'!B36</f>
        <v>329</v>
      </c>
      <c r="F63" s="120" t="str">
        <f aca="false">'O_MN, PE_UTA_UGM 2023'!C36</f>
        <v>AMARANTO</v>
      </c>
      <c r="G63" s="121"/>
      <c r="H63" s="122"/>
      <c r="I63" s="122"/>
      <c r="J63" s="123"/>
      <c r="K63" s="124"/>
      <c r="L63" s="124"/>
      <c r="M63" s="112" t="e">
        <f aca="false">+IF(OR((#REF!+#REF!)&gt;0,(#REF!+#REF!)&gt;0,(K63+L63)&gt;0),"SI","NO")</f>
        <v>#REF!</v>
      </c>
      <c r="N63" s="136" t="n">
        <f aca="false">VLOOKUP(E64,'O_MN, PE_UTA_UGM 2023'!$B$1:$I$300,7,FALSE())</f>
        <v>1000</v>
      </c>
      <c r="O63" s="136" t="n">
        <f aca="false">VLOOKUP(E64,'O_MN, PE_UTA_UGM 2023'!$B$1:$I$300,8,FALSE())</f>
        <v>3800</v>
      </c>
      <c r="P63" s="45"/>
      <c r="Q63" s="126" t="n">
        <f aca="false">VLOOKUP(E64,'O_MN, PE_UTA_UGM 2023'!$B$1:$I$300,5,FALSE())</f>
        <v>114.19</v>
      </c>
      <c r="R63" s="126" t="n">
        <f aca="false">VLOOKUP(E64,'O_MN, PE_UTA_UGM 2023'!$B$1:$I$300,6,FALSE())</f>
        <v>240.4</v>
      </c>
      <c r="S63" s="45"/>
      <c r="T63" s="47"/>
      <c r="U63" s="127" t="n">
        <f aca="false">(H63*N63)+(I63*O63)+((K63*N63)+(L63*O63)*1.25)</f>
        <v>0</v>
      </c>
      <c r="V63" s="128"/>
      <c r="W63" s="128"/>
      <c r="X63" s="127" t="n">
        <f aca="false">(H63*Q63)+(I63*R63)+((K63*Q63)+(L63*R63)*1.25)</f>
        <v>0</v>
      </c>
      <c r="Y63" s="129"/>
      <c r="Z63" s="130" t="e">
        <f aca="false">(#REF!+#REF!+K63)*'O_MN, PE_UTA_UGM 2023'!H37</f>
        <v>#REF!</v>
      </c>
      <c r="AA63" s="131" t="e">
        <f aca="false">(#REF!+#REF!+L63)*'O_MN, PE_UTA_UGM 2023'!I37</f>
        <v>#REF!</v>
      </c>
      <c r="AB63" s="132" t="n">
        <f aca="false">IF(ISERROR(+ROUND(#REF!*N63/#REF!,3)),0,+ROUND(#REF!*N63/#REF!,3))</f>
        <v>0</v>
      </c>
      <c r="AC63" s="132" t="n">
        <f aca="false">IF(ISERROR(+ROUND(#REF!*O63/#REF!,3)),0,+ROUND(#REF!*O63/#REF!,3))</f>
        <v>0</v>
      </c>
      <c r="AD63" s="133" t="n">
        <f aca="false">IF(AND(AB63=0,AC63=0),0,#REF!*(#REF!-(#REF!*AB63/N63))+#REF!*(#REF!-(#REF!*AC63/O63)))</f>
        <v>0</v>
      </c>
      <c r="AE63" s="3"/>
      <c r="AF63" s="3"/>
      <c r="AG63" s="3"/>
      <c r="AH63" s="3"/>
      <c r="AI63" s="3"/>
    </row>
    <row r="64" customFormat="false" ht="15" hidden="false" customHeight="false" outlineLevel="0" collapsed="false">
      <c r="A64" s="3"/>
      <c r="B64" s="116"/>
      <c r="C64" s="134"/>
      <c r="D64" s="135"/>
      <c r="E64" s="119" t="n">
        <f aca="false">'O_MN, PE_UTA_UGM 2023'!B37</f>
        <v>253</v>
      </c>
      <c r="F64" s="120" t="str">
        <f aca="false">'O_MN, PE_UTA_UGM 2023'!C37</f>
        <v>ANÍS DULCE</v>
      </c>
      <c r="G64" s="121"/>
      <c r="H64" s="122"/>
      <c r="I64" s="122"/>
      <c r="J64" s="123"/>
      <c r="K64" s="124"/>
      <c r="L64" s="124"/>
      <c r="M64" s="112" t="e">
        <f aca="false">+IF(OR((#REF!+#REF!)&gt;0,(#REF!+#REF!)&gt;0,(K64+L64)&gt;0),"SI","NO")</f>
        <v>#REF!</v>
      </c>
      <c r="N64" s="136" t="n">
        <f aca="false">VLOOKUP(E65,'O_MN, PE_UTA_UGM 2023'!$B$1:$I$300,7,FALSE())</f>
        <v>0</v>
      </c>
      <c r="O64" s="136" t="n">
        <f aca="false">VLOOKUP(E65,'O_MN, PE_UTA_UGM 2023'!$B$1:$I$300,8,FALSE())</f>
        <v>5200</v>
      </c>
      <c r="P64" s="45"/>
      <c r="Q64" s="126" t="n">
        <f aca="false">VLOOKUP(E65,'O_MN, PE_UTA_UGM 2023'!$B$1:$I$300,5,FALSE())</f>
        <v>360.61</v>
      </c>
      <c r="R64" s="126" t="n">
        <f aca="false">VLOOKUP(E65,'O_MN, PE_UTA_UGM 2023'!$B$1:$I$300,6,FALSE())</f>
        <v>1352.28</v>
      </c>
      <c r="S64" s="45"/>
      <c r="T64" s="47"/>
      <c r="U64" s="127" t="n">
        <f aca="false">(H64*N64)+(I64*O64)+((K64*N64)+(L64*O64)*1.25)</f>
        <v>0</v>
      </c>
      <c r="V64" s="128"/>
      <c r="W64" s="128"/>
      <c r="X64" s="127" t="n">
        <f aca="false">(H64*Q64)+(I64*R64)+((K64*Q64)+(L64*R64)*1.25)</f>
        <v>0</v>
      </c>
      <c r="Y64" s="129"/>
      <c r="Z64" s="130" t="e">
        <f aca="false">(#REF!+#REF!+K64)*'O_MN, PE_UTA_UGM 2023'!H38</f>
        <v>#REF!</v>
      </c>
      <c r="AA64" s="131" t="e">
        <f aca="false">(#REF!+#REF!+L64)*'O_MN, PE_UTA_UGM 2023'!I38</f>
        <v>#REF!</v>
      </c>
      <c r="AB64" s="132" t="n">
        <f aca="false">IF(ISERROR(+ROUND(#REF!*N64/#REF!,3)),0,+ROUND(#REF!*N64/#REF!,3))</f>
        <v>0</v>
      </c>
      <c r="AC64" s="132" t="n">
        <f aca="false">IF(ISERROR(+ROUND(#REF!*O64/#REF!,3)),0,+ROUND(#REF!*O64/#REF!,3))</f>
        <v>0</v>
      </c>
      <c r="AD64" s="133" t="n">
        <f aca="false">IF(AND(AB64=0,AC64=0),0,#REF!*(#REF!-(#REF!*AB64/N64))+#REF!*(#REF!-(#REF!*AC64/O64)))</f>
        <v>0</v>
      </c>
      <c r="AE64" s="3"/>
      <c r="AF64" s="3"/>
      <c r="AG64" s="3"/>
      <c r="AH64" s="3"/>
      <c r="AI64" s="3"/>
    </row>
    <row r="65" customFormat="false" ht="15" hidden="false" customHeight="false" outlineLevel="0" collapsed="false">
      <c r="A65" s="3"/>
      <c r="B65" s="116"/>
      <c r="C65" s="134"/>
      <c r="D65" s="135"/>
      <c r="E65" s="119" t="n">
        <f aca="false">'O_MN, PE_UTA_UGM 2023'!B38</f>
        <v>158</v>
      </c>
      <c r="F65" s="120" t="str">
        <f aca="false">'O_MN, PE_UTA_UGM 2023'!C38</f>
        <v>APIO</v>
      </c>
      <c r="G65" s="121"/>
      <c r="H65" s="122"/>
      <c r="I65" s="122"/>
      <c r="J65" s="123"/>
      <c r="K65" s="124"/>
      <c r="L65" s="124"/>
      <c r="M65" s="112" t="e">
        <f aca="false">+IF(OR((#REF!+#REF!)&gt;0,(#REF!+#REF!)&gt;0,(K65+L65)&gt;0),"SI","NO")</f>
        <v>#REF!</v>
      </c>
      <c r="N65" s="136" t="n">
        <f aca="false">VLOOKUP(E66,'O_MN, PE_UTA_UGM 2023'!$B$1:$I$300,7,FALSE())</f>
        <v>0</v>
      </c>
      <c r="O65" s="136" t="n">
        <f aca="false">VLOOKUP(E66,'O_MN, PE_UTA_UGM 2023'!$B$1:$I$300,8,FALSE())</f>
        <v>3800</v>
      </c>
      <c r="P65" s="45"/>
      <c r="Q65" s="126" t="n">
        <f aca="false">VLOOKUP(E66,'O_MN, PE_UTA_UGM 2023'!$B$1:$I$300,5,FALSE())</f>
        <v>450.76</v>
      </c>
      <c r="R65" s="126" t="n">
        <f aca="false">VLOOKUP(E66,'O_MN, PE_UTA_UGM 2023'!$B$1:$I$300,6,FALSE())</f>
        <v>721.21</v>
      </c>
      <c r="S65" s="45"/>
      <c r="T65" s="47"/>
      <c r="U65" s="127" t="n">
        <f aca="false">(H65*N65)+(I65*O65)+((K65*N65)+(L65*O65)*1.25)</f>
        <v>0</v>
      </c>
      <c r="V65" s="128"/>
      <c r="W65" s="128"/>
      <c r="X65" s="127" t="n">
        <f aca="false">(H65*Q65)+(I65*R65)+((K65*Q65)+(L65*R65)*1.25)</f>
        <v>0</v>
      </c>
      <c r="Y65" s="129"/>
      <c r="Z65" s="130" t="e">
        <f aca="false">(#REF!+#REF!+K65)*'O_MN, PE_UTA_UGM 2023'!H39</f>
        <v>#REF!</v>
      </c>
      <c r="AA65" s="131" t="e">
        <f aca="false">(#REF!+#REF!+L65)*'O_MN, PE_UTA_UGM 2023'!I39</f>
        <v>#REF!</v>
      </c>
      <c r="AB65" s="132" t="n">
        <f aca="false">IF(ISERROR(+ROUND(#REF!*N65/#REF!,3)),0,+ROUND(#REF!*N65/#REF!,3))</f>
        <v>0</v>
      </c>
      <c r="AC65" s="132" t="n">
        <f aca="false">IF(ISERROR(+ROUND(#REF!*O65/#REF!,3)),0,+ROUND(#REF!*O65/#REF!,3))</f>
        <v>0</v>
      </c>
      <c r="AD65" s="133" t="n">
        <f aca="false">IF(AND(AB65=0,AC65=0),0,#REF!*(#REF!-(#REF!*AB65/N65))+#REF!*(#REF!-(#REF!*AC65/O65)))</f>
        <v>0</v>
      </c>
      <c r="AE65" s="3"/>
      <c r="AF65" s="3"/>
      <c r="AG65" s="3"/>
      <c r="AH65" s="3"/>
      <c r="AI65" s="3"/>
    </row>
    <row r="66" customFormat="false" ht="15" hidden="false" customHeight="false" outlineLevel="0" collapsed="false">
      <c r="A66" s="3"/>
      <c r="B66" s="116"/>
      <c r="C66" s="134"/>
      <c r="D66" s="135"/>
      <c r="E66" s="119" t="n">
        <f aca="false">'O_MN, PE_UTA_UGM 2023'!B39</f>
        <v>216</v>
      </c>
      <c r="F66" s="120" t="str">
        <f aca="false">'O_MN, PE_UTA_UGM 2023'!C39</f>
        <v>ARÁNDANO</v>
      </c>
      <c r="G66" s="121"/>
      <c r="H66" s="122"/>
      <c r="I66" s="122"/>
      <c r="J66" s="123"/>
      <c r="K66" s="124"/>
      <c r="L66" s="124"/>
      <c r="M66" s="112" t="e">
        <f aca="false">+IF(OR((#REF!+#REF!)&gt;0,(#REF!+#REF!)&gt;0,(K66+L66)&gt;0),"SI","NO")</f>
        <v>#REF!</v>
      </c>
      <c r="N66" s="136" t="n">
        <f aca="false">VLOOKUP(E67,'O_MN, PE_UTA_UGM 2023'!$B$1:$I$300,7,FALSE())</f>
        <v>700</v>
      </c>
      <c r="O66" s="136" t="n">
        <f aca="false">VLOOKUP(E67,'O_MN, PE_UTA_UGM 2023'!$B$1:$I$300,8,FALSE())</f>
        <v>1800</v>
      </c>
      <c r="P66" s="45"/>
      <c r="Q66" s="126" t="n">
        <f aca="false">VLOOKUP(E67,'O_MN, PE_UTA_UGM 2023'!$B$1:$I$300,5,FALSE())</f>
        <v>114.19</v>
      </c>
      <c r="R66" s="126" t="n">
        <f aca="false">VLOOKUP(E67,'O_MN, PE_UTA_UGM 2023'!$B$1:$I$300,6,FALSE())</f>
        <v>270.46</v>
      </c>
      <c r="S66" s="45"/>
      <c r="T66" s="47"/>
      <c r="U66" s="127" t="n">
        <f aca="false">(H66*N66)+(I66*O66)+((K66*N66)+(L66*O66)*1.25)</f>
        <v>0</v>
      </c>
      <c r="V66" s="128"/>
      <c r="W66" s="128"/>
      <c r="X66" s="127" t="n">
        <f aca="false">(H66*Q66)+(I66*R66)+((K66*Q66)+(L66*R66)*1.25)</f>
        <v>0</v>
      </c>
      <c r="Y66" s="129"/>
      <c r="Z66" s="130" t="e">
        <f aca="false">(#REF!+#REF!+K66)*'O_MN, PE_UTA_UGM 2023'!H40</f>
        <v>#REF!</v>
      </c>
      <c r="AA66" s="131" t="e">
        <f aca="false">(#REF!+#REF!+L66)*'O_MN, PE_UTA_UGM 2023'!I40</f>
        <v>#REF!</v>
      </c>
      <c r="AB66" s="132" t="n">
        <f aca="false">IF(ISERROR(+ROUND(#REF!*N66/#REF!,3)),0,+ROUND(#REF!*N66/#REF!,3))</f>
        <v>0</v>
      </c>
      <c r="AC66" s="132" t="n">
        <f aca="false">IF(ISERROR(+ROUND(#REF!*O66/#REF!,3)),0,+ROUND(#REF!*O66/#REF!,3))</f>
        <v>0</v>
      </c>
      <c r="AD66" s="133" t="n">
        <f aca="false">IF(AND(AB66=0,AC66=0),0,#REF!*(#REF!-(#REF!*AB66/N66))+#REF!*(#REF!-(#REF!*AC66/O66)))</f>
        <v>0</v>
      </c>
      <c r="AE66" s="3"/>
      <c r="AF66" s="3"/>
      <c r="AG66" s="3"/>
      <c r="AH66" s="3"/>
      <c r="AI66" s="3"/>
    </row>
    <row r="67" customFormat="false" ht="15" hidden="false" customHeight="false" outlineLevel="0" collapsed="false">
      <c r="A67" s="3"/>
      <c r="B67" s="116"/>
      <c r="C67" s="134"/>
      <c r="D67" s="135"/>
      <c r="E67" s="119" t="n">
        <f aca="false">'O_MN, PE_UTA_UGM 2023'!B40</f>
        <v>71</v>
      </c>
      <c r="F67" s="120" t="str">
        <f aca="false">'O_MN, PE_UTA_UGM 2023'!C40</f>
        <v>ARRHENATHERUM</v>
      </c>
      <c r="G67" s="121"/>
      <c r="H67" s="122"/>
      <c r="I67" s="122"/>
      <c r="J67" s="123"/>
      <c r="K67" s="124"/>
      <c r="L67" s="124"/>
      <c r="M67" s="112" t="e">
        <f aca="false">+IF(OR((#REF!+#REF!)&gt;0,(#REF!+#REF!)&gt;0,(K67+L67)&gt;0),"SI","NO")</f>
        <v>#REF!</v>
      </c>
      <c r="N67" s="136" t="n">
        <f aca="false">VLOOKUP(E68,'O_MN, PE_UTA_UGM 2023'!$B$1:$I$300,7,FALSE())</f>
        <v>0</v>
      </c>
      <c r="O67" s="136" t="n">
        <f aca="false">VLOOKUP(E68,'O_MN, PE_UTA_UGM 2023'!$B$1:$I$300,8,FALSE())</f>
        <v>1500</v>
      </c>
      <c r="P67" s="45"/>
      <c r="Q67" s="126" t="n">
        <f aca="false">VLOOKUP(E68,'O_MN, PE_UTA_UGM 2023'!$B$1:$I$300,5,FALSE())</f>
        <v>450.76</v>
      </c>
      <c r="R67" s="126" t="n">
        <f aca="false">VLOOKUP(E68,'O_MN, PE_UTA_UGM 2023'!$B$1:$I$300,6,FALSE())</f>
        <v>450.76</v>
      </c>
      <c r="S67" s="45"/>
      <c r="T67" s="47"/>
      <c r="U67" s="127" t="n">
        <f aca="false">(H67*N67)+(I67*O67)+((K67*N67)+(L67*O67)*1.25)</f>
        <v>0</v>
      </c>
      <c r="V67" s="128"/>
      <c r="W67" s="128"/>
      <c r="X67" s="127" t="n">
        <f aca="false">(H67*Q67)+(I67*R67)+((K67*Q67)+(L67*R67)*1.25)</f>
        <v>0</v>
      </c>
      <c r="Y67" s="129"/>
      <c r="Z67" s="130" t="e">
        <f aca="false">(#REF!+#REF!+K67)*'O_MN, PE_UTA_UGM 2023'!H41</f>
        <v>#REF!</v>
      </c>
      <c r="AA67" s="131" t="e">
        <f aca="false">(#REF!+#REF!+L67)*'O_MN, PE_UTA_UGM 2023'!I41</f>
        <v>#REF!</v>
      </c>
      <c r="AB67" s="132" t="n">
        <f aca="false">IF(ISERROR(+ROUND(#REF!*N67/#REF!,3)),0,+ROUND(#REF!*N67/#REF!,3))</f>
        <v>0</v>
      </c>
      <c r="AC67" s="132" t="n">
        <f aca="false">IF(ISERROR(+ROUND(#REF!*O67/#REF!,3)),0,+ROUND(#REF!*O67/#REF!,3))</f>
        <v>0</v>
      </c>
      <c r="AD67" s="133" t="n">
        <f aca="false">IF(AND(AB67=0,AC67=0),0,#REF!*(#REF!-(#REF!*AB67/N67))+#REF!*(#REF!-(#REF!*AC67/O67)))</f>
        <v>0</v>
      </c>
      <c r="AE67" s="3"/>
      <c r="AF67" s="3"/>
      <c r="AG67" s="3"/>
      <c r="AH67" s="3"/>
      <c r="AI67" s="3"/>
    </row>
    <row r="68" customFormat="false" ht="15" hidden="false" customHeight="false" outlineLevel="0" collapsed="false">
      <c r="A68" s="3"/>
      <c r="B68" s="116"/>
      <c r="C68" s="134"/>
      <c r="D68" s="135"/>
      <c r="E68" s="119" t="n">
        <f aca="false">'O_MN, PE_UTA_UGM 2023'!B41</f>
        <v>80</v>
      </c>
      <c r="F68" s="120" t="str">
        <f aca="false">'O_MN, PE_UTA_UGM 2023'!C41</f>
        <v>ARROZ</v>
      </c>
      <c r="G68" s="121"/>
      <c r="H68" s="122"/>
      <c r="I68" s="122"/>
      <c r="J68" s="123"/>
      <c r="K68" s="124"/>
      <c r="L68" s="124"/>
      <c r="M68" s="112" t="e">
        <f aca="false">+IF(OR((#REF!+#REF!)&gt;0,(#REF!+#REF!)&gt;0,(K68+L68)&gt;0),"SI","NO")</f>
        <v>#REF!</v>
      </c>
      <c r="N68" s="136" t="n">
        <f aca="false">VLOOKUP(E69,'O_MN, PE_UTA_UGM 2023'!$B$1:$I$300,7,FALSE())</f>
        <v>1000</v>
      </c>
      <c r="O68" s="136" t="n">
        <f aca="false">VLOOKUP(E69,'O_MN, PE_UTA_UGM 2023'!$B$1:$I$300,8,FALSE())</f>
        <v>3800</v>
      </c>
      <c r="P68" s="45"/>
      <c r="Q68" s="126" t="n">
        <f aca="false">VLOOKUP(E69,'O_MN, PE_UTA_UGM 2023'!$B$1:$I$300,5,FALSE())</f>
        <v>114.19</v>
      </c>
      <c r="R68" s="126" t="n">
        <f aca="false">VLOOKUP(E69,'O_MN, PE_UTA_UGM 2023'!$B$1:$I$300,6,FALSE())</f>
        <v>240.4</v>
      </c>
      <c r="S68" s="45"/>
      <c r="T68" s="47"/>
      <c r="U68" s="127" t="n">
        <f aca="false">(H68*N68)+(I68*O68)+((K68*N68)+(L68*O68)*1.25)</f>
        <v>0</v>
      </c>
      <c r="V68" s="128"/>
      <c r="W68" s="128"/>
      <c r="X68" s="127" t="n">
        <f aca="false">(H68*Q68)+(I68*R68)+((K68*Q68)+(L68*R68)*1.25)</f>
        <v>0</v>
      </c>
      <c r="Y68" s="129"/>
      <c r="Z68" s="130" t="e">
        <f aca="false">(#REF!+#REF!+K68)*'O_MN, PE_UTA_UGM 2023'!H42</f>
        <v>#REF!</v>
      </c>
      <c r="AA68" s="131" t="e">
        <f aca="false">(#REF!+#REF!+L68)*'O_MN, PE_UTA_UGM 2023'!I42</f>
        <v>#REF!</v>
      </c>
      <c r="AB68" s="132" t="n">
        <f aca="false">IF(ISERROR(+ROUND(#REF!*N68/#REF!,3)),0,+ROUND(#REF!*N68/#REF!,3))</f>
        <v>0</v>
      </c>
      <c r="AC68" s="132" t="n">
        <f aca="false">IF(ISERROR(+ROUND(#REF!*O68/#REF!,3)),0,+ROUND(#REF!*O68/#REF!,3))</f>
        <v>0</v>
      </c>
      <c r="AD68" s="133" t="n">
        <f aca="false">IF(AND(AB68=0,AC68=0),0,#REF!*(#REF!-(#REF!*AB68/N68))+#REF!*(#REF!-(#REF!*AC68/O68)))</f>
        <v>0</v>
      </c>
      <c r="AE68" s="3"/>
      <c r="AF68" s="3"/>
      <c r="AG68" s="3"/>
      <c r="AH68" s="3"/>
      <c r="AI68" s="3"/>
    </row>
    <row r="69" customFormat="false" ht="15" hidden="false" customHeight="false" outlineLevel="0" collapsed="false">
      <c r="A69" s="3"/>
      <c r="B69" s="116"/>
      <c r="C69" s="134"/>
      <c r="D69" s="135"/>
      <c r="E69" s="119" t="n">
        <f aca="false">'O_MN, PE_UTA_UGM 2023'!B42</f>
        <v>257</v>
      </c>
      <c r="F69" s="120" t="str">
        <f aca="false">'O_MN, PE_UTA_UGM 2023'!C42</f>
        <v>ARTEMISA</v>
      </c>
      <c r="G69" s="121"/>
      <c r="H69" s="122"/>
      <c r="I69" s="122"/>
      <c r="J69" s="123"/>
      <c r="K69" s="124"/>
      <c r="L69" s="124"/>
      <c r="M69" s="112" t="e">
        <f aca="false">+IF(OR((#REF!+#REF!)&gt;0,(#REF!+#REF!)&gt;0,(K69+L69)&gt;0),"SI","NO")</f>
        <v>#REF!</v>
      </c>
      <c r="N69" s="136" t="n">
        <f aca="false">VLOOKUP(E70,'O_MN, PE_UTA_UGM 2023'!$B$1:$I$300,7,FALSE())</f>
        <v>500</v>
      </c>
      <c r="O69" s="136" t="n">
        <f aca="false">VLOOKUP(E70,'O_MN, PE_UTA_UGM 2023'!$B$1:$I$300,8,FALSE())</f>
        <v>1500</v>
      </c>
      <c r="P69" s="45"/>
      <c r="Q69" s="126" t="n">
        <f aca="false">VLOOKUP(E70,'O_MN, PE_UTA_UGM 2023'!$B$1:$I$300,5,FALSE())</f>
        <v>450.76</v>
      </c>
      <c r="R69" s="126" t="n">
        <f aca="false">VLOOKUP(E70,'O_MN, PE_UTA_UGM 2023'!$B$1:$I$300,6,FALSE())</f>
        <v>721.21</v>
      </c>
      <c r="S69" s="45"/>
      <c r="T69" s="47"/>
      <c r="U69" s="127" t="n">
        <f aca="false">(H69*N69)+(I69*O69)+((K69*N69)+(L69*O69)*1.25)</f>
        <v>0</v>
      </c>
      <c r="V69" s="128"/>
      <c r="W69" s="128"/>
      <c r="X69" s="127" t="n">
        <f aca="false">(H69*Q69)+(I69*R69)+((K69*Q69)+(L69*R69)*1.25)</f>
        <v>0</v>
      </c>
      <c r="Y69" s="129"/>
      <c r="Z69" s="130" t="e">
        <f aca="false">(#REF!+#REF!+K69)*'O_MN, PE_UTA_UGM 2023'!H43</f>
        <v>#REF!</v>
      </c>
      <c r="AA69" s="131" t="e">
        <f aca="false">(#REF!+#REF!+L69)*'O_MN, PE_UTA_UGM 2023'!I43</f>
        <v>#REF!</v>
      </c>
      <c r="AB69" s="132" t="n">
        <f aca="false">IF(ISERROR(+ROUND(#REF!*N69/#REF!,3)),0,+ROUND(#REF!*N69/#REF!,3))</f>
        <v>0</v>
      </c>
      <c r="AC69" s="132" t="n">
        <f aca="false">IF(ISERROR(+ROUND(#REF!*O69/#REF!,3)),0,+ROUND(#REF!*O69/#REF!,3))</f>
        <v>0</v>
      </c>
      <c r="AD69" s="133" t="n">
        <f aca="false">IF(AND(AB69=0,AC69=0),0,#REF!*(#REF!-(#REF!*AB69/N69))+#REF!*(#REF!-(#REF!*AC69/O69)))</f>
        <v>0</v>
      </c>
      <c r="AE69" s="3"/>
      <c r="AF69" s="3"/>
      <c r="AG69" s="3"/>
      <c r="AH69" s="3"/>
      <c r="AI69" s="3"/>
    </row>
    <row r="70" customFormat="false" ht="15" hidden="false" customHeight="false" outlineLevel="0" collapsed="false">
      <c r="A70" s="3"/>
      <c r="B70" s="116"/>
      <c r="C70" s="134"/>
      <c r="D70" s="135"/>
      <c r="E70" s="119" t="n">
        <f aca="false">'O_MN, PE_UTA_UGM 2023'!B43</f>
        <v>123</v>
      </c>
      <c r="F70" s="120" t="str">
        <f aca="false">'O_MN, PE_UTA_UGM 2023'!C43</f>
        <v>AVELLANO</v>
      </c>
      <c r="G70" s="121"/>
      <c r="H70" s="122"/>
      <c r="I70" s="122"/>
      <c r="J70" s="123"/>
      <c r="K70" s="124"/>
      <c r="L70" s="124"/>
      <c r="M70" s="112" t="e">
        <f aca="false">+IF(OR((#REF!+#REF!)&gt;0,(#REF!+#REF!)&gt;0,(K70+L70)&gt;0),"SI","NO")</f>
        <v>#REF!</v>
      </c>
      <c r="N70" s="136" t="n">
        <f aca="false">VLOOKUP(E71,'O_MN, PE_UTA_UGM 2023'!$B$1:$I$300,7,FALSE())</f>
        <v>294.04</v>
      </c>
      <c r="O70" s="136" t="n">
        <f aca="false">VLOOKUP(E71,'O_MN, PE_UTA_UGM 2023'!$B$1:$I$300,8,FALSE())</f>
        <v>600</v>
      </c>
      <c r="P70" s="45"/>
      <c r="Q70" s="126" t="n">
        <f aca="false">VLOOKUP(E71,'O_MN, PE_UTA_UGM 2023'!$B$1:$I$300,5,FALSE())</f>
        <v>114.19</v>
      </c>
      <c r="R70" s="126" t="n">
        <f aca="false">VLOOKUP(E71,'O_MN, PE_UTA_UGM 2023'!$B$1:$I$300,6,FALSE())</f>
        <v>240.4</v>
      </c>
      <c r="S70" s="45"/>
      <c r="T70" s="47"/>
      <c r="U70" s="127" t="n">
        <f aca="false">(H70*N70)+(I70*O70)+((K70*N70)+(L70*O70)*1.25)</f>
        <v>0</v>
      </c>
      <c r="V70" s="128"/>
      <c r="W70" s="128"/>
      <c r="X70" s="127" t="n">
        <f aca="false">(H70*Q70)+(I70*R70)+((K70*Q70)+(L70*R70)*1.25)</f>
        <v>0</v>
      </c>
      <c r="Y70" s="129"/>
      <c r="Z70" s="130" t="e">
        <f aca="false">(#REF!+#REF!+K70)*'O_MN, PE_UTA_UGM 2023'!H44</f>
        <v>#REF!</v>
      </c>
      <c r="AA70" s="131" t="e">
        <f aca="false">(#REF!+#REF!+L70)*'O_MN, PE_UTA_UGM 2023'!I44</f>
        <v>#REF!</v>
      </c>
      <c r="AB70" s="132" t="n">
        <f aca="false">IF(ISERROR(+ROUND(#REF!*N70/#REF!,3)),0,+ROUND(#REF!*N70/#REF!,3))</f>
        <v>0</v>
      </c>
      <c r="AC70" s="132" t="n">
        <f aca="false">IF(ISERROR(+ROUND(#REF!*O70/#REF!,3)),0,+ROUND(#REF!*O70/#REF!,3))</f>
        <v>0</v>
      </c>
      <c r="AD70" s="133" t="n">
        <f aca="false">IF(AND(AB70=0,AC70=0),0,#REF!*(#REF!-(#REF!*AB70/N70))+#REF!*(#REF!-(#REF!*AC70/O70)))</f>
        <v>0</v>
      </c>
      <c r="AE70" s="3"/>
      <c r="AF70" s="3"/>
      <c r="AG70" s="3"/>
      <c r="AH70" s="3"/>
      <c r="AI70" s="3"/>
    </row>
    <row r="71" customFormat="false" ht="15" hidden="false" customHeight="false" outlineLevel="0" collapsed="false">
      <c r="A71" s="3"/>
      <c r="B71" s="116"/>
      <c r="C71" s="134"/>
      <c r="D71" s="135"/>
      <c r="E71" s="119" t="n">
        <f aca="false">'O_MN, PE_UTA_UGM 2023'!B44</f>
        <v>8</v>
      </c>
      <c r="F71" s="120" t="str">
        <f aca="false">'O_MN, PE_UTA_UGM 2023'!C44</f>
        <v>AVENA</v>
      </c>
      <c r="G71" s="121"/>
      <c r="H71" s="122"/>
      <c r="I71" s="122"/>
      <c r="J71" s="123"/>
      <c r="K71" s="124"/>
      <c r="L71" s="124"/>
      <c r="M71" s="112" t="e">
        <f aca="false">+IF(OR((#REF!+#REF!)&gt;0,(#REF!+#REF!)&gt;0,(K71+L71)&gt;0),"SI","NO")</f>
        <v>#REF!</v>
      </c>
      <c r="N71" s="136" t="n">
        <f aca="false">VLOOKUP(E72,'O_MN, PE_UTA_UGM 2023'!$B$1:$I$300,7,FALSE())</f>
        <v>5431.36</v>
      </c>
      <c r="O71" s="136" t="n">
        <f aca="false">VLOOKUP(E72,'O_MN, PE_UTA_UGM 2023'!$B$1:$I$300,8,FALSE())</f>
        <v>12000</v>
      </c>
      <c r="P71" s="45"/>
      <c r="Q71" s="126" t="n">
        <f aca="false">VLOOKUP(E72,'O_MN, PE_UTA_UGM 2023'!$B$1:$I$300,5,FALSE())</f>
        <v>2000</v>
      </c>
      <c r="R71" s="126" t="n">
        <f aca="false">VLOOKUP(E72,'O_MN, PE_UTA_UGM 2023'!$B$1:$I$300,6,FALSE())</f>
        <v>2500</v>
      </c>
      <c r="S71" s="45"/>
      <c r="T71" s="47"/>
      <c r="U71" s="127" t="n">
        <f aca="false">(H71*N71)+(I71*O71)+((K71*N71)+(L71*O71)*1.25)</f>
        <v>0</v>
      </c>
      <c r="V71" s="128"/>
      <c r="W71" s="128"/>
      <c r="X71" s="127" t="n">
        <f aca="false">(H71*Q71)+(I71*R71)+((K71*Q71)+(L71*R71)*1.25)</f>
        <v>0</v>
      </c>
      <c r="Y71" s="129"/>
      <c r="Z71" s="130" t="e">
        <f aca="false">(#REF!+#REF!+K71)*'O_MN, PE_UTA_UGM 2023'!H45</f>
        <v>#REF!</v>
      </c>
      <c r="AA71" s="131" t="e">
        <f aca="false">(#REF!+#REF!+L71)*'O_MN, PE_UTA_UGM 2023'!I45</f>
        <v>#REF!</v>
      </c>
      <c r="AB71" s="132" t="n">
        <f aca="false">IF(ISERROR(+ROUND(#REF!*N71/#REF!,3)),0,+ROUND(#REF!*N71/#REF!,3))</f>
        <v>0</v>
      </c>
      <c r="AC71" s="132" t="n">
        <f aca="false">IF(ISERROR(+ROUND(#REF!*O71/#REF!,3)),0,+ROUND(#REF!*O71/#REF!,3))</f>
        <v>0</v>
      </c>
      <c r="AD71" s="133" t="n">
        <f aca="false">IF(AND(AB71=0,AC71=0),0,#REF!*(#REF!-(#REF!*AB71/N71))+#REF!*(#REF!-(#REF!*AC71/O71)))</f>
        <v>0</v>
      </c>
      <c r="AE71" s="3"/>
      <c r="AF71" s="3"/>
      <c r="AG71" s="3"/>
      <c r="AH71" s="3"/>
      <c r="AI71" s="3"/>
    </row>
    <row r="72" customFormat="false" ht="15" hidden="false" customHeight="false" outlineLevel="0" collapsed="false">
      <c r="A72" s="3"/>
      <c r="B72" s="116"/>
      <c r="C72" s="134"/>
      <c r="D72" s="135"/>
      <c r="E72" s="119" t="n">
        <f aca="false">'O_MN, PE_UTA_UGM 2023'!B45</f>
        <v>262</v>
      </c>
      <c r="F72" s="120" t="str">
        <f aca="false">'O_MN, PE_UTA_UGM 2023'!C45</f>
        <v>AZAFRÁN</v>
      </c>
      <c r="G72" s="121"/>
      <c r="H72" s="122"/>
      <c r="I72" s="122"/>
      <c r="J72" s="123"/>
      <c r="K72" s="124"/>
      <c r="L72" s="124"/>
      <c r="M72" s="112" t="e">
        <f aca="false">+IF(OR((#REF!+#REF!)&gt;0,(#REF!+#REF!)&gt;0,(K72+L72)&gt;0),"SI","NO")</f>
        <v>#REF!</v>
      </c>
      <c r="N72" s="136" t="n">
        <f aca="false">VLOOKUP(E73,'O_MN, PE_UTA_UGM 2023'!$B$1:$I$300,7,FALSE())</f>
        <v>119</v>
      </c>
      <c r="O72" s="136" t="n">
        <f aca="false">VLOOKUP(E73,'O_MN, PE_UTA_UGM 2023'!$B$1:$I$300,8,FALSE())</f>
        <v>256</v>
      </c>
      <c r="P72" s="45"/>
      <c r="Q72" s="126" t="n">
        <f aca="false">VLOOKUP(E73,'O_MN, PE_UTA_UGM 2023'!$B$1:$I$300,5,FALSE())</f>
        <v>48.08</v>
      </c>
      <c r="R72" s="126" t="n">
        <f aca="false">VLOOKUP(E73,'O_MN, PE_UTA_UGM 2023'!$B$1:$I$300,6,FALSE())</f>
        <v>150.25</v>
      </c>
      <c r="S72" s="45"/>
      <c r="T72" s="47"/>
      <c r="U72" s="127" t="n">
        <f aca="false">(H72*N72)+(I72*O72)+((K72*N72)+(L72*O72)*1.25)</f>
        <v>0</v>
      </c>
      <c r="V72" s="128"/>
      <c r="W72" s="128"/>
      <c r="X72" s="127" t="n">
        <f aca="false">(H72*Q72)+(I72*R72)+((K72*Q72)+(L72*R72)*1.25)</f>
        <v>0</v>
      </c>
      <c r="Y72" s="129"/>
      <c r="Z72" s="130" t="e">
        <f aca="false">(#REF!+#REF!+K72)*'O_MN, PE_UTA_UGM 2023'!H46</f>
        <v>#REF!</v>
      </c>
      <c r="AA72" s="131" t="e">
        <f aca="false">(#REF!+#REF!+L72)*'O_MN, PE_UTA_UGM 2023'!I46</f>
        <v>#REF!</v>
      </c>
      <c r="AB72" s="132" t="n">
        <f aca="false">IF(ISERROR(+ROUND(#REF!*N72/#REF!,3)),0,+ROUND(#REF!*N72/#REF!,3))</f>
        <v>0</v>
      </c>
      <c r="AC72" s="132" t="n">
        <f aca="false">IF(ISERROR(+ROUND(#REF!*O72/#REF!,3)),0,+ROUND(#REF!*O72/#REF!,3))</f>
        <v>0</v>
      </c>
      <c r="AD72" s="133" t="n">
        <f aca="false">IF(AND(AB72=0,AC72=0),0,#REF!*(#REF!-(#REF!*AB72/N72))+#REF!*(#REF!-(#REF!*AC72/O72)))</f>
        <v>0</v>
      </c>
      <c r="AE72" s="3"/>
      <c r="AF72" s="3"/>
      <c r="AG72" s="3"/>
      <c r="AH72" s="3"/>
      <c r="AI72" s="3"/>
    </row>
    <row r="73" customFormat="false" ht="15" hidden="false" customHeight="false" outlineLevel="0" collapsed="false">
      <c r="A73" s="3"/>
      <c r="B73" s="116"/>
      <c r="C73" s="134"/>
      <c r="D73" s="135"/>
      <c r="E73" s="119" t="n">
        <f aca="false">'O_MN, PE_UTA_UGM 2023'!B46</f>
        <v>23</v>
      </c>
      <c r="F73" s="120" t="str">
        <f aca="false">'O_MN, PE_UTA_UGM 2023'!C46</f>
        <v>BARBECHO MEDIOAMBIENTAL</v>
      </c>
      <c r="G73" s="121"/>
      <c r="H73" s="122"/>
      <c r="I73" s="122"/>
      <c r="J73" s="123"/>
      <c r="K73" s="124"/>
      <c r="L73" s="124"/>
      <c r="M73" s="112" t="e">
        <f aca="false">+IF(OR((#REF!+#REF!)&gt;0,(#REF!+#REF!)&gt;0,(K73+L73)&gt;0),"SI","NO")</f>
        <v>#REF!</v>
      </c>
      <c r="N73" s="136" t="n">
        <f aca="false">VLOOKUP(E74,'O_MN, PE_UTA_UGM 2023'!$B$1:$I$300,7,FALSE())</f>
        <v>119</v>
      </c>
      <c r="O73" s="136" t="n">
        <f aca="false">VLOOKUP(E74,'O_MN, PE_UTA_UGM 2023'!$B$1:$I$300,8,FALSE())</f>
        <v>256</v>
      </c>
      <c r="P73" s="45"/>
      <c r="Q73" s="126" t="n">
        <f aca="false">VLOOKUP(E74,'O_MN, PE_UTA_UGM 2023'!$B$1:$I$300,5,FALSE())</f>
        <v>48.08</v>
      </c>
      <c r="R73" s="126" t="n">
        <f aca="false">VLOOKUP(E74,'O_MN, PE_UTA_UGM 2023'!$B$1:$I$300,6,FALSE())</f>
        <v>150.25</v>
      </c>
      <c r="S73" s="45"/>
      <c r="T73" s="47"/>
      <c r="U73" s="127" t="n">
        <f aca="false">(H73*N73)+(I73*O73)+((K73*N73)+(L73*O73)*1.25)</f>
        <v>0</v>
      </c>
      <c r="V73" s="128"/>
      <c r="W73" s="128"/>
      <c r="X73" s="127" t="n">
        <f aca="false">(H73*Q73)+(I73*R73)+((K73*Q73)+(L73*R73)*1.25)</f>
        <v>0</v>
      </c>
      <c r="Y73" s="129"/>
      <c r="Z73" s="130" t="e">
        <f aca="false">(#REF!+#REF!+K73)*'O_MN, PE_UTA_UGM 2023'!H47</f>
        <v>#REF!</v>
      </c>
      <c r="AA73" s="131" t="e">
        <f aca="false">(#REF!+#REF!+L73)*'O_MN, PE_UTA_UGM 2023'!I47</f>
        <v>#REF!</v>
      </c>
      <c r="AB73" s="132" t="n">
        <f aca="false">IF(ISERROR(+ROUND(#REF!*N73/#REF!,3)),0,+ROUND(#REF!*N73/#REF!,3))</f>
        <v>0</v>
      </c>
      <c r="AC73" s="132" t="n">
        <f aca="false">IF(ISERROR(+ROUND(#REF!*O73/#REF!,3)),0,+ROUND(#REF!*O73/#REF!,3))</f>
        <v>0</v>
      </c>
      <c r="AD73" s="133" t="n">
        <f aca="false">IF(AND(AB73=0,AC73=0),0,#REF!*(#REF!-(#REF!*AB73/N73))+#REF!*(#REF!-(#REF!*AC73/O73)))</f>
        <v>0</v>
      </c>
      <c r="AE73" s="3"/>
      <c r="AF73" s="3"/>
      <c r="AG73" s="3"/>
      <c r="AH73" s="3"/>
      <c r="AI73" s="3"/>
    </row>
    <row r="74" customFormat="false" ht="15" hidden="false" customHeight="false" outlineLevel="0" collapsed="false">
      <c r="A74" s="3"/>
      <c r="B74" s="116"/>
      <c r="C74" s="134"/>
      <c r="D74" s="135"/>
      <c r="E74" s="119" t="n">
        <f aca="false">'O_MN, PE_UTA_UGM 2023'!B47</f>
        <v>21</v>
      </c>
      <c r="F74" s="120" t="str">
        <f aca="false">'O_MN, PE_UTA_UGM 2023'!C47</f>
        <v>BARBECHO MEDIOAMBIENTAL ABANDONO 5 AÑOS</v>
      </c>
      <c r="G74" s="121"/>
      <c r="H74" s="122"/>
      <c r="I74" s="122"/>
      <c r="J74" s="123"/>
      <c r="K74" s="124"/>
      <c r="L74" s="124"/>
      <c r="M74" s="112" t="e">
        <f aca="false">+IF(OR((#REF!+#REF!)&gt;0,(#REF!+#REF!)&gt;0,(K74+L74)&gt;0),"SI","NO")</f>
        <v>#REF!</v>
      </c>
      <c r="N74" s="136" t="n">
        <f aca="false">VLOOKUP(E75,'O_MN, PE_UTA_UGM 2023'!$B$1:$I$300,7,FALSE())</f>
        <v>119</v>
      </c>
      <c r="O74" s="136" t="n">
        <f aca="false">VLOOKUP(E75,'O_MN, PE_UTA_UGM 2023'!$B$1:$I$300,8,FALSE())</f>
        <v>256</v>
      </c>
      <c r="P74" s="45"/>
      <c r="Q74" s="126" t="n">
        <f aca="false">VLOOKUP(E75,'O_MN, PE_UTA_UGM 2023'!$B$1:$I$300,5,FALSE())</f>
        <v>48.08</v>
      </c>
      <c r="R74" s="126" t="n">
        <f aca="false">VLOOKUP(E75,'O_MN, PE_UTA_UGM 2023'!$B$1:$I$300,6,FALSE())</f>
        <v>150.25</v>
      </c>
      <c r="S74" s="45"/>
      <c r="T74" s="47"/>
      <c r="U74" s="127" t="n">
        <f aca="false">(H74*N74)+(I74*O74)+((K74*N74)+(L74*O74)*1.25)</f>
        <v>0</v>
      </c>
      <c r="V74" s="128"/>
      <c r="W74" s="128"/>
      <c r="X74" s="127" t="n">
        <f aca="false">(H74*Q74)+(I74*R74)+((K74*Q74)+(L74*R74)*1.25)</f>
        <v>0</v>
      </c>
      <c r="Y74" s="129"/>
      <c r="Z74" s="130" t="e">
        <f aca="false">(#REF!+#REF!+K74)*'O_MN, PE_UTA_UGM 2023'!H48</f>
        <v>#REF!</v>
      </c>
      <c r="AA74" s="131" t="e">
        <f aca="false">(#REF!+#REF!+L74)*'O_MN, PE_UTA_UGM 2023'!I48</f>
        <v>#REF!</v>
      </c>
      <c r="AB74" s="132" t="n">
        <f aca="false">IF(ISERROR(+ROUND(#REF!*N74/#REF!,3)),0,+ROUND(#REF!*N74/#REF!,3))</f>
        <v>0</v>
      </c>
      <c r="AC74" s="132" t="n">
        <f aca="false">IF(ISERROR(+ROUND(#REF!*O74/#REF!,3)),0,+ROUND(#REF!*O74/#REF!,3))</f>
        <v>0</v>
      </c>
      <c r="AD74" s="133" t="n">
        <f aca="false">IF(AND(AB74=0,AC74=0),0,#REF!*(#REF!-(#REF!*AB74/N74))+#REF!*(#REF!-(#REF!*AC74/O74)))</f>
        <v>0</v>
      </c>
      <c r="AE74" s="3"/>
      <c r="AF74" s="3"/>
      <c r="AG74" s="3"/>
      <c r="AH74" s="3"/>
      <c r="AI74" s="3"/>
    </row>
    <row r="75" customFormat="false" ht="15" hidden="false" customHeight="false" outlineLevel="0" collapsed="false">
      <c r="A75" s="3"/>
      <c r="B75" s="116"/>
      <c r="C75" s="134"/>
      <c r="D75" s="135"/>
      <c r="E75" s="119" t="n">
        <f aca="false">'O_MN, PE_UTA_UGM 2023'!B48</f>
        <v>334</v>
      </c>
      <c r="F75" s="120" t="str">
        <f aca="false">'O_MN, PE_UTA_UGM 2023'!C48</f>
        <v>BARBECHO SIE CON ESPECIES MELÍFERAS</v>
      </c>
      <c r="G75" s="121"/>
      <c r="H75" s="122"/>
      <c r="I75" s="122"/>
      <c r="J75" s="123"/>
      <c r="K75" s="124"/>
      <c r="L75" s="124"/>
      <c r="M75" s="112" t="e">
        <f aca="false">+IF(OR((#REF!+#REF!)&gt;0,(#REF!+#REF!)&gt;0,(K75+L75)&gt;0),"SI","NO")</f>
        <v>#REF!</v>
      </c>
      <c r="N75" s="136" t="n">
        <f aca="false">VLOOKUP(E76,'O_MN, PE_UTA_UGM 2023'!$B$1:$I$300,7,FALSE())</f>
        <v>119</v>
      </c>
      <c r="O75" s="136" t="n">
        <f aca="false">VLOOKUP(E76,'O_MN, PE_UTA_UGM 2023'!$B$1:$I$300,8,FALSE())</f>
        <v>256</v>
      </c>
      <c r="P75" s="45"/>
      <c r="Q75" s="126" t="n">
        <f aca="false">VLOOKUP(E76,'O_MN, PE_UTA_UGM 2023'!$B$1:$I$300,5,FALSE())</f>
        <v>48.08</v>
      </c>
      <c r="R75" s="126" t="n">
        <f aca="false">VLOOKUP(E76,'O_MN, PE_UTA_UGM 2023'!$B$1:$I$300,6,FALSE())</f>
        <v>150.25</v>
      </c>
      <c r="S75" s="45"/>
      <c r="T75" s="47"/>
      <c r="U75" s="127" t="n">
        <f aca="false">(H75*N75)+(I75*O75)+((K75*N75)+(L75*O75)*1.25)</f>
        <v>0</v>
      </c>
      <c r="V75" s="128"/>
      <c r="W75" s="128"/>
      <c r="X75" s="127" t="n">
        <f aca="false">(H75*Q75)+(I75*R75)+((K75*Q75)+(L75*R75)*1.25)</f>
        <v>0</v>
      </c>
      <c r="Y75" s="129"/>
      <c r="Z75" s="130" t="e">
        <f aca="false">(#REF!+#REF!+K75)*'O_MN, PE_UTA_UGM 2023'!H49</f>
        <v>#REF!</v>
      </c>
      <c r="AA75" s="131" t="e">
        <f aca="false">(#REF!+#REF!+L75)*'O_MN, PE_UTA_UGM 2023'!I49</f>
        <v>#REF!</v>
      </c>
      <c r="AB75" s="132" t="n">
        <f aca="false">IF(ISERROR(+ROUND(#REF!*N75/#REF!,3)),0,+ROUND(#REF!*N75/#REF!,3))</f>
        <v>0</v>
      </c>
      <c r="AC75" s="132" t="n">
        <f aca="false">IF(ISERROR(+ROUND(#REF!*O75/#REF!,3)),0,+ROUND(#REF!*O75/#REF!,3))</f>
        <v>0</v>
      </c>
      <c r="AD75" s="133" t="n">
        <f aca="false">IF(AND(AB75=0,AC75=0),0,#REF!*(#REF!-(#REF!*AB75/N75))+#REF!*(#REF!-(#REF!*AC75/O75)))</f>
        <v>0</v>
      </c>
      <c r="AE75" s="3"/>
      <c r="AF75" s="3"/>
      <c r="AG75" s="3"/>
      <c r="AH75" s="3"/>
      <c r="AI75" s="3"/>
    </row>
    <row r="76" customFormat="false" ht="15" hidden="false" customHeight="false" outlineLevel="0" collapsed="false">
      <c r="A76" s="3"/>
      <c r="B76" s="116"/>
      <c r="C76" s="134"/>
      <c r="D76" s="135"/>
      <c r="E76" s="119" t="n">
        <f aca="false">'O_MN, PE_UTA_UGM 2023'!B49</f>
        <v>24</v>
      </c>
      <c r="F76" s="120" t="str">
        <f aca="false">'O_MN, PE_UTA_UGM 2023'!C49</f>
        <v>BARBECHO SIN PRODUCCIÓN</v>
      </c>
      <c r="G76" s="121"/>
      <c r="H76" s="122"/>
      <c r="I76" s="122"/>
      <c r="J76" s="123"/>
      <c r="K76" s="124"/>
      <c r="L76" s="124"/>
      <c r="M76" s="112" t="e">
        <f aca="false">+IF(OR((#REF!+#REF!)&gt;0,(#REF!+#REF!)&gt;0,(K76+L76)&gt;0),"SI","NO")</f>
        <v>#REF!</v>
      </c>
      <c r="N76" s="136" t="n">
        <f aca="false">VLOOKUP(E77,'O_MN, PE_UTA_UGM 2023'!$B$1:$I$300,7,FALSE())</f>
        <v>119</v>
      </c>
      <c r="O76" s="136" t="n">
        <f aca="false">VLOOKUP(E77,'O_MN, PE_UTA_UGM 2023'!$B$1:$I$300,8,FALSE())</f>
        <v>256</v>
      </c>
      <c r="P76" s="45"/>
      <c r="Q76" s="126" t="n">
        <f aca="false">VLOOKUP(E77,'O_MN, PE_UTA_UGM 2023'!$B$1:$I$300,5,FALSE())</f>
        <v>48.08</v>
      </c>
      <c r="R76" s="126" t="n">
        <f aca="false">VLOOKUP(E77,'O_MN, PE_UTA_UGM 2023'!$B$1:$I$300,6,FALSE())</f>
        <v>150.25</v>
      </c>
      <c r="S76" s="45"/>
      <c r="T76" s="47"/>
      <c r="U76" s="127" t="n">
        <f aca="false">(H76*N76)+(I76*O76)+((K76*N76)+(L76*O76)*1.25)</f>
        <v>0</v>
      </c>
      <c r="V76" s="128"/>
      <c r="W76" s="128"/>
      <c r="X76" s="127" t="n">
        <f aca="false">(H76*Q76)+(I76*R76)+((K76*Q76)+(L76*R76)*1.25)</f>
        <v>0</v>
      </c>
      <c r="Y76" s="129"/>
      <c r="Z76" s="130" t="e">
        <f aca="false">(#REF!+#REF!+K76)*'O_MN, PE_UTA_UGM 2023'!H50</f>
        <v>#REF!</v>
      </c>
      <c r="AA76" s="131" t="e">
        <f aca="false">(#REF!+#REF!+L76)*'O_MN, PE_UTA_UGM 2023'!I50</f>
        <v>#REF!</v>
      </c>
      <c r="AB76" s="132" t="n">
        <f aca="false">IF(ISERROR(+ROUND(#REF!*N76/#REF!,3)),0,+ROUND(#REF!*N76/#REF!,3))</f>
        <v>0</v>
      </c>
      <c r="AC76" s="132" t="n">
        <f aca="false">IF(ISERROR(+ROUND(#REF!*O76/#REF!,3)),0,+ROUND(#REF!*O76/#REF!,3))</f>
        <v>0</v>
      </c>
      <c r="AD76" s="133" t="n">
        <f aca="false">IF(AND(AB76=0,AC76=0),0,#REF!*(#REF!-(#REF!*AB76/N76))+#REF!*(#REF!-(#REF!*AC76/O76)))</f>
        <v>0</v>
      </c>
      <c r="AE76" s="3"/>
      <c r="AF76" s="3"/>
      <c r="AG76" s="3"/>
      <c r="AH76" s="3"/>
      <c r="AI76" s="3"/>
    </row>
    <row r="77" customFormat="false" ht="15" hidden="false" customHeight="false" outlineLevel="0" collapsed="false">
      <c r="A77" s="3"/>
      <c r="B77" s="116"/>
      <c r="C77" s="134"/>
      <c r="D77" s="135"/>
      <c r="E77" s="119" t="n">
        <f aca="false">'O_MN, PE_UTA_UGM 2023'!B50</f>
        <v>20</v>
      </c>
      <c r="F77" s="120" t="str">
        <f aca="false">'O_MN, PE_UTA_UGM 2023'!C50</f>
        <v>BARBECHO TRADICIONAL</v>
      </c>
      <c r="G77" s="121"/>
      <c r="H77" s="122"/>
      <c r="I77" s="122"/>
      <c r="J77" s="123"/>
      <c r="K77" s="124"/>
      <c r="L77" s="124"/>
      <c r="M77" s="112" t="e">
        <f aca="false">+IF(OR((#REF!+#REF!)&gt;0,(#REF!+#REF!)&gt;0,(K77+L77)&gt;0),"SI","NO")</f>
        <v>#REF!</v>
      </c>
      <c r="N77" s="136" t="n">
        <f aca="false">VLOOKUP(E78,'O_MN, PE_UTA_UGM 2023'!$B$1:$I$300,7,FALSE())</f>
        <v>1000</v>
      </c>
      <c r="O77" s="136" t="n">
        <f aca="false">VLOOKUP(E78,'O_MN, PE_UTA_UGM 2023'!$B$1:$I$300,8,FALSE())</f>
        <v>3800</v>
      </c>
      <c r="P77" s="45"/>
      <c r="Q77" s="126" t="n">
        <f aca="false">VLOOKUP(E78,'O_MN, PE_UTA_UGM 2023'!$B$1:$I$300,5,FALSE())</f>
        <v>114.19</v>
      </c>
      <c r="R77" s="126" t="n">
        <f aca="false">VLOOKUP(E78,'O_MN, PE_UTA_UGM 2023'!$B$1:$I$300,6,FALSE())</f>
        <v>240.4</v>
      </c>
      <c r="S77" s="45"/>
      <c r="T77" s="47"/>
      <c r="U77" s="127" t="n">
        <f aca="false">(H77*N77)+(I77*O77)+((K77*N77)+(L77*O77)*1.25)</f>
        <v>0</v>
      </c>
      <c r="V77" s="128"/>
      <c r="W77" s="128"/>
      <c r="X77" s="127" t="n">
        <f aca="false">(H77*Q77)+(I77*R77)+((K77*Q77)+(L77*R77)*1.25)</f>
        <v>0</v>
      </c>
      <c r="Y77" s="129"/>
      <c r="Z77" s="130" t="e">
        <f aca="false">(#REF!+#REF!+K77)*'O_MN, PE_UTA_UGM 2023'!H51</f>
        <v>#REF!</v>
      </c>
      <c r="AA77" s="131" t="e">
        <f aca="false">(#REF!+#REF!+L77)*'O_MN, PE_UTA_UGM 2023'!I51</f>
        <v>#REF!</v>
      </c>
      <c r="AB77" s="132" t="n">
        <f aca="false">IF(ISERROR(+ROUND(#REF!*N77/#REF!,3)),0,+ROUND(#REF!*N77/#REF!,3))</f>
        <v>0</v>
      </c>
      <c r="AC77" s="132" t="n">
        <f aca="false">IF(ISERROR(+ROUND(#REF!*O77/#REF!,3)),0,+ROUND(#REF!*O77/#REF!,3))</f>
        <v>0</v>
      </c>
      <c r="AD77" s="133" t="n">
        <f aca="false">IF(AND(AB77=0,AC77=0),0,#REF!*(#REF!-(#REF!*AB77/N77))+#REF!*(#REF!-(#REF!*AC77/O77)))</f>
        <v>0</v>
      </c>
      <c r="AE77" s="3"/>
      <c r="AF77" s="3"/>
      <c r="AG77" s="3"/>
      <c r="AH77" s="3"/>
      <c r="AI77" s="3"/>
    </row>
    <row r="78" customFormat="false" ht="15" hidden="false" customHeight="false" outlineLevel="0" collapsed="false">
      <c r="A78" s="3"/>
      <c r="B78" s="116"/>
      <c r="C78" s="134"/>
      <c r="D78" s="135"/>
      <c r="E78" s="119" t="n">
        <f aca="false">'O_MN, PE_UTA_UGM 2023'!B51</f>
        <v>309</v>
      </c>
      <c r="F78" s="120" t="str">
        <f aca="false">'O_MN, PE_UTA_UGM 2023'!C51</f>
        <v>BARDANA</v>
      </c>
      <c r="G78" s="121"/>
      <c r="H78" s="122"/>
      <c r="I78" s="122"/>
      <c r="J78" s="123"/>
      <c r="K78" s="124"/>
      <c r="L78" s="124"/>
      <c r="M78" s="112" t="e">
        <f aca="false">+IF(OR((#REF!+#REF!)&gt;0,(#REF!+#REF!)&gt;0,(K78+L78)&gt;0),"SI","NO")</f>
        <v>#REF!</v>
      </c>
      <c r="N78" s="136" t="n">
        <f aca="false">VLOOKUP(E79,'O_MN, PE_UTA_UGM 2023'!$B$1:$I$300,7,FALSE())</f>
        <v>0</v>
      </c>
      <c r="O78" s="136" t="n">
        <f aca="false">VLOOKUP(E79,'O_MN, PE_UTA_UGM 2023'!$B$1:$I$300,8,FALSE())</f>
        <v>7200</v>
      </c>
      <c r="P78" s="45"/>
      <c r="Q78" s="126" t="n">
        <f aca="false">VLOOKUP(E79,'O_MN, PE_UTA_UGM 2023'!$B$1:$I$300,5,FALSE())</f>
        <v>360.61</v>
      </c>
      <c r="R78" s="126" t="n">
        <f aca="false">VLOOKUP(E79,'O_MN, PE_UTA_UGM 2023'!$B$1:$I$300,6,FALSE())</f>
        <v>1352.28</v>
      </c>
      <c r="S78" s="45"/>
      <c r="T78" s="47"/>
      <c r="U78" s="127" t="n">
        <f aca="false">(H78*N78)+(I78*O78)+((K78*N78)+(L78*O78)*1.25)</f>
        <v>0</v>
      </c>
      <c r="V78" s="128"/>
      <c r="W78" s="128"/>
      <c r="X78" s="127" t="n">
        <f aca="false">(H78*Q78)+(I78*R78)+((K78*Q78)+(L78*R78)*1.25)</f>
        <v>0</v>
      </c>
      <c r="Y78" s="129"/>
      <c r="Z78" s="130" t="e">
        <f aca="false">(#REF!+#REF!+K78)*'O_MN, PE_UTA_UGM 2023'!H52</f>
        <v>#REF!</v>
      </c>
      <c r="AA78" s="131" t="e">
        <f aca="false">(#REF!+#REF!+L78)*'O_MN, PE_UTA_UGM 2023'!I52</f>
        <v>#REF!</v>
      </c>
      <c r="AB78" s="132" t="n">
        <f aca="false">IF(ISERROR(+ROUND(#REF!*N78/#REF!,3)),0,+ROUND(#REF!*N78/#REF!,3))</f>
        <v>0</v>
      </c>
      <c r="AC78" s="132" t="n">
        <f aca="false">IF(ISERROR(+ROUND(#REF!*O78/#REF!,3)),0,+ROUND(#REF!*O78/#REF!,3))</f>
        <v>0</v>
      </c>
      <c r="AD78" s="133" t="n">
        <f aca="false">IF(AND(AB78=0,AC78=0),0,#REF!*(#REF!-(#REF!*AB78/N78))+#REF!*(#REF!-(#REF!*AC78/O78)))</f>
        <v>0</v>
      </c>
      <c r="AE78" s="3"/>
      <c r="AF78" s="3"/>
      <c r="AG78" s="3"/>
      <c r="AH78" s="3"/>
      <c r="AI78" s="3"/>
    </row>
    <row r="79" customFormat="false" ht="15" hidden="false" customHeight="false" outlineLevel="0" collapsed="false">
      <c r="A79" s="3"/>
      <c r="B79" s="116"/>
      <c r="C79" s="134"/>
      <c r="D79" s="135"/>
      <c r="E79" s="119" t="n">
        <f aca="false">'O_MN, PE_UTA_UGM 2023'!B52</f>
        <v>162</v>
      </c>
      <c r="F79" s="120" t="str">
        <f aca="false">'O_MN, PE_UTA_UGM 2023'!C52</f>
        <v>BERENJENA</v>
      </c>
      <c r="G79" s="121"/>
      <c r="H79" s="122"/>
      <c r="I79" s="122"/>
      <c r="J79" s="123"/>
      <c r="K79" s="124"/>
      <c r="L79" s="124"/>
      <c r="M79" s="112" t="e">
        <f aca="false">+IF(OR((#REF!+#REF!)&gt;0,(#REF!+#REF!)&gt;0,(K79+L79)&gt;0),"SI","NO")</f>
        <v>#REF!</v>
      </c>
      <c r="N79" s="136" t="n">
        <f aca="false">VLOOKUP(E80,'O_MN, PE_UTA_UGM 2023'!$B$1:$I$300,7,FALSE())</f>
        <v>0</v>
      </c>
      <c r="O79" s="136" t="n">
        <f aca="false">VLOOKUP(E80,'O_MN, PE_UTA_UGM 2023'!$B$1:$I$300,8,FALSE())</f>
        <v>5200</v>
      </c>
      <c r="P79" s="45"/>
      <c r="Q79" s="126" t="n">
        <f aca="false">VLOOKUP(E80,'O_MN, PE_UTA_UGM 2023'!$B$1:$I$300,5,FALSE())</f>
        <v>360.61</v>
      </c>
      <c r="R79" s="126" t="n">
        <f aca="false">VLOOKUP(E80,'O_MN, PE_UTA_UGM 2023'!$B$1:$I$300,6,FALSE())</f>
        <v>1352.28</v>
      </c>
      <c r="S79" s="45"/>
      <c r="T79" s="47"/>
      <c r="U79" s="127" t="n">
        <f aca="false">(H79*N79)+(I79*O79)+((K79*N79)+(L79*O79)*1.25)</f>
        <v>0</v>
      </c>
      <c r="V79" s="128"/>
      <c r="W79" s="128"/>
      <c r="X79" s="127" t="n">
        <f aca="false">(H79*Q79)+(I79*R79)+((K79*Q79)+(L79*R79)*1.25)</f>
        <v>0</v>
      </c>
      <c r="Y79" s="129"/>
      <c r="Z79" s="130" t="e">
        <f aca="false">(#REF!+#REF!+K79)*'O_MN, PE_UTA_UGM 2023'!H53</f>
        <v>#REF!</v>
      </c>
      <c r="AA79" s="131" t="e">
        <f aca="false">(#REF!+#REF!+L79)*'O_MN, PE_UTA_UGM 2023'!I53</f>
        <v>#REF!</v>
      </c>
      <c r="AB79" s="132" t="n">
        <f aca="false">IF(ISERROR(+ROUND(#REF!*N79/#REF!,3)),0,+ROUND(#REF!*N79/#REF!,3))</f>
        <v>0</v>
      </c>
      <c r="AC79" s="132" t="n">
        <f aca="false">IF(ISERROR(+ROUND(#REF!*O79/#REF!,3)),0,+ROUND(#REF!*O79/#REF!,3))</f>
        <v>0</v>
      </c>
      <c r="AD79" s="133" t="n">
        <f aca="false">IF(AND(AB79=0,AC79=0),0,#REF!*(#REF!-(#REF!*AB79/N79))+#REF!*(#REF!-(#REF!*AC79/O79)))</f>
        <v>0</v>
      </c>
      <c r="AE79" s="3"/>
      <c r="AF79" s="3"/>
      <c r="AG79" s="3"/>
      <c r="AH79" s="3"/>
      <c r="AI79" s="3"/>
    </row>
    <row r="80" customFormat="false" ht="15" hidden="false" customHeight="false" outlineLevel="0" collapsed="false">
      <c r="A80" s="3"/>
      <c r="B80" s="116"/>
      <c r="C80" s="134"/>
      <c r="D80" s="135"/>
      <c r="E80" s="119" t="n">
        <f aca="false">'O_MN, PE_UTA_UGM 2023'!B53</f>
        <v>191</v>
      </c>
      <c r="F80" s="120" t="str">
        <f aca="false">'O_MN, PE_UTA_UGM 2023'!C53</f>
        <v>BERRO</v>
      </c>
      <c r="G80" s="121"/>
      <c r="H80" s="122"/>
      <c r="I80" s="122"/>
      <c r="J80" s="123"/>
      <c r="K80" s="124"/>
      <c r="L80" s="124"/>
      <c r="M80" s="112" t="e">
        <f aca="false">+IF(OR((#REF!+#REF!)&gt;0,(#REF!+#REF!)&gt;0,(K80+L80)&gt;0),"SI","NO")</f>
        <v>#REF!</v>
      </c>
      <c r="N80" s="136" t="n">
        <f aca="false">VLOOKUP(E81,'O_MN, PE_UTA_UGM 2023'!$B$1:$I$300,7,FALSE())</f>
        <v>0</v>
      </c>
      <c r="O80" s="136" t="n">
        <f aca="false">VLOOKUP(E81,'O_MN, PE_UTA_UGM 2023'!$B$1:$I$300,8,FALSE())</f>
        <v>5200</v>
      </c>
      <c r="P80" s="45"/>
      <c r="Q80" s="126" t="n">
        <f aca="false">VLOOKUP(E81,'O_MN, PE_UTA_UGM 2023'!$B$1:$I$300,5,FALSE())</f>
        <v>360.61</v>
      </c>
      <c r="R80" s="126" t="n">
        <f aca="false">VLOOKUP(E81,'O_MN, PE_UTA_UGM 2023'!$B$1:$I$300,6,FALSE())</f>
        <v>1352.28</v>
      </c>
      <c r="S80" s="45"/>
      <c r="T80" s="47"/>
      <c r="U80" s="127" t="n">
        <f aca="false">(H80*N80)+(I80*O80)+((K80*N80)+(L80*O80)*1.25)</f>
        <v>0</v>
      </c>
      <c r="V80" s="128"/>
      <c r="W80" s="128"/>
      <c r="X80" s="127" t="n">
        <f aca="false">(H80*Q80)+(I80*R80)+((K80*Q80)+(L80*R80)*1.25)</f>
        <v>0</v>
      </c>
      <c r="Y80" s="129"/>
      <c r="Z80" s="130" t="e">
        <f aca="false">(#REF!+#REF!+K80)*'O_MN, PE_UTA_UGM 2023'!H54</f>
        <v>#REF!</v>
      </c>
      <c r="AA80" s="131" t="e">
        <f aca="false">(#REF!+#REF!+L80)*'O_MN, PE_UTA_UGM 2023'!I54</f>
        <v>#REF!</v>
      </c>
      <c r="AB80" s="132" t="n">
        <f aca="false">IF(ISERROR(+ROUND(#REF!*N80/#REF!,3)),0,+ROUND(#REF!*N80/#REF!,3))</f>
        <v>0</v>
      </c>
      <c r="AC80" s="132" t="n">
        <f aca="false">IF(ISERROR(+ROUND(#REF!*O80/#REF!,3)),0,+ROUND(#REF!*O80/#REF!,3))</f>
        <v>0</v>
      </c>
      <c r="AD80" s="133" t="n">
        <f aca="false">IF(AND(AB80=0,AC80=0),0,#REF!*(#REF!-(#REF!*AB80/N80))+#REF!*(#REF!-(#REF!*AC80/O80)))</f>
        <v>0</v>
      </c>
      <c r="AE80" s="3"/>
      <c r="AF80" s="3"/>
      <c r="AG80" s="3"/>
      <c r="AH80" s="3"/>
      <c r="AI80" s="3"/>
    </row>
    <row r="81" customFormat="false" ht="15" hidden="false" customHeight="false" outlineLevel="0" collapsed="false">
      <c r="A81" s="3"/>
      <c r="B81" s="116"/>
      <c r="C81" s="134"/>
      <c r="D81" s="135"/>
      <c r="E81" s="119" t="n">
        <f aca="false">'O_MN, PE_UTA_UGM 2023'!B54</f>
        <v>175</v>
      </c>
      <c r="F81" s="120" t="str">
        <f aca="false">'O_MN, PE_UTA_UGM 2023'!C54</f>
        <v>BERZA</v>
      </c>
      <c r="G81" s="121"/>
      <c r="H81" s="122"/>
      <c r="I81" s="122"/>
      <c r="J81" s="123"/>
      <c r="K81" s="124"/>
      <c r="L81" s="124"/>
      <c r="M81" s="112" t="e">
        <f aca="false">+IF(OR((#REF!+#REF!)&gt;0,(#REF!+#REF!)&gt;0,(K81+L81)&gt;0),"SI","NO")</f>
        <v>#REF!</v>
      </c>
      <c r="N81" s="136" t="n">
        <f aca="false">VLOOKUP(E82,'O_MN, PE_UTA_UGM 2023'!$B$1:$I$300,7,FALSE())</f>
        <v>1739.31</v>
      </c>
      <c r="O81" s="136" t="n">
        <f aca="false">VLOOKUP(E82,'O_MN, PE_UTA_UGM 2023'!$B$1:$I$300,8,FALSE())</f>
        <v>5200</v>
      </c>
      <c r="P81" s="45"/>
      <c r="Q81" s="126" t="n">
        <f aca="false">VLOOKUP(E82,'O_MN, PE_UTA_UGM 2023'!$B$1:$I$300,5,FALSE())</f>
        <v>450.76</v>
      </c>
      <c r="R81" s="126" t="n">
        <f aca="false">VLOOKUP(E82,'O_MN, PE_UTA_UGM 2023'!$B$1:$I$300,6,FALSE())</f>
        <v>1202.02</v>
      </c>
      <c r="S81" s="45"/>
      <c r="T81" s="47"/>
      <c r="U81" s="127" t="n">
        <f aca="false">(H81*N81)+(I81*O81)+((K81*N81)+(L81*O81)*1.25)</f>
        <v>0</v>
      </c>
      <c r="V81" s="128"/>
      <c r="W81" s="128"/>
      <c r="X81" s="127" t="n">
        <f aca="false">(H81*Q81)+(I81*R81)+((K81*Q81)+(L81*R81)*1.25)</f>
        <v>0</v>
      </c>
      <c r="Y81" s="129"/>
      <c r="Z81" s="130" t="e">
        <f aca="false">(#REF!+#REF!+K81)*'O_MN, PE_UTA_UGM 2023'!H55</f>
        <v>#REF!</v>
      </c>
      <c r="AA81" s="131" t="e">
        <f aca="false">(#REF!+#REF!+L81)*'O_MN, PE_UTA_UGM 2023'!I55</f>
        <v>#REF!</v>
      </c>
      <c r="AB81" s="132" t="n">
        <f aca="false">IF(ISERROR(+ROUND(#REF!*N81/#REF!,3)),0,+ROUND(#REF!*N81/#REF!,3))</f>
        <v>0</v>
      </c>
      <c r="AC81" s="132" t="n">
        <f aca="false">IF(ISERROR(+ROUND(#REF!*O81/#REF!,3)),0,+ROUND(#REF!*O81/#REF!,3))</f>
        <v>0</v>
      </c>
      <c r="AD81" s="133" t="n">
        <f aca="false">IF(AND(AB81=0,AC81=0),0,#REF!*(#REF!-(#REF!*AB81/N81))+#REF!*(#REF!-(#REF!*AC81/O81)))</f>
        <v>0</v>
      </c>
      <c r="AE81" s="3"/>
      <c r="AF81" s="3"/>
      <c r="AG81" s="3"/>
      <c r="AH81" s="3"/>
      <c r="AI81" s="3"/>
    </row>
    <row r="82" customFormat="false" ht="15" hidden="false" customHeight="false" outlineLevel="0" collapsed="false">
      <c r="A82" s="3"/>
      <c r="B82" s="116"/>
      <c r="C82" s="134"/>
      <c r="D82" s="135"/>
      <c r="E82" s="119" t="n">
        <f aca="false">'O_MN, PE_UTA_UGM 2023'!B55</f>
        <v>121</v>
      </c>
      <c r="F82" s="120" t="str">
        <f aca="false">'O_MN, PE_UTA_UGM 2023'!C55</f>
        <v>BONIATO</v>
      </c>
      <c r="G82" s="121"/>
      <c r="H82" s="122"/>
      <c r="I82" s="122"/>
      <c r="J82" s="123"/>
      <c r="K82" s="124"/>
      <c r="L82" s="124"/>
      <c r="M82" s="112" t="e">
        <f aca="false">+IF(OR((#REF!+#REF!)&gt;0,(#REF!+#REF!)&gt;0,(K82+L82)&gt;0),"SI","NO")</f>
        <v>#REF!</v>
      </c>
      <c r="N82" s="136" t="n">
        <f aca="false">VLOOKUP(E83,'O_MN, PE_UTA_UGM 2023'!$B$1:$I$300,7,FALSE())</f>
        <v>0</v>
      </c>
      <c r="O82" s="136" t="n">
        <f aca="false">VLOOKUP(E83,'O_MN, PE_UTA_UGM 2023'!$B$1:$I$300,8,FALSE())</f>
        <v>8200</v>
      </c>
      <c r="P82" s="45"/>
      <c r="Q82" s="126" t="n">
        <f aca="false">VLOOKUP(E83,'O_MN, PE_UTA_UGM 2023'!$B$1:$I$300,5,FALSE())</f>
        <v>360.61</v>
      </c>
      <c r="R82" s="126" t="n">
        <f aca="false">VLOOKUP(E83,'O_MN, PE_UTA_UGM 2023'!$B$1:$I$300,6,FALSE())</f>
        <v>1352.28</v>
      </c>
      <c r="S82" s="45"/>
      <c r="T82" s="47"/>
      <c r="U82" s="127" t="n">
        <f aca="false">(H82*N82)+(I82*O82)+((K82*N82)+(L82*O82)*1.25)</f>
        <v>0</v>
      </c>
      <c r="V82" s="128"/>
      <c r="W82" s="128"/>
      <c r="X82" s="127" t="n">
        <f aca="false">(H82*Q82)+(I82*R82)+((K82*Q82)+(L82*R82)*1.25)</f>
        <v>0</v>
      </c>
      <c r="Y82" s="129"/>
      <c r="Z82" s="130" t="e">
        <f aca="false">(#REF!+#REF!+K82)*'O_MN, PE_UTA_UGM 2023'!H56</f>
        <v>#REF!</v>
      </c>
      <c r="AA82" s="131" t="e">
        <f aca="false">(#REF!+#REF!+L82)*'O_MN, PE_UTA_UGM 2023'!I56</f>
        <v>#REF!</v>
      </c>
      <c r="AB82" s="132" t="n">
        <f aca="false">IF(ISERROR(+ROUND(#REF!*N82/#REF!,3)),0,+ROUND(#REF!*N82/#REF!,3))</f>
        <v>0</v>
      </c>
      <c r="AC82" s="132" t="n">
        <f aca="false">IF(ISERROR(+ROUND(#REF!*O82/#REF!,3)),0,+ROUND(#REF!*O82/#REF!,3))</f>
        <v>0</v>
      </c>
      <c r="AD82" s="133" t="n">
        <f aca="false">IF(AND(AB82=0,AC82=0),0,#REF!*(#REF!-(#REF!*AB82/N82))+#REF!*(#REF!-(#REF!*AC82/O82)))</f>
        <v>0</v>
      </c>
      <c r="AE82" s="3"/>
      <c r="AF82" s="3"/>
      <c r="AG82" s="3"/>
      <c r="AH82" s="3"/>
      <c r="AI82" s="3"/>
    </row>
    <row r="83" customFormat="false" ht="15" hidden="false" customHeight="false" outlineLevel="0" collapsed="false">
      <c r="A83" s="3"/>
      <c r="B83" s="116"/>
      <c r="C83" s="134"/>
      <c r="D83" s="135"/>
      <c r="E83" s="119" t="n">
        <f aca="false">'O_MN, PE_UTA_UGM 2023'!B56</f>
        <v>187</v>
      </c>
      <c r="F83" s="120" t="str">
        <f aca="false">'O_MN, PE_UTA_UGM 2023'!C56</f>
        <v>BORRAJA</v>
      </c>
      <c r="G83" s="121"/>
      <c r="H83" s="122"/>
      <c r="I83" s="122"/>
      <c r="J83" s="123"/>
      <c r="K83" s="124"/>
      <c r="L83" s="124"/>
      <c r="M83" s="112" t="e">
        <f aca="false">+IF(OR((#REF!+#REF!)&gt;0,(#REF!+#REF!)&gt;0,(K83+L83)&gt;0),"SI","NO")</f>
        <v>#REF!</v>
      </c>
      <c r="N83" s="136" t="n">
        <f aca="false">VLOOKUP(E84,'O_MN, PE_UTA_UGM 2023'!$B$1:$I$300,7,FALSE())</f>
        <v>186.91</v>
      </c>
      <c r="O83" s="136" t="n">
        <f aca="false">VLOOKUP(E84,'O_MN, PE_UTA_UGM 2023'!$B$1:$I$300,8,FALSE())</f>
        <v>540.36</v>
      </c>
      <c r="P83" s="45"/>
      <c r="Q83" s="126" t="n">
        <f aca="false">VLOOKUP(E84,'O_MN, PE_UTA_UGM 2023'!$B$1:$I$300,5,FALSE())</f>
        <v>114.19</v>
      </c>
      <c r="R83" s="126" t="n">
        <f aca="false">VLOOKUP(E84,'O_MN, PE_UTA_UGM 2023'!$B$1:$I$300,6,FALSE())</f>
        <v>240.4</v>
      </c>
      <c r="S83" s="45"/>
      <c r="T83" s="47"/>
      <c r="U83" s="127" t="n">
        <f aca="false">(H83*N83)+(I83*O83)+((K83*N83)+(L83*O83)*1.25)</f>
        <v>0</v>
      </c>
      <c r="V83" s="128"/>
      <c r="W83" s="128"/>
      <c r="X83" s="127" t="n">
        <f aca="false">(H83*Q83)+(I83*R83)+((K83*Q83)+(L83*R83)*1.25)</f>
        <v>0</v>
      </c>
      <c r="Y83" s="129"/>
      <c r="Z83" s="130" t="e">
        <f aca="false">(#REF!+#REF!+K83)*'O_MN, PE_UTA_UGM 2023'!H57</f>
        <v>#REF!</v>
      </c>
      <c r="AA83" s="131" t="e">
        <f aca="false">(#REF!+#REF!+L83)*'O_MN, PE_UTA_UGM 2023'!I57</f>
        <v>#REF!</v>
      </c>
      <c r="AB83" s="132" t="n">
        <f aca="false">IF(ISERROR(+ROUND(#REF!*N83/#REF!,3)),0,+ROUND(#REF!*N83/#REF!,3))</f>
        <v>0</v>
      </c>
      <c r="AC83" s="132" t="n">
        <f aca="false">IF(ISERROR(+ROUND(#REF!*O83/#REF!,3)),0,+ROUND(#REF!*O83/#REF!,3))</f>
        <v>0</v>
      </c>
      <c r="AD83" s="133" t="n">
        <f aca="false">IF(AND(AB83=0,AC83=0),0,#REF!*(#REF!-(#REF!*AB83/N83))+#REF!*(#REF!-(#REF!*AC83/O83)))</f>
        <v>0</v>
      </c>
      <c r="AE83" s="3"/>
      <c r="AF83" s="3"/>
      <c r="AG83" s="3"/>
      <c r="AH83" s="3"/>
      <c r="AI83" s="3"/>
    </row>
    <row r="84" customFormat="false" ht="15" hidden="false" customHeight="false" outlineLevel="0" collapsed="false">
      <c r="A84" s="3"/>
      <c r="B84" s="116"/>
      <c r="C84" s="134"/>
      <c r="D84" s="135"/>
      <c r="E84" s="119" t="n">
        <f aca="false">'O_MN, PE_UTA_UGM 2023'!B57</f>
        <v>901</v>
      </c>
      <c r="F84" s="120" t="str">
        <f aca="false">'O_MN, PE_UTA_UGM 2023'!C57</f>
        <v>BRASSICA CARINATA</v>
      </c>
      <c r="G84" s="121"/>
      <c r="H84" s="122"/>
      <c r="I84" s="122"/>
      <c r="J84" s="123"/>
      <c r="K84" s="124"/>
      <c r="L84" s="124"/>
      <c r="M84" s="112" t="e">
        <f aca="false">+IF(OR((#REF!+#REF!)&gt;0,(#REF!+#REF!)&gt;0,(K84+L84)&gt;0),"SI","NO")</f>
        <v>#REF!</v>
      </c>
      <c r="N84" s="136" t="n">
        <f aca="false">VLOOKUP(E85,'O_MN, PE_UTA_UGM 2023'!$B$1:$I$300,7,FALSE())</f>
        <v>1000</v>
      </c>
      <c r="O84" s="136" t="n">
        <f aca="false">VLOOKUP(E85,'O_MN, PE_UTA_UGM 2023'!$B$1:$I$300,8,FALSE())</f>
        <v>3800</v>
      </c>
      <c r="P84" s="45"/>
      <c r="Q84" s="126" t="n">
        <f aca="false">VLOOKUP(E85,'O_MN, PE_UTA_UGM 2023'!$B$1:$I$300,5,FALSE())</f>
        <v>114.19</v>
      </c>
      <c r="R84" s="126" t="n">
        <f aca="false">VLOOKUP(E85,'O_MN, PE_UTA_UGM 2023'!$B$1:$I$300,6,FALSE())</f>
        <v>240.4</v>
      </c>
      <c r="S84" s="45"/>
      <c r="T84" s="47"/>
      <c r="U84" s="127" t="n">
        <f aca="false">(H84*N84)+(I84*O84)+((K84*N84)+(L84*O84)*1.25)</f>
        <v>0</v>
      </c>
      <c r="V84" s="128"/>
      <c r="W84" s="128"/>
      <c r="X84" s="127" t="n">
        <f aca="false">(H84*Q84)+(I84*R84)+((K84*Q84)+(L84*R84)*1.25)</f>
        <v>0</v>
      </c>
      <c r="Y84" s="129"/>
      <c r="Z84" s="130" t="e">
        <f aca="false">(#REF!+#REF!+K84)*'O_MN, PE_UTA_UGM 2023'!H58</f>
        <v>#REF!</v>
      </c>
      <c r="AA84" s="131" t="e">
        <f aca="false">(#REF!+#REF!+L84)*'O_MN, PE_UTA_UGM 2023'!I58</f>
        <v>#REF!</v>
      </c>
      <c r="AB84" s="132" t="n">
        <f aca="false">IF(ISERROR(+ROUND(#REF!*N84/#REF!,3)),0,+ROUND(#REF!*N84/#REF!,3))</f>
        <v>0</v>
      </c>
      <c r="AC84" s="132" t="n">
        <f aca="false">IF(ISERROR(+ROUND(#REF!*O84/#REF!,3)),0,+ROUND(#REF!*O84/#REF!,3))</f>
        <v>0</v>
      </c>
      <c r="AD84" s="133" t="n">
        <f aca="false">IF(AND(AB84=0,AC84=0),0,#REF!*(#REF!-(#REF!*AB84/N84))+#REF!*(#REF!-(#REF!*AC84/O84)))</f>
        <v>0</v>
      </c>
      <c r="AE84" s="3"/>
      <c r="AF84" s="3"/>
      <c r="AG84" s="3"/>
      <c r="AH84" s="3"/>
      <c r="AI84" s="3"/>
    </row>
    <row r="85" customFormat="false" ht="15" hidden="false" customHeight="false" outlineLevel="0" collapsed="false">
      <c r="A85" s="3"/>
      <c r="B85" s="116"/>
      <c r="C85" s="134"/>
      <c r="D85" s="135"/>
      <c r="E85" s="119" t="n">
        <f aca="false">'O_MN, PE_UTA_UGM 2023'!B58</f>
        <v>902</v>
      </c>
      <c r="F85" s="120" t="str">
        <f aca="false">'O_MN, PE_UTA_UGM 2023'!C58</f>
        <v>BRASSICA JUNCEA</v>
      </c>
      <c r="G85" s="121"/>
      <c r="H85" s="122"/>
      <c r="I85" s="122"/>
      <c r="J85" s="123"/>
      <c r="K85" s="124"/>
      <c r="L85" s="124"/>
      <c r="M85" s="112" t="e">
        <f aca="false">+IF(OR((#REF!+#REF!)&gt;0,(#REF!+#REF!)&gt;0,(K85+L85)&gt;0),"SI","NO")</f>
        <v>#REF!</v>
      </c>
      <c r="N85" s="136" t="n">
        <f aca="false">VLOOKUP(E86,'O_MN, PE_UTA_UGM 2023'!$B$1:$I$300,7,FALSE())</f>
        <v>0</v>
      </c>
      <c r="O85" s="136" t="n">
        <f aca="false">VLOOKUP(E86,'O_MN, PE_UTA_UGM 2023'!$B$1:$I$300,8,FALSE())</f>
        <v>5200</v>
      </c>
      <c r="P85" s="45"/>
      <c r="Q85" s="126" t="n">
        <f aca="false">VLOOKUP(E86,'O_MN, PE_UTA_UGM 2023'!$B$1:$I$300,5,FALSE())</f>
        <v>360.61</v>
      </c>
      <c r="R85" s="126" t="n">
        <f aca="false">VLOOKUP(E86,'O_MN, PE_UTA_UGM 2023'!$B$1:$I$300,6,FALSE())</f>
        <v>1352.28</v>
      </c>
      <c r="S85" s="45"/>
      <c r="T85" s="47"/>
      <c r="U85" s="127" t="n">
        <f aca="false">(H85*N85)+(I85*O85)+((K85*N85)+(L85*O85)*1.25)</f>
        <v>0</v>
      </c>
      <c r="V85" s="128"/>
      <c r="W85" s="128"/>
      <c r="X85" s="127" t="n">
        <f aca="false">(H85*Q85)+(I85*R85)+((K85*Q85)+(L85*R85)*1.25)</f>
        <v>0</v>
      </c>
      <c r="Y85" s="129"/>
      <c r="Z85" s="130" t="e">
        <f aca="false">(#REF!+#REF!+K85)*'O_MN, PE_UTA_UGM 2023'!H59</f>
        <v>#REF!</v>
      </c>
      <c r="AA85" s="131" t="e">
        <f aca="false">(#REF!+#REF!+L85)*'O_MN, PE_UTA_UGM 2023'!I59</f>
        <v>#REF!</v>
      </c>
      <c r="AB85" s="132" t="n">
        <f aca="false">IF(ISERROR(+ROUND(#REF!*N85/#REF!,3)),0,+ROUND(#REF!*N85/#REF!,3))</f>
        <v>0</v>
      </c>
      <c r="AC85" s="132" t="n">
        <f aca="false">IF(ISERROR(+ROUND(#REF!*O85/#REF!,3)),0,+ROUND(#REF!*O85/#REF!,3))</f>
        <v>0</v>
      </c>
      <c r="AD85" s="133" t="n">
        <f aca="false">IF(AND(AB85=0,AC85=0),0,#REF!*(#REF!-(#REF!*AB85/N85))+#REF!*(#REF!-(#REF!*AC85/O85)))</f>
        <v>0</v>
      </c>
      <c r="AE85" s="3"/>
      <c r="AF85" s="3"/>
      <c r="AG85" s="3"/>
      <c r="AH85" s="3"/>
      <c r="AI85" s="3"/>
    </row>
    <row r="86" customFormat="false" ht="15" hidden="false" customHeight="false" outlineLevel="0" collapsed="false">
      <c r="A86" s="3"/>
      <c r="B86" s="116"/>
      <c r="C86" s="134"/>
      <c r="D86" s="135"/>
      <c r="E86" s="119" t="n">
        <f aca="false">'O_MN, PE_UTA_UGM 2023'!B59</f>
        <v>154</v>
      </c>
      <c r="F86" s="120" t="str">
        <f aca="false">'O_MN, PE_UTA_UGM 2023'!C59</f>
        <v>BROCOLI</v>
      </c>
      <c r="G86" s="121"/>
      <c r="H86" s="122"/>
      <c r="I86" s="122"/>
      <c r="J86" s="123"/>
      <c r="K86" s="124"/>
      <c r="L86" s="124"/>
      <c r="M86" s="112" t="e">
        <f aca="false">+IF(OR((#REF!+#REF!)&gt;0,(#REF!+#REF!)&gt;0,(K86+L86)&gt;0),"SI","NO")</f>
        <v>#REF!</v>
      </c>
      <c r="N86" s="136" t="n">
        <f aca="false">VLOOKUP(E87,'O_MN, PE_UTA_UGM 2023'!$B$1:$I$300,7,FALSE())</f>
        <v>0</v>
      </c>
      <c r="O86" s="136" t="n">
        <f aca="false">VLOOKUP(E87,'O_MN, PE_UTA_UGM 2023'!$B$1:$I$300,8,FALSE())</f>
        <v>0</v>
      </c>
      <c r="P86" s="45"/>
      <c r="Q86" s="126" t="n">
        <f aca="false">VLOOKUP(E87,'O_MN, PE_UTA_UGM 2023'!$B$1:$I$300,5,FALSE())</f>
        <v>1E-005</v>
      </c>
      <c r="R86" s="126" t="n">
        <f aca="false">VLOOKUP(E87,'O_MN, PE_UTA_UGM 2023'!$B$1:$I$300,6,FALSE())</f>
        <v>1E-005</v>
      </c>
      <c r="S86" s="45"/>
      <c r="T86" s="47"/>
      <c r="U86" s="127" t="n">
        <f aca="false">(H86*N86)+(I86*O86)+((K86*N86)+(L86*O86)*1.25)</f>
        <v>0</v>
      </c>
      <c r="V86" s="128"/>
      <c r="W86" s="128"/>
      <c r="X86" s="127" t="n">
        <f aca="false">(H86*Q86)+(I86*R86)+((K86*Q86)+(L86*R86)*1.25)</f>
        <v>0</v>
      </c>
      <c r="Y86" s="129"/>
      <c r="Z86" s="130" t="e">
        <f aca="false">(#REF!+#REF!+K86)*'O_MN, PE_UTA_UGM 2023'!H60</f>
        <v>#REF!</v>
      </c>
      <c r="AA86" s="131" t="e">
        <f aca="false">(#REF!+#REF!+L86)*'O_MN, PE_UTA_UGM 2023'!I60</f>
        <v>#REF!</v>
      </c>
      <c r="AB86" s="132" t="n">
        <f aca="false">IF(ISERROR(+ROUND(#REF!*N86/#REF!,3)),0,+ROUND(#REF!*N86/#REF!,3))</f>
        <v>0</v>
      </c>
      <c r="AC86" s="132" t="n">
        <f aca="false">IF(ISERROR(+ROUND(#REF!*O86/#REF!,3)),0,+ROUND(#REF!*O86/#REF!,3))</f>
        <v>0</v>
      </c>
      <c r="AD86" s="133" t="n">
        <f aca="false">IF(AND(AB86=0,AC86=0),0,#REF!*(#REF!-(#REF!*AB86/N86))+#REF!*(#REF!-(#REF!*AC86/O86)))</f>
        <v>0</v>
      </c>
      <c r="AE86" s="3"/>
      <c r="AF86" s="3"/>
      <c r="AG86" s="3"/>
      <c r="AH86" s="3"/>
      <c r="AI86" s="3"/>
    </row>
    <row r="87" customFormat="false" ht="15" hidden="false" customHeight="false" outlineLevel="0" collapsed="false">
      <c r="A87" s="3"/>
      <c r="B87" s="116"/>
      <c r="C87" s="134"/>
      <c r="D87" s="135"/>
      <c r="E87" s="119" t="n">
        <f aca="false">'O_MN, PE_UTA_UGM 2023'!B60</f>
        <v>335</v>
      </c>
      <c r="F87" s="120" t="str">
        <f aca="false">'O_MN, PE_UTA_UGM 2023'!C60</f>
        <v>CABECERA DE CULTIVO PERMANENTE</v>
      </c>
      <c r="G87" s="121"/>
      <c r="H87" s="122"/>
      <c r="I87" s="122"/>
      <c r="J87" s="123"/>
      <c r="K87" s="124"/>
      <c r="L87" s="124"/>
      <c r="M87" s="112" t="e">
        <f aca="false">+IF(OR((#REF!+#REF!)&gt;0,(#REF!+#REF!)&gt;0,(K87+L87)&gt;0),"SI","NO")</f>
        <v>#REF!</v>
      </c>
      <c r="N87" s="136" t="n">
        <f aca="false">VLOOKUP(E88,'O_MN, PE_UTA_UGM 2023'!$B$1:$I$300,7,FALSE())</f>
        <v>186.91</v>
      </c>
      <c r="O87" s="136" t="n">
        <f aca="false">VLOOKUP(E88,'O_MN, PE_UTA_UGM 2023'!$B$1:$I$300,8,FALSE())</f>
        <v>540.36</v>
      </c>
      <c r="P87" s="45"/>
      <c r="Q87" s="126" t="n">
        <f aca="false">VLOOKUP(E88,'O_MN, PE_UTA_UGM 2023'!$B$1:$I$300,5,FALSE())</f>
        <v>1E-005</v>
      </c>
      <c r="R87" s="126" t="n">
        <f aca="false">VLOOKUP(E88,'O_MN, PE_UTA_UGM 2023'!$B$1:$I$300,6,FALSE())</f>
        <v>1E-005</v>
      </c>
      <c r="S87" s="45"/>
      <c r="T87" s="47"/>
      <c r="U87" s="127" t="n">
        <f aca="false">(H87*N87)+(I87*O87)+((K87*N87)+(L87*O87)*1.25)</f>
        <v>0</v>
      </c>
      <c r="V87" s="128"/>
      <c r="W87" s="128"/>
      <c r="X87" s="127" t="n">
        <f aca="false">(H87*Q87)+(I87*R87)+((K87*Q87)+(L87*R87)*1.25)</f>
        <v>0</v>
      </c>
      <c r="Y87" s="129"/>
      <c r="Z87" s="130" t="e">
        <f aca="false">(#REF!+#REF!+K87)*'O_MN, PE_UTA_UGM 2023'!H61</f>
        <v>#REF!</v>
      </c>
      <c r="AA87" s="131" t="e">
        <f aca="false">(#REF!+#REF!+L87)*'O_MN, PE_UTA_UGM 2023'!I61</f>
        <v>#REF!</v>
      </c>
      <c r="AB87" s="132" t="n">
        <f aca="false">IF(ISERROR(+ROUND(#REF!*N87/#REF!,3)),0,+ROUND(#REF!*N87/#REF!,3))</f>
        <v>0</v>
      </c>
      <c r="AC87" s="132" t="n">
        <f aca="false">IF(ISERROR(+ROUND(#REF!*O87/#REF!,3)),0,+ROUND(#REF!*O87/#REF!,3))</f>
        <v>0</v>
      </c>
      <c r="AD87" s="133" t="n">
        <f aca="false">IF(AND(AB87=0,AC87=0),0,#REF!*(#REF!-(#REF!*AB87/N87))+#REF!*(#REF!-(#REF!*AC87/O87)))</f>
        <v>0</v>
      </c>
      <c r="AE87" s="3"/>
      <c r="AF87" s="3"/>
      <c r="AG87" s="3"/>
      <c r="AH87" s="3"/>
      <c r="AI87" s="3"/>
    </row>
    <row r="88" customFormat="false" ht="15" hidden="false" customHeight="false" outlineLevel="0" collapsed="false">
      <c r="A88" s="3"/>
      <c r="B88" s="116"/>
      <c r="C88" s="134"/>
      <c r="D88" s="135"/>
      <c r="E88" s="119" t="n">
        <f aca="false">'O_MN, PE_UTA_UGM 2023'!B61</f>
        <v>87</v>
      </c>
      <c r="F88" s="120" t="str">
        <f aca="false">'O_MN, PE_UTA_UGM 2023'!C61</f>
        <v>CACAHUETE</v>
      </c>
      <c r="G88" s="121"/>
      <c r="H88" s="122"/>
      <c r="I88" s="122"/>
      <c r="J88" s="123"/>
      <c r="K88" s="124"/>
      <c r="L88" s="124"/>
      <c r="M88" s="112" t="e">
        <f aca="false">+IF(OR((#REF!+#REF!)&gt;0,(#REF!+#REF!)&gt;0,(K88+L88)&gt;0),"SI","NO")</f>
        <v>#REF!</v>
      </c>
      <c r="N88" s="136" t="n">
        <f aca="false">VLOOKUP(E89,'O_MN, PE_UTA_UGM 2023'!$B$1:$I$300,7,FALSE())</f>
        <v>0</v>
      </c>
      <c r="O88" s="136" t="n">
        <f aca="false">VLOOKUP(E89,'O_MN, PE_UTA_UGM 2023'!$B$1:$I$300,8,FALSE())</f>
        <v>3800</v>
      </c>
      <c r="P88" s="45"/>
      <c r="Q88" s="126" t="n">
        <f aca="false">VLOOKUP(E89,'O_MN, PE_UTA_UGM 2023'!$B$1:$I$300,5,FALSE())</f>
        <v>450.76</v>
      </c>
      <c r="R88" s="126" t="n">
        <f aca="false">VLOOKUP(E89,'O_MN, PE_UTA_UGM 2023'!$B$1:$I$300,6,FALSE())</f>
        <v>721.21</v>
      </c>
      <c r="S88" s="45"/>
      <c r="T88" s="47"/>
      <c r="U88" s="127" t="n">
        <f aca="false">(H88*N88)+(I88*O88)+((K88*N88)+(L88*O88)*1.25)</f>
        <v>0</v>
      </c>
      <c r="V88" s="128"/>
      <c r="W88" s="128"/>
      <c r="X88" s="127" t="n">
        <f aca="false">(H88*Q88)+(I88*R88)+((K88*Q88)+(L88*R88)*1.25)</f>
        <v>0</v>
      </c>
      <c r="Y88" s="129"/>
      <c r="Z88" s="130" t="e">
        <f aca="false">(#REF!+#REF!+K88)*'O_MN, PE_UTA_UGM 2023'!H62</f>
        <v>#REF!</v>
      </c>
      <c r="AA88" s="131" t="e">
        <f aca="false">(#REF!+#REF!+L88)*'O_MN, PE_UTA_UGM 2023'!I62</f>
        <v>#REF!</v>
      </c>
      <c r="AB88" s="132" t="n">
        <f aca="false">IF(ISERROR(+ROUND(#REF!*N88/#REF!,3)),0,+ROUND(#REF!*N88/#REF!,3))</f>
        <v>0</v>
      </c>
      <c r="AC88" s="132" t="n">
        <f aca="false">IF(ISERROR(+ROUND(#REF!*O88/#REF!,3)),0,+ROUND(#REF!*O88/#REF!,3))</f>
        <v>0</v>
      </c>
      <c r="AD88" s="133" t="n">
        <f aca="false">IF(AND(AB88=0,AC88=0),0,#REF!*(#REF!-(#REF!*AB88/N88))+#REF!*(#REF!-(#REF!*AC88/O88)))</f>
        <v>0</v>
      </c>
      <c r="AE88" s="3"/>
      <c r="AF88" s="3"/>
      <c r="AG88" s="3"/>
      <c r="AH88" s="3"/>
      <c r="AI88" s="3"/>
    </row>
    <row r="89" customFormat="false" ht="15" hidden="false" customHeight="false" outlineLevel="0" collapsed="false">
      <c r="A89" s="3"/>
      <c r="B89" s="116"/>
      <c r="C89" s="134"/>
      <c r="D89" s="135"/>
      <c r="E89" s="119" t="n">
        <f aca="false">'O_MN, PE_UTA_UGM 2023'!B62</f>
        <v>291</v>
      </c>
      <c r="F89" s="120" t="str">
        <f aca="false">'O_MN, PE_UTA_UGM 2023'!C62</f>
        <v>CAFÉ</v>
      </c>
      <c r="G89" s="121"/>
      <c r="H89" s="122"/>
      <c r="I89" s="122"/>
      <c r="J89" s="123"/>
      <c r="K89" s="124"/>
      <c r="L89" s="124"/>
      <c r="M89" s="112" t="e">
        <f aca="false">+IF(OR((#REF!+#REF!)&gt;0,(#REF!+#REF!)&gt;0,(K89+L89)&gt;0),"SI","NO")</f>
        <v>#REF!</v>
      </c>
      <c r="N89" s="136" t="n">
        <f aca="false">VLOOKUP(E90,'O_MN, PE_UTA_UGM 2023'!$B$1:$I$300,7,FALSE())</f>
        <v>0</v>
      </c>
      <c r="O89" s="136" t="n">
        <f aca="false">VLOOKUP(E90,'O_MN, PE_UTA_UGM 2023'!$B$1:$I$300,8,FALSE())</f>
        <v>8200</v>
      </c>
      <c r="P89" s="45"/>
      <c r="Q89" s="126" t="n">
        <f aca="false">VLOOKUP(E90,'O_MN, PE_UTA_UGM 2023'!$B$1:$I$300,5,FALSE())</f>
        <v>360.61</v>
      </c>
      <c r="R89" s="126" t="n">
        <f aca="false">VLOOKUP(E90,'O_MN, PE_UTA_UGM 2023'!$B$1:$I$300,6,FALSE())</f>
        <v>1352.28</v>
      </c>
      <c r="S89" s="45"/>
      <c r="T89" s="47"/>
      <c r="U89" s="127" t="n">
        <f aca="false">(H89*N89)+(I89*O89)+((K89*N89)+(L89*O89)*1.25)</f>
        <v>0</v>
      </c>
      <c r="V89" s="128"/>
      <c r="W89" s="128"/>
      <c r="X89" s="127" t="n">
        <f aca="false">(H89*Q89)+(I89*R89)+((K89*Q89)+(L89*R89)*1.25)</f>
        <v>0</v>
      </c>
      <c r="Y89" s="129"/>
      <c r="Z89" s="130" t="e">
        <f aca="false">(#REF!+#REF!+K89)*'O_MN, PE_UTA_UGM 2023'!H63</f>
        <v>#REF!</v>
      </c>
      <c r="AA89" s="131" t="e">
        <f aca="false">(#REF!+#REF!+L89)*'O_MN, PE_UTA_UGM 2023'!I63</f>
        <v>#REF!</v>
      </c>
      <c r="AB89" s="132" t="n">
        <f aca="false">IF(ISERROR(+ROUND(#REF!*N89/#REF!,3)),0,+ROUND(#REF!*N89/#REF!,3))</f>
        <v>0</v>
      </c>
      <c r="AC89" s="132" t="n">
        <f aca="false">IF(ISERROR(+ROUND(#REF!*O89/#REF!,3)),0,+ROUND(#REF!*O89/#REF!,3))</f>
        <v>0</v>
      </c>
      <c r="AD89" s="133" t="n">
        <f aca="false">IF(AND(AB89=0,AC89=0),0,#REF!*(#REF!-(#REF!*AB89/N89))+#REF!*(#REF!-(#REF!*AC89/O89)))</f>
        <v>0</v>
      </c>
      <c r="AE89" s="3"/>
      <c r="AF89" s="3"/>
      <c r="AG89" s="3"/>
      <c r="AH89" s="3"/>
      <c r="AI89" s="3"/>
    </row>
    <row r="90" customFormat="false" ht="15" hidden="false" customHeight="false" outlineLevel="0" collapsed="false">
      <c r="A90" s="3"/>
      <c r="B90" s="116"/>
      <c r="C90" s="134"/>
      <c r="D90" s="135"/>
      <c r="E90" s="119" t="n">
        <f aca="false">'O_MN, PE_UTA_UGM 2023'!B63</f>
        <v>163</v>
      </c>
      <c r="F90" s="120" t="str">
        <f aca="false">'O_MN, PE_UTA_UGM 2023'!C63</f>
        <v>CALABACIN</v>
      </c>
      <c r="G90" s="121"/>
      <c r="H90" s="122"/>
      <c r="I90" s="122"/>
      <c r="J90" s="123"/>
      <c r="K90" s="124"/>
      <c r="L90" s="124"/>
      <c r="M90" s="112" t="e">
        <f aca="false">+IF(OR((#REF!+#REF!)&gt;0,(#REF!+#REF!)&gt;0,(K90+L90)&gt;0),"SI","NO")</f>
        <v>#REF!</v>
      </c>
      <c r="N90" s="136" t="n">
        <f aca="false">VLOOKUP(E91,'O_MN, PE_UTA_UGM 2023'!$B$1:$I$300,7,FALSE())</f>
        <v>0</v>
      </c>
      <c r="O90" s="136" t="n">
        <f aca="false">VLOOKUP(E91,'O_MN, PE_UTA_UGM 2023'!$B$1:$I$300,8,FALSE())</f>
        <v>5200</v>
      </c>
      <c r="P90" s="45"/>
      <c r="Q90" s="126" t="n">
        <f aca="false">VLOOKUP(E91,'O_MN, PE_UTA_UGM 2023'!$B$1:$I$300,5,FALSE())</f>
        <v>360.61</v>
      </c>
      <c r="R90" s="126" t="n">
        <f aca="false">VLOOKUP(E91,'O_MN, PE_UTA_UGM 2023'!$B$1:$I$300,6,FALSE())</f>
        <v>1352.28</v>
      </c>
      <c r="S90" s="45"/>
      <c r="T90" s="47"/>
      <c r="U90" s="127" t="n">
        <f aca="false">(H90*N90)+(I90*O90)+((K90*N90)+(L90*O90)*1.25)</f>
        <v>0</v>
      </c>
      <c r="V90" s="128"/>
      <c r="W90" s="128"/>
      <c r="X90" s="127" t="n">
        <f aca="false">(H90*Q90)+(I90*R90)+((K90*Q90)+(L90*R90)*1.25)</f>
        <v>0</v>
      </c>
      <c r="Y90" s="129"/>
      <c r="Z90" s="130" t="e">
        <f aca="false">(#REF!+#REF!+K90)*'O_MN, PE_UTA_UGM 2023'!H64</f>
        <v>#REF!</v>
      </c>
      <c r="AA90" s="131" t="e">
        <f aca="false">(#REF!+#REF!+L90)*'O_MN, PE_UTA_UGM 2023'!I64</f>
        <v>#REF!</v>
      </c>
      <c r="AB90" s="132" t="n">
        <f aca="false">IF(ISERROR(+ROUND(#REF!*N90/#REF!,3)),0,+ROUND(#REF!*N90/#REF!,3))</f>
        <v>0</v>
      </c>
      <c r="AC90" s="132" t="n">
        <f aca="false">IF(ISERROR(+ROUND(#REF!*O90/#REF!,3)),0,+ROUND(#REF!*O90/#REF!,3))</f>
        <v>0</v>
      </c>
      <c r="AD90" s="133" t="n">
        <f aca="false">IF(AND(AB90=0,AC90=0),0,#REF!*(#REF!-(#REF!*AB90/N90))+#REF!*(#REF!-(#REF!*AC90/O90)))</f>
        <v>0</v>
      </c>
      <c r="AE90" s="3"/>
      <c r="AF90" s="3"/>
      <c r="AG90" s="3"/>
      <c r="AH90" s="3"/>
      <c r="AI90" s="3"/>
    </row>
    <row r="91" customFormat="false" ht="15" hidden="false" customHeight="false" outlineLevel="0" collapsed="false">
      <c r="A91" s="3"/>
      <c r="B91" s="116"/>
      <c r="C91" s="134"/>
      <c r="D91" s="135"/>
      <c r="E91" s="119" t="n">
        <f aca="false">'O_MN, PE_UTA_UGM 2023'!B64</f>
        <v>185</v>
      </c>
      <c r="F91" s="120" t="str">
        <f aca="false">'O_MN, PE_UTA_UGM 2023'!C64</f>
        <v>CALABAZA</v>
      </c>
      <c r="G91" s="121"/>
      <c r="H91" s="122"/>
      <c r="I91" s="122"/>
      <c r="J91" s="123"/>
      <c r="K91" s="124"/>
      <c r="L91" s="124"/>
      <c r="M91" s="112" t="e">
        <f aca="false">+IF(OR((#REF!+#REF!)&gt;0,(#REF!+#REF!)&gt;0,(K91+L91)&gt;0),"SI","NO")</f>
        <v>#REF!</v>
      </c>
      <c r="N91" s="136" t="n">
        <f aca="false">VLOOKUP(E92,'O_MN, PE_UTA_UGM 2023'!$B$1:$I$300,7,FALSE())</f>
        <v>0</v>
      </c>
      <c r="O91" s="136" t="n">
        <f aca="false">VLOOKUP(E92,'O_MN, PE_UTA_UGM 2023'!$B$1:$I$300,8,FALSE())</f>
        <v>5200</v>
      </c>
      <c r="P91" s="45"/>
      <c r="Q91" s="126" t="n">
        <f aca="false">VLOOKUP(E92,'O_MN, PE_UTA_UGM 2023'!$B$1:$I$300,5,FALSE())</f>
        <v>360.61</v>
      </c>
      <c r="R91" s="126" t="n">
        <f aca="false">VLOOKUP(E92,'O_MN, PE_UTA_UGM 2023'!$B$1:$I$300,6,FALSE())</f>
        <v>1352.28</v>
      </c>
      <c r="S91" s="45"/>
      <c r="T91" s="47"/>
      <c r="U91" s="127" t="n">
        <f aca="false">(H91*N91)+(I91*O91)+((K91*N91)+(L91*O91)*1.25)</f>
        <v>0</v>
      </c>
      <c r="V91" s="128"/>
      <c r="W91" s="128"/>
      <c r="X91" s="127" t="n">
        <f aca="false">(H91*Q91)+(I91*R91)+((K91*Q91)+(L91*R91)*1.25)</f>
        <v>0</v>
      </c>
      <c r="Y91" s="129"/>
      <c r="Z91" s="130" t="e">
        <f aca="false">(#REF!+#REF!+K91)*'O_MN, PE_UTA_UGM 2023'!H65</f>
        <v>#REF!</v>
      </c>
      <c r="AA91" s="131" t="e">
        <f aca="false">(#REF!+#REF!+L91)*'O_MN, PE_UTA_UGM 2023'!I65</f>
        <v>#REF!</v>
      </c>
      <c r="AB91" s="132" t="n">
        <f aca="false">IF(ISERROR(+ROUND(#REF!*N91/#REF!,3)),0,+ROUND(#REF!*N91/#REF!,3))</f>
        <v>0</v>
      </c>
      <c r="AC91" s="132" t="n">
        <f aca="false">IF(ISERROR(+ROUND(#REF!*O91/#REF!,3)),0,+ROUND(#REF!*O91/#REF!,3))</f>
        <v>0</v>
      </c>
      <c r="AD91" s="133" t="n">
        <f aca="false">IF(AND(AB91=0,AC91=0),0,#REF!*(#REF!-(#REF!*AB91/N91))+#REF!*(#REF!-(#REF!*AC91/O91)))</f>
        <v>0</v>
      </c>
      <c r="AE91" s="3"/>
      <c r="AF91" s="3"/>
      <c r="AG91" s="3"/>
      <c r="AH91" s="3"/>
      <c r="AI91" s="3"/>
    </row>
    <row r="92" customFormat="false" ht="15" hidden="false" customHeight="false" outlineLevel="0" collapsed="false">
      <c r="A92" s="3"/>
      <c r="B92" s="116"/>
      <c r="C92" s="134"/>
      <c r="D92" s="135"/>
      <c r="E92" s="119" t="n">
        <f aca="false">'O_MN, PE_UTA_UGM 2023'!B65</f>
        <v>186</v>
      </c>
      <c r="F92" s="120" t="str">
        <f aca="false">'O_MN, PE_UTA_UGM 2023'!C65</f>
        <v>CALABAZA DEL PEREGRINO</v>
      </c>
      <c r="G92" s="121"/>
      <c r="H92" s="122"/>
      <c r="I92" s="122"/>
      <c r="J92" s="123"/>
      <c r="K92" s="124"/>
      <c r="L92" s="124"/>
      <c r="M92" s="112" t="e">
        <f aca="false">+IF(OR((#REF!+#REF!)&gt;0,(#REF!+#REF!)&gt;0,(K92+L92)&gt;0),"SI","NO")</f>
        <v>#REF!</v>
      </c>
      <c r="N92" s="136" t="n">
        <f aca="false">VLOOKUP(E93,'O_MN, PE_UTA_UGM 2023'!$B$1:$I$300,7,FALSE())</f>
        <v>1000</v>
      </c>
      <c r="O92" s="136" t="n">
        <f aca="false">VLOOKUP(E93,'O_MN, PE_UTA_UGM 2023'!$B$1:$I$300,8,FALSE())</f>
        <v>3800</v>
      </c>
      <c r="P92" s="45"/>
      <c r="Q92" s="126" t="n">
        <f aca="false">VLOOKUP(E93,'O_MN, PE_UTA_UGM 2023'!$B$1:$I$300,5,FALSE())</f>
        <v>114.19</v>
      </c>
      <c r="R92" s="126" t="n">
        <f aca="false">VLOOKUP(E93,'O_MN, PE_UTA_UGM 2023'!$B$1:$I$300,6,FALSE())</f>
        <v>240.4</v>
      </c>
      <c r="S92" s="45"/>
      <c r="T92" s="47"/>
      <c r="U92" s="127" t="n">
        <f aca="false">(H92*N92)+(I92*O92)+((K92*N92)+(L92*O92)*1.25)</f>
        <v>0</v>
      </c>
      <c r="V92" s="128"/>
      <c r="W92" s="128"/>
      <c r="X92" s="127" t="n">
        <f aca="false">(H92*Q92)+(I92*R92)+((K92*Q92)+(L92*R92)*1.25)</f>
        <v>0</v>
      </c>
      <c r="Y92" s="129"/>
      <c r="Z92" s="130" t="e">
        <f aca="false">(#REF!+#REF!+K92)*'O_MN, PE_UTA_UGM 2023'!H66</f>
        <v>#REF!</v>
      </c>
      <c r="AA92" s="131" t="e">
        <f aca="false">(#REF!+#REF!+L92)*'O_MN, PE_UTA_UGM 2023'!I66</f>
        <v>#REF!</v>
      </c>
      <c r="AB92" s="132" t="n">
        <f aca="false">IF(ISERROR(+ROUND(#REF!*N92/#REF!,3)),0,+ROUND(#REF!*N92/#REF!,3))</f>
        <v>0</v>
      </c>
      <c r="AC92" s="132" t="n">
        <f aca="false">IF(ISERROR(+ROUND(#REF!*O92/#REF!,3)),0,+ROUND(#REF!*O92/#REF!,3))</f>
        <v>0</v>
      </c>
      <c r="AD92" s="133" t="n">
        <f aca="false">IF(AND(AB92=0,AC92=0),0,#REF!*(#REF!-(#REF!*AB92/N92))+#REF!*(#REF!-(#REF!*AC92/O92)))</f>
        <v>0</v>
      </c>
      <c r="AE92" s="3"/>
      <c r="AF92" s="3"/>
      <c r="AG92" s="3"/>
      <c r="AH92" s="3"/>
      <c r="AI92" s="3"/>
    </row>
    <row r="93" customFormat="false" ht="15" hidden="false" customHeight="false" outlineLevel="0" collapsed="false">
      <c r="A93" s="3"/>
      <c r="B93" s="116"/>
      <c r="C93" s="134"/>
      <c r="D93" s="135"/>
      <c r="E93" s="119" t="n">
        <f aca="false">'O_MN, PE_UTA_UGM 2023'!B66</f>
        <v>272</v>
      </c>
      <c r="F93" s="120" t="str">
        <f aca="false">'O_MN, PE_UTA_UGM 2023'!C66</f>
        <v>CALÉNDULA</v>
      </c>
      <c r="G93" s="121"/>
      <c r="H93" s="122"/>
      <c r="I93" s="122"/>
      <c r="J93" s="123"/>
      <c r="K93" s="124"/>
      <c r="L93" s="124"/>
      <c r="M93" s="112" t="e">
        <f aca="false">+IF(OR((#REF!+#REF!)&gt;0,(#REF!+#REF!)&gt;0,(K93+L93)&gt;0),"SI","NO")</f>
        <v>#REF!</v>
      </c>
      <c r="N93" s="136" t="n">
        <f aca="false">VLOOKUP(E94,'O_MN, PE_UTA_UGM 2023'!$B$1:$I$300,7,FALSE())</f>
        <v>186.91</v>
      </c>
      <c r="O93" s="136" t="n">
        <f aca="false">VLOOKUP(E94,'O_MN, PE_UTA_UGM 2023'!$B$1:$I$300,8,FALSE())</f>
        <v>840.36</v>
      </c>
      <c r="P93" s="45"/>
      <c r="Q93" s="126" t="n">
        <f aca="false">VLOOKUP(E94,'O_MN, PE_UTA_UGM 2023'!$B$1:$I$300,5,FALSE())</f>
        <v>114.19</v>
      </c>
      <c r="R93" s="126" t="n">
        <f aca="false">VLOOKUP(E94,'O_MN, PE_UTA_UGM 2023'!$B$1:$I$300,6,FALSE())</f>
        <v>240.4</v>
      </c>
      <c r="S93" s="45"/>
      <c r="T93" s="47"/>
      <c r="U93" s="127" t="n">
        <f aca="false">(H93*N93)+(I93*O93)+((K93*N93)+(L93*O93)*1.25)</f>
        <v>0</v>
      </c>
      <c r="V93" s="128"/>
      <c r="W93" s="128"/>
      <c r="X93" s="127" t="n">
        <f aca="false">(H93*Q93)+(I93*R93)+((K93*Q93)+(L93*R93)*1.25)</f>
        <v>0</v>
      </c>
      <c r="Y93" s="129"/>
      <c r="Z93" s="130" t="e">
        <f aca="false">(#REF!+#REF!+K93)*'O_MN, PE_UTA_UGM 2023'!H67</f>
        <v>#REF!</v>
      </c>
      <c r="AA93" s="131" t="e">
        <f aca="false">(#REF!+#REF!+L93)*'O_MN, PE_UTA_UGM 2023'!I67</f>
        <v>#REF!</v>
      </c>
      <c r="AB93" s="132" t="n">
        <f aca="false">IF(ISERROR(+ROUND(#REF!*N93/#REF!,3)),0,+ROUND(#REF!*N93/#REF!,3))</f>
        <v>0</v>
      </c>
      <c r="AC93" s="132" t="n">
        <f aca="false">IF(ISERROR(+ROUND(#REF!*O93/#REF!,3)),0,+ROUND(#REF!*O93/#REF!,3))</f>
        <v>0</v>
      </c>
      <c r="AD93" s="133" t="n">
        <f aca="false">IF(AND(AB93=0,AC93=0),0,#REF!*(#REF!-(#REF!*AB93/N93))+#REF!*(#REF!-(#REF!*AC93/O93)))</f>
        <v>0</v>
      </c>
      <c r="AE93" s="3"/>
      <c r="AF93" s="3"/>
      <c r="AG93" s="3"/>
      <c r="AH93" s="3"/>
      <c r="AI93" s="3"/>
    </row>
    <row r="94" customFormat="false" ht="15" hidden="false" customHeight="false" outlineLevel="0" collapsed="false">
      <c r="A94" s="3"/>
      <c r="B94" s="116"/>
      <c r="C94" s="134"/>
      <c r="D94" s="135"/>
      <c r="E94" s="119" t="n">
        <f aca="false">'O_MN, PE_UTA_UGM 2023'!B67</f>
        <v>36</v>
      </c>
      <c r="F94" s="120" t="str">
        <f aca="false">'O_MN, PE_UTA_UGM 2023'!C67</f>
        <v>CAMELINA</v>
      </c>
      <c r="G94" s="121"/>
      <c r="H94" s="122"/>
      <c r="I94" s="122"/>
      <c r="J94" s="123"/>
      <c r="K94" s="124"/>
      <c r="L94" s="124"/>
      <c r="M94" s="112" t="e">
        <f aca="false">+IF(OR((#REF!+#REF!)&gt;0,(#REF!+#REF!)&gt;0,(K94+L94)&gt;0),"SI","NO")</f>
        <v>#REF!</v>
      </c>
      <c r="N94" s="136" t="n">
        <f aca="false">VLOOKUP(E95,'O_MN, PE_UTA_UGM 2023'!$B$1:$I$300,7,FALSE())</f>
        <v>0</v>
      </c>
      <c r="O94" s="136" t="n">
        <f aca="false">VLOOKUP(E95,'O_MN, PE_UTA_UGM 2023'!$B$1:$I$300,8,FALSE())</f>
        <v>1000</v>
      </c>
      <c r="P94" s="45"/>
      <c r="Q94" s="126" t="n">
        <f aca="false">VLOOKUP(E95,'O_MN, PE_UTA_UGM 2023'!$B$1:$I$300,5,FALSE())</f>
        <v>114.19</v>
      </c>
      <c r="R94" s="126" t="n">
        <f aca="false">VLOOKUP(E95,'O_MN, PE_UTA_UGM 2023'!$B$1:$I$300,6,FALSE())</f>
        <v>240.4</v>
      </c>
      <c r="S94" s="45"/>
      <c r="T94" s="47"/>
      <c r="U94" s="127" t="n">
        <f aca="false">(H94*N94)+(I94*O94)+((K94*N94)+(L94*O94)*1.25)</f>
        <v>0</v>
      </c>
      <c r="V94" s="128"/>
      <c r="W94" s="128"/>
      <c r="X94" s="127" t="n">
        <f aca="false">(H94*Q94)+(I94*R94)+((K94*Q94)+(L94*R94)*1.25)</f>
        <v>0</v>
      </c>
      <c r="Y94" s="129"/>
      <c r="Z94" s="130" t="e">
        <f aca="false">(#REF!+#REF!+K94)*'O_MN, PE_UTA_UGM 2023'!H68</f>
        <v>#REF!</v>
      </c>
      <c r="AA94" s="131" t="e">
        <f aca="false">(#REF!+#REF!+L94)*'O_MN, PE_UTA_UGM 2023'!I68</f>
        <v>#REF!</v>
      </c>
      <c r="AB94" s="132" t="n">
        <f aca="false">IF(ISERROR(+ROUND(#REF!*N94/#REF!,3)),0,+ROUND(#REF!*N94/#REF!,3))</f>
        <v>0</v>
      </c>
      <c r="AC94" s="132" t="n">
        <f aca="false">IF(ISERROR(+ROUND(#REF!*O94/#REF!,3)),0,+ROUND(#REF!*O94/#REF!,3))</f>
        <v>0</v>
      </c>
      <c r="AD94" s="133" t="n">
        <f aca="false">IF(AND(AB94=0,AC94=0),0,#REF!*(#REF!-(#REF!*AB94/N94))+#REF!*(#REF!-(#REF!*AC94/O94)))</f>
        <v>0</v>
      </c>
      <c r="AE94" s="3"/>
      <c r="AF94" s="3"/>
      <c r="AG94" s="3"/>
      <c r="AH94" s="3"/>
      <c r="AI94" s="3"/>
    </row>
    <row r="95" customFormat="false" ht="15" hidden="false" customHeight="false" outlineLevel="0" collapsed="false">
      <c r="A95" s="3"/>
      <c r="B95" s="116"/>
      <c r="C95" s="134"/>
      <c r="D95" s="135"/>
      <c r="E95" s="119" t="n">
        <f aca="false">'O_MN, PE_UTA_UGM 2023'!B68</f>
        <v>236</v>
      </c>
      <c r="F95" s="120" t="str">
        <f aca="false">'O_MN, PE_UTA_UGM 2023'!C68</f>
        <v>CAÑA COMÚN (ARUNDO DONAX)</v>
      </c>
      <c r="G95" s="121"/>
      <c r="H95" s="122"/>
      <c r="I95" s="122"/>
      <c r="J95" s="123"/>
      <c r="K95" s="124"/>
      <c r="L95" s="124"/>
      <c r="M95" s="112" t="e">
        <f aca="false">+IF(OR((#REF!+#REF!)&gt;0,(#REF!+#REF!)&gt;0,(K95+L95)&gt;0),"SI","NO")</f>
        <v>#REF!</v>
      </c>
      <c r="N95" s="136" t="n">
        <f aca="false">VLOOKUP(E96,'O_MN, PE_UTA_UGM 2023'!$B$1:$I$300,7,FALSE())</f>
        <v>270.46</v>
      </c>
      <c r="O95" s="136" t="n">
        <f aca="false">VLOOKUP(E96,'O_MN, PE_UTA_UGM 2023'!$B$1:$I$300,8,FALSE())</f>
        <v>600</v>
      </c>
      <c r="P95" s="45"/>
      <c r="Q95" s="126" t="n">
        <f aca="false">VLOOKUP(E96,'O_MN, PE_UTA_UGM 2023'!$B$1:$I$300,5,FALSE())</f>
        <v>114.19</v>
      </c>
      <c r="R95" s="126" t="n">
        <f aca="false">VLOOKUP(E96,'O_MN, PE_UTA_UGM 2023'!$B$1:$I$300,6,FALSE())</f>
        <v>240.4</v>
      </c>
      <c r="S95" s="45"/>
      <c r="T95" s="47"/>
      <c r="U95" s="127" t="n">
        <f aca="false">(H95*N95)+(I95*O95)+((K95*N95)+(L95*O95)*1.25)</f>
        <v>0</v>
      </c>
      <c r="V95" s="128"/>
      <c r="W95" s="128"/>
      <c r="X95" s="127" t="n">
        <f aca="false">(H95*Q95)+(I95*R95)+((K95*Q95)+(L95*R95)*1.25)</f>
        <v>0</v>
      </c>
      <c r="Y95" s="129"/>
      <c r="Z95" s="130" t="e">
        <f aca="false">(#REF!+#REF!+K95)*'O_MN, PE_UTA_UGM 2023'!H69</f>
        <v>#REF!</v>
      </c>
      <c r="AA95" s="131" t="e">
        <f aca="false">(#REF!+#REF!+L95)*'O_MN, PE_UTA_UGM 2023'!I69</f>
        <v>#REF!</v>
      </c>
      <c r="AB95" s="132" t="n">
        <f aca="false">IF(ISERROR(+ROUND(#REF!*N95/#REF!,3)),0,+ROUND(#REF!*N95/#REF!,3))</f>
        <v>0</v>
      </c>
      <c r="AC95" s="132" t="n">
        <f aca="false">IF(ISERROR(+ROUND(#REF!*O95/#REF!,3)),0,+ROUND(#REF!*O95/#REF!,3))</f>
        <v>0</v>
      </c>
      <c r="AD95" s="133" t="n">
        <f aca="false">IF(AND(AB95=0,AC95=0),0,#REF!*(#REF!-(#REF!*AB95/N95))+#REF!*(#REF!-(#REF!*AC95/O95)))</f>
        <v>0</v>
      </c>
      <c r="AE95" s="3"/>
      <c r="AF95" s="3"/>
      <c r="AG95" s="3"/>
      <c r="AH95" s="3"/>
      <c r="AI95" s="3"/>
    </row>
    <row r="96" customFormat="false" ht="15" hidden="false" customHeight="false" outlineLevel="0" collapsed="false">
      <c r="A96" s="3"/>
      <c r="B96" s="116"/>
      <c r="C96" s="134"/>
      <c r="D96" s="135"/>
      <c r="E96" s="119" t="n">
        <f aca="false">'O_MN, PE_UTA_UGM 2023'!B69</f>
        <v>220</v>
      </c>
      <c r="F96" s="120" t="str">
        <f aca="false">'O_MN, PE_UTA_UGM 2023'!C69</f>
        <v>CAÑA DE AZUCAR</v>
      </c>
      <c r="G96" s="121"/>
      <c r="H96" s="122"/>
      <c r="I96" s="122"/>
      <c r="J96" s="123"/>
      <c r="K96" s="124"/>
      <c r="L96" s="124"/>
      <c r="M96" s="112" t="e">
        <f aca="false">+IF(OR((#REF!+#REF!)&gt;0,(#REF!+#REF!)&gt;0,(K96+L96)&gt;0),"SI","NO")</f>
        <v>#REF!</v>
      </c>
      <c r="N96" s="136" t="n">
        <f aca="false">VLOOKUP(E97,'O_MN, PE_UTA_UGM 2023'!$B$1:$I$300,7,FALSE())</f>
        <v>270.46</v>
      </c>
      <c r="O96" s="136" t="n">
        <f aca="false">VLOOKUP(E97,'O_MN, PE_UTA_UGM 2023'!$B$1:$I$300,8,FALSE())</f>
        <v>600</v>
      </c>
      <c r="P96" s="45"/>
      <c r="Q96" s="126" t="n">
        <f aca="false">VLOOKUP(E97,'O_MN, PE_UTA_UGM 2023'!$B$1:$I$300,5,FALSE())</f>
        <v>270.46</v>
      </c>
      <c r="R96" s="126" t="n">
        <f aca="false">VLOOKUP(E97,'O_MN, PE_UTA_UGM 2023'!$B$1:$I$300,6,FALSE())</f>
        <v>330.56</v>
      </c>
      <c r="S96" s="45"/>
      <c r="T96" s="47"/>
      <c r="U96" s="127" t="n">
        <f aca="false">(H96*N96)+(I96*O96)+((K96*N96)+(L96*O96)*1.25)</f>
        <v>0</v>
      </c>
      <c r="V96" s="128"/>
      <c r="W96" s="128"/>
      <c r="X96" s="127" t="n">
        <f aca="false">(H96*Q96)+(I96*R96)+((K96*Q96)+(L96*R96)*1.25)</f>
        <v>0</v>
      </c>
      <c r="Y96" s="129"/>
      <c r="Z96" s="130" t="e">
        <f aca="false">(#REF!+#REF!+K96)*'O_MN, PE_UTA_UGM 2023'!H70</f>
        <v>#REF!</v>
      </c>
      <c r="AA96" s="131" t="e">
        <f aca="false">(#REF!+#REF!+L96)*'O_MN, PE_UTA_UGM 2023'!I70</f>
        <v>#REF!</v>
      </c>
      <c r="AB96" s="132" t="n">
        <f aca="false">IF(ISERROR(+ROUND(#REF!*N96/#REF!,3)),0,+ROUND(#REF!*N96/#REF!,3))</f>
        <v>0</v>
      </c>
      <c r="AC96" s="132" t="n">
        <f aca="false">IF(ISERROR(+ROUND(#REF!*O96/#REF!,3)),0,+ROUND(#REF!*O96/#REF!,3))</f>
        <v>0</v>
      </c>
      <c r="AD96" s="133" t="n">
        <f aca="false">IF(AND(AB96=0,AC96=0),0,#REF!*(#REF!-(#REF!*AB96/N96))+#REF!*(#REF!-(#REF!*AC96/O96)))</f>
        <v>0</v>
      </c>
      <c r="AE96" s="3"/>
      <c r="AF96" s="3"/>
      <c r="AG96" s="3"/>
      <c r="AH96" s="3"/>
      <c r="AI96" s="3"/>
    </row>
    <row r="97" customFormat="false" ht="15" hidden="false" customHeight="false" outlineLevel="0" collapsed="false">
      <c r="A97" s="3"/>
      <c r="B97" s="116"/>
      <c r="C97" s="134"/>
      <c r="D97" s="135"/>
      <c r="E97" s="119" t="n">
        <f aca="false">'O_MN, PE_UTA_UGM 2023'!B70</f>
        <v>86</v>
      </c>
      <c r="F97" s="120" t="str">
        <f aca="false">'O_MN, PE_UTA_UGM 2023'!C70</f>
        <v>CAÑAMO PARA FIBRA</v>
      </c>
      <c r="G97" s="121"/>
      <c r="H97" s="122"/>
      <c r="I97" s="122"/>
      <c r="J97" s="123"/>
      <c r="K97" s="124"/>
      <c r="L97" s="124"/>
      <c r="M97" s="112" t="e">
        <f aca="false">+IF(OR((#REF!+#REF!)&gt;0,(#REF!+#REF!)&gt;0,(K97+L97)&gt;0),"SI","NO")</f>
        <v>#REF!</v>
      </c>
      <c r="N97" s="136" t="n">
        <f aca="false">VLOOKUP(E98,'O_MN, PE_UTA_UGM 2023'!$B$1:$I$300,7,FALSE())</f>
        <v>939.72</v>
      </c>
      <c r="O97" s="136" t="n">
        <f aca="false">VLOOKUP(E98,'O_MN, PE_UTA_UGM 2023'!$B$1:$I$300,8,FALSE())</f>
        <v>2300</v>
      </c>
      <c r="P97" s="45"/>
      <c r="Q97" s="126" t="n">
        <f aca="false">VLOOKUP(E98,'O_MN, PE_UTA_UGM 2023'!$B$1:$I$300,5,FALSE())</f>
        <v>480.81</v>
      </c>
      <c r="R97" s="126" t="n">
        <f aca="false">VLOOKUP(E98,'O_MN, PE_UTA_UGM 2023'!$B$1:$I$300,6,FALSE())</f>
        <v>1442.43</v>
      </c>
      <c r="S97" s="45"/>
      <c r="T97" s="47"/>
      <c r="U97" s="127" t="n">
        <f aca="false">(H97*N97)+(I97*O97)+((K97*N97)+(L97*O97)*1.25)</f>
        <v>0</v>
      </c>
      <c r="V97" s="128"/>
      <c r="W97" s="128"/>
      <c r="X97" s="127" t="n">
        <f aca="false">(H97*Q97)+(I97*R97)+((K97*Q97)+(L97*R97)*1.25)</f>
        <v>0</v>
      </c>
      <c r="Y97" s="129"/>
      <c r="Z97" s="130" t="e">
        <f aca="false">(#REF!+#REF!+K97)*'O_MN, PE_UTA_UGM 2023'!H71</f>
        <v>#REF!</v>
      </c>
      <c r="AA97" s="131" t="e">
        <f aca="false">(#REF!+#REF!+L97)*'O_MN, PE_UTA_UGM 2023'!I71</f>
        <v>#REF!</v>
      </c>
      <c r="AB97" s="132" t="n">
        <f aca="false">IF(ISERROR(+ROUND(#REF!*N97/#REF!,3)),0,+ROUND(#REF!*N97/#REF!,3))</f>
        <v>0</v>
      </c>
      <c r="AC97" s="132" t="n">
        <f aca="false">IF(ISERROR(+ROUND(#REF!*O97/#REF!,3)),0,+ROUND(#REF!*O97/#REF!,3))</f>
        <v>0</v>
      </c>
      <c r="AD97" s="133" t="n">
        <f aca="false">IF(AND(AB97=0,AC97=0),0,#REF!*(#REF!-(#REF!*AB97/N97))+#REF!*(#REF!-(#REF!*AC97/O97)))</f>
        <v>0</v>
      </c>
      <c r="AE97" s="3"/>
      <c r="AF97" s="3"/>
      <c r="AG97" s="3"/>
      <c r="AH97" s="3"/>
      <c r="AI97" s="3"/>
    </row>
    <row r="98" customFormat="false" ht="15" hidden="false" customHeight="false" outlineLevel="0" collapsed="false">
      <c r="A98" s="3"/>
      <c r="B98" s="116"/>
      <c r="C98" s="134"/>
      <c r="D98" s="135"/>
      <c r="E98" s="119" t="n">
        <f aca="false">'O_MN, PE_UTA_UGM 2023'!B71</f>
        <v>213</v>
      </c>
      <c r="F98" s="120" t="str">
        <f aca="false">'O_MN, PE_UTA_UGM 2023'!C71</f>
        <v>CAQUI o PALOSANTO</v>
      </c>
      <c r="G98" s="121"/>
      <c r="H98" s="122"/>
      <c r="I98" s="122"/>
      <c r="J98" s="123"/>
      <c r="K98" s="124"/>
      <c r="L98" s="124"/>
      <c r="M98" s="112" t="e">
        <f aca="false">+IF(OR((#REF!+#REF!)&gt;0,(#REF!+#REF!)&gt;0,(K98+L98)&gt;0),"SI","NO")</f>
        <v>#REF!</v>
      </c>
      <c r="N98" s="136" t="n">
        <f aca="false">VLOOKUP(E99,'O_MN, PE_UTA_UGM 2023'!$B$1:$I$300,7,FALSE())</f>
        <v>0</v>
      </c>
      <c r="O98" s="136" t="n">
        <f aca="false">VLOOKUP(E99,'O_MN, PE_UTA_UGM 2023'!$B$1:$I$300,8,FALSE())</f>
        <v>5200</v>
      </c>
      <c r="P98" s="45"/>
      <c r="Q98" s="126" t="n">
        <f aca="false">VLOOKUP(E99,'O_MN, PE_UTA_UGM 2023'!$B$1:$I$300,5,FALSE())</f>
        <v>360.61</v>
      </c>
      <c r="R98" s="126" t="n">
        <f aca="false">VLOOKUP(E99,'O_MN, PE_UTA_UGM 2023'!$B$1:$I$300,6,FALSE())</f>
        <v>1352.28</v>
      </c>
      <c r="S98" s="45"/>
      <c r="T98" s="47"/>
      <c r="U98" s="127" t="n">
        <f aca="false">(H98*N98)+(I98*O98)+((K98*N98)+(L98*O98)*1.25)</f>
        <v>0</v>
      </c>
      <c r="V98" s="128"/>
      <c r="W98" s="128"/>
      <c r="X98" s="127" t="n">
        <f aca="false">(H98*Q98)+(I98*R98)+((K98*Q98)+(L98*R98)*1.25)</f>
        <v>0</v>
      </c>
      <c r="Y98" s="129"/>
      <c r="Z98" s="130" t="e">
        <f aca="false">(#REF!+#REF!+K98)*'O_MN, PE_UTA_UGM 2023'!H72</f>
        <v>#REF!</v>
      </c>
      <c r="AA98" s="131" t="e">
        <f aca="false">(#REF!+#REF!+L98)*'O_MN, PE_UTA_UGM 2023'!I72</f>
        <v>#REF!</v>
      </c>
      <c r="AB98" s="132" t="n">
        <f aca="false">IF(ISERROR(+ROUND(#REF!*N98/#REF!,3)),0,+ROUND(#REF!*N98/#REF!,3))</f>
        <v>0</v>
      </c>
      <c r="AC98" s="132" t="n">
        <f aca="false">IF(ISERROR(+ROUND(#REF!*O98/#REF!,3)),0,+ROUND(#REF!*O98/#REF!,3))</f>
        <v>0</v>
      </c>
      <c r="AD98" s="133" t="n">
        <f aca="false">IF(AND(AB98=0,AC98=0),0,#REF!*(#REF!-(#REF!*AB98/N98))+#REF!*(#REF!-(#REF!*AC98/O98)))</f>
        <v>0</v>
      </c>
      <c r="AE98" s="3"/>
      <c r="AF98" s="3"/>
      <c r="AG98" s="3"/>
      <c r="AH98" s="3"/>
      <c r="AI98" s="3"/>
    </row>
    <row r="99" customFormat="false" ht="15" hidden="false" customHeight="false" outlineLevel="0" collapsed="false">
      <c r="A99" s="3"/>
      <c r="B99" s="116"/>
      <c r="C99" s="134"/>
      <c r="D99" s="135"/>
      <c r="E99" s="119" t="n">
        <f aca="false">'O_MN, PE_UTA_UGM 2023'!B72</f>
        <v>184</v>
      </c>
      <c r="F99" s="120" t="str">
        <f aca="false">'O_MN, PE_UTA_UGM 2023'!C72</f>
        <v>CARDO  </v>
      </c>
      <c r="G99" s="121"/>
      <c r="H99" s="122"/>
      <c r="I99" s="122"/>
      <c r="J99" s="123"/>
      <c r="K99" s="124"/>
      <c r="L99" s="124"/>
      <c r="M99" s="112" t="e">
        <f aca="false">+IF(OR((#REF!+#REF!)&gt;0,(#REF!+#REF!)&gt;0,(K99+L99)&gt;0),"SI","NO")</f>
        <v>#REF!</v>
      </c>
      <c r="N99" s="136" t="n">
        <f aca="false">VLOOKUP(E100,'O_MN, PE_UTA_UGM 2023'!$B$1:$I$300,7,FALSE())</f>
        <v>186.91</v>
      </c>
      <c r="O99" s="136" t="n">
        <f aca="false">VLOOKUP(E100,'O_MN, PE_UTA_UGM 2023'!$B$1:$I$300,8,FALSE())</f>
        <v>540.36</v>
      </c>
      <c r="P99" s="45"/>
      <c r="Q99" s="126" t="n">
        <f aca="false">VLOOKUP(E100,'O_MN, PE_UTA_UGM 2023'!$B$1:$I$300,5,FALSE())</f>
        <v>114.19</v>
      </c>
      <c r="R99" s="126" t="n">
        <f aca="false">VLOOKUP(E100,'O_MN, PE_UTA_UGM 2023'!$B$1:$I$300,6,FALSE())</f>
        <v>240.4</v>
      </c>
      <c r="S99" s="45"/>
      <c r="T99" s="47"/>
      <c r="U99" s="127" t="n">
        <f aca="false">(H99*N99)+(I99*O99)+((K99*N99)+(L99*O99)*1.25)</f>
        <v>0</v>
      </c>
      <c r="V99" s="128"/>
      <c r="W99" s="128"/>
      <c r="X99" s="127" t="n">
        <f aca="false">(H99*Q99)+(I99*R99)+((K99*Q99)+(L99*R99)*1.25)</f>
        <v>0</v>
      </c>
      <c r="Y99" s="129"/>
      <c r="Z99" s="130" t="e">
        <f aca="false">(#REF!+#REF!+K99)*'O_MN, PE_UTA_UGM 2023'!H73</f>
        <v>#REF!</v>
      </c>
      <c r="AA99" s="131" t="e">
        <f aca="false">(#REF!+#REF!+L99)*'O_MN, PE_UTA_UGM 2023'!I73</f>
        <v>#REF!</v>
      </c>
      <c r="AB99" s="132" t="n">
        <f aca="false">IF(ISERROR(+ROUND(#REF!*N99/#REF!,3)),0,+ROUND(#REF!*N99/#REF!,3))</f>
        <v>0</v>
      </c>
      <c r="AC99" s="132" t="n">
        <f aca="false">IF(ISERROR(+ROUND(#REF!*O99/#REF!,3)),0,+ROUND(#REF!*O99/#REF!,3))</f>
        <v>0</v>
      </c>
      <c r="AD99" s="133" t="n">
        <f aca="false">IF(AND(AB99=0,AC99=0),0,#REF!*(#REF!-(#REF!*AB99/N99))+#REF!*(#REF!-(#REF!*AC99/O99)))</f>
        <v>0</v>
      </c>
      <c r="AE99" s="3"/>
      <c r="AF99" s="3"/>
      <c r="AG99" s="3"/>
      <c r="AH99" s="3"/>
      <c r="AI99" s="3"/>
    </row>
    <row r="100" customFormat="false" ht="15" hidden="false" customHeight="false" outlineLevel="0" collapsed="false">
      <c r="A100" s="3"/>
      <c r="B100" s="116"/>
      <c r="C100" s="134"/>
      <c r="D100" s="135"/>
      <c r="E100" s="119" t="n">
        <f aca="false">'O_MN, PE_UTA_UGM 2023'!B73</f>
        <v>88</v>
      </c>
      <c r="F100" s="120" t="str">
        <f aca="false">'O_MN, PE_UTA_UGM 2023'!C73</f>
        <v>CARTAMO</v>
      </c>
      <c r="G100" s="121"/>
      <c r="H100" s="122"/>
      <c r="I100" s="122"/>
      <c r="J100" s="123"/>
      <c r="K100" s="124"/>
      <c r="L100" s="124"/>
      <c r="M100" s="112" t="e">
        <f aca="false">+IF(OR((#REF!+#REF!)&gt;0,(#REF!+#REF!)&gt;0,(K100+L100)&gt;0),"SI","NO")</f>
        <v>#REF!</v>
      </c>
      <c r="N100" s="136" t="n">
        <f aca="false">VLOOKUP(E101,'O_MN, PE_UTA_UGM 2023'!$B$1:$I$300,7,FALSE())</f>
        <v>0</v>
      </c>
      <c r="O100" s="136" t="n">
        <f aca="false">VLOOKUP(E101,'O_MN, PE_UTA_UGM 2023'!$B$1:$I$300,8,FALSE())</f>
        <v>0</v>
      </c>
      <c r="P100" s="45"/>
      <c r="Q100" s="126" t="n">
        <f aca="false">VLOOKUP(E101,'O_MN, PE_UTA_UGM 2023'!$B$1:$I$300,5,FALSE())</f>
        <v>1E-005</v>
      </c>
      <c r="R100" s="126" t="n">
        <f aca="false">VLOOKUP(E101,'O_MN, PE_UTA_UGM 2023'!$B$1:$I$300,6,FALSE())</f>
        <v>1E-005</v>
      </c>
      <c r="S100" s="45"/>
      <c r="T100" s="47"/>
      <c r="U100" s="127" t="n">
        <f aca="false">(H100*N100)+(I100*O100)+((K100*N100)+(L100*O100)*1.25)</f>
        <v>0</v>
      </c>
      <c r="V100" s="128"/>
      <c r="W100" s="128"/>
      <c r="X100" s="127" t="n">
        <f aca="false">(H100*Q100)+(I100*R100)+((K100*Q100)+(L100*R100)*1.25)</f>
        <v>0</v>
      </c>
      <c r="Y100" s="129"/>
      <c r="Z100" s="130" t="e">
        <f aca="false">(#REF!+#REF!+K100)*'O_MN, PE_UTA_UGM 2023'!H74</f>
        <v>#REF!</v>
      </c>
      <c r="AA100" s="131" t="e">
        <f aca="false">(#REF!+#REF!+L100)*'O_MN, PE_UTA_UGM 2023'!I74</f>
        <v>#REF!</v>
      </c>
      <c r="AB100" s="132" t="n">
        <f aca="false">IF(ISERROR(+ROUND(#REF!*N100/#REF!,3)),0,+ROUND(#REF!*N100/#REF!,3))</f>
        <v>0</v>
      </c>
      <c r="AC100" s="132" t="n">
        <f aca="false">IF(ISERROR(+ROUND(#REF!*O100/#REF!,3)),0,+ROUND(#REF!*O100/#REF!,3))</f>
        <v>0</v>
      </c>
      <c r="AD100" s="133" t="n">
        <f aca="false">IF(AND(AB100=0,AC100=0),0,#REF!*(#REF!-(#REF!*AB100/N100))+#REF!*(#REF!-(#REF!*AC100/O100)))</f>
        <v>0</v>
      </c>
      <c r="AE100" s="3"/>
      <c r="AF100" s="3"/>
      <c r="AG100" s="3"/>
      <c r="AH100" s="3"/>
      <c r="AI100" s="3"/>
    </row>
    <row r="101" customFormat="false" ht="15" hidden="false" customHeight="false" outlineLevel="0" collapsed="false">
      <c r="A101" s="3"/>
      <c r="B101" s="116"/>
      <c r="C101" s="134"/>
      <c r="D101" s="135"/>
      <c r="E101" s="119" t="n">
        <f aca="false">'O_MN, PE_UTA_UGM 2023'!B74</f>
        <v>234</v>
      </c>
      <c r="F101" s="120" t="str">
        <f aca="false">'O_MN, PE_UTA_UGM 2023'!C74</f>
        <v>CASTAÑO (FORESTAL)</v>
      </c>
      <c r="G101" s="121"/>
      <c r="H101" s="122"/>
      <c r="I101" s="122"/>
      <c r="J101" s="123"/>
      <c r="K101" s="124"/>
      <c r="L101" s="124"/>
      <c r="M101" s="112" t="e">
        <f aca="false">+IF(OR((#REF!+#REF!)&gt;0,(#REF!+#REF!)&gt;0,(K101+L101)&gt;0),"SI","NO")</f>
        <v>#REF!</v>
      </c>
      <c r="N101" s="136" t="n">
        <f aca="false">VLOOKUP(E102,'O_MN, PE_UTA_UGM 2023'!$B$1:$I$300,7,FALSE())</f>
        <v>0</v>
      </c>
      <c r="O101" s="136" t="n">
        <f aca="false">VLOOKUP(E102,'O_MN, PE_UTA_UGM 2023'!$B$1:$I$300,8,FALSE())</f>
        <v>0</v>
      </c>
      <c r="P101" s="45"/>
      <c r="Q101" s="126" t="n">
        <f aca="false">VLOOKUP(E102,'O_MN, PE_UTA_UGM 2023'!$B$1:$I$300,5,FALSE())</f>
        <v>450.76</v>
      </c>
      <c r="R101" s="126" t="n">
        <f aca="false">VLOOKUP(E102,'O_MN, PE_UTA_UGM 2023'!$B$1:$I$300,6,FALSE())</f>
        <v>721.71</v>
      </c>
      <c r="S101" s="45"/>
      <c r="T101" s="47"/>
      <c r="U101" s="127" t="n">
        <f aca="false">(H101*N101)+(I101*O101)+((K101*N101)+(L101*O101)*1.25)</f>
        <v>0</v>
      </c>
      <c r="V101" s="128"/>
      <c r="W101" s="128"/>
      <c r="X101" s="127" t="n">
        <f aca="false">(H101*Q101)+(I101*R101)+((K101*Q101)+(L101*R101)*1.25)</f>
        <v>0</v>
      </c>
      <c r="Y101" s="129"/>
      <c r="Z101" s="130" t="e">
        <f aca="false">(#REF!+#REF!+K101)*'O_MN, PE_UTA_UGM 2023'!H75</f>
        <v>#REF!</v>
      </c>
      <c r="AA101" s="131" t="e">
        <f aca="false">(#REF!+#REF!+L101)*'O_MN, PE_UTA_UGM 2023'!I75</f>
        <v>#REF!</v>
      </c>
      <c r="AB101" s="132" t="n">
        <f aca="false">IF(ISERROR(+ROUND(#REF!*N101/#REF!,3)),0,+ROUND(#REF!*N101/#REF!,3))</f>
        <v>0</v>
      </c>
      <c r="AC101" s="132" t="n">
        <f aca="false">IF(ISERROR(+ROUND(#REF!*O101/#REF!,3)),0,+ROUND(#REF!*O101/#REF!,3))</f>
        <v>0</v>
      </c>
      <c r="AD101" s="133" t="n">
        <f aca="false">IF(AND(AB101=0,AC101=0),0,#REF!*(#REF!-(#REF!*AB101/N101))+#REF!*(#REF!-(#REF!*AC101/O101)))</f>
        <v>0</v>
      </c>
      <c r="AE101" s="3"/>
      <c r="AF101" s="3"/>
      <c r="AG101" s="3"/>
      <c r="AH101" s="3"/>
      <c r="AI101" s="3"/>
    </row>
    <row r="102" customFormat="false" ht="15" hidden="false" customHeight="false" outlineLevel="0" collapsed="false">
      <c r="A102" s="3"/>
      <c r="B102" s="116"/>
      <c r="C102" s="134"/>
      <c r="D102" s="135"/>
      <c r="E102" s="119" t="n">
        <f aca="false">'O_MN, PE_UTA_UGM 2023'!B75</f>
        <v>117</v>
      </c>
      <c r="F102" s="120" t="str">
        <f aca="false">'O_MN, PE_UTA_UGM 2023'!C75</f>
        <v>CASTAÑOS</v>
      </c>
      <c r="G102" s="121"/>
      <c r="H102" s="122"/>
      <c r="I102" s="122"/>
      <c r="J102" s="123"/>
      <c r="K102" s="124"/>
      <c r="L102" s="124"/>
      <c r="M102" s="112" t="e">
        <f aca="false">+IF(OR((#REF!+#REF!)&gt;0,(#REF!+#REF!)&gt;0,(K102+L102)&gt;0),"SI","NO")</f>
        <v>#REF!</v>
      </c>
      <c r="N102" s="136" t="n">
        <f aca="false">VLOOKUP(E103,'O_MN, PE_UTA_UGM 2023'!$B$1:$I$300,7,FALSE())</f>
        <v>400</v>
      </c>
      <c r="O102" s="136" t="n">
        <f aca="false">VLOOKUP(E103,'O_MN, PE_UTA_UGM 2023'!$B$1:$I$300,8,FALSE())</f>
        <v>800</v>
      </c>
      <c r="P102" s="45"/>
      <c r="Q102" s="126" t="n">
        <f aca="false">VLOOKUP(E103,'O_MN, PE_UTA_UGM 2023'!$B$1:$I$300,5,FALSE())</f>
        <v>114.19</v>
      </c>
      <c r="R102" s="126" t="n">
        <f aca="false">VLOOKUP(E103,'O_MN, PE_UTA_UGM 2023'!$B$1:$I$300,6,FALSE())</f>
        <v>240.4</v>
      </c>
      <c r="S102" s="45"/>
      <c r="T102" s="47"/>
      <c r="U102" s="127" t="n">
        <f aca="false">(H102*N102)+(I102*O102)+((K102*N102)+(L102*O102)*1.25)</f>
        <v>0</v>
      </c>
      <c r="V102" s="128"/>
      <c r="W102" s="128"/>
      <c r="X102" s="127" t="n">
        <f aca="false">(H102*Q102)+(I102*R102)+((K102*Q102)+(L102*R102)*1.25)</f>
        <v>0</v>
      </c>
      <c r="Y102" s="129"/>
      <c r="Z102" s="130" t="e">
        <f aca="false">(#REF!+#REF!+K102)*'O_MN, PE_UTA_UGM 2023'!H76</f>
        <v>#REF!</v>
      </c>
      <c r="AA102" s="131" t="e">
        <f aca="false">(#REF!+#REF!+L102)*'O_MN, PE_UTA_UGM 2023'!I76</f>
        <v>#REF!</v>
      </c>
      <c r="AB102" s="132" t="n">
        <f aca="false">IF(ISERROR(+ROUND(#REF!*N102/#REF!,3)),0,+ROUND(#REF!*N102/#REF!,3))</f>
        <v>0</v>
      </c>
      <c r="AC102" s="132" t="n">
        <f aca="false">IF(ISERROR(+ROUND(#REF!*O102/#REF!,3)),0,+ROUND(#REF!*O102/#REF!,3))</f>
        <v>0</v>
      </c>
      <c r="AD102" s="133" t="n">
        <f aca="false">IF(AND(AB102=0,AC102=0),0,#REF!*(#REF!-(#REF!*AB102/N102))+#REF!*(#REF!-(#REF!*AC102/O102)))</f>
        <v>0</v>
      </c>
      <c r="AE102" s="3"/>
      <c r="AF102" s="3"/>
      <c r="AG102" s="3"/>
      <c r="AH102" s="3"/>
      <c r="AI102" s="3"/>
    </row>
    <row r="103" customFormat="false" ht="15" hidden="false" customHeight="false" outlineLevel="0" collapsed="false">
      <c r="A103" s="3"/>
      <c r="B103" s="116"/>
      <c r="C103" s="134"/>
      <c r="D103" s="135"/>
      <c r="E103" s="119" t="n">
        <f aca="false">'O_MN, PE_UTA_UGM 2023'!B76</f>
        <v>5</v>
      </c>
      <c r="F103" s="120" t="str">
        <f aca="false">'O_MN, PE_UTA_UGM 2023'!C76</f>
        <v>CEBADA</v>
      </c>
      <c r="G103" s="121"/>
      <c r="H103" s="122"/>
      <c r="I103" s="122"/>
      <c r="J103" s="123"/>
      <c r="K103" s="124"/>
      <c r="L103" s="124"/>
      <c r="M103" s="112" t="e">
        <f aca="false">+IF(OR((#REF!+#REF!)&gt;0,(#REF!+#REF!)&gt;0,(K103+L103)&gt;0),"SI","NO")</f>
        <v>#REF!</v>
      </c>
      <c r="N103" s="136" t="n">
        <f aca="false">VLOOKUP(E104,'O_MN, PE_UTA_UGM 2023'!$B$1:$I$300,7,FALSE())</f>
        <v>575</v>
      </c>
      <c r="O103" s="136" t="n">
        <f aca="false">VLOOKUP(E104,'O_MN, PE_UTA_UGM 2023'!$B$1:$I$300,8,FALSE())</f>
        <v>8500</v>
      </c>
      <c r="P103" s="45"/>
      <c r="Q103" s="126" t="n">
        <f aca="false">VLOOKUP(E104,'O_MN, PE_UTA_UGM 2023'!$B$1:$I$300,5,FALSE())</f>
        <v>360.61</v>
      </c>
      <c r="R103" s="126" t="n">
        <f aca="false">VLOOKUP(E104,'O_MN, PE_UTA_UGM 2023'!$B$1:$I$300,6,FALSE())</f>
        <v>1352.28</v>
      </c>
      <c r="S103" s="45"/>
      <c r="T103" s="47"/>
      <c r="U103" s="127" t="n">
        <f aca="false">(H103*N103)+(I103*O103)+((K103*N103)+(L103*O103)*1.25)</f>
        <v>0</v>
      </c>
      <c r="V103" s="128"/>
      <c r="W103" s="128"/>
      <c r="X103" s="127" t="n">
        <f aca="false">(H103*Q103)+(I103*R103)+((K103*Q103)+(L103*R103)*1.25)</f>
        <v>0</v>
      </c>
      <c r="Y103" s="129"/>
      <c r="Z103" s="130" t="e">
        <f aca="false">(#REF!+#REF!+K103)*'O_MN, PE_UTA_UGM 2023'!H77</f>
        <v>#REF!</v>
      </c>
      <c r="AA103" s="131" t="e">
        <f aca="false">(#REF!+#REF!+L103)*'O_MN, PE_UTA_UGM 2023'!I77</f>
        <v>#REF!</v>
      </c>
      <c r="AB103" s="132" t="n">
        <f aca="false">IF(ISERROR(+ROUND(#REF!*N103/#REF!,3)),0,+ROUND(#REF!*N103/#REF!,3))</f>
        <v>0</v>
      </c>
      <c r="AC103" s="132" t="n">
        <f aca="false">IF(ISERROR(+ROUND(#REF!*O103/#REF!,3)),0,+ROUND(#REF!*O103/#REF!,3))</f>
        <v>0</v>
      </c>
      <c r="AD103" s="133" t="n">
        <f aca="false">IF(AND(AB103=0,AC103=0),0,#REF!*(#REF!-(#REF!*AB103/N103))+#REF!*(#REF!-(#REF!*AC103/O103)))</f>
        <v>0</v>
      </c>
      <c r="AE103" s="3"/>
      <c r="AF103" s="3"/>
      <c r="AG103" s="3"/>
      <c r="AH103" s="3"/>
      <c r="AI103" s="3"/>
    </row>
    <row r="104" customFormat="false" ht="15" hidden="false" customHeight="false" outlineLevel="0" collapsed="false">
      <c r="A104" s="3"/>
      <c r="B104" s="116"/>
      <c r="C104" s="134"/>
      <c r="D104" s="135"/>
      <c r="E104" s="119" t="n">
        <f aca="false">'O_MN, PE_UTA_UGM 2023'!B77</f>
        <v>157</v>
      </c>
      <c r="F104" s="120" t="str">
        <f aca="false">'O_MN, PE_UTA_UGM 2023'!C77</f>
        <v>CEBOLLA</v>
      </c>
      <c r="G104" s="121"/>
      <c r="H104" s="122"/>
      <c r="I104" s="122"/>
      <c r="J104" s="123"/>
      <c r="K104" s="124"/>
      <c r="L104" s="124"/>
      <c r="M104" s="112" t="e">
        <f aca="false">+IF(OR((#REF!+#REF!)&gt;0,(#REF!+#REF!)&gt;0,(K104+L104)&gt;0),"SI","NO")</f>
        <v>#REF!</v>
      </c>
      <c r="N104" s="136" t="n">
        <f aca="false">VLOOKUP(E105,'O_MN, PE_UTA_UGM 2023'!$B$1:$I$300,7,FALSE())</f>
        <v>0</v>
      </c>
      <c r="O104" s="136" t="n">
        <f aca="false">VLOOKUP(E105,'O_MN, PE_UTA_UGM 2023'!$B$1:$I$300,8,FALSE())</f>
        <v>7200</v>
      </c>
      <c r="P104" s="45"/>
      <c r="Q104" s="126" t="n">
        <f aca="false">VLOOKUP(E105,'O_MN, PE_UTA_UGM 2023'!$B$1:$I$300,5,FALSE())</f>
        <v>360.61</v>
      </c>
      <c r="R104" s="126" t="n">
        <f aca="false">VLOOKUP(E105,'O_MN, PE_UTA_UGM 2023'!$B$1:$I$300,6,FALSE())</f>
        <v>1352.28</v>
      </c>
      <c r="S104" s="45"/>
      <c r="T104" s="47"/>
      <c r="U104" s="127" t="n">
        <f aca="false">(H104*N104)+(I104*O104)+((K104*N104)+(L104*O104)*1.25)</f>
        <v>0</v>
      </c>
      <c r="V104" s="128"/>
      <c r="W104" s="128"/>
      <c r="X104" s="127" t="n">
        <f aca="false">(H104*Q104)+(I104*R104)+((K104*Q104)+(L104*R104)*1.25)</f>
        <v>0</v>
      </c>
      <c r="Y104" s="129"/>
      <c r="Z104" s="130" t="e">
        <f aca="false">(#REF!+#REF!+K104)*'O_MN, PE_UTA_UGM 2023'!H78</f>
        <v>#REF!</v>
      </c>
      <c r="AA104" s="131" t="e">
        <f aca="false">(#REF!+#REF!+L104)*'O_MN, PE_UTA_UGM 2023'!I78</f>
        <v>#REF!</v>
      </c>
      <c r="AB104" s="132" t="n">
        <f aca="false">IF(ISERROR(+ROUND(#REF!*N104/#REF!,3)),0,+ROUND(#REF!*N104/#REF!,3))</f>
        <v>0</v>
      </c>
      <c r="AC104" s="132" t="n">
        <f aca="false">IF(ISERROR(+ROUND(#REF!*O104/#REF!,3)),0,+ROUND(#REF!*O104/#REF!,3))</f>
        <v>0</v>
      </c>
      <c r="AD104" s="133" t="n">
        <f aca="false">IF(AND(AB104=0,AC104=0),0,#REF!*(#REF!-(#REF!*AB104/N104))+#REF!*(#REF!-(#REF!*AC104/O104)))</f>
        <v>0</v>
      </c>
      <c r="AE104" s="3"/>
      <c r="AF104" s="3"/>
      <c r="AG104" s="3"/>
      <c r="AH104" s="3"/>
      <c r="AI104" s="3"/>
    </row>
    <row r="105" customFormat="false" ht="15" hidden="false" customHeight="false" outlineLevel="0" collapsed="false">
      <c r="A105" s="3"/>
      <c r="B105" s="116"/>
      <c r="C105" s="134"/>
      <c r="D105" s="135"/>
      <c r="E105" s="119" t="n">
        <f aca="false">'O_MN, PE_UTA_UGM 2023'!B78</f>
        <v>167</v>
      </c>
      <c r="F105" s="120" t="str">
        <f aca="false">'O_MN, PE_UTA_UGM 2023'!C78</f>
        <v>CEBOLLETA</v>
      </c>
      <c r="G105" s="121"/>
      <c r="H105" s="122"/>
      <c r="I105" s="122"/>
      <c r="J105" s="123"/>
      <c r="K105" s="124"/>
      <c r="L105" s="124"/>
      <c r="M105" s="112" t="e">
        <f aca="false">+IF(OR((#REF!+#REF!)&gt;0,(#REF!+#REF!)&gt;0,(K105+L105)&gt;0),"SI","NO")</f>
        <v>#REF!</v>
      </c>
      <c r="N105" s="136" t="n">
        <f aca="false">VLOOKUP(E106,'O_MN, PE_UTA_UGM 2023'!$B$1:$I$300,7,FALSE())</f>
        <v>364.22</v>
      </c>
      <c r="O105" s="136" t="n">
        <f aca="false">VLOOKUP(E106,'O_MN, PE_UTA_UGM 2023'!$B$1:$I$300,8,FALSE())</f>
        <v>600</v>
      </c>
      <c r="P105" s="45"/>
      <c r="Q105" s="126" t="n">
        <f aca="false">VLOOKUP(E106,'O_MN, PE_UTA_UGM 2023'!$B$1:$I$300,5,FALSE())</f>
        <v>114.19</v>
      </c>
      <c r="R105" s="126" t="n">
        <f aca="false">VLOOKUP(E106,'O_MN, PE_UTA_UGM 2023'!$B$1:$I$300,6,FALSE())</f>
        <v>240.4</v>
      </c>
      <c r="S105" s="45"/>
      <c r="T105" s="47"/>
      <c r="U105" s="127" t="n">
        <f aca="false">(H105*N105)+(I105*O105)+((K105*N105)+(L105*O105)*1.25)</f>
        <v>0</v>
      </c>
      <c r="V105" s="128"/>
      <c r="W105" s="128"/>
      <c r="X105" s="127" t="n">
        <f aca="false">(H105*Q105)+(I105*R105)+((K105*Q105)+(L105*R105)*1.25)</f>
        <v>0</v>
      </c>
      <c r="Y105" s="129"/>
      <c r="Z105" s="130" t="e">
        <f aca="false">(#REF!+#REF!+K105)*'O_MN, PE_UTA_UGM 2023'!H79</f>
        <v>#REF!</v>
      </c>
      <c r="AA105" s="131" t="e">
        <f aca="false">(#REF!+#REF!+L105)*'O_MN, PE_UTA_UGM 2023'!I79</f>
        <v>#REF!</v>
      </c>
      <c r="AB105" s="132" t="n">
        <f aca="false">IF(ISERROR(+ROUND(#REF!*N105/#REF!,3)),0,+ROUND(#REF!*N105/#REF!,3))</f>
        <v>0</v>
      </c>
      <c r="AC105" s="132" t="n">
        <f aca="false">IF(ISERROR(+ROUND(#REF!*O105/#REF!,3)),0,+ROUND(#REF!*O105/#REF!,3))</f>
        <v>0</v>
      </c>
      <c r="AD105" s="133" t="n">
        <f aca="false">IF(AND(AB105=0,AC105=0),0,#REF!*(#REF!-(#REF!*AB105/N105))+#REF!*(#REF!-(#REF!*AC105/O105)))</f>
        <v>0</v>
      </c>
      <c r="AE105" s="3"/>
      <c r="AF105" s="3"/>
      <c r="AG105" s="3"/>
      <c r="AH105" s="3"/>
      <c r="AI105" s="3"/>
    </row>
    <row r="106" customFormat="false" ht="15" hidden="false" customHeight="false" outlineLevel="0" collapsed="false">
      <c r="A106" s="3"/>
      <c r="B106" s="116"/>
      <c r="C106" s="134"/>
      <c r="D106" s="135"/>
      <c r="E106" s="119" t="n">
        <f aca="false">'O_MN, PE_UTA_UGM 2023'!B79</f>
        <v>6</v>
      </c>
      <c r="F106" s="120" t="str">
        <f aca="false">'O_MN, PE_UTA_UGM 2023'!C79</f>
        <v>CENTENO</v>
      </c>
      <c r="G106" s="121"/>
      <c r="H106" s="122"/>
      <c r="I106" s="122"/>
      <c r="J106" s="123"/>
      <c r="K106" s="124"/>
      <c r="L106" s="124"/>
      <c r="M106" s="112" t="e">
        <f aca="false">+IF(OR((#REF!+#REF!)&gt;0,(#REF!+#REF!)&gt;0,(K106+L106)&gt;0),"SI","NO")</f>
        <v>#REF!</v>
      </c>
      <c r="N106" s="136" t="n">
        <f aca="false">VLOOKUP(E107,'O_MN, PE_UTA_UGM 2023'!$B$1:$I$300,7,FALSE())</f>
        <v>2439.65</v>
      </c>
      <c r="O106" s="136" t="n">
        <f aca="false">VLOOKUP(E107,'O_MN, PE_UTA_UGM 2023'!$B$1:$I$300,8,FALSE())</f>
        <v>7000</v>
      </c>
      <c r="P106" s="45"/>
      <c r="Q106" s="126" t="n">
        <f aca="false">VLOOKUP(E107,'O_MN, PE_UTA_UGM 2023'!$B$1:$I$300,5,FALSE())</f>
        <v>480.81</v>
      </c>
      <c r="R106" s="126" t="n">
        <f aca="false">VLOOKUP(E107,'O_MN, PE_UTA_UGM 2023'!$B$1:$I$300,6,FALSE())</f>
        <v>1442.43</v>
      </c>
      <c r="S106" s="45"/>
      <c r="T106" s="47"/>
      <c r="U106" s="127" t="n">
        <f aca="false">(H106*N106)+(I106*O106)+((K106*N106)+(L106*O106)*1.25)</f>
        <v>0</v>
      </c>
      <c r="V106" s="128"/>
      <c r="W106" s="128"/>
      <c r="X106" s="127" t="n">
        <f aca="false">(H106*Q106)+(I106*R106)+((K106*Q106)+(L106*R106)*1.25)</f>
        <v>0</v>
      </c>
      <c r="Y106" s="129"/>
      <c r="Z106" s="130" t="e">
        <f aca="false">(#REF!+#REF!+K106)*'O_MN, PE_UTA_UGM 2023'!H80</f>
        <v>#REF!</v>
      </c>
      <c r="AA106" s="131" t="e">
        <f aca="false">(#REF!+#REF!+L106)*'O_MN, PE_UTA_UGM 2023'!I80</f>
        <v>#REF!</v>
      </c>
      <c r="AB106" s="132" t="n">
        <f aca="false">IF(ISERROR(+ROUND(#REF!*N106/#REF!,3)),0,+ROUND(#REF!*N106/#REF!,3))</f>
        <v>0</v>
      </c>
      <c r="AC106" s="132" t="n">
        <f aca="false">IF(ISERROR(+ROUND(#REF!*O106/#REF!,3)),0,+ROUND(#REF!*O106/#REF!,3))</f>
        <v>0</v>
      </c>
      <c r="AD106" s="133" t="n">
        <f aca="false">IF(AND(AB106=0,AC106=0),0,#REF!*(#REF!-(#REF!*AB106/N106))+#REF!*(#REF!-(#REF!*AC106/O106)))</f>
        <v>0</v>
      </c>
      <c r="AE106" s="3"/>
      <c r="AF106" s="3"/>
      <c r="AG106" s="3"/>
      <c r="AH106" s="3"/>
      <c r="AI106" s="3"/>
    </row>
    <row r="107" customFormat="false" ht="15" hidden="false" customHeight="false" outlineLevel="0" collapsed="false">
      <c r="A107" s="3"/>
      <c r="B107" s="116"/>
      <c r="C107" s="134"/>
      <c r="D107" s="135"/>
      <c r="E107" s="119" t="n">
        <f aca="false">'O_MN, PE_UTA_UGM 2023'!B80</f>
        <v>110</v>
      </c>
      <c r="F107" s="120" t="str">
        <f aca="false">'O_MN, PE_UTA_UGM 2023'!C80</f>
        <v>CEREZOS</v>
      </c>
      <c r="G107" s="121"/>
      <c r="H107" s="122"/>
      <c r="I107" s="122"/>
      <c r="J107" s="123"/>
      <c r="K107" s="124"/>
      <c r="L107" s="124"/>
      <c r="M107" s="112" t="e">
        <f aca="false">+IF(OR((#REF!+#REF!)&gt;0,(#REF!+#REF!)&gt;0,(K107+L107)&gt;0),"SI","NO")</f>
        <v>#REF!</v>
      </c>
      <c r="N107" s="136" t="n">
        <f aca="false">VLOOKUP(E108,'O_MN, PE_UTA_UGM 2023'!$B$1:$I$300,7,FALSE())</f>
        <v>0</v>
      </c>
      <c r="O107" s="136" t="n">
        <f aca="false">VLOOKUP(E108,'O_MN, PE_UTA_UGM 2023'!$B$1:$I$300,8,FALSE())</f>
        <v>5200</v>
      </c>
      <c r="P107" s="45"/>
      <c r="Q107" s="126" t="n">
        <f aca="false">VLOOKUP(E108,'O_MN, PE_UTA_UGM 2023'!$B$1:$I$300,5,FALSE())</f>
        <v>360.61</v>
      </c>
      <c r="R107" s="126" t="n">
        <f aca="false">VLOOKUP(E108,'O_MN, PE_UTA_UGM 2023'!$B$1:$I$300,6,FALSE())</f>
        <v>1352.28</v>
      </c>
      <c r="S107" s="45"/>
      <c r="T107" s="47"/>
      <c r="U107" s="127" t="n">
        <f aca="false">(H107*N107)+(I107*O107)+((K107*N107)+(L107*O107)*1.25)</f>
        <v>0</v>
      </c>
      <c r="V107" s="128"/>
      <c r="W107" s="128"/>
      <c r="X107" s="127" t="n">
        <f aca="false">(H107*Q107)+(I107*R107)+((K107*Q107)+(L107*R107)*1.25)</f>
        <v>0</v>
      </c>
      <c r="Y107" s="129"/>
      <c r="Z107" s="130" t="e">
        <f aca="false">(#REF!+#REF!+K107)*'O_MN, PE_UTA_UGM 2023'!H81</f>
        <v>#REF!</v>
      </c>
      <c r="AA107" s="131" t="e">
        <f aca="false">(#REF!+#REF!+L107)*'O_MN, PE_UTA_UGM 2023'!I81</f>
        <v>#REF!</v>
      </c>
      <c r="AB107" s="132" t="n">
        <f aca="false">IF(ISERROR(+ROUND(#REF!*N107/#REF!,3)),0,+ROUND(#REF!*N107/#REF!,3))</f>
        <v>0</v>
      </c>
      <c r="AC107" s="132" t="n">
        <f aca="false">IF(ISERROR(+ROUND(#REF!*O107/#REF!,3)),0,+ROUND(#REF!*O107/#REF!,3))</f>
        <v>0</v>
      </c>
      <c r="AD107" s="133" t="n">
        <f aca="false">IF(AND(AB107=0,AC107=0),0,#REF!*(#REF!-(#REF!*AB107/N107))+#REF!*(#REF!-(#REF!*AC107/O107)))</f>
        <v>0</v>
      </c>
      <c r="AE107" s="3"/>
      <c r="AF107" s="3"/>
      <c r="AG107" s="3"/>
      <c r="AH107" s="3"/>
      <c r="AI107" s="3"/>
    </row>
    <row r="108" customFormat="false" ht="15" hidden="false" customHeight="false" outlineLevel="0" collapsed="false">
      <c r="A108" s="3"/>
      <c r="B108" s="116"/>
      <c r="C108" s="134"/>
      <c r="D108" s="135"/>
      <c r="E108" s="119" t="n">
        <f aca="false">'O_MN, PE_UTA_UGM 2023'!B81</f>
        <v>168</v>
      </c>
      <c r="F108" s="120" t="str">
        <f aca="false">'O_MN, PE_UTA_UGM 2023'!C81</f>
        <v>CHALOTA</v>
      </c>
      <c r="G108" s="121"/>
      <c r="H108" s="122"/>
      <c r="I108" s="122"/>
      <c r="J108" s="123"/>
      <c r="K108" s="124"/>
      <c r="L108" s="124"/>
      <c r="M108" s="112" t="e">
        <f aca="false">+IF(OR((#REF!+#REF!)&gt;0,(#REF!+#REF!)&gt;0,(K108+L108)&gt;0),"SI","NO")</f>
        <v>#REF!</v>
      </c>
      <c r="N108" s="136" t="n">
        <f aca="false">VLOOKUP(E109,'O_MN, PE_UTA_UGM 2023'!$B$1:$I$300,7,FALSE())</f>
        <v>0</v>
      </c>
      <c r="O108" s="136" t="n">
        <f aca="false">VLOOKUP(E109,'O_MN, PE_UTA_UGM 2023'!$B$1:$I$300,8,FALSE())</f>
        <v>306000</v>
      </c>
      <c r="P108" s="45"/>
      <c r="Q108" s="126" t="n">
        <f aca="false">VLOOKUP(E109,'O_MN, PE_UTA_UGM 2023'!$B$1:$I$300,5,FALSE())</f>
        <v>1E-005</v>
      </c>
      <c r="R108" s="126" t="n">
        <f aca="false">VLOOKUP(E109,'O_MN, PE_UTA_UGM 2023'!$B$1:$I$300,6,FALSE())</f>
        <v>150000</v>
      </c>
      <c r="S108" s="45"/>
      <c r="T108" s="47"/>
      <c r="U108" s="127" t="n">
        <f aca="false">(H108*N108)+(I108*O108)+((K108*N108)+(L108*O108)*1.25)</f>
        <v>0</v>
      </c>
      <c r="V108" s="128"/>
      <c r="W108" s="128"/>
      <c r="X108" s="127" t="n">
        <f aca="false">(H108*Q108)+(I108*R108)+((K108*Q108)+(L108*R108)*1.25)</f>
        <v>0</v>
      </c>
      <c r="Y108" s="129"/>
      <c r="Z108" s="130" t="e">
        <f aca="false">(#REF!+#REF!+K108)*'O_MN, PE_UTA_UGM 2023'!H82</f>
        <v>#REF!</v>
      </c>
      <c r="AA108" s="131" t="e">
        <f aca="false">(#REF!+#REF!+L108)*'O_MN, PE_UTA_UGM 2023'!I82</f>
        <v>#REF!</v>
      </c>
      <c r="AB108" s="132" t="n">
        <f aca="false">IF(ISERROR(+ROUND(#REF!*N108/#REF!,3)),0,+ROUND(#REF!*N108/#REF!,3))</f>
        <v>0</v>
      </c>
      <c r="AC108" s="132" t="n">
        <f aca="false">IF(ISERROR(+ROUND(#REF!*O108/#REF!,3)),0,+ROUND(#REF!*O108/#REF!,3))</f>
        <v>0</v>
      </c>
      <c r="AD108" s="133" t="n">
        <f aca="false">IF(AND(AB108=0,AC108=0),0,#REF!*(#REF!-(#REF!*AB108/N108))+#REF!*(#REF!-(#REF!*AC108/O108)))</f>
        <v>0</v>
      </c>
      <c r="AE108" s="3"/>
      <c r="AF108" s="3"/>
      <c r="AG108" s="3"/>
      <c r="AH108" s="3"/>
      <c r="AI108" s="3"/>
    </row>
    <row r="109" customFormat="false" ht="15" hidden="false" customHeight="false" outlineLevel="0" collapsed="false">
      <c r="A109" s="3"/>
      <c r="B109" s="116"/>
      <c r="C109" s="134"/>
      <c r="D109" s="135"/>
      <c r="E109" s="119" t="n">
        <f aca="false">'O_MN, PE_UTA_UGM 2023'!B82</f>
        <v>194</v>
      </c>
      <c r="F109" s="120" t="str">
        <f aca="false">'O_MN, PE_UTA_UGM 2023'!C82</f>
        <v>CHAMPIÑON</v>
      </c>
      <c r="G109" s="121"/>
      <c r="H109" s="122"/>
      <c r="I109" s="122"/>
      <c r="J109" s="123"/>
      <c r="K109" s="124"/>
      <c r="L109" s="124"/>
      <c r="M109" s="112" t="e">
        <f aca="false">+IF(OR((#REF!+#REF!)&gt;0,(#REF!+#REF!)&gt;0,(K109+L109)&gt;0),"SI","NO")</f>
        <v>#REF!</v>
      </c>
      <c r="N109" s="136" t="n">
        <f aca="false">VLOOKUP(E110,'O_MN, PE_UTA_UGM 2023'!$B$1:$I$300,7,FALSE())</f>
        <v>0</v>
      </c>
      <c r="O109" s="136" t="n">
        <f aca="false">VLOOKUP(E110,'O_MN, PE_UTA_UGM 2023'!$B$1:$I$300,8,FALSE())</f>
        <v>5200</v>
      </c>
      <c r="P109" s="45"/>
      <c r="Q109" s="126" t="n">
        <f aca="false">VLOOKUP(E110,'O_MN, PE_UTA_UGM 2023'!$B$1:$I$300,5,FALSE())</f>
        <v>360.61</v>
      </c>
      <c r="R109" s="126" t="n">
        <f aca="false">VLOOKUP(E110,'O_MN, PE_UTA_UGM 2023'!$B$1:$I$300,6,FALSE())</f>
        <v>1352.28</v>
      </c>
      <c r="S109" s="45"/>
      <c r="T109" s="47"/>
      <c r="U109" s="127" t="n">
        <f aca="false">(H109*N109)+(I109*O109)+((K109*N109)+(L109*O109)*1.25)</f>
        <v>0</v>
      </c>
      <c r="V109" s="128"/>
      <c r="W109" s="128"/>
      <c r="X109" s="127" t="n">
        <f aca="false">(H109*Q109)+(I109*R109)+((K109*Q109)+(L109*R109)*1.25)</f>
        <v>0</v>
      </c>
      <c r="Y109" s="129"/>
      <c r="Z109" s="130" t="e">
        <f aca="false">(#REF!+#REF!+K109)*'O_MN, PE_UTA_UGM 2023'!H83</f>
        <v>#REF!</v>
      </c>
      <c r="AA109" s="131" t="e">
        <f aca="false">(#REF!+#REF!+L109)*'O_MN, PE_UTA_UGM 2023'!I83</f>
        <v>#REF!</v>
      </c>
      <c r="AB109" s="132" t="n">
        <f aca="false">IF(ISERROR(+ROUND(#REF!*N109/#REF!,3)),0,+ROUND(#REF!*N109/#REF!,3))</f>
        <v>0</v>
      </c>
      <c r="AC109" s="132" t="n">
        <f aca="false">IF(ISERROR(+ROUND(#REF!*O109/#REF!,3)),0,+ROUND(#REF!*O109/#REF!,3))</f>
        <v>0</v>
      </c>
      <c r="AD109" s="133" t="n">
        <f aca="false">IF(AND(AB109=0,AC109=0),0,#REF!*(#REF!-(#REF!*AB109/N109))+#REF!*(#REF!-(#REF!*AC109/O109)))</f>
        <v>0</v>
      </c>
      <c r="AE109" s="3"/>
      <c r="AF109" s="3"/>
      <c r="AG109" s="3"/>
      <c r="AH109" s="3"/>
      <c r="AI109" s="3"/>
    </row>
    <row r="110" customFormat="false" ht="15" hidden="false" customHeight="false" outlineLevel="0" collapsed="false">
      <c r="A110" s="3"/>
      <c r="B110" s="116"/>
      <c r="C110" s="134"/>
      <c r="D110" s="135"/>
      <c r="E110" s="119" t="n">
        <f aca="false">'O_MN, PE_UTA_UGM 2023'!B83</f>
        <v>171</v>
      </c>
      <c r="F110" s="120" t="str">
        <f aca="false">'O_MN, PE_UTA_UGM 2023'!C83</f>
        <v>CHIRIVÍA</v>
      </c>
      <c r="G110" s="121"/>
      <c r="H110" s="122"/>
      <c r="I110" s="122"/>
      <c r="J110" s="123"/>
      <c r="K110" s="124"/>
      <c r="L110" s="124"/>
      <c r="M110" s="112" t="e">
        <f aca="false">+IF(OR((#REF!+#REF!)&gt;0,(#REF!+#REF!)&gt;0,(K110+L110)&gt;0),"SI","NO")</f>
        <v>#REF!</v>
      </c>
      <c r="N110" s="136" t="n">
        <f aca="false">VLOOKUP(E111,'O_MN, PE_UTA_UGM 2023'!$B$1:$I$300,7,FALSE())</f>
        <v>0</v>
      </c>
      <c r="O110" s="136" t="n">
        <f aca="false">VLOOKUP(E111,'O_MN, PE_UTA_UGM 2023'!$B$1:$I$300,8,FALSE())</f>
        <v>0</v>
      </c>
      <c r="P110" s="45"/>
      <c r="Q110" s="126" t="n">
        <f aca="false">VLOOKUP(E111,'O_MN, PE_UTA_UGM 2023'!$B$1:$I$300,5,FALSE())</f>
        <v>390.66</v>
      </c>
      <c r="R110" s="126" t="n">
        <f aca="false">VLOOKUP(E111,'O_MN, PE_UTA_UGM 2023'!$B$1:$I$300,6,FALSE())</f>
        <v>390.66</v>
      </c>
      <c r="S110" s="45"/>
      <c r="T110" s="47"/>
      <c r="U110" s="127" t="n">
        <f aca="false">(H110*N110)+(I110*O110)+((K110*N110)+(L110*O110)*1.25)</f>
        <v>0</v>
      </c>
      <c r="V110" s="128"/>
      <c r="W110" s="128"/>
      <c r="X110" s="127" t="n">
        <f aca="false">(H110*Q110)+(I110*R110)+((K110*Q110)+(L110*R110)*1.25)</f>
        <v>0</v>
      </c>
      <c r="Y110" s="129"/>
      <c r="Z110" s="130" t="e">
        <f aca="false">(#REF!+#REF!+K110)*'O_MN, PE_UTA_UGM 2023'!H84</f>
        <v>#REF!</v>
      </c>
      <c r="AA110" s="131" t="e">
        <f aca="false">(#REF!+#REF!+L110)*'O_MN, PE_UTA_UGM 2023'!I84</f>
        <v>#REF!</v>
      </c>
      <c r="AB110" s="132" t="n">
        <f aca="false">IF(ISERROR(+ROUND(#REF!*N110/#REF!,3)),0,+ROUND(#REF!*N110/#REF!,3))</f>
        <v>0</v>
      </c>
      <c r="AC110" s="132" t="n">
        <f aca="false">IF(ISERROR(+ROUND(#REF!*O110/#REF!,3)),0,+ROUND(#REF!*O110/#REF!,3))</f>
        <v>0</v>
      </c>
      <c r="AD110" s="133" t="n">
        <f aca="false">IF(AND(AB110=0,AC110=0),0,#REF!*(#REF!-(#REF!*AB110/N110))+#REF!*(#REF!-(#REF!*AC110/O110)))</f>
        <v>0</v>
      </c>
      <c r="AE110" s="3"/>
      <c r="AF110" s="3"/>
      <c r="AG110" s="3"/>
      <c r="AH110" s="3"/>
      <c r="AI110" s="3"/>
    </row>
    <row r="111" customFormat="false" ht="15" hidden="false" customHeight="false" outlineLevel="0" collapsed="false">
      <c r="A111" s="3"/>
      <c r="B111" s="116"/>
      <c r="C111" s="134"/>
      <c r="D111" s="135"/>
      <c r="E111" s="119" t="n">
        <f aca="false">'O_MN, PE_UTA_UGM 2023'!B84</f>
        <v>116</v>
      </c>
      <c r="F111" s="120" t="str">
        <f aca="false">'O_MN, PE_UTA_UGM 2023'!C84</f>
        <v>CHOPOS</v>
      </c>
      <c r="G111" s="121"/>
      <c r="H111" s="122"/>
      <c r="I111" s="122"/>
      <c r="J111" s="123"/>
      <c r="K111" s="124"/>
      <c r="L111" s="124"/>
      <c r="M111" s="112" t="e">
        <f aca="false">+IF(OR((#REF!+#REF!)&gt;0,(#REF!+#REF!)&gt;0,(K111+L111)&gt;0),"SI","NO")</f>
        <v>#REF!</v>
      </c>
      <c r="N111" s="136" t="n">
        <f aca="false">VLOOKUP(E112,'O_MN, PE_UTA_UGM 2023'!$B$1:$I$300,7,FALSE())</f>
        <v>500</v>
      </c>
      <c r="O111" s="136" t="n">
        <f aca="false">VLOOKUP(E112,'O_MN, PE_UTA_UGM 2023'!$B$1:$I$300,8,FALSE())</f>
        <v>1500</v>
      </c>
      <c r="P111" s="45"/>
      <c r="Q111" s="126" t="n">
        <f aca="false">VLOOKUP(E112,'O_MN, PE_UTA_UGM 2023'!$B$1:$I$300,5,FALSE())</f>
        <v>450.76</v>
      </c>
      <c r="R111" s="126" t="n">
        <f aca="false">VLOOKUP(E112,'O_MN, PE_UTA_UGM 2023'!$B$1:$I$300,6,FALSE())</f>
        <v>1202.02</v>
      </c>
      <c r="S111" s="45"/>
      <c r="T111" s="47"/>
      <c r="U111" s="127" t="n">
        <f aca="false">(H111*N111)+(I111*O111)+((K111*N111)+(L111*O111)*1.25)</f>
        <v>0</v>
      </c>
      <c r="V111" s="128"/>
      <c r="W111" s="128"/>
      <c r="X111" s="127" t="n">
        <f aca="false">(H111*Q111)+(I111*R111)+((K111*Q111)+(L111*R111)*1.25)</f>
        <v>0</v>
      </c>
      <c r="Y111" s="129"/>
      <c r="Z111" s="130" t="e">
        <f aca="false">(#REF!+#REF!+K111)*'O_MN, PE_UTA_UGM 2023'!H85</f>
        <v>#REF!</v>
      </c>
      <c r="AA111" s="131" t="e">
        <f aca="false">(#REF!+#REF!+L111)*'O_MN, PE_UTA_UGM 2023'!I85</f>
        <v>#REF!</v>
      </c>
      <c r="AB111" s="132" t="n">
        <f aca="false">IF(ISERROR(+ROUND(#REF!*N111/#REF!,3)),0,+ROUND(#REF!*N111/#REF!,3))</f>
        <v>0</v>
      </c>
      <c r="AC111" s="132" t="n">
        <f aca="false">IF(ISERROR(+ROUND(#REF!*O111/#REF!,3)),0,+ROUND(#REF!*O111/#REF!,3))</f>
        <v>0</v>
      </c>
      <c r="AD111" s="133" t="n">
        <f aca="false">IF(AND(AB111=0,AC111=0),0,#REF!*(#REF!-(#REF!*AB111/N111))+#REF!*(#REF!-(#REF!*AC111/O111)))</f>
        <v>0</v>
      </c>
      <c r="AE111" s="3"/>
      <c r="AF111" s="3"/>
      <c r="AG111" s="3"/>
      <c r="AH111" s="3"/>
      <c r="AI111" s="3"/>
    </row>
    <row r="112" customFormat="false" ht="15" hidden="false" customHeight="false" outlineLevel="0" collapsed="false">
      <c r="A112" s="3"/>
      <c r="B112" s="116"/>
      <c r="C112" s="134"/>
      <c r="D112" s="135"/>
      <c r="E112" s="119" t="n">
        <f aca="false">'O_MN, PE_UTA_UGM 2023'!B85</f>
        <v>89</v>
      </c>
      <c r="F112" s="120" t="str">
        <f aca="false">'O_MN, PE_UTA_UGM 2023'!C85</f>
        <v>CHUFA</v>
      </c>
      <c r="G112" s="121"/>
      <c r="H112" s="122"/>
      <c r="I112" s="122"/>
      <c r="J112" s="123"/>
      <c r="K112" s="124"/>
      <c r="L112" s="124"/>
      <c r="M112" s="112" t="e">
        <f aca="false">+IF(OR((#REF!+#REF!)&gt;0,(#REF!+#REF!)&gt;0,(K112+L112)&gt;0),"SI","NO")</f>
        <v>#REF!</v>
      </c>
      <c r="N112" s="136" t="n">
        <f aca="false">VLOOKUP(E113,'O_MN, PE_UTA_UGM 2023'!$B$1:$I$300,7,FALSE())</f>
        <v>1000</v>
      </c>
      <c r="O112" s="136" t="n">
        <f aca="false">VLOOKUP(E113,'O_MN, PE_UTA_UGM 2023'!$B$1:$I$300,8,FALSE())</f>
        <v>3800</v>
      </c>
      <c r="P112" s="45"/>
      <c r="Q112" s="126" t="n">
        <f aca="false">VLOOKUP(E113,'O_MN, PE_UTA_UGM 2023'!$B$1:$I$300,5,FALSE())</f>
        <v>114.19</v>
      </c>
      <c r="R112" s="126" t="n">
        <f aca="false">VLOOKUP(E113,'O_MN, PE_UTA_UGM 2023'!$B$1:$I$300,6,FALSE())</f>
        <v>240.4</v>
      </c>
      <c r="S112" s="45"/>
      <c r="T112" s="47"/>
      <c r="U112" s="127" t="n">
        <f aca="false">(H112*N112)+(I112*O112)+((K112*N112)+(L112*O112)*1.25)</f>
        <v>0</v>
      </c>
      <c r="V112" s="128"/>
      <c r="W112" s="128"/>
      <c r="X112" s="127" t="n">
        <f aca="false">(H112*Q112)+(I112*R112)+((K112*Q112)+(L112*R112)*1.25)</f>
        <v>0</v>
      </c>
      <c r="Y112" s="129"/>
      <c r="Z112" s="130" t="e">
        <f aca="false">(#REF!+#REF!+K112)*'O_MN, PE_UTA_UGM 2023'!H86</f>
        <v>#REF!</v>
      </c>
      <c r="AA112" s="131" t="e">
        <f aca="false">(#REF!+#REF!+L112)*'O_MN, PE_UTA_UGM 2023'!I86</f>
        <v>#REF!</v>
      </c>
      <c r="AB112" s="132" t="n">
        <f aca="false">IF(ISERROR(+ROUND(#REF!*N112/#REF!,3)),0,+ROUND(#REF!*N112/#REF!,3))</f>
        <v>0</v>
      </c>
      <c r="AC112" s="132" t="n">
        <f aca="false">IF(ISERROR(+ROUND(#REF!*O112/#REF!,3)),0,+ROUND(#REF!*O112/#REF!,3))</f>
        <v>0</v>
      </c>
      <c r="AD112" s="133" t="n">
        <f aca="false">IF(AND(AB112=0,AC112=0),0,#REF!*(#REF!-(#REF!*AB112/N112))+#REF!*(#REF!-(#REF!*AC112/O112)))</f>
        <v>0</v>
      </c>
      <c r="AE112" s="3"/>
      <c r="AF112" s="3"/>
      <c r="AG112" s="3"/>
      <c r="AH112" s="3"/>
      <c r="AI112" s="3"/>
    </row>
    <row r="113" customFormat="false" ht="15" hidden="false" customHeight="false" outlineLevel="0" collapsed="false">
      <c r="A113" s="3"/>
      <c r="B113" s="116"/>
      <c r="C113" s="134"/>
      <c r="D113" s="135"/>
      <c r="E113" s="119" t="n">
        <f aca="false">'O_MN, PE_UTA_UGM 2023'!B86</f>
        <v>252</v>
      </c>
      <c r="F113" s="120" t="str">
        <f aca="false">'O_MN, PE_UTA_UGM 2023'!C86</f>
        <v>CILANTRO</v>
      </c>
      <c r="G113" s="121"/>
      <c r="H113" s="122"/>
      <c r="I113" s="122"/>
      <c r="J113" s="123"/>
      <c r="K113" s="124"/>
      <c r="L113" s="124"/>
      <c r="M113" s="112" t="e">
        <f aca="false">+IF(OR((#REF!+#REF!)&gt;0,(#REF!+#REF!)&gt;0,(K113+L113)&gt;0),"SI","NO")</f>
        <v>#REF!</v>
      </c>
      <c r="N113" s="136" t="n">
        <f aca="false">VLOOKUP(E114,'O_MN, PE_UTA_UGM 2023'!$B$1:$I$300,7,FALSE())</f>
        <v>2151.03</v>
      </c>
      <c r="O113" s="136" t="n">
        <f aca="false">VLOOKUP(E114,'O_MN, PE_UTA_UGM 2023'!$B$1:$I$300,8,FALSE())</f>
        <v>7000</v>
      </c>
      <c r="P113" s="45"/>
      <c r="Q113" s="126" t="n">
        <f aca="false">VLOOKUP(E114,'O_MN, PE_UTA_UGM 2023'!$B$1:$I$300,5,FALSE())</f>
        <v>480.81</v>
      </c>
      <c r="R113" s="126" t="n">
        <f aca="false">VLOOKUP(E114,'O_MN, PE_UTA_UGM 2023'!$B$1:$I$300,6,FALSE())</f>
        <v>1442.43</v>
      </c>
      <c r="S113" s="45"/>
      <c r="T113" s="47"/>
      <c r="U113" s="127" t="n">
        <f aca="false">(H113*N113)+(I113*O113)+((K113*N113)+(L113*O113)*1.25)</f>
        <v>0</v>
      </c>
      <c r="V113" s="128"/>
      <c r="W113" s="128"/>
      <c r="X113" s="127" t="n">
        <f aca="false">(H113*Q113)+(I113*R113)+((K113*Q113)+(L113*R113)*1.25)</f>
        <v>0</v>
      </c>
      <c r="Y113" s="129"/>
      <c r="Z113" s="130" t="e">
        <f aca="false">(#REF!+#REF!+K113)*'O_MN, PE_UTA_UGM 2023'!H87</f>
        <v>#REF!</v>
      </c>
      <c r="AA113" s="131" t="e">
        <f aca="false">(#REF!+#REF!+L113)*'O_MN, PE_UTA_UGM 2023'!I87</f>
        <v>#REF!</v>
      </c>
      <c r="AB113" s="132" t="n">
        <f aca="false">IF(ISERROR(+ROUND(#REF!*N113/#REF!,3)),0,+ROUND(#REF!*N113/#REF!,3))</f>
        <v>0</v>
      </c>
      <c r="AC113" s="132" t="n">
        <f aca="false">IF(ISERROR(+ROUND(#REF!*O113/#REF!,3)),0,+ROUND(#REF!*O113/#REF!,3))</f>
        <v>0</v>
      </c>
      <c r="AD113" s="133" t="n">
        <f aca="false">IF(AND(AB113=0,AC113=0),0,#REF!*(#REF!-(#REF!*AB113/N113))+#REF!*(#REF!-(#REF!*AC113/O113)))</f>
        <v>0</v>
      </c>
      <c r="AE113" s="3"/>
      <c r="AF113" s="3"/>
      <c r="AG113" s="3"/>
      <c r="AH113" s="3"/>
      <c r="AI113" s="3"/>
    </row>
    <row r="114" customFormat="false" ht="15" hidden="false" customHeight="false" outlineLevel="0" collapsed="false">
      <c r="A114" s="3"/>
      <c r="B114" s="116"/>
      <c r="C114" s="134"/>
      <c r="D114" s="135"/>
      <c r="E114" s="119" t="n">
        <f aca="false">'O_MN, PE_UTA_UGM 2023'!B87</f>
        <v>111</v>
      </c>
      <c r="F114" s="120" t="str">
        <f aca="false">'O_MN, PE_UTA_UGM 2023'!C87</f>
        <v>CIRUELOS</v>
      </c>
      <c r="G114" s="121"/>
      <c r="H114" s="122"/>
      <c r="I114" s="122"/>
      <c r="J114" s="123"/>
      <c r="K114" s="124"/>
      <c r="L114" s="124"/>
      <c r="M114" s="112" t="e">
        <f aca="false">+IF(OR((#REF!+#REF!)&gt;0,(#REF!+#REF!)&gt;0,(K114+L114)&gt;0),"SI","NO")</f>
        <v>#REF!</v>
      </c>
      <c r="N114" s="136" t="n">
        <f aca="false">VLOOKUP(E115,'O_MN, PE_UTA_UGM 2023'!$B$1:$I$300,7,FALSE())</f>
        <v>1939.8</v>
      </c>
      <c r="O114" s="136" t="n">
        <f aca="false">VLOOKUP(E115,'O_MN, PE_UTA_UGM 2023'!$B$1:$I$300,8,FALSE())</f>
        <v>6000</v>
      </c>
      <c r="P114" s="45"/>
      <c r="Q114" s="126" t="n">
        <f aca="false">VLOOKUP(E115,'O_MN, PE_UTA_UGM 2023'!$B$1:$I$300,5,FALSE())</f>
        <v>480.81</v>
      </c>
      <c r="R114" s="126" t="n">
        <f aca="false">VLOOKUP(E115,'O_MN, PE_UTA_UGM 2023'!$B$1:$I$300,6,FALSE())</f>
        <v>1442.43</v>
      </c>
      <c r="S114" s="45"/>
      <c r="T114" s="47"/>
      <c r="U114" s="127" t="n">
        <f aca="false">(H114*N114)+(I114*O114)+((K114*N114)+(L114*O114)*1.25)</f>
        <v>0</v>
      </c>
      <c r="V114" s="128"/>
      <c r="W114" s="128"/>
      <c r="X114" s="127" t="n">
        <f aca="false">(H114*Q114)+(I114*R114)+((K114*Q114)+(L114*R114)*1.25)</f>
        <v>0</v>
      </c>
      <c r="Y114" s="129"/>
      <c r="Z114" s="130" t="e">
        <f aca="false">(#REF!+#REF!+K114)*'O_MN, PE_UTA_UGM 2023'!H88</f>
        <v>#REF!</v>
      </c>
      <c r="AA114" s="131" t="e">
        <f aca="false">(#REF!+#REF!+L114)*'O_MN, PE_UTA_UGM 2023'!I88</f>
        <v>#REF!</v>
      </c>
      <c r="AB114" s="132" t="n">
        <f aca="false">IF(ISERROR(+ROUND(#REF!*N114/#REF!,3)),0,+ROUND(#REF!*N114/#REF!,3))</f>
        <v>0</v>
      </c>
      <c r="AC114" s="132" t="n">
        <f aca="false">IF(ISERROR(+ROUND(#REF!*O114/#REF!,3)),0,+ROUND(#REF!*O114/#REF!,3))</f>
        <v>0</v>
      </c>
      <c r="AD114" s="133" t="n">
        <f aca="false">IF(AND(AB114=0,AC114=0),0,#REF!*(#REF!-(#REF!*AB114/N114))+#REF!*(#REF!-(#REF!*AC114/O114)))</f>
        <v>0</v>
      </c>
      <c r="AE114" s="3"/>
      <c r="AF114" s="3"/>
      <c r="AG114" s="3"/>
      <c r="AH114" s="3"/>
      <c r="AI114" s="3"/>
    </row>
    <row r="115" customFormat="false" ht="15" hidden="false" customHeight="false" outlineLevel="0" collapsed="false">
      <c r="A115" s="3"/>
      <c r="B115" s="116"/>
      <c r="C115" s="134"/>
      <c r="D115" s="135"/>
      <c r="E115" s="119" t="n">
        <f aca="false">'O_MN, PE_UTA_UGM 2023'!B88</f>
        <v>210</v>
      </c>
      <c r="F115" s="120" t="str">
        <f aca="false">'O_MN, PE_UTA_UGM 2023'!C88</f>
        <v>CITRICOS HIBRIDOS</v>
      </c>
      <c r="G115" s="121"/>
      <c r="H115" s="122"/>
      <c r="I115" s="122"/>
      <c r="J115" s="123"/>
      <c r="K115" s="124"/>
      <c r="L115" s="124"/>
      <c r="M115" s="112" t="e">
        <f aca="false">+IF(OR((#REF!+#REF!)&gt;0,(#REF!+#REF!)&gt;0,(K115+L115)&gt;0),"SI","NO")</f>
        <v>#REF!</v>
      </c>
      <c r="N115" s="136" t="n">
        <f aca="false">VLOOKUP(E116,'O_MN, PE_UTA_UGM 2023'!$B$1:$I$300,7,FALSE())</f>
        <v>1939.8</v>
      </c>
      <c r="O115" s="136" t="n">
        <f aca="false">VLOOKUP(E116,'O_MN, PE_UTA_UGM 2023'!$B$1:$I$300,8,FALSE())</f>
        <v>6000</v>
      </c>
      <c r="P115" s="45"/>
      <c r="Q115" s="126" t="n">
        <f aca="false">VLOOKUP(E116,'O_MN, PE_UTA_UGM 2023'!$B$1:$I$300,5,FALSE())</f>
        <v>480.81</v>
      </c>
      <c r="R115" s="126" t="n">
        <f aca="false">VLOOKUP(E116,'O_MN, PE_UTA_UGM 2023'!$B$1:$I$300,6,FALSE())</f>
        <v>1442.43</v>
      </c>
      <c r="S115" s="45"/>
      <c r="T115" s="47"/>
      <c r="U115" s="127" t="n">
        <f aca="false">(H115*N115)+(I115*O115)+((K115*N115)+(L115*O115)*1.25)</f>
        <v>0</v>
      </c>
      <c r="V115" s="128"/>
      <c r="W115" s="128"/>
      <c r="X115" s="127" t="n">
        <f aca="false">(H115*Q115)+(I115*R115)+((K115*Q115)+(L115*R115)*1.25)</f>
        <v>0</v>
      </c>
      <c r="Y115" s="129"/>
      <c r="Z115" s="130" t="e">
        <f aca="false">(#REF!+#REF!+K115)*'O_MN, PE_UTA_UGM 2023'!H89</f>
        <v>#REF!</v>
      </c>
      <c r="AA115" s="131" t="e">
        <f aca="false">(#REF!+#REF!+L115)*'O_MN, PE_UTA_UGM 2023'!I89</f>
        <v>#REF!</v>
      </c>
      <c r="AB115" s="132" t="n">
        <f aca="false">IF(ISERROR(+ROUND(#REF!*N115/#REF!,3)),0,+ROUND(#REF!*N115/#REF!,3))</f>
        <v>0</v>
      </c>
      <c r="AC115" s="132" t="n">
        <f aca="false">IF(ISERROR(+ROUND(#REF!*O115/#REF!,3)),0,+ROUND(#REF!*O115/#REF!,3))</f>
        <v>0</v>
      </c>
      <c r="AD115" s="133" t="n">
        <f aca="false">IF(AND(AB115=0,AC115=0),0,#REF!*(#REF!-(#REF!*AB115/N115))+#REF!*(#REF!-(#REF!*AC115/O115)))</f>
        <v>0</v>
      </c>
      <c r="AE115" s="3"/>
      <c r="AF115" s="3"/>
      <c r="AG115" s="3"/>
      <c r="AH115" s="3"/>
      <c r="AI115" s="3"/>
    </row>
    <row r="116" customFormat="false" ht="15" hidden="false" customHeight="false" outlineLevel="0" collapsed="false">
      <c r="A116" s="3"/>
      <c r="B116" s="116"/>
      <c r="C116" s="134"/>
      <c r="D116" s="135"/>
      <c r="E116" s="119" t="n">
        <f aca="false">'O_MN, PE_UTA_UGM 2023'!B89</f>
        <v>204</v>
      </c>
      <c r="F116" s="120" t="str">
        <f aca="false">'O_MN, PE_UTA_UGM 2023'!C89</f>
        <v>CLEMENTINAS</v>
      </c>
      <c r="G116" s="121"/>
      <c r="H116" s="122"/>
      <c r="I116" s="122"/>
      <c r="J116" s="123"/>
      <c r="K116" s="124"/>
      <c r="L116" s="124"/>
      <c r="M116" s="112" t="e">
        <f aca="false">+IF(OR((#REF!+#REF!)&gt;0,(#REF!+#REF!)&gt;0,(K116+L116)&gt;0),"SI","NO")</f>
        <v>#REF!</v>
      </c>
      <c r="N116" s="136" t="n">
        <f aca="false">VLOOKUP(E117,'O_MN, PE_UTA_UGM 2023'!$B$1:$I$300,7,FALSE())</f>
        <v>0</v>
      </c>
      <c r="O116" s="136" t="n">
        <f aca="false">VLOOKUP(E117,'O_MN, PE_UTA_UGM 2023'!$B$1:$I$300,8,FALSE())</f>
        <v>5200</v>
      </c>
      <c r="P116" s="45"/>
      <c r="Q116" s="126" t="n">
        <f aca="false">VLOOKUP(E117,'O_MN, PE_UTA_UGM 2023'!$B$1:$I$300,5,FALSE())</f>
        <v>360.61</v>
      </c>
      <c r="R116" s="126" t="n">
        <f aca="false">VLOOKUP(E117,'O_MN, PE_UTA_UGM 2023'!$B$1:$I$300,6,FALSE())</f>
        <v>1352.28</v>
      </c>
      <c r="S116" s="45"/>
      <c r="T116" s="47"/>
      <c r="U116" s="127" t="n">
        <f aca="false">(H116*N116)+(I116*O116)+((K116*N116)+(L116*O116)*1.25)</f>
        <v>0</v>
      </c>
      <c r="V116" s="128"/>
      <c r="W116" s="128"/>
      <c r="X116" s="127" t="n">
        <f aca="false">(H116*Q116)+(I116*R116)+((K116*Q116)+(L116*R116)*1.25)</f>
        <v>0</v>
      </c>
      <c r="Y116" s="129"/>
      <c r="Z116" s="130" t="e">
        <f aca="false">(#REF!+#REF!+K116)*'O_MN, PE_UTA_UGM 2023'!H90</f>
        <v>#REF!</v>
      </c>
      <c r="AA116" s="131" t="e">
        <f aca="false">(#REF!+#REF!+L116)*'O_MN, PE_UTA_UGM 2023'!I90</f>
        <v>#REF!</v>
      </c>
      <c r="AB116" s="132" t="n">
        <f aca="false">IF(ISERROR(+ROUND(#REF!*N116/#REF!,3)),0,+ROUND(#REF!*N116/#REF!,3))</f>
        <v>0</v>
      </c>
      <c r="AC116" s="132" t="n">
        <f aca="false">IF(ISERROR(+ROUND(#REF!*O116/#REF!,3)),0,+ROUND(#REF!*O116/#REF!,3))</f>
        <v>0</v>
      </c>
      <c r="AD116" s="133" t="n">
        <f aca="false">IF(AND(AB116=0,AC116=0),0,#REF!*(#REF!-(#REF!*AB116/N116))+#REF!*(#REF!-(#REF!*AC116/O116)))</f>
        <v>0</v>
      </c>
      <c r="AE116" s="3"/>
      <c r="AF116" s="3"/>
      <c r="AG116" s="3"/>
      <c r="AH116" s="3"/>
      <c r="AI116" s="3"/>
    </row>
    <row r="117" customFormat="false" ht="15" hidden="false" customHeight="false" outlineLevel="0" collapsed="false">
      <c r="A117" s="3"/>
      <c r="B117" s="116"/>
      <c r="C117" s="134"/>
      <c r="D117" s="135"/>
      <c r="E117" s="119" t="n">
        <f aca="false">'O_MN, PE_UTA_UGM 2023'!B90</f>
        <v>170</v>
      </c>
      <c r="F117" s="120" t="str">
        <f aca="false">'O_MN, PE_UTA_UGM 2023'!C90</f>
        <v>COL</v>
      </c>
      <c r="G117" s="121"/>
      <c r="H117" s="122"/>
      <c r="I117" s="122"/>
      <c r="J117" s="123"/>
      <c r="K117" s="124"/>
      <c r="L117" s="124"/>
      <c r="M117" s="112" t="e">
        <f aca="false">+IF(OR((#REF!+#REF!)&gt;0,(#REF!+#REF!)&gt;0,(K117+L117)&gt;0),"SI","NO")</f>
        <v>#REF!</v>
      </c>
      <c r="N117" s="136" t="n">
        <f aca="false">VLOOKUP(E118,'O_MN, PE_UTA_UGM 2023'!$B$1:$I$300,7,FALSE())</f>
        <v>0</v>
      </c>
      <c r="O117" s="136" t="n">
        <f aca="false">VLOOKUP(E118,'O_MN, PE_UTA_UGM 2023'!$B$1:$I$300,8,FALSE())</f>
        <v>5200</v>
      </c>
      <c r="P117" s="45"/>
      <c r="Q117" s="126" t="n">
        <f aca="false">VLOOKUP(E118,'O_MN, PE_UTA_UGM 2023'!$B$1:$I$300,5,FALSE())</f>
        <v>360.61</v>
      </c>
      <c r="R117" s="126" t="n">
        <f aca="false">VLOOKUP(E118,'O_MN, PE_UTA_UGM 2023'!$B$1:$I$300,6,FALSE())</f>
        <v>1352.28</v>
      </c>
      <c r="S117" s="45"/>
      <c r="T117" s="47"/>
      <c r="U117" s="127" t="n">
        <f aca="false">(H117*N117)+(I117*O117)+((K117*N117)+(L117*O117)*1.25)</f>
        <v>0</v>
      </c>
      <c r="V117" s="128"/>
      <c r="W117" s="128"/>
      <c r="X117" s="127" t="n">
        <f aca="false">(H117*Q117)+(I117*R117)+((K117*Q117)+(L117*R117)*1.25)</f>
        <v>0</v>
      </c>
      <c r="Y117" s="129"/>
      <c r="Z117" s="130" t="e">
        <f aca="false">(#REF!+#REF!+K117)*'O_MN, PE_UTA_UGM 2023'!H91</f>
        <v>#REF!</v>
      </c>
      <c r="AA117" s="131" t="e">
        <f aca="false">(#REF!+#REF!+L117)*'O_MN, PE_UTA_UGM 2023'!I91</f>
        <v>#REF!</v>
      </c>
      <c r="AB117" s="132" t="n">
        <f aca="false">IF(ISERROR(+ROUND(#REF!*N117/#REF!,3)),0,+ROUND(#REF!*N117/#REF!,3))</f>
        <v>0</v>
      </c>
      <c r="AC117" s="132" t="n">
        <f aca="false">IF(ISERROR(+ROUND(#REF!*O117/#REF!,3)),0,+ROUND(#REF!*O117/#REF!,3))</f>
        <v>0</v>
      </c>
      <c r="AD117" s="133" t="n">
        <f aca="false">IF(AND(AB117=0,AC117=0),0,#REF!*(#REF!-(#REF!*AB117/N117))+#REF!*(#REF!-(#REF!*AC117/O117)))</f>
        <v>0</v>
      </c>
      <c r="AE117" s="3"/>
      <c r="AF117" s="3"/>
      <c r="AG117" s="3"/>
      <c r="AH117" s="3"/>
      <c r="AI117" s="3"/>
    </row>
    <row r="118" customFormat="false" ht="15" hidden="false" customHeight="false" outlineLevel="0" collapsed="false">
      <c r="A118" s="3"/>
      <c r="B118" s="116"/>
      <c r="C118" s="134"/>
      <c r="D118" s="135"/>
      <c r="E118" s="119" t="n">
        <f aca="false">'O_MN, PE_UTA_UGM 2023'!B91</f>
        <v>304</v>
      </c>
      <c r="F118" s="120" t="str">
        <f aca="false">'O_MN, PE_UTA_UGM 2023'!C91</f>
        <v>COL CHINA</v>
      </c>
      <c r="G118" s="121"/>
      <c r="H118" s="122"/>
      <c r="I118" s="122"/>
      <c r="J118" s="123"/>
      <c r="K118" s="124"/>
      <c r="L118" s="124"/>
      <c r="M118" s="112" t="e">
        <f aca="false">+IF(OR((#REF!+#REF!)&gt;0,(#REF!+#REF!)&gt;0,(K118+L118)&gt;0),"SI","NO")</f>
        <v>#REF!</v>
      </c>
      <c r="N118" s="136" t="n">
        <f aca="false">VLOOKUP(E119,'O_MN, PE_UTA_UGM 2023'!$B$1:$I$300,7,FALSE())</f>
        <v>0</v>
      </c>
      <c r="O118" s="136" t="n">
        <f aca="false">VLOOKUP(E119,'O_MN, PE_UTA_UGM 2023'!$B$1:$I$300,8,FALSE())</f>
        <v>5200</v>
      </c>
      <c r="P118" s="45"/>
      <c r="Q118" s="126" t="n">
        <f aca="false">VLOOKUP(E119,'O_MN, PE_UTA_UGM 2023'!$B$1:$I$300,5,FALSE())</f>
        <v>360.61</v>
      </c>
      <c r="R118" s="126" t="n">
        <f aca="false">VLOOKUP(E119,'O_MN, PE_UTA_UGM 2023'!$B$1:$I$300,6,FALSE())</f>
        <v>1352.28</v>
      </c>
      <c r="S118" s="45"/>
      <c r="T118" s="47"/>
      <c r="U118" s="127" t="n">
        <f aca="false">(H118*N118)+(I118*O118)+((K118*N118)+(L118*O118)*1.25)</f>
        <v>0</v>
      </c>
      <c r="V118" s="128"/>
      <c r="W118" s="128"/>
      <c r="X118" s="127" t="n">
        <f aca="false">(H118*Q118)+(I118*R118)+((K118*Q118)+(L118*R118)*1.25)</f>
        <v>0</v>
      </c>
      <c r="Y118" s="129"/>
      <c r="Z118" s="130" t="e">
        <f aca="false">(#REF!+#REF!+K118)*'O_MN, PE_UTA_UGM 2023'!H92</f>
        <v>#REF!</v>
      </c>
      <c r="AA118" s="131" t="e">
        <f aca="false">(#REF!+#REF!+L118)*'O_MN, PE_UTA_UGM 2023'!I92</f>
        <v>#REF!</v>
      </c>
      <c r="AB118" s="132" t="n">
        <f aca="false">IF(ISERROR(+ROUND(#REF!*N118/#REF!,3)),0,+ROUND(#REF!*N118/#REF!,3))</f>
        <v>0</v>
      </c>
      <c r="AC118" s="132" t="n">
        <f aca="false">IF(ISERROR(+ROUND(#REF!*O118/#REF!,3)),0,+ROUND(#REF!*O118/#REF!,3))</f>
        <v>0</v>
      </c>
      <c r="AD118" s="133" t="n">
        <f aca="false">IF(AND(AB118=0,AC118=0),0,#REF!*(#REF!-(#REF!*AB118/N118))+#REF!*(#REF!-(#REF!*AC118/O118)))</f>
        <v>0</v>
      </c>
      <c r="AE118" s="3"/>
      <c r="AF118" s="3"/>
      <c r="AG118" s="3"/>
      <c r="AH118" s="3"/>
      <c r="AI118" s="3"/>
    </row>
    <row r="119" customFormat="false" ht="15" hidden="false" customHeight="false" outlineLevel="0" collapsed="false">
      <c r="A119" s="3"/>
      <c r="B119" s="116"/>
      <c r="C119" s="134"/>
      <c r="D119" s="135"/>
      <c r="E119" s="119" t="n">
        <f aca="false">'O_MN, PE_UTA_UGM 2023'!B92</f>
        <v>174</v>
      </c>
      <c r="F119" s="120" t="str">
        <f aca="false">'O_MN, PE_UTA_UGM 2023'!C92</f>
        <v>COL MILAN</v>
      </c>
      <c r="G119" s="121"/>
      <c r="H119" s="122"/>
      <c r="I119" s="122"/>
      <c r="J119" s="123"/>
      <c r="K119" s="124"/>
      <c r="L119" s="124"/>
      <c r="M119" s="112" t="e">
        <f aca="false">+IF(OR((#REF!+#REF!)&gt;0,(#REF!+#REF!)&gt;0,(K119+L119)&gt;0),"SI","NO")</f>
        <v>#REF!</v>
      </c>
      <c r="N119" s="136" t="n">
        <f aca="false">VLOOKUP(E120,'O_MN, PE_UTA_UGM 2023'!$B$1:$I$300,7,FALSE())</f>
        <v>0</v>
      </c>
      <c r="O119" s="136" t="n">
        <f aca="false">VLOOKUP(E120,'O_MN, PE_UTA_UGM 2023'!$B$1:$I$300,8,FALSE())</f>
        <v>5200</v>
      </c>
      <c r="P119" s="45"/>
      <c r="Q119" s="126" t="n">
        <f aca="false">VLOOKUP(E120,'O_MN, PE_UTA_UGM 2023'!$B$1:$I$300,5,FALSE())</f>
        <v>360.61</v>
      </c>
      <c r="R119" s="126" t="n">
        <f aca="false">VLOOKUP(E120,'O_MN, PE_UTA_UGM 2023'!$B$1:$I$300,6,FALSE())</f>
        <v>1352.28</v>
      </c>
      <c r="S119" s="45"/>
      <c r="T119" s="47"/>
      <c r="U119" s="127" t="n">
        <f aca="false">(H119*N119)+(I119*O119)+((K119*N119)+(L119*O119)*1.25)</f>
        <v>0</v>
      </c>
      <c r="V119" s="128"/>
      <c r="W119" s="128"/>
      <c r="X119" s="127" t="n">
        <f aca="false">(H119*Q119)+(I119*R119)+((K119*Q119)+(L119*R119)*1.25)</f>
        <v>0</v>
      </c>
      <c r="Y119" s="129"/>
      <c r="Z119" s="130" t="e">
        <f aca="false">(#REF!+#REF!+K119)*'O_MN, PE_UTA_UGM 2023'!H93</f>
        <v>#REF!</v>
      </c>
      <c r="AA119" s="131" t="e">
        <f aca="false">(#REF!+#REF!+L119)*'O_MN, PE_UTA_UGM 2023'!I93</f>
        <v>#REF!</v>
      </c>
      <c r="AB119" s="132" t="n">
        <f aca="false">IF(ISERROR(+ROUND(#REF!*N119/#REF!,3)),0,+ROUND(#REF!*N119/#REF!,3))</f>
        <v>0</v>
      </c>
      <c r="AC119" s="132" t="n">
        <f aca="false">IF(ISERROR(+ROUND(#REF!*O119/#REF!,3)),0,+ROUND(#REF!*O119/#REF!,3))</f>
        <v>0</v>
      </c>
      <c r="AD119" s="133" t="n">
        <f aca="false">IF(AND(AB119=0,AC119=0),0,#REF!*(#REF!-(#REF!*AB119/N119))+#REF!*(#REF!-(#REF!*AC119/O119)))</f>
        <v>0</v>
      </c>
      <c r="AE119" s="3"/>
      <c r="AF119" s="3"/>
      <c r="AG119" s="3"/>
      <c r="AH119" s="3"/>
      <c r="AI119" s="3"/>
    </row>
    <row r="120" customFormat="false" ht="15" hidden="false" customHeight="false" outlineLevel="0" collapsed="false">
      <c r="A120" s="3"/>
      <c r="B120" s="116"/>
      <c r="C120" s="134"/>
      <c r="D120" s="135"/>
      <c r="E120" s="119" t="n">
        <f aca="false">'O_MN, PE_UTA_UGM 2023'!B93</f>
        <v>173</v>
      </c>
      <c r="F120" s="120" t="str">
        <f aca="false">'O_MN, PE_UTA_UGM 2023'!C93</f>
        <v>COL ROJA O LOMBARDA</v>
      </c>
      <c r="G120" s="121"/>
      <c r="H120" s="122"/>
      <c r="I120" s="122"/>
      <c r="J120" s="123"/>
      <c r="K120" s="124"/>
      <c r="L120" s="124"/>
      <c r="M120" s="112" t="e">
        <f aca="false">+IF(OR((#REF!+#REF!)&gt;0,(#REF!+#REF!)&gt;0,(K120+L120)&gt;0),"SI","NO")</f>
        <v>#REF!</v>
      </c>
      <c r="N120" s="136" t="n">
        <f aca="false">VLOOKUP(E121,'O_MN, PE_UTA_UGM 2023'!$B$1:$I$300,7,FALSE())</f>
        <v>0</v>
      </c>
      <c r="O120" s="136" t="n">
        <f aca="false">VLOOKUP(E121,'O_MN, PE_UTA_UGM 2023'!$B$1:$I$300,8,FALSE())</f>
        <v>5200</v>
      </c>
      <c r="P120" s="45"/>
      <c r="Q120" s="126" t="n">
        <f aca="false">VLOOKUP(E121,'O_MN, PE_UTA_UGM 2023'!$B$1:$I$300,5,FALSE())</f>
        <v>360.61</v>
      </c>
      <c r="R120" s="126" t="n">
        <f aca="false">VLOOKUP(E121,'O_MN, PE_UTA_UGM 2023'!$B$1:$I$300,6,FALSE())</f>
        <v>1352.28</v>
      </c>
      <c r="S120" s="45"/>
      <c r="T120" s="47"/>
      <c r="U120" s="127" t="n">
        <f aca="false">(H120*N120)+(I120*O120)+((K120*N120)+(L120*O120)*1.25)</f>
        <v>0</v>
      </c>
      <c r="V120" s="128"/>
      <c r="W120" s="128"/>
      <c r="X120" s="127" t="n">
        <f aca="false">(H120*Q120)+(I120*R120)+((K120*Q120)+(L120*R120)*1.25)</f>
        <v>0</v>
      </c>
      <c r="Y120" s="129"/>
      <c r="Z120" s="130" t="e">
        <f aca="false">(#REF!+#REF!+K120)*'O_MN, PE_UTA_UGM 2023'!H94</f>
        <v>#REF!</v>
      </c>
      <c r="AA120" s="131" t="e">
        <f aca="false">(#REF!+#REF!+L120)*'O_MN, PE_UTA_UGM 2023'!I94</f>
        <v>#REF!</v>
      </c>
      <c r="AB120" s="132" t="n">
        <f aca="false">IF(ISERROR(+ROUND(#REF!*N120/#REF!,3)),0,+ROUND(#REF!*N120/#REF!,3))</f>
        <v>0</v>
      </c>
      <c r="AC120" s="132" t="n">
        <f aca="false">IF(ISERROR(+ROUND(#REF!*O120/#REF!,3)),0,+ROUND(#REF!*O120/#REF!,3))</f>
        <v>0</v>
      </c>
      <c r="AD120" s="133" t="n">
        <f aca="false">IF(AND(AB120=0,AC120=0),0,#REF!*(#REF!-(#REF!*AB120/N120))+#REF!*(#REF!-(#REF!*AC120/O120)))</f>
        <v>0</v>
      </c>
      <c r="AE120" s="3"/>
      <c r="AF120" s="3"/>
      <c r="AG120" s="3"/>
      <c r="AH120" s="3"/>
      <c r="AI120" s="3"/>
    </row>
    <row r="121" customFormat="false" ht="15" hidden="false" customHeight="false" outlineLevel="0" collapsed="false">
      <c r="A121" s="3"/>
      <c r="B121" s="116"/>
      <c r="C121" s="134"/>
      <c r="D121" s="135"/>
      <c r="E121" s="119" t="n">
        <f aca="false">'O_MN, PE_UTA_UGM 2023'!B94</f>
        <v>176</v>
      </c>
      <c r="F121" s="120" t="str">
        <f aca="false">'O_MN, PE_UTA_UGM 2023'!C94</f>
        <v>COLES DE BRUSELAS</v>
      </c>
      <c r="G121" s="121"/>
      <c r="H121" s="122"/>
      <c r="I121" s="122"/>
      <c r="J121" s="123"/>
      <c r="K121" s="124"/>
      <c r="L121" s="124"/>
      <c r="M121" s="112" t="e">
        <f aca="false">+IF(OR((#REF!+#REF!)&gt;0,(#REF!+#REF!)&gt;0,(K121+L121)&gt;0),"SI","NO")</f>
        <v>#REF!</v>
      </c>
      <c r="N121" s="136" t="n">
        <f aca="false">VLOOKUP(E122,'O_MN, PE_UTA_UGM 2023'!$B$1:$I$300,7,FALSE())</f>
        <v>0</v>
      </c>
      <c r="O121" s="136" t="n">
        <f aca="false">VLOOKUP(E122,'O_MN, PE_UTA_UGM 2023'!$B$1:$I$300,8,FALSE())</f>
        <v>5200</v>
      </c>
      <c r="P121" s="45"/>
      <c r="Q121" s="126" t="n">
        <f aca="false">VLOOKUP(E122,'O_MN, PE_UTA_UGM 2023'!$B$1:$I$300,5,FALSE())</f>
        <v>360.61</v>
      </c>
      <c r="R121" s="126" t="n">
        <f aca="false">VLOOKUP(E122,'O_MN, PE_UTA_UGM 2023'!$B$1:$I$300,6,FALSE())</f>
        <v>1352.28</v>
      </c>
      <c r="S121" s="45"/>
      <c r="T121" s="47"/>
      <c r="U121" s="127" t="n">
        <f aca="false">(H121*N121)+(I121*O121)+((K121*N121)+(L121*O121)*1.25)</f>
        <v>0</v>
      </c>
      <c r="V121" s="128"/>
      <c r="W121" s="128"/>
      <c r="X121" s="127" t="n">
        <f aca="false">(H121*Q121)+(I121*R121)+((K121*Q121)+(L121*R121)*1.25)</f>
        <v>0</v>
      </c>
      <c r="Y121" s="129"/>
      <c r="Z121" s="130" t="e">
        <f aca="false">(#REF!+#REF!+K121)*'O_MN, PE_UTA_UGM 2023'!H95</f>
        <v>#REF!</v>
      </c>
      <c r="AA121" s="131" t="e">
        <f aca="false">(#REF!+#REF!+L121)*'O_MN, PE_UTA_UGM 2023'!I95</f>
        <v>#REF!</v>
      </c>
      <c r="AB121" s="132" t="n">
        <f aca="false">IF(ISERROR(+ROUND(#REF!*N121/#REF!,3)),0,+ROUND(#REF!*N121/#REF!,3))</f>
        <v>0</v>
      </c>
      <c r="AC121" s="132" t="n">
        <f aca="false">IF(ISERROR(+ROUND(#REF!*O121/#REF!,3)),0,+ROUND(#REF!*O121/#REF!,3))</f>
        <v>0</v>
      </c>
      <c r="AD121" s="133" t="n">
        <f aca="false">IF(AND(AB121=0,AC121=0),0,#REF!*(#REF!-(#REF!*AB121/N121))+#REF!*(#REF!-(#REF!*AC121/O121)))</f>
        <v>0</v>
      </c>
      <c r="AE121" s="3"/>
      <c r="AF121" s="3"/>
      <c r="AG121" s="3"/>
      <c r="AH121" s="3"/>
      <c r="AI121" s="3"/>
    </row>
    <row r="122" customFormat="false" ht="15" hidden="false" customHeight="false" outlineLevel="0" collapsed="false">
      <c r="A122" s="3"/>
      <c r="B122" s="116"/>
      <c r="C122" s="134"/>
      <c r="D122" s="135"/>
      <c r="E122" s="119" t="n">
        <f aca="false">'O_MN, PE_UTA_UGM 2023'!B95</f>
        <v>160</v>
      </c>
      <c r="F122" s="120" t="str">
        <f aca="false">'O_MN, PE_UTA_UGM 2023'!C95</f>
        <v>COLIFLOR</v>
      </c>
      <c r="G122" s="121"/>
      <c r="H122" s="122"/>
      <c r="I122" s="122"/>
      <c r="J122" s="123"/>
      <c r="K122" s="124"/>
      <c r="L122" s="124"/>
      <c r="M122" s="112" t="e">
        <f aca="false">+IF(OR((#REF!+#REF!)&gt;0,(#REF!+#REF!)&gt;0,(K122+L122)&gt;0),"SI","NO")</f>
        <v>#REF!</v>
      </c>
      <c r="N122" s="136" t="n">
        <f aca="false">VLOOKUP(E123,'O_MN, PE_UTA_UGM 2023'!$B$1:$I$300,7,FALSE())</f>
        <v>0</v>
      </c>
      <c r="O122" s="136" t="n">
        <f aca="false">VLOOKUP(E123,'O_MN, PE_UTA_UGM 2023'!$B$1:$I$300,8,FALSE())</f>
        <v>5200</v>
      </c>
      <c r="P122" s="45"/>
      <c r="Q122" s="126" t="n">
        <f aca="false">VLOOKUP(E123,'O_MN, PE_UTA_UGM 2023'!$B$1:$I$300,5,FALSE())</f>
        <v>360.61</v>
      </c>
      <c r="R122" s="126" t="n">
        <f aca="false">VLOOKUP(E123,'O_MN, PE_UTA_UGM 2023'!$B$1:$I$300,6,FALSE())</f>
        <v>1352.28</v>
      </c>
      <c r="S122" s="45"/>
      <c r="T122" s="47"/>
      <c r="U122" s="127" t="n">
        <f aca="false">(H122*N122)+(I122*O122)+((K122*N122)+(L122*O122)*1.25)</f>
        <v>0</v>
      </c>
      <c r="V122" s="128"/>
      <c r="W122" s="128"/>
      <c r="X122" s="127" t="n">
        <f aca="false">(H122*Q122)+(I122*R122)+((K122*Q122)+(L122*R122)*1.25)</f>
        <v>0</v>
      </c>
      <c r="Y122" s="129"/>
      <c r="Z122" s="130" t="e">
        <f aca="false">(#REF!+#REF!+K122)*'O_MN, PE_UTA_UGM 2023'!H96</f>
        <v>#REF!</v>
      </c>
      <c r="AA122" s="131" t="e">
        <f aca="false">(#REF!+#REF!+L122)*'O_MN, PE_UTA_UGM 2023'!I96</f>
        <v>#REF!</v>
      </c>
      <c r="AB122" s="132" t="n">
        <f aca="false">IF(ISERROR(+ROUND(#REF!*N122/#REF!,3)),0,+ROUND(#REF!*N122/#REF!,3))</f>
        <v>0</v>
      </c>
      <c r="AC122" s="132" t="n">
        <f aca="false">IF(ISERROR(+ROUND(#REF!*O122/#REF!,3)),0,+ROUND(#REF!*O122/#REF!,3))</f>
        <v>0</v>
      </c>
      <c r="AD122" s="133" t="n">
        <f aca="false">IF(AND(AB122=0,AC122=0),0,#REF!*(#REF!-(#REF!*AB122/N122))+#REF!*(#REF!-(#REF!*AC122/O122)))</f>
        <v>0</v>
      </c>
      <c r="AE122" s="3"/>
      <c r="AF122" s="3"/>
      <c r="AG122" s="3"/>
      <c r="AH122" s="3"/>
      <c r="AI122" s="3"/>
    </row>
    <row r="123" customFormat="false" ht="15" hidden="false" customHeight="false" outlineLevel="0" collapsed="false">
      <c r="A123" s="3"/>
      <c r="B123" s="116"/>
      <c r="C123" s="134"/>
      <c r="D123" s="135"/>
      <c r="E123" s="119" t="n">
        <f aca="false">'O_MN, PE_UTA_UGM 2023'!B96</f>
        <v>159</v>
      </c>
      <c r="F123" s="120" t="str">
        <f aca="false">'O_MN, PE_UTA_UGM 2023'!C96</f>
        <v>COLIRRABANO</v>
      </c>
      <c r="G123" s="121"/>
      <c r="H123" s="122"/>
      <c r="I123" s="122"/>
      <c r="J123" s="123"/>
      <c r="K123" s="124"/>
      <c r="L123" s="124"/>
      <c r="M123" s="112" t="e">
        <f aca="false">+IF(OR((#REF!+#REF!)&gt;0,(#REF!+#REF!)&gt;0,(K123+L123)&gt;0),"SI","NO")</f>
        <v>#REF!</v>
      </c>
      <c r="N123" s="136" t="n">
        <f aca="false">VLOOKUP(E124,'O_MN, PE_UTA_UGM 2023'!$B$1:$I$300,7,FALSE())</f>
        <v>350</v>
      </c>
      <c r="O123" s="136" t="n">
        <f aca="false">VLOOKUP(E124,'O_MN, PE_UTA_UGM 2023'!$B$1:$I$300,8,FALSE())</f>
        <v>750</v>
      </c>
      <c r="P123" s="45"/>
      <c r="Q123" s="126" t="n">
        <f aca="false">VLOOKUP(E124,'O_MN, PE_UTA_UGM 2023'!$B$1:$I$300,5,FALSE())</f>
        <v>114.19</v>
      </c>
      <c r="R123" s="126" t="n">
        <f aca="false">VLOOKUP(E124,'O_MN, PE_UTA_UGM 2023'!$B$1:$I$300,6,FALSE())</f>
        <v>240.4</v>
      </c>
      <c r="S123" s="45"/>
      <c r="T123" s="47"/>
      <c r="U123" s="127" t="n">
        <f aca="false">(H123*N123)+(I123*O123)+((K123*N123)+(L123*O123)*1.25)</f>
        <v>0</v>
      </c>
      <c r="V123" s="128"/>
      <c r="W123" s="128"/>
      <c r="X123" s="127" t="n">
        <f aca="false">(H123*Q123)+(I123*R123)+((K123*Q123)+(L123*R123)*1.25)</f>
        <v>0</v>
      </c>
      <c r="Y123" s="129"/>
      <c r="Z123" s="130" t="e">
        <f aca="false">(#REF!+#REF!+K123)*'O_MN, PE_UTA_UGM 2023'!H97</f>
        <v>#REF!</v>
      </c>
      <c r="AA123" s="131" t="e">
        <f aca="false">(#REF!+#REF!+L123)*'O_MN, PE_UTA_UGM 2023'!I97</f>
        <v>#REF!</v>
      </c>
      <c r="AB123" s="132" t="n">
        <f aca="false">IF(ISERROR(+ROUND(#REF!*N123/#REF!,3)),0,+ROUND(#REF!*N123/#REF!,3))</f>
        <v>0</v>
      </c>
      <c r="AC123" s="132" t="n">
        <f aca="false">IF(ISERROR(+ROUND(#REF!*O123/#REF!,3)),0,+ROUND(#REF!*O123/#REF!,3))</f>
        <v>0</v>
      </c>
      <c r="AD123" s="133" t="n">
        <f aca="false">IF(AND(AB123=0,AC123=0),0,#REF!*(#REF!-(#REF!*AB123/N123))+#REF!*(#REF!-(#REF!*AC123/O123)))</f>
        <v>0</v>
      </c>
      <c r="AE123" s="3"/>
      <c r="AF123" s="3"/>
      <c r="AG123" s="3"/>
      <c r="AH123" s="3"/>
      <c r="AI123" s="3"/>
    </row>
    <row r="124" customFormat="false" ht="15" hidden="false" customHeight="false" outlineLevel="0" collapsed="false">
      <c r="A124" s="3"/>
      <c r="B124" s="116"/>
      <c r="C124" s="134"/>
      <c r="D124" s="135"/>
      <c r="E124" s="119" t="n">
        <f aca="false">'O_MN, PE_UTA_UGM 2023'!B97</f>
        <v>35</v>
      </c>
      <c r="F124" s="120" t="str">
        <f aca="false">'O_MN, PE_UTA_UGM 2023'!C97</f>
        <v>COLZA</v>
      </c>
      <c r="G124" s="121"/>
      <c r="H124" s="122"/>
      <c r="I124" s="122"/>
      <c r="J124" s="123"/>
      <c r="K124" s="124"/>
      <c r="L124" s="124"/>
      <c r="M124" s="112" t="e">
        <f aca="false">+IF(OR((#REF!+#REF!)&gt;0,(#REF!+#REF!)&gt;0,(K124+L124)&gt;0),"SI","NO")</f>
        <v>#REF!</v>
      </c>
      <c r="N124" s="136" t="n">
        <f aca="false">VLOOKUP(E125,'O_MN, PE_UTA_UGM 2023'!$B$1:$I$300,7,FALSE())</f>
        <v>1000</v>
      </c>
      <c r="O124" s="136" t="n">
        <f aca="false">VLOOKUP(E125,'O_MN, PE_UTA_UGM 2023'!$B$1:$I$300,8,FALSE())</f>
        <v>3800</v>
      </c>
      <c r="P124" s="45"/>
      <c r="Q124" s="126" t="n">
        <f aca="false">VLOOKUP(E125,'O_MN, PE_UTA_UGM 2023'!$B$1:$I$300,5,FALSE())</f>
        <v>114.19</v>
      </c>
      <c r="R124" s="126" t="n">
        <f aca="false">VLOOKUP(E125,'O_MN, PE_UTA_UGM 2023'!$B$1:$I$300,6,FALSE())</f>
        <v>240.4</v>
      </c>
      <c r="S124" s="45"/>
      <c r="T124" s="47"/>
      <c r="U124" s="127" t="n">
        <f aca="false">(H124*N124)+(I124*O124)+((K124*N124)+(L124*O124)*1.25)</f>
        <v>0</v>
      </c>
      <c r="V124" s="128"/>
      <c r="W124" s="128"/>
      <c r="X124" s="127" t="n">
        <f aca="false">(H124*Q124)+(I124*R124)+((K124*Q124)+(L124*R124)*1.25)</f>
        <v>0</v>
      </c>
      <c r="Y124" s="129"/>
      <c r="Z124" s="130" t="e">
        <f aca="false">(#REF!+#REF!+K124)*'O_MN, PE_UTA_UGM 2023'!H98</f>
        <v>#REF!</v>
      </c>
      <c r="AA124" s="131" t="e">
        <f aca="false">(#REF!+#REF!+L124)*'O_MN, PE_UTA_UGM 2023'!I98</f>
        <v>#REF!</v>
      </c>
      <c r="AB124" s="132" t="n">
        <f aca="false">IF(ISERROR(+ROUND(#REF!*N124/#REF!,3)),0,+ROUND(#REF!*N124/#REF!,3))</f>
        <v>0</v>
      </c>
      <c r="AC124" s="132" t="n">
        <f aca="false">IF(ISERROR(+ROUND(#REF!*O124/#REF!,3)),0,+ROUND(#REF!*O124/#REF!,3))</f>
        <v>0</v>
      </c>
      <c r="AD124" s="133" t="n">
        <f aca="false">IF(AND(AB124=0,AC124=0),0,#REF!*(#REF!-(#REF!*AB124/N124))+#REF!*(#REF!-(#REF!*AC124/O124)))</f>
        <v>0</v>
      </c>
      <c r="AE124" s="3"/>
      <c r="AF124" s="3"/>
      <c r="AG124" s="3"/>
      <c r="AH124" s="3"/>
      <c r="AI124" s="3"/>
    </row>
    <row r="125" customFormat="false" ht="15" hidden="false" customHeight="false" outlineLevel="0" collapsed="false">
      <c r="A125" s="3"/>
      <c r="B125" s="116"/>
      <c r="C125" s="134"/>
      <c r="D125" s="135"/>
      <c r="E125" s="119" t="n">
        <f aca="false">'O_MN, PE_UTA_UGM 2023'!B98</f>
        <v>273</v>
      </c>
      <c r="F125" s="120" t="str">
        <f aca="false">'O_MN, PE_UTA_UGM 2023'!C98</f>
        <v>COMINO</v>
      </c>
      <c r="G125" s="121"/>
      <c r="H125" s="122"/>
      <c r="I125" s="122"/>
      <c r="J125" s="123"/>
      <c r="K125" s="124"/>
      <c r="L125" s="124"/>
      <c r="M125" s="112" t="e">
        <f aca="false">+IF(OR((#REF!+#REF!)&gt;0,(#REF!+#REF!)&gt;0,(K125+L125)&gt;0),"SI","NO")</f>
        <v>#REF!</v>
      </c>
      <c r="N125" s="136" t="n">
        <f aca="false">VLOOKUP(E126,'O_MN, PE_UTA_UGM 2023'!$B$1:$I$300,7,FALSE())</f>
        <v>400</v>
      </c>
      <c r="O125" s="136" t="n">
        <f aca="false">VLOOKUP(E126,'O_MN, PE_UTA_UGM 2023'!$B$1:$I$300,8,FALSE())</f>
        <v>1000</v>
      </c>
      <c r="P125" s="45"/>
      <c r="Q125" s="126" t="n">
        <f aca="false">VLOOKUP(E126,'O_MN, PE_UTA_UGM 2023'!$B$1:$I$300,5,FALSE())</f>
        <v>114.19</v>
      </c>
      <c r="R125" s="126" t="n">
        <f aca="false">VLOOKUP(E126,'O_MN, PE_UTA_UGM 2023'!$B$1:$I$300,6,FALSE())</f>
        <v>240.4</v>
      </c>
      <c r="S125" s="45"/>
      <c r="T125" s="47"/>
      <c r="U125" s="127" t="n">
        <f aca="false">(H125*N125)+(I125*O125)+((K125*N125)+(L125*O125)*1.25)</f>
        <v>0</v>
      </c>
      <c r="V125" s="128"/>
      <c r="W125" s="128"/>
      <c r="X125" s="127" t="n">
        <f aca="false">(H125*Q125)+(I125*R125)+((K125*Q125)+(L125*R125)*1.25)</f>
        <v>0</v>
      </c>
      <c r="Y125" s="129"/>
      <c r="Z125" s="130" t="e">
        <f aca="false">(#REF!+#REF!+K125)*'O_MN, PE_UTA_UGM 2023'!H99</f>
        <v>#REF!</v>
      </c>
      <c r="AA125" s="131" t="e">
        <f aca="false">(#REF!+#REF!+L125)*'O_MN, PE_UTA_UGM 2023'!I99</f>
        <v>#REF!</v>
      </c>
      <c r="AB125" s="132" t="n">
        <f aca="false">IF(ISERROR(+ROUND(#REF!*N125/#REF!,3)),0,+ROUND(#REF!*N125/#REF!,3))</f>
        <v>0</v>
      </c>
      <c r="AC125" s="132" t="n">
        <f aca="false">IF(ISERROR(+ROUND(#REF!*O125/#REF!,3)),0,+ROUND(#REF!*O125/#REF!,3))</f>
        <v>0</v>
      </c>
      <c r="AD125" s="133" t="n">
        <f aca="false">IF(AND(AB125=0,AC125=0),0,#REF!*(#REF!-(#REF!*AB125/N125))+#REF!*(#REF!-(#REF!*AC125/O125)))</f>
        <v>0</v>
      </c>
      <c r="AE125" s="3"/>
      <c r="AF125" s="3"/>
      <c r="AG125" s="3"/>
      <c r="AH125" s="3"/>
      <c r="AI125" s="3"/>
    </row>
    <row r="126" customFormat="false" ht="15" hidden="false" customHeight="false" outlineLevel="0" collapsed="false">
      <c r="A126" s="3"/>
      <c r="B126" s="116"/>
      <c r="C126" s="134"/>
      <c r="D126" s="135"/>
      <c r="E126" s="119" t="n">
        <f aca="false">'O_MN, PE_UTA_UGM 2023'!B99</f>
        <v>904</v>
      </c>
      <c r="F126" s="120" t="str">
        <f aca="false">'O_MN, PE_UTA_UGM 2023'!C99</f>
        <v>CROTALARIA JUNCEA</v>
      </c>
      <c r="G126" s="121"/>
      <c r="H126" s="122"/>
      <c r="I126" s="122"/>
      <c r="J126" s="123"/>
      <c r="K126" s="124"/>
      <c r="L126" s="124"/>
      <c r="M126" s="112" t="e">
        <f aca="false">+IF(OR((#REF!+#REF!)&gt;0,(#REF!+#REF!)&gt;0,(K126+L126)&gt;0),"SI","NO")</f>
        <v>#REF!</v>
      </c>
      <c r="N126" s="136" t="n">
        <f aca="false">VLOOKUP(E127,'O_MN, PE_UTA_UGM 2023'!$B$1:$I$300,7,FALSE())</f>
        <v>400</v>
      </c>
      <c r="O126" s="136" t="n">
        <f aca="false">VLOOKUP(E127,'O_MN, PE_UTA_UGM 2023'!$B$1:$I$300,8,FALSE())</f>
        <v>1000</v>
      </c>
      <c r="P126" s="45"/>
      <c r="Q126" s="126" t="n">
        <f aca="false">VLOOKUP(E127,'O_MN, PE_UTA_UGM 2023'!$B$1:$I$300,5,FALSE())</f>
        <v>114.19</v>
      </c>
      <c r="R126" s="126" t="n">
        <f aca="false">VLOOKUP(E127,'O_MN, PE_UTA_UGM 2023'!$B$1:$I$300,6,FALSE())</f>
        <v>270.46</v>
      </c>
      <c r="S126" s="45"/>
      <c r="T126" s="47"/>
      <c r="U126" s="127" t="n">
        <f aca="false">(H126*N126)+(I126*O126)+((K126*N126)+(L126*O126)*1.25)</f>
        <v>0</v>
      </c>
      <c r="V126" s="128"/>
      <c r="W126" s="128"/>
      <c r="X126" s="127" t="n">
        <f aca="false">(H126*Q126)+(I126*R126)+((K126*Q126)+(L126*R126)*1.25)</f>
        <v>0</v>
      </c>
      <c r="Y126" s="129"/>
      <c r="Z126" s="130" t="e">
        <f aca="false">(#REF!+#REF!+K126)*'O_MN, PE_UTA_UGM 2023'!H100</f>
        <v>#REF!</v>
      </c>
      <c r="AA126" s="131" t="e">
        <f aca="false">(#REF!+#REF!+L126)*'O_MN, PE_UTA_UGM 2023'!I100</f>
        <v>#REF!</v>
      </c>
      <c r="AB126" s="132" t="n">
        <f aca="false">IF(ISERROR(+ROUND(#REF!*N126/#REF!,3)),0,+ROUND(#REF!*N126/#REF!,3))</f>
        <v>0</v>
      </c>
      <c r="AC126" s="132" t="n">
        <f aca="false">IF(ISERROR(+ROUND(#REF!*O126/#REF!,3)),0,+ROUND(#REF!*O126/#REF!,3))</f>
        <v>0</v>
      </c>
      <c r="AD126" s="133" t="n">
        <f aca="false">IF(AND(AB126=0,AC126=0),0,#REF!*(#REF!-(#REF!*AB126/N126))+#REF!*(#REF!-(#REF!*AC126/O126)))</f>
        <v>0</v>
      </c>
      <c r="AE126" s="3"/>
      <c r="AF126" s="3"/>
      <c r="AG126" s="3"/>
      <c r="AH126" s="3"/>
      <c r="AI126" s="3"/>
    </row>
    <row r="127" customFormat="false" ht="15" hidden="false" customHeight="false" outlineLevel="0" collapsed="false">
      <c r="A127" s="3"/>
      <c r="B127" s="116"/>
      <c r="C127" s="134"/>
      <c r="D127" s="135"/>
      <c r="E127" s="119" t="n">
        <f aca="false">'O_MN, PE_UTA_UGM 2023'!B100</f>
        <v>247</v>
      </c>
      <c r="F127" s="120" t="str">
        <f aca="false">'O_MN, PE_UTA_UGM 2023'!C100</f>
        <v>CULTIVOS MIXTOS DE ESPECIES PRATENSES</v>
      </c>
      <c r="G127" s="121"/>
      <c r="H127" s="122"/>
      <c r="I127" s="122"/>
      <c r="J127" s="123"/>
      <c r="K127" s="124"/>
      <c r="L127" s="124"/>
      <c r="M127" s="112" t="e">
        <f aca="false">+IF(OR((#REF!+#REF!)&gt;0,(#REF!+#REF!)&gt;0,(K127+L127)&gt;0),"SI","NO")</f>
        <v>#REF!</v>
      </c>
      <c r="N127" s="136" t="n">
        <f aca="false">VLOOKUP(E128,'O_MN, PE_UTA_UGM 2023'!$B$1:$I$300,7,FALSE())</f>
        <v>700</v>
      </c>
      <c r="O127" s="136" t="n">
        <f aca="false">VLOOKUP(E128,'O_MN, PE_UTA_UGM 2023'!$B$1:$I$300,8,FALSE())</f>
        <v>1800</v>
      </c>
      <c r="P127" s="45"/>
      <c r="Q127" s="126" t="n">
        <f aca="false">VLOOKUP(E128,'O_MN, PE_UTA_UGM 2023'!$B$1:$I$300,5,FALSE())</f>
        <v>114.19</v>
      </c>
      <c r="R127" s="126" t="n">
        <f aca="false">VLOOKUP(E128,'O_MN, PE_UTA_UGM 2023'!$B$1:$I$300,6,FALSE())</f>
        <v>270.46</v>
      </c>
      <c r="S127" s="45"/>
      <c r="T127" s="47"/>
      <c r="U127" s="127" t="n">
        <f aca="false">(H127*N127)+(I127*O127)+((K127*N127)+(L127*O127)*1.25)</f>
        <v>0</v>
      </c>
      <c r="V127" s="128"/>
      <c r="W127" s="128"/>
      <c r="X127" s="127" t="n">
        <f aca="false">(H127*Q127)+(I127*R127)+((K127*Q127)+(L127*R127)*1.25)</f>
        <v>0</v>
      </c>
      <c r="Y127" s="129"/>
      <c r="Z127" s="130" t="e">
        <f aca="false">(#REF!+#REF!+K127)*'O_MN, PE_UTA_UGM 2023'!H101</f>
        <v>#REF!</v>
      </c>
      <c r="AA127" s="131" t="e">
        <f aca="false">(#REF!+#REF!+L127)*'O_MN, PE_UTA_UGM 2023'!I101</f>
        <v>#REF!</v>
      </c>
      <c r="AB127" s="132" t="n">
        <f aca="false">IF(ISERROR(+ROUND(#REF!*N127/#REF!,3)),0,+ROUND(#REF!*N127/#REF!,3))</f>
        <v>0</v>
      </c>
      <c r="AC127" s="132" t="n">
        <f aca="false">IF(ISERROR(+ROUND(#REF!*O127/#REF!,3)),0,+ROUND(#REF!*O127/#REF!,3))</f>
        <v>0</v>
      </c>
      <c r="AD127" s="133" t="n">
        <f aca="false">IF(AND(AB127=0,AC127=0),0,#REF!*(#REF!-(#REF!*AB127/N127))+#REF!*(#REF!-(#REF!*AC127/O127)))</f>
        <v>0</v>
      </c>
      <c r="AE127" s="3"/>
      <c r="AF127" s="3"/>
      <c r="AG127" s="3"/>
      <c r="AH127" s="3"/>
      <c r="AI127" s="3"/>
    </row>
    <row r="128" customFormat="false" ht="15" hidden="false" customHeight="false" outlineLevel="0" collapsed="false">
      <c r="A128" s="3"/>
      <c r="B128" s="116"/>
      <c r="C128" s="134"/>
      <c r="D128" s="135"/>
      <c r="E128" s="119" t="n">
        <f aca="false">'O_MN, PE_UTA_UGM 2023'!B101</f>
        <v>72</v>
      </c>
      <c r="F128" s="120" t="str">
        <f aca="false">'O_MN, PE_UTA_UGM 2023'!C101</f>
        <v>DACTILO</v>
      </c>
      <c r="G128" s="121"/>
      <c r="H128" s="122"/>
      <c r="I128" s="122"/>
      <c r="J128" s="123"/>
      <c r="K128" s="124"/>
      <c r="L128" s="124"/>
      <c r="M128" s="112" t="e">
        <f aca="false">+IF(OR((#REF!+#REF!)&gt;0,(#REF!+#REF!)&gt;0,(K128+L128)&gt;0),"SI","NO")</f>
        <v>#REF!</v>
      </c>
      <c r="N128" s="136" t="n">
        <f aca="false">VLOOKUP(E129,'O_MN, PE_UTA_UGM 2023'!$B$1:$I$300,7,FALSE())</f>
        <v>1000</v>
      </c>
      <c r="O128" s="136" t="n">
        <f aca="false">VLOOKUP(E129,'O_MN, PE_UTA_UGM 2023'!$B$1:$I$300,8,FALSE())</f>
        <v>3800</v>
      </c>
      <c r="P128" s="45"/>
      <c r="Q128" s="126" t="n">
        <f aca="false">VLOOKUP(E129,'O_MN, PE_UTA_UGM 2023'!$B$1:$I$300,5,FALSE())</f>
        <v>114.19</v>
      </c>
      <c r="R128" s="126" t="n">
        <f aca="false">VLOOKUP(E129,'O_MN, PE_UTA_UGM 2023'!$B$1:$I$300,6,FALSE())</f>
        <v>240.4</v>
      </c>
      <c r="S128" s="45"/>
      <c r="T128" s="47"/>
      <c r="U128" s="127" t="n">
        <f aca="false">(H128*N128)+(I128*O128)+((K128*N128)+(L128*O128)*1.25)</f>
        <v>0</v>
      </c>
      <c r="V128" s="128"/>
      <c r="W128" s="128"/>
      <c r="X128" s="127" t="n">
        <f aca="false">(H128*Q128)+(I128*R128)+((K128*Q128)+(L128*R128)*1.25)</f>
        <v>0</v>
      </c>
      <c r="Y128" s="129"/>
      <c r="Z128" s="130" t="e">
        <f aca="false">(#REF!+#REF!+K128)*'O_MN, PE_UTA_UGM 2023'!H102</f>
        <v>#REF!</v>
      </c>
      <c r="AA128" s="131" t="e">
        <f aca="false">(#REF!+#REF!+L128)*'O_MN, PE_UTA_UGM 2023'!I102</f>
        <v>#REF!</v>
      </c>
      <c r="AB128" s="132" t="n">
        <f aca="false">IF(ISERROR(+ROUND(#REF!*N128/#REF!,3)),0,+ROUND(#REF!*N128/#REF!,3))</f>
        <v>0</v>
      </c>
      <c r="AC128" s="132" t="n">
        <f aca="false">IF(ISERROR(+ROUND(#REF!*O128/#REF!,3)),0,+ROUND(#REF!*O128/#REF!,3))</f>
        <v>0</v>
      </c>
      <c r="AD128" s="133" t="n">
        <f aca="false">IF(AND(AB128=0,AC128=0),0,#REF!*(#REF!-(#REF!*AB128/N128))+#REF!*(#REF!-(#REF!*AC128/O128)))</f>
        <v>0</v>
      </c>
      <c r="AE128" s="3"/>
      <c r="AF128" s="3"/>
      <c r="AG128" s="3"/>
      <c r="AH128" s="3"/>
      <c r="AI128" s="3"/>
    </row>
    <row r="129" customFormat="false" ht="15" hidden="false" customHeight="false" outlineLevel="0" collapsed="false">
      <c r="A129" s="3"/>
      <c r="B129" s="116"/>
      <c r="C129" s="134"/>
      <c r="D129" s="135"/>
      <c r="E129" s="119" t="n">
        <f aca="false">'O_MN, PE_UTA_UGM 2023'!B102</f>
        <v>310</v>
      </c>
      <c r="F129" s="120" t="str">
        <f aca="false">'O_MN, PE_UTA_UGM 2023'!C102</f>
        <v>DIENTE DE LEÓN</v>
      </c>
      <c r="G129" s="121"/>
      <c r="H129" s="122"/>
      <c r="I129" s="122"/>
      <c r="J129" s="123"/>
      <c r="K129" s="124"/>
      <c r="L129" s="124"/>
      <c r="M129" s="112" t="e">
        <f aca="false">+IF(OR((#REF!+#REF!)&gt;0,(#REF!+#REF!)&gt;0,(K129+L129)&gt;0),"SI","NO")</f>
        <v>#REF!</v>
      </c>
      <c r="N129" s="136" t="n">
        <f aca="false">VLOOKUP(E130,'O_MN, PE_UTA_UGM 2023'!$B$1:$I$300,7,FALSE())</f>
        <v>0</v>
      </c>
      <c r="O129" s="136" t="n">
        <f aca="false">VLOOKUP(E130,'O_MN, PE_UTA_UGM 2023'!$B$1:$I$300,8,FALSE())</f>
        <v>0</v>
      </c>
      <c r="P129" s="45"/>
      <c r="Q129" s="126" t="n">
        <f aca="false">VLOOKUP(E130,'O_MN, PE_UTA_UGM 2023'!$B$1:$I$300,5,FALSE())</f>
        <v>1E-005</v>
      </c>
      <c r="R129" s="126" t="n">
        <f aca="false">VLOOKUP(E130,'O_MN, PE_UTA_UGM 2023'!$B$1:$I$300,6,FALSE())</f>
        <v>1E-005</v>
      </c>
      <c r="S129" s="45"/>
      <c r="T129" s="47"/>
      <c r="U129" s="127" t="n">
        <f aca="false">(H129*N129)+(I129*O129)+((K129*N129)+(L129*O129)*1.25)</f>
        <v>0</v>
      </c>
      <c r="V129" s="128"/>
      <c r="W129" s="128"/>
      <c r="X129" s="127" t="n">
        <f aca="false">(H129*Q129)+(I129*R129)+((K129*Q129)+(L129*R129)*1.25)</f>
        <v>0</v>
      </c>
      <c r="Y129" s="129"/>
      <c r="Z129" s="130" t="e">
        <f aca="false">(#REF!+#REF!+K129)*'O_MN, PE_UTA_UGM 2023'!H103</f>
        <v>#REF!</v>
      </c>
      <c r="AA129" s="131" t="e">
        <f aca="false">(#REF!+#REF!+L129)*'O_MN, PE_UTA_UGM 2023'!I103</f>
        <v>#REF!</v>
      </c>
      <c r="AB129" s="132" t="n">
        <f aca="false">IF(ISERROR(+ROUND(#REF!*N129/#REF!,3)),0,+ROUND(#REF!*N129/#REF!,3))</f>
        <v>0</v>
      </c>
      <c r="AC129" s="132" t="n">
        <f aca="false">IF(ISERROR(+ROUND(#REF!*O129/#REF!,3)),0,+ROUND(#REF!*O129/#REF!,3))</f>
        <v>0</v>
      </c>
      <c r="AD129" s="133" t="n">
        <f aca="false">IF(AND(AB129=0,AC129=0),0,#REF!*(#REF!-(#REF!*AB129/N129))+#REF!*(#REF!-(#REF!*AC129/O129)))</f>
        <v>0</v>
      </c>
      <c r="AE129" s="3"/>
      <c r="AF129" s="3"/>
      <c r="AG129" s="3"/>
      <c r="AH129" s="3"/>
      <c r="AI129" s="3"/>
    </row>
    <row r="130" customFormat="false" ht="15" hidden="false" customHeight="false" outlineLevel="0" collapsed="false">
      <c r="A130" s="3"/>
      <c r="B130" s="116"/>
      <c r="C130" s="134"/>
      <c r="D130" s="135"/>
      <c r="E130" s="119" t="n">
        <f aca="false">'O_MN, PE_UTA_UGM 2023'!B103</f>
        <v>330</v>
      </c>
      <c r="F130" s="120" t="str">
        <f aca="false">'O_MN, PE_UTA_UGM 2023'!C103</f>
        <v>ELEMENTO DEL PAISAJE</v>
      </c>
      <c r="G130" s="121"/>
      <c r="H130" s="122"/>
      <c r="I130" s="122"/>
      <c r="J130" s="123"/>
      <c r="K130" s="124"/>
      <c r="L130" s="124"/>
      <c r="M130" s="112" t="e">
        <f aca="false">+IF(OR((#REF!+#REF!)&gt;0,(#REF!+#REF!)&gt;0,(K130+L130)&gt;0),"SI","NO")</f>
        <v>#REF!</v>
      </c>
      <c r="N130" s="136" t="n">
        <f aca="false">VLOOKUP(E131,'O_MN, PE_UTA_UGM 2023'!$B$1:$I$300,7,FALSE())</f>
        <v>0</v>
      </c>
      <c r="O130" s="136" t="n">
        <f aca="false">VLOOKUP(E131,'O_MN, PE_UTA_UGM 2023'!$B$1:$I$300,8,FALSE())</f>
        <v>5200</v>
      </c>
      <c r="P130" s="45"/>
      <c r="Q130" s="126" t="n">
        <f aca="false">VLOOKUP(E131,'O_MN, PE_UTA_UGM 2023'!$B$1:$I$300,5,FALSE())</f>
        <v>360.61</v>
      </c>
      <c r="R130" s="126" t="n">
        <f aca="false">VLOOKUP(E131,'O_MN, PE_UTA_UGM 2023'!$B$1:$I$300,6,FALSE())</f>
        <v>1352.28</v>
      </c>
      <c r="S130" s="45"/>
      <c r="T130" s="47"/>
      <c r="U130" s="127" t="n">
        <f aca="false">(H130*N130)+(I130*O130)+((K130*N130)+(L130*O130)*1.25)</f>
        <v>0</v>
      </c>
      <c r="V130" s="128"/>
      <c r="W130" s="128"/>
      <c r="X130" s="127" t="n">
        <f aca="false">(H130*Q130)+(I130*R130)+((K130*Q130)+(L130*R130)*1.25)</f>
        <v>0</v>
      </c>
      <c r="Y130" s="129"/>
      <c r="Z130" s="130" t="e">
        <f aca="false">(#REF!+#REF!+K130)*'O_MN, PE_UTA_UGM 2023'!H104</f>
        <v>#REF!</v>
      </c>
      <c r="AA130" s="131" t="e">
        <f aca="false">(#REF!+#REF!+L130)*'O_MN, PE_UTA_UGM 2023'!I104</f>
        <v>#REF!</v>
      </c>
      <c r="AB130" s="132" t="n">
        <f aca="false">IF(ISERROR(+ROUND(#REF!*N130/#REF!,3)),0,+ROUND(#REF!*N130/#REF!,3))</f>
        <v>0</v>
      </c>
      <c r="AC130" s="132" t="n">
        <f aca="false">IF(ISERROR(+ROUND(#REF!*O130/#REF!,3)),0,+ROUND(#REF!*O130/#REF!,3))</f>
        <v>0</v>
      </c>
      <c r="AD130" s="133" t="n">
        <f aca="false">IF(AND(AB130=0,AC130=0),0,#REF!*(#REF!-(#REF!*AB130/N130))+#REF!*(#REF!-(#REF!*AC130/O130)))</f>
        <v>0</v>
      </c>
      <c r="AE130" s="3"/>
      <c r="AF130" s="3"/>
      <c r="AG130" s="3"/>
      <c r="AH130" s="3"/>
      <c r="AI130" s="3"/>
    </row>
    <row r="131" customFormat="false" ht="15" hidden="false" customHeight="false" outlineLevel="0" collapsed="false">
      <c r="A131" s="3"/>
      <c r="B131" s="116"/>
      <c r="C131" s="134"/>
      <c r="D131" s="135"/>
      <c r="E131" s="119" t="n">
        <f aca="false">'O_MN, PE_UTA_UGM 2023'!B104</f>
        <v>177</v>
      </c>
      <c r="F131" s="120" t="str">
        <f aca="false">'O_MN, PE_UTA_UGM 2023'!C104</f>
        <v>ENDIVIA</v>
      </c>
      <c r="G131" s="121"/>
      <c r="H131" s="122"/>
      <c r="I131" s="122"/>
      <c r="J131" s="123"/>
      <c r="K131" s="124"/>
      <c r="L131" s="124"/>
      <c r="M131" s="112" t="e">
        <f aca="false">+IF(OR((#REF!+#REF!)&gt;0,(#REF!+#REF!)&gt;0,(K131+L131)&gt;0),"SI","NO")</f>
        <v>#REF!</v>
      </c>
      <c r="N131" s="136" t="n">
        <f aca="false">VLOOKUP(E132,'O_MN, PE_UTA_UGM 2023'!$B$1:$I$300,7,FALSE())</f>
        <v>0</v>
      </c>
      <c r="O131" s="136" t="n">
        <f aca="false">VLOOKUP(E132,'O_MN, PE_UTA_UGM 2023'!$B$1:$I$300,8,FALSE())</f>
        <v>3800</v>
      </c>
      <c r="P131" s="45"/>
      <c r="Q131" s="126" t="n">
        <f aca="false">VLOOKUP(E132,'O_MN, PE_UTA_UGM 2023'!$B$1:$I$300,5,FALSE())</f>
        <v>450.76</v>
      </c>
      <c r="R131" s="126" t="n">
        <f aca="false">VLOOKUP(E132,'O_MN, PE_UTA_UGM 2023'!$B$1:$I$300,6,FALSE())</f>
        <v>721.21</v>
      </c>
      <c r="S131" s="45"/>
      <c r="T131" s="47"/>
      <c r="U131" s="127" t="n">
        <f aca="false">(H131*N131)+(I131*O131)+((K131*N131)+(L131*O131)*1.25)</f>
        <v>0</v>
      </c>
      <c r="V131" s="128"/>
      <c r="W131" s="128"/>
      <c r="X131" s="127" t="n">
        <f aca="false">(H131*Q131)+(I131*R131)+((K131*Q131)+(L131*R131)*1.25)</f>
        <v>0</v>
      </c>
      <c r="Y131" s="129"/>
      <c r="Z131" s="130" t="e">
        <f aca="false">(#REF!+#REF!+K131)*'O_MN, PE_UTA_UGM 2023'!H105</f>
        <v>#REF!</v>
      </c>
      <c r="AA131" s="131" t="e">
        <f aca="false">(#REF!+#REF!+L131)*'O_MN, PE_UTA_UGM 2023'!I105</f>
        <v>#REF!</v>
      </c>
      <c r="AB131" s="132" t="n">
        <f aca="false">IF(ISERROR(+ROUND(#REF!*N131/#REF!,3)),0,+ROUND(#REF!*N131/#REF!,3))</f>
        <v>0</v>
      </c>
      <c r="AC131" s="132" t="n">
        <f aca="false">IF(ISERROR(+ROUND(#REF!*O131/#REF!,3)),0,+ROUND(#REF!*O131/#REF!,3))</f>
        <v>0</v>
      </c>
      <c r="AD131" s="133" t="n">
        <f aca="false">IF(AND(AB131=0,AC131=0),0,#REF!*(#REF!-(#REF!*AB131/N131))+#REF!*(#REF!-(#REF!*AC131/O131)))</f>
        <v>0</v>
      </c>
      <c r="AE131" s="3"/>
      <c r="AF131" s="3"/>
      <c r="AG131" s="3"/>
      <c r="AH131" s="3"/>
      <c r="AI131" s="3"/>
    </row>
    <row r="132" customFormat="false" ht="15" hidden="false" customHeight="false" outlineLevel="0" collapsed="false">
      <c r="A132" s="3"/>
      <c r="B132" s="116"/>
      <c r="C132" s="134"/>
      <c r="D132" s="135"/>
      <c r="E132" s="119" t="n">
        <f aca="false">'O_MN, PE_UTA_UGM 2023'!B105</f>
        <v>203</v>
      </c>
      <c r="F132" s="120" t="str">
        <f aca="false">'O_MN, PE_UTA_UGM 2023'!C105</f>
        <v>ENDRINO</v>
      </c>
      <c r="G132" s="121"/>
      <c r="H132" s="122"/>
      <c r="I132" s="122"/>
      <c r="J132" s="123"/>
      <c r="K132" s="124"/>
      <c r="L132" s="124"/>
      <c r="M132" s="112" t="e">
        <f aca="false">+IF(OR((#REF!+#REF!)&gt;0,(#REF!+#REF!)&gt;0,(K132+L132)&gt;0),"SI","NO")</f>
        <v>#REF!</v>
      </c>
      <c r="N132" s="136" t="n">
        <f aca="false">VLOOKUP(E133,'O_MN, PE_UTA_UGM 2023'!$B$1:$I$300,7,FALSE())</f>
        <v>0</v>
      </c>
      <c r="O132" s="136" t="n">
        <f aca="false">VLOOKUP(E133,'O_MN, PE_UTA_UGM 2023'!$B$1:$I$300,8,FALSE())</f>
        <v>0</v>
      </c>
      <c r="P132" s="45"/>
      <c r="Q132" s="126" t="n">
        <f aca="false">VLOOKUP(E133,'O_MN, PE_UTA_UGM 2023'!$B$1:$I$300,5,FALSE())</f>
        <v>1E-005</v>
      </c>
      <c r="R132" s="126" t="n">
        <f aca="false">VLOOKUP(E133,'O_MN, PE_UTA_UGM 2023'!$B$1:$I$300,6,FALSE())</f>
        <v>1E-005</v>
      </c>
      <c r="S132" s="45"/>
      <c r="T132" s="47"/>
      <c r="U132" s="127" t="n">
        <f aca="false">(H132*N132)+(I132*O132)+((K132*N132)+(L132*O132)*1.25)</f>
        <v>0</v>
      </c>
      <c r="V132" s="128"/>
      <c r="W132" s="128"/>
      <c r="X132" s="127" t="n">
        <f aca="false">(H132*Q132)+(I132*R132)+((K132*Q132)+(L132*R132)*1.25)</f>
        <v>0</v>
      </c>
      <c r="Y132" s="129"/>
      <c r="Z132" s="130" t="e">
        <f aca="false">(#REF!+#REF!+K132)*'O_MN, PE_UTA_UGM 2023'!H106</f>
        <v>#REF!</v>
      </c>
      <c r="AA132" s="131" t="e">
        <f aca="false">(#REF!+#REF!+L132)*'O_MN, PE_UTA_UGM 2023'!I106</f>
        <v>#REF!</v>
      </c>
      <c r="AB132" s="132" t="n">
        <f aca="false">IF(ISERROR(+ROUND(#REF!*N132/#REF!,3)),0,+ROUND(#REF!*N132/#REF!,3))</f>
        <v>0</v>
      </c>
      <c r="AC132" s="132" t="n">
        <f aca="false">IF(ISERROR(+ROUND(#REF!*O132/#REF!,3)),0,+ROUND(#REF!*O132/#REF!,3))</f>
        <v>0</v>
      </c>
      <c r="AD132" s="133" t="n">
        <f aca="false">IF(AND(AB132=0,AC132=0),0,#REF!*(#REF!-(#REF!*AB132/N132))+#REF!*(#REF!-(#REF!*AC132/O132)))</f>
        <v>0</v>
      </c>
      <c r="AE132" s="3"/>
      <c r="AF132" s="3"/>
      <c r="AG132" s="3"/>
      <c r="AH132" s="3"/>
      <c r="AI132" s="3"/>
    </row>
    <row r="133" customFormat="false" ht="15" hidden="false" customHeight="false" outlineLevel="0" collapsed="false">
      <c r="A133" s="3"/>
      <c r="B133" s="116"/>
      <c r="C133" s="134"/>
      <c r="D133" s="135"/>
      <c r="E133" s="119" t="n">
        <f aca="false">'O_MN, PE_UTA_UGM 2023'!B106</f>
        <v>297</v>
      </c>
      <c r="F133" s="120" t="str">
        <f aca="false">'O_MN, PE_UTA_UGM 2023'!C106</f>
        <v>ENEBRO</v>
      </c>
      <c r="G133" s="121"/>
      <c r="H133" s="122"/>
      <c r="I133" s="122"/>
      <c r="J133" s="123"/>
      <c r="K133" s="124"/>
      <c r="L133" s="124"/>
      <c r="M133" s="112" t="e">
        <f aca="false">+IF(OR((#REF!+#REF!)&gt;0,(#REF!+#REF!)&gt;0,(K133+L133)&gt;0),"SI","NO")</f>
        <v>#REF!</v>
      </c>
      <c r="N133" s="136" t="n">
        <f aca="false">VLOOKUP(E134,'O_MN, PE_UTA_UGM 2023'!$B$1:$I$300,7,FALSE())</f>
        <v>1000</v>
      </c>
      <c r="O133" s="136" t="n">
        <f aca="false">VLOOKUP(E134,'O_MN, PE_UTA_UGM 2023'!$B$1:$I$300,8,FALSE())</f>
        <v>3800</v>
      </c>
      <c r="P133" s="45"/>
      <c r="Q133" s="126" t="n">
        <f aca="false">VLOOKUP(E134,'O_MN, PE_UTA_UGM 2023'!$B$1:$I$300,5,FALSE())</f>
        <v>114.19</v>
      </c>
      <c r="R133" s="126" t="n">
        <f aca="false">VLOOKUP(E134,'O_MN, PE_UTA_UGM 2023'!$B$1:$I$300,6,FALSE())</f>
        <v>240.4</v>
      </c>
      <c r="S133" s="45"/>
      <c r="T133" s="47"/>
      <c r="U133" s="127" t="n">
        <f aca="false">(H133*N133)+(I133*O133)+((K133*N133)+(L133*O133)*1.25)</f>
        <v>0</v>
      </c>
      <c r="V133" s="128"/>
      <c r="W133" s="128"/>
      <c r="X133" s="127" t="n">
        <f aca="false">(H133*Q133)+(I133*R133)+((K133*Q133)+(L133*R133)*1.25)</f>
        <v>0</v>
      </c>
      <c r="Y133" s="129"/>
      <c r="Z133" s="130" t="e">
        <f aca="false">(#REF!+#REF!+K133)*'O_MN, PE_UTA_UGM 2023'!H107</f>
        <v>#REF!</v>
      </c>
      <c r="AA133" s="131" t="e">
        <f aca="false">(#REF!+#REF!+L133)*'O_MN, PE_UTA_UGM 2023'!I107</f>
        <v>#REF!</v>
      </c>
      <c r="AB133" s="132" t="n">
        <f aca="false">IF(ISERROR(+ROUND(#REF!*N133/#REF!,3)),0,+ROUND(#REF!*N133/#REF!,3))</f>
        <v>0</v>
      </c>
      <c r="AC133" s="132" t="n">
        <f aca="false">IF(ISERROR(+ROUND(#REF!*O133/#REF!,3)),0,+ROUND(#REF!*O133/#REF!,3))</f>
        <v>0</v>
      </c>
      <c r="AD133" s="133" t="n">
        <f aca="false">IF(AND(AB133=0,AC133=0),0,#REF!*(#REF!-(#REF!*AB133/N133))+#REF!*(#REF!-(#REF!*AC133/O133)))</f>
        <v>0</v>
      </c>
      <c r="AE133" s="3"/>
      <c r="AF133" s="3"/>
      <c r="AG133" s="3"/>
      <c r="AH133" s="3"/>
      <c r="AI133" s="3"/>
    </row>
    <row r="134" customFormat="false" ht="15" hidden="false" customHeight="false" outlineLevel="0" collapsed="false">
      <c r="A134" s="3"/>
      <c r="B134" s="116"/>
      <c r="C134" s="134"/>
      <c r="D134" s="135"/>
      <c r="E134" s="119" t="n">
        <f aca="false">'O_MN, PE_UTA_UGM 2023'!B107</f>
        <v>254</v>
      </c>
      <c r="F134" s="120" t="str">
        <f aca="false">'O_MN, PE_UTA_UGM 2023'!C107</f>
        <v>ENELDO</v>
      </c>
      <c r="G134" s="121"/>
      <c r="H134" s="122"/>
      <c r="I134" s="122"/>
      <c r="J134" s="123"/>
      <c r="K134" s="124"/>
      <c r="L134" s="124"/>
      <c r="M134" s="112" t="e">
        <f aca="false">+IF(OR((#REF!+#REF!)&gt;0,(#REF!+#REF!)&gt;0,(K134+L134)&gt;0),"SI","NO")</f>
        <v>#REF!</v>
      </c>
      <c r="N134" s="136" t="n">
        <f aca="false">VLOOKUP(E135,'O_MN, PE_UTA_UGM 2023'!$B$1:$I$300,7,FALSE())</f>
        <v>1000</v>
      </c>
      <c r="O134" s="136" t="n">
        <f aca="false">VLOOKUP(E135,'O_MN, PE_UTA_UGM 2023'!$B$1:$I$300,8,FALSE())</f>
        <v>3800</v>
      </c>
      <c r="P134" s="45"/>
      <c r="Q134" s="126" t="n">
        <f aca="false">VLOOKUP(E135,'O_MN, PE_UTA_UGM 2023'!$B$1:$I$300,5,FALSE())</f>
        <v>114.19</v>
      </c>
      <c r="R134" s="126" t="n">
        <f aca="false">VLOOKUP(E135,'O_MN, PE_UTA_UGM 2023'!$B$1:$I$300,6,FALSE())</f>
        <v>240.4</v>
      </c>
      <c r="S134" s="45"/>
      <c r="T134" s="47"/>
      <c r="U134" s="127" t="n">
        <f aca="false">(H134*N134)+(I134*O134)+((K134*N134)+(L134*O134)*1.25)</f>
        <v>0</v>
      </c>
      <c r="V134" s="128"/>
      <c r="W134" s="128"/>
      <c r="X134" s="127" t="n">
        <f aca="false">(H134*Q134)+(I134*R134)+((K134*Q134)+(L134*R134)*1.25)</f>
        <v>0</v>
      </c>
      <c r="Y134" s="129"/>
      <c r="Z134" s="130" t="e">
        <f aca="false">(#REF!+#REF!+K134)*'O_MN, PE_UTA_UGM 2023'!H108</f>
        <v>#REF!</v>
      </c>
      <c r="AA134" s="131" t="e">
        <f aca="false">(#REF!+#REF!+L134)*'O_MN, PE_UTA_UGM 2023'!I108</f>
        <v>#REF!</v>
      </c>
      <c r="AB134" s="132" t="n">
        <f aca="false">IF(ISERROR(+ROUND(#REF!*N134/#REF!,3)),0,+ROUND(#REF!*N134/#REF!,3))</f>
        <v>0</v>
      </c>
      <c r="AC134" s="132" t="n">
        <f aca="false">IF(ISERROR(+ROUND(#REF!*O134/#REF!,3)),0,+ROUND(#REF!*O134/#REF!,3))</f>
        <v>0</v>
      </c>
      <c r="AD134" s="133" t="n">
        <f aca="false">IF(AND(AB134=0,AC134=0),0,#REF!*(#REF!-(#REF!*AB134/N134))+#REF!*(#REF!-(#REF!*AC134/O134)))</f>
        <v>0</v>
      </c>
      <c r="AE134" s="3"/>
      <c r="AF134" s="3"/>
      <c r="AG134" s="3"/>
      <c r="AH134" s="3"/>
      <c r="AI134" s="3"/>
    </row>
    <row r="135" customFormat="false" ht="15" hidden="false" customHeight="false" outlineLevel="0" collapsed="false">
      <c r="A135" s="3"/>
      <c r="B135" s="116"/>
      <c r="C135" s="134"/>
      <c r="D135" s="135"/>
      <c r="E135" s="119" t="n">
        <f aca="false">'O_MN, PE_UTA_UGM 2023'!B108</f>
        <v>311</v>
      </c>
      <c r="F135" s="120" t="str">
        <f aca="false">'O_MN, PE_UTA_UGM 2023'!C108</f>
        <v>ENULA</v>
      </c>
      <c r="G135" s="121"/>
      <c r="H135" s="122"/>
      <c r="I135" s="122"/>
      <c r="J135" s="123"/>
      <c r="K135" s="124"/>
      <c r="L135" s="124"/>
      <c r="M135" s="112" t="e">
        <f aca="false">+IF(OR((#REF!+#REF!)&gt;0,(#REF!+#REF!)&gt;0,(K135+L135)&gt;0),"SI","NO")</f>
        <v>#REF!</v>
      </c>
      <c r="N135" s="136" t="n">
        <f aca="false">VLOOKUP(E136,'O_MN, PE_UTA_UGM 2023'!$B$1:$I$300,7,FALSE())</f>
        <v>1000</v>
      </c>
      <c r="O135" s="136" t="n">
        <f aca="false">VLOOKUP(E136,'O_MN, PE_UTA_UGM 2023'!$B$1:$I$300,8,FALSE())</f>
        <v>3800</v>
      </c>
      <c r="P135" s="45"/>
      <c r="Q135" s="126" t="n">
        <f aca="false">VLOOKUP(E136,'O_MN, PE_UTA_UGM 2023'!$B$1:$I$300,5,FALSE())</f>
        <v>114.19</v>
      </c>
      <c r="R135" s="126" t="n">
        <f aca="false">VLOOKUP(E136,'O_MN, PE_UTA_UGM 2023'!$B$1:$I$300,6,FALSE())</f>
        <v>240.4</v>
      </c>
      <c r="S135" s="45"/>
      <c r="T135" s="47"/>
      <c r="U135" s="127" t="n">
        <f aca="false">(H135*N135)+(I135*O135)+((K135*N135)+(L135*O135)*1.25)</f>
        <v>0</v>
      </c>
      <c r="V135" s="128"/>
      <c r="W135" s="128"/>
      <c r="X135" s="127" t="n">
        <f aca="false">(H135*Q135)+(I135*R135)+((K135*Q135)+(L135*R135)*1.25)</f>
        <v>0</v>
      </c>
      <c r="Y135" s="129"/>
      <c r="Z135" s="130" t="e">
        <f aca="false">(#REF!+#REF!+K135)*'O_MN, PE_UTA_UGM 2023'!H109</f>
        <v>#REF!</v>
      </c>
      <c r="AA135" s="131" t="e">
        <f aca="false">(#REF!+#REF!+L135)*'O_MN, PE_UTA_UGM 2023'!I109</f>
        <v>#REF!</v>
      </c>
      <c r="AB135" s="132" t="n">
        <f aca="false">IF(ISERROR(+ROUND(#REF!*N135/#REF!,3)),0,+ROUND(#REF!*N135/#REF!,3))</f>
        <v>0</v>
      </c>
      <c r="AC135" s="132" t="n">
        <f aca="false">IF(ISERROR(+ROUND(#REF!*O135/#REF!,3)),0,+ROUND(#REF!*O135/#REF!,3))</f>
        <v>0</v>
      </c>
      <c r="AD135" s="133" t="n">
        <f aca="false">IF(AND(AB135=0,AC135=0),0,#REF!*(#REF!-(#REF!*AB135/N135))+#REF!*(#REF!-(#REF!*AC135/O135)))</f>
        <v>0</v>
      </c>
      <c r="AE135" s="3"/>
      <c r="AF135" s="3"/>
      <c r="AG135" s="3"/>
      <c r="AH135" s="3"/>
      <c r="AI135" s="3"/>
    </row>
    <row r="136" customFormat="false" ht="15" hidden="false" customHeight="false" outlineLevel="0" collapsed="false">
      <c r="A136" s="3"/>
      <c r="B136" s="116"/>
      <c r="C136" s="134"/>
      <c r="D136" s="135"/>
      <c r="E136" s="119" t="n">
        <f aca="false">'O_MN, PE_UTA_UGM 2023'!B109</f>
        <v>312</v>
      </c>
      <c r="F136" s="120" t="str">
        <f aca="false">'O_MN, PE_UTA_UGM 2023'!C109</f>
        <v>EQUINACEA</v>
      </c>
      <c r="G136" s="121"/>
      <c r="H136" s="122"/>
      <c r="I136" s="122"/>
      <c r="J136" s="123"/>
      <c r="K136" s="124"/>
      <c r="L136" s="124"/>
      <c r="M136" s="112" t="e">
        <f aca="false">+IF(OR((#REF!+#REF!)&gt;0,(#REF!+#REF!)&gt;0,(K136+L136)&gt;0),"SI","NO")</f>
        <v>#REF!</v>
      </c>
      <c r="N136" s="136" t="n">
        <f aca="false">VLOOKUP(E137,'O_MN, PE_UTA_UGM 2023'!$B$1:$I$300,7,FALSE())</f>
        <v>0</v>
      </c>
      <c r="O136" s="136" t="n">
        <f aca="false">VLOOKUP(E137,'O_MN, PE_UTA_UGM 2023'!$B$1:$I$300,8,FALSE())</f>
        <v>7200</v>
      </c>
      <c r="P136" s="45"/>
      <c r="Q136" s="126" t="n">
        <f aca="false">VLOOKUP(E137,'O_MN, PE_UTA_UGM 2023'!$B$1:$I$300,5,FALSE())</f>
        <v>360.61</v>
      </c>
      <c r="R136" s="126" t="n">
        <f aca="false">VLOOKUP(E137,'O_MN, PE_UTA_UGM 2023'!$B$1:$I$300,6,FALSE())</f>
        <v>1352.28</v>
      </c>
      <c r="S136" s="45"/>
      <c r="T136" s="47"/>
      <c r="U136" s="127" t="n">
        <f aca="false">(H136*N136)+(I136*O136)+((K136*N136)+(L136*O136)*1.25)</f>
        <v>0</v>
      </c>
      <c r="V136" s="128"/>
      <c r="W136" s="128"/>
      <c r="X136" s="127" t="n">
        <f aca="false">(H136*Q136)+(I136*R136)+((K136*Q136)+(L136*R136)*1.25)</f>
        <v>0</v>
      </c>
      <c r="Y136" s="129"/>
      <c r="Z136" s="130" t="e">
        <f aca="false">(#REF!+#REF!+K136)*'O_MN, PE_UTA_UGM 2023'!H110</f>
        <v>#REF!</v>
      </c>
      <c r="AA136" s="131" t="e">
        <f aca="false">(#REF!+#REF!+L136)*'O_MN, PE_UTA_UGM 2023'!I110</f>
        <v>#REF!</v>
      </c>
      <c r="AB136" s="132" t="n">
        <f aca="false">IF(ISERROR(+ROUND(#REF!*N136/#REF!,3)),0,+ROUND(#REF!*N136/#REF!,3))</f>
        <v>0</v>
      </c>
      <c r="AC136" s="132" t="n">
        <f aca="false">IF(ISERROR(+ROUND(#REF!*O136/#REF!,3)),0,+ROUND(#REF!*O136/#REF!,3))</f>
        <v>0</v>
      </c>
      <c r="AD136" s="133" t="n">
        <f aca="false">IF(AND(AB136=0,AC136=0),0,#REF!*(#REF!-(#REF!*AB136/N136))+#REF!*(#REF!-(#REF!*AC136/O136)))</f>
        <v>0</v>
      </c>
      <c r="AE136" s="3"/>
      <c r="AF136" s="3"/>
      <c r="AG136" s="3"/>
      <c r="AH136" s="3"/>
      <c r="AI136" s="3"/>
    </row>
    <row r="137" customFormat="false" ht="15" hidden="false" customHeight="false" outlineLevel="0" collapsed="false">
      <c r="A137" s="3"/>
      <c r="B137" s="116"/>
      <c r="C137" s="134"/>
      <c r="D137" s="135"/>
      <c r="E137" s="119" t="n">
        <f aca="false">'O_MN, PE_UTA_UGM 2023'!B110</f>
        <v>189</v>
      </c>
      <c r="F137" s="120" t="str">
        <f aca="false">'O_MN, PE_UTA_UGM 2023'!C110</f>
        <v>ESCAROLA</v>
      </c>
      <c r="G137" s="121"/>
      <c r="H137" s="122"/>
      <c r="I137" s="122"/>
      <c r="J137" s="123"/>
      <c r="K137" s="124"/>
      <c r="L137" s="124"/>
      <c r="M137" s="112" t="e">
        <f aca="false">+IF(OR((#REF!+#REF!)&gt;0,(#REF!+#REF!)&gt;0,(K137+L137)&gt;0),"SI","NO")</f>
        <v>#REF!</v>
      </c>
      <c r="N137" s="136" t="n">
        <f aca="false">VLOOKUP(E138,'O_MN, PE_UTA_UGM 2023'!$B$1:$I$300,7,FALSE())</f>
        <v>700</v>
      </c>
      <c r="O137" s="136" t="n">
        <f aca="false">VLOOKUP(E138,'O_MN, PE_UTA_UGM 2023'!$B$1:$I$300,8,FALSE())</f>
        <v>1800</v>
      </c>
      <c r="P137" s="45"/>
      <c r="Q137" s="126" t="n">
        <f aca="false">VLOOKUP(E138,'O_MN, PE_UTA_UGM 2023'!$B$1:$I$300,5,FALSE())</f>
        <v>114.19</v>
      </c>
      <c r="R137" s="126" t="n">
        <f aca="false">VLOOKUP(E138,'O_MN, PE_UTA_UGM 2023'!$B$1:$I$300,6,FALSE())</f>
        <v>240.4</v>
      </c>
      <c r="S137" s="45"/>
      <c r="T137" s="47"/>
      <c r="U137" s="127" t="n">
        <f aca="false">(H137*N137)+(I137*O137)+((K137*N137)+(L137*O137)*1.25)</f>
        <v>0</v>
      </c>
      <c r="V137" s="128"/>
      <c r="W137" s="128"/>
      <c r="X137" s="127" t="n">
        <f aca="false">(H137*Q137)+(I137*R137)+((K137*Q137)+(L137*R137)*1.25)</f>
        <v>0</v>
      </c>
      <c r="Y137" s="129"/>
      <c r="Z137" s="130" t="e">
        <f aca="false">(#REF!+#REF!+K137)*'O_MN, PE_UTA_UGM 2023'!H111</f>
        <v>#REF!</v>
      </c>
      <c r="AA137" s="131" t="e">
        <f aca="false">(#REF!+#REF!+L137)*'O_MN, PE_UTA_UGM 2023'!I111</f>
        <v>#REF!</v>
      </c>
      <c r="AB137" s="132" t="n">
        <f aca="false">IF(ISERROR(+ROUND(#REF!*N137/#REF!,3)),0,+ROUND(#REF!*N137/#REF!,3))</f>
        <v>0</v>
      </c>
      <c r="AC137" s="132" t="n">
        <f aca="false">IF(ISERROR(+ROUND(#REF!*O137/#REF!,3)),0,+ROUND(#REF!*O137/#REF!,3))</f>
        <v>0</v>
      </c>
      <c r="AD137" s="133" t="n">
        <f aca="false">IF(AND(AB137=0,AC137=0),0,#REF!*(#REF!-(#REF!*AB137/N137))+#REF!*(#REF!-(#REF!*AC137/O137)))</f>
        <v>0</v>
      </c>
      <c r="AE137" s="3"/>
      <c r="AF137" s="3"/>
      <c r="AG137" s="3"/>
      <c r="AH137" s="3"/>
      <c r="AI137" s="3"/>
    </row>
    <row r="138" customFormat="false" ht="15" hidden="false" customHeight="false" outlineLevel="0" collapsed="false">
      <c r="A138" s="3"/>
      <c r="B138" s="116"/>
      <c r="C138" s="134"/>
      <c r="D138" s="135"/>
      <c r="E138" s="119" t="n">
        <f aca="false">'O_MN, PE_UTA_UGM 2023'!B111</f>
        <v>67</v>
      </c>
      <c r="F138" s="120" t="str">
        <f aca="false">'O_MN, PE_UTA_UGM 2023'!C111</f>
        <v>ESPARCETA</v>
      </c>
      <c r="G138" s="121"/>
      <c r="H138" s="122"/>
      <c r="I138" s="122"/>
      <c r="J138" s="123"/>
      <c r="K138" s="124"/>
      <c r="L138" s="124"/>
      <c r="M138" s="112" t="e">
        <f aca="false">+IF(OR((#REF!+#REF!)&gt;0,(#REF!+#REF!)&gt;0,(K138+L138)&gt;0),"SI","NO")</f>
        <v>#REF!</v>
      </c>
      <c r="N138" s="136" t="n">
        <f aca="false">VLOOKUP(E139,'O_MN, PE_UTA_UGM 2023'!$B$1:$I$300,7,FALSE())</f>
        <v>947.29</v>
      </c>
      <c r="O138" s="136" t="n">
        <f aca="false">VLOOKUP(E139,'O_MN, PE_UTA_UGM 2023'!$B$1:$I$300,8,FALSE())</f>
        <v>7200</v>
      </c>
      <c r="P138" s="45"/>
      <c r="Q138" s="126" t="n">
        <f aca="false">VLOOKUP(E139,'O_MN, PE_UTA_UGM 2023'!$B$1:$I$300,5,FALSE())</f>
        <v>901.92</v>
      </c>
      <c r="R138" s="126" t="n">
        <f aca="false">VLOOKUP(E139,'O_MN, PE_UTA_UGM 2023'!$B$1:$I$300,6,FALSE())</f>
        <v>2404.05</v>
      </c>
      <c r="S138" s="45"/>
      <c r="T138" s="47"/>
      <c r="U138" s="127" t="n">
        <f aca="false">(H138*N138)+(I138*O138)+((K138*N138)+(L138*O138)*1.25)</f>
        <v>0</v>
      </c>
      <c r="V138" s="128"/>
      <c r="W138" s="128"/>
      <c r="X138" s="127" t="n">
        <f aca="false">(H138*Q138)+(I138*R138)+((K138*Q138)+(L138*R138)*1.25)</f>
        <v>0</v>
      </c>
      <c r="Y138" s="129"/>
      <c r="Z138" s="130" t="e">
        <f aca="false">(#REF!+#REF!+K138)*'O_MN, PE_UTA_UGM 2023'!H112</f>
        <v>#REF!</v>
      </c>
      <c r="AA138" s="131" t="e">
        <f aca="false">(#REF!+#REF!+L138)*'O_MN, PE_UTA_UGM 2023'!I112</f>
        <v>#REF!</v>
      </c>
      <c r="AB138" s="132" t="n">
        <f aca="false">IF(ISERROR(+ROUND(#REF!*N138/#REF!,3)),0,+ROUND(#REF!*N138/#REF!,3))</f>
        <v>0</v>
      </c>
      <c r="AC138" s="132" t="n">
        <f aca="false">IF(ISERROR(+ROUND(#REF!*O138/#REF!,3)),0,+ROUND(#REF!*O138/#REF!,3))</f>
        <v>0</v>
      </c>
      <c r="AD138" s="133" t="n">
        <f aca="false">IF(AND(AB138=0,AC138=0),0,#REF!*(#REF!-(#REF!*AB138/N138))+#REF!*(#REF!-(#REF!*AC138/O138)))</f>
        <v>0</v>
      </c>
      <c r="AE138" s="3"/>
      <c r="AF138" s="3"/>
      <c r="AG138" s="3"/>
      <c r="AH138" s="3"/>
      <c r="AI138" s="3"/>
    </row>
    <row r="139" customFormat="false" ht="15" hidden="false" customHeight="false" outlineLevel="0" collapsed="false">
      <c r="A139" s="3"/>
      <c r="B139" s="116"/>
      <c r="C139" s="134"/>
      <c r="D139" s="135"/>
      <c r="E139" s="119" t="n">
        <f aca="false">'O_MN, PE_UTA_UGM 2023'!B112</f>
        <v>279</v>
      </c>
      <c r="F139" s="120" t="str">
        <f aca="false">'O_MN, PE_UTA_UGM 2023'!C112</f>
        <v>ESPÁRRAGOS</v>
      </c>
      <c r="G139" s="121"/>
      <c r="H139" s="122"/>
      <c r="I139" s="122"/>
      <c r="J139" s="123"/>
      <c r="K139" s="124"/>
      <c r="L139" s="124"/>
      <c r="M139" s="112" t="e">
        <f aca="false">+IF(OR((#REF!+#REF!)&gt;0,(#REF!+#REF!)&gt;0,(K139+L139)&gt;0),"SI","NO")</f>
        <v>#REF!</v>
      </c>
      <c r="N139" s="136" t="n">
        <f aca="false">VLOOKUP(E140,'O_MN, PE_UTA_UGM 2023'!$B$1:$I$300,7,FALSE())</f>
        <v>1000</v>
      </c>
      <c r="O139" s="136" t="n">
        <f aca="false">VLOOKUP(E140,'O_MN, PE_UTA_UGM 2023'!$B$1:$I$300,8,FALSE())</f>
        <v>3800</v>
      </c>
      <c r="P139" s="45"/>
      <c r="Q139" s="126" t="n">
        <f aca="false">VLOOKUP(E140,'O_MN, PE_UTA_UGM 2023'!$B$1:$I$300,5,FALSE())</f>
        <v>114.19</v>
      </c>
      <c r="R139" s="126" t="n">
        <f aca="false">VLOOKUP(E140,'O_MN, PE_UTA_UGM 2023'!$B$1:$I$300,6,FALSE())</f>
        <v>240.4</v>
      </c>
      <c r="S139" s="45"/>
      <c r="T139" s="47"/>
      <c r="U139" s="127" t="n">
        <f aca="false">(H139*N139)+(I139*O139)+((K139*N139)+(L139*O139)*1.25)</f>
        <v>0</v>
      </c>
      <c r="V139" s="128"/>
      <c r="W139" s="128"/>
      <c r="X139" s="127" t="n">
        <f aca="false">(H139*Q139)+(I139*R139)+((K139*Q139)+(L139*R139)*1.25)</f>
        <v>0</v>
      </c>
      <c r="Y139" s="129"/>
      <c r="Z139" s="130" t="e">
        <f aca="false">(#REF!+#REF!+K139)*'O_MN, PE_UTA_UGM 2023'!H113</f>
        <v>#REF!</v>
      </c>
      <c r="AA139" s="131" t="e">
        <f aca="false">(#REF!+#REF!+L139)*'O_MN, PE_UTA_UGM 2023'!I113</f>
        <v>#REF!</v>
      </c>
      <c r="AB139" s="132" t="n">
        <f aca="false">IF(ISERROR(+ROUND(#REF!*N139/#REF!,3)),0,+ROUND(#REF!*N139/#REF!,3))</f>
        <v>0</v>
      </c>
      <c r="AC139" s="132" t="n">
        <f aca="false">IF(ISERROR(+ROUND(#REF!*O139/#REF!,3)),0,+ROUND(#REF!*O139/#REF!,3))</f>
        <v>0</v>
      </c>
      <c r="AD139" s="133" t="n">
        <f aca="false">IF(AND(AB139=0,AC139=0),0,#REF!*(#REF!-(#REF!*AB139/N139))+#REF!*(#REF!-(#REF!*AC139/O139)))</f>
        <v>0</v>
      </c>
      <c r="AE139" s="3"/>
      <c r="AF139" s="3"/>
      <c r="AG139" s="3"/>
      <c r="AH139" s="3"/>
      <c r="AI139" s="3"/>
    </row>
    <row r="140" customFormat="false" ht="15" hidden="false" customHeight="false" outlineLevel="0" collapsed="false">
      <c r="A140" s="3"/>
      <c r="B140" s="116"/>
      <c r="C140" s="134"/>
      <c r="D140" s="135"/>
      <c r="E140" s="119" t="n">
        <f aca="false">'O_MN, PE_UTA_UGM 2023'!B113</f>
        <v>96</v>
      </c>
      <c r="F140" s="120" t="str">
        <f aca="false">'O_MN, PE_UTA_UGM 2023'!C113</f>
        <v>ESPECIES AROMATICAS HERBÁCEAS</v>
      </c>
      <c r="G140" s="121"/>
      <c r="H140" s="122"/>
      <c r="I140" s="122"/>
      <c r="J140" s="123"/>
      <c r="K140" s="124"/>
      <c r="L140" s="124"/>
      <c r="M140" s="112" t="e">
        <f aca="false">+IF(OR((#REF!+#REF!)&gt;0,(#REF!+#REF!)&gt;0,(K140+L140)&gt;0),"SI","NO")</f>
        <v>#REF!</v>
      </c>
      <c r="N140" s="136" t="n">
        <f aca="false">VLOOKUP(E141,'O_MN, PE_UTA_UGM 2023'!$B$1:$I$300,7,FALSE())</f>
        <v>1000</v>
      </c>
      <c r="O140" s="136" t="n">
        <f aca="false">VLOOKUP(E141,'O_MN, PE_UTA_UGM 2023'!$B$1:$I$300,8,FALSE())</f>
        <v>3800</v>
      </c>
      <c r="P140" s="45"/>
      <c r="Q140" s="126" t="n">
        <f aca="false">VLOOKUP(E141,'O_MN, PE_UTA_UGM 2023'!$B$1:$I$300,5,FALSE())</f>
        <v>114.19</v>
      </c>
      <c r="R140" s="126" t="n">
        <f aca="false">VLOOKUP(E141,'O_MN, PE_UTA_UGM 2023'!$B$1:$I$300,6,FALSE())</f>
        <v>240.4</v>
      </c>
      <c r="S140" s="45"/>
      <c r="T140" s="47"/>
      <c r="U140" s="127" t="n">
        <f aca="false">(H140*N140)+(I140*O140)+((K140*N140)+(L140*O140)*1.25)</f>
        <v>0</v>
      </c>
      <c r="V140" s="128"/>
      <c r="W140" s="128"/>
      <c r="X140" s="127" t="n">
        <f aca="false">(H140*Q140)+(I140*R140)+((K140*Q140)+(L140*R140)*1.25)</f>
        <v>0</v>
      </c>
      <c r="Y140" s="129"/>
      <c r="Z140" s="130" t="e">
        <f aca="false">(#REF!+#REF!+K140)*'O_MN, PE_UTA_UGM 2023'!H114</f>
        <v>#REF!</v>
      </c>
      <c r="AA140" s="131" t="e">
        <f aca="false">(#REF!+#REF!+L140)*'O_MN, PE_UTA_UGM 2023'!I114</f>
        <v>#REF!</v>
      </c>
      <c r="AB140" s="132" t="n">
        <f aca="false">IF(ISERROR(+ROUND(#REF!*N140/#REF!,3)),0,+ROUND(#REF!*N140/#REF!,3))</f>
        <v>0</v>
      </c>
      <c r="AC140" s="132" t="n">
        <f aca="false">IF(ISERROR(+ROUND(#REF!*O140/#REF!,3)),0,+ROUND(#REF!*O140/#REF!,3))</f>
        <v>0</v>
      </c>
      <c r="AD140" s="133" t="n">
        <f aca="false">IF(AND(AB140=0,AC140=0),0,#REF!*(#REF!-(#REF!*AB140/N140))+#REF!*(#REF!-(#REF!*AC140/O140)))</f>
        <v>0</v>
      </c>
      <c r="AE140" s="3"/>
      <c r="AF140" s="3"/>
      <c r="AG140" s="3"/>
      <c r="AH140" s="3"/>
      <c r="AI140" s="3"/>
    </row>
    <row r="141" customFormat="false" ht="15" hidden="false" customHeight="false" outlineLevel="0" collapsed="false">
      <c r="A141" s="3"/>
      <c r="B141" s="116"/>
      <c r="C141" s="134"/>
      <c r="D141" s="135"/>
      <c r="E141" s="119" t="n">
        <f aca="false">'O_MN, PE_UTA_UGM 2023'!B114</f>
        <v>118</v>
      </c>
      <c r="F141" s="120" t="str">
        <f aca="false">'O_MN, PE_UTA_UGM 2023'!C114</f>
        <v>ESPECIES AROMATICAS LEÑOSAS</v>
      </c>
      <c r="G141" s="121"/>
      <c r="H141" s="122"/>
      <c r="I141" s="122"/>
      <c r="J141" s="123"/>
      <c r="K141" s="124"/>
      <c r="L141" s="124"/>
      <c r="M141" s="112" t="e">
        <f aca="false">+IF(OR((#REF!+#REF!)&gt;0,(#REF!+#REF!)&gt;0,(K141+L141)&gt;0),"SI","NO")</f>
        <v>#REF!</v>
      </c>
      <c r="N141" s="136" t="n">
        <f aca="false">VLOOKUP(E142,'O_MN, PE_UTA_UGM 2023'!$B$1:$I$300,7,FALSE())</f>
        <v>3525.75</v>
      </c>
      <c r="O141" s="136" t="n">
        <f aca="false">VLOOKUP(E142,'O_MN, PE_UTA_UGM 2023'!$B$1:$I$300,8,FALSE())</f>
        <v>8500</v>
      </c>
      <c r="P141" s="45"/>
      <c r="Q141" s="126" t="n">
        <f aca="false">VLOOKUP(E142,'O_MN, PE_UTA_UGM 2023'!$B$1:$I$300,5,FALSE())</f>
        <v>360.61</v>
      </c>
      <c r="R141" s="126" t="n">
        <f aca="false">VLOOKUP(E142,'O_MN, PE_UTA_UGM 2023'!$B$1:$I$300,6,FALSE())</f>
        <v>1352.28</v>
      </c>
      <c r="S141" s="45"/>
      <c r="T141" s="47"/>
      <c r="U141" s="127" t="n">
        <f aca="false">(H141*N141)+(I141*O141)+((K141*N141)+(L141*O141)*1.25)</f>
        <v>0</v>
      </c>
      <c r="V141" s="128"/>
      <c r="W141" s="128"/>
      <c r="X141" s="127" t="n">
        <f aca="false">(H141*Q141)+(I141*R141)+((K141*Q141)+(L141*R141)*1.25)</f>
        <v>0</v>
      </c>
      <c r="Y141" s="129"/>
      <c r="Z141" s="130" t="e">
        <f aca="false">(#REF!+#REF!+K141)*'O_MN, PE_UTA_UGM 2023'!H115</f>
        <v>#REF!</v>
      </c>
      <c r="AA141" s="131" t="e">
        <f aca="false">(#REF!+#REF!+L141)*'O_MN, PE_UTA_UGM 2023'!I115</f>
        <v>#REF!</v>
      </c>
      <c r="AB141" s="132" t="n">
        <f aca="false">IF(ISERROR(+ROUND(#REF!*N141/#REF!,3)),0,+ROUND(#REF!*N141/#REF!,3))</f>
        <v>0</v>
      </c>
      <c r="AC141" s="132" t="n">
        <f aca="false">IF(ISERROR(+ROUND(#REF!*O141/#REF!,3)),0,+ROUND(#REF!*O141/#REF!,3))</f>
        <v>0</v>
      </c>
      <c r="AD141" s="133" t="n">
        <f aca="false">IF(AND(AB141=0,AC141=0),0,#REF!*(#REF!-(#REF!*AB141/N141))+#REF!*(#REF!-(#REF!*AC141/O141)))</f>
        <v>0</v>
      </c>
      <c r="AE141" s="3"/>
      <c r="AF141" s="3"/>
      <c r="AG141" s="3"/>
      <c r="AH141" s="3"/>
      <c r="AI141" s="3"/>
    </row>
    <row r="142" customFormat="false" ht="15" hidden="false" customHeight="false" outlineLevel="0" collapsed="false">
      <c r="A142" s="3"/>
      <c r="B142" s="116"/>
      <c r="C142" s="134"/>
      <c r="D142" s="135"/>
      <c r="E142" s="119" t="n">
        <f aca="false">'O_MN, PE_UTA_UGM 2023'!B115</f>
        <v>183</v>
      </c>
      <c r="F142" s="120" t="str">
        <f aca="false">'O_MN, PE_UTA_UGM 2023'!C115</f>
        <v>ESPINACA</v>
      </c>
      <c r="G142" s="121"/>
      <c r="H142" s="122"/>
      <c r="I142" s="122"/>
      <c r="J142" s="123"/>
      <c r="K142" s="124"/>
      <c r="L142" s="124"/>
      <c r="M142" s="112" t="e">
        <f aca="false">+IF(OR((#REF!+#REF!)&gt;0,(#REF!+#REF!)&gt;0,(K142+L142)&gt;0),"SI","NO")</f>
        <v>#REF!</v>
      </c>
      <c r="N142" s="136" t="n">
        <f aca="false">VLOOKUP(E143,'O_MN, PE_UTA_UGM 2023'!$B$1:$I$300,7,FALSE())</f>
        <v>1000</v>
      </c>
      <c r="O142" s="136" t="n">
        <f aca="false">VLOOKUP(E143,'O_MN, PE_UTA_UGM 2023'!$B$1:$I$300,8,FALSE())</f>
        <v>3800</v>
      </c>
      <c r="P142" s="45"/>
      <c r="Q142" s="126" t="n">
        <f aca="false">VLOOKUP(E143,'O_MN, PE_UTA_UGM 2023'!$B$1:$I$300,5,FALSE())</f>
        <v>114.19</v>
      </c>
      <c r="R142" s="126" t="n">
        <f aca="false">VLOOKUP(E143,'O_MN, PE_UTA_UGM 2023'!$B$1:$I$300,6,FALSE())</f>
        <v>240.4</v>
      </c>
      <c r="S142" s="45"/>
      <c r="T142" s="47"/>
      <c r="U142" s="127" t="n">
        <f aca="false">(H142*N142)+(I142*O142)+((K142*N142)+(L142*O142)*1.25)</f>
        <v>0</v>
      </c>
      <c r="V142" s="128"/>
      <c r="W142" s="128"/>
      <c r="X142" s="127" t="n">
        <f aca="false">(H142*Q142)+(I142*R142)+((K142*Q142)+(L142*R142)*1.25)</f>
        <v>0</v>
      </c>
      <c r="Y142" s="129"/>
      <c r="Z142" s="130" t="e">
        <f aca="false">(#REF!+#REF!+K142)*'O_MN, PE_UTA_UGM 2023'!H116</f>
        <v>#REF!</v>
      </c>
      <c r="AA142" s="131" t="e">
        <f aca="false">(#REF!+#REF!+L142)*'O_MN, PE_UTA_UGM 2023'!I116</f>
        <v>#REF!</v>
      </c>
      <c r="AB142" s="132" t="n">
        <f aca="false">IF(ISERROR(+ROUND(#REF!*N142/#REF!,3)),0,+ROUND(#REF!*N142/#REF!,3))</f>
        <v>0</v>
      </c>
      <c r="AC142" s="132" t="n">
        <f aca="false">IF(ISERROR(+ROUND(#REF!*O142/#REF!,3)),0,+ROUND(#REF!*O142/#REF!,3))</f>
        <v>0</v>
      </c>
      <c r="AD142" s="133" t="n">
        <f aca="false">IF(AND(AB142=0,AC142=0),0,#REF!*(#REF!-(#REF!*AB142/N142))+#REF!*(#REF!-(#REF!*AC142/O142)))</f>
        <v>0</v>
      </c>
      <c r="AE142" s="3"/>
      <c r="AF142" s="3"/>
      <c r="AG142" s="3"/>
      <c r="AH142" s="3"/>
      <c r="AI142" s="3"/>
    </row>
    <row r="143" customFormat="false" ht="15" hidden="false" customHeight="false" outlineLevel="0" collapsed="false">
      <c r="A143" s="3"/>
      <c r="B143" s="116"/>
      <c r="C143" s="134"/>
      <c r="D143" s="135"/>
      <c r="E143" s="119" t="n">
        <f aca="false">'O_MN, PE_UTA_UGM 2023'!B116</f>
        <v>285</v>
      </c>
      <c r="F143" s="120" t="str">
        <f aca="false">'O_MN, PE_UTA_UGM 2023'!C116</f>
        <v>ESPLIEGO</v>
      </c>
      <c r="G143" s="121"/>
      <c r="H143" s="122"/>
      <c r="I143" s="122"/>
      <c r="J143" s="123"/>
      <c r="K143" s="124"/>
      <c r="L143" s="124"/>
      <c r="M143" s="112" t="e">
        <f aca="false">+IF(OR((#REF!+#REF!)&gt;0,(#REF!+#REF!)&gt;0,(K143+L143)&gt;0),"SI","NO")</f>
        <v>#REF!</v>
      </c>
      <c r="N143" s="136" t="n">
        <f aca="false">VLOOKUP(E144,'O_MN, PE_UTA_UGM 2023'!$B$1:$I$300,7,FALSE())</f>
        <v>1000</v>
      </c>
      <c r="O143" s="136" t="n">
        <f aca="false">VLOOKUP(E144,'O_MN, PE_UTA_UGM 2023'!$B$1:$I$300,8,FALSE())</f>
        <v>3800</v>
      </c>
      <c r="P143" s="45"/>
      <c r="Q143" s="126" t="n">
        <f aca="false">VLOOKUP(E144,'O_MN, PE_UTA_UGM 2023'!$B$1:$I$300,5,FALSE())</f>
        <v>114.19</v>
      </c>
      <c r="R143" s="126" t="n">
        <f aca="false">VLOOKUP(E144,'O_MN, PE_UTA_UGM 2023'!$B$1:$I$300,6,FALSE())</f>
        <v>240.4</v>
      </c>
      <c r="S143" s="45"/>
      <c r="T143" s="47"/>
      <c r="U143" s="127" t="n">
        <f aca="false">(H143*N143)+(I143*O143)+((K143*N143)+(L143*O143)*1.25)</f>
        <v>0</v>
      </c>
      <c r="V143" s="128"/>
      <c r="W143" s="128"/>
      <c r="X143" s="127" t="n">
        <f aca="false">(H143*Q143)+(I143*R143)+((K143*Q143)+(L143*R143)*1.25)</f>
        <v>0</v>
      </c>
      <c r="Y143" s="129"/>
      <c r="Z143" s="130" t="e">
        <f aca="false">(#REF!+#REF!+K143)*'O_MN, PE_UTA_UGM 2023'!H117</f>
        <v>#REF!</v>
      </c>
      <c r="AA143" s="131" t="e">
        <f aca="false">(#REF!+#REF!+L143)*'O_MN, PE_UTA_UGM 2023'!I117</f>
        <v>#REF!</v>
      </c>
      <c r="AB143" s="132" t="n">
        <f aca="false">IF(ISERROR(+ROUND(#REF!*N143/#REF!,3)),0,+ROUND(#REF!*N143/#REF!,3))</f>
        <v>0</v>
      </c>
      <c r="AC143" s="132" t="n">
        <f aca="false">IF(ISERROR(+ROUND(#REF!*O143/#REF!,3)),0,+ROUND(#REF!*O143/#REF!,3))</f>
        <v>0</v>
      </c>
      <c r="AD143" s="133" t="n">
        <f aca="false">IF(AND(AB143=0,AC143=0),0,#REF!*(#REF!-(#REF!*AB143/N143))+#REF!*(#REF!-(#REF!*AC143/O143)))</f>
        <v>0</v>
      </c>
      <c r="AE143" s="3"/>
      <c r="AF143" s="3"/>
      <c r="AG143" s="3"/>
      <c r="AH143" s="3"/>
      <c r="AI143" s="3"/>
    </row>
    <row r="144" customFormat="false" ht="15" hidden="false" customHeight="false" outlineLevel="0" collapsed="false">
      <c r="A144" s="3"/>
      <c r="B144" s="116"/>
      <c r="C144" s="134"/>
      <c r="D144" s="135"/>
      <c r="E144" s="119" t="n">
        <f aca="false">'O_MN, PE_UTA_UGM 2023'!B117</f>
        <v>274</v>
      </c>
      <c r="F144" s="120" t="str">
        <f aca="false">'O_MN, PE_UTA_UGM 2023'!C117</f>
        <v>ESTEVIA</v>
      </c>
      <c r="G144" s="121"/>
      <c r="H144" s="122"/>
      <c r="I144" s="122"/>
      <c r="J144" s="123"/>
      <c r="K144" s="124"/>
      <c r="L144" s="124"/>
      <c r="M144" s="112" t="e">
        <f aca="false">+IF(OR((#REF!+#REF!)&gt;0,(#REF!+#REF!)&gt;0,(K144+L144)&gt;0),"SI","NO")</f>
        <v>#REF!</v>
      </c>
      <c r="N144" s="136" t="n">
        <f aca="false">VLOOKUP(E145,'O_MN, PE_UTA_UGM 2023'!$B$1:$I$300,7,FALSE())</f>
        <v>1000</v>
      </c>
      <c r="O144" s="136" t="n">
        <f aca="false">VLOOKUP(E145,'O_MN, PE_UTA_UGM 2023'!$B$1:$I$300,8,FALSE())</f>
        <v>3800</v>
      </c>
      <c r="P144" s="45"/>
      <c r="Q144" s="126" t="n">
        <f aca="false">VLOOKUP(E145,'O_MN, PE_UTA_UGM 2023'!$B$1:$I$300,5,FALSE())</f>
        <v>114.19</v>
      </c>
      <c r="R144" s="126" t="n">
        <f aca="false">VLOOKUP(E145,'O_MN, PE_UTA_UGM 2023'!$B$1:$I$300,6,FALSE())</f>
        <v>240.4</v>
      </c>
      <c r="S144" s="45"/>
      <c r="T144" s="47"/>
      <c r="U144" s="127" t="n">
        <f aca="false">(H144*N144)+(I144*O144)+((K144*N144)+(L144*O144)*1.25)</f>
        <v>0</v>
      </c>
      <c r="V144" s="128"/>
      <c r="W144" s="128"/>
      <c r="X144" s="127" t="n">
        <f aca="false">(H144*Q144)+(I144*R144)+((K144*Q144)+(L144*R144)*1.25)</f>
        <v>0</v>
      </c>
      <c r="Y144" s="129"/>
      <c r="Z144" s="130" t="e">
        <f aca="false">(#REF!+#REF!+K144)*'O_MN, PE_UTA_UGM 2023'!H118</f>
        <v>#REF!</v>
      </c>
      <c r="AA144" s="131" t="e">
        <f aca="false">(#REF!+#REF!+L144)*'O_MN, PE_UTA_UGM 2023'!I118</f>
        <v>#REF!</v>
      </c>
      <c r="AB144" s="132" t="n">
        <f aca="false">IF(ISERROR(+ROUND(#REF!*N144/#REF!,3)),0,+ROUND(#REF!*N144/#REF!,3))</f>
        <v>0</v>
      </c>
      <c r="AC144" s="132" t="n">
        <f aca="false">IF(ISERROR(+ROUND(#REF!*O144/#REF!,3)),0,+ROUND(#REF!*O144/#REF!,3))</f>
        <v>0</v>
      </c>
      <c r="AD144" s="133" t="n">
        <f aca="false">IF(AND(AB144=0,AC144=0),0,#REF!*(#REF!-(#REF!*AB144/N144))+#REF!*(#REF!-(#REF!*AC144/O144)))</f>
        <v>0</v>
      </c>
      <c r="AE144" s="3"/>
      <c r="AF144" s="3"/>
      <c r="AG144" s="3"/>
      <c r="AH144" s="3"/>
      <c r="AI144" s="3"/>
    </row>
    <row r="145" customFormat="false" ht="15" hidden="false" customHeight="false" outlineLevel="0" collapsed="false">
      <c r="A145" s="3"/>
      <c r="B145" s="116"/>
      <c r="C145" s="134"/>
      <c r="D145" s="135"/>
      <c r="E145" s="119" t="n">
        <f aca="false">'O_MN, PE_UTA_UGM 2023'!B118</f>
        <v>270</v>
      </c>
      <c r="F145" s="120" t="str">
        <f aca="false">'O_MN, PE_UTA_UGM 2023'!C118</f>
        <v>ESTRAGÓN</v>
      </c>
      <c r="G145" s="121"/>
      <c r="H145" s="122"/>
      <c r="I145" s="122"/>
      <c r="J145" s="123"/>
      <c r="K145" s="124"/>
      <c r="L145" s="124"/>
      <c r="M145" s="112" t="e">
        <f aca="false">+IF(OR((#REF!+#REF!)&gt;0,(#REF!+#REF!)&gt;0,(K145+L145)&gt;0),"SI","NO")</f>
        <v>#REF!</v>
      </c>
      <c r="N145" s="136" t="n">
        <f aca="false">VLOOKUP(E146,'O_MN, PE_UTA_UGM 2023'!$B$1:$I$300,7,FALSE())</f>
        <v>0</v>
      </c>
      <c r="O145" s="136" t="n">
        <f aca="false">VLOOKUP(E146,'O_MN, PE_UTA_UGM 2023'!$B$1:$I$300,8,FALSE())</f>
        <v>0</v>
      </c>
      <c r="P145" s="45"/>
      <c r="Q145" s="126" t="n">
        <f aca="false">VLOOKUP(E146,'O_MN, PE_UTA_UGM 2023'!$B$1:$I$300,5,FALSE())</f>
        <v>390.66</v>
      </c>
      <c r="R145" s="126" t="n">
        <f aca="false">VLOOKUP(E146,'O_MN, PE_UTA_UGM 2023'!$B$1:$I$300,6,FALSE())</f>
        <v>390.66</v>
      </c>
      <c r="S145" s="45"/>
      <c r="T145" s="47"/>
      <c r="U145" s="127" t="n">
        <f aca="false">(H145*N145)+(I145*O145)+((K145*N145)+(L145*O145)*1.25)</f>
        <v>0</v>
      </c>
      <c r="V145" s="128"/>
      <c r="W145" s="128"/>
      <c r="X145" s="127" t="n">
        <f aca="false">(H145*Q145)+(I145*R145)+((K145*Q145)+(L145*R145)*1.25)</f>
        <v>0</v>
      </c>
      <c r="Y145" s="129"/>
      <c r="Z145" s="130" t="e">
        <f aca="false">(#REF!+#REF!+K145)*'O_MN, PE_UTA_UGM 2023'!H119</f>
        <v>#REF!</v>
      </c>
      <c r="AA145" s="131" t="e">
        <f aca="false">(#REF!+#REF!+L145)*'O_MN, PE_UTA_UGM 2023'!I119</f>
        <v>#REF!</v>
      </c>
      <c r="AB145" s="132" t="n">
        <f aca="false">IF(ISERROR(+ROUND(#REF!*N145/#REF!,3)),0,+ROUND(#REF!*N145/#REF!,3))</f>
        <v>0</v>
      </c>
      <c r="AC145" s="132" t="n">
        <f aca="false">IF(ISERROR(+ROUND(#REF!*O145/#REF!,3)),0,+ROUND(#REF!*O145/#REF!,3))</f>
        <v>0</v>
      </c>
      <c r="AD145" s="133" t="n">
        <f aca="false">IF(AND(AB145=0,AC145=0),0,#REF!*(#REF!-(#REF!*AB145/N145))+#REF!*(#REF!-(#REF!*AC145/O145)))</f>
        <v>0</v>
      </c>
      <c r="AE145" s="3"/>
      <c r="AF145" s="3"/>
      <c r="AG145" s="3"/>
      <c r="AH145" s="3"/>
      <c r="AI145" s="3"/>
    </row>
    <row r="146" customFormat="false" ht="15" hidden="false" customHeight="false" outlineLevel="0" collapsed="false">
      <c r="A146" s="3"/>
      <c r="B146" s="116"/>
      <c r="C146" s="134"/>
      <c r="D146" s="135"/>
      <c r="E146" s="119" t="n">
        <f aca="false">'O_MN, PE_UTA_UGM 2023'!B119</f>
        <v>225</v>
      </c>
      <c r="F146" s="120" t="str">
        <f aca="false">'O_MN, PE_UTA_UGM 2023'!C119</f>
        <v>EUCALYPTUS</v>
      </c>
      <c r="G146" s="121"/>
      <c r="H146" s="122"/>
      <c r="I146" s="122"/>
      <c r="J146" s="123"/>
      <c r="K146" s="124"/>
      <c r="L146" s="124"/>
      <c r="M146" s="112" t="e">
        <f aca="false">+IF(OR((#REF!+#REF!)&gt;0,(#REF!+#REF!)&gt;0,(K146+L146)&gt;0),"SI","NO")</f>
        <v>#REF!</v>
      </c>
      <c r="N146" s="136" t="n">
        <f aca="false">VLOOKUP(E147,'O_MN, PE_UTA_UGM 2023'!$B$1:$I$300,7,FALSE())</f>
        <v>450</v>
      </c>
      <c r="O146" s="136" t="n">
        <f aca="false">VLOOKUP(E147,'O_MN, PE_UTA_UGM 2023'!$B$1:$I$300,8,FALSE())</f>
        <v>1000</v>
      </c>
      <c r="P146" s="45"/>
      <c r="Q146" s="126" t="n">
        <f aca="false">VLOOKUP(E147,'O_MN, PE_UTA_UGM 2023'!$B$1:$I$300,5,FALSE())</f>
        <v>114.19</v>
      </c>
      <c r="R146" s="126" t="n">
        <f aca="false">VLOOKUP(E147,'O_MN, PE_UTA_UGM 2023'!$B$1:$I$300,6,FALSE())</f>
        <v>270.46</v>
      </c>
      <c r="S146" s="45"/>
      <c r="T146" s="47"/>
      <c r="U146" s="127" t="n">
        <f aca="false">(H146*N146)+(I146*O146)+((K146*N146)+(L146*O146)*1.25)</f>
        <v>0</v>
      </c>
      <c r="V146" s="128"/>
      <c r="W146" s="128"/>
      <c r="X146" s="127" t="n">
        <f aca="false">(H146*Q146)+(I146*R146)+((K146*Q146)+(L146*R146)*1.25)</f>
        <v>0</v>
      </c>
      <c r="Y146" s="129"/>
      <c r="Z146" s="130" t="e">
        <f aca="false">(#REF!+#REF!+K146)*'O_MN, PE_UTA_UGM 2023'!H120</f>
        <v>#REF!</v>
      </c>
      <c r="AA146" s="131" t="e">
        <f aca="false">(#REF!+#REF!+L146)*'O_MN, PE_UTA_UGM 2023'!I120</f>
        <v>#REF!</v>
      </c>
      <c r="AB146" s="132" t="n">
        <f aca="false">IF(ISERROR(+ROUND(#REF!*N146/#REF!,3)),0,+ROUND(#REF!*N146/#REF!,3))</f>
        <v>0</v>
      </c>
      <c r="AC146" s="132" t="n">
        <f aca="false">IF(ISERROR(+ROUND(#REF!*O146/#REF!,3)),0,+ROUND(#REF!*O146/#REF!,3))</f>
        <v>0</v>
      </c>
      <c r="AD146" s="133" t="n">
        <f aca="false">IF(AND(AB146=0,AC146=0),0,#REF!*(#REF!-(#REF!*AB146/N146))+#REF!*(#REF!-(#REF!*AC146/O146)))</f>
        <v>0</v>
      </c>
      <c r="AE146" s="3"/>
      <c r="AF146" s="3"/>
      <c r="AG146" s="3"/>
      <c r="AH146" s="3"/>
      <c r="AI146" s="3"/>
    </row>
    <row r="147" customFormat="false" ht="15" hidden="false" customHeight="false" outlineLevel="0" collapsed="false">
      <c r="A147" s="3"/>
      <c r="B147" s="116"/>
      <c r="C147" s="134"/>
      <c r="D147" s="135"/>
      <c r="E147" s="119" t="n">
        <f aca="false">'O_MN, PE_UTA_UGM 2023'!B120</f>
        <v>68</v>
      </c>
      <c r="F147" s="120" t="str">
        <f aca="false">'O_MN, PE_UTA_UGM 2023'!C120</f>
        <v>FESTUCA</v>
      </c>
      <c r="G147" s="121"/>
      <c r="H147" s="122"/>
      <c r="I147" s="122"/>
      <c r="J147" s="123"/>
      <c r="K147" s="124"/>
      <c r="L147" s="124"/>
      <c r="M147" s="112" t="e">
        <f aca="false">+IF(OR((#REF!+#REF!)&gt;0,(#REF!+#REF!)&gt;0,(K147+L147)&gt;0),"SI","NO")</f>
        <v>#REF!</v>
      </c>
      <c r="N147" s="136" t="n">
        <f aca="false">VLOOKUP(E148,'O_MN, PE_UTA_UGM 2023'!$B$1:$I$300,7,FALSE())</f>
        <v>700</v>
      </c>
      <c r="O147" s="136" t="n">
        <f aca="false">VLOOKUP(E148,'O_MN, PE_UTA_UGM 2023'!$B$1:$I$300,8,FALSE())</f>
        <v>1800</v>
      </c>
      <c r="P147" s="45"/>
      <c r="Q147" s="126" t="n">
        <f aca="false">VLOOKUP(E148,'O_MN, PE_UTA_UGM 2023'!$B$1:$I$300,5,FALSE())</f>
        <v>114.19</v>
      </c>
      <c r="R147" s="126" t="n">
        <f aca="false">VLOOKUP(E148,'O_MN, PE_UTA_UGM 2023'!$B$1:$I$300,6,FALSE())</f>
        <v>270.46</v>
      </c>
      <c r="S147" s="45"/>
      <c r="T147" s="47"/>
      <c r="U147" s="127" t="n">
        <f aca="false">(H147*N147)+(I147*O147)+((K147*N147)+(L147*O147)*1.25)</f>
        <v>0</v>
      </c>
      <c r="V147" s="128"/>
      <c r="W147" s="128"/>
      <c r="X147" s="127" t="n">
        <f aca="false">(H147*Q147)+(I147*R147)+((K147*Q147)+(L147*R147)*1.25)</f>
        <v>0</v>
      </c>
      <c r="Y147" s="129"/>
      <c r="Z147" s="130" t="e">
        <f aca="false">(#REF!+#REF!+K147)*'O_MN, PE_UTA_UGM 2023'!H121</f>
        <v>#REF!</v>
      </c>
      <c r="AA147" s="131" t="e">
        <f aca="false">(#REF!+#REF!+L147)*'O_MN, PE_UTA_UGM 2023'!I121</f>
        <v>#REF!</v>
      </c>
      <c r="AB147" s="132" t="n">
        <f aca="false">IF(ISERROR(+ROUND(#REF!*N147/#REF!,3)),0,+ROUND(#REF!*N147/#REF!,3))</f>
        <v>0</v>
      </c>
      <c r="AC147" s="132" t="n">
        <f aca="false">IF(ISERROR(+ROUND(#REF!*O147/#REF!,3)),0,+ROUND(#REF!*O147/#REF!,3))</f>
        <v>0</v>
      </c>
      <c r="AD147" s="133" t="n">
        <f aca="false">IF(AND(AB147=0,AC147=0),0,#REF!*(#REF!-(#REF!*AB147/N147))+#REF!*(#REF!-(#REF!*AC147/O147)))</f>
        <v>0</v>
      </c>
      <c r="AE147" s="3"/>
      <c r="AF147" s="3"/>
      <c r="AG147" s="3"/>
      <c r="AH147" s="3"/>
      <c r="AI147" s="3"/>
    </row>
    <row r="148" customFormat="false" ht="15" hidden="false" customHeight="false" outlineLevel="0" collapsed="false">
      <c r="A148" s="3"/>
      <c r="B148" s="116"/>
      <c r="C148" s="134"/>
      <c r="D148" s="135"/>
      <c r="E148" s="119" t="n">
        <f aca="false">'O_MN, PE_UTA_UGM 2023'!B121</f>
        <v>73</v>
      </c>
      <c r="F148" s="120" t="str">
        <f aca="false">'O_MN, PE_UTA_UGM 2023'!C121</f>
        <v>FLEO</v>
      </c>
      <c r="G148" s="121"/>
      <c r="H148" s="122"/>
      <c r="I148" s="122"/>
      <c r="J148" s="123"/>
      <c r="K148" s="124"/>
      <c r="L148" s="124"/>
      <c r="M148" s="112" t="e">
        <f aca="false">+IF(OR((#REF!+#REF!)&gt;0,(#REF!+#REF!)&gt;0,(K148+L148)&gt;0),"SI","NO")</f>
        <v>#REF!</v>
      </c>
      <c r="N148" s="136" t="n">
        <f aca="false">VLOOKUP(E149,'O_MN, PE_UTA_UGM 2023'!$B$1:$I$300,7,FALSE())</f>
        <v>0</v>
      </c>
      <c r="O148" s="136" t="n">
        <f aca="false">VLOOKUP(E149,'O_MN, PE_UTA_UGM 2023'!$B$1:$I$300,8,FALSE())</f>
        <v>70000</v>
      </c>
      <c r="P148" s="45"/>
      <c r="Q148" s="126" t="n">
        <f aca="false">VLOOKUP(E149,'O_MN, PE_UTA_UGM 2023'!$B$1:$I$300,5,FALSE())</f>
        <v>21035.42</v>
      </c>
      <c r="R148" s="126" t="n">
        <f aca="false">VLOOKUP(E149,'O_MN, PE_UTA_UGM 2023'!$B$1:$I$300,6,FALSE())</f>
        <v>21035.42</v>
      </c>
      <c r="S148" s="45"/>
      <c r="T148" s="47"/>
      <c r="U148" s="127" t="n">
        <f aca="false">(H148*N148)+(I148*O148)+((K148*N148)+(L148*O148)*1.25)</f>
        <v>0</v>
      </c>
      <c r="V148" s="128"/>
      <c r="W148" s="128"/>
      <c r="X148" s="127" t="n">
        <f aca="false">(H148*Q148)+(I148*R148)+((K148*Q148)+(L148*R148)*1.25)</f>
        <v>0</v>
      </c>
      <c r="Y148" s="129"/>
      <c r="Z148" s="130" t="e">
        <f aca="false">(#REF!+#REF!+K148)*'O_MN, PE_UTA_UGM 2023'!H122</f>
        <v>#REF!</v>
      </c>
      <c r="AA148" s="131" t="e">
        <f aca="false">(#REF!+#REF!+L148)*'O_MN, PE_UTA_UGM 2023'!I122</f>
        <v>#REF!</v>
      </c>
      <c r="AB148" s="132" t="n">
        <f aca="false">IF(ISERROR(+ROUND(#REF!*N148/#REF!,3)),0,+ROUND(#REF!*N148/#REF!,3))</f>
        <v>0</v>
      </c>
      <c r="AC148" s="132" t="n">
        <f aca="false">IF(ISERROR(+ROUND(#REF!*O148/#REF!,3)),0,+ROUND(#REF!*O148/#REF!,3))</f>
        <v>0</v>
      </c>
      <c r="AD148" s="133" t="n">
        <f aca="false">IF(AND(AB148=0,AC148=0),0,#REF!*(#REF!-(#REF!*AB148/N148))+#REF!*(#REF!-(#REF!*AC148/O148)))</f>
        <v>0</v>
      </c>
      <c r="AE148" s="3"/>
      <c r="AF148" s="3"/>
      <c r="AG148" s="3"/>
      <c r="AH148" s="3"/>
      <c r="AI148" s="3"/>
    </row>
    <row r="149" customFormat="false" ht="15" hidden="false" customHeight="false" outlineLevel="0" collapsed="false">
      <c r="A149" s="3"/>
      <c r="B149" s="116"/>
      <c r="C149" s="134"/>
      <c r="D149" s="135"/>
      <c r="E149" s="119" t="n">
        <f aca="false">'O_MN, PE_UTA_UGM 2023'!B122</f>
        <v>91</v>
      </c>
      <c r="F149" s="120" t="str">
        <f aca="false">'O_MN, PE_UTA_UGM 2023'!C122</f>
        <v>FLORES</v>
      </c>
      <c r="G149" s="121"/>
      <c r="H149" s="122"/>
      <c r="I149" s="122"/>
      <c r="J149" s="123"/>
      <c r="K149" s="124"/>
      <c r="L149" s="124"/>
      <c r="M149" s="112" t="e">
        <f aca="false">+IF(OR((#REF!+#REF!)&gt;0,(#REF!+#REF!)&gt;0,(K149+L149)&gt;0),"SI","NO")</f>
        <v>#REF!</v>
      </c>
      <c r="N149" s="136" t="n">
        <f aca="false">VLOOKUP(E150,'O_MN, PE_UTA_UGM 2023'!$B$1:$I$300,7,FALSE())</f>
        <v>2000</v>
      </c>
      <c r="O149" s="136" t="n">
        <f aca="false">VLOOKUP(E150,'O_MN, PE_UTA_UGM 2023'!$B$1:$I$300,8,FALSE())</f>
        <v>6000</v>
      </c>
      <c r="P149" s="45"/>
      <c r="Q149" s="126" t="n">
        <f aca="false">VLOOKUP(E150,'O_MN, PE_UTA_UGM 2023'!$B$1:$I$300,5,FALSE())</f>
        <v>450.76</v>
      </c>
      <c r="R149" s="126" t="n">
        <f aca="false">VLOOKUP(E150,'O_MN, PE_UTA_UGM 2023'!$B$1:$I$300,6,FALSE())</f>
        <v>721.21</v>
      </c>
      <c r="S149" s="45"/>
      <c r="T149" s="47"/>
      <c r="U149" s="127" t="n">
        <f aca="false">(H149*N149)+(I149*O149)+((K149*N149)+(L149*O149)*1.25)</f>
        <v>0</v>
      </c>
      <c r="V149" s="128"/>
      <c r="W149" s="128"/>
      <c r="X149" s="127" t="n">
        <f aca="false">(H149*Q149)+(I149*R149)+((K149*Q149)+(L149*R149)*1.25)</f>
        <v>0</v>
      </c>
      <c r="Y149" s="129"/>
      <c r="Z149" s="130" t="e">
        <f aca="false">(#REF!+#REF!+K149)*'O_MN, PE_UTA_UGM 2023'!H123</f>
        <v>#REF!</v>
      </c>
      <c r="AA149" s="131" t="e">
        <f aca="false">(#REF!+#REF!+L149)*'O_MN, PE_UTA_UGM 2023'!I123</f>
        <v>#REF!</v>
      </c>
      <c r="AB149" s="132" t="n">
        <f aca="false">IF(ISERROR(+ROUND(#REF!*N149/#REF!,3)),0,+ROUND(#REF!*N149/#REF!,3))</f>
        <v>0</v>
      </c>
      <c r="AC149" s="132" t="n">
        <f aca="false">IF(ISERROR(+ROUND(#REF!*O149/#REF!,3)),0,+ROUND(#REF!*O149/#REF!,3))</f>
        <v>0</v>
      </c>
      <c r="AD149" s="133" t="n">
        <f aca="false">IF(AND(AB149=0,AC149=0),0,#REF!*(#REF!-(#REF!*AB149/N149))+#REF!*(#REF!-(#REF!*AC149/O149)))</f>
        <v>0</v>
      </c>
      <c r="AE149" s="3"/>
      <c r="AF149" s="3"/>
      <c r="AG149" s="3"/>
      <c r="AH149" s="3"/>
      <c r="AI149" s="3"/>
    </row>
    <row r="150" customFormat="false" ht="15" hidden="false" customHeight="false" outlineLevel="0" collapsed="false">
      <c r="A150" s="3"/>
      <c r="B150" s="116"/>
      <c r="C150" s="134"/>
      <c r="D150" s="135"/>
      <c r="E150" s="119" t="n">
        <f aca="false">'O_MN, PE_UTA_UGM 2023'!B123</f>
        <v>147</v>
      </c>
      <c r="F150" s="120" t="str">
        <f aca="false">'O_MN, PE_UTA_UGM 2023'!C123</f>
        <v>ENCINA</v>
      </c>
      <c r="G150" s="121"/>
      <c r="H150" s="122"/>
      <c r="I150" s="122"/>
      <c r="J150" s="123"/>
      <c r="K150" s="124"/>
      <c r="L150" s="124"/>
      <c r="M150" s="112" t="e">
        <f aca="false">+IF(OR((#REF!+#REF!)&gt;0,(#REF!+#REF!)&gt;0,(K150+L150)&gt;0),"SI","NO")</f>
        <v>#REF!</v>
      </c>
      <c r="N150" s="136" t="n">
        <f aca="false">VLOOKUP(E151,'O_MN, PE_UTA_UGM 2023'!$B$1:$I$300,7,FALSE())</f>
        <v>0</v>
      </c>
      <c r="O150" s="136" t="n">
        <f aca="false">VLOOKUP(E151,'O_MN, PE_UTA_UGM 2023'!$B$1:$I$300,8,FALSE())</f>
        <v>0</v>
      </c>
      <c r="P150" s="45"/>
      <c r="Q150" s="126" t="n">
        <f aca="false">VLOOKUP(E151,'O_MN, PE_UTA_UGM 2023'!$B$1:$I$300,5,FALSE())</f>
        <v>1E-005</v>
      </c>
      <c r="R150" s="126" t="n">
        <f aca="false">VLOOKUP(E151,'O_MN, PE_UTA_UGM 2023'!$B$1:$I$300,6,FALSE())</f>
        <v>1E-005</v>
      </c>
      <c r="S150" s="45"/>
      <c r="T150" s="47"/>
      <c r="U150" s="127" t="n">
        <f aca="false">(H150*N150)+(I150*O150)+((K150*N150)+(L150*O150)*1.25)</f>
        <v>0</v>
      </c>
      <c r="V150" s="128"/>
      <c r="W150" s="128"/>
      <c r="X150" s="127" t="n">
        <f aca="false">(H150*Q150)+(I150*R150)+((K150*Q150)+(L150*R150)*1.25)</f>
        <v>0</v>
      </c>
      <c r="Y150" s="129"/>
      <c r="Z150" s="130" t="e">
        <f aca="false">(#REF!+#REF!+K150)*'O_MN, PE_UTA_UGM 2023'!H124</f>
        <v>#REF!</v>
      </c>
      <c r="AA150" s="131" t="e">
        <f aca="false">(#REF!+#REF!+L150)*'O_MN, PE_UTA_UGM 2023'!I124</f>
        <v>#REF!</v>
      </c>
      <c r="AB150" s="132" t="n">
        <f aca="false">IF(ISERROR(+ROUND(#REF!*N150/#REF!,3)),0,+ROUND(#REF!*N150/#REF!,3))</f>
        <v>0</v>
      </c>
      <c r="AC150" s="132" t="n">
        <f aca="false">IF(ISERROR(+ROUND(#REF!*O150/#REF!,3)),0,+ROUND(#REF!*O150/#REF!,3))</f>
        <v>0</v>
      </c>
      <c r="AD150" s="133" t="n">
        <f aca="false">IF(AND(AB150=0,AC150=0),0,#REF!*(#REF!-(#REF!*AB150/N150))+#REF!*(#REF!-(#REF!*AC150/O150)))</f>
        <v>0</v>
      </c>
      <c r="AE150" s="3"/>
      <c r="AF150" s="3"/>
      <c r="AG150" s="3"/>
      <c r="AH150" s="3"/>
      <c r="AI150" s="3"/>
    </row>
    <row r="151" customFormat="false" ht="15" hidden="false" customHeight="false" outlineLevel="0" collapsed="false">
      <c r="A151" s="3"/>
      <c r="B151" s="116"/>
      <c r="C151" s="134"/>
      <c r="D151" s="135"/>
      <c r="E151" s="119" t="n">
        <f aca="false">'O_MN, PE_UTA_UGM 2023'!B124</f>
        <v>500</v>
      </c>
      <c r="F151" s="120" t="str">
        <f aca="false">'O_MN, PE_UTA_UGM 2023'!C124</f>
        <v>FORESTACIONES VINCULADAS AL REGLAMENTO Nº 1257/1999</v>
      </c>
      <c r="G151" s="121"/>
      <c r="H151" s="122"/>
      <c r="I151" s="122"/>
      <c r="J151" s="123"/>
      <c r="K151" s="124"/>
      <c r="L151" s="124"/>
      <c r="M151" s="112" t="e">
        <f aca="false">+IF(OR((#REF!+#REF!)&gt;0,(#REF!+#REF!)&gt;0,(K151+L151)&gt;0),"SI","NO")</f>
        <v>#REF!</v>
      </c>
      <c r="N151" s="136" t="n">
        <f aca="false">VLOOKUP(E152,'O_MN, PE_UTA_UGM 2023'!$B$1:$I$300,7,FALSE())</f>
        <v>0</v>
      </c>
      <c r="O151" s="136" t="n">
        <f aca="false">VLOOKUP(E152,'O_MN, PE_UTA_UGM 2023'!$B$1:$I$300,8,FALSE())</f>
        <v>0</v>
      </c>
      <c r="P151" s="45"/>
      <c r="Q151" s="126" t="n">
        <f aca="false">VLOOKUP(E152,'O_MN, PE_UTA_UGM 2023'!$B$1:$I$300,5,FALSE())</f>
        <v>1E-005</v>
      </c>
      <c r="R151" s="126" t="n">
        <f aca="false">VLOOKUP(E152,'O_MN, PE_UTA_UGM 2023'!$B$1:$I$300,6,FALSE())</f>
        <v>1E-005</v>
      </c>
      <c r="S151" s="45"/>
      <c r="T151" s="47"/>
      <c r="U151" s="127" t="n">
        <f aca="false">(H151*N151)+(I151*O151)+((K151*N151)+(L151*O151)*1.25)</f>
        <v>0</v>
      </c>
      <c r="V151" s="128"/>
      <c r="W151" s="128"/>
      <c r="X151" s="127" t="n">
        <f aca="false">(H151*Q151)+(I151*R151)+((K151*Q151)+(L151*R151)*1.25)</f>
        <v>0</v>
      </c>
      <c r="Y151" s="129"/>
      <c r="Z151" s="130" t="e">
        <f aca="false">(#REF!+#REF!+K151)*'O_MN, PE_UTA_UGM 2023'!H125</f>
        <v>#REF!</v>
      </c>
      <c r="AA151" s="131" t="e">
        <f aca="false">(#REF!+#REF!+L151)*'O_MN, PE_UTA_UGM 2023'!I125</f>
        <v>#REF!</v>
      </c>
      <c r="AB151" s="132" t="n">
        <f aca="false">IF(ISERROR(+ROUND(#REF!*N151/#REF!,3)),0,+ROUND(#REF!*N151/#REF!,3))</f>
        <v>0</v>
      </c>
      <c r="AC151" s="132" t="n">
        <f aca="false">IF(ISERROR(+ROUND(#REF!*O151/#REF!,3)),0,+ROUND(#REF!*O151/#REF!,3))</f>
        <v>0</v>
      </c>
      <c r="AD151" s="133" t="n">
        <f aca="false">IF(AND(AB151=0,AC151=0),0,#REF!*(#REF!-(#REF!*AB151/N151))+#REF!*(#REF!-(#REF!*AC151/O151)))</f>
        <v>0</v>
      </c>
      <c r="AE151" s="3"/>
      <c r="AF151" s="3"/>
      <c r="AG151" s="3"/>
      <c r="AH151" s="3"/>
      <c r="AI151" s="3"/>
    </row>
    <row r="152" customFormat="false" ht="15" hidden="false" customHeight="false" outlineLevel="0" collapsed="false">
      <c r="A152" s="3"/>
      <c r="B152" s="116"/>
      <c r="C152" s="134"/>
      <c r="D152" s="135"/>
      <c r="E152" s="119" t="n">
        <f aca="false">'O_MN, PE_UTA_UGM 2023'!B125</f>
        <v>800</v>
      </c>
      <c r="F152" s="120" t="str">
        <f aca="false">'O_MN, PE_UTA_UGM 2023'!C125</f>
        <v>FORESTACIONES VINCULADAS AL REGLAMENTO Nº 1305/2013</v>
      </c>
      <c r="G152" s="121"/>
      <c r="H152" s="122"/>
      <c r="I152" s="122"/>
      <c r="J152" s="123"/>
      <c r="K152" s="124"/>
      <c r="L152" s="124"/>
      <c r="M152" s="112" t="e">
        <f aca="false">+IF(OR((#REF!+#REF!)&gt;0,(#REF!+#REF!)&gt;0,(K152+L152)&gt;0),"SI","NO")</f>
        <v>#REF!</v>
      </c>
      <c r="N152" s="136" t="n">
        <f aca="false">VLOOKUP(E153,'O_MN, PE_UTA_UGM 2023'!$B$1:$I$300,7,FALSE())</f>
        <v>0</v>
      </c>
      <c r="O152" s="136" t="n">
        <f aca="false">VLOOKUP(E153,'O_MN, PE_UTA_UGM 2023'!$B$1:$I$300,8,FALSE())</f>
        <v>0</v>
      </c>
      <c r="P152" s="45"/>
      <c r="Q152" s="126" t="n">
        <f aca="false">VLOOKUP(E153,'O_MN, PE_UTA_UGM 2023'!$B$1:$I$300,5,FALSE())</f>
        <v>1E-005</v>
      </c>
      <c r="R152" s="126" t="n">
        <f aca="false">VLOOKUP(E153,'O_MN, PE_UTA_UGM 2023'!$B$1:$I$300,6,FALSE())</f>
        <v>1E-005</v>
      </c>
      <c r="S152" s="45"/>
      <c r="T152" s="47"/>
      <c r="U152" s="127" t="n">
        <f aca="false">(H152*N152)+(I152*O152)+((K152*N152)+(L152*O152)*1.25)</f>
        <v>0</v>
      </c>
      <c r="V152" s="128"/>
      <c r="W152" s="128"/>
      <c r="X152" s="127" t="n">
        <f aca="false">(H152*Q152)+(I152*R152)+((K152*Q152)+(L152*R152)*1.25)</f>
        <v>0</v>
      </c>
      <c r="Y152" s="129"/>
      <c r="Z152" s="130" t="e">
        <f aca="false">(#REF!+#REF!+K152)*'O_MN, PE_UTA_UGM 2023'!H126</f>
        <v>#REF!</v>
      </c>
      <c r="AA152" s="131" t="e">
        <f aca="false">(#REF!+#REF!+L152)*'O_MN, PE_UTA_UGM 2023'!I126</f>
        <v>#REF!</v>
      </c>
      <c r="AB152" s="132" t="n">
        <f aca="false">IF(ISERROR(+ROUND(#REF!*N152/#REF!,3)),0,+ROUND(#REF!*N152/#REF!,3))</f>
        <v>0</v>
      </c>
      <c r="AC152" s="132" t="n">
        <f aca="false">IF(ISERROR(+ROUND(#REF!*O152/#REF!,3)),0,+ROUND(#REF!*O152/#REF!,3))</f>
        <v>0</v>
      </c>
      <c r="AD152" s="133" t="n">
        <f aca="false">IF(AND(AB152=0,AC152=0),0,#REF!*(#REF!-(#REF!*AB152/N152))+#REF!*(#REF!-(#REF!*AC152/O152)))</f>
        <v>0</v>
      </c>
      <c r="AE152" s="3"/>
      <c r="AF152" s="3"/>
      <c r="AG152" s="3"/>
      <c r="AH152" s="3"/>
      <c r="AI152" s="3"/>
    </row>
    <row r="153" customFormat="false" ht="15" hidden="false" customHeight="false" outlineLevel="0" collapsed="false">
      <c r="A153" s="3"/>
      <c r="B153" s="116"/>
      <c r="C153" s="134"/>
      <c r="D153" s="135"/>
      <c r="E153" s="119" t="n">
        <f aca="false">'O_MN, PE_UTA_UGM 2023'!B126</f>
        <v>600</v>
      </c>
      <c r="F153" s="120" t="str">
        <f aca="false">'O_MN, PE_UTA_UGM 2023'!C126</f>
        <v>FORESTACIONES VINCULADAS AL REGLAMENTO Nº 1698/2005</v>
      </c>
      <c r="G153" s="121"/>
      <c r="H153" s="122"/>
      <c r="I153" s="122"/>
      <c r="J153" s="123"/>
      <c r="K153" s="124"/>
      <c r="L153" s="124"/>
      <c r="M153" s="112" t="e">
        <f aca="false">+IF(OR((#REF!+#REF!)&gt;0,(#REF!+#REF!)&gt;0,(K153+L153)&gt;0),"SI","NO")</f>
        <v>#REF!</v>
      </c>
      <c r="N153" s="136" t="n">
        <f aca="false">VLOOKUP(E154,'O_MN, PE_UTA_UGM 2023'!$B$1:$I$300,7,FALSE())</f>
        <v>0</v>
      </c>
      <c r="O153" s="136" t="n">
        <f aca="false">VLOOKUP(E154,'O_MN, PE_UTA_UGM 2023'!$B$1:$I$300,8,FALSE())</f>
        <v>3800</v>
      </c>
      <c r="P153" s="45"/>
      <c r="Q153" s="126" t="n">
        <f aca="false">VLOOKUP(E154,'O_MN, PE_UTA_UGM 2023'!$B$1:$I$300,5,FALSE())</f>
        <v>450.76</v>
      </c>
      <c r="R153" s="126" t="n">
        <f aca="false">VLOOKUP(E154,'O_MN, PE_UTA_UGM 2023'!$B$1:$I$300,6,FALSE())</f>
        <v>721.21</v>
      </c>
      <c r="S153" s="45"/>
      <c r="T153" s="47"/>
      <c r="U153" s="127" t="n">
        <f aca="false">(H153*N153)+(I153*O153)+((K153*N153)+(L153*O153)*1.25)</f>
        <v>0</v>
      </c>
      <c r="V153" s="128"/>
      <c r="W153" s="128"/>
      <c r="X153" s="127" t="n">
        <f aca="false">(H153*Q153)+(I153*R153)+((K153*Q153)+(L153*R153)*1.25)</f>
        <v>0</v>
      </c>
      <c r="Y153" s="129"/>
      <c r="Z153" s="130" t="e">
        <f aca="false">(#REF!+#REF!+K153)*'O_MN, PE_UTA_UGM 2023'!H127</f>
        <v>#REF!</v>
      </c>
      <c r="AA153" s="131" t="e">
        <f aca="false">(#REF!+#REF!+L153)*'O_MN, PE_UTA_UGM 2023'!I127</f>
        <v>#REF!</v>
      </c>
      <c r="AB153" s="132" t="n">
        <f aca="false">IF(ISERROR(+ROUND(#REF!*N153/#REF!,3)),0,+ROUND(#REF!*N153/#REF!,3))</f>
        <v>0</v>
      </c>
      <c r="AC153" s="132" t="n">
        <f aca="false">IF(ISERROR(+ROUND(#REF!*O153/#REF!,3)),0,+ROUND(#REF!*O153/#REF!,3))</f>
        <v>0</v>
      </c>
      <c r="AD153" s="133" t="n">
        <f aca="false">IF(AND(AB153=0,AC153=0),0,#REF!*(#REF!-(#REF!*AB153/N153))+#REF!*(#REF!-(#REF!*AC153/O153)))</f>
        <v>0</v>
      </c>
      <c r="AE153" s="3"/>
      <c r="AF153" s="3"/>
      <c r="AG153" s="3"/>
      <c r="AH153" s="3"/>
      <c r="AI153" s="3"/>
    </row>
    <row r="154" customFormat="false" ht="15" hidden="false" customHeight="false" outlineLevel="0" collapsed="false">
      <c r="A154" s="3"/>
      <c r="B154" s="116"/>
      <c r="C154" s="134"/>
      <c r="D154" s="135"/>
      <c r="E154" s="119" t="n">
        <f aca="false">'O_MN, PE_UTA_UGM 2023'!B127</f>
        <v>192</v>
      </c>
      <c r="F154" s="120" t="str">
        <f aca="false">'O_MN, PE_UTA_UGM 2023'!C127</f>
        <v>FRAMBUESAS</v>
      </c>
      <c r="G154" s="121"/>
      <c r="H154" s="122"/>
      <c r="I154" s="122"/>
      <c r="J154" s="123"/>
      <c r="K154" s="124"/>
      <c r="L154" s="124"/>
      <c r="M154" s="112" t="e">
        <f aca="false">+IF(OR((#REF!+#REF!)&gt;0,(#REF!+#REF!)&gt;0,(K154+L154)&gt;0),"SI","NO")</f>
        <v>#REF!</v>
      </c>
      <c r="N154" s="136" t="n">
        <f aca="false">VLOOKUP(E155,'O_MN, PE_UTA_UGM 2023'!$B$1:$I$300,7,FALSE())</f>
        <v>0</v>
      </c>
      <c r="O154" s="136" t="n">
        <f aca="false">VLOOKUP(E155,'O_MN, PE_UTA_UGM 2023'!$B$1:$I$300,8,FALSE())</f>
        <v>6000</v>
      </c>
      <c r="P154" s="45"/>
      <c r="Q154" s="126" t="n">
        <f aca="false">VLOOKUP(E155,'O_MN, PE_UTA_UGM 2023'!$B$1:$I$300,5,FALSE())</f>
        <v>360.61</v>
      </c>
      <c r="R154" s="126" t="n">
        <f aca="false">VLOOKUP(E155,'O_MN, PE_UTA_UGM 2023'!$B$1:$I$300,6,FALSE())</f>
        <v>1352.28</v>
      </c>
      <c r="S154" s="45"/>
      <c r="T154" s="47"/>
      <c r="U154" s="127" t="n">
        <f aca="false">(H154*N154)+(I154*O154)+((K154*N154)+(L154*O154)*1.25)</f>
        <v>0</v>
      </c>
      <c r="V154" s="128"/>
      <c r="W154" s="128"/>
      <c r="X154" s="127" t="n">
        <f aca="false">(H154*Q154)+(I154*R154)+((K154*Q154)+(L154*R154)*1.25)</f>
        <v>0</v>
      </c>
      <c r="Y154" s="129"/>
      <c r="Z154" s="130" t="e">
        <f aca="false">(#REF!+#REF!+K154)*'O_MN, PE_UTA_UGM 2023'!H128</f>
        <v>#REF!</v>
      </c>
      <c r="AA154" s="131" t="e">
        <f aca="false">(#REF!+#REF!+L154)*'O_MN, PE_UTA_UGM 2023'!I128</f>
        <v>#REF!</v>
      </c>
      <c r="AB154" s="132" t="n">
        <f aca="false">IF(ISERROR(+ROUND(#REF!*N154/#REF!,3)),0,+ROUND(#REF!*N154/#REF!,3))</f>
        <v>0</v>
      </c>
      <c r="AC154" s="132" t="n">
        <f aca="false">IF(ISERROR(+ROUND(#REF!*O154/#REF!,3)),0,+ROUND(#REF!*O154/#REF!,3))</f>
        <v>0</v>
      </c>
      <c r="AD154" s="133" t="n">
        <f aca="false">IF(AND(AB154=0,AC154=0),0,#REF!*(#REF!-(#REF!*AB154/N154))+#REF!*(#REF!-(#REF!*AC154/O154)))</f>
        <v>0</v>
      </c>
      <c r="AE154" s="3"/>
      <c r="AF154" s="3"/>
      <c r="AG154" s="3"/>
      <c r="AH154" s="3"/>
      <c r="AI154" s="3"/>
    </row>
    <row r="155" customFormat="false" ht="15" hidden="false" customHeight="false" outlineLevel="0" collapsed="false">
      <c r="A155" s="3"/>
      <c r="B155" s="116"/>
      <c r="C155" s="134"/>
      <c r="D155" s="135"/>
      <c r="E155" s="119" t="n">
        <f aca="false">'O_MN, PE_UTA_UGM 2023'!B128</f>
        <v>219</v>
      </c>
      <c r="F155" s="120" t="str">
        <f aca="false">'O_MN, PE_UTA_UGM 2023'!C128</f>
        <v>FRESAS</v>
      </c>
      <c r="G155" s="121"/>
      <c r="H155" s="122"/>
      <c r="I155" s="122"/>
      <c r="J155" s="123"/>
      <c r="K155" s="124"/>
      <c r="L155" s="124"/>
      <c r="M155" s="112" t="e">
        <f aca="false">+IF(OR((#REF!+#REF!)&gt;0,(#REF!+#REF!)&gt;0,(K155+L155)&gt;0),"SI","NO")</f>
        <v>#REF!</v>
      </c>
      <c r="N155" s="136" t="n">
        <f aca="false">VLOOKUP(E156,'O_MN, PE_UTA_UGM 2023'!$B$1:$I$300,7,FALSE())</f>
        <v>500</v>
      </c>
      <c r="O155" s="136" t="n">
        <f aca="false">VLOOKUP(E156,'O_MN, PE_UTA_UGM 2023'!$B$1:$I$300,8,FALSE())</f>
        <v>1500</v>
      </c>
      <c r="P155" s="45"/>
      <c r="Q155" s="126" t="n">
        <f aca="false">VLOOKUP(E156,'O_MN, PE_UTA_UGM 2023'!$B$1:$I$300,5,FALSE())</f>
        <v>450.76</v>
      </c>
      <c r="R155" s="126" t="n">
        <f aca="false">VLOOKUP(E156,'O_MN, PE_UTA_UGM 2023'!$B$1:$I$300,6,FALSE())</f>
        <v>721.21</v>
      </c>
      <c r="S155" s="45"/>
      <c r="T155" s="47"/>
      <c r="U155" s="127" t="n">
        <f aca="false">(H155*N155)+(I155*O155)+((K155*N155)+(L155*O155)*1.25)</f>
        <v>0</v>
      </c>
      <c r="V155" s="128"/>
      <c r="W155" s="128"/>
      <c r="X155" s="127" t="n">
        <f aca="false">(H155*Q155)+(I155*R155)+((K155*Q155)+(L155*R155)*1.25)</f>
        <v>0</v>
      </c>
      <c r="Y155" s="129"/>
      <c r="Z155" s="130" t="e">
        <f aca="false">(#REF!+#REF!+K155)*'O_MN, PE_UTA_UGM 2023'!H129</f>
        <v>#REF!</v>
      </c>
      <c r="AA155" s="131" t="e">
        <f aca="false">(#REF!+#REF!+L155)*'O_MN, PE_UTA_UGM 2023'!I129</f>
        <v>#REF!</v>
      </c>
      <c r="AB155" s="132" t="n">
        <f aca="false">IF(ISERROR(+ROUND(#REF!*N155/#REF!,3)),0,+ROUND(#REF!*N155/#REF!,3))</f>
        <v>0</v>
      </c>
      <c r="AC155" s="132" t="n">
        <f aca="false">IF(ISERROR(+ROUND(#REF!*O155/#REF!,3)),0,+ROUND(#REF!*O155/#REF!,3))</f>
        <v>0</v>
      </c>
      <c r="AD155" s="133" t="n">
        <f aca="false">IF(AND(AB155=0,AC155=0),0,#REF!*(#REF!-(#REF!*AB155/N155))+#REF!*(#REF!-(#REF!*AC155/O155)))</f>
        <v>0</v>
      </c>
      <c r="AE155" s="3"/>
      <c r="AF155" s="3"/>
      <c r="AG155" s="3"/>
      <c r="AH155" s="3"/>
      <c r="AI155" s="3"/>
    </row>
    <row r="156" customFormat="false" ht="15" hidden="false" customHeight="false" outlineLevel="0" collapsed="false">
      <c r="A156" s="3"/>
      <c r="B156" s="116"/>
      <c r="C156" s="134"/>
      <c r="D156" s="135"/>
      <c r="E156" s="119" t="n">
        <f aca="false">'O_MN, PE_UTA_UGM 2023'!B129</f>
        <v>125</v>
      </c>
      <c r="F156" s="120" t="str">
        <f aca="false">'O_MN, PE_UTA_UGM 2023'!C129</f>
        <v>FRUTOS DE CÁSCARA</v>
      </c>
      <c r="G156" s="121"/>
      <c r="H156" s="122"/>
      <c r="I156" s="122"/>
      <c r="J156" s="123"/>
      <c r="K156" s="124"/>
      <c r="L156" s="124"/>
      <c r="M156" s="112" t="e">
        <f aca="false">+IF(OR((#REF!+#REF!)&gt;0,(#REF!+#REF!)&gt;0,(K156+L156)&gt;0),"SI","NO")</f>
        <v>#REF!</v>
      </c>
      <c r="N156" s="136" t="n">
        <f aca="false">VLOOKUP(E157,'O_MN, PE_UTA_UGM 2023'!$B$1:$I$300,7,FALSE())</f>
        <v>0</v>
      </c>
      <c r="O156" s="136" t="n">
        <f aca="false">VLOOKUP(E157,'O_MN, PE_UTA_UGM 2023'!$B$1:$I$300,8,FALSE())</f>
        <v>3800</v>
      </c>
      <c r="P156" s="45"/>
      <c r="Q156" s="126" t="n">
        <f aca="false">VLOOKUP(E157,'O_MN, PE_UTA_UGM 2023'!$B$1:$I$300,5,FALSE())</f>
        <v>450.76</v>
      </c>
      <c r="R156" s="126" t="n">
        <f aca="false">VLOOKUP(E157,'O_MN, PE_UTA_UGM 2023'!$B$1:$I$300,6,FALSE())</f>
        <v>721.21</v>
      </c>
      <c r="S156" s="45"/>
      <c r="T156" s="47"/>
      <c r="U156" s="127" t="n">
        <f aca="false">(H156*N156)+(I156*O156)+((K156*N156)+(L156*O156)*1.25)</f>
        <v>0</v>
      </c>
      <c r="V156" s="128"/>
      <c r="W156" s="128"/>
      <c r="X156" s="127" t="n">
        <f aca="false">(H156*Q156)+(I156*R156)+((K156*Q156)+(L156*R156)*1.25)</f>
        <v>0</v>
      </c>
      <c r="Y156" s="129"/>
      <c r="Z156" s="130" t="e">
        <f aca="false">(#REF!+#REF!+K156)*'O_MN, PE_UTA_UGM 2023'!H130</f>
        <v>#REF!</v>
      </c>
      <c r="AA156" s="131" t="e">
        <f aca="false">(#REF!+#REF!+L156)*'O_MN, PE_UTA_UGM 2023'!I130</f>
        <v>#REF!</v>
      </c>
      <c r="AB156" s="132" t="n">
        <f aca="false">IF(ISERROR(+ROUND(#REF!*N156/#REF!,3)),0,+ROUND(#REF!*N156/#REF!,3))</f>
        <v>0</v>
      </c>
      <c r="AC156" s="132" t="n">
        <f aca="false">IF(ISERROR(+ROUND(#REF!*O156/#REF!,3)),0,+ROUND(#REF!*O156/#REF!,3))</f>
        <v>0</v>
      </c>
      <c r="AD156" s="133" t="n">
        <f aca="false">IF(AND(AB156=0,AC156=0),0,#REF!*(#REF!-(#REF!*AB156/N156))+#REF!*(#REF!-(#REF!*AC156/O156)))</f>
        <v>0</v>
      </c>
      <c r="AE156" s="3"/>
      <c r="AF156" s="3"/>
      <c r="AG156" s="3"/>
      <c r="AH156" s="3"/>
      <c r="AI156" s="3"/>
    </row>
    <row r="157" customFormat="false" ht="15" hidden="false" customHeight="false" outlineLevel="0" collapsed="false">
      <c r="A157" s="3"/>
      <c r="B157" s="116"/>
      <c r="C157" s="134"/>
      <c r="D157" s="135"/>
      <c r="E157" s="119" t="n">
        <f aca="false">'O_MN, PE_UTA_UGM 2023'!B130</f>
        <v>278</v>
      </c>
      <c r="F157" s="120" t="str">
        <f aca="false">'O_MN, PE_UTA_UGM 2023'!C130</f>
        <v>FRUTOS DEL BOSQUE</v>
      </c>
      <c r="G157" s="121"/>
      <c r="H157" s="122"/>
      <c r="I157" s="122"/>
      <c r="J157" s="123"/>
      <c r="K157" s="124"/>
      <c r="L157" s="124"/>
      <c r="M157" s="112" t="e">
        <f aca="false">+IF(OR((#REF!+#REF!)&gt;0,(#REF!+#REF!)&gt;0,(K157+L157)&gt;0),"SI","NO")</f>
        <v>#REF!</v>
      </c>
      <c r="N157" s="136" t="n">
        <f aca="false">VLOOKUP(E158,'O_MN, PE_UTA_UGM 2023'!$B$1:$I$300,7,FALSE())</f>
        <v>350</v>
      </c>
      <c r="O157" s="136" t="n">
        <f aca="false">VLOOKUP(E158,'O_MN, PE_UTA_UGM 2023'!$B$1:$I$300,8,FALSE())</f>
        <v>1000</v>
      </c>
      <c r="P157" s="45"/>
      <c r="Q157" s="126" t="n">
        <f aca="false">VLOOKUP(E158,'O_MN, PE_UTA_UGM 2023'!$B$1:$I$300,5,FALSE())</f>
        <v>114.19</v>
      </c>
      <c r="R157" s="126" t="n">
        <f aca="false">VLOOKUP(E158,'O_MN, PE_UTA_UGM 2023'!$B$1:$I$300,6,FALSE())</f>
        <v>240.4</v>
      </c>
      <c r="S157" s="45"/>
      <c r="T157" s="47"/>
      <c r="U157" s="127" t="n">
        <f aca="false">(H157*N157)+(I157*O157)+((K157*N157)+(L157*O157)*1.25)</f>
        <v>0</v>
      </c>
      <c r="V157" s="128"/>
      <c r="W157" s="128"/>
      <c r="X157" s="127" t="n">
        <f aca="false">(H157*Q157)+(I157*R157)+((K157*Q157)+(L157*R157)*1.25)</f>
        <v>0</v>
      </c>
      <c r="Y157" s="129"/>
      <c r="Z157" s="130" t="e">
        <f aca="false">(#REF!+#REF!+K157)*'O_MN, PE_UTA_UGM 2023'!H131</f>
        <v>#REF!</v>
      </c>
      <c r="AA157" s="131" t="e">
        <f aca="false">(#REF!+#REF!+L157)*'O_MN, PE_UTA_UGM 2023'!I131</f>
        <v>#REF!</v>
      </c>
      <c r="AB157" s="132" t="n">
        <f aca="false">IF(ISERROR(+ROUND(#REF!*N157/#REF!,3)),0,+ROUND(#REF!*N157/#REF!,3))</f>
        <v>0</v>
      </c>
      <c r="AC157" s="132" t="n">
        <f aca="false">IF(ISERROR(+ROUND(#REF!*O157/#REF!,3)),0,+ROUND(#REF!*O157/#REF!,3))</f>
        <v>0</v>
      </c>
      <c r="AD157" s="133" t="n">
        <f aca="false">IF(AND(AB157=0,AC157=0),0,#REF!*(#REF!-(#REF!*AB157/N157))+#REF!*(#REF!-(#REF!*AC157/O157)))</f>
        <v>0</v>
      </c>
      <c r="AE157" s="3"/>
      <c r="AF157" s="3"/>
      <c r="AG157" s="3"/>
      <c r="AH157" s="3"/>
      <c r="AI157" s="3"/>
    </row>
    <row r="158" customFormat="false" ht="15" hidden="false" customHeight="false" outlineLevel="0" collapsed="false">
      <c r="A158" s="3"/>
      <c r="B158" s="116"/>
      <c r="C158" s="134"/>
      <c r="D158" s="135"/>
      <c r="E158" s="119" t="n">
        <f aca="false">'O_MN, PE_UTA_UGM 2023'!B131</f>
        <v>50</v>
      </c>
      <c r="F158" s="120" t="str">
        <f aca="false">'O_MN, PE_UTA_UGM 2023'!C131</f>
        <v>GARBANZOS</v>
      </c>
      <c r="G158" s="121"/>
      <c r="H158" s="122"/>
      <c r="I158" s="122"/>
      <c r="J158" s="123"/>
      <c r="K158" s="124"/>
      <c r="L158" s="124"/>
      <c r="M158" s="112" t="e">
        <f aca="false">+IF(OR((#REF!+#REF!)&gt;0,(#REF!+#REF!)&gt;0,(K158+L158)&gt;0),"SI","NO")</f>
        <v>#REF!</v>
      </c>
      <c r="N158" s="136" t="n">
        <f aca="false">VLOOKUP(E159,'O_MN, PE_UTA_UGM 2023'!$B$1:$I$300,7,FALSE())</f>
        <v>1000</v>
      </c>
      <c r="O158" s="136" t="n">
        <f aca="false">VLOOKUP(E159,'O_MN, PE_UTA_UGM 2023'!$B$1:$I$300,8,FALSE())</f>
        <v>3800</v>
      </c>
      <c r="P158" s="45"/>
      <c r="Q158" s="126" t="n">
        <f aca="false">VLOOKUP(E159,'O_MN, PE_UTA_UGM 2023'!$B$1:$I$300,5,FALSE())</f>
        <v>114.19</v>
      </c>
      <c r="R158" s="126" t="n">
        <f aca="false">VLOOKUP(E159,'O_MN, PE_UTA_UGM 2023'!$B$1:$I$300,6,FALSE())</f>
        <v>240.4</v>
      </c>
      <c r="S158" s="45"/>
      <c r="T158" s="47"/>
      <c r="U158" s="127" t="n">
        <f aca="false">(H158*N158)+(I158*O158)+((K158*N158)+(L158*O158)*1.25)</f>
        <v>0</v>
      </c>
      <c r="V158" s="128"/>
      <c r="W158" s="128"/>
      <c r="X158" s="127" t="n">
        <f aca="false">(H158*Q158)+(I158*R158)+((K158*Q158)+(L158*R158)*1.25)</f>
        <v>0</v>
      </c>
      <c r="Y158" s="129"/>
      <c r="Z158" s="130" t="e">
        <f aca="false">(#REF!+#REF!+K158)*'O_MN, PE_UTA_UGM 2023'!H132</f>
        <v>#REF!</v>
      </c>
      <c r="AA158" s="131" t="e">
        <f aca="false">(#REF!+#REF!+L158)*'O_MN, PE_UTA_UGM 2023'!I132</f>
        <v>#REF!</v>
      </c>
      <c r="AB158" s="132" t="n">
        <f aca="false">IF(ISERROR(+ROUND(#REF!*N158/#REF!,3)),0,+ROUND(#REF!*N158/#REF!,3))</f>
        <v>0</v>
      </c>
      <c r="AC158" s="132" t="n">
        <f aca="false">IF(ISERROR(+ROUND(#REF!*O158/#REF!,3)),0,+ROUND(#REF!*O158/#REF!,3))</f>
        <v>0</v>
      </c>
      <c r="AD158" s="133" t="n">
        <f aca="false">IF(AND(AB158=0,AC158=0),0,#REF!*(#REF!-(#REF!*AB158/N158))+#REF!*(#REF!-(#REF!*AC158/O158)))</f>
        <v>0</v>
      </c>
      <c r="AE158" s="3"/>
      <c r="AF158" s="3"/>
      <c r="AG158" s="3"/>
      <c r="AH158" s="3"/>
      <c r="AI158" s="3"/>
    </row>
    <row r="159" customFormat="false" ht="15" hidden="false" customHeight="false" outlineLevel="0" collapsed="false">
      <c r="A159" s="3"/>
      <c r="B159" s="116"/>
      <c r="C159" s="134"/>
      <c r="D159" s="135"/>
      <c r="E159" s="119" t="n">
        <f aca="false">'O_MN, PE_UTA_UGM 2023'!B132</f>
        <v>258</v>
      </c>
      <c r="F159" s="120" t="str">
        <f aca="false">'O_MN, PE_UTA_UGM 2023'!C132</f>
        <v>GENCIANA</v>
      </c>
      <c r="G159" s="121"/>
      <c r="H159" s="122"/>
      <c r="I159" s="122"/>
      <c r="J159" s="123"/>
      <c r="K159" s="124"/>
      <c r="L159" s="124"/>
      <c r="M159" s="112" t="e">
        <f aca="false">+IF(OR((#REF!+#REF!)&gt;0,(#REF!+#REF!)&gt;0,(K159+L159)&gt;0),"SI","NO")</f>
        <v>#REF!</v>
      </c>
      <c r="N159" s="136" t="n">
        <f aca="false">VLOOKUP(E160,'O_MN, PE_UTA_UGM 2023'!$B$1:$I$300,7,FALSE())</f>
        <v>1000</v>
      </c>
      <c r="O159" s="136" t="n">
        <f aca="false">VLOOKUP(E160,'O_MN, PE_UTA_UGM 2023'!$B$1:$I$300,8,FALSE())</f>
        <v>3800</v>
      </c>
      <c r="P159" s="45"/>
      <c r="Q159" s="126" t="n">
        <f aca="false">VLOOKUP(E160,'O_MN, PE_UTA_UGM 2023'!$B$1:$I$300,5,FALSE())</f>
        <v>114.19</v>
      </c>
      <c r="R159" s="126" t="n">
        <f aca="false">VLOOKUP(E160,'O_MN, PE_UTA_UGM 2023'!$B$1:$I$300,6,FALSE())</f>
        <v>240.4</v>
      </c>
      <c r="S159" s="45"/>
      <c r="T159" s="47"/>
      <c r="U159" s="127" t="n">
        <f aca="false">(H159*N159)+(I159*O159)+((K159*N159)+(L159*O159)*1.25)</f>
        <v>0</v>
      </c>
      <c r="V159" s="128"/>
      <c r="W159" s="128"/>
      <c r="X159" s="127" t="n">
        <f aca="false">(H159*Q159)+(I159*R159)+((K159*Q159)+(L159*R159)*1.25)</f>
        <v>0</v>
      </c>
      <c r="Y159" s="129"/>
      <c r="Z159" s="130" t="e">
        <f aca="false">(#REF!+#REF!+K159)*'O_MN, PE_UTA_UGM 2023'!H133</f>
        <v>#REF!</v>
      </c>
      <c r="AA159" s="131" t="e">
        <f aca="false">(#REF!+#REF!+L159)*'O_MN, PE_UTA_UGM 2023'!I133</f>
        <v>#REF!</v>
      </c>
      <c r="AB159" s="132" t="n">
        <f aca="false">IF(ISERROR(+ROUND(#REF!*N159/#REF!,3)),0,+ROUND(#REF!*N159/#REF!,3))</f>
        <v>0</v>
      </c>
      <c r="AC159" s="132" t="n">
        <f aca="false">IF(ISERROR(+ROUND(#REF!*O159/#REF!,3)),0,+ROUND(#REF!*O159/#REF!,3))</f>
        <v>0</v>
      </c>
      <c r="AD159" s="133" t="n">
        <f aca="false">IF(AND(AB159=0,AC159=0),0,#REF!*(#REF!-(#REF!*AB159/N159))+#REF!*(#REF!-(#REF!*AC159/O159)))</f>
        <v>0</v>
      </c>
      <c r="AE159" s="3"/>
      <c r="AF159" s="3"/>
      <c r="AG159" s="3"/>
      <c r="AH159" s="3"/>
      <c r="AI159" s="3"/>
    </row>
    <row r="160" customFormat="false" ht="15" hidden="false" customHeight="false" outlineLevel="0" collapsed="false">
      <c r="A160" s="3"/>
      <c r="B160" s="116"/>
      <c r="C160" s="134"/>
      <c r="D160" s="135"/>
      <c r="E160" s="119" t="n">
        <f aca="false">'O_MN, PE_UTA_UGM 2023'!B133</f>
        <v>313</v>
      </c>
      <c r="F160" s="120" t="str">
        <f aca="false">'O_MN, PE_UTA_UGM 2023'!C133</f>
        <v>GINSENG</v>
      </c>
      <c r="G160" s="121"/>
      <c r="H160" s="122"/>
      <c r="I160" s="122"/>
      <c r="J160" s="123"/>
      <c r="K160" s="124"/>
      <c r="L160" s="124"/>
      <c r="M160" s="112" t="e">
        <f aca="false">+IF(OR((#REF!+#REF!)&gt;0,(#REF!+#REF!)&gt;0,(K160+L160)&gt;0),"SI","NO")</f>
        <v>#REF!</v>
      </c>
      <c r="N160" s="136" t="n">
        <f aca="false">VLOOKUP(E161,'O_MN, PE_UTA_UGM 2023'!$B$1:$I$300,7,FALSE())</f>
        <v>350</v>
      </c>
      <c r="O160" s="136" t="n">
        <f aca="false">VLOOKUP(E161,'O_MN, PE_UTA_UGM 2023'!$B$1:$I$300,8,FALSE())</f>
        <v>750</v>
      </c>
      <c r="P160" s="45"/>
      <c r="Q160" s="126" t="n">
        <f aca="false">VLOOKUP(E161,'O_MN, PE_UTA_UGM 2023'!$B$1:$I$300,5,FALSE())</f>
        <v>114.19</v>
      </c>
      <c r="R160" s="126" t="n">
        <f aca="false">VLOOKUP(E161,'O_MN, PE_UTA_UGM 2023'!$B$1:$I$300,6,FALSE())</f>
        <v>240.4</v>
      </c>
      <c r="S160" s="45"/>
      <c r="T160" s="47"/>
      <c r="U160" s="127" t="n">
        <f aca="false">(H160*N160)+(I160*O160)+((K160*N160)+(L160*O160)*1.25)</f>
        <v>0</v>
      </c>
      <c r="V160" s="128"/>
      <c r="W160" s="128"/>
      <c r="X160" s="127" t="n">
        <f aca="false">(H160*Q160)+(I160*R160)+((K160*Q160)+(L160*R160)*1.25)</f>
        <v>0</v>
      </c>
      <c r="Y160" s="129"/>
      <c r="Z160" s="130" t="e">
        <f aca="false">(#REF!+#REF!+K160)*'O_MN, PE_UTA_UGM 2023'!H134</f>
        <v>#REF!</v>
      </c>
      <c r="AA160" s="131" t="e">
        <f aca="false">(#REF!+#REF!+L160)*'O_MN, PE_UTA_UGM 2023'!I134</f>
        <v>#REF!</v>
      </c>
      <c r="AB160" s="132" t="n">
        <f aca="false">IF(ISERROR(+ROUND(#REF!*N160/#REF!,3)),0,+ROUND(#REF!*N160/#REF!,3))</f>
        <v>0</v>
      </c>
      <c r="AC160" s="132" t="n">
        <f aca="false">IF(ISERROR(+ROUND(#REF!*O160/#REF!,3)),0,+ROUND(#REF!*O160/#REF!,3))</f>
        <v>0</v>
      </c>
      <c r="AD160" s="133" t="n">
        <f aca="false">IF(AND(AB160=0,AC160=0),0,#REF!*(#REF!-(#REF!*AB160/N160))+#REF!*(#REF!-(#REF!*AC160/O160)))</f>
        <v>0</v>
      </c>
      <c r="AE160" s="3"/>
      <c r="AF160" s="3"/>
      <c r="AG160" s="3"/>
      <c r="AH160" s="3"/>
      <c r="AI160" s="3"/>
    </row>
    <row r="161" customFormat="false" ht="15" hidden="false" customHeight="false" outlineLevel="0" collapsed="false">
      <c r="A161" s="3"/>
      <c r="B161" s="116"/>
      <c r="C161" s="134"/>
      <c r="D161" s="135"/>
      <c r="E161" s="119" t="n">
        <f aca="false">'O_MN, PE_UTA_UGM 2023'!B134</f>
        <v>33</v>
      </c>
      <c r="F161" s="120" t="str">
        <f aca="false">'O_MN, PE_UTA_UGM 2023'!C134</f>
        <v>GIRASOL</v>
      </c>
      <c r="G161" s="121"/>
      <c r="H161" s="122"/>
      <c r="I161" s="122"/>
      <c r="J161" s="123"/>
      <c r="K161" s="124"/>
      <c r="L161" s="124"/>
      <c r="M161" s="112" t="e">
        <f aca="false">+IF(OR((#REF!+#REF!)&gt;0,(#REF!+#REF!)&gt;0,(K161+L161)&gt;0),"SI","NO")</f>
        <v>#REF!</v>
      </c>
      <c r="N161" s="136" t="n">
        <f aca="false">VLOOKUP(E162,'O_MN, PE_UTA_UGM 2023'!$B$1:$I$300,7,FALSE())</f>
        <v>0</v>
      </c>
      <c r="O161" s="136" t="n">
        <f aca="false">VLOOKUP(E162,'O_MN, PE_UTA_UGM 2023'!$B$1:$I$300,8,FALSE())</f>
        <v>0</v>
      </c>
      <c r="P161" s="45"/>
      <c r="Q161" s="126" t="n">
        <f aca="false">VLOOKUP(E162,'O_MN, PE_UTA_UGM 2023'!$B$1:$I$300,5,FALSE())</f>
        <v>1E-005</v>
      </c>
      <c r="R161" s="126" t="n">
        <f aca="false">VLOOKUP(E162,'O_MN, PE_UTA_UGM 2023'!$B$1:$I$300,6,FALSE())</f>
        <v>1E-005</v>
      </c>
      <c r="S161" s="45"/>
      <c r="T161" s="47"/>
      <c r="U161" s="127" t="n">
        <f aca="false">(H161*N161)+(I161*O161)+((K161*N161)+(L161*O161)*1.25)</f>
        <v>0</v>
      </c>
      <c r="V161" s="128"/>
      <c r="W161" s="128"/>
      <c r="X161" s="127" t="n">
        <f aca="false">(H161*Q161)+(I161*R161)+((K161*Q161)+(L161*R161)*1.25)</f>
        <v>0</v>
      </c>
      <c r="Y161" s="129"/>
      <c r="Z161" s="130" t="e">
        <f aca="false">(#REF!+#REF!+K161)*'O_MN, PE_UTA_UGM 2023'!H135</f>
        <v>#REF!</v>
      </c>
      <c r="AA161" s="131" t="e">
        <f aca="false">(#REF!+#REF!+L161)*'O_MN, PE_UTA_UGM 2023'!I135</f>
        <v>#REF!</v>
      </c>
      <c r="AB161" s="132" t="n">
        <f aca="false">IF(ISERROR(+ROUND(#REF!*N161/#REF!,3)),0,+ROUND(#REF!*N161/#REF!,3))</f>
        <v>0</v>
      </c>
      <c r="AC161" s="132" t="n">
        <f aca="false">IF(ISERROR(+ROUND(#REF!*O161/#REF!,3)),0,+ROUND(#REF!*O161/#REF!,3))</f>
        <v>0</v>
      </c>
      <c r="AD161" s="133" t="n">
        <f aca="false">IF(AND(AB161=0,AC161=0),0,#REF!*(#REF!-(#REF!*AB161/N161))+#REF!*(#REF!-(#REF!*AC161/O161)))</f>
        <v>0</v>
      </c>
      <c r="AE161" s="3"/>
      <c r="AF161" s="3"/>
      <c r="AG161" s="3"/>
      <c r="AH161" s="3"/>
      <c r="AI161" s="3"/>
    </row>
    <row r="162" customFormat="false" ht="15" hidden="false" customHeight="false" outlineLevel="0" collapsed="false">
      <c r="A162" s="3"/>
      <c r="B162" s="116"/>
      <c r="C162" s="134"/>
      <c r="D162" s="135"/>
      <c r="E162" s="119" t="n">
        <f aca="false">'O_MN, PE_UTA_UGM 2023'!B135</f>
        <v>231</v>
      </c>
      <c r="F162" s="120" t="str">
        <f aca="false">'O_MN, PE_UTA_UGM 2023'!C135</f>
        <v>GLEDITSIA</v>
      </c>
      <c r="G162" s="121"/>
      <c r="H162" s="122"/>
      <c r="I162" s="122"/>
      <c r="J162" s="123"/>
      <c r="K162" s="124"/>
      <c r="L162" s="124"/>
      <c r="M162" s="112" t="e">
        <f aca="false">+IF(OR((#REF!+#REF!)&gt;0,(#REF!+#REF!)&gt;0,(K162+L162)&gt;0),"SI","NO")</f>
        <v>#REF!</v>
      </c>
      <c r="N162" s="136" t="n">
        <f aca="false">VLOOKUP(E163,'O_MN, PE_UTA_UGM 2023'!$B$1:$I$300,7,FALSE())</f>
        <v>1939.72</v>
      </c>
      <c r="O162" s="136" t="n">
        <f aca="false">VLOOKUP(E163,'O_MN, PE_UTA_UGM 2023'!$B$1:$I$300,8,FALSE())</f>
        <v>6000</v>
      </c>
      <c r="P162" s="45"/>
      <c r="Q162" s="126" t="n">
        <f aca="false">VLOOKUP(E163,'O_MN, PE_UTA_UGM 2023'!$B$1:$I$300,5,FALSE())</f>
        <v>450.76</v>
      </c>
      <c r="R162" s="126" t="n">
        <f aca="false">VLOOKUP(E163,'O_MN, PE_UTA_UGM 2023'!$B$1:$I$300,6,FALSE())</f>
        <v>721.21</v>
      </c>
      <c r="S162" s="45"/>
      <c r="T162" s="47"/>
      <c r="U162" s="127" t="n">
        <f aca="false">(H162*N162)+(I162*O162)+((K162*N162)+(L162*O162)*1.25)</f>
        <v>0</v>
      </c>
      <c r="V162" s="128"/>
      <c r="W162" s="128"/>
      <c r="X162" s="127" t="n">
        <f aca="false">(H162*Q162)+(I162*R162)+((K162*Q162)+(L162*R162)*1.25)</f>
        <v>0</v>
      </c>
      <c r="Y162" s="129"/>
      <c r="Z162" s="130" t="e">
        <f aca="false">(#REF!+#REF!+K162)*'O_MN, PE_UTA_UGM 2023'!H136</f>
        <v>#REF!</v>
      </c>
      <c r="AA162" s="131" t="e">
        <f aca="false">(#REF!+#REF!+L162)*'O_MN, PE_UTA_UGM 2023'!I136</f>
        <v>#REF!</v>
      </c>
      <c r="AB162" s="132" t="n">
        <f aca="false">IF(ISERROR(+ROUND(#REF!*N162/#REF!,3)),0,+ROUND(#REF!*N162/#REF!,3))</f>
        <v>0</v>
      </c>
      <c r="AC162" s="132" t="n">
        <f aca="false">IF(ISERROR(+ROUND(#REF!*O162/#REF!,3)),0,+ROUND(#REF!*O162/#REF!,3))</f>
        <v>0</v>
      </c>
      <c r="AD162" s="133" t="n">
        <f aca="false">IF(AND(AB162=0,AC162=0),0,#REF!*(#REF!-(#REF!*AB162/N162))+#REF!*(#REF!-(#REF!*AC162/O162)))</f>
        <v>0</v>
      </c>
      <c r="AE162" s="3"/>
      <c r="AF162" s="3"/>
      <c r="AG162" s="3"/>
      <c r="AH162" s="3"/>
      <c r="AI162" s="3"/>
    </row>
    <row r="163" customFormat="false" ht="15" hidden="false" customHeight="false" outlineLevel="0" collapsed="false">
      <c r="A163" s="3"/>
      <c r="B163" s="116"/>
      <c r="C163" s="134"/>
      <c r="D163" s="135"/>
      <c r="E163" s="119" t="n">
        <f aca="false">'O_MN, PE_UTA_UGM 2023'!B136</f>
        <v>217</v>
      </c>
      <c r="F163" s="120" t="str">
        <f aca="false">'O_MN, PE_UTA_UGM 2023'!C136</f>
        <v>GRANADO</v>
      </c>
      <c r="G163" s="121"/>
      <c r="H163" s="122"/>
      <c r="I163" s="122"/>
      <c r="J163" s="123"/>
      <c r="K163" s="124"/>
      <c r="L163" s="124"/>
      <c r="M163" s="112" t="e">
        <f aca="false">+IF(OR((#REF!+#REF!)&gt;0,(#REF!+#REF!)&gt;0,(K163+L163)&gt;0),"SI","NO")</f>
        <v>#REF!</v>
      </c>
      <c r="N163" s="136" t="n">
        <f aca="false">VLOOKUP(E164,'O_MN, PE_UTA_UGM 2023'!$B$1:$I$300,7,FALSE())</f>
        <v>0</v>
      </c>
      <c r="O163" s="136" t="n">
        <f aca="false">VLOOKUP(E164,'O_MN, PE_UTA_UGM 2023'!$B$1:$I$300,8,FALSE())</f>
        <v>3800</v>
      </c>
      <c r="P163" s="45"/>
      <c r="Q163" s="126" t="n">
        <f aca="false">VLOOKUP(E164,'O_MN, PE_UTA_UGM 2023'!$B$1:$I$300,5,FALSE())</f>
        <v>450.76</v>
      </c>
      <c r="R163" s="126" t="n">
        <f aca="false">VLOOKUP(E164,'O_MN, PE_UTA_UGM 2023'!$B$1:$I$300,6,FALSE())</f>
        <v>721.21</v>
      </c>
      <c r="S163" s="45"/>
      <c r="T163" s="47"/>
      <c r="U163" s="127" t="n">
        <f aca="false">(H163*N163)+(I163*O163)+((K163*N163)+(L163*O163)*1.25)</f>
        <v>0</v>
      </c>
      <c r="V163" s="128"/>
      <c r="W163" s="128"/>
      <c r="X163" s="127" t="n">
        <f aca="false">(H163*Q163)+(I163*R163)+((K163*Q163)+(L163*R163)*1.25)</f>
        <v>0</v>
      </c>
      <c r="Y163" s="129"/>
      <c r="Z163" s="130" t="e">
        <f aca="false">(#REF!+#REF!+K163)*'O_MN, PE_UTA_UGM 2023'!H137</f>
        <v>#REF!</v>
      </c>
      <c r="AA163" s="131" t="e">
        <f aca="false">(#REF!+#REF!+L163)*'O_MN, PE_UTA_UGM 2023'!I137</f>
        <v>#REF!</v>
      </c>
      <c r="AB163" s="132" t="n">
        <f aca="false">IF(ISERROR(+ROUND(#REF!*N163/#REF!,3)),0,+ROUND(#REF!*N163/#REF!,3))</f>
        <v>0</v>
      </c>
      <c r="AC163" s="132" t="n">
        <f aca="false">IF(ISERROR(+ROUND(#REF!*O163/#REF!,3)),0,+ROUND(#REF!*O163/#REF!,3))</f>
        <v>0</v>
      </c>
      <c r="AD163" s="133" t="n">
        <f aca="false">IF(AND(AB163=0,AC163=0),0,#REF!*(#REF!-(#REF!*AB163/N163))+#REF!*(#REF!-(#REF!*AC163/O163)))</f>
        <v>0</v>
      </c>
      <c r="AE163" s="3"/>
      <c r="AF163" s="3"/>
      <c r="AG163" s="3"/>
      <c r="AH163" s="3"/>
      <c r="AI163" s="3"/>
    </row>
    <row r="164" customFormat="false" ht="15" hidden="false" customHeight="false" outlineLevel="0" collapsed="false">
      <c r="A164" s="3"/>
      <c r="B164" s="116"/>
      <c r="C164" s="134"/>
      <c r="D164" s="135"/>
      <c r="E164" s="119" t="n">
        <f aca="false">'O_MN, PE_UTA_UGM 2023'!B137</f>
        <v>215</v>
      </c>
      <c r="F164" s="120" t="str">
        <f aca="false">'O_MN, PE_UTA_UGM 2023'!C137</f>
        <v>GROSELLA</v>
      </c>
      <c r="G164" s="121"/>
      <c r="H164" s="122"/>
      <c r="I164" s="122"/>
      <c r="J164" s="123"/>
      <c r="K164" s="124"/>
      <c r="L164" s="124"/>
      <c r="M164" s="112" t="e">
        <f aca="false">+IF(OR((#REF!+#REF!)&gt;0,(#REF!+#REF!)&gt;0,(K164+L164)&gt;0),"SI","NO")</f>
        <v>#REF!</v>
      </c>
      <c r="N164" s="136" t="n">
        <f aca="false">VLOOKUP(E165,'O_MN, PE_UTA_UGM 2023'!$B$1:$I$300,7,FALSE())</f>
        <v>0</v>
      </c>
      <c r="O164" s="136" t="n">
        <f aca="false">VLOOKUP(E165,'O_MN, PE_UTA_UGM 2023'!$B$1:$I$300,8,FALSE())</f>
        <v>3800</v>
      </c>
      <c r="P164" s="45"/>
      <c r="Q164" s="126" t="n">
        <f aca="false">VLOOKUP(E165,'O_MN, PE_UTA_UGM 2023'!$B$1:$I$300,5,FALSE())</f>
        <v>450.76</v>
      </c>
      <c r="R164" s="126" t="n">
        <f aca="false">VLOOKUP(E165,'O_MN, PE_UTA_UGM 2023'!$B$1:$I$300,6,FALSE())</f>
        <v>721.21</v>
      </c>
      <c r="S164" s="45"/>
      <c r="T164" s="47"/>
      <c r="U164" s="127" t="n">
        <f aca="false">(H164*N164)+(I164*O164)+((K164*N164)+(L164*O164)*1.25)</f>
        <v>0</v>
      </c>
      <c r="V164" s="128"/>
      <c r="W164" s="128"/>
      <c r="X164" s="127" t="n">
        <f aca="false">(H164*Q164)+(I164*R164)+((K164*Q164)+(L164*R164)*1.25)</f>
        <v>0</v>
      </c>
      <c r="Y164" s="129"/>
      <c r="Z164" s="130" t="e">
        <f aca="false">(#REF!+#REF!+K164)*'O_MN, PE_UTA_UGM 2023'!H138</f>
        <v>#REF!</v>
      </c>
      <c r="AA164" s="131" t="e">
        <f aca="false">(#REF!+#REF!+L164)*'O_MN, PE_UTA_UGM 2023'!I138</f>
        <v>#REF!</v>
      </c>
      <c r="AB164" s="132" t="n">
        <f aca="false">IF(ISERROR(+ROUND(#REF!*N164/#REF!,3)),0,+ROUND(#REF!*N164/#REF!,3))</f>
        <v>0</v>
      </c>
      <c r="AC164" s="132" t="n">
        <f aca="false">IF(ISERROR(+ROUND(#REF!*O164/#REF!,3)),0,+ROUND(#REF!*O164/#REF!,3))</f>
        <v>0</v>
      </c>
      <c r="AD164" s="133" t="n">
        <f aca="false">IF(AND(AB164=0,AC164=0),0,#REF!*(#REF!-(#REF!*AB164/N164))+#REF!*(#REF!-(#REF!*AC164/O164)))</f>
        <v>0</v>
      </c>
      <c r="AE164" s="3"/>
      <c r="AF164" s="3"/>
      <c r="AG164" s="3"/>
      <c r="AH164" s="3"/>
      <c r="AI164" s="3"/>
    </row>
    <row r="165" customFormat="false" ht="15" hidden="false" customHeight="false" outlineLevel="0" collapsed="false">
      <c r="A165" s="3"/>
      <c r="B165" s="116"/>
      <c r="C165" s="134"/>
      <c r="D165" s="135"/>
      <c r="E165" s="119" t="n">
        <f aca="false">'O_MN, PE_UTA_UGM 2023'!B138</f>
        <v>292</v>
      </c>
      <c r="F165" s="120" t="str">
        <f aca="false">'O_MN, PE_UTA_UGM 2023'!C138</f>
        <v>GROSELLA NEGRA</v>
      </c>
      <c r="G165" s="121"/>
      <c r="H165" s="122"/>
      <c r="I165" s="122"/>
      <c r="J165" s="123"/>
      <c r="K165" s="124"/>
      <c r="L165" s="124"/>
      <c r="M165" s="112" t="e">
        <f aca="false">+IF(OR((#REF!+#REF!)&gt;0,(#REF!+#REF!)&gt;0,(K165+L165)&gt;0),"SI","NO")</f>
        <v>#REF!</v>
      </c>
      <c r="N165" s="136" t="n">
        <f aca="false">VLOOKUP(E166,'O_MN, PE_UTA_UGM 2023'!$B$1:$I$300,7,FALSE())</f>
        <v>0</v>
      </c>
      <c r="O165" s="136" t="n">
        <f aca="false">VLOOKUP(E166,'O_MN, PE_UTA_UGM 2023'!$B$1:$I$300,8,FALSE())</f>
        <v>5200</v>
      </c>
      <c r="P165" s="45"/>
      <c r="Q165" s="126" t="n">
        <f aca="false">VLOOKUP(E166,'O_MN, PE_UTA_UGM 2023'!$B$1:$I$300,5,FALSE())</f>
        <v>360.61</v>
      </c>
      <c r="R165" s="126" t="n">
        <f aca="false">VLOOKUP(E166,'O_MN, PE_UTA_UGM 2023'!$B$1:$I$300,6,FALSE())</f>
        <v>1352.28</v>
      </c>
      <c r="S165" s="45"/>
      <c r="T165" s="47"/>
      <c r="U165" s="127" t="n">
        <f aca="false">(H165*N165)+(I165*O165)+((K165*N165)+(L165*O165)*1.25)</f>
        <v>0</v>
      </c>
      <c r="V165" s="128"/>
      <c r="W165" s="128"/>
      <c r="X165" s="127" t="n">
        <f aca="false">(H165*Q165)+(I165*R165)+((K165*Q165)+(L165*R165)*1.25)</f>
        <v>0</v>
      </c>
      <c r="Y165" s="129"/>
      <c r="Z165" s="130" t="e">
        <f aca="false">(#REF!+#REF!+K165)*'O_MN, PE_UTA_UGM 2023'!H139</f>
        <v>#REF!</v>
      </c>
      <c r="AA165" s="131" t="e">
        <f aca="false">(#REF!+#REF!+L165)*'O_MN, PE_UTA_UGM 2023'!I139</f>
        <v>#REF!</v>
      </c>
      <c r="AB165" s="132" t="n">
        <f aca="false">IF(ISERROR(+ROUND(#REF!*N165/#REF!,3)),0,+ROUND(#REF!*N165/#REF!,3))</f>
        <v>0</v>
      </c>
      <c r="AC165" s="132" t="n">
        <f aca="false">IF(ISERROR(+ROUND(#REF!*O165/#REF!,3)),0,+ROUND(#REF!*O165/#REF!,3))</f>
        <v>0</v>
      </c>
      <c r="AD165" s="133" t="n">
        <f aca="false">IF(AND(AB165=0,AC165=0),0,#REF!*(#REF!-(#REF!*AB165/N165))+#REF!*(#REF!-(#REF!*AC165/O165)))</f>
        <v>0</v>
      </c>
      <c r="AE165" s="3"/>
      <c r="AF165" s="3"/>
      <c r="AG165" s="3"/>
      <c r="AH165" s="3"/>
      <c r="AI165" s="3"/>
    </row>
    <row r="166" customFormat="false" ht="15" hidden="false" customHeight="false" outlineLevel="0" collapsed="false">
      <c r="A166" s="3"/>
      <c r="B166" s="116"/>
      <c r="C166" s="134"/>
      <c r="D166" s="135"/>
      <c r="E166" s="119" t="n">
        <f aca="false">'O_MN, PE_UTA_UGM 2023'!B139</f>
        <v>182</v>
      </c>
      <c r="F166" s="120" t="str">
        <f aca="false">'O_MN, PE_UTA_UGM 2023'!C139</f>
        <v>GUINDILLAS</v>
      </c>
      <c r="G166" s="121"/>
      <c r="H166" s="122"/>
      <c r="I166" s="122"/>
      <c r="J166" s="123"/>
      <c r="K166" s="124"/>
      <c r="L166" s="124"/>
      <c r="M166" s="112" t="e">
        <f aca="false">+IF(OR((#REF!+#REF!)&gt;0,(#REF!+#REF!)&gt;0,(K166+L166)&gt;0),"SI","NO")</f>
        <v>#REF!</v>
      </c>
      <c r="N166" s="136" t="n">
        <f aca="false">VLOOKUP(E167,'O_MN, PE_UTA_UGM 2023'!$B$1:$I$300,7,FALSE())</f>
        <v>300</v>
      </c>
      <c r="O166" s="136" t="n">
        <f aca="false">VLOOKUP(E167,'O_MN, PE_UTA_UGM 2023'!$B$1:$I$300,8,FALSE())</f>
        <v>700</v>
      </c>
      <c r="P166" s="45"/>
      <c r="Q166" s="126" t="n">
        <f aca="false">VLOOKUP(E167,'O_MN, PE_UTA_UGM 2023'!$B$1:$I$300,5,FALSE())</f>
        <v>114.19</v>
      </c>
      <c r="R166" s="126" t="n">
        <f aca="false">VLOOKUP(E167,'O_MN, PE_UTA_UGM 2023'!$B$1:$I$300,6,FALSE())</f>
        <v>240.4</v>
      </c>
      <c r="S166" s="45"/>
      <c r="T166" s="47"/>
      <c r="U166" s="127" t="n">
        <f aca="false">(H166*N166)+(I166*O166)+((K166*N166)+(L166*O166)*1.25)</f>
        <v>0</v>
      </c>
      <c r="V166" s="128"/>
      <c r="W166" s="128"/>
      <c r="X166" s="127" t="n">
        <f aca="false">(H166*Q166)+(I166*R166)+((K166*Q166)+(L166*R166)*1.25)</f>
        <v>0</v>
      </c>
      <c r="Y166" s="129"/>
      <c r="Z166" s="130" t="e">
        <f aca="false">(#REF!+#REF!+K166)*'O_MN, PE_UTA_UGM 2023'!H140</f>
        <v>#REF!</v>
      </c>
      <c r="AA166" s="131" t="e">
        <f aca="false">(#REF!+#REF!+L166)*'O_MN, PE_UTA_UGM 2023'!I140</f>
        <v>#REF!</v>
      </c>
      <c r="AB166" s="132" t="n">
        <f aca="false">IF(ISERROR(+ROUND(#REF!*N166/#REF!,3)),0,+ROUND(#REF!*N166/#REF!,3))</f>
        <v>0</v>
      </c>
      <c r="AC166" s="132" t="n">
        <f aca="false">IF(ISERROR(+ROUND(#REF!*O166/#REF!,3)),0,+ROUND(#REF!*O166/#REF!,3))</f>
        <v>0</v>
      </c>
      <c r="AD166" s="133" t="n">
        <f aca="false">IF(AND(AB166=0,AC166=0),0,#REF!*(#REF!-(#REF!*AB166/N166))+#REF!*(#REF!-(#REF!*AC166/O166)))</f>
        <v>0</v>
      </c>
      <c r="AE166" s="3"/>
      <c r="AF166" s="3"/>
      <c r="AG166" s="3"/>
      <c r="AH166" s="3"/>
      <c r="AI166" s="3"/>
    </row>
    <row r="167" customFormat="false" ht="15" hidden="false" customHeight="false" outlineLevel="0" collapsed="false">
      <c r="A167" s="3"/>
      <c r="B167" s="116"/>
      <c r="C167" s="134"/>
      <c r="D167" s="135"/>
      <c r="E167" s="119" t="n">
        <f aca="false">'O_MN, PE_UTA_UGM 2023'!B140</f>
        <v>40</v>
      </c>
      <c r="F167" s="120" t="str">
        <f aca="false">'O_MN, PE_UTA_UGM 2023'!C140</f>
        <v>GUISANTES  </v>
      </c>
      <c r="G167" s="121"/>
      <c r="H167" s="122"/>
      <c r="I167" s="122"/>
      <c r="J167" s="123"/>
      <c r="K167" s="124"/>
      <c r="L167" s="124"/>
      <c r="M167" s="112" t="e">
        <f aca="false">+IF(OR((#REF!+#REF!)&gt;0,(#REF!+#REF!)&gt;0,(K167+L167)&gt;0),"SI","NO")</f>
        <v>#REF!</v>
      </c>
      <c r="N167" s="136" t="n">
        <f aca="false">VLOOKUP(E168,'O_MN, PE_UTA_UGM 2023'!$B$1:$I$300,7,FALSE())</f>
        <v>350</v>
      </c>
      <c r="O167" s="136" t="n">
        <f aca="false">VLOOKUP(E168,'O_MN, PE_UTA_UGM 2023'!$B$1:$I$300,8,FALSE())</f>
        <v>750</v>
      </c>
      <c r="P167" s="45"/>
      <c r="Q167" s="126" t="n">
        <f aca="false">VLOOKUP(E168,'O_MN, PE_UTA_UGM 2023'!$B$1:$I$300,5,FALSE())</f>
        <v>114.19</v>
      </c>
      <c r="R167" s="126" t="n">
        <f aca="false">VLOOKUP(E168,'O_MN, PE_UTA_UGM 2023'!$B$1:$I$300,6,FALSE())</f>
        <v>240.4</v>
      </c>
      <c r="S167" s="45"/>
      <c r="T167" s="47"/>
      <c r="U167" s="127" t="n">
        <f aca="false">(H167*N167)+(I167*O167)+((K167*N167)+(L167*O167)*1.25)</f>
        <v>0</v>
      </c>
      <c r="V167" s="128"/>
      <c r="W167" s="128"/>
      <c r="X167" s="127" t="n">
        <f aca="false">(H167*Q167)+(I167*R167)+((K167*Q167)+(L167*R167)*1.25)</f>
        <v>0</v>
      </c>
      <c r="Y167" s="129"/>
      <c r="Z167" s="130" t="e">
        <f aca="false">(#REF!+#REF!+K167)*'O_MN, PE_UTA_UGM 2023'!H141</f>
        <v>#REF!</v>
      </c>
      <c r="AA167" s="131" t="e">
        <f aca="false">(#REF!+#REF!+L167)*'O_MN, PE_UTA_UGM 2023'!I141</f>
        <v>#REF!</v>
      </c>
      <c r="AB167" s="132" t="n">
        <f aca="false">IF(ISERROR(+ROUND(#REF!*N167/#REF!,3)),0,+ROUND(#REF!*N167/#REF!,3))</f>
        <v>0</v>
      </c>
      <c r="AC167" s="132" t="n">
        <f aca="false">IF(ISERROR(+ROUND(#REF!*O167/#REF!,3)),0,+ROUND(#REF!*O167/#REF!,3))</f>
        <v>0</v>
      </c>
      <c r="AD167" s="133" t="n">
        <f aca="false">IF(AND(AB167=0,AC167=0),0,#REF!*(#REF!-(#REF!*AB167/N167))+#REF!*(#REF!-(#REF!*AC167/O167)))</f>
        <v>0</v>
      </c>
      <c r="AE167" s="3"/>
      <c r="AF167" s="3"/>
      <c r="AG167" s="3"/>
      <c r="AH167" s="3"/>
      <c r="AI167" s="3"/>
    </row>
    <row r="168" customFormat="false" ht="15" hidden="false" customHeight="false" outlineLevel="0" collapsed="false">
      <c r="A168" s="3"/>
      <c r="B168" s="116"/>
      <c r="C168" s="134"/>
      <c r="D168" s="135"/>
      <c r="E168" s="119" t="n">
        <f aca="false">'O_MN, PE_UTA_UGM 2023'!B141</f>
        <v>41</v>
      </c>
      <c r="F168" s="120" t="str">
        <f aca="false">'O_MN, PE_UTA_UGM 2023'!C141</f>
        <v>HABAS  </v>
      </c>
      <c r="G168" s="121"/>
      <c r="H168" s="122"/>
      <c r="I168" s="122"/>
      <c r="J168" s="123"/>
      <c r="K168" s="124"/>
      <c r="L168" s="124"/>
      <c r="M168" s="112" t="e">
        <f aca="false">+IF(OR((#REF!+#REF!)&gt;0,(#REF!+#REF!)&gt;0,(K168+L168)&gt;0),"SI","NO")</f>
        <v>#REF!</v>
      </c>
      <c r="N168" s="136" t="n">
        <f aca="false">VLOOKUP(E169,'O_MN, PE_UTA_UGM 2023'!$B$1:$I$300,7,FALSE())</f>
        <v>0</v>
      </c>
      <c r="O168" s="136" t="n">
        <f aca="false">VLOOKUP(E169,'O_MN, PE_UTA_UGM 2023'!$B$1:$I$300,8,FALSE())</f>
        <v>0</v>
      </c>
      <c r="P168" s="45"/>
      <c r="Q168" s="126" t="n">
        <f aca="false">VLOOKUP(E169,'O_MN, PE_UTA_UGM 2023'!$B$1:$I$300,5,FALSE())</f>
        <v>1E-005</v>
      </c>
      <c r="R168" s="126" t="n">
        <f aca="false">VLOOKUP(E169,'O_MN, PE_UTA_UGM 2023'!$B$1:$I$300,6,FALSE())</f>
        <v>1E-005</v>
      </c>
      <c r="S168" s="45"/>
      <c r="T168" s="47"/>
      <c r="U168" s="127" t="n">
        <f aca="false">(H168*N168)+(I168*O168)+((K168*N168)+(L168*O168)*1.25)</f>
        <v>0</v>
      </c>
      <c r="V168" s="128"/>
      <c r="W168" s="128"/>
      <c r="X168" s="127" t="n">
        <f aca="false">(H168*Q168)+(I168*R168)+((K168*Q168)+(L168*R168)*1.25)</f>
        <v>0</v>
      </c>
      <c r="Y168" s="129"/>
      <c r="Z168" s="130" t="e">
        <f aca="false">(#REF!+#REF!+K168)*'O_MN, PE_UTA_UGM 2023'!H142</f>
        <v>#REF!</v>
      </c>
      <c r="AA168" s="131" t="e">
        <f aca="false">(#REF!+#REF!+L168)*'O_MN, PE_UTA_UGM 2023'!I142</f>
        <v>#REF!</v>
      </c>
      <c r="AB168" s="132" t="n">
        <f aca="false">IF(ISERROR(+ROUND(#REF!*N168/#REF!,3)),0,+ROUND(#REF!*N168/#REF!,3))</f>
        <v>0</v>
      </c>
      <c r="AC168" s="132" t="n">
        <f aca="false">IF(ISERROR(+ROUND(#REF!*O168/#REF!,3)),0,+ROUND(#REF!*O168/#REF!,3))</f>
        <v>0</v>
      </c>
      <c r="AD168" s="133" t="n">
        <f aca="false">IF(AND(AB168=0,AC168=0),0,#REF!*(#REF!-(#REF!*AB168/N168))+#REF!*(#REF!-(#REF!*AC168/O168)))</f>
        <v>0</v>
      </c>
      <c r="AE168" s="3"/>
      <c r="AF168" s="3"/>
      <c r="AG168" s="3"/>
      <c r="AH168" s="3"/>
      <c r="AI168" s="3"/>
    </row>
    <row r="169" customFormat="false" ht="15" hidden="false" customHeight="false" outlineLevel="0" collapsed="false">
      <c r="A169" s="3"/>
      <c r="B169" s="116"/>
      <c r="C169" s="134"/>
      <c r="D169" s="135"/>
      <c r="E169" s="119" t="n">
        <f aca="false">'O_MN, PE_UTA_UGM 2023'!B142</f>
        <v>294</v>
      </c>
      <c r="F169" s="120" t="str">
        <f aca="false">'O_MN, PE_UTA_UGM 2023'!C142</f>
        <v>HAYA</v>
      </c>
      <c r="G169" s="121"/>
      <c r="H169" s="122"/>
      <c r="I169" s="122"/>
      <c r="J169" s="123"/>
      <c r="K169" s="124"/>
      <c r="L169" s="124"/>
      <c r="M169" s="112" t="e">
        <f aca="false">+IF(OR((#REF!+#REF!)&gt;0,(#REF!+#REF!)&gt;0,(K169+L169)&gt;0),"SI","NO")</f>
        <v>#REF!</v>
      </c>
      <c r="N169" s="136" t="n">
        <f aca="false">VLOOKUP(E170,'O_MN, PE_UTA_UGM 2023'!$B$1:$I$300,7,FALSE())</f>
        <v>1000</v>
      </c>
      <c r="O169" s="136" t="n">
        <f aca="false">VLOOKUP(E170,'O_MN, PE_UTA_UGM 2023'!$B$1:$I$300,8,FALSE())</f>
        <v>3800</v>
      </c>
      <c r="P169" s="45"/>
      <c r="Q169" s="126" t="n">
        <f aca="false">VLOOKUP(E170,'O_MN, PE_UTA_UGM 2023'!$B$1:$I$300,5,FALSE())</f>
        <v>114.19</v>
      </c>
      <c r="R169" s="126" t="n">
        <f aca="false">VLOOKUP(E170,'O_MN, PE_UTA_UGM 2023'!$B$1:$I$300,6,FALSE())</f>
        <v>240.4</v>
      </c>
      <c r="S169" s="45"/>
      <c r="T169" s="47"/>
      <c r="U169" s="127" t="n">
        <f aca="false">(H169*N169)+(I169*O169)+((K169*N169)+(L169*O169)*1.25)</f>
        <v>0</v>
      </c>
      <c r="V169" s="128"/>
      <c r="W169" s="128"/>
      <c r="X169" s="127" t="n">
        <f aca="false">(H169*Q169)+(I169*R169)+((K169*Q169)+(L169*R169)*1.25)</f>
        <v>0</v>
      </c>
      <c r="Y169" s="129"/>
      <c r="Z169" s="130" t="e">
        <f aca="false">(#REF!+#REF!+K169)*'O_MN, PE_UTA_UGM 2023'!H143</f>
        <v>#REF!</v>
      </c>
      <c r="AA169" s="131" t="e">
        <f aca="false">(#REF!+#REF!+L169)*'O_MN, PE_UTA_UGM 2023'!I143</f>
        <v>#REF!</v>
      </c>
      <c r="AB169" s="132" t="n">
        <f aca="false">IF(ISERROR(+ROUND(#REF!*N169/#REF!,3)),0,+ROUND(#REF!*N169/#REF!,3))</f>
        <v>0</v>
      </c>
      <c r="AC169" s="132" t="n">
        <f aca="false">IF(ISERROR(+ROUND(#REF!*O169/#REF!,3)),0,+ROUND(#REF!*O169/#REF!,3))</f>
        <v>0</v>
      </c>
      <c r="AD169" s="133" t="n">
        <f aca="false">IF(AND(AB169=0,AC169=0),0,#REF!*(#REF!-(#REF!*AB169/N169))+#REF!*(#REF!-(#REF!*AC169/O169)))</f>
        <v>0</v>
      </c>
      <c r="AE169" s="3"/>
      <c r="AF169" s="3"/>
      <c r="AG169" s="3"/>
      <c r="AH169" s="3"/>
      <c r="AI169" s="3"/>
    </row>
    <row r="170" customFormat="false" ht="15" hidden="false" customHeight="false" outlineLevel="0" collapsed="false">
      <c r="A170" s="3"/>
      <c r="B170" s="116"/>
      <c r="C170" s="134"/>
      <c r="D170" s="135"/>
      <c r="E170" s="119" t="n">
        <f aca="false">'O_MN, PE_UTA_UGM 2023'!B143</f>
        <v>286</v>
      </c>
      <c r="F170" s="120" t="str">
        <f aca="false">'O_MN, PE_UTA_UGM 2023'!C143</f>
        <v>HELICRISO</v>
      </c>
      <c r="G170" s="121"/>
      <c r="H170" s="122"/>
      <c r="I170" s="122"/>
      <c r="J170" s="123"/>
      <c r="K170" s="124"/>
      <c r="L170" s="124"/>
      <c r="M170" s="112" t="e">
        <f aca="false">+IF(OR((#REF!+#REF!)&gt;0,(#REF!+#REF!)&gt;0,(K170+L170)&gt;0),"SI","NO")</f>
        <v>#REF!</v>
      </c>
      <c r="N170" s="136" t="n">
        <f aca="false">VLOOKUP(E171,'O_MN, PE_UTA_UGM 2023'!$B$1:$I$300,7,FALSE())</f>
        <v>1000</v>
      </c>
      <c r="O170" s="136" t="n">
        <f aca="false">VLOOKUP(E171,'O_MN, PE_UTA_UGM 2023'!$B$1:$I$300,8,FALSE())</f>
        <v>3800</v>
      </c>
      <c r="P170" s="45"/>
      <c r="Q170" s="126" t="n">
        <f aca="false">VLOOKUP(E171,'O_MN, PE_UTA_UGM 2023'!$B$1:$I$300,5,FALSE())</f>
        <v>114.19</v>
      </c>
      <c r="R170" s="126" t="n">
        <f aca="false">VLOOKUP(E171,'O_MN, PE_UTA_UGM 2023'!$B$1:$I$300,6,FALSE())</f>
        <v>240.4</v>
      </c>
      <c r="S170" s="45"/>
      <c r="T170" s="47"/>
      <c r="U170" s="127" t="n">
        <f aca="false">(H170*N170)+(I170*O170)+((K170*N170)+(L170*O170)*1.25)</f>
        <v>0</v>
      </c>
      <c r="V170" s="128"/>
      <c r="W170" s="128"/>
      <c r="X170" s="127" t="n">
        <f aca="false">(H170*Q170)+(I170*R170)+((K170*Q170)+(L170*R170)*1.25)</f>
        <v>0</v>
      </c>
      <c r="Y170" s="129"/>
      <c r="Z170" s="130" t="e">
        <f aca="false">(#REF!+#REF!+K170)*'O_MN, PE_UTA_UGM 2023'!H144</f>
        <v>#REF!</v>
      </c>
      <c r="AA170" s="131" t="e">
        <f aca="false">(#REF!+#REF!+L170)*'O_MN, PE_UTA_UGM 2023'!I144</f>
        <v>#REF!</v>
      </c>
      <c r="AB170" s="132" t="n">
        <f aca="false">IF(ISERROR(+ROUND(#REF!*N170/#REF!,3)),0,+ROUND(#REF!*N170/#REF!,3))</f>
        <v>0</v>
      </c>
      <c r="AC170" s="132" t="n">
        <f aca="false">IF(ISERROR(+ROUND(#REF!*O170/#REF!,3)),0,+ROUND(#REF!*O170/#REF!,3))</f>
        <v>0</v>
      </c>
      <c r="AD170" s="133" t="n">
        <f aca="false">IF(AND(AB170=0,AC170=0),0,#REF!*(#REF!-(#REF!*AB170/N170))+#REF!*(#REF!-(#REF!*AC170/O170)))</f>
        <v>0</v>
      </c>
      <c r="AE170" s="3"/>
      <c r="AF170" s="3"/>
      <c r="AG170" s="3"/>
      <c r="AH170" s="3"/>
      <c r="AI170" s="3"/>
    </row>
    <row r="171" customFormat="false" ht="15" hidden="false" customHeight="false" outlineLevel="0" collapsed="false">
      <c r="A171" s="3"/>
      <c r="B171" s="116"/>
      <c r="C171" s="134"/>
      <c r="D171" s="135"/>
      <c r="E171" s="119" t="n">
        <f aca="false">'O_MN, PE_UTA_UGM 2023'!B144</f>
        <v>276</v>
      </c>
      <c r="F171" s="120" t="str">
        <f aca="false">'O_MN, PE_UTA_UGM 2023'!C144</f>
        <v>HIERBABUENA</v>
      </c>
      <c r="G171" s="121"/>
      <c r="H171" s="122"/>
      <c r="I171" s="122"/>
      <c r="J171" s="123"/>
      <c r="K171" s="124"/>
      <c r="L171" s="124"/>
      <c r="M171" s="112" t="e">
        <f aca="false">+IF(OR((#REF!+#REF!)&gt;0,(#REF!+#REF!)&gt;0,(K171+L171)&gt;0),"SI","NO")</f>
        <v>#REF!</v>
      </c>
      <c r="N171" s="136" t="n">
        <f aca="false">VLOOKUP(E172,'O_MN, PE_UTA_UGM 2023'!$B$1:$I$300,7,FALSE())</f>
        <v>1000</v>
      </c>
      <c r="O171" s="136" t="n">
        <f aca="false">VLOOKUP(E172,'O_MN, PE_UTA_UGM 2023'!$B$1:$I$300,8,FALSE())</f>
        <v>3800</v>
      </c>
      <c r="P171" s="45"/>
      <c r="Q171" s="126" t="n">
        <f aca="false">VLOOKUP(E172,'O_MN, PE_UTA_UGM 2023'!$B$1:$I$300,5,FALSE())</f>
        <v>114.19</v>
      </c>
      <c r="R171" s="126" t="n">
        <f aca="false">VLOOKUP(E172,'O_MN, PE_UTA_UGM 2023'!$B$1:$I$300,6,FALSE())</f>
        <v>240.4</v>
      </c>
      <c r="S171" s="45"/>
      <c r="T171" s="47"/>
      <c r="U171" s="127" t="n">
        <f aca="false">(H171*N171)+(I171*O171)+((K171*N171)+(L171*O171)*1.25)</f>
        <v>0</v>
      </c>
      <c r="V171" s="128"/>
      <c r="W171" s="128"/>
      <c r="X171" s="127" t="n">
        <f aca="false">(H171*Q171)+(I171*R171)+((K171*Q171)+(L171*R171)*1.25)</f>
        <v>0</v>
      </c>
      <c r="Y171" s="129"/>
      <c r="Z171" s="130" t="e">
        <f aca="false">(#REF!+#REF!+K171)*'O_MN, PE_UTA_UGM 2023'!H145</f>
        <v>#REF!</v>
      </c>
      <c r="AA171" s="131" t="e">
        <f aca="false">(#REF!+#REF!+L171)*'O_MN, PE_UTA_UGM 2023'!I145</f>
        <v>#REF!</v>
      </c>
      <c r="AB171" s="132" t="n">
        <f aca="false">IF(ISERROR(+ROUND(#REF!*N171/#REF!,3)),0,+ROUND(#REF!*N171/#REF!,3))</f>
        <v>0</v>
      </c>
      <c r="AC171" s="132" t="n">
        <f aca="false">IF(ISERROR(+ROUND(#REF!*O171/#REF!,3)),0,+ROUND(#REF!*O171/#REF!,3))</f>
        <v>0</v>
      </c>
      <c r="AD171" s="133" t="n">
        <f aca="false">IF(AND(AB171=0,AC171=0),0,#REF!*(#REF!-(#REF!*AB171/N171))+#REF!*(#REF!-(#REF!*AC171/O171)))</f>
        <v>0</v>
      </c>
      <c r="AE171" s="3"/>
      <c r="AF171" s="3"/>
      <c r="AG171" s="3"/>
      <c r="AH171" s="3"/>
      <c r="AI171" s="3"/>
    </row>
    <row r="172" customFormat="false" ht="15" hidden="false" customHeight="false" outlineLevel="0" collapsed="false">
      <c r="A172" s="3"/>
      <c r="B172" s="116"/>
      <c r="C172" s="134"/>
      <c r="D172" s="135"/>
      <c r="E172" s="119" t="n">
        <f aca="false">'O_MN, PE_UTA_UGM 2023'!B145</f>
        <v>287</v>
      </c>
      <c r="F172" s="120" t="str">
        <f aca="false">'O_MN, PE_UTA_UGM 2023'!C145</f>
        <v>HIERBALUISA</v>
      </c>
      <c r="G172" s="121"/>
      <c r="H172" s="122"/>
      <c r="I172" s="122"/>
      <c r="J172" s="123"/>
      <c r="K172" s="124"/>
      <c r="L172" s="124"/>
      <c r="M172" s="112" t="e">
        <f aca="false">+IF(OR((#REF!+#REF!)&gt;0,(#REF!+#REF!)&gt;0,(K172+L172)&gt;0),"SI","NO")</f>
        <v>#REF!</v>
      </c>
      <c r="N172" s="136" t="n">
        <f aca="false">VLOOKUP(E173,'O_MN, PE_UTA_UGM 2023'!$B$1:$I$300,7,FALSE())</f>
        <v>800</v>
      </c>
      <c r="O172" s="136" t="n">
        <f aca="false">VLOOKUP(E173,'O_MN, PE_UTA_UGM 2023'!$B$1:$I$300,8,FALSE())</f>
        <v>5000</v>
      </c>
      <c r="P172" s="45"/>
      <c r="Q172" s="126" t="n">
        <f aca="false">VLOOKUP(E173,'O_MN, PE_UTA_UGM 2023'!$B$1:$I$300,5,FALSE())</f>
        <v>450.76</v>
      </c>
      <c r="R172" s="126" t="n">
        <f aca="false">VLOOKUP(E173,'O_MN, PE_UTA_UGM 2023'!$B$1:$I$300,6,FALSE())</f>
        <v>721.21</v>
      </c>
      <c r="S172" s="45"/>
      <c r="T172" s="47"/>
      <c r="U172" s="127" t="n">
        <f aca="false">(H172*N172)+(I172*O172)+((K172*N172)+(L172*O172)*1.25)</f>
        <v>0</v>
      </c>
      <c r="V172" s="128"/>
      <c r="W172" s="128"/>
      <c r="X172" s="127" t="n">
        <f aca="false">(H172*Q172)+(I172*R172)+((K172*Q172)+(L172*R172)*1.25)</f>
        <v>0</v>
      </c>
      <c r="Y172" s="129"/>
      <c r="Z172" s="130" t="e">
        <f aca="false">(#REF!+#REF!+K172)*'O_MN, PE_UTA_UGM 2023'!H146</f>
        <v>#REF!</v>
      </c>
      <c r="AA172" s="131" t="e">
        <f aca="false">(#REF!+#REF!+L172)*'O_MN, PE_UTA_UGM 2023'!I146</f>
        <v>#REF!</v>
      </c>
      <c r="AB172" s="132" t="n">
        <f aca="false">IF(ISERROR(+ROUND(#REF!*N172/#REF!,3)),0,+ROUND(#REF!*N172/#REF!,3))</f>
        <v>0</v>
      </c>
      <c r="AC172" s="132" t="n">
        <f aca="false">IF(ISERROR(+ROUND(#REF!*O172/#REF!,3)),0,+ROUND(#REF!*O172/#REF!,3))</f>
        <v>0</v>
      </c>
      <c r="AD172" s="133" t="n">
        <f aca="false">IF(AND(AB172=0,AC172=0),0,#REF!*(#REF!-(#REF!*AB172/N172))+#REF!*(#REF!-(#REF!*AC172/O172)))</f>
        <v>0</v>
      </c>
      <c r="AE172" s="3"/>
      <c r="AF172" s="3"/>
      <c r="AG172" s="3"/>
      <c r="AH172" s="3"/>
      <c r="AI172" s="3"/>
    </row>
    <row r="173" customFormat="false" ht="15" hidden="false" customHeight="false" outlineLevel="0" collapsed="false">
      <c r="A173" s="3"/>
      <c r="B173" s="116"/>
      <c r="C173" s="134"/>
      <c r="D173" s="135"/>
      <c r="E173" s="119" t="n">
        <f aca="false">'O_MN, PE_UTA_UGM 2023'!B146</f>
        <v>218</v>
      </c>
      <c r="F173" s="120" t="str">
        <f aca="false">'O_MN, PE_UTA_UGM 2023'!C146</f>
        <v>HIGUERA</v>
      </c>
      <c r="G173" s="121"/>
      <c r="H173" s="122"/>
      <c r="I173" s="122"/>
      <c r="J173" s="123"/>
      <c r="K173" s="124"/>
      <c r="L173" s="124"/>
      <c r="M173" s="112" t="e">
        <f aca="false">+IF(OR((#REF!+#REF!)&gt;0,(#REF!+#REF!)&gt;0,(K173+L173)&gt;0),"SI","NO")</f>
        <v>#REF!</v>
      </c>
      <c r="N173" s="136" t="n">
        <f aca="false">VLOOKUP(E174,'O_MN, PE_UTA_UGM 2023'!$B$1:$I$300,7,FALSE())</f>
        <v>1000</v>
      </c>
      <c r="O173" s="136" t="n">
        <f aca="false">VLOOKUP(E174,'O_MN, PE_UTA_UGM 2023'!$B$1:$I$300,8,FALSE())</f>
        <v>3800</v>
      </c>
      <c r="P173" s="45"/>
      <c r="Q173" s="126" t="n">
        <f aca="false">VLOOKUP(E174,'O_MN, PE_UTA_UGM 2023'!$B$1:$I$300,5,FALSE())</f>
        <v>114.19</v>
      </c>
      <c r="R173" s="126" t="n">
        <f aca="false">VLOOKUP(E174,'O_MN, PE_UTA_UGM 2023'!$B$1:$I$300,6,FALSE())</f>
        <v>240.4</v>
      </c>
      <c r="S173" s="45"/>
      <c r="T173" s="47"/>
      <c r="U173" s="127" t="n">
        <f aca="false">(H173*N173)+(I173*O173)+((K173*N173)+(L173*O173)*1.25)</f>
        <v>0</v>
      </c>
      <c r="V173" s="128"/>
      <c r="W173" s="128"/>
      <c r="X173" s="127" t="n">
        <f aca="false">(H173*Q173)+(I173*R173)+((K173*Q173)+(L173*R173)*1.25)</f>
        <v>0</v>
      </c>
      <c r="Y173" s="129"/>
      <c r="Z173" s="130" t="e">
        <f aca="false">(#REF!+#REF!+K173)*'O_MN, PE_UTA_UGM 2023'!H147</f>
        <v>#REF!</v>
      </c>
      <c r="AA173" s="131" t="e">
        <f aca="false">(#REF!+#REF!+L173)*'O_MN, PE_UTA_UGM 2023'!I147</f>
        <v>#REF!</v>
      </c>
      <c r="AB173" s="132" t="n">
        <f aca="false">IF(ISERROR(+ROUND(#REF!*N173/#REF!,3)),0,+ROUND(#REF!*N173/#REF!,3))</f>
        <v>0</v>
      </c>
      <c r="AC173" s="132" t="n">
        <f aca="false">IF(ISERROR(+ROUND(#REF!*O173/#REF!,3)),0,+ROUND(#REF!*O173/#REF!,3))</f>
        <v>0</v>
      </c>
      <c r="AD173" s="133" t="n">
        <f aca="false">IF(AND(AB173=0,AC173=0),0,#REF!*(#REF!-(#REF!*AB173/N173))+#REF!*(#REF!-(#REF!*AC173/O173)))</f>
        <v>0</v>
      </c>
      <c r="AE173" s="3"/>
      <c r="AF173" s="3"/>
      <c r="AG173" s="3"/>
      <c r="AH173" s="3"/>
      <c r="AI173" s="3"/>
    </row>
    <row r="174" customFormat="false" ht="15" hidden="false" customHeight="false" outlineLevel="0" collapsed="false">
      <c r="A174" s="3"/>
      <c r="B174" s="116"/>
      <c r="C174" s="134"/>
      <c r="D174" s="135"/>
      <c r="E174" s="119" t="n">
        <f aca="false">'O_MN, PE_UTA_UGM 2023'!B147</f>
        <v>260</v>
      </c>
      <c r="F174" s="120" t="str">
        <f aca="false">'O_MN, PE_UTA_UGM 2023'!C147</f>
        <v>HINOJO</v>
      </c>
      <c r="G174" s="121"/>
      <c r="H174" s="122"/>
      <c r="I174" s="122"/>
      <c r="J174" s="123"/>
      <c r="K174" s="124"/>
      <c r="L174" s="124"/>
      <c r="M174" s="112" t="e">
        <f aca="false">+IF(OR((#REF!+#REF!)&gt;0,(#REF!+#REF!)&gt;0,(K174+L174)&gt;0),"SI","NO")</f>
        <v>#REF!</v>
      </c>
      <c r="N174" s="136" t="n">
        <f aca="false">VLOOKUP(E175,'O_MN, PE_UTA_UGM 2023'!$B$1:$I$300,7,FALSE())</f>
        <v>1000</v>
      </c>
      <c r="O174" s="136" t="n">
        <f aca="false">VLOOKUP(E175,'O_MN, PE_UTA_UGM 2023'!$B$1:$I$300,8,FALSE())</f>
        <v>3800</v>
      </c>
      <c r="P174" s="45"/>
      <c r="Q174" s="126" t="n">
        <f aca="false">VLOOKUP(E175,'O_MN, PE_UTA_UGM 2023'!$B$1:$I$300,5,FALSE())</f>
        <v>114.19</v>
      </c>
      <c r="R174" s="126" t="n">
        <f aca="false">VLOOKUP(E175,'O_MN, PE_UTA_UGM 2023'!$B$1:$I$300,6,FALSE())</f>
        <v>240.4</v>
      </c>
      <c r="S174" s="45"/>
      <c r="T174" s="47"/>
      <c r="U174" s="127" t="n">
        <f aca="false">(H174*N174)+(I174*O174)+((K174*N174)+(L174*O174)*1.25)</f>
        <v>0</v>
      </c>
      <c r="V174" s="128"/>
      <c r="W174" s="128"/>
      <c r="X174" s="127" t="n">
        <f aca="false">(H174*Q174)+(I174*R174)+((K174*Q174)+(L174*R174)*1.25)</f>
        <v>0</v>
      </c>
      <c r="Y174" s="129"/>
      <c r="Z174" s="130" t="e">
        <f aca="false">(#REF!+#REF!+K174)*'O_MN, PE_UTA_UGM 2023'!H148</f>
        <v>#REF!</v>
      </c>
      <c r="AA174" s="131" t="e">
        <f aca="false">(#REF!+#REF!+L174)*'O_MN, PE_UTA_UGM 2023'!I148</f>
        <v>#REF!</v>
      </c>
      <c r="AB174" s="132" t="n">
        <f aca="false">IF(ISERROR(+ROUND(#REF!*N174/#REF!,3)),0,+ROUND(#REF!*N174/#REF!,3))</f>
        <v>0</v>
      </c>
      <c r="AC174" s="132" t="n">
        <f aca="false">IF(ISERROR(+ROUND(#REF!*O174/#REF!,3)),0,+ROUND(#REF!*O174/#REF!,3))</f>
        <v>0</v>
      </c>
      <c r="AD174" s="133" t="n">
        <f aca="false">IF(AND(AB174=0,AC174=0),0,#REF!*(#REF!-(#REF!*AB174/N174))+#REF!*(#REF!-(#REF!*AC174/O174)))</f>
        <v>0</v>
      </c>
      <c r="AE174" s="3"/>
      <c r="AF174" s="3"/>
      <c r="AG174" s="3"/>
      <c r="AH174" s="3"/>
      <c r="AI174" s="3"/>
    </row>
    <row r="175" customFormat="false" ht="15" hidden="false" customHeight="false" outlineLevel="0" collapsed="false">
      <c r="A175" s="3"/>
      <c r="B175" s="116"/>
      <c r="C175" s="134"/>
      <c r="D175" s="135"/>
      <c r="E175" s="119" t="n">
        <f aca="false">'O_MN, PE_UTA_UGM 2023'!B148</f>
        <v>275</v>
      </c>
      <c r="F175" s="120" t="str">
        <f aca="false">'O_MN, PE_UTA_UGM 2023'!C148</f>
        <v>HIPÉRICO</v>
      </c>
      <c r="G175" s="121"/>
      <c r="H175" s="122"/>
      <c r="I175" s="122"/>
      <c r="J175" s="123"/>
      <c r="K175" s="124"/>
      <c r="L175" s="124"/>
      <c r="M175" s="112" t="e">
        <f aca="false">+IF(OR((#REF!+#REF!)&gt;0,(#REF!+#REF!)&gt;0,(K175+L175)&gt;0),"SI","NO")</f>
        <v>#REF!</v>
      </c>
      <c r="N175" s="136" t="n">
        <f aca="false">VLOOKUP(E176,'O_MN, PE_UTA_UGM 2023'!$B$1:$I$300,7,FALSE())</f>
        <v>1000</v>
      </c>
      <c r="O175" s="136" t="n">
        <f aca="false">VLOOKUP(E176,'O_MN, PE_UTA_UGM 2023'!$B$1:$I$300,8,FALSE())</f>
        <v>3800</v>
      </c>
      <c r="P175" s="45"/>
      <c r="Q175" s="126" t="n">
        <f aca="false">VLOOKUP(E176,'O_MN, PE_UTA_UGM 2023'!$B$1:$I$300,5,FALSE())</f>
        <v>114.19</v>
      </c>
      <c r="R175" s="126" t="n">
        <f aca="false">VLOOKUP(E176,'O_MN, PE_UTA_UGM 2023'!$B$1:$I$300,6,FALSE())</f>
        <v>240.4</v>
      </c>
      <c r="S175" s="45"/>
      <c r="T175" s="47"/>
      <c r="U175" s="127" t="n">
        <f aca="false">(H175*N175)+(I175*O175)+((K175*N175)+(L175*O175)*1.25)</f>
        <v>0</v>
      </c>
      <c r="V175" s="128"/>
      <c r="W175" s="128"/>
      <c r="X175" s="127" t="n">
        <f aca="false">(H175*Q175)+(I175*R175)+((K175*Q175)+(L175*R175)*1.25)</f>
        <v>0</v>
      </c>
      <c r="Y175" s="129"/>
      <c r="Z175" s="130" t="e">
        <f aca="false">(#REF!+#REF!+K175)*'O_MN, PE_UTA_UGM 2023'!H149</f>
        <v>#REF!</v>
      </c>
      <c r="AA175" s="131" t="e">
        <f aca="false">(#REF!+#REF!+L175)*'O_MN, PE_UTA_UGM 2023'!I149</f>
        <v>#REF!</v>
      </c>
      <c r="AB175" s="132" t="n">
        <f aca="false">IF(ISERROR(+ROUND(#REF!*N175/#REF!,3)),0,+ROUND(#REF!*N175/#REF!,3))</f>
        <v>0</v>
      </c>
      <c r="AC175" s="132" t="n">
        <f aca="false">IF(ISERROR(+ROUND(#REF!*O175/#REF!,3)),0,+ROUND(#REF!*O175/#REF!,3))</f>
        <v>0</v>
      </c>
      <c r="AD175" s="133" t="n">
        <f aca="false">IF(AND(AB175=0,AC175=0),0,#REF!*(#REF!-(#REF!*AB175/N175))+#REF!*(#REF!-(#REF!*AC175/O175)))</f>
        <v>0</v>
      </c>
      <c r="AE175" s="3"/>
      <c r="AF175" s="3"/>
      <c r="AG175" s="3"/>
      <c r="AH175" s="3"/>
      <c r="AI175" s="3"/>
    </row>
    <row r="176" customFormat="false" ht="15" hidden="false" customHeight="false" outlineLevel="0" collapsed="false">
      <c r="A176" s="3"/>
      <c r="B176" s="116"/>
      <c r="C176" s="134"/>
      <c r="D176" s="135"/>
      <c r="E176" s="119" t="n">
        <f aca="false">'O_MN, PE_UTA_UGM 2023'!B149</f>
        <v>259</v>
      </c>
      <c r="F176" s="120" t="str">
        <f aca="false">'O_MN, PE_UTA_UGM 2023'!C149</f>
        <v>HISOPO</v>
      </c>
      <c r="G176" s="121"/>
      <c r="H176" s="122"/>
      <c r="I176" s="122"/>
      <c r="J176" s="123"/>
      <c r="K176" s="124"/>
      <c r="L176" s="124"/>
      <c r="M176" s="112" t="e">
        <f aca="false">+IF(OR((#REF!+#REF!)&gt;0,(#REF!+#REF!)&gt;0,(K176+L176)&gt;0),"SI","NO")</f>
        <v>#REF!</v>
      </c>
      <c r="N176" s="136" t="n">
        <f aca="false">VLOOKUP(E177,'O_MN, PE_UTA_UGM 2023'!$B$1:$I$300,7,FALSE())</f>
        <v>0</v>
      </c>
      <c r="O176" s="136" t="n">
        <f aca="false">VLOOKUP(E177,'O_MN, PE_UTA_UGM 2023'!$B$1:$I$300,8,FALSE())</f>
        <v>5200</v>
      </c>
      <c r="P176" s="45"/>
      <c r="Q176" s="126" t="n">
        <f aca="false">VLOOKUP(E177,'O_MN, PE_UTA_UGM 2023'!$B$1:$I$300,5,FALSE())</f>
        <v>360.61</v>
      </c>
      <c r="R176" s="126" t="n">
        <f aca="false">VLOOKUP(E177,'O_MN, PE_UTA_UGM 2023'!$B$1:$I$300,6,FALSE())</f>
        <v>1352.28</v>
      </c>
      <c r="S176" s="45"/>
      <c r="T176" s="47"/>
      <c r="U176" s="127" t="n">
        <f aca="false">(H176*N176)+(I176*O176)+((K176*N176)+(L176*O176)*1.25)</f>
        <v>0</v>
      </c>
      <c r="V176" s="128"/>
      <c r="W176" s="128"/>
      <c r="X176" s="127" t="n">
        <f aca="false">(H176*Q176)+(I176*R176)+((K176*Q176)+(L176*R176)*1.25)</f>
        <v>0</v>
      </c>
      <c r="Y176" s="129"/>
      <c r="Z176" s="130" t="e">
        <f aca="false">(#REF!+#REF!+K176)*'O_MN, PE_UTA_UGM 2023'!H150</f>
        <v>#REF!</v>
      </c>
      <c r="AA176" s="131" t="e">
        <f aca="false">(#REF!+#REF!+L176)*'O_MN, PE_UTA_UGM 2023'!I150</f>
        <v>#REF!</v>
      </c>
      <c r="AB176" s="132" t="n">
        <f aca="false">IF(ISERROR(+ROUND(#REF!*N176/#REF!,3)),0,+ROUND(#REF!*N176/#REF!,3))</f>
        <v>0</v>
      </c>
      <c r="AC176" s="132" t="n">
        <f aca="false">IF(ISERROR(+ROUND(#REF!*O176/#REF!,3)),0,+ROUND(#REF!*O176/#REF!,3))</f>
        <v>0</v>
      </c>
      <c r="AD176" s="133" t="n">
        <f aca="false">IF(AND(AB176=0,AC176=0),0,#REF!*(#REF!-(#REF!*AB176/N176))+#REF!*(#REF!-(#REF!*AC176/O176)))</f>
        <v>0</v>
      </c>
      <c r="AE176" s="3"/>
      <c r="AF176" s="3"/>
      <c r="AG176" s="3"/>
      <c r="AH176" s="3"/>
      <c r="AI176" s="3"/>
    </row>
    <row r="177" customFormat="false" ht="15" hidden="false" customHeight="false" outlineLevel="0" collapsed="false">
      <c r="A177" s="3"/>
      <c r="B177" s="116"/>
      <c r="C177" s="134"/>
      <c r="D177" s="135"/>
      <c r="E177" s="119" t="n">
        <f aca="false">'O_MN, PE_UTA_UGM 2023'!B150</f>
        <v>193</v>
      </c>
      <c r="F177" s="120" t="str">
        <f aca="false">'O_MN, PE_UTA_UGM 2023'!C150</f>
        <v>HUERTA</v>
      </c>
      <c r="G177" s="121"/>
      <c r="H177" s="122"/>
      <c r="I177" s="122"/>
      <c r="J177" s="123"/>
      <c r="K177" s="124"/>
      <c r="L177" s="124"/>
      <c r="M177" s="112" t="e">
        <f aca="false">+IF(OR((#REF!+#REF!)&gt;0,(#REF!+#REF!)&gt;0,(K177+L177)&gt;0),"SI","NO")</f>
        <v>#REF!</v>
      </c>
      <c r="N177" s="136" t="n">
        <f aca="false">VLOOKUP(E178,'O_MN, PE_UTA_UGM 2023'!$B$1:$I$300,7,FALSE())</f>
        <v>0</v>
      </c>
      <c r="O177" s="136" t="n">
        <f aca="false">VLOOKUP(E178,'O_MN, PE_UTA_UGM 2023'!$B$1:$I$300,8,FALSE())</f>
        <v>80000</v>
      </c>
      <c r="P177" s="45"/>
      <c r="Q177" s="126" t="n">
        <f aca="false">VLOOKUP(E178,'O_MN, PE_UTA_UGM 2023'!$B$1:$I$300,5,FALSE())</f>
        <v>0</v>
      </c>
      <c r="R177" s="126" t="n">
        <f aca="false">VLOOKUP(E178,'O_MN, PE_UTA_UGM 2023'!$B$1:$I$300,6,FALSE())</f>
        <v>36060.73</v>
      </c>
      <c r="S177" s="45"/>
      <c r="T177" s="47"/>
      <c r="U177" s="127" t="n">
        <f aca="false">(H177*N177)+(I177*O177)+((K177*N177)+(L177*O177)*1.25)</f>
        <v>0</v>
      </c>
      <c r="V177" s="128"/>
      <c r="W177" s="128"/>
      <c r="X177" s="127" t="n">
        <f aca="false">(H177*Q177)+(I177*R177)+((K177*Q177)+(L177*R177)*1.25)</f>
        <v>0</v>
      </c>
      <c r="Y177" s="129"/>
      <c r="Z177" s="130" t="e">
        <f aca="false">(#REF!+#REF!+K177)*'O_MN, PE_UTA_UGM 2023'!H151</f>
        <v>#REF!</v>
      </c>
      <c r="AA177" s="131" t="e">
        <f aca="false">(#REF!+#REF!+L177)*'O_MN, PE_UTA_UGM 2023'!I151</f>
        <v>#REF!</v>
      </c>
      <c r="AB177" s="132" t="n">
        <f aca="false">IF(ISERROR(+ROUND(#REF!*N177/#REF!,3)),0,+ROUND(#REF!*N177/#REF!,3))</f>
        <v>0</v>
      </c>
      <c r="AC177" s="132" t="n">
        <f aca="false">IF(ISERROR(+ROUND(#REF!*O177/#REF!,3)),0,+ROUND(#REF!*O177/#REF!,3))</f>
        <v>0</v>
      </c>
      <c r="AD177" s="133" t="n">
        <f aca="false">IF(AND(AB177=0,AC177=0),0,#REF!*(#REF!-(#REF!*AB177/N177))+#REF!*(#REF!-(#REF!*AC177/O177)))</f>
        <v>0</v>
      </c>
      <c r="AE177" s="3"/>
      <c r="AF177" s="3"/>
      <c r="AG177" s="3"/>
      <c r="AH177" s="3"/>
      <c r="AI177" s="3"/>
    </row>
    <row r="178" customFormat="false" ht="15" hidden="false" customHeight="false" outlineLevel="0" collapsed="false">
      <c r="A178" s="3"/>
      <c r="B178" s="116"/>
      <c r="C178" s="134"/>
      <c r="D178" s="135"/>
      <c r="E178" s="119" t="n">
        <f aca="false">'O_MN, PE_UTA_UGM 2023'!B151</f>
        <v>999</v>
      </c>
      <c r="F178" s="120" t="str">
        <f aca="false">'O_MN, PE_UTA_UGM 2023'!C151</f>
        <v>invernadero</v>
      </c>
      <c r="G178" s="121"/>
      <c r="H178" s="122"/>
      <c r="I178" s="122"/>
      <c r="J178" s="123"/>
      <c r="K178" s="124"/>
      <c r="L178" s="124"/>
      <c r="M178" s="112" t="e">
        <f aca="false">+IF(OR((#REF!+#REF!)&gt;0,(#REF!+#REF!)&gt;0,(K178+L178)&gt;0),"SI","NO")</f>
        <v>#REF!</v>
      </c>
      <c r="N178" s="136" t="n">
        <f aca="false">VLOOKUP(E179,'O_MN, PE_UTA_UGM 2023'!$B$1:$I$300,7,FALSE())</f>
        <v>0</v>
      </c>
      <c r="O178" s="136" t="n">
        <f aca="false">VLOOKUP(E179,'O_MN, PE_UTA_UGM 2023'!$B$1:$I$300,8,FALSE())</f>
        <v>0</v>
      </c>
      <c r="P178" s="45"/>
      <c r="Q178" s="126" t="n">
        <f aca="false">VLOOKUP(E179,'O_MN, PE_UTA_UGM 2023'!$B$1:$I$300,5,FALSE())</f>
        <v>1E-005</v>
      </c>
      <c r="R178" s="126" t="n">
        <f aca="false">VLOOKUP(E179,'O_MN, PE_UTA_UGM 2023'!$B$1:$I$300,6,FALSE())</f>
        <v>1E-005</v>
      </c>
      <c r="S178" s="45"/>
      <c r="T178" s="47"/>
      <c r="U178" s="127" t="n">
        <f aca="false">(H178*N178)+(I178*O178)+((K178*N178)+(L178*O178)*1.25)</f>
        <v>0</v>
      </c>
      <c r="V178" s="128"/>
      <c r="W178" s="128"/>
      <c r="X178" s="127" t="n">
        <f aca="false">(H178*Q178)+(I178*R178)+((K178*Q178)+(L178*R178)*1.25)</f>
        <v>0</v>
      </c>
      <c r="Y178" s="129"/>
      <c r="Z178" s="130" t="e">
        <f aca="false">(#REF!+#REF!+K178)*'O_MN, PE_UTA_UGM 2023'!H152</f>
        <v>#REF!</v>
      </c>
      <c r="AA178" s="131" t="e">
        <f aca="false">(#REF!+#REF!+L178)*'O_MN, PE_UTA_UGM 2023'!I152</f>
        <v>#REF!</v>
      </c>
      <c r="AB178" s="132" t="n">
        <f aca="false">IF(ISERROR(+ROUND(#REF!*N178/#REF!,3)),0,+ROUND(#REF!*N178/#REF!,3))</f>
        <v>0</v>
      </c>
      <c r="AC178" s="132" t="n">
        <f aca="false">IF(ISERROR(+ROUND(#REF!*O178/#REF!,3)),0,+ROUND(#REF!*O178/#REF!,3))</f>
        <v>0</v>
      </c>
      <c r="AD178" s="133" t="n">
        <f aca="false">IF(AND(AB178=0,AC178=0),0,#REF!*(#REF!-(#REF!*AB178/N178))+#REF!*(#REF!-(#REF!*AC178/O178)))</f>
        <v>0</v>
      </c>
      <c r="AE178" s="3"/>
      <c r="AF178" s="3"/>
      <c r="AG178" s="3"/>
      <c r="AH178" s="3"/>
      <c r="AI178" s="3"/>
    </row>
    <row r="179" customFormat="false" ht="15" hidden="false" customHeight="false" outlineLevel="0" collapsed="false">
      <c r="A179" s="3"/>
      <c r="B179" s="116"/>
      <c r="C179" s="134"/>
      <c r="D179" s="135"/>
      <c r="E179" s="119" t="n">
        <f aca="false">'O_MN, PE_UTA_UGM 2023'!B152</f>
        <v>232</v>
      </c>
      <c r="F179" s="120" t="str">
        <f aca="false">'O_MN, PE_UTA_UGM 2023'!C152</f>
        <v>JACARANDA</v>
      </c>
      <c r="G179" s="121"/>
      <c r="H179" s="122"/>
      <c r="I179" s="122"/>
      <c r="J179" s="123"/>
      <c r="K179" s="124"/>
      <c r="L179" s="124"/>
      <c r="M179" s="112" t="e">
        <f aca="false">+IF(OR((#REF!+#REF!)&gt;0,(#REF!+#REF!)&gt;0,(K179+L179)&gt;0),"SI","NO")</f>
        <v>#REF!</v>
      </c>
      <c r="N179" s="136" t="n">
        <f aca="false">VLOOKUP(E180,'O_MN, PE_UTA_UGM 2023'!$B$1:$I$300,7,FALSE())</f>
        <v>0</v>
      </c>
      <c r="O179" s="136" t="n">
        <f aca="false">VLOOKUP(E180,'O_MN, PE_UTA_UGM 2023'!$B$1:$I$300,8,FALSE())</f>
        <v>0</v>
      </c>
      <c r="P179" s="45"/>
      <c r="Q179" s="126" t="n">
        <f aca="false">VLOOKUP(E180,'O_MN, PE_UTA_UGM 2023'!$B$1:$I$300,5,FALSE())</f>
        <v>114.19</v>
      </c>
      <c r="R179" s="126" t="n">
        <f aca="false">VLOOKUP(E180,'O_MN, PE_UTA_UGM 2023'!$B$1:$I$300,6,FALSE())</f>
        <v>240.4</v>
      </c>
      <c r="S179" s="45"/>
      <c r="T179" s="47"/>
      <c r="U179" s="127" t="n">
        <f aca="false">(H179*N179)+(I179*O179)+((K179*N179)+(L179*O179)*1.25)</f>
        <v>0</v>
      </c>
      <c r="V179" s="128"/>
      <c r="W179" s="128"/>
      <c r="X179" s="127" t="n">
        <f aca="false">(H179*Q179)+(I179*R179)+((K179*Q179)+(L179*R179)*1.25)</f>
        <v>0</v>
      </c>
      <c r="Y179" s="129"/>
      <c r="Z179" s="130" t="e">
        <f aca="false">(#REF!+#REF!+K179)*'O_MN, PE_UTA_UGM 2023'!H153</f>
        <v>#REF!</v>
      </c>
      <c r="AA179" s="131" t="e">
        <f aca="false">(#REF!+#REF!+L179)*'O_MN, PE_UTA_UGM 2023'!I153</f>
        <v>#REF!</v>
      </c>
      <c r="AB179" s="132" t="n">
        <f aca="false">IF(ISERROR(+ROUND(#REF!*N179/#REF!,3)),0,+ROUND(#REF!*N179/#REF!,3))</f>
        <v>0</v>
      </c>
      <c r="AC179" s="132" t="n">
        <f aca="false">IF(ISERROR(+ROUND(#REF!*O179/#REF!,3)),0,+ROUND(#REF!*O179/#REF!,3))</f>
        <v>0</v>
      </c>
      <c r="AD179" s="133" t="n">
        <f aca="false">IF(AND(AB179=0,AC179=0),0,#REF!*(#REF!-(#REF!*AB179/N179))+#REF!*(#REF!-(#REF!*AC179/O179)))</f>
        <v>0</v>
      </c>
      <c r="AE179" s="3"/>
      <c r="AF179" s="3"/>
      <c r="AG179" s="3"/>
      <c r="AH179" s="3"/>
      <c r="AI179" s="3"/>
    </row>
    <row r="180" customFormat="false" ht="15" hidden="false" customHeight="false" outlineLevel="0" collapsed="false">
      <c r="A180" s="3"/>
      <c r="B180" s="116"/>
      <c r="C180" s="134"/>
      <c r="D180" s="135"/>
      <c r="E180" s="119" t="n">
        <f aca="false">'O_MN, PE_UTA_UGM 2023'!B153</f>
        <v>235</v>
      </c>
      <c r="F180" s="120" t="str">
        <f aca="false">'O_MN, PE_UTA_UGM 2023'!C153</f>
        <v>JATROPHA</v>
      </c>
      <c r="G180" s="121"/>
      <c r="H180" s="122"/>
      <c r="I180" s="122"/>
      <c r="J180" s="123"/>
      <c r="K180" s="124"/>
      <c r="L180" s="124"/>
      <c r="M180" s="112" t="e">
        <f aca="false">+IF(OR((#REF!+#REF!)&gt;0,(#REF!+#REF!)&gt;0,(K180+L180)&gt;0),"SI","NO")</f>
        <v>#REF!</v>
      </c>
      <c r="N180" s="136" t="n">
        <f aca="false">VLOOKUP(E181,'O_MN, PE_UTA_UGM 2023'!$B$1:$I$300,7,FALSE())</f>
        <v>0</v>
      </c>
      <c r="O180" s="136" t="n">
        <f aca="false">VLOOKUP(E181,'O_MN, PE_UTA_UGM 2023'!$B$1:$I$300,8,FALSE())</f>
        <v>5000</v>
      </c>
      <c r="P180" s="45"/>
      <c r="Q180" s="126" t="n">
        <f aca="false">VLOOKUP(E181,'O_MN, PE_UTA_UGM 2023'!$B$1:$I$300,5,FALSE())</f>
        <v>360.61</v>
      </c>
      <c r="R180" s="126" t="n">
        <f aca="false">VLOOKUP(E181,'O_MN, PE_UTA_UGM 2023'!$B$1:$I$300,6,FALSE())</f>
        <v>1352.28</v>
      </c>
      <c r="S180" s="45"/>
      <c r="T180" s="47"/>
      <c r="U180" s="127" t="n">
        <f aca="false">(H180*N180)+(I180*O180)+((K180*N180)+(L180*O180)*1.25)</f>
        <v>0</v>
      </c>
      <c r="V180" s="128"/>
      <c r="W180" s="128"/>
      <c r="X180" s="127" t="n">
        <f aca="false">(H180*Q180)+(I180*R180)+((K180*Q180)+(L180*R180)*1.25)</f>
        <v>0</v>
      </c>
      <c r="Y180" s="129"/>
      <c r="Z180" s="130" t="e">
        <f aca="false">(#REF!+#REF!+K180)*'O_MN, PE_UTA_UGM 2023'!H154</f>
        <v>#REF!</v>
      </c>
      <c r="AA180" s="131" t="e">
        <f aca="false">(#REF!+#REF!+L180)*'O_MN, PE_UTA_UGM 2023'!I154</f>
        <v>#REF!</v>
      </c>
      <c r="AB180" s="132" t="n">
        <f aca="false">IF(ISERROR(+ROUND(#REF!*N180/#REF!,3)),0,+ROUND(#REF!*N180/#REF!,3))</f>
        <v>0</v>
      </c>
      <c r="AC180" s="132" t="n">
        <f aca="false">IF(ISERROR(+ROUND(#REF!*O180/#REF!,3)),0,+ROUND(#REF!*O180/#REF!,3))</f>
        <v>0</v>
      </c>
      <c r="AD180" s="133" t="n">
        <f aca="false">IF(AND(AB180=0,AC180=0),0,#REF!*(#REF!-(#REF!*AB180/N180))+#REF!*(#REF!-(#REF!*AC180/O180)))</f>
        <v>0</v>
      </c>
      <c r="AE180" s="3"/>
      <c r="AF180" s="3"/>
      <c r="AG180" s="3"/>
      <c r="AH180" s="3"/>
      <c r="AI180" s="3"/>
    </row>
    <row r="181" customFormat="false" ht="15" hidden="false" customHeight="false" outlineLevel="0" collapsed="false">
      <c r="A181" s="3"/>
      <c r="B181" s="116"/>
      <c r="C181" s="134"/>
      <c r="D181" s="135"/>
      <c r="E181" s="119" t="n">
        <f aca="false">'O_MN, PE_UTA_UGM 2023'!B154</f>
        <v>180</v>
      </c>
      <c r="F181" s="120" t="str">
        <f aca="false">'O_MN, PE_UTA_UGM 2023'!C154</f>
        <v>JUDÍA</v>
      </c>
      <c r="G181" s="121"/>
      <c r="H181" s="122"/>
      <c r="I181" s="122"/>
      <c r="J181" s="123"/>
      <c r="K181" s="124"/>
      <c r="L181" s="124"/>
      <c r="M181" s="112" t="e">
        <f aca="false">+IF(OR((#REF!+#REF!)&gt;0,(#REF!+#REF!)&gt;0,(K181+L181)&gt;0),"SI","NO")</f>
        <v>#REF!</v>
      </c>
      <c r="N181" s="136" t="n">
        <f aca="false">VLOOKUP(E182,'O_MN, PE_UTA_UGM 2023'!$B$1:$I$300,7,FALSE())</f>
        <v>1939.72</v>
      </c>
      <c r="O181" s="136" t="n">
        <f aca="false">VLOOKUP(E182,'O_MN, PE_UTA_UGM 2023'!$B$1:$I$300,8,FALSE())</f>
        <v>6000</v>
      </c>
      <c r="P181" s="45"/>
      <c r="Q181" s="126" t="n">
        <f aca="false">VLOOKUP(E182,'O_MN, PE_UTA_UGM 2023'!$B$1:$I$300,5,FALSE())</f>
        <v>480.81</v>
      </c>
      <c r="R181" s="126" t="n">
        <f aca="false">VLOOKUP(E182,'O_MN, PE_UTA_UGM 2023'!$B$1:$I$300,6,FALSE())</f>
        <v>1442.43</v>
      </c>
      <c r="S181" s="45"/>
      <c r="T181" s="47"/>
      <c r="U181" s="127" t="n">
        <f aca="false">(H181*N181)+(I181*O181)+((K181*N181)+(L181*O181)*1.25)</f>
        <v>0</v>
      </c>
      <c r="V181" s="128"/>
      <c r="W181" s="128"/>
      <c r="X181" s="127" t="n">
        <f aca="false">(H181*Q181)+(I181*R181)+((K181*Q181)+(L181*R181)*1.25)</f>
        <v>0</v>
      </c>
      <c r="Y181" s="129"/>
      <c r="Z181" s="130" t="e">
        <f aca="false">(#REF!+#REF!+K181)*'O_MN, PE_UTA_UGM 2023'!H155</f>
        <v>#REF!</v>
      </c>
      <c r="AA181" s="131" t="e">
        <f aca="false">(#REF!+#REF!+L181)*'O_MN, PE_UTA_UGM 2023'!I155</f>
        <v>#REF!</v>
      </c>
      <c r="AB181" s="132" t="n">
        <f aca="false">IF(ISERROR(+ROUND(#REF!*N181/#REF!,3)),0,+ROUND(#REF!*N181/#REF!,3))</f>
        <v>0</v>
      </c>
      <c r="AC181" s="132" t="n">
        <f aca="false">IF(ISERROR(+ROUND(#REF!*O181/#REF!,3)),0,+ROUND(#REF!*O181/#REF!,3))</f>
        <v>0</v>
      </c>
      <c r="AD181" s="133" t="n">
        <f aca="false">IF(AND(AB181=0,AC181=0),0,#REF!*(#REF!-(#REF!*AB181/N181))+#REF!*(#REF!-(#REF!*AC181/O181)))</f>
        <v>0</v>
      </c>
      <c r="AE181" s="3"/>
      <c r="AF181" s="3"/>
      <c r="AG181" s="3"/>
      <c r="AH181" s="3"/>
      <c r="AI181" s="3"/>
    </row>
    <row r="182" customFormat="false" ht="15" hidden="false" customHeight="false" outlineLevel="0" collapsed="false">
      <c r="A182" s="3"/>
      <c r="B182" s="116"/>
      <c r="C182" s="134"/>
      <c r="D182" s="135"/>
      <c r="E182" s="119" t="n">
        <f aca="false">'O_MN, PE_UTA_UGM 2023'!B155</f>
        <v>212</v>
      </c>
      <c r="F182" s="120" t="str">
        <f aca="false">'O_MN, PE_UTA_UGM 2023'!C155</f>
        <v>KIWI</v>
      </c>
      <c r="G182" s="121"/>
      <c r="H182" s="122"/>
      <c r="I182" s="122"/>
      <c r="J182" s="123"/>
      <c r="K182" s="124"/>
      <c r="L182" s="124"/>
      <c r="M182" s="112" t="e">
        <f aca="false">+IF(OR((#REF!+#REF!)&gt;0,(#REF!+#REF!)&gt;0,(K182+L182)&gt;0),"SI","NO")</f>
        <v>#REF!</v>
      </c>
      <c r="N182" s="136" t="n">
        <f aca="false">VLOOKUP(E183,'O_MN, PE_UTA_UGM 2023'!$B$1:$I$300,7,FALSE())</f>
        <v>1000</v>
      </c>
      <c r="O182" s="136" t="n">
        <f aca="false">VLOOKUP(E183,'O_MN, PE_UTA_UGM 2023'!$B$1:$I$300,8,FALSE())</f>
        <v>3800</v>
      </c>
      <c r="P182" s="45"/>
      <c r="Q182" s="126" t="n">
        <f aca="false">VLOOKUP(E183,'O_MN, PE_UTA_UGM 2023'!$B$1:$I$300,5,FALSE())</f>
        <v>114.19</v>
      </c>
      <c r="R182" s="126" t="n">
        <f aca="false">VLOOKUP(E183,'O_MN, PE_UTA_UGM 2023'!$B$1:$I$300,6,FALSE())</f>
        <v>240.4</v>
      </c>
      <c r="S182" s="45"/>
      <c r="T182" s="47"/>
      <c r="U182" s="127" t="n">
        <f aca="false">(H182*N182)+(I182*O182)+((K182*N182)+(L182*O182)*1.25)</f>
        <v>0</v>
      </c>
      <c r="V182" s="128"/>
      <c r="W182" s="128"/>
      <c r="X182" s="127" t="n">
        <f aca="false">(H182*Q182)+(I182*R182)+((K182*Q182)+(L182*R182)*1.25)</f>
        <v>0</v>
      </c>
      <c r="Y182" s="129"/>
      <c r="Z182" s="130" t="e">
        <f aca="false">(#REF!+#REF!+K182)*'O_MN, PE_UTA_UGM 2023'!H156</f>
        <v>#REF!</v>
      </c>
      <c r="AA182" s="131" t="e">
        <f aca="false">(#REF!+#REF!+L182)*'O_MN, PE_UTA_UGM 2023'!I156</f>
        <v>#REF!</v>
      </c>
      <c r="AB182" s="132" t="n">
        <f aca="false">IF(ISERROR(+ROUND(#REF!*N182/#REF!,3)),0,+ROUND(#REF!*N182/#REF!,3))</f>
        <v>0</v>
      </c>
      <c r="AC182" s="132" t="n">
        <f aca="false">IF(ISERROR(+ROUND(#REF!*O182/#REF!,3)),0,+ROUND(#REF!*O182/#REF!,3))</f>
        <v>0</v>
      </c>
      <c r="AD182" s="133" t="n">
        <f aca="false">IF(AND(AB182=0,AC182=0),0,#REF!*(#REF!-(#REF!*AB182/N182))+#REF!*(#REF!-(#REF!*AC182/O182)))</f>
        <v>0</v>
      </c>
      <c r="AE182" s="3"/>
      <c r="AF182" s="3"/>
      <c r="AG182" s="3"/>
      <c r="AH182" s="3"/>
      <c r="AI182" s="3"/>
    </row>
    <row r="183" customFormat="false" ht="15" hidden="false" customHeight="false" outlineLevel="0" collapsed="false">
      <c r="A183" s="3"/>
      <c r="B183" s="116"/>
      <c r="C183" s="134"/>
      <c r="D183" s="135"/>
      <c r="E183" s="119" t="n">
        <f aca="false">'O_MN, PE_UTA_UGM 2023'!B156</f>
        <v>281</v>
      </c>
      <c r="F183" s="120" t="str">
        <f aca="false">'O_MN, PE_UTA_UGM 2023'!C156</f>
        <v>LAVANDA</v>
      </c>
      <c r="G183" s="121"/>
      <c r="H183" s="122"/>
      <c r="I183" s="122"/>
      <c r="J183" s="123"/>
      <c r="K183" s="124"/>
      <c r="L183" s="124"/>
      <c r="M183" s="112" t="e">
        <f aca="false">+IF(OR((#REF!+#REF!)&gt;0,(#REF!+#REF!)&gt;0,(K183+L183)&gt;0),"SI","NO")</f>
        <v>#REF!</v>
      </c>
      <c r="N183" s="136" t="n">
        <f aca="false">VLOOKUP(E184,'O_MN, PE_UTA_UGM 2023'!$B$1:$I$300,7,FALSE())</f>
        <v>1000</v>
      </c>
      <c r="O183" s="136" t="n">
        <f aca="false">VLOOKUP(E184,'O_MN, PE_UTA_UGM 2023'!$B$1:$I$300,8,FALSE())</f>
        <v>3800</v>
      </c>
      <c r="P183" s="45"/>
      <c r="Q183" s="126" t="n">
        <f aca="false">VLOOKUP(E184,'O_MN, PE_UTA_UGM 2023'!$B$1:$I$300,5,FALSE())</f>
        <v>114.19</v>
      </c>
      <c r="R183" s="126" t="n">
        <f aca="false">VLOOKUP(E184,'O_MN, PE_UTA_UGM 2023'!$B$1:$I$300,6,FALSE())</f>
        <v>240.4</v>
      </c>
      <c r="S183" s="45"/>
      <c r="T183" s="47"/>
      <c r="U183" s="127" t="n">
        <f aca="false">(H183*N183)+(I183*O183)+((K183*N183)+(L183*O183)*1.25)</f>
        <v>0</v>
      </c>
      <c r="V183" s="128"/>
      <c r="W183" s="128"/>
      <c r="X183" s="127" t="n">
        <f aca="false">(H183*Q183)+(I183*R183)+((K183*Q183)+(L183*R183)*1.25)</f>
        <v>0</v>
      </c>
      <c r="Y183" s="129"/>
      <c r="Z183" s="130" t="e">
        <f aca="false">(#REF!+#REF!+K183)*'O_MN, PE_UTA_UGM 2023'!H157</f>
        <v>#REF!</v>
      </c>
      <c r="AA183" s="131" t="e">
        <f aca="false">(#REF!+#REF!+L183)*'O_MN, PE_UTA_UGM 2023'!I157</f>
        <v>#REF!</v>
      </c>
      <c r="AB183" s="132" t="n">
        <f aca="false">IF(ISERROR(+ROUND(#REF!*N183/#REF!,3)),0,+ROUND(#REF!*N183/#REF!,3))</f>
        <v>0</v>
      </c>
      <c r="AC183" s="132" t="n">
        <f aca="false">IF(ISERROR(+ROUND(#REF!*O183/#REF!,3)),0,+ROUND(#REF!*O183/#REF!,3))</f>
        <v>0</v>
      </c>
      <c r="AD183" s="133" t="n">
        <f aca="false">IF(AND(AB183=0,AC183=0),0,#REF!*(#REF!-(#REF!*AB183/N183))+#REF!*(#REF!-(#REF!*AC183/O183)))</f>
        <v>0</v>
      </c>
      <c r="AE183" s="3"/>
      <c r="AF183" s="3"/>
      <c r="AG183" s="3"/>
      <c r="AH183" s="3"/>
      <c r="AI183" s="3"/>
    </row>
    <row r="184" customFormat="false" ht="15" hidden="false" customHeight="false" outlineLevel="0" collapsed="false">
      <c r="A184" s="3"/>
      <c r="B184" s="116"/>
      <c r="C184" s="134"/>
      <c r="D184" s="135"/>
      <c r="E184" s="119" t="n">
        <f aca="false">'O_MN, PE_UTA_UGM 2023'!B157</f>
        <v>282</v>
      </c>
      <c r="F184" s="120" t="str">
        <f aca="false">'O_MN, PE_UTA_UGM 2023'!C157</f>
        <v>LAVANDÍN</v>
      </c>
      <c r="G184" s="121"/>
      <c r="H184" s="122"/>
      <c r="I184" s="122"/>
      <c r="J184" s="123"/>
      <c r="K184" s="124"/>
      <c r="L184" s="124"/>
      <c r="M184" s="112" t="e">
        <f aca="false">+IF(OR((#REF!+#REF!)&gt;0,(#REF!+#REF!)&gt;0,(K184+L184)&gt;0),"SI","NO")</f>
        <v>#REF!</v>
      </c>
      <c r="N184" s="136" t="n">
        <f aca="false">VLOOKUP(E185,'O_MN, PE_UTA_UGM 2023'!$B$1:$I$300,7,FALSE())</f>
        <v>0</v>
      </c>
      <c r="O184" s="136" t="n">
        <f aca="false">VLOOKUP(E185,'O_MN, PE_UTA_UGM 2023'!$B$1:$I$300,8,FALSE())</f>
        <v>7000</v>
      </c>
      <c r="P184" s="45"/>
      <c r="Q184" s="126" t="n">
        <f aca="false">VLOOKUP(E185,'O_MN, PE_UTA_UGM 2023'!$B$1:$I$300,5,FALSE())</f>
        <v>360.61</v>
      </c>
      <c r="R184" s="126" t="n">
        <f aca="false">VLOOKUP(E185,'O_MN, PE_UTA_UGM 2023'!$B$1:$I$300,6,FALSE())</f>
        <v>1352.28</v>
      </c>
      <c r="S184" s="45"/>
      <c r="T184" s="47"/>
      <c r="U184" s="127" t="n">
        <f aca="false">(H184*N184)+(I184*O184)+((K184*N184)+(L184*O184)*1.25)</f>
        <v>0</v>
      </c>
      <c r="V184" s="128"/>
      <c r="W184" s="128"/>
      <c r="X184" s="127" t="n">
        <f aca="false">(H184*Q184)+(I184*R184)+((K184*Q184)+(L184*R184)*1.25)</f>
        <v>0</v>
      </c>
      <c r="Y184" s="129"/>
      <c r="Z184" s="130" t="e">
        <f aca="false">(#REF!+#REF!+K184)*'O_MN, PE_UTA_UGM 2023'!H158</f>
        <v>#REF!</v>
      </c>
      <c r="AA184" s="131" t="e">
        <f aca="false">(#REF!+#REF!+L184)*'O_MN, PE_UTA_UGM 2023'!I158</f>
        <v>#REF!</v>
      </c>
      <c r="AB184" s="132" t="n">
        <f aca="false">IF(ISERROR(+ROUND(#REF!*N184/#REF!,3)),0,+ROUND(#REF!*N184/#REF!,3))</f>
        <v>0</v>
      </c>
      <c r="AC184" s="132" t="n">
        <f aca="false">IF(ISERROR(+ROUND(#REF!*O184/#REF!,3)),0,+ROUND(#REF!*O184/#REF!,3))</f>
        <v>0</v>
      </c>
      <c r="AD184" s="133" t="n">
        <f aca="false">IF(AND(AB184=0,AC184=0),0,#REF!*(#REF!-(#REF!*AB184/N184))+#REF!*(#REF!-(#REF!*AC184/O184)))</f>
        <v>0</v>
      </c>
      <c r="AE184" s="3"/>
      <c r="AF184" s="3"/>
      <c r="AG184" s="3"/>
      <c r="AH184" s="3"/>
      <c r="AI184" s="3"/>
    </row>
    <row r="185" customFormat="false" ht="15" hidden="false" customHeight="false" outlineLevel="0" collapsed="false">
      <c r="A185" s="3"/>
      <c r="B185" s="116"/>
      <c r="C185" s="134"/>
      <c r="D185" s="135"/>
      <c r="E185" s="119" t="n">
        <f aca="false">'O_MN, PE_UTA_UGM 2023'!B158</f>
        <v>155</v>
      </c>
      <c r="F185" s="120" t="str">
        <f aca="false">'O_MN, PE_UTA_UGM 2023'!C158</f>
        <v>LECHUGA</v>
      </c>
      <c r="G185" s="121"/>
      <c r="H185" s="122"/>
      <c r="I185" s="122"/>
      <c r="J185" s="123"/>
      <c r="K185" s="124"/>
      <c r="L185" s="124"/>
      <c r="M185" s="112" t="e">
        <f aca="false">+IF(OR((#REF!+#REF!)&gt;0,(#REF!+#REF!)&gt;0,(K185+L185)&gt;0),"SI","NO")</f>
        <v>#REF!</v>
      </c>
      <c r="N185" s="136" t="n">
        <f aca="false">VLOOKUP(E186,'O_MN, PE_UTA_UGM 2023'!$B$1:$I$300,7,FALSE())</f>
        <v>350</v>
      </c>
      <c r="O185" s="136" t="n">
        <f aca="false">VLOOKUP(E186,'O_MN, PE_UTA_UGM 2023'!$B$1:$I$300,8,FALSE())</f>
        <v>750</v>
      </c>
      <c r="P185" s="45"/>
      <c r="Q185" s="126" t="n">
        <f aca="false">VLOOKUP(E186,'O_MN, PE_UTA_UGM 2023'!$B$1:$I$300,5,FALSE())</f>
        <v>114.19</v>
      </c>
      <c r="R185" s="126" t="n">
        <f aca="false">VLOOKUP(E186,'O_MN, PE_UTA_UGM 2023'!$B$1:$I$300,6,FALSE())</f>
        <v>240.4</v>
      </c>
      <c r="S185" s="45"/>
      <c r="T185" s="47"/>
      <c r="U185" s="127" t="n">
        <f aca="false">(H185*N185)+(I185*O185)+((K185*N185)+(L185*O185)*1.25)</f>
        <v>0</v>
      </c>
      <c r="V185" s="128"/>
      <c r="W185" s="128"/>
      <c r="X185" s="127" t="n">
        <f aca="false">(H185*Q185)+(I185*R185)+((K185*Q185)+(L185*R185)*1.25)</f>
        <v>0</v>
      </c>
      <c r="Y185" s="129"/>
      <c r="Z185" s="130" t="e">
        <f aca="false">(#REF!+#REF!+K185)*'O_MN, PE_UTA_UGM 2023'!H159</f>
        <v>#REF!</v>
      </c>
      <c r="AA185" s="131" t="e">
        <f aca="false">(#REF!+#REF!+L185)*'O_MN, PE_UTA_UGM 2023'!I159</f>
        <v>#REF!</v>
      </c>
      <c r="AB185" s="132" t="n">
        <f aca="false">IF(ISERROR(+ROUND(#REF!*N185/#REF!,3)),0,+ROUND(#REF!*N185/#REF!,3))</f>
        <v>0</v>
      </c>
      <c r="AC185" s="132" t="n">
        <f aca="false">IF(ISERROR(+ROUND(#REF!*O185/#REF!,3)),0,+ROUND(#REF!*O185/#REF!,3))</f>
        <v>0</v>
      </c>
      <c r="AD185" s="133" t="n">
        <f aca="false">IF(AND(AB185=0,AC185=0),0,#REF!*(#REF!-(#REF!*AB185/N185))+#REF!*(#REF!-(#REF!*AC185/O185)))</f>
        <v>0</v>
      </c>
      <c r="AE185" s="3"/>
      <c r="AF185" s="3"/>
      <c r="AG185" s="3"/>
      <c r="AH185" s="3"/>
      <c r="AI185" s="3"/>
    </row>
    <row r="186" customFormat="false" ht="15" hidden="false" customHeight="false" outlineLevel="0" collapsed="false">
      <c r="A186" s="3"/>
      <c r="B186" s="116"/>
      <c r="C186" s="134"/>
      <c r="D186" s="135"/>
      <c r="E186" s="119" t="n">
        <f aca="false">'O_MN, PE_UTA_UGM 2023'!B159</f>
        <v>51</v>
      </c>
      <c r="F186" s="120" t="str">
        <f aca="false">'O_MN, PE_UTA_UGM 2023'!C159</f>
        <v>LENTEJAS</v>
      </c>
      <c r="G186" s="121"/>
      <c r="H186" s="122"/>
      <c r="I186" s="122"/>
      <c r="J186" s="123"/>
      <c r="K186" s="124"/>
      <c r="L186" s="124"/>
      <c r="M186" s="112" t="e">
        <f aca="false">+IF(OR((#REF!+#REF!)&gt;0,(#REF!+#REF!)&gt;0,(K186+L186)&gt;0),"SI","NO")</f>
        <v>#REF!</v>
      </c>
      <c r="N186" s="136" t="n">
        <f aca="false">VLOOKUP(E187,'O_MN, PE_UTA_UGM 2023'!$B$1:$I$300,7,FALSE())</f>
        <v>700</v>
      </c>
      <c r="O186" s="136" t="n">
        <f aca="false">VLOOKUP(E187,'O_MN, PE_UTA_UGM 2023'!$B$1:$I$300,8,FALSE())</f>
        <v>1800</v>
      </c>
      <c r="P186" s="45"/>
      <c r="Q186" s="126" t="n">
        <f aca="false">VLOOKUP(E187,'O_MN, PE_UTA_UGM 2023'!$B$1:$I$300,5,FALSE())</f>
        <v>114.19</v>
      </c>
      <c r="R186" s="126" t="n">
        <f aca="false">VLOOKUP(E187,'O_MN, PE_UTA_UGM 2023'!$B$1:$I$300,6,FALSE())</f>
        <v>240.4</v>
      </c>
      <c r="S186" s="45"/>
      <c r="T186" s="47"/>
      <c r="U186" s="127" t="n">
        <f aca="false">(H186*N186)+(I186*O186)+((K186*N186)+(L186*O186)*1.25)</f>
        <v>0</v>
      </c>
      <c r="V186" s="128"/>
      <c r="W186" s="128"/>
      <c r="X186" s="127" t="n">
        <f aca="false">(H186*Q186)+(I186*R186)+((K186*Q186)+(L186*R186)*1.25)</f>
        <v>0</v>
      </c>
      <c r="Y186" s="129"/>
      <c r="Z186" s="130" t="e">
        <f aca="false">(#REF!+#REF!+K186)*'O_MN, PE_UTA_UGM 2023'!H160</f>
        <v>#REF!</v>
      </c>
      <c r="AA186" s="131" t="e">
        <f aca="false">(#REF!+#REF!+L186)*'O_MN, PE_UTA_UGM 2023'!I160</f>
        <v>#REF!</v>
      </c>
      <c r="AB186" s="132" t="n">
        <f aca="false">IF(ISERROR(+ROUND(#REF!*N186/#REF!,3)),0,+ROUND(#REF!*N186/#REF!,3))</f>
        <v>0</v>
      </c>
      <c r="AC186" s="132" t="n">
        <f aca="false">IF(ISERROR(+ROUND(#REF!*O186/#REF!,3)),0,+ROUND(#REF!*O186/#REF!,3))</f>
        <v>0</v>
      </c>
      <c r="AD186" s="133" t="n">
        <f aca="false">IF(AND(AB186=0,AC186=0),0,#REF!*(#REF!-(#REF!*AB186/N186))+#REF!*(#REF!-(#REF!*AC186/O186)))</f>
        <v>0</v>
      </c>
      <c r="AE186" s="3"/>
      <c r="AF186" s="3"/>
      <c r="AG186" s="3"/>
      <c r="AH186" s="3"/>
      <c r="AI186" s="3"/>
    </row>
    <row r="187" customFormat="false" ht="15" hidden="false" customHeight="false" outlineLevel="0" collapsed="false">
      <c r="A187" s="3"/>
      <c r="B187" s="116"/>
      <c r="C187" s="134"/>
      <c r="D187" s="135"/>
      <c r="E187" s="119" t="n">
        <f aca="false">'O_MN, PE_UTA_UGM 2023'!B160</f>
        <v>224</v>
      </c>
      <c r="F187" s="120" t="str">
        <f aca="false">'O_MN, PE_UTA_UGM 2023'!C160</f>
        <v>LEUCAENA</v>
      </c>
      <c r="G187" s="121"/>
      <c r="H187" s="122"/>
      <c r="I187" s="122"/>
      <c r="J187" s="123"/>
      <c r="K187" s="124"/>
      <c r="L187" s="124"/>
      <c r="M187" s="112" t="e">
        <f aca="false">+IF(OR((#REF!+#REF!)&gt;0,(#REF!+#REF!)&gt;0,(K187+L187)&gt;0),"SI","NO")</f>
        <v>#REF!</v>
      </c>
      <c r="N187" s="136" t="n">
        <f aca="false">VLOOKUP(E188,'O_MN, PE_UTA_UGM 2023'!$B$1:$I$300,7,FALSE())</f>
        <v>1939.8</v>
      </c>
      <c r="O187" s="136" t="n">
        <f aca="false">VLOOKUP(E188,'O_MN, PE_UTA_UGM 2023'!$B$1:$I$300,8,FALSE())</f>
        <v>6000</v>
      </c>
      <c r="P187" s="45"/>
      <c r="Q187" s="126" t="n">
        <f aca="false">VLOOKUP(E188,'O_MN, PE_UTA_UGM 2023'!$B$1:$I$300,5,FALSE())</f>
        <v>480.81</v>
      </c>
      <c r="R187" s="126" t="n">
        <f aca="false">VLOOKUP(E188,'O_MN, PE_UTA_UGM 2023'!$B$1:$I$300,6,FALSE())</f>
        <v>1442.43</v>
      </c>
      <c r="S187" s="45"/>
      <c r="T187" s="47"/>
      <c r="U187" s="127" t="n">
        <f aca="false">(H187*N187)+(I187*O187)+((K187*N187)+(L187*O187)*1.25)</f>
        <v>0</v>
      </c>
      <c r="V187" s="128"/>
      <c r="W187" s="128"/>
      <c r="X187" s="127" t="n">
        <f aca="false">(H187*Q187)+(I187*R187)+((K187*Q187)+(L187*R187)*1.25)</f>
        <v>0</v>
      </c>
      <c r="Y187" s="129"/>
      <c r="Z187" s="130" t="e">
        <f aca="false">(#REF!+#REF!+K187)*'O_MN, PE_UTA_UGM 2023'!H161</f>
        <v>#REF!</v>
      </c>
      <c r="AA187" s="131" t="e">
        <f aca="false">(#REF!+#REF!+L187)*'O_MN, PE_UTA_UGM 2023'!I161</f>
        <v>#REF!</v>
      </c>
      <c r="AB187" s="132" t="n">
        <f aca="false">IF(ISERROR(+ROUND(#REF!*N187/#REF!,3)),0,+ROUND(#REF!*N187/#REF!,3))</f>
        <v>0</v>
      </c>
      <c r="AC187" s="132" t="n">
        <f aca="false">IF(ISERROR(+ROUND(#REF!*O187/#REF!,3)),0,+ROUND(#REF!*O187/#REF!,3))</f>
        <v>0</v>
      </c>
      <c r="AD187" s="133" t="n">
        <f aca="false">IF(AND(AB187=0,AC187=0),0,#REF!*(#REF!-(#REF!*AB187/N187))+#REF!*(#REF!-(#REF!*AC187/O187)))</f>
        <v>0</v>
      </c>
      <c r="AE187" s="3"/>
      <c r="AF187" s="3"/>
      <c r="AG187" s="3"/>
      <c r="AH187" s="3"/>
      <c r="AI187" s="3"/>
    </row>
    <row r="188" customFormat="false" ht="15" hidden="false" customHeight="false" outlineLevel="0" collapsed="false">
      <c r="A188" s="3"/>
      <c r="B188" s="116"/>
      <c r="C188" s="134"/>
      <c r="D188" s="135"/>
      <c r="E188" s="119" t="n">
        <f aca="false">'O_MN, PE_UTA_UGM 2023'!B161</f>
        <v>207</v>
      </c>
      <c r="F188" s="120" t="str">
        <f aca="false">'O_MN, PE_UTA_UGM 2023'!C161</f>
        <v>LIMONERO</v>
      </c>
      <c r="G188" s="121"/>
      <c r="H188" s="122"/>
      <c r="I188" s="122"/>
      <c r="J188" s="123"/>
      <c r="K188" s="124"/>
      <c r="L188" s="124"/>
      <c r="M188" s="112" t="e">
        <f aca="false">+IF(OR((#REF!+#REF!)&gt;0,(#REF!+#REF!)&gt;0,(K188+L188)&gt;0),"SI","NO")</f>
        <v>#REF!</v>
      </c>
      <c r="N188" s="136" t="n">
        <f aca="false">VLOOKUP(E189,'O_MN, PE_UTA_UGM 2023'!$B$1:$I$300,7,FALSE())</f>
        <v>186.91</v>
      </c>
      <c r="O188" s="136" t="n">
        <f aca="false">VLOOKUP(E189,'O_MN, PE_UTA_UGM 2023'!$B$1:$I$300,8,FALSE())</f>
        <v>540.36</v>
      </c>
      <c r="P188" s="45"/>
      <c r="Q188" s="126" t="n">
        <f aca="false">VLOOKUP(E189,'O_MN, PE_UTA_UGM 2023'!$B$1:$I$300,5,FALSE())</f>
        <v>114.19</v>
      </c>
      <c r="R188" s="126" t="n">
        <f aca="false">VLOOKUP(E189,'O_MN, PE_UTA_UGM 2023'!$B$1:$I$300,6,FALSE())</f>
        <v>240.4</v>
      </c>
      <c r="S188" s="45"/>
      <c r="T188" s="47"/>
      <c r="U188" s="127" t="n">
        <f aca="false">(H188*N188)+(I188*O188)+((K188*N188)+(L188*O188)*1.25)</f>
        <v>0</v>
      </c>
      <c r="V188" s="128"/>
      <c r="W188" s="128"/>
      <c r="X188" s="127" t="n">
        <f aca="false">(H188*Q188)+(I188*R188)+((K188*Q188)+(L188*R188)*1.25)</f>
        <v>0</v>
      </c>
      <c r="Y188" s="129"/>
      <c r="Z188" s="130" t="e">
        <f aca="false">(#REF!+#REF!+K188)*'O_MN, PE_UTA_UGM 2023'!H162</f>
        <v>#REF!</v>
      </c>
      <c r="AA188" s="131" t="e">
        <f aca="false">(#REF!+#REF!+L188)*'O_MN, PE_UTA_UGM 2023'!I162</f>
        <v>#REF!</v>
      </c>
      <c r="AB188" s="132" t="n">
        <f aca="false">IF(ISERROR(+ROUND(#REF!*N188/#REF!,3)),0,+ROUND(#REF!*N188/#REF!,3))</f>
        <v>0</v>
      </c>
      <c r="AC188" s="132" t="n">
        <f aca="false">IF(ISERROR(+ROUND(#REF!*O188/#REF!,3)),0,+ROUND(#REF!*O188/#REF!,3))</f>
        <v>0</v>
      </c>
      <c r="AD188" s="133" t="n">
        <f aca="false">IF(AND(AB188=0,AC188=0),0,#REF!*(#REF!-(#REF!*AB188/N188))+#REF!*(#REF!-(#REF!*AC188/O188)))</f>
        <v>0</v>
      </c>
      <c r="AE188" s="3"/>
      <c r="AF188" s="3"/>
      <c r="AG188" s="3"/>
      <c r="AH188" s="3"/>
      <c r="AI188" s="3"/>
    </row>
    <row r="189" customFormat="false" ht="15" hidden="false" customHeight="false" outlineLevel="0" collapsed="false">
      <c r="A189" s="3"/>
      <c r="B189" s="116"/>
      <c r="C189" s="134"/>
      <c r="D189" s="135"/>
      <c r="E189" s="119" t="n">
        <f aca="false">'O_MN, PE_UTA_UGM 2023'!B162</f>
        <v>93</v>
      </c>
      <c r="F189" s="120" t="str">
        <f aca="false">'O_MN, PE_UTA_UGM 2023'!C162</f>
        <v>LINO NO TEXTIL</v>
      </c>
      <c r="G189" s="121"/>
      <c r="H189" s="122"/>
      <c r="I189" s="122"/>
      <c r="J189" s="123"/>
      <c r="K189" s="124"/>
      <c r="L189" s="124"/>
      <c r="M189" s="112" t="e">
        <f aca="false">+IF(OR((#REF!+#REF!)&gt;0,(#REF!+#REF!)&gt;0,(K189+L189)&gt;0),"SI","NO")</f>
        <v>#REF!</v>
      </c>
      <c r="N189" s="136" t="n">
        <f aca="false">VLOOKUP(E190,'O_MN, PE_UTA_UGM 2023'!$B$1:$I$300,7,FALSE())</f>
        <v>270.46</v>
      </c>
      <c r="O189" s="136" t="n">
        <f aca="false">VLOOKUP(E190,'O_MN, PE_UTA_UGM 2023'!$B$1:$I$300,8,FALSE())</f>
        <v>600</v>
      </c>
      <c r="P189" s="45"/>
      <c r="Q189" s="126" t="n">
        <f aca="false">VLOOKUP(E190,'O_MN, PE_UTA_UGM 2023'!$B$1:$I$300,5,FALSE())</f>
        <v>270.46</v>
      </c>
      <c r="R189" s="126" t="n">
        <f aca="false">VLOOKUP(E190,'O_MN, PE_UTA_UGM 2023'!$B$1:$I$300,6,FALSE())</f>
        <v>330.56</v>
      </c>
      <c r="S189" s="45"/>
      <c r="T189" s="47"/>
      <c r="U189" s="127" t="n">
        <f aca="false">(H189*N189)+(I189*O189)+((K189*N189)+(L189*O189)*1.25)</f>
        <v>0</v>
      </c>
      <c r="V189" s="128"/>
      <c r="W189" s="128"/>
      <c r="X189" s="127" t="n">
        <f aca="false">(H189*Q189)+(I189*R189)+((K189*Q189)+(L189*R189)*1.25)</f>
        <v>0</v>
      </c>
      <c r="Y189" s="129"/>
      <c r="Z189" s="130" t="e">
        <f aca="false">(#REF!+#REF!+K189)*'O_MN, PE_UTA_UGM 2023'!H163</f>
        <v>#REF!</v>
      </c>
      <c r="AA189" s="131" t="e">
        <f aca="false">(#REF!+#REF!+L189)*'O_MN, PE_UTA_UGM 2023'!I163</f>
        <v>#REF!</v>
      </c>
      <c r="AB189" s="132" t="n">
        <f aca="false">IF(ISERROR(+ROUND(#REF!*N189/#REF!,3)),0,+ROUND(#REF!*N189/#REF!,3))</f>
        <v>0</v>
      </c>
      <c r="AC189" s="132" t="n">
        <f aca="false">IF(ISERROR(+ROUND(#REF!*O189/#REF!,3)),0,+ROUND(#REF!*O189/#REF!,3))</f>
        <v>0</v>
      </c>
      <c r="AD189" s="133" t="n">
        <f aca="false">IF(AND(AB189=0,AC189=0),0,#REF!*(#REF!-(#REF!*AB189/N189))+#REF!*(#REF!-(#REF!*AC189/O189)))</f>
        <v>0</v>
      </c>
      <c r="AE189" s="3"/>
      <c r="AF189" s="3"/>
      <c r="AG189" s="3"/>
      <c r="AH189" s="3"/>
      <c r="AI189" s="3"/>
    </row>
    <row r="190" customFormat="false" ht="15" hidden="false" customHeight="false" outlineLevel="0" collapsed="false">
      <c r="A190" s="3"/>
      <c r="B190" s="116"/>
      <c r="C190" s="134"/>
      <c r="D190" s="135"/>
      <c r="E190" s="119" t="n">
        <f aca="false">'O_MN, PE_UTA_UGM 2023'!B163</f>
        <v>85</v>
      </c>
      <c r="F190" s="120" t="str">
        <f aca="false">'O_MN, PE_UTA_UGM 2023'!C163</f>
        <v>LINO TEXTIL PARA FIBRA</v>
      </c>
      <c r="G190" s="121"/>
      <c r="H190" s="122"/>
      <c r="I190" s="122"/>
      <c r="J190" s="123"/>
      <c r="K190" s="124"/>
      <c r="L190" s="124"/>
      <c r="M190" s="112" t="e">
        <f aca="false">+IF(OR((#REF!+#REF!)&gt;0,(#REF!+#REF!)&gt;0,(K190+L190)&gt;0),"SI","NO")</f>
        <v>#REF!</v>
      </c>
      <c r="N190" s="136" t="n">
        <f aca="false">VLOOKUP(E191,'O_MN, PE_UTA_UGM 2023'!$B$1:$I$300,7,FALSE())</f>
        <v>1000</v>
      </c>
      <c r="O190" s="136" t="n">
        <f aca="false">VLOOKUP(E191,'O_MN, PE_UTA_UGM 2023'!$B$1:$I$300,8,FALSE())</f>
        <v>3800</v>
      </c>
      <c r="P190" s="45"/>
      <c r="Q190" s="126" t="n">
        <f aca="false">VLOOKUP(E191,'O_MN, PE_UTA_UGM 2023'!$B$1:$I$300,5,FALSE())</f>
        <v>114.19</v>
      </c>
      <c r="R190" s="126" t="n">
        <f aca="false">VLOOKUP(E191,'O_MN, PE_UTA_UGM 2023'!$B$1:$I$300,6,FALSE())</f>
        <v>240.4</v>
      </c>
      <c r="S190" s="45"/>
      <c r="T190" s="47"/>
      <c r="U190" s="127" t="n">
        <f aca="false">(H190*N190)+(I190*O190)+((K190*N190)+(L190*O190)*1.25)</f>
        <v>0</v>
      </c>
      <c r="V190" s="128"/>
      <c r="W190" s="128"/>
      <c r="X190" s="127" t="n">
        <f aca="false">(H190*Q190)+(I190*R190)+((K190*Q190)+(L190*R190)*1.25)</f>
        <v>0</v>
      </c>
      <c r="Y190" s="129"/>
      <c r="Z190" s="130" t="e">
        <f aca="false">(#REF!+#REF!+K190)*'O_MN, PE_UTA_UGM 2023'!H164</f>
        <v>#REF!</v>
      </c>
      <c r="AA190" s="131" t="e">
        <f aca="false">(#REF!+#REF!+L190)*'O_MN, PE_UTA_UGM 2023'!I164</f>
        <v>#REF!</v>
      </c>
      <c r="AB190" s="132" t="n">
        <f aca="false">IF(ISERROR(+ROUND(#REF!*N190/#REF!,3)),0,+ROUND(#REF!*N190/#REF!,3))</f>
        <v>0</v>
      </c>
      <c r="AC190" s="132" t="n">
        <f aca="false">IF(ISERROR(+ROUND(#REF!*O190/#REF!,3)),0,+ROUND(#REF!*O190/#REF!,3))</f>
        <v>0</v>
      </c>
      <c r="AD190" s="133" t="n">
        <f aca="false">IF(AND(AB190=0,AC190=0),0,#REF!*(#REF!-(#REF!*AB190/N190))+#REF!*(#REF!-(#REF!*AC190/O190)))</f>
        <v>0</v>
      </c>
      <c r="AE190" s="3"/>
      <c r="AF190" s="3"/>
      <c r="AG190" s="3"/>
      <c r="AH190" s="3"/>
      <c r="AI190" s="3"/>
    </row>
    <row r="191" customFormat="false" ht="15" hidden="false" customHeight="false" outlineLevel="0" collapsed="false">
      <c r="A191" s="3"/>
      <c r="B191" s="116"/>
      <c r="C191" s="134"/>
      <c r="D191" s="135"/>
      <c r="E191" s="119" t="n">
        <f aca="false">'O_MN, PE_UTA_UGM 2023'!B164</f>
        <v>315</v>
      </c>
      <c r="F191" s="120" t="str">
        <f aca="false">'O_MN, PE_UTA_UGM 2023'!C164</f>
        <v>LLANTÉN</v>
      </c>
      <c r="G191" s="121"/>
      <c r="H191" s="122"/>
      <c r="I191" s="122"/>
      <c r="J191" s="123"/>
      <c r="K191" s="124"/>
      <c r="L191" s="124"/>
      <c r="M191" s="112" t="e">
        <f aca="false">+IF(OR((#REF!+#REF!)&gt;0,(#REF!+#REF!)&gt;0,(K191+L191)&gt;0),"SI","NO")</f>
        <v>#REF!</v>
      </c>
      <c r="N191" s="136" t="n">
        <f aca="false">VLOOKUP(E192,'O_MN, PE_UTA_UGM 2023'!$B$1:$I$300,7,FALSE())</f>
        <v>270.46</v>
      </c>
      <c r="O191" s="136" t="n">
        <f aca="false">VLOOKUP(E192,'O_MN, PE_UTA_UGM 2023'!$B$1:$I$300,8,FALSE())</f>
        <v>600</v>
      </c>
      <c r="P191" s="45"/>
      <c r="Q191" s="126" t="n">
        <f aca="false">VLOOKUP(E192,'O_MN, PE_UTA_UGM 2023'!$B$1:$I$300,5,FALSE())</f>
        <v>1E-005</v>
      </c>
      <c r="R191" s="126" t="n">
        <f aca="false">VLOOKUP(E192,'O_MN, PE_UTA_UGM 2023'!$B$1:$I$300,6,FALSE())</f>
        <v>1E-005</v>
      </c>
      <c r="S191" s="45"/>
      <c r="T191" s="47"/>
      <c r="U191" s="127" t="n">
        <f aca="false">(H191*N191)+(I191*O191)+((K191*N191)+(L191*O191)*1.25)</f>
        <v>0</v>
      </c>
      <c r="V191" s="128"/>
      <c r="W191" s="128"/>
      <c r="X191" s="127" t="n">
        <f aca="false">(H191*Q191)+(I191*R191)+((K191*Q191)+(L191*R191)*1.25)</f>
        <v>0</v>
      </c>
      <c r="Y191" s="129"/>
      <c r="Z191" s="130" t="e">
        <f aca="false">(#REF!+#REF!+K191)*'O_MN, PE_UTA_UGM 2023'!H165</f>
        <v>#REF!</v>
      </c>
      <c r="AA191" s="131" t="e">
        <f aca="false">(#REF!+#REF!+L191)*'O_MN, PE_UTA_UGM 2023'!I165</f>
        <v>#REF!</v>
      </c>
      <c r="AB191" s="132" t="n">
        <f aca="false">IF(ISERROR(+ROUND(#REF!*N191/#REF!,3)),0,+ROUND(#REF!*N191/#REF!,3))</f>
        <v>0</v>
      </c>
      <c r="AC191" s="132" t="n">
        <f aca="false">IF(ISERROR(+ROUND(#REF!*O191/#REF!,3)),0,+ROUND(#REF!*O191/#REF!,3))</f>
        <v>0</v>
      </c>
      <c r="AD191" s="133" t="n">
        <f aca="false">IF(AND(AB191=0,AC191=0),0,#REF!*(#REF!-(#REF!*AB191/N191))+#REF!*(#REF!-(#REF!*AC191/O191)))</f>
        <v>0</v>
      </c>
      <c r="AE191" s="3"/>
      <c r="AF191" s="3"/>
      <c r="AG191" s="3"/>
      <c r="AH191" s="3"/>
      <c r="AI191" s="3"/>
    </row>
    <row r="192" customFormat="false" ht="15" hidden="false" customHeight="false" outlineLevel="0" collapsed="false">
      <c r="A192" s="3"/>
      <c r="B192" s="116"/>
      <c r="C192" s="134"/>
      <c r="D192" s="135"/>
      <c r="E192" s="119" t="n">
        <f aca="false">'O_MN, PE_UTA_UGM 2023'!B165</f>
        <v>84</v>
      </c>
      <c r="F192" s="120" t="str">
        <f aca="false">'O_MN, PE_UTA_UGM 2023'!C165</f>
        <v>LUPULO</v>
      </c>
      <c r="G192" s="121"/>
      <c r="H192" s="122"/>
      <c r="I192" s="122"/>
      <c r="J192" s="123"/>
      <c r="K192" s="124"/>
      <c r="L192" s="124"/>
      <c r="M192" s="112" t="e">
        <f aca="false">+IF(OR((#REF!+#REF!)&gt;0,(#REF!+#REF!)&gt;0,(K192+L192)&gt;0),"SI","NO")</f>
        <v>#REF!</v>
      </c>
      <c r="N192" s="136" t="n">
        <f aca="false">VLOOKUP(E193,'O_MN, PE_UTA_UGM 2023'!$B$1:$I$300,7,FALSE())</f>
        <v>951.75</v>
      </c>
      <c r="O192" s="136" t="n">
        <f aca="false">VLOOKUP(E193,'O_MN, PE_UTA_UGM 2023'!$B$1:$I$300,8,FALSE())</f>
        <v>2400</v>
      </c>
      <c r="P192" s="45"/>
      <c r="Q192" s="126" t="n">
        <f aca="false">VLOOKUP(E193,'O_MN, PE_UTA_UGM 2023'!$B$1:$I$300,5,FALSE())</f>
        <v>114.19</v>
      </c>
      <c r="R192" s="126" t="n">
        <f aca="false">VLOOKUP(E193,'O_MN, PE_UTA_UGM 2023'!$B$1:$I$300,6,FALSE())</f>
        <v>480.81</v>
      </c>
      <c r="S192" s="45"/>
      <c r="T192" s="47"/>
      <c r="U192" s="127" t="n">
        <f aca="false">(H192*N192)+(I192*O192)+((K192*N192)+(L192*O192)*1.25)</f>
        <v>0</v>
      </c>
      <c r="V192" s="128"/>
      <c r="W192" s="128"/>
      <c r="X192" s="127" t="n">
        <f aca="false">(H192*Q192)+(I192*R192)+((K192*Q192)+(L192*R192)*1.25)</f>
        <v>0</v>
      </c>
      <c r="Y192" s="129"/>
      <c r="Z192" s="130" t="e">
        <f aca="false">(#REF!+#REF!+K192)*'O_MN, PE_UTA_UGM 2023'!H166</f>
        <v>#REF!</v>
      </c>
      <c r="AA192" s="131" t="e">
        <f aca="false">(#REF!+#REF!+L192)*'O_MN, PE_UTA_UGM 2023'!I166</f>
        <v>#REF!</v>
      </c>
      <c r="AB192" s="132" t="n">
        <f aca="false">IF(ISERROR(+ROUND(#REF!*N192/#REF!,3)),0,+ROUND(#REF!*N192/#REF!,3))</f>
        <v>0</v>
      </c>
      <c r="AC192" s="132" t="n">
        <f aca="false">IF(ISERROR(+ROUND(#REF!*O192/#REF!,3)),0,+ROUND(#REF!*O192/#REF!,3))</f>
        <v>0</v>
      </c>
      <c r="AD192" s="133" t="n">
        <f aca="false">IF(AND(AB192=0,AC192=0),0,#REF!*(#REF!-(#REF!*AB192/N192))+#REF!*(#REF!-(#REF!*AC192/O192)))</f>
        <v>0</v>
      </c>
      <c r="AE192" s="3"/>
      <c r="AF192" s="3"/>
      <c r="AG192" s="3"/>
      <c r="AH192" s="3"/>
      <c r="AI192" s="3"/>
    </row>
    <row r="193" customFormat="false" ht="15" hidden="false" customHeight="false" outlineLevel="0" collapsed="false">
      <c r="A193" s="3"/>
      <c r="B193" s="116"/>
      <c r="C193" s="134"/>
      <c r="D193" s="135"/>
      <c r="E193" s="119" t="n">
        <f aca="false">'O_MN, PE_UTA_UGM 2023'!B166</f>
        <v>4</v>
      </c>
      <c r="F193" s="120" t="str">
        <f aca="false">'O_MN, PE_UTA_UGM 2023'!C166</f>
        <v>MAÍZ  </v>
      </c>
      <c r="G193" s="121"/>
      <c r="H193" s="122"/>
      <c r="I193" s="122"/>
      <c r="J193" s="123"/>
      <c r="K193" s="124"/>
      <c r="L193" s="124"/>
      <c r="M193" s="112" t="e">
        <f aca="false">+IF(OR((#REF!+#REF!)&gt;0,(#REF!+#REF!)&gt;0,(K193+L193)&gt;0),"SI","NO")</f>
        <v>#REF!</v>
      </c>
      <c r="N193" s="136" t="n">
        <f aca="false">VLOOKUP(E194,'O_MN, PE_UTA_UGM 2023'!$B$1:$I$300,7,FALSE())</f>
        <v>951.75</v>
      </c>
      <c r="O193" s="136" t="n">
        <f aca="false">VLOOKUP(E194,'O_MN, PE_UTA_UGM 2023'!$B$1:$I$300,8,FALSE())</f>
        <v>2400</v>
      </c>
      <c r="P193" s="45"/>
      <c r="Q193" s="126" t="n">
        <f aca="false">VLOOKUP(E194,'O_MN, PE_UTA_UGM 2023'!$B$1:$I$300,5,FALSE())</f>
        <v>114.19</v>
      </c>
      <c r="R193" s="126" t="n">
        <f aca="false">VLOOKUP(E194,'O_MN, PE_UTA_UGM 2023'!$B$1:$I$300,6,FALSE())</f>
        <v>480.81</v>
      </c>
      <c r="S193" s="45"/>
      <c r="T193" s="47"/>
      <c r="U193" s="127" t="n">
        <f aca="false">(H193*N193)+(I193*O193)+((K193*N193)+(L193*O193)*1.25)</f>
        <v>0</v>
      </c>
      <c r="V193" s="128"/>
      <c r="W193" s="128"/>
      <c r="X193" s="127" t="n">
        <f aca="false">(H193*Q193)+(I193*R193)+((K193*Q193)+(L193*R193)*1.25)</f>
        <v>0</v>
      </c>
      <c r="Y193" s="129"/>
      <c r="Z193" s="130" t="e">
        <f aca="false">(#REF!+#REF!+K193)*'O_MN, PE_UTA_UGM 2023'!H167</f>
        <v>#REF!</v>
      </c>
      <c r="AA193" s="131" t="e">
        <f aca="false">(#REF!+#REF!+L193)*'O_MN, PE_UTA_UGM 2023'!I167</f>
        <v>#REF!</v>
      </c>
      <c r="AB193" s="132" t="n">
        <f aca="false">IF(ISERROR(+ROUND(#REF!*N193/#REF!,3)),0,+ROUND(#REF!*N193/#REF!,3))</f>
        <v>0</v>
      </c>
      <c r="AC193" s="132" t="n">
        <f aca="false">IF(ISERROR(+ROUND(#REF!*O193/#REF!,3)),0,+ROUND(#REF!*O193/#REF!,3))</f>
        <v>0</v>
      </c>
      <c r="AD193" s="133" t="n">
        <f aca="false">IF(AND(AB193=0,AC193=0),0,#REF!*(#REF!-(#REF!*AB193/N193))+#REF!*(#REF!-(#REF!*AC193/O193)))</f>
        <v>0</v>
      </c>
      <c r="AE193" s="3"/>
      <c r="AF193" s="3"/>
      <c r="AG193" s="3"/>
      <c r="AH193" s="3"/>
      <c r="AI193" s="3"/>
    </row>
    <row r="194" customFormat="false" ht="15" hidden="false" customHeight="false" outlineLevel="0" collapsed="false">
      <c r="A194" s="3"/>
      <c r="B194" s="116"/>
      <c r="C194" s="134"/>
      <c r="D194" s="135"/>
      <c r="E194" s="119" t="n">
        <f aca="false">'O_MN, PE_UTA_UGM 2023'!B167</f>
        <v>326</v>
      </c>
      <c r="F194" s="120" t="str">
        <f aca="false">'O_MN, PE_UTA_UGM 2023'!C167</f>
        <v>MAÍZ DULCE</v>
      </c>
      <c r="G194" s="121"/>
      <c r="H194" s="122"/>
      <c r="I194" s="122"/>
      <c r="J194" s="123"/>
      <c r="K194" s="124"/>
      <c r="L194" s="124"/>
      <c r="M194" s="112" t="e">
        <f aca="false">+IF(OR((#REF!+#REF!)&gt;0,(#REF!+#REF!)&gt;0,(K194+L194)&gt;0),"SI","NO")</f>
        <v>#REF!</v>
      </c>
      <c r="N194" s="136" t="n">
        <f aca="false">VLOOKUP(E195,'O_MN, PE_UTA_UGM 2023'!$B$1:$I$300,7,FALSE())</f>
        <v>1000</v>
      </c>
      <c r="O194" s="136" t="n">
        <f aca="false">VLOOKUP(E195,'O_MN, PE_UTA_UGM 2023'!$B$1:$I$300,8,FALSE())</f>
        <v>3800</v>
      </c>
      <c r="P194" s="45"/>
      <c r="Q194" s="126" t="n">
        <f aca="false">VLOOKUP(E195,'O_MN, PE_UTA_UGM 2023'!$B$1:$I$300,5,FALSE())</f>
        <v>114.19</v>
      </c>
      <c r="R194" s="126" t="n">
        <f aca="false">VLOOKUP(E195,'O_MN, PE_UTA_UGM 2023'!$B$1:$I$300,6,FALSE())</f>
        <v>240.4</v>
      </c>
      <c r="S194" s="45"/>
      <c r="T194" s="47"/>
      <c r="U194" s="127" t="n">
        <f aca="false">(H194*N194)+(I194*O194)+((K194*N194)+(L194*O194)*1.25)</f>
        <v>0</v>
      </c>
      <c r="V194" s="128"/>
      <c r="W194" s="128"/>
      <c r="X194" s="127" t="n">
        <f aca="false">(H194*Q194)+(I194*R194)+((K194*Q194)+(L194*R194)*1.25)</f>
        <v>0</v>
      </c>
      <c r="Y194" s="129"/>
      <c r="Z194" s="130" t="e">
        <f aca="false">(#REF!+#REF!+K194)*'O_MN, PE_UTA_UGM 2023'!H168</f>
        <v>#REF!</v>
      </c>
      <c r="AA194" s="131" t="e">
        <f aca="false">(#REF!+#REF!+L194)*'O_MN, PE_UTA_UGM 2023'!I168</f>
        <v>#REF!</v>
      </c>
      <c r="AB194" s="132" t="n">
        <f aca="false">IF(ISERROR(+ROUND(#REF!*N194/#REF!,3)),0,+ROUND(#REF!*N194/#REF!,3))</f>
        <v>0</v>
      </c>
      <c r="AC194" s="132" t="n">
        <f aca="false">IF(ISERROR(+ROUND(#REF!*O194/#REF!,3)),0,+ROUND(#REF!*O194/#REF!,3))</f>
        <v>0</v>
      </c>
      <c r="AD194" s="133" t="n">
        <f aca="false">IF(AND(AB194=0,AC194=0),0,#REF!*(#REF!-(#REF!*AB194/N194))+#REF!*(#REF!-(#REF!*AC194/O194)))</f>
        <v>0</v>
      </c>
      <c r="AE194" s="3"/>
      <c r="AF194" s="3"/>
      <c r="AG194" s="3"/>
      <c r="AH194" s="3"/>
      <c r="AI194" s="3"/>
    </row>
    <row r="195" customFormat="false" ht="15" hidden="false" customHeight="false" outlineLevel="0" collapsed="false">
      <c r="A195" s="3"/>
      <c r="B195" s="116"/>
      <c r="C195" s="134"/>
      <c r="D195" s="135"/>
      <c r="E195" s="119" t="n">
        <f aca="false">'O_MN, PE_UTA_UGM 2023'!B168</f>
        <v>316</v>
      </c>
      <c r="F195" s="120" t="str">
        <f aca="false">'O_MN, PE_UTA_UGM 2023'!C168</f>
        <v>MALVAVISCO</v>
      </c>
      <c r="G195" s="121"/>
      <c r="H195" s="122"/>
      <c r="I195" s="122"/>
      <c r="J195" s="123"/>
      <c r="K195" s="124"/>
      <c r="L195" s="124"/>
      <c r="M195" s="112" t="e">
        <f aca="false">+IF(OR((#REF!+#REF!)&gt;0,(#REF!+#REF!)&gt;0,(K195+L195)&gt;0),"SI","NO")</f>
        <v>#REF!</v>
      </c>
      <c r="N195" s="136" t="n">
        <f aca="false">VLOOKUP(E196,'O_MN, PE_UTA_UGM 2023'!$B$1:$I$300,7,FALSE())</f>
        <v>1939.8</v>
      </c>
      <c r="O195" s="136" t="n">
        <f aca="false">VLOOKUP(E196,'O_MN, PE_UTA_UGM 2023'!$B$1:$I$300,8,FALSE())</f>
        <v>6000</v>
      </c>
      <c r="P195" s="45"/>
      <c r="Q195" s="126" t="n">
        <f aca="false">VLOOKUP(E196,'O_MN, PE_UTA_UGM 2023'!$B$1:$I$300,5,FALSE())</f>
        <v>480.81</v>
      </c>
      <c r="R195" s="126" t="n">
        <f aca="false">VLOOKUP(E196,'O_MN, PE_UTA_UGM 2023'!$B$1:$I$300,6,FALSE())</f>
        <v>1442.43</v>
      </c>
      <c r="S195" s="45"/>
      <c r="T195" s="47"/>
      <c r="U195" s="127" t="n">
        <f aca="false">(H195*N195)+(I195*O195)+((K195*N195)+(L195*O195)*1.25)</f>
        <v>0</v>
      </c>
      <c r="V195" s="128"/>
      <c r="W195" s="128"/>
      <c r="X195" s="127" t="n">
        <f aca="false">(H195*Q195)+(I195*R195)+((K195*Q195)+(L195*R195)*1.25)</f>
        <v>0</v>
      </c>
      <c r="Y195" s="129"/>
      <c r="Z195" s="130" t="e">
        <f aca="false">(#REF!+#REF!+K195)*'O_MN, PE_UTA_UGM 2023'!H169</f>
        <v>#REF!</v>
      </c>
      <c r="AA195" s="131" t="e">
        <f aca="false">(#REF!+#REF!+L195)*'O_MN, PE_UTA_UGM 2023'!I169</f>
        <v>#REF!</v>
      </c>
      <c r="AB195" s="132" t="n">
        <f aca="false">IF(ISERROR(+ROUND(#REF!*N195/#REF!,3)),0,+ROUND(#REF!*N195/#REF!,3))</f>
        <v>0</v>
      </c>
      <c r="AC195" s="132" t="n">
        <f aca="false">IF(ISERROR(+ROUND(#REF!*O195/#REF!,3)),0,+ROUND(#REF!*O195/#REF!,3))</f>
        <v>0</v>
      </c>
      <c r="AD195" s="133" t="n">
        <f aca="false">IF(AND(AB195=0,AC195=0),0,#REF!*(#REF!-(#REF!*AB195/N195))+#REF!*(#REF!-(#REF!*AC195/O195)))</f>
        <v>0</v>
      </c>
      <c r="AE195" s="3"/>
      <c r="AF195" s="3"/>
      <c r="AG195" s="3"/>
      <c r="AH195" s="3"/>
      <c r="AI195" s="3"/>
    </row>
    <row r="196" customFormat="false" ht="15" hidden="false" customHeight="false" outlineLevel="0" collapsed="false">
      <c r="A196" s="3"/>
      <c r="B196" s="116"/>
      <c r="C196" s="134"/>
      <c r="D196" s="135"/>
      <c r="E196" s="119" t="n">
        <f aca="false">'O_MN, PE_UTA_UGM 2023'!B169</f>
        <v>209</v>
      </c>
      <c r="F196" s="120" t="str">
        <f aca="false">'O_MN, PE_UTA_UGM 2023'!C169</f>
        <v>MANDARINO</v>
      </c>
      <c r="G196" s="121"/>
      <c r="H196" s="122"/>
      <c r="I196" s="122"/>
      <c r="J196" s="123"/>
      <c r="K196" s="124"/>
      <c r="L196" s="124"/>
      <c r="M196" s="112" t="e">
        <f aca="false">+IF(OR((#REF!+#REF!)&gt;0,(#REF!+#REF!)&gt;0,(K196+L196)&gt;0),"SI","NO")</f>
        <v>#REF!</v>
      </c>
      <c r="N196" s="136" t="n">
        <f aca="false">VLOOKUP(E197,'O_MN, PE_UTA_UGM 2023'!$B$1:$I$300,7,FALSE())</f>
        <v>1000</v>
      </c>
      <c r="O196" s="136" t="n">
        <f aca="false">VLOOKUP(E197,'O_MN, PE_UTA_UGM 2023'!$B$1:$I$300,8,FALSE())</f>
        <v>3800</v>
      </c>
      <c r="P196" s="45"/>
      <c r="Q196" s="126" t="n">
        <f aca="false">VLOOKUP(E197,'O_MN, PE_UTA_UGM 2023'!$B$1:$I$300,5,FALSE())</f>
        <v>114.19</v>
      </c>
      <c r="R196" s="126" t="n">
        <f aca="false">VLOOKUP(E197,'O_MN, PE_UTA_UGM 2023'!$B$1:$I$300,6,FALSE())</f>
        <v>240.4</v>
      </c>
      <c r="S196" s="45"/>
      <c r="T196" s="47"/>
      <c r="U196" s="127" t="n">
        <f aca="false">(H196*N196)+(I196*O196)+((K196*N196)+(L196*O196)*1.25)</f>
        <v>0</v>
      </c>
      <c r="V196" s="128"/>
      <c r="W196" s="128"/>
      <c r="X196" s="127" t="n">
        <f aca="false">(H196*Q196)+(I196*R196)+((K196*Q196)+(L196*R196)*1.25)</f>
        <v>0</v>
      </c>
      <c r="Y196" s="129"/>
      <c r="Z196" s="130" t="e">
        <f aca="false">(#REF!+#REF!+K196)*'O_MN, PE_UTA_UGM 2023'!H170</f>
        <v>#REF!</v>
      </c>
      <c r="AA196" s="131" t="e">
        <f aca="false">(#REF!+#REF!+L196)*'O_MN, PE_UTA_UGM 2023'!I170</f>
        <v>#REF!</v>
      </c>
      <c r="AB196" s="132" t="n">
        <f aca="false">IF(ISERROR(+ROUND(#REF!*N196/#REF!,3)),0,+ROUND(#REF!*N196/#REF!,3))</f>
        <v>0</v>
      </c>
      <c r="AC196" s="132" t="n">
        <f aca="false">IF(ISERROR(+ROUND(#REF!*O196/#REF!,3)),0,+ROUND(#REF!*O196/#REF!,3))</f>
        <v>0</v>
      </c>
      <c r="AD196" s="133" t="n">
        <f aca="false">IF(AND(AB196=0,AC196=0),0,#REF!*(#REF!-(#REF!*AB196/N196))+#REF!*(#REF!-(#REF!*AC196/O196)))</f>
        <v>0</v>
      </c>
      <c r="AE196" s="3"/>
      <c r="AF196" s="3"/>
      <c r="AG196" s="3"/>
      <c r="AH196" s="3"/>
      <c r="AI196" s="3"/>
    </row>
    <row r="197" customFormat="false" ht="15" hidden="false" customHeight="false" outlineLevel="0" collapsed="false">
      <c r="A197" s="3"/>
      <c r="B197" s="116"/>
      <c r="C197" s="134"/>
      <c r="D197" s="135"/>
      <c r="E197" s="119" t="n">
        <f aca="false">'O_MN, PE_UTA_UGM 2023'!B170</f>
        <v>255</v>
      </c>
      <c r="F197" s="120" t="str">
        <f aca="false">'O_MN, PE_UTA_UGM 2023'!C170</f>
        <v>MANZANILLA</v>
      </c>
      <c r="G197" s="121"/>
      <c r="H197" s="122"/>
      <c r="I197" s="122"/>
      <c r="J197" s="123"/>
      <c r="K197" s="124"/>
      <c r="L197" s="124"/>
      <c r="M197" s="112" t="e">
        <f aca="false">+IF(OR((#REF!+#REF!)&gt;0,(#REF!+#REF!)&gt;0,(K197+L197)&gt;0),"SI","NO")</f>
        <v>#REF!</v>
      </c>
      <c r="N197" s="136" t="n">
        <f aca="false">VLOOKUP(E198,'O_MN, PE_UTA_UGM 2023'!$B$1:$I$300,7,FALSE())</f>
        <v>1000</v>
      </c>
      <c r="O197" s="136" t="n">
        <f aca="false">VLOOKUP(E198,'O_MN, PE_UTA_UGM 2023'!$B$1:$I$300,8,FALSE())</f>
        <v>3800</v>
      </c>
      <c r="P197" s="45"/>
      <c r="Q197" s="126" t="n">
        <f aca="false">VLOOKUP(E198,'O_MN, PE_UTA_UGM 2023'!$B$1:$I$300,5,FALSE())</f>
        <v>114.19</v>
      </c>
      <c r="R197" s="126" t="n">
        <f aca="false">VLOOKUP(E198,'O_MN, PE_UTA_UGM 2023'!$B$1:$I$300,6,FALSE())</f>
        <v>240.4</v>
      </c>
      <c r="S197" s="45"/>
      <c r="T197" s="47"/>
      <c r="U197" s="127" t="n">
        <f aca="false">(H197*N197)+(I197*O197)+((K197*N197)+(L197*O197)*1.25)</f>
        <v>0</v>
      </c>
      <c r="V197" s="128"/>
      <c r="W197" s="128"/>
      <c r="X197" s="127" t="n">
        <f aca="false">(H197*Q197)+(I197*R197)+((K197*Q197)+(L197*R197)*1.25)</f>
        <v>0</v>
      </c>
      <c r="Y197" s="129"/>
      <c r="Z197" s="130" t="e">
        <f aca="false">(#REF!+#REF!+K197)*'O_MN, PE_UTA_UGM 2023'!H171</f>
        <v>#REF!</v>
      </c>
      <c r="AA197" s="131" t="e">
        <f aca="false">(#REF!+#REF!+L197)*'O_MN, PE_UTA_UGM 2023'!I171</f>
        <v>#REF!</v>
      </c>
      <c r="AB197" s="132" t="n">
        <f aca="false">IF(ISERROR(+ROUND(#REF!*N197/#REF!,3)),0,+ROUND(#REF!*N197/#REF!,3))</f>
        <v>0</v>
      </c>
      <c r="AC197" s="132" t="n">
        <f aca="false">IF(ISERROR(+ROUND(#REF!*O197/#REF!,3)),0,+ROUND(#REF!*O197/#REF!,3))</f>
        <v>0</v>
      </c>
      <c r="AD197" s="133" t="n">
        <f aca="false">IF(AND(AB197=0,AC197=0),0,#REF!*(#REF!-(#REF!*AB197/N197))+#REF!*(#REF!-(#REF!*AC197/O197)))</f>
        <v>0</v>
      </c>
      <c r="AE197" s="3"/>
      <c r="AF197" s="3"/>
      <c r="AG197" s="3"/>
      <c r="AH197" s="3"/>
      <c r="AI197" s="3"/>
    </row>
    <row r="198" customFormat="false" ht="15" hidden="false" customHeight="false" outlineLevel="0" collapsed="false">
      <c r="A198" s="3"/>
      <c r="B198" s="116"/>
      <c r="C198" s="134"/>
      <c r="D198" s="135"/>
      <c r="E198" s="119" t="n">
        <f aca="false">'O_MN, PE_UTA_UGM 2023'!B171</f>
        <v>317</v>
      </c>
      <c r="F198" s="120" t="str">
        <f aca="false">'O_MN, PE_UTA_UGM 2023'!C171</f>
        <v>MANZANILLA AMARGA</v>
      </c>
      <c r="G198" s="121"/>
      <c r="H198" s="122"/>
      <c r="I198" s="122"/>
      <c r="J198" s="123"/>
      <c r="K198" s="124"/>
      <c r="L198" s="124"/>
      <c r="M198" s="112" t="e">
        <f aca="false">+IF(OR((#REF!+#REF!)&gt;0,(#REF!+#REF!)&gt;0,(K198+L198)&gt;0),"SI","NO")</f>
        <v>#REF!</v>
      </c>
      <c r="N198" s="136" t="n">
        <f aca="false">VLOOKUP(E199,'O_MN, PE_UTA_UGM 2023'!$B$1:$I$300,7,FALSE())</f>
        <v>1000</v>
      </c>
      <c r="O198" s="136" t="n">
        <f aca="false">VLOOKUP(E199,'O_MN, PE_UTA_UGM 2023'!$B$1:$I$300,8,FALSE())</f>
        <v>3800</v>
      </c>
      <c r="P198" s="45"/>
      <c r="Q198" s="126" t="n">
        <f aca="false">VLOOKUP(E199,'O_MN, PE_UTA_UGM 2023'!$B$1:$I$300,5,FALSE())</f>
        <v>114.19</v>
      </c>
      <c r="R198" s="126" t="n">
        <f aca="false">VLOOKUP(E199,'O_MN, PE_UTA_UGM 2023'!$B$1:$I$300,6,FALSE())</f>
        <v>240.4</v>
      </c>
      <c r="S198" s="45"/>
      <c r="T198" s="47"/>
      <c r="U198" s="127" t="n">
        <f aca="false">(H198*N198)+(I198*O198)+((K198*N198)+(L198*O198)*1.25)</f>
        <v>0</v>
      </c>
      <c r="V198" s="128"/>
      <c r="W198" s="128"/>
      <c r="X198" s="127" t="n">
        <f aca="false">(H198*Q198)+(I198*R198)+((K198*Q198)+(L198*R198)*1.25)</f>
        <v>0</v>
      </c>
      <c r="Y198" s="129"/>
      <c r="Z198" s="130" t="e">
        <f aca="false">(#REF!+#REF!+K198)*'O_MN, PE_UTA_UGM 2023'!H172</f>
        <v>#REF!</v>
      </c>
      <c r="AA198" s="131" t="e">
        <f aca="false">(#REF!+#REF!+L198)*'O_MN, PE_UTA_UGM 2023'!I172</f>
        <v>#REF!</v>
      </c>
      <c r="AB198" s="132" t="n">
        <f aca="false">IF(ISERROR(+ROUND(#REF!*N198/#REF!,3)),0,+ROUND(#REF!*N198/#REF!,3))</f>
        <v>0</v>
      </c>
      <c r="AC198" s="132" t="n">
        <f aca="false">IF(ISERROR(+ROUND(#REF!*O198/#REF!,3)),0,+ROUND(#REF!*O198/#REF!,3))</f>
        <v>0</v>
      </c>
      <c r="AD198" s="133" t="n">
        <f aca="false">IF(AND(AB198=0,AC198=0),0,#REF!*(#REF!-(#REF!*AB198/N198))+#REF!*(#REF!-(#REF!*AC198/O198)))</f>
        <v>0</v>
      </c>
      <c r="AE198" s="3"/>
      <c r="AF198" s="3"/>
      <c r="AG198" s="3"/>
      <c r="AH198" s="3"/>
      <c r="AI198" s="3"/>
    </row>
    <row r="199" customFormat="false" ht="15" hidden="false" customHeight="false" outlineLevel="0" collapsed="false">
      <c r="A199" s="3"/>
      <c r="B199" s="116"/>
      <c r="C199" s="134"/>
      <c r="D199" s="135"/>
      <c r="E199" s="119" t="n">
        <f aca="false">'O_MN, PE_UTA_UGM 2023'!B172</f>
        <v>318</v>
      </c>
      <c r="F199" s="120" t="str">
        <f aca="false">'O_MN, PE_UTA_UGM 2023'!C172</f>
        <v>MANZANILLA DULCE</v>
      </c>
      <c r="G199" s="121"/>
      <c r="H199" s="122"/>
      <c r="I199" s="122"/>
      <c r="J199" s="123"/>
      <c r="K199" s="124"/>
      <c r="L199" s="124"/>
      <c r="M199" s="112" t="e">
        <f aca="false">+IF(OR((#REF!+#REF!)&gt;0,(#REF!+#REF!)&gt;0,(K199+L199)&gt;0),"SI","NO")</f>
        <v>#REF!</v>
      </c>
      <c r="N199" s="136" t="n">
        <f aca="false">VLOOKUP(E200,'O_MN, PE_UTA_UGM 2023'!$B$1:$I$300,7,FALSE())</f>
        <v>1939.8</v>
      </c>
      <c r="O199" s="136" t="n">
        <f aca="false">VLOOKUP(E200,'O_MN, PE_UTA_UGM 2023'!$B$1:$I$300,8,FALSE())</f>
        <v>8000</v>
      </c>
      <c r="P199" s="45"/>
      <c r="Q199" s="126" t="n">
        <f aca="false">VLOOKUP(E200,'O_MN, PE_UTA_UGM 2023'!$B$1:$I$300,5,FALSE())</f>
        <v>480.81</v>
      </c>
      <c r="R199" s="126" t="n">
        <f aca="false">VLOOKUP(E200,'O_MN, PE_UTA_UGM 2023'!$B$1:$I$300,6,FALSE())</f>
        <v>1442.43</v>
      </c>
      <c r="S199" s="45"/>
      <c r="T199" s="47"/>
      <c r="U199" s="127" t="n">
        <f aca="false">(H199*N199)+(I199*O199)+((K199*N199)+(L199*O199)*1.25)</f>
        <v>0</v>
      </c>
      <c r="V199" s="128"/>
      <c r="W199" s="128"/>
      <c r="X199" s="127" t="n">
        <f aca="false">(H199*Q199)+(I199*R199)+((K199*Q199)+(L199*R199)*1.25)</f>
        <v>0</v>
      </c>
      <c r="Y199" s="129"/>
      <c r="Z199" s="130" t="e">
        <f aca="false">(#REF!+#REF!+K199)*'O_MN, PE_UTA_UGM 2023'!H173</f>
        <v>#REF!</v>
      </c>
      <c r="AA199" s="131" t="e">
        <f aca="false">(#REF!+#REF!+L199)*'O_MN, PE_UTA_UGM 2023'!I173</f>
        <v>#REF!</v>
      </c>
      <c r="AB199" s="132" t="n">
        <f aca="false">IF(ISERROR(+ROUND(#REF!*N199/#REF!,3)),0,+ROUND(#REF!*N199/#REF!,3))</f>
        <v>0</v>
      </c>
      <c r="AC199" s="132" t="n">
        <f aca="false">IF(ISERROR(+ROUND(#REF!*O199/#REF!,3)),0,+ROUND(#REF!*O199/#REF!,3))</f>
        <v>0</v>
      </c>
      <c r="AD199" s="133" t="n">
        <f aca="false">IF(AND(AB199=0,AC199=0),0,#REF!*(#REF!-(#REF!*AB199/N199))+#REF!*(#REF!-(#REF!*AC199/O199)))</f>
        <v>0</v>
      </c>
      <c r="AE199" s="3"/>
      <c r="AF199" s="3"/>
      <c r="AG199" s="3"/>
      <c r="AH199" s="3"/>
      <c r="AI199" s="3"/>
    </row>
    <row r="200" customFormat="false" ht="15" hidden="false" customHeight="false" outlineLevel="0" collapsed="false">
      <c r="A200" s="3"/>
      <c r="B200" s="116"/>
      <c r="C200" s="134"/>
      <c r="D200" s="135"/>
      <c r="E200" s="119" t="n">
        <f aca="false">'O_MN, PE_UTA_UGM 2023'!B173</f>
        <v>109</v>
      </c>
      <c r="F200" s="120" t="str">
        <f aca="false">'O_MN, PE_UTA_UGM 2023'!C173</f>
        <v>MANZANOS</v>
      </c>
      <c r="G200" s="121"/>
      <c r="H200" s="122"/>
      <c r="I200" s="122"/>
      <c r="J200" s="123"/>
      <c r="K200" s="124"/>
      <c r="L200" s="124"/>
      <c r="M200" s="112" t="e">
        <f aca="false">+IF(OR((#REF!+#REF!)&gt;0,(#REF!+#REF!)&gt;0,(K200+L200)&gt;0),"SI","NO")</f>
        <v>#REF!</v>
      </c>
      <c r="N200" s="136" t="n">
        <f aca="false">VLOOKUP(E201,'O_MN, PE_UTA_UGM 2023'!$B$1:$I$300,7,FALSE())</f>
        <v>1000</v>
      </c>
      <c r="O200" s="136" t="n">
        <f aca="false">VLOOKUP(E201,'O_MN, PE_UTA_UGM 2023'!$B$1:$I$300,8,FALSE())</f>
        <v>3800</v>
      </c>
      <c r="P200" s="45"/>
      <c r="Q200" s="126" t="n">
        <f aca="false">VLOOKUP(E201,'O_MN, PE_UTA_UGM 2023'!$B$1:$I$300,5,FALSE())</f>
        <v>114.19</v>
      </c>
      <c r="R200" s="126" t="n">
        <f aca="false">VLOOKUP(E201,'O_MN, PE_UTA_UGM 2023'!$B$1:$I$300,6,FALSE())</f>
        <v>240.4</v>
      </c>
      <c r="S200" s="45"/>
      <c r="T200" s="47"/>
      <c r="U200" s="127" t="n">
        <f aca="false">(H200*N200)+(I200*O200)+((K200*N200)+(L200*O200)*1.25)</f>
        <v>0</v>
      </c>
      <c r="V200" s="128"/>
      <c r="W200" s="128"/>
      <c r="X200" s="127" t="n">
        <f aca="false">(H200*Q200)+(I200*R200)+((K200*Q200)+(L200*R200)*1.25)</f>
        <v>0</v>
      </c>
      <c r="Y200" s="129"/>
      <c r="Z200" s="130" t="e">
        <f aca="false">(#REF!+#REF!+K200)*'O_MN, PE_UTA_UGM 2023'!H174</f>
        <v>#REF!</v>
      </c>
      <c r="AA200" s="131" t="e">
        <f aca="false">(#REF!+#REF!+L200)*'O_MN, PE_UTA_UGM 2023'!I174</f>
        <v>#REF!</v>
      </c>
      <c r="AB200" s="132" t="n">
        <f aca="false">IF(ISERROR(+ROUND(#REF!*N200/#REF!,3)),0,+ROUND(#REF!*N200/#REF!,3))</f>
        <v>0</v>
      </c>
      <c r="AC200" s="132" t="n">
        <f aca="false">IF(ISERROR(+ROUND(#REF!*O200/#REF!,3)),0,+ROUND(#REF!*O200/#REF!,3))</f>
        <v>0</v>
      </c>
      <c r="AD200" s="133" t="n">
        <f aca="false">IF(AND(AB200=0,AC200=0),0,#REF!*(#REF!-(#REF!*AB200/N200))+#REF!*(#REF!-(#REF!*AC200/O200)))</f>
        <v>0</v>
      </c>
      <c r="AE200" s="3"/>
      <c r="AF200" s="3"/>
      <c r="AG200" s="3"/>
      <c r="AH200" s="3"/>
      <c r="AI200" s="3"/>
    </row>
    <row r="201" customFormat="false" ht="15" hidden="false" customHeight="false" outlineLevel="0" collapsed="false">
      <c r="A201" s="3"/>
      <c r="B201" s="116"/>
      <c r="C201" s="134"/>
      <c r="D201" s="135"/>
      <c r="E201" s="119" t="n">
        <f aca="false">'O_MN, PE_UTA_UGM 2023'!B174</f>
        <v>271</v>
      </c>
      <c r="F201" s="120" t="str">
        <f aca="false">'O_MN, PE_UTA_UGM 2023'!C174</f>
        <v>MEJORANA</v>
      </c>
      <c r="G201" s="121"/>
      <c r="H201" s="122"/>
      <c r="I201" s="122"/>
      <c r="J201" s="123"/>
      <c r="K201" s="124"/>
      <c r="L201" s="124"/>
      <c r="M201" s="112" t="e">
        <f aca="false">+IF(OR((#REF!+#REF!)&gt;0,(#REF!+#REF!)&gt;0,(K201+L201)&gt;0),"SI","NO")</f>
        <v>#REF!</v>
      </c>
      <c r="N201" s="136" t="n">
        <f aca="false">VLOOKUP(E202,'O_MN, PE_UTA_UGM 2023'!$B$1:$I$300,7,FALSE())</f>
        <v>1000</v>
      </c>
      <c r="O201" s="136" t="n">
        <f aca="false">VLOOKUP(E202,'O_MN, PE_UTA_UGM 2023'!$B$1:$I$300,8,FALSE())</f>
        <v>3800</v>
      </c>
      <c r="P201" s="45"/>
      <c r="Q201" s="126" t="n">
        <f aca="false">VLOOKUP(E202,'O_MN, PE_UTA_UGM 2023'!$B$1:$I$300,5,FALSE())</f>
        <v>114.19</v>
      </c>
      <c r="R201" s="126" t="n">
        <f aca="false">VLOOKUP(E202,'O_MN, PE_UTA_UGM 2023'!$B$1:$I$300,6,FALSE())</f>
        <v>240.4</v>
      </c>
      <c r="S201" s="45"/>
      <c r="T201" s="47"/>
      <c r="U201" s="127" t="n">
        <f aca="false">(H201*N201)+(I201*O201)+((K201*N201)+(L201*O201)*1.25)</f>
        <v>0</v>
      </c>
      <c r="V201" s="128"/>
      <c r="W201" s="128"/>
      <c r="X201" s="127" t="n">
        <f aca="false">(H201*Q201)+(I201*R201)+((K201*Q201)+(L201*R201)*1.25)</f>
        <v>0</v>
      </c>
      <c r="Y201" s="129"/>
      <c r="Z201" s="130" t="e">
        <f aca="false">(#REF!+#REF!+K201)*'O_MN, PE_UTA_UGM 2023'!H175</f>
        <v>#REF!</v>
      </c>
      <c r="AA201" s="131" t="e">
        <f aca="false">(#REF!+#REF!+L201)*'O_MN, PE_UTA_UGM 2023'!I175</f>
        <v>#REF!</v>
      </c>
      <c r="AB201" s="132" t="n">
        <f aca="false">IF(ISERROR(+ROUND(#REF!*N201/#REF!,3)),0,+ROUND(#REF!*N201/#REF!,3))</f>
        <v>0</v>
      </c>
      <c r="AC201" s="132" t="n">
        <f aca="false">IF(ISERROR(+ROUND(#REF!*O201/#REF!,3)),0,+ROUND(#REF!*O201/#REF!,3))</f>
        <v>0</v>
      </c>
      <c r="AD201" s="133" t="n">
        <f aca="false">IF(AND(AB201=0,AC201=0),0,#REF!*(#REF!-(#REF!*AB201/N201))+#REF!*(#REF!-(#REF!*AC201/O201)))</f>
        <v>0</v>
      </c>
      <c r="AE201" s="3"/>
      <c r="AF201" s="3"/>
      <c r="AG201" s="3"/>
      <c r="AH201" s="3"/>
      <c r="AI201" s="3"/>
    </row>
    <row r="202" customFormat="false" ht="15" hidden="false" customHeight="false" outlineLevel="0" collapsed="false">
      <c r="A202" s="3"/>
      <c r="B202" s="116"/>
      <c r="C202" s="134"/>
      <c r="D202" s="135"/>
      <c r="E202" s="119" t="n">
        <f aca="false">'O_MN, PE_UTA_UGM 2023'!B175</f>
        <v>265</v>
      </c>
      <c r="F202" s="120" t="str">
        <f aca="false">'O_MN, PE_UTA_UGM 2023'!C175</f>
        <v>MELISA O TORONJIL</v>
      </c>
      <c r="G202" s="121"/>
      <c r="H202" s="122"/>
      <c r="I202" s="122"/>
      <c r="J202" s="123"/>
      <c r="K202" s="124"/>
      <c r="L202" s="124"/>
      <c r="M202" s="112" t="e">
        <f aca="false">+IF(OR((#REF!+#REF!)&gt;0,(#REF!+#REF!)&gt;0,(K202+L202)&gt;0),"SI","NO")</f>
        <v>#REF!</v>
      </c>
      <c r="N202" s="136" t="n">
        <f aca="false">VLOOKUP(E203,'O_MN, PE_UTA_UGM 2023'!$B$1:$I$300,7,FALSE())</f>
        <v>1939.8</v>
      </c>
      <c r="O202" s="136" t="n">
        <f aca="false">VLOOKUP(E203,'O_MN, PE_UTA_UGM 2023'!$B$1:$I$300,8,FALSE())</f>
        <v>9500</v>
      </c>
      <c r="P202" s="45"/>
      <c r="Q202" s="126" t="n">
        <f aca="false">VLOOKUP(E203,'O_MN, PE_UTA_UGM 2023'!$B$1:$I$300,5,FALSE())</f>
        <v>480.81</v>
      </c>
      <c r="R202" s="126" t="n">
        <f aca="false">VLOOKUP(E203,'O_MN, PE_UTA_UGM 2023'!$B$1:$I$300,6,FALSE())</f>
        <v>1442.43</v>
      </c>
      <c r="S202" s="45"/>
      <c r="T202" s="47"/>
      <c r="U202" s="127" t="n">
        <f aca="false">(H202*N202)+(I202*O202)+((K202*N202)+(L202*O202)*1.25)</f>
        <v>0</v>
      </c>
      <c r="V202" s="128"/>
      <c r="W202" s="128"/>
      <c r="X202" s="127" t="n">
        <f aca="false">(H202*Q202)+(I202*R202)+((K202*Q202)+(L202*R202)*1.25)</f>
        <v>0</v>
      </c>
      <c r="Y202" s="129"/>
      <c r="Z202" s="130" t="e">
        <f aca="false">(#REF!+#REF!+K202)*'O_MN, PE_UTA_UGM 2023'!H176</f>
        <v>#REF!</v>
      </c>
      <c r="AA202" s="131" t="e">
        <f aca="false">(#REF!+#REF!+L202)*'O_MN, PE_UTA_UGM 2023'!I176</f>
        <v>#REF!</v>
      </c>
      <c r="AB202" s="132" t="n">
        <f aca="false">IF(ISERROR(+ROUND(#REF!*N202/#REF!,3)),0,+ROUND(#REF!*N202/#REF!,3))</f>
        <v>0</v>
      </c>
      <c r="AC202" s="132" t="n">
        <f aca="false">IF(ISERROR(+ROUND(#REF!*O202/#REF!,3)),0,+ROUND(#REF!*O202/#REF!,3))</f>
        <v>0</v>
      </c>
      <c r="AD202" s="133" t="n">
        <f aca="false">IF(AND(AB202=0,AC202=0),0,#REF!*(#REF!-(#REF!*AB202/N202))+#REF!*(#REF!-(#REF!*AC202/O202)))</f>
        <v>0</v>
      </c>
      <c r="AE202" s="3"/>
      <c r="AF202" s="3"/>
      <c r="AG202" s="3"/>
      <c r="AH202" s="3"/>
      <c r="AI202" s="3"/>
    </row>
    <row r="203" customFormat="false" ht="15" hidden="false" customHeight="false" outlineLevel="0" collapsed="false">
      <c r="A203" s="3"/>
      <c r="B203" s="116"/>
      <c r="C203" s="134"/>
      <c r="D203" s="135"/>
      <c r="E203" s="119" t="n">
        <f aca="false">'O_MN, PE_UTA_UGM 2023'!B176</f>
        <v>105</v>
      </c>
      <c r="F203" s="120" t="str">
        <f aca="false">'O_MN, PE_UTA_UGM 2023'!C176</f>
        <v>MELOCOTONEROS</v>
      </c>
      <c r="G203" s="121"/>
      <c r="H203" s="122"/>
      <c r="I203" s="122"/>
      <c r="J203" s="123"/>
      <c r="K203" s="124"/>
      <c r="L203" s="124"/>
      <c r="M203" s="112" t="e">
        <f aca="false">+IF(OR((#REF!+#REF!)&gt;0,(#REF!+#REF!)&gt;0,(K203+L203)&gt;0),"SI","NO")</f>
        <v>#REF!</v>
      </c>
      <c r="N203" s="136" t="n">
        <f aca="false">VLOOKUP(E204,'O_MN, PE_UTA_UGM 2023'!$B$1:$I$300,7,FALSE())</f>
        <v>0</v>
      </c>
      <c r="O203" s="136" t="n">
        <f aca="false">VLOOKUP(E204,'O_MN, PE_UTA_UGM 2023'!$B$1:$I$300,8,FALSE())</f>
        <v>5200</v>
      </c>
      <c r="P203" s="45"/>
      <c r="Q203" s="126" t="n">
        <f aca="false">VLOOKUP(E204,'O_MN, PE_UTA_UGM 2023'!$B$1:$I$300,5,FALSE())</f>
        <v>360.61</v>
      </c>
      <c r="R203" s="126" t="n">
        <f aca="false">VLOOKUP(E204,'O_MN, PE_UTA_UGM 2023'!$B$1:$I$300,6,FALSE())</f>
        <v>1352.28</v>
      </c>
      <c r="S203" s="45"/>
      <c r="T203" s="47"/>
      <c r="U203" s="127" t="n">
        <f aca="false">(H203*N203)+(I203*O203)+((K203*N203)+(L203*O203)*1.25)</f>
        <v>0</v>
      </c>
      <c r="V203" s="128"/>
      <c r="W203" s="128"/>
      <c r="X203" s="127" t="n">
        <f aca="false">(H203*Q203)+(I203*R203)+((K203*Q203)+(L203*R203)*1.25)</f>
        <v>0</v>
      </c>
      <c r="Y203" s="129"/>
      <c r="Z203" s="130" t="e">
        <f aca="false">(#REF!+#REF!+K203)*'O_MN, PE_UTA_UGM 2023'!H177</f>
        <v>#REF!</v>
      </c>
      <c r="AA203" s="131" t="e">
        <f aca="false">(#REF!+#REF!+L203)*'O_MN, PE_UTA_UGM 2023'!I177</f>
        <v>#REF!</v>
      </c>
      <c r="AB203" s="132" t="n">
        <f aca="false">IF(ISERROR(+ROUND(#REF!*N203/#REF!,3)),0,+ROUND(#REF!*N203/#REF!,3))</f>
        <v>0</v>
      </c>
      <c r="AC203" s="132" t="n">
        <f aca="false">IF(ISERROR(+ROUND(#REF!*O203/#REF!,3)),0,+ROUND(#REF!*O203/#REF!,3))</f>
        <v>0</v>
      </c>
      <c r="AD203" s="133" t="n">
        <f aca="false">IF(AND(AB203=0,AC203=0),0,#REF!*(#REF!-(#REF!*AB203/N203))+#REF!*(#REF!-(#REF!*AC203/O203)))</f>
        <v>0</v>
      </c>
      <c r="AE203" s="3"/>
      <c r="AF203" s="3"/>
      <c r="AG203" s="3"/>
      <c r="AH203" s="3"/>
      <c r="AI203" s="3"/>
    </row>
    <row r="204" customFormat="false" ht="15" hidden="false" customHeight="false" outlineLevel="0" collapsed="false">
      <c r="A204" s="3"/>
      <c r="B204" s="116"/>
      <c r="C204" s="134"/>
      <c r="D204" s="135"/>
      <c r="E204" s="119" t="n">
        <f aca="false">'O_MN, PE_UTA_UGM 2023'!B177</f>
        <v>153</v>
      </c>
      <c r="F204" s="120" t="str">
        <f aca="false">'O_MN, PE_UTA_UGM 2023'!C177</f>
        <v>MELÓN</v>
      </c>
      <c r="G204" s="121"/>
      <c r="H204" s="122"/>
      <c r="I204" s="122"/>
      <c r="J204" s="123"/>
      <c r="K204" s="124"/>
      <c r="L204" s="124"/>
      <c r="M204" s="112" t="e">
        <f aca="false">+IF(OR((#REF!+#REF!)&gt;0,(#REF!+#REF!)&gt;0,(K204+L204)&gt;0),"SI","NO")</f>
        <v>#REF!</v>
      </c>
      <c r="N204" s="136" t="n">
        <f aca="false">VLOOKUP(E205,'O_MN, PE_UTA_UGM 2023'!$B$1:$I$300,7,FALSE())</f>
        <v>1939.72</v>
      </c>
      <c r="O204" s="136" t="n">
        <f aca="false">VLOOKUP(E205,'O_MN, PE_UTA_UGM 2023'!$B$1:$I$300,8,FALSE())</f>
        <v>6000</v>
      </c>
      <c r="P204" s="45"/>
      <c r="Q204" s="126" t="n">
        <f aca="false">VLOOKUP(E205,'O_MN, PE_UTA_UGM 2023'!$B$1:$I$300,5,FALSE())</f>
        <v>480.81</v>
      </c>
      <c r="R204" s="126" t="n">
        <f aca="false">VLOOKUP(E205,'O_MN, PE_UTA_UGM 2023'!$B$1:$I$300,6,FALSE())</f>
        <v>1442.43</v>
      </c>
      <c r="S204" s="45"/>
      <c r="T204" s="47"/>
      <c r="U204" s="127" t="n">
        <f aca="false">(H204*N204)+(I204*O204)+((K204*N204)+(L204*O204)*1.25)</f>
        <v>0</v>
      </c>
      <c r="V204" s="128"/>
      <c r="W204" s="128"/>
      <c r="X204" s="127" t="n">
        <f aca="false">(H204*Q204)+(I204*R204)+((K204*Q204)+(L204*R204)*1.25)</f>
        <v>0</v>
      </c>
      <c r="Y204" s="129"/>
      <c r="Z204" s="130" t="e">
        <f aca="false">(#REF!+#REF!+K204)*'O_MN, PE_UTA_UGM 2023'!H178</f>
        <v>#REF!</v>
      </c>
      <c r="AA204" s="131" t="e">
        <f aca="false">(#REF!+#REF!+L204)*'O_MN, PE_UTA_UGM 2023'!I178</f>
        <v>#REF!</v>
      </c>
      <c r="AB204" s="132" t="n">
        <f aca="false">IF(ISERROR(+ROUND(#REF!*N204/#REF!,3)),0,+ROUND(#REF!*N204/#REF!,3))</f>
        <v>0</v>
      </c>
      <c r="AC204" s="132" t="n">
        <f aca="false">IF(ISERROR(+ROUND(#REF!*O204/#REF!,3)),0,+ROUND(#REF!*O204/#REF!,3))</f>
        <v>0</v>
      </c>
      <c r="AD204" s="133" t="n">
        <f aca="false">IF(AND(AB204=0,AC204=0),0,#REF!*(#REF!-(#REF!*AB204/N204))+#REF!*(#REF!-(#REF!*AC204/O204)))</f>
        <v>0</v>
      </c>
      <c r="AE204" s="3"/>
      <c r="AF204" s="3"/>
      <c r="AG204" s="3"/>
      <c r="AH204" s="3"/>
      <c r="AI204" s="3"/>
    </row>
    <row r="205" customFormat="false" ht="15" hidden="false" customHeight="false" outlineLevel="0" collapsed="false">
      <c r="A205" s="3"/>
      <c r="B205" s="116"/>
      <c r="C205" s="134"/>
      <c r="D205" s="135"/>
      <c r="E205" s="119" t="n">
        <f aca="false">'O_MN, PE_UTA_UGM 2023'!B178</f>
        <v>211</v>
      </c>
      <c r="F205" s="120" t="str">
        <f aca="false">'O_MN, PE_UTA_UGM 2023'!C178</f>
        <v>MEMBRILLO</v>
      </c>
      <c r="G205" s="121"/>
      <c r="H205" s="122"/>
      <c r="I205" s="122"/>
      <c r="J205" s="123"/>
      <c r="K205" s="124"/>
      <c r="L205" s="124"/>
      <c r="M205" s="112" t="e">
        <f aca="false">+IF(OR((#REF!+#REF!)&gt;0,(#REF!+#REF!)&gt;0,(K205+L205)&gt;0),"SI","NO")</f>
        <v>#REF!</v>
      </c>
      <c r="N205" s="136" t="n">
        <f aca="false">VLOOKUP(E206,'O_MN, PE_UTA_UGM 2023'!$B$1:$I$300,7,FALSE())</f>
        <v>1000</v>
      </c>
      <c r="O205" s="136" t="n">
        <f aca="false">VLOOKUP(E206,'O_MN, PE_UTA_UGM 2023'!$B$1:$I$300,8,FALSE())</f>
        <v>3800</v>
      </c>
      <c r="P205" s="45"/>
      <c r="Q205" s="126" t="n">
        <f aca="false">VLOOKUP(E206,'O_MN, PE_UTA_UGM 2023'!$B$1:$I$300,5,FALSE())</f>
        <v>114.19</v>
      </c>
      <c r="R205" s="126" t="n">
        <f aca="false">VLOOKUP(E206,'O_MN, PE_UTA_UGM 2023'!$B$1:$I$300,6,FALSE())</f>
        <v>240.4</v>
      </c>
      <c r="S205" s="45"/>
      <c r="T205" s="47"/>
      <c r="U205" s="127" t="n">
        <f aca="false">(H205*N205)+(I205*O205)+((K205*N205)+(L205*O205)*1.25)</f>
        <v>0</v>
      </c>
      <c r="V205" s="128"/>
      <c r="W205" s="128"/>
      <c r="X205" s="127" t="n">
        <f aca="false">(H205*Q205)+(I205*R205)+((K205*Q205)+(L205*R205)*1.25)</f>
        <v>0</v>
      </c>
      <c r="Y205" s="129"/>
      <c r="Z205" s="130" t="e">
        <f aca="false">(#REF!+#REF!+K205)*'O_MN, PE_UTA_UGM 2023'!H179</f>
        <v>#REF!</v>
      </c>
      <c r="AA205" s="131" t="e">
        <f aca="false">(#REF!+#REF!+L205)*'O_MN, PE_UTA_UGM 2023'!I179</f>
        <v>#REF!</v>
      </c>
      <c r="AB205" s="132" t="n">
        <f aca="false">IF(ISERROR(+ROUND(#REF!*N205/#REF!,3)),0,+ROUND(#REF!*N205/#REF!,3))</f>
        <v>0</v>
      </c>
      <c r="AC205" s="132" t="n">
        <f aca="false">IF(ISERROR(+ROUND(#REF!*O205/#REF!,3)),0,+ROUND(#REF!*O205/#REF!,3))</f>
        <v>0</v>
      </c>
      <c r="AD205" s="133" t="n">
        <f aca="false">IF(AND(AB205=0,AC205=0),0,#REF!*(#REF!-(#REF!*AB205/N205))+#REF!*(#REF!-(#REF!*AC205/O205)))</f>
        <v>0</v>
      </c>
      <c r="AE205" s="3"/>
      <c r="AF205" s="3"/>
      <c r="AG205" s="3"/>
      <c r="AH205" s="3"/>
      <c r="AI205" s="3"/>
    </row>
    <row r="206" customFormat="false" ht="15" hidden="false" customHeight="false" outlineLevel="0" collapsed="false">
      <c r="A206" s="3"/>
      <c r="B206" s="116"/>
      <c r="C206" s="134"/>
      <c r="D206" s="135"/>
      <c r="E206" s="119" t="n">
        <f aca="false">'O_MN, PE_UTA_UGM 2023'!B179</f>
        <v>266</v>
      </c>
      <c r="F206" s="120" t="str">
        <f aca="false">'O_MN, PE_UTA_UGM 2023'!C179</f>
        <v>MENTA</v>
      </c>
      <c r="G206" s="121"/>
      <c r="H206" s="122"/>
      <c r="I206" s="122"/>
      <c r="J206" s="123"/>
      <c r="K206" s="124"/>
      <c r="L206" s="124"/>
      <c r="M206" s="112" t="e">
        <f aca="false">+IF(OR((#REF!+#REF!)&gt;0,(#REF!+#REF!)&gt;0,(K206+L206)&gt;0),"SI","NO")</f>
        <v>#REF!</v>
      </c>
      <c r="N206" s="136" t="n">
        <f aca="false">VLOOKUP(E207,'O_MN, PE_UTA_UGM 2023'!$B$1:$I$300,7,FALSE())</f>
        <v>400</v>
      </c>
      <c r="O206" s="136" t="n">
        <f aca="false">VLOOKUP(E207,'O_MN, PE_UTA_UGM 2023'!$B$1:$I$300,8,FALSE())</f>
        <v>1000</v>
      </c>
      <c r="P206" s="45"/>
      <c r="Q206" s="126" t="n">
        <f aca="false">VLOOKUP(E207,'O_MN, PE_UTA_UGM 2023'!$B$1:$I$300,5,FALSE())</f>
        <v>114.19</v>
      </c>
      <c r="R206" s="126" t="n">
        <f aca="false">VLOOKUP(E207,'O_MN, PE_UTA_UGM 2023'!$B$1:$I$300,6,FALSE())</f>
        <v>240.4</v>
      </c>
      <c r="S206" s="45"/>
      <c r="T206" s="47"/>
      <c r="U206" s="127" t="n">
        <f aca="false">(H206*N206)+(I206*O206)+((K206*N206)+(L206*O206)*1.25)</f>
        <v>0</v>
      </c>
      <c r="V206" s="128"/>
      <c r="W206" s="128"/>
      <c r="X206" s="127" t="n">
        <f aca="false">(H206*Q206)+(I206*R206)+((K206*Q206)+(L206*R206)*1.25)</f>
        <v>0</v>
      </c>
      <c r="Y206" s="129"/>
      <c r="Z206" s="130" t="e">
        <f aca="false">(#REF!+#REF!+K206)*'O_MN, PE_UTA_UGM 2023'!H180</f>
        <v>#REF!</v>
      </c>
      <c r="AA206" s="131" t="e">
        <f aca="false">(#REF!+#REF!+L206)*'O_MN, PE_UTA_UGM 2023'!I180</f>
        <v>#REF!</v>
      </c>
      <c r="AB206" s="132" t="n">
        <f aca="false">IF(ISERROR(+ROUND(#REF!*N206/#REF!,3)),0,+ROUND(#REF!*N206/#REF!,3))</f>
        <v>0</v>
      </c>
      <c r="AC206" s="132" t="n">
        <f aca="false">IF(ISERROR(+ROUND(#REF!*O206/#REF!,3)),0,+ROUND(#REF!*O206/#REF!,3))</f>
        <v>0</v>
      </c>
      <c r="AD206" s="133" t="n">
        <f aca="false">IF(AND(AB206=0,AC206=0),0,#REF!*(#REF!-(#REF!*AB206/N206))+#REF!*(#REF!-(#REF!*AC206/O206)))</f>
        <v>0</v>
      </c>
      <c r="AE206" s="3"/>
      <c r="AF206" s="3"/>
      <c r="AG206" s="3"/>
      <c r="AH206" s="3"/>
      <c r="AI206" s="3"/>
    </row>
    <row r="207" customFormat="false" ht="15" hidden="false" customHeight="false" outlineLevel="0" collapsed="false">
      <c r="A207" s="3"/>
      <c r="B207" s="116"/>
      <c r="C207" s="134"/>
      <c r="D207" s="135"/>
      <c r="E207" s="119" t="n">
        <f aca="false">'O_MN, PE_UTA_UGM 2023'!B180</f>
        <v>336</v>
      </c>
      <c r="F207" s="120" t="str">
        <f aca="false">'O_MN, PE_UTA_UGM 2023'!C180</f>
        <v>MEZCLA ALGARROBAS-AVENA</v>
      </c>
      <c r="G207" s="121"/>
      <c r="H207" s="122"/>
      <c r="I207" s="122"/>
      <c r="J207" s="123"/>
      <c r="K207" s="124"/>
      <c r="L207" s="124"/>
      <c r="M207" s="112" t="e">
        <f aca="false">+IF(OR((#REF!+#REF!)&gt;0,(#REF!+#REF!)&gt;0,(K207+L207)&gt;0),"SI","NO")</f>
        <v>#REF!</v>
      </c>
      <c r="N207" s="136" t="n">
        <f aca="false">VLOOKUP(E208,'O_MN, PE_UTA_UGM 2023'!$B$1:$I$300,7,FALSE())</f>
        <v>400</v>
      </c>
      <c r="O207" s="136" t="n">
        <f aca="false">VLOOKUP(E208,'O_MN, PE_UTA_UGM 2023'!$B$1:$I$300,8,FALSE())</f>
        <v>1000</v>
      </c>
      <c r="P207" s="45"/>
      <c r="Q207" s="126" t="n">
        <f aca="false">VLOOKUP(E208,'O_MN, PE_UTA_UGM 2023'!$B$1:$I$300,5,FALSE())</f>
        <v>114.19</v>
      </c>
      <c r="R207" s="126" t="n">
        <f aca="false">VLOOKUP(E208,'O_MN, PE_UTA_UGM 2023'!$B$1:$I$300,6,FALSE())</f>
        <v>240.4</v>
      </c>
      <c r="S207" s="45"/>
      <c r="T207" s="47"/>
      <c r="U207" s="127" t="n">
        <f aca="false">(H207*N207)+(I207*O207)+((K207*N207)+(L207*O207)*1.25)</f>
        <v>0</v>
      </c>
      <c r="V207" s="128"/>
      <c r="W207" s="128"/>
      <c r="X207" s="127" t="n">
        <f aca="false">(H207*Q207)+(I207*R207)+((K207*Q207)+(L207*R207)*1.25)</f>
        <v>0</v>
      </c>
      <c r="Y207" s="129"/>
      <c r="Z207" s="130" t="e">
        <f aca="false">(#REF!+#REF!+K207)*'O_MN, PE_UTA_UGM 2023'!H181</f>
        <v>#REF!</v>
      </c>
      <c r="AA207" s="131" t="e">
        <f aca="false">(#REF!+#REF!+L207)*'O_MN, PE_UTA_UGM 2023'!I181</f>
        <v>#REF!</v>
      </c>
      <c r="AB207" s="132" t="n">
        <f aca="false">IF(ISERROR(+ROUND(#REF!*N207/#REF!,3)),0,+ROUND(#REF!*N207/#REF!,3))</f>
        <v>0</v>
      </c>
      <c r="AC207" s="132" t="n">
        <f aca="false">IF(ISERROR(+ROUND(#REF!*O207/#REF!,3)),0,+ROUND(#REF!*O207/#REF!,3))</f>
        <v>0</v>
      </c>
      <c r="AD207" s="133" t="n">
        <f aca="false">IF(AND(AB207=0,AC207=0),0,#REF!*(#REF!-(#REF!*AB207/N207))+#REF!*(#REF!-(#REF!*AC207/O207)))</f>
        <v>0</v>
      </c>
      <c r="AE207" s="3"/>
      <c r="AF207" s="3"/>
      <c r="AG207" s="3"/>
      <c r="AH207" s="3"/>
      <c r="AI207" s="3"/>
    </row>
    <row r="208" customFormat="false" ht="15" hidden="false" customHeight="false" outlineLevel="0" collapsed="false">
      <c r="A208" s="3"/>
      <c r="B208" s="116"/>
      <c r="C208" s="134"/>
      <c r="D208" s="135"/>
      <c r="E208" s="119" t="n">
        <f aca="false">'O_MN, PE_UTA_UGM 2023'!B181</f>
        <v>337</v>
      </c>
      <c r="F208" s="120" t="str">
        <f aca="false">'O_MN, PE_UTA_UGM 2023'!C181</f>
        <v>MEZCLA ALGARROBAS-CEBADA</v>
      </c>
      <c r="G208" s="121"/>
      <c r="H208" s="122"/>
      <c r="I208" s="122"/>
      <c r="J208" s="123"/>
      <c r="K208" s="124"/>
      <c r="L208" s="124"/>
      <c r="M208" s="112" t="e">
        <f aca="false">+IF(OR((#REF!+#REF!)&gt;0,(#REF!+#REF!)&gt;0,(K208+L208)&gt;0),"SI","NO")</f>
        <v>#REF!</v>
      </c>
      <c r="N208" s="136" t="n">
        <f aca="false">VLOOKUP(E209,'O_MN, PE_UTA_UGM 2023'!$B$1:$I$300,7,FALSE())</f>
        <v>400</v>
      </c>
      <c r="O208" s="136" t="n">
        <f aca="false">VLOOKUP(E209,'O_MN, PE_UTA_UGM 2023'!$B$1:$I$300,8,FALSE())</f>
        <v>1000</v>
      </c>
      <c r="P208" s="45"/>
      <c r="Q208" s="126" t="n">
        <f aca="false">VLOOKUP(E209,'O_MN, PE_UTA_UGM 2023'!$B$1:$I$300,5,FALSE())</f>
        <v>114.19</v>
      </c>
      <c r="R208" s="126" t="n">
        <f aca="false">VLOOKUP(E209,'O_MN, PE_UTA_UGM 2023'!$B$1:$I$300,6,FALSE())</f>
        <v>240.4</v>
      </c>
      <c r="S208" s="45"/>
      <c r="T208" s="47"/>
      <c r="U208" s="127" t="n">
        <f aca="false">(H208*N208)+(I208*O208)+((K208*N208)+(L208*O208)*1.25)</f>
        <v>0</v>
      </c>
      <c r="V208" s="128"/>
      <c r="W208" s="128"/>
      <c r="X208" s="127" t="n">
        <f aca="false">(H208*Q208)+(I208*R208)+((K208*Q208)+(L208*R208)*1.25)</f>
        <v>0</v>
      </c>
      <c r="Y208" s="129"/>
      <c r="Z208" s="130" t="e">
        <f aca="false">(#REF!+#REF!+K208)*'O_MN, PE_UTA_UGM 2023'!H182</f>
        <v>#REF!</v>
      </c>
      <c r="AA208" s="131" t="e">
        <f aca="false">(#REF!+#REF!+L208)*'O_MN, PE_UTA_UGM 2023'!I182</f>
        <v>#REF!</v>
      </c>
      <c r="AB208" s="132" t="n">
        <f aca="false">IF(ISERROR(+ROUND(#REF!*N208/#REF!,3)),0,+ROUND(#REF!*N208/#REF!,3))</f>
        <v>0</v>
      </c>
      <c r="AC208" s="132" t="n">
        <f aca="false">IF(ISERROR(+ROUND(#REF!*O208/#REF!,3)),0,+ROUND(#REF!*O208/#REF!,3))</f>
        <v>0</v>
      </c>
      <c r="AD208" s="133" t="n">
        <f aca="false">IF(AND(AB208=0,AC208=0),0,#REF!*(#REF!-(#REF!*AB208/N208))+#REF!*(#REF!-(#REF!*AC208/O208)))</f>
        <v>0</v>
      </c>
      <c r="AE208" s="3"/>
      <c r="AF208" s="3"/>
      <c r="AG208" s="3"/>
      <c r="AH208" s="3"/>
      <c r="AI208" s="3"/>
    </row>
    <row r="209" customFormat="false" ht="15" hidden="false" customHeight="false" outlineLevel="0" collapsed="false">
      <c r="A209" s="3"/>
      <c r="B209" s="116"/>
      <c r="C209" s="134"/>
      <c r="D209" s="135"/>
      <c r="E209" s="119" t="n">
        <f aca="false">'O_MN, PE_UTA_UGM 2023'!B182</f>
        <v>306</v>
      </c>
      <c r="F209" s="120" t="str">
        <f aca="false">'O_MN, PE_UTA_UGM 2023'!C182</f>
        <v>MEZCLA AVENA-CEBADA</v>
      </c>
      <c r="G209" s="121"/>
      <c r="H209" s="122"/>
      <c r="I209" s="122"/>
      <c r="J209" s="123"/>
      <c r="K209" s="124"/>
      <c r="L209" s="124"/>
      <c r="M209" s="112" t="e">
        <f aca="false">+IF(OR((#REF!+#REF!)&gt;0,(#REF!+#REF!)&gt;0,(K209+L209)&gt;0),"SI","NO")</f>
        <v>#REF!</v>
      </c>
      <c r="N209" s="136" t="n">
        <f aca="false">VLOOKUP(E210,'O_MN, PE_UTA_UGM 2023'!$B$1:$I$300,7,FALSE())</f>
        <v>400</v>
      </c>
      <c r="O209" s="136" t="n">
        <f aca="false">VLOOKUP(E210,'O_MN, PE_UTA_UGM 2023'!$B$1:$I$300,8,FALSE())</f>
        <v>1000</v>
      </c>
      <c r="P209" s="45"/>
      <c r="Q209" s="126" t="n">
        <f aca="false">VLOOKUP(E210,'O_MN, PE_UTA_UGM 2023'!$B$1:$I$300,5,FALSE())</f>
        <v>114.19</v>
      </c>
      <c r="R209" s="126" t="n">
        <f aca="false">VLOOKUP(E210,'O_MN, PE_UTA_UGM 2023'!$B$1:$I$300,6,FALSE())</f>
        <v>240.4</v>
      </c>
      <c r="S209" s="45"/>
      <c r="T209" s="47"/>
      <c r="U209" s="127" t="n">
        <f aca="false">(H209*N209)+(I209*O209)+((K209*N209)+(L209*O209)*1.25)</f>
        <v>0</v>
      </c>
      <c r="V209" s="128"/>
      <c r="W209" s="128"/>
      <c r="X209" s="127" t="n">
        <f aca="false">(H209*Q209)+(I209*R209)+((K209*Q209)+(L209*R209)*1.25)</f>
        <v>0</v>
      </c>
      <c r="Y209" s="129"/>
      <c r="Z209" s="130" t="e">
        <f aca="false">(#REF!+#REF!+K209)*'O_MN, PE_UTA_UGM 2023'!H183</f>
        <v>#REF!</v>
      </c>
      <c r="AA209" s="131" t="e">
        <f aca="false">(#REF!+#REF!+L209)*'O_MN, PE_UTA_UGM 2023'!I183</f>
        <v>#REF!</v>
      </c>
      <c r="AB209" s="132" t="n">
        <f aca="false">IF(ISERROR(+ROUND(#REF!*N209/#REF!,3)),0,+ROUND(#REF!*N209/#REF!,3))</f>
        <v>0</v>
      </c>
      <c r="AC209" s="132" t="n">
        <f aca="false">IF(ISERROR(+ROUND(#REF!*O209/#REF!,3)),0,+ROUND(#REF!*O209/#REF!,3))</f>
        <v>0</v>
      </c>
      <c r="AD209" s="133" t="n">
        <f aca="false">IF(AND(AB209=0,AC209=0),0,#REF!*(#REF!-(#REF!*AB209/N209))+#REF!*(#REF!-(#REF!*AC209/O209)))</f>
        <v>0</v>
      </c>
      <c r="AE209" s="3"/>
      <c r="AF209" s="3"/>
      <c r="AG209" s="3"/>
      <c r="AH209" s="3"/>
      <c r="AI209" s="3"/>
    </row>
    <row r="210" customFormat="false" ht="15" hidden="false" customHeight="false" outlineLevel="0" collapsed="false">
      <c r="A210" s="3"/>
      <c r="B210" s="116"/>
      <c r="C210" s="134"/>
      <c r="D210" s="135"/>
      <c r="E210" s="119" t="n">
        <f aca="false">'O_MN, PE_UTA_UGM 2023'!B183</f>
        <v>305</v>
      </c>
      <c r="F210" s="120" t="str">
        <f aca="false">'O_MN, PE_UTA_UGM 2023'!C183</f>
        <v>MEZCLA AVENA-TRIGO</v>
      </c>
      <c r="G210" s="121"/>
      <c r="H210" s="122"/>
      <c r="I210" s="122"/>
      <c r="J210" s="123"/>
      <c r="K210" s="124"/>
      <c r="L210" s="124"/>
      <c r="M210" s="112" t="e">
        <f aca="false">+IF(OR((#REF!+#REF!)&gt;0,(#REF!+#REF!)&gt;0,(K210+L210)&gt;0),"SI","NO")</f>
        <v>#REF!</v>
      </c>
      <c r="N210" s="136" t="n">
        <f aca="false">VLOOKUP(E211,'O_MN, PE_UTA_UGM 2023'!$B$1:$I$300,7,FALSE())</f>
        <v>400</v>
      </c>
      <c r="O210" s="136" t="n">
        <f aca="false">VLOOKUP(E211,'O_MN, PE_UTA_UGM 2023'!$B$1:$I$300,8,FALSE())</f>
        <v>1000</v>
      </c>
      <c r="P210" s="45"/>
      <c r="Q210" s="126" t="n">
        <f aca="false">VLOOKUP(E211,'O_MN, PE_UTA_UGM 2023'!$B$1:$I$300,5,FALSE())</f>
        <v>114.19</v>
      </c>
      <c r="R210" s="126" t="n">
        <f aca="false">VLOOKUP(E211,'O_MN, PE_UTA_UGM 2023'!$B$1:$I$300,6,FALSE())</f>
        <v>240.4</v>
      </c>
      <c r="S210" s="45"/>
      <c r="T210" s="47"/>
      <c r="U210" s="127" t="n">
        <f aca="false">(H210*N210)+(I210*O210)+((K210*N210)+(L210*O210)*1.25)</f>
        <v>0</v>
      </c>
      <c r="V210" s="128"/>
      <c r="W210" s="128"/>
      <c r="X210" s="127" t="n">
        <f aca="false">(H210*Q210)+(I210*R210)+((K210*Q210)+(L210*R210)*1.25)</f>
        <v>0</v>
      </c>
      <c r="Y210" s="129"/>
      <c r="Z210" s="130" t="e">
        <f aca="false">(#REF!+#REF!+K210)*'O_MN, PE_UTA_UGM 2023'!H184</f>
        <v>#REF!</v>
      </c>
      <c r="AA210" s="131" t="e">
        <f aca="false">(#REF!+#REF!+L210)*'O_MN, PE_UTA_UGM 2023'!I184</f>
        <v>#REF!</v>
      </c>
      <c r="AB210" s="132" t="n">
        <f aca="false">IF(ISERROR(+ROUND(#REF!*N210/#REF!,3)),0,+ROUND(#REF!*N210/#REF!,3))</f>
        <v>0</v>
      </c>
      <c r="AC210" s="132" t="n">
        <f aca="false">IF(ISERROR(+ROUND(#REF!*O210/#REF!,3)),0,+ROUND(#REF!*O210/#REF!,3))</f>
        <v>0</v>
      </c>
      <c r="AD210" s="133" t="n">
        <f aca="false">IF(AND(AB210=0,AC210=0),0,#REF!*(#REF!-(#REF!*AB210/N210))+#REF!*(#REF!-(#REF!*AC210/O210)))</f>
        <v>0</v>
      </c>
      <c r="AE210" s="3"/>
      <c r="AF210" s="3"/>
      <c r="AG210" s="3"/>
      <c r="AH210" s="3"/>
      <c r="AI210" s="3"/>
    </row>
    <row r="211" customFormat="false" ht="15" hidden="false" customHeight="false" outlineLevel="0" collapsed="false">
      <c r="A211" s="3"/>
      <c r="B211" s="116"/>
      <c r="C211" s="134"/>
      <c r="D211" s="135"/>
      <c r="E211" s="119" t="n">
        <f aca="false">'O_MN, PE_UTA_UGM 2023'!B184</f>
        <v>307</v>
      </c>
      <c r="F211" s="120" t="str">
        <f aca="false">'O_MN, PE_UTA_UGM 2023'!C184</f>
        <v>MEZCLA AVENA-TRITICALE</v>
      </c>
      <c r="G211" s="121"/>
      <c r="H211" s="122"/>
      <c r="I211" s="122"/>
      <c r="J211" s="123"/>
      <c r="K211" s="124"/>
      <c r="L211" s="124"/>
      <c r="M211" s="112" t="e">
        <f aca="false">+IF(OR((#REF!+#REF!)&gt;0,(#REF!+#REF!)&gt;0,(K211+L211)&gt;0),"SI","NO")</f>
        <v>#REF!</v>
      </c>
      <c r="N211" s="136" t="n">
        <f aca="false">VLOOKUP(E212,'O_MN, PE_UTA_UGM 2023'!$B$1:$I$300,7,FALSE())</f>
        <v>0</v>
      </c>
      <c r="O211" s="136" t="n">
        <f aca="false">VLOOKUP(E212,'O_MN, PE_UTA_UGM 2023'!$B$1:$I$300,8,FALSE())</f>
        <v>0</v>
      </c>
      <c r="P211" s="45"/>
      <c r="Q211" s="126" t="n">
        <f aca="false">VLOOKUP(E212,'O_MN, PE_UTA_UGM 2023'!$B$1:$I$300,5,FALSE())</f>
        <v>1E-005</v>
      </c>
      <c r="R211" s="126" t="n">
        <f aca="false">VLOOKUP(E212,'O_MN, PE_UTA_UGM 2023'!$B$1:$I$300,6,FALSE())</f>
        <v>1E-005</v>
      </c>
      <c r="S211" s="45"/>
      <c r="T211" s="47"/>
      <c r="U211" s="127" t="n">
        <f aca="false">(H211*N211)+(I211*O211)+((K211*N211)+(L211*O211)*1.25)</f>
        <v>0</v>
      </c>
      <c r="V211" s="128"/>
      <c r="W211" s="128"/>
      <c r="X211" s="127" t="n">
        <f aca="false">(H211*Q211)+(I211*R211)+((K211*Q211)+(L211*R211)*1.25)</f>
        <v>0</v>
      </c>
      <c r="Y211" s="129"/>
      <c r="Z211" s="130" t="e">
        <f aca="false">(#REF!+#REF!+K211)*'O_MN, PE_UTA_UGM 2023'!H185</f>
        <v>#REF!</v>
      </c>
      <c r="AA211" s="131" t="e">
        <f aca="false">(#REF!+#REF!+L211)*'O_MN, PE_UTA_UGM 2023'!I185</f>
        <v>#REF!</v>
      </c>
      <c r="AB211" s="132" t="n">
        <f aca="false">IF(ISERROR(+ROUND(#REF!*N211/#REF!,3)),0,+ROUND(#REF!*N211/#REF!,3))</f>
        <v>0</v>
      </c>
      <c r="AC211" s="132" t="n">
        <f aca="false">IF(ISERROR(+ROUND(#REF!*O211/#REF!,3)),0,+ROUND(#REF!*O211/#REF!,3))</f>
        <v>0</v>
      </c>
      <c r="AD211" s="133" t="n">
        <f aca="false">IF(AND(AB211=0,AC211=0),0,#REF!*(#REF!-(#REF!*AB211/N211))+#REF!*(#REF!-(#REF!*AC211/O211)))</f>
        <v>0</v>
      </c>
      <c r="AE211" s="3"/>
      <c r="AF211" s="3"/>
      <c r="AG211" s="3"/>
      <c r="AH211" s="3"/>
      <c r="AI211" s="3"/>
    </row>
    <row r="212" customFormat="false" ht="15" hidden="false" customHeight="false" outlineLevel="0" collapsed="false">
      <c r="A212" s="3"/>
      <c r="B212" s="116"/>
      <c r="C212" s="134"/>
      <c r="D212" s="135"/>
      <c r="E212" s="119" t="n">
        <f aca="false">'O_MN, PE_UTA_UGM 2023'!B185</f>
        <v>303</v>
      </c>
      <c r="F212" s="120" t="str">
        <f aca="false">'O_MN, PE_UTA_UGM 2023'!C185</f>
        <v>MEZCLA DE RESERVORIOS</v>
      </c>
      <c r="G212" s="121"/>
      <c r="H212" s="122"/>
      <c r="I212" s="122"/>
      <c r="J212" s="123"/>
      <c r="K212" s="124"/>
      <c r="L212" s="124"/>
      <c r="M212" s="112" t="e">
        <f aca="false">+IF(OR((#REF!+#REF!)&gt;0,(#REF!+#REF!)&gt;0,(K212+L212)&gt;0),"SI","NO")</f>
        <v>#REF!</v>
      </c>
      <c r="N212" s="136" t="n">
        <f aca="false">VLOOKUP(E213,'O_MN, PE_UTA_UGM 2023'!$B$1:$I$300,7,FALSE())</f>
        <v>0</v>
      </c>
      <c r="O212" s="136" t="n">
        <f aca="false">VLOOKUP(E213,'O_MN, PE_UTA_UGM 2023'!$B$1:$I$300,8,FALSE())</f>
        <v>0</v>
      </c>
      <c r="P212" s="45"/>
      <c r="Q212" s="126" t="n">
        <f aca="false">VLOOKUP(E213,'O_MN, PE_UTA_UGM 2023'!$B$1:$I$300,5,FALSE())</f>
        <v>1E-005</v>
      </c>
      <c r="R212" s="126" t="n">
        <f aca="false">VLOOKUP(E213,'O_MN, PE_UTA_UGM 2023'!$B$1:$I$300,6,FALSE())</f>
        <v>1E-005</v>
      </c>
      <c r="S212" s="45"/>
      <c r="T212" s="47"/>
      <c r="U212" s="127" t="n">
        <f aca="false">(H212*N212)+(I212*O212)+((K212*N212)+(L212*O212)*1.25)</f>
        <v>0</v>
      </c>
      <c r="V212" s="128"/>
      <c r="W212" s="128"/>
      <c r="X212" s="127" t="n">
        <f aca="false">(H212*Q212)+(I212*R212)+((K212*Q212)+(L212*R212)*1.25)</f>
        <v>0</v>
      </c>
      <c r="Y212" s="129"/>
      <c r="Z212" s="130" t="e">
        <f aca="false">(#REF!+#REF!+K212)*'O_MN, PE_UTA_UGM 2023'!H186</f>
        <v>#REF!</v>
      </c>
      <c r="AA212" s="131" t="e">
        <f aca="false">(#REF!+#REF!+L212)*'O_MN, PE_UTA_UGM 2023'!I186</f>
        <v>#REF!</v>
      </c>
      <c r="AB212" s="132" t="n">
        <f aca="false">IF(ISERROR(+ROUND(#REF!*N212/#REF!,3)),0,+ROUND(#REF!*N212/#REF!,3))</f>
        <v>0</v>
      </c>
      <c r="AC212" s="132" t="n">
        <f aca="false">IF(ISERROR(+ROUND(#REF!*O212/#REF!,3)),0,+ROUND(#REF!*O212/#REF!,3))</f>
        <v>0</v>
      </c>
      <c r="AD212" s="133" t="n">
        <f aca="false">IF(AND(AB212=0,AC212=0),0,#REF!*(#REF!-(#REF!*AB212/N212))+#REF!*(#REF!-(#REF!*AC212/O212)))</f>
        <v>0</v>
      </c>
      <c r="AE212" s="3"/>
      <c r="AF212" s="3"/>
      <c r="AG212" s="3"/>
      <c r="AH212" s="3"/>
      <c r="AI212" s="3"/>
    </row>
    <row r="213" customFormat="false" ht="15" hidden="false" customHeight="false" outlineLevel="0" collapsed="false">
      <c r="A213" s="3"/>
      <c r="B213" s="116"/>
      <c r="C213" s="134"/>
      <c r="D213" s="135"/>
      <c r="E213" s="119" t="n">
        <f aca="false">'O_MN, PE_UTA_UGM 2023'!B186</f>
        <v>302</v>
      </c>
      <c r="F213" s="120" t="str">
        <f aca="false">'O_MN, PE_UTA_UGM 2023'!C186</f>
        <v>MEZCLA EN MÁRGENES MULTIFUNCIONALES</v>
      </c>
      <c r="G213" s="121"/>
      <c r="H213" s="122"/>
      <c r="I213" s="122"/>
      <c r="J213" s="123"/>
      <c r="K213" s="124"/>
      <c r="L213" s="124"/>
      <c r="M213" s="112" t="e">
        <f aca="false">+IF(OR((#REF!+#REF!)&gt;0,(#REF!+#REF!)&gt;0,(K213+L213)&gt;0),"SI","NO")</f>
        <v>#REF!</v>
      </c>
      <c r="N213" s="136" t="n">
        <f aca="false">VLOOKUP(E214,'O_MN, PE_UTA_UGM 2023'!$B$1:$I$300,7,FALSE())</f>
        <v>400</v>
      </c>
      <c r="O213" s="136" t="n">
        <f aca="false">VLOOKUP(E214,'O_MN, PE_UTA_UGM 2023'!$B$1:$I$300,8,FALSE())</f>
        <v>1000</v>
      </c>
      <c r="P213" s="45"/>
      <c r="Q213" s="126" t="n">
        <f aca="false">VLOOKUP(E214,'O_MN, PE_UTA_UGM 2023'!$B$1:$I$300,5,FALSE())</f>
        <v>114.19</v>
      </c>
      <c r="R213" s="126" t="n">
        <f aca="false">VLOOKUP(E214,'O_MN, PE_UTA_UGM 2023'!$B$1:$I$300,6,FALSE())</f>
        <v>240.4</v>
      </c>
      <c r="S213" s="45"/>
      <c r="T213" s="47"/>
      <c r="U213" s="127" t="n">
        <f aca="false">(H213*N213)+(I213*O213)+((K213*N213)+(L213*O213)*1.25)</f>
        <v>0</v>
      </c>
      <c r="V213" s="128"/>
      <c r="W213" s="128"/>
      <c r="X213" s="127" t="n">
        <f aca="false">(H213*Q213)+(I213*R213)+((K213*Q213)+(L213*R213)*1.25)</f>
        <v>0</v>
      </c>
      <c r="Y213" s="129"/>
      <c r="Z213" s="130" t="e">
        <f aca="false">(#REF!+#REF!+K213)*'O_MN, PE_UTA_UGM 2023'!H187</f>
        <v>#REF!</v>
      </c>
      <c r="AA213" s="131" t="e">
        <f aca="false">(#REF!+#REF!+L213)*'O_MN, PE_UTA_UGM 2023'!I187</f>
        <v>#REF!</v>
      </c>
      <c r="AB213" s="132" t="n">
        <f aca="false">IF(ISERROR(+ROUND(#REF!*N213/#REF!,3)),0,+ROUND(#REF!*N213/#REF!,3))</f>
        <v>0</v>
      </c>
      <c r="AC213" s="132" t="n">
        <f aca="false">IF(ISERROR(+ROUND(#REF!*O213/#REF!,3)),0,+ROUND(#REF!*O213/#REF!,3))</f>
        <v>0</v>
      </c>
      <c r="AD213" s="133" t="n">
        <f aca="false">IF(AND(AB213=0,AC213=0),0,#REF!*(#REF!-(#REF!*AB213/N213))+#REF!*(#REF!-(#REF!*AC213/O213)))</f>
        <v>0</v>
      </c>
      <c r="AE213" s="3"/>
      <c r="AF213" s="3"/>
      <c r="AG213" s="3"/>
      <c r="AH213" s="3"/>
      <c r="AI213" s="3"/>
    </row>
    <row r="214" customFormat="false" ht="15" hidden="false" customHeight="false" outlineLevel="0" collapsed="false">
      <c r="A214" s="3"/>
      <c r="B214" s="116"/>
      <c r="C214" s="134"/>
      <c r="D214" s="135"/>
      <c r="E214" s="119" t="n">
        <f aca="false">'O_MN, PE_UTA_UGM 2023'!B187</f>
        <v>299</v>
      </c>
      <c r="F214" s="120" t="str">
        <f aca="false">'O_MN, PE_UTA_UGM 2023'!C187</f>
        <v>MEZCLA GUISANTE-AVENA</v>
      </c>
      <c r="G214" s="121"/>
      <c r="H214" s="122"/>
      <c r="I214" s="122"/>
      <c r="J214" s="123"/>
      <c r="K214" s="124"/>
      <c r="L214" s="124"/>
      <c r="M214" s="112" t="e">
        <f aca="false">+IF(OR((#REF!+#REF!)&gt;0,(#REF!+#REF!)&gt;0,(K214+L214)&gt;0),"SI","NO")</f>
        <v>#REF!</v>
      </c>
      <c r="N214" s="136" t="n">
        <f aca="false">VLOOKUP(E215,'O_MN, PE_UTA_UGM 2023'!$B$1:$I$300,7,FALSE())</f>
        <v>400</v>
      </c>
      <c r="O214" s="136" t="n">
        <f aca="false">VLOOKUP(E215,'O_MN, PE_UTA_UGM 2023'!$B$1:$I$300,8,FALSE())</f>
        <v>1000</v>
      </c>
      <c r="P214" s="45"/>
      <c r="Q214" s="126" t="n">
        <f aca="false">VLOOKUP(E215,'O_MN, PE_UTA_UGM 2023'!$B$1:$I$300,5,FALSE())</f>
        <v>114.19</v>
      </c>
      <c r="R214" s="126" t="n">
        <f aca="false">VLOOKUP(E215,'O_MN, PE_UTA_UGM 2023'!$B$1:$I$300,6,FALSE())</f>
        <v>240.4</v>
      </c>
      <c r="S214" s="45"/>
      <c r="T214" s="47"/>
      <c r="U214" s="127" t="n">
        <f aca="false">(H214*N214)+(I214*O214)+((K214*N214)+(L214*O214)*1.25)</f>
        <v>0</v>
      </c>
      <c r="V214" s="128"/>
      <c r="W214" s="128"/>
      <c r="X214" s="127" t="n">
        <f aca="false">(H214*Q214)+(I214*R214)+((K214*Q214)+(L214*R214)*1.25)</f>
        <v>0</v>
      </c>
      <c r="Y214" s="129"/>
      <c r="Z214" s="130" t="e">
        <f aca="false">(#REF!+#REF!+K214)*'O_MN, PE_UTA_UGM 2023'!H188</f>
        <v>#REF!</v>
      </c>
      <c r="AA214" s="131" t="e">
        <f aca="false">(#REF!+#REF!+L214)*'O_MN, PE_UTA_UGM 2023'!I188</f>
        <v>#REF!</v>
      </c>
      <c r="AB214" s="132" t="n">
        <f aca="false">IF(ISERROR(+ROUND(#REF!*N214/#REF!,3)),0,+ROUND(#REF!*N214/#REF!,3))</f>
        <v>0</v>
      </c>
      <c r="AC214" s="132" t="n">
        <f aca="false">IF(ISERROR(+ROUND(#REF!*O214/#REF!,3)),0,+ROUND(#REF!*O214/#REF!,3))</f>
        <v>0</v>
      </c>
      <c r="AD214" s="133" t="n">
        <f aca="false">IF(AND(AB214=0,AC214=0),0,#REF!*(#REF!-(#REF!*AB214/N214))+#REF!*(#REF!-(#REF!*AC214/O214)))</f>
        <v>0</v>
      </c>
      <c r="AE214" s="3"/>
      <c r="AF214" s="3"/>
      <c r="AG214" s="3"/>
      <c r="AH214" s="3"/>
      <c r="AI214" s="3"/>
    </row>
    <row r="215" customFormat="false" ht="15" hidden="false" customHeight="false" outlineLevel="0" collapsed="false">
      <c r="A215" s="3"/>
      <c r="B215" s="116"/>
      <c r="C215" s="134"/>
      <c r="D215" s="135"/>
      <c r="E215" s="119" t="n">
        <f aca="false">'O_MN, PE_UTA_UGM 2023'!B188</f>
        <v>298</v>
      </c>
      <c r="F215" s="120" t="str">
        <f aca="false">'O_MN, PE_UTA_UGM 2023'!C188</f>
        <v>MEZCLA GUISANTE-CEBADA</v>
      </c>
      <c r="G215" s="121"/>
      <c r="H215" s="122"/>
      <c r="I215" s="122"/>
      <c r="J215" s="123"/>
      <c r="K215" s="124"/>
      <c r="L215" s="124"/>
      <c r="M215" s="112" t="e">
        <f aca="false">+IF(OR((#REF!+#REF!)&gt;0,(#REF!+#REF!)&gt;0,(K215+L215)&gt;0),"SI","NO")</f>
        <v>#REF!</v>
      </c>
      <c r="N215" s="136" t="n">
        <f aca="false">VLOOKUP(E216,'O_MN, PE_UTA_UGM 2023'!$B$1:$I$300,7,FALSE())</f>
        <v>400</v>
      </c>
      <c r="O215" s="136" t="n">
        <f aca="false">VLOOKUP(E216,'O_MN, PE_UTA_UGM 2023'!$B$1:$I$300,8,FALSE())</f>
        <v>1000</v>
      </c>
      <c r="P215" s="45"/>
      <c r="Q215" s="126" t="n">
        <f aca="false">VLOOKUP(E216,'O_MN, PE_UTA_UGM 2023'!$B$1:$I$300,5,FALSE())</f>
        <v>114.19</v>
      </c>
      <c r="R215" s="126" t="n">
        <f aca="false">VLOOKUP(E216,'O_MN, PE_UTA_UGM 2023'!$B$1:$I$300,6,FALSE())</f>
        <v>240.4</v>
      </c>
      <c r="S215" s="45"/>
      <c r="T215" s="47"/>
      <c r="U215" s="127" t="n">
        <f aca="false">(H215*N215)+(I215*O215)+((K215*N215)+(L215*O215)*1.25)</f>
        <v>0</v>
      </c>
      <c r="V215" s="128"/>
      <c r="W215" s="128"/>
      <c r="X215" s="127" t="n">
        <f aca="false">(H215*Q215)+(I215*R215)+((K215*Q215)+(L215*R215)*1.25)</f>
        <v>0</v>
      </c>
      <c r="Y215" s="129"/>
      <c r="Z215" s="130" t="e">
        <f aca="false">(#REF!+#REF!+K215)*'O_MN, PE_UTA_UGM 2023'!H189</f>
        <v>#REF!</v>
      </c>
      <c r="AA215" s="131" t="e">
        <f aca="false">(#REF!+#REF!+L215)*'O_MN, PE_UTA_UGM 2023'!I189</f>
        <v>#REF!</v>
      </c>
      <c r="AB215" s="132" t="n">
        <f aca="false">IF(ISERROR(+ROUND(#REF!*N215/#REF!,3)),0,+ROUND(#REF!*N215/#REF!,3))</f>
        <v>0</v>
      </c>
      <c r="AC215" s="132" t="n">
        <f aca="false">IF(ISERROR(+ROUND(#REF!*O215/#REF!,3)),0,+ROUND(#REF!*O215/#REF!,3))</f>
        <v>0</v>
      </c>
      <c r="AD215" s="133" t="n">
        <f aca="false">IF(AND(AB215=0,AC215=0),0,#REF!*(#REF!-(#REF!*AB215/N215))+#REF!*(#REF!-(#REF!*AC215/O215)))</f>
        <v>0</v>
      </c>
      <c r="AE215" s="3"/>
      <c r="AF215" s="3"/>
      <c r="AG215" s="3"/>
      <c r="AH215" s="3"/>
      <c r="AI215" s="3"/>
    </row>
    <row r="216" customFormat="false" ht="15" hidden="false" customHeight="false" outlineLevel="0" collapsed="false">
      <c r="A216" s="3"/>
      <c r="B216" s="116"/>
      <c r="C216" s="134"/>
      <c r="D216" s="135"/>
      <c r="E216" s="119" t="n">
        <f aca="false">'O_MN, PE_UTA_UGM 2023'!B189</f>
        <v>241</v>
      </c>
      <c r="F216" s="120" t="str">
        <f aca="false">'O_MN, PE_UTA_UGM 2023'!C189</f>
        <v>MEZCLA VEZA – AVENA</v>
      </c>
      <c r="G216" s="121"/>
      <c r="H216" s="122"/>
      <c r="I216" s="122"/>
      <c r="J216" s="123"/>
      <c r="K216" s="124"/>
      <c r="L216" s="124"/>
      <c r="M216" s="112" t="e">
        <f aca="false">+IF(OR((#REF!+#REF!)&gt;0,(#REF!+#REF!)&gt;0,(K216+L216)&gt;0),"SI","NO")</f>
        <v>#REF!</v>
      </c>
      <c r="N216" s="136" t="n">
        <f aca="false">VLOOKUP(E217,'O_MN, PE_UTA_UGM 2023'!$B$1:$I$300,7,FALSE())</f>
        <v>400</v>
      </c>
      <c r="O216" s="136" t="n">
        <f aca="false">VLOOKUP(E217,'O_MN, PE_UTA_UGM 2023'!$B$1:$I$300,8,FALSE())</f>
        <v>1000</v>
      </c>
      <c r="P216" s="45"/>
      <c r="Q216" s="126" t="n">
        <f aca="false">VLOOKUP(E217,'O_MN, PE_UTA_UGM 2023'!$B$1:$I$300,5,FALSE())</f>
        <v>114.19</v>
      </c>
      <c r="R216" s="126" t="n">
        <f aca="false">VLOOKUP(E217,'O_MN, PE_UTA_UGM 2023'!$B$1:$I$300,6,FALSE())</f>
        <v>240.4</v>
      </c>
      <c r="S216" s="45"/>
      <c r="T216" s="47"/>
      <c r="U216" s="127" t="n">
        <f aca="false">(H216*N216)+(I216*O216)+((K216*N216)+(L216*O216)*1.25)</f>
        <v>0</v>
      </c>
      <c r="V216" s="128"/>
      <c r="W216" s="128"/>
      <c r="X216" s="127" t="n">
        <f aca="false">(H216*Q216)+(I216*R216)+((K216*Q216)+(L216*R216)*1.25)</f>
        <v>0</v>
      </c>
      <c r="Y216" s="129"/>
      <c r="Z216" s="130" t="e">
        <f aca="false">(#REF!+#REF!+K216)*'O_MN, PE_UTA_UGM 2023'!H190</f>
        <v>#REF!</v>
      </c>
      <c r="AA216" s="131" t="e">
        <f aca="false">(#REF!+#REF!+L216)*'O_MN, PE_UTA_UGM 2023'!I190</f>
        <v>#REF!</v>
      </c>
      <c r="AB216" s="132" t="n">
        <f aca="false">IF(ISERROR(+ROUND(#REF!*N216/#REF!,3)),0,+ROUND(#REF!*N216/#REF!,3))</f>
        <v>0</v>
      </c>
      <c r="AC216" s="132" t="n">
        <f aca="false">IF(ISERROR(+ROUND(#REF!*O216/#REF!,3)),0,+ROUND(#REF!*O216/#REF!,3))</f>
        <v>0</v>
      </c>
      <c r="AD216" s="133" t="n">
        <f aca="false">IF(AND(AB216=0,AC216=0),0,#REF!*(#REF!-(#REF!*AB216/N216))+#REF!*(#REF!-(#REF!*AC216/O216)))</f>
        <v>0</v>
      </c>
      <c r="AE216" s="3"/>
      <c r="AF216" s="3"/>
      <c r="AG216" s="3"/>
      <c r="AH216" s="3"/>
      <c r="AI216" s="3"/>
    </row>
    <row r="217" customFormat="false" ht="15" hidden="false" customHeight="false" outlineLevel="0" collapsed="false">
      <c r="A217" s="3"/>
      <c r="B217" s="116"/>
      <c r="C217" s="134"/>
      <c r="D217" s="135"/>
      <c r="E217" s="119" t="n">
        <f aca="false">'O_MN, PE_UTA_UGM 2023'!B190</f>
        <v>244</v>
      </c>
      <c r="F217" s="120" t="str">
        <f aca="false">'O_MN, PE_UTA_UGM 2023'!C190</f>
        <v>MEZCLA VEZA-CEBADA</v>
      </c>
      <c r="G217" s="121"/>
      <c r="H217" s="122"/>
      <c r="I217" s="122"/>
      <c r="J217" s="123"/>
      <c r="K217" s="124"/>
      <c r="L217" s="124"/>
      <c r="M217" s="112" t="e">
        <f aca="false">+IF(OR((#REF!+#REF!)&gt;0,(#REF!+#REF!)&gt;0,(K217+L217)&gt;0),"SI","NO")</f>
        <v>#REF!</v>
      </c>
      <c r="N217" s="136" t="n">
        <f aca="false">VLOOKUP(E218,'O_MN, PE_UTA_UGM 2023'!$B$1:$I$300,7,FALSE())</f>
        <v>400</v>
      </c>
      <c r="O217" s="136" t="n">
        <f aca="false">VLOOKUP(E218,'O_MN, PE_UTA_UGM 2023'!$B$1:$I$300,8,FALSE())</f>
        <v>1000</v>
      </c>
      <c r="P217" s="45"/>
      <c r="Q217" s="126" t="n">
        <f aca="false">VLOOKUP(E218,'O_MN, PE_UTA_UGM 2023'!$B$1:$I$300,5,FALSE())</f>
        <v>114.19</v>
      </c>
      <c r="R217" s="126" t="n">
        <f aca="false">VLOOKUP(E218,'O_MN, PE_UTA_UGM 2023'!$B$1:$I$300,6,FALSE())</f>
        <v>240.4</v>
      </c>
      <c r="S217" s="45"/>
      <c r="T217" s="47"/>
      <c r="U217" s="127" t="n">
        <f aca="false">(H217*N217)+(I217*O217)+((K217*N217)+(L217*O217)*1.25)</f>
        <v>0</v>
      </c>
      <c r="V217" s="128"/>
      <c r="W217" s="128"/>
      <c r="X217" s="127" t="n">
        <f aca="false">(H217*Q217)+(I217*R217)+((K217*Q217)+(L217*R217)*1.25)</f>
        <v>0</v>
      </c>
      <c r="Y217" s="129"/>
      <c r="Z217" s="130" t="e">
        <f aca="false">(#REF!+#REF!+K217)*'O_MN, PE_UTA_UGM 2023'!H191</f>
        <v>#REF!</v>
      </c>
      <c r="AA217" s="131" t="e">
        <f aca="false">(#REF!+#REF!+L217)*'O_MN, PE_UTA_UGM 2023'!I191</f>
        <v>#REF!</v>
      </c>
      <c r="AB217" s="132" t="n">
        <f aca="false">IF(ISERROR(+ROUND(#REF!*N217/#REF!,3)),0,+ROUND(#REF!*N217/#REF!,3))</f>
        <v>0</v>
      </c>
      <c r="AC217" s="132" t="n">
        <f aca="false">IF(ISERROR(+ROUND(#REF!*O217/#REF!,3)),0,+ROUND(#REF!*O217/#REF!,3))</f>
        <v>0</v>
      </c>
      <c r="AD217" s="133" t="n">
        <f aca="false">IF(AND(AB217=0,AC217=0),0,#REF!*(#REF!-(#REF!*AB217/N217))+#REF!*(#REF!-(#REF!*AC217/O217)))</f>
        <v>0</v>
      </c>
      <c r="AE217" s="3"/>
      <c r="AF217" s="3"/>
      <c r="AG217" s="3"/>
      <c r="AH217" s="3"/>
      <c r="AI217" s="3"/>
    </row>
    <row r="218" customFormat="false" ht="15" hidden="false" customHeight="false" outlineLevel="0" collapsed="false">
      <c r="A218" s="3"/>
      <c r="B218" s="116"/>
      <c r="C218" s="134"/>
      <c r="D218" s="135"/>
      <c r="E218" s="119" t="n">
        <f aca="false">'O_MN, PE_UTA_UGM 2023'!B191</f>
        <v>338</v>
      </c>
      <c r="F218" s="120" t="str">
        <f aca="false">'O_MN, PE_UTA_UGM 2023'!C191</f>
        <v>MEZCLA VEZA-RAYGRASS</v>
      </c>
      <c r="G218" s="121"/>
      <c r="H218" s="122"/>
      <c r="I218" s="122"/>
      <c r="J218" s="123"/>
      <c r="K218" s="124"/>
      <c r="L218" s="124"/>
      <c r="M218" s="112" t="e">
        <f aca="false">+IF(OR((#REF!+#REF!)&gt;0,(#REF!+#REF!)&gt;0,(K218+L218)&gt;0),"SI","NO")</f>
        <v>#REF!</v>
      </c>
      <c r="N218" s="136" t="n">
        <f aca="false">VLOOKUP(E219,'O_MN, PE_UTA_UGM 2023'!$B$1:$I$300,7,FALSE())</f>
        <v>400</v>
      </c>
      <c r="O218" s="136" t="n">
        <f aca="false">VLOOKUP(E219,'O_MN, PE_UTA_UGM 2023'!$B$1:$I$300,8,FALSE())</f>
        <v>1000</v>
      </c>
      <c r="P218" s="45"/>
      <c r="Q218" s="126" t="n">
        <f aca="false">VLOOKUP(E219,'O_MN, PE_UTA_UGM 2023'!$B$1:$I$300,5,FALSE())</f>
        <v>114.19</v>
      </c>
      <c r="R218" s="126" t="n">
        <f aca="false">VLOOKUP(E219,'O_MN, PE_UTA_UGM 2023'!$B$1:$I$300,6,FALSE())</f>
        <v>240.4</v>
      </c>
      <c r="S218" s="45"/>
      <c r="T218" s="47"/>
      <c r="U218" s="127" t="n">
        <f aca="false">(H218*N218)+(I218*O218)+((K218*N218)+(L218*O218)*1.25)</f>
        <v>0</v>
      </c>
      <c r="V218" s="128"/>
      <c r="W218" s="128"/>
      <c r="X218" s="127" t="n">
        <f aca="false">(H218*Q218)+(I218*R218)+((K218*Q218)+(L218*R218)*1.25)</f>
        <v>0</v>
      </c>
      <c r="Y218" s="129"/>
      <c r="Z218" s="130" t="e">
        <f aca="false">(#REF!+#REF!+K218)*'O_MN, PE_UTA_UGM 2023'!H192</f>
        <v>#REF!</v>
      </c>
      <c r="AA218" s="131" t="e">
        <f aca="false">(#REF!+#REF!+L218)*'O_MN, PE_UTA_UGM 2023'!I192</f>
        <v>#REF!</v>
      </c>
      <c r="AB218" s="132" t="n">
        <f aca="false">IF(ISERROR(+ROUND(#REF!*N218/#REF!,3)),0,+ROUND(#REF!*N218/#REF!,3))</f>
        <v>0</v>
      </c>
      <c r="AC218" s="132" t="n">
        <f aca="false">IF(ISERROR(+ROUND(#REF!*O218/#REF!,3)),0,+ROUND(#REF!*O218/#REF!,3))</f>
        <v>0</v>
      </c>
      <c r="AD218" s="133" t="n">
        <f aca="false">IF(AND(AB218=0,AC218=0),0,#REF!*(#REF!-(#REF!*AB218/N218))+#REF!*(#REF!-(#REF!*AC218/O218)))</f>
        <v>0</v>
      </c>
      <c r="AE218" s="3"/>
      <c r="AF218" s="3"/>
      <c r="AG218" s="3"/>
      <c r="AH218" s="3"/>
      <c r="AI218" s="3"/>
    </row>
    <row r="219" customFormat="false" ht="15" hidden="false" customHeight="false" outlineLevel="0" collapsed="false">
      <c r="A219" s="3"/>
      <c r="B219" s="116"/>
      <c r="C219" s="134"/>
      <c r="D219" s="135"/>
      <c r="E219" s="119" t="n">
        <f aca="false">'O_MN, PE_UTA_UGM 2023'!B192</f>
        <v>243</v>
      </c>
      <c r="F219" s="120" t="str">
        <f aca="false">'O_MN, PE_UTA_UGM 2023'!C192</f>
        <v>MEZCLA VEZA-TRIGO</v>
      </c>
      <c r="G219" s="121"/>
      <c r="H219" s="122"/>
      <c r="I219" s="122"/>
      <c r="J219" s="123"/>
      <c r="K219" s="124"/>
      <c r="L219" s="124"/>
      <c r="M219" s="112" t="e">
        <f aca="false">+IF(OR((#REF!+#REF!)&gt;0,(#REF!+#REF!)&gt;0,(K219+L219)&gt;0),"SI","NO")</f>
        <v>#REF!</v>
      </c>
      <c r="N219" s="136" t="n">
        <f aca="false">VLOOKUP(E220,'O_MN, PE_UTA_UGM 2023'!$B$1:$I$300,7,FALSE())</f>
        <v>400</v>
      </c>
      <c r="O219" s="136" t="n">
        <f aca="false">VLOOKUP(E220,'O_MN, PE_UTA_UGM 2023'!$B$1:$I$300,8,FALSE())</f>
        <v>1000</v>
      </c>
      <c r="P219" s="45"/>
      <c r="Q219" s="126" t="n">
        <f aca="false">VLOOKUP(E220,'O_MN, PE_UTA_UGM 2023'!$B$1:$I$300,5,FALSE())</f>
        <v>114.19</v>
      </c>
      <c r="R219" s="126" t="n">
        <f aca="false">VLOOKUP(E220,'O_MN, PE_UTA_UGM 2023'!$B$1:$I$300,6,FALSE())</f>
        <v>240.4</v>
      </c>
      <c r="S219" s="45"/>
      <c r="T219" s="47"/>
      <c r="U219" s="127" t="n">
        <f aca="false">(H219*N219)+(I219*O219)+((K219*N219)+(L219*O219)*1.25)</f>
        <v>0</v>
      </c>
      <c r="V219" s="128"/>
      <c r="W219" s="128"/>
      <c r="X219" s="127" t="n">
        <f aca="false">(H219*Q219)+(I219*R219)+((K219*Q219)+(L219*R219)*1.25)</f>
        <v>0</v>
      </c>
      <c r="Y219" s="129"/>
      <c r="Z219" s="130" t="e">
        <f aca="false">(#REF!+#REF!+K219)*'O_MN, PE_UTA_UGM 2023'!H193</f>
        <v>#REF!</v>
      </c>
      <c r="AA219" s="131" t="e">
        <f aca="false">(#REF!+#REF!+L219)*'O_MN, PE_UTA_UGM 2023'!I193</f>
        <v>#REF!</v>
      </c>
      <c r="AB219" s="132" t="n">
        <f aca="false">IF(ISERROR(+ROUND(#REF!*N219/#REF!,3)),0,+ROUND(#REF!*N219/#REF!,3))</f>
        <v>0</v>
      </c>
      <c r="AC219" s="132" t="n">
        <f aca="false">IF(ISERROR(+ROUND(#REF!*O219/#REF!,3)),0,+ROUND(#REF!*O219/#REF!,3))</f>
        <v>0</v>
      </c>
      <c r="AD219" s="133" t="n">
        <f aca="false">IF(AND(AB219=0,AC219=0),0,#REF!*(#REF!-(#REF!*AB219/N219))+#REF!*(#REF!-(#REF!*AC219/O219)))</f>
        <v>0</v>
      </c>
      <c r="AE219" s="3"/>
      <c r="AF219" s="3"/>
      <c r="AG219" s="3"/>
      <c r="AH219" s="3"/>
      <c r="AI219" s="3"/>
    </row>
    <row r="220" customFormat="false" ht="15" hidden="false" customHeight="false" outlineLevel="0" collapsed="false">
      <c r="A220" s="3"/>
      <c r="B220" s="116"/>
      <c r="C220" s="134"/>
      <c r="D220" s="135"/>
      <c r="E220" s="119" t="n">
        <f aca="false">'O_MN, PE_UTA_UGM 2023'!B193</f>
        <v>242</v>
      </c>
      <c r="F220" s="120" t="str">
        <f aca="false">'O_MN, PE_UTA_UGM 2023'!C193</f>
        <v>MEZCLA VEZA-TRITICALE</v>
      </c>
      <c r="G220" s="121"/>
      <c r="H220" s="122"/>
      <c r="I220" s="122"/>
      <c r="J220" s="123"/>
      <c r="K220" s="124"/>
      <c r="L220" s="124"/>
      <c r="M220" s="112" t="e">
        <f aca="false">+IF(OR((#REF!+#REF!)&gt;0,(#REF!+#REF!)&gt;0,(K220+L220)&gt;0),"SI","NO")</f>
        <v>#REF!</v>
      </c>
      <c r="N220" s="136" t="n">
        <f aca="false">VLOOKUP(E221,'O_MN, PE_UTA_UGM 2023'!$B$1:$I$300,7,FALSE())</f>
        <v>400</v>
      </c>
      <c r="O220" s="136" t="n">
        <f aca="false">VLOOKUP(E221,'O_MN, PE_UTA_UGM 2023'!$B$1:$I$300,8,FALSE())</f>
        <v>1000</v>
      </c>
      <c r="P220" s="45"/>
      <c r="Q220" s="126" t="n">
        <f aca="false">VLOOKUP(E221,'O_MN, PE_UTA_UGM 2023'!$B$1:$I$300,5,FALSE())</f>
        <v>114.19</v>
      </c>
      <c r="R220" s="126" t="n">
        <f aca="false">VLOOKUP(E221,'O_MN, PE_UTA_UGM 2023'!$B$1:$I$300,6,FALSE())</f>
        <v>240.4</v>
      </c>
      <c r="S220" s="45"/>
      <c r="T220" s="47"/>
      <c r="U220" s="127" t="n">
        <f aca="false">(H220*N220)+(I220*O220)+((K220*N220)+(L220*O220)*1.25)</f>
        <v>0</v>
      </c>
      <c r="V220" s="128"/>
      <c r="W220" s="128"/>
      <c r="X220" s="127" t="n">
        <f aca="false">(H220*Q220)+(I220*R220)+((K220*Q220)+(L220*R220)*1.25)</f>
        <v>0</v>
      </c>
      <c r="Y220" s="129"/>
      <c r="Z220" s="130" t="e">
        <f aca="false">(#REF!+#REF!+K220)*'O_MN, PE_UTA_UGM 2023'!H194</f>
        <v>#REF!</v>
      </c>
      <c r="AA220" s="131" t="e">
        <f aca="false">(#REF!+#REF!+L220)*'O_MN, PE_UTA_UGM 2023'!I194</f>
        <v>#REF!</v>
      </c>
      <c r="AB220" s="132" t="n">
        <f aca="false">IF(ISERROR(+ROUND(#REF!*N220/#REF!,3)),0,+ROUND(#REF!*N220/#REF!,3))</f>
        <v>0</v>
      </c>
      <c r="AC220" s="132" t="n">
        <f aca="false">IF(ISERROR(+ROUND(#REF!*O220/#REF!,3)),0,+ROUND(#REF!*O220/#REF!,3))</f>
        <v>0</v>
      </c>
      <c r="AD220" s="133" t="n">
        <f aca="false">IF(AND(AB220=0,AC220=0),0,#REF!*(#REF!-(#REF!*AB220/N220))+#REF!*(#REF!-(#REF!*AC220/O220)))</f>
        <v>0</v>
      </c>
      <c r="AE220" s="3"/>
      <c r="AF220" s="3"/>
      <c r="AG220" s="3"/>
      <c r="AH220" s="3"/>
      <c r="AI220" s="3"/>
    </row>
    <row r="221" customFormat="false" ht="15" hidden="false" customHeight="false" outlineLevel="0" collapsed="false">
      <c r="A221" s="3"/>
      <c r="B221" s="116"/>
      <c r="C221" s="134"/>
      <c r="D221" s="135"/>
      <c r="E221" s="119" t="n">
        <f aca="false">'O_MN, PE_UTA_UGM 2023'!B194</f>
        <v>339</v>
      </c>
      <c r="F221" s="120" t="str">
        <f aca="false">'O_MN, PE_UTA_UGM 2023'!C194</f>
        <v>MEZCLA YEROS-AVENA</v>
      </c>
      <c r="G221" s="121"/>
      <c r="H221" s="122"/>
      <c r="I221" s="122"/>
      <c r="J221" s="123"/>
      <c r="K221" s="124"/>
      <c r="L221" s="124"/>
      <c r="M221" s="112" t="e">
        <f aca="false">+IF(OR((#REF!+#REF!)&gt;0,(#REF!+#REF!)&gt;0,(K221+L221)&gt;0),"SI","NO")</f>
        <v>#REF!</v>
      </c>
      <c r="N221" s="136" t="n">
        <f aca="false">VLOOKUP(E222,'O_MN, PE_UTA_UGM 2023'!$B$1:$I$300,7,FALSE())</f>
        <v>400</v>
      </c>
      <c r="O221" s="136" t="n">
        <f aca="false">VLOOKUP(E222,'O_MN, PE_UTA_UGM 2023'!$B$1:$I$300,8,FALSE())</f>
        <v>1000</v>
      </c>
      <c r="P221" s="45"/>
      <c r="Q221" s="126" t="n">
        <f aca="false">VLOOKUP(E222,'O_MN, PE_UTA_UGM 2023'!$B$1:$I$300,5,FALSE())</f>
        <v>114.19</v>
      </c>
      <c r="R221" s="126" t="n">
        <f aca="false">VLOOKUP(E222,'O_MN, PE_UTA_UGM 2023'!$B$1:$I$300,6,FALSE())</f>
        <v>240.4</v>
      </c>
      <c r="S221" s="45"/>
      <c r="T221" s="47"/>
      <c r="U221" s="127" t="n">
        <f aca="false">(H221*N221)+(I221*O221)+((K221*N221)+(L221*O221)*1.25)</f>
        <v>0</v>
      </c>
      <c r="V221" s="128"/>
      <c r="W221" s="128"/>
      <c r="X221" s="127" t="n">
        <f aca="false">(H221*Q221)+(I221*R221)+((K221*Q221)+(L221*R221)*1.25)</f>
        <v>0</v>
      </c>
      <c r="Y221" s="129"/>
      <c r="Z221" s="130" t="e">
        <f aca="false">(#REF!+#REF!+K221)*'O_MN, PE_UTA_UGM 2023'!H195</f>
        <v>#REF!</v>
      </c>
      <c r="AA221" s="131" t="e">
        <f aca="false">(#REF!+#REF!+L221)*'O_MN, PE_UTA_UGM 2023'!I195</f>
        <v>#REF!</v>
      </c>
      <c r="AB221" s="132" t="n">
        <f aca="false">IF(ISERROR(+ROUND(#REF!*N221/#REF!,3)),0,+ROUND(#REF!*N221/#REF!,3))</f>
        <v>0</v>
      </c>
      <c r="AC221" s="132" t="n">
        <f aca="false">IF(ISERROR(+ROUND(#REF!*O221/#REF!,3)),0,+ROUND(#REF!*O221/#REF!,3))</f>
        <v>0</v>
      </c>
      <c r="AD221" s="133" t="n">
        <f aca="false">IF(AND(AB221=0,AC221=0),0,#REF!*(#REF!-(#REF!*AB221/N221))+#REF!*(#REF!-(#REF!*AC221/O221)))</f>
        <v>0</v>
      </c>
      <c r="AE221" s="3"/>
      <c r="AF221" s="3"/>
      <c r="AG221" s="3"/>
      <c r="AH221" s="3"/>
      <c r="AI221" s="3"/>
    </row>
    <row r="222" customFormat="false" ht="15" hidden="false" customHeight="false" outlineLevel="0" collapsed="false">
      <c r="A222" s="3"/>
      <c r="B222" s="116"/>
      <c r="C222" s="134"/>
      <c r="D222" s="135"/>
      <c r="E222" s="119" t="n">
        <f aca="false">'O_MN, PE_UTA_UGM 2023'!B195</f>
        <v>340</v>
      </c>
      <c r="F222" s="120" t="str">
        <f aca="false">'O_MN, PE_UTA_UGM 2023'!C195</f>
        <v>MEZCLA YEROS-CEBADA</v>
      </c>
      <c r="G222" s="121"/>
      <c r="H222" s="122"/>
      <c r="I222" s="122"/>
      <c r="J222" s="123"/>
      <c r="K222" s="124"/>
      <c r="L222" s="124"/>
      <c r="M222" s="112" t="e">
        <f aca="false">+IF(OR((#REF!+#REF!)&gt;0,(#REF!+#REF!)&gt;0,(K222+L222)&gt;0),"SI","NO")</f>
        <v>#REF!</v>
      </c>
      <c r="N222" s="136" t="n">
        <f aca="false">VLOOKUP(E223,'O_MN, PE_UTA_UGM 2023'!$B$1:$I$300,7,FALSE())</f>
        <v>400</v>
      </c>
      <c r="O222" s="136" t="n">
        <f aca="false">VLOOKUP(E223,'O_MN, PE_UTA_UGM 2023'!$B$1:$I$300,8,FALSE())</f>
        <v>1000</v>
      </c>
      <c r="P222" s="45"/>
      <c r="Q222" s="126" t="n">
        <f aca="false">VLOOKUP(E223,'O_MN, PE_UTA_UGM 2023'!$B$1:$I$300,5,FALSE())</f>
        <v>114.19</v>
      </c>
      <c r="R222" s="126" t="n">
        <f aca="false">VLOOKUP(E223,'O_MN, PE_UTA_UGM 2023'!$B$1:$I$300,6,FALSE())</f>
        <v>240.4</v>
      </c>
      <c r="S222" s="45"/>
      <c r="T222" s="47"/>
      <c r="U222" s="127" t="n">
        <f aca="false">(H222*N222)+(I222*O222)+((K222*N222)+(L222*O222)*1.25)</f>
        <v>0</v>
      </c>
      <c r="V222" s="128"/>
      <c r="W222" s="128"/>
      <c r="X222" s="127" t="n">
        <f aca="false">(H222*Q222)+(I222*R222)+((K222*Q222)+(L222*R222)*1.25)</f>
        <v>0</v>
      </c>
      <c r="Y222" s="129"/>
      <c r="Z222" s="130" t="e">
        <f aca="false">(#REF!+#REF!+K222)*'O_MN, PE_UTA_UGM 2023'!H196</f>
        <v>#REF!</v>
      </c>
      <c r="AA222" s="131" t="e">
        <f aca="false">(#REF!+#REF!+L222)*'O_MN, PE_UTA_UGM 2023'!I196</f>
        <v>#REF!</v>
      </c>
      <c r="AB222" s="132" t="n">
        <f aca="false">IF(ISERROR(+ROUND(#REF!*N222/#REF!,3)),0,+ROUND(#REF!*N222/#REF!,3))</f>
        <v>0</v>
      </c>
      <c r="AC222" s="132" t="n">
        <f aca="false">IF(ISERROR(+ROUND(#REF!*O222/#REF!,3)),0,+ROUND(#REF!*O222/#REF!,3))</f>
        <v>0</v>
      </c>
      <c r="AD222" s="133" t="n">
        <f aca="false">IF(AND(AB222=0,AC222=0),0,#REF!*(#REF!-(#REF!*AB222/N222))+#REF!*(#REF!-(#REF!*AC222/O222)))</f>
        <v>0</v>
      </c>
      <c r="AE222" s="3"/>
      <c r="AF222" s="3"/>
      <c r="AG222" s="3"/>
      <c r="AH222" s="3"/>
      <c r="AI222" s="3"/>
    </row>
    <row r="223" customFormat="false" ht="15" hidden="false" customHeight="false" outlineLevel="0" collapsed="false">
      <c r="A223" s="3"/>
      <c r="B223" s="116"/>
      <c r="C223" s="134"/>
      <c r="D223" s="135"/>
      <c r="E223" s="119" t="n">
        <f aca="false">'O_MN, PE_UTA_UGM 2023'!B196</f>
        <v>245</v>
      </c>
      <c r="F223" s="120" t="str">
        <f aca="false">'O_MN, PE_UTA_UGM 2023'!C196</f>
        <v>MEZCLA ZULLA – AVENA</v>
      </c>
      <c r="G223" s="121"/>
      <c r="H223" s="122"/>
      <c r="I223" s="122"/>
      <c r="J223" s="123"/>
      <c r="K223" s="124"/>
      <c r="L223" s="124"/>
      <c r="M223" s="112" t="e">
        <f aca="false">+IF(OR((#REF!+#REF!)&gt;0,(#REF!+#REF!)&gt;0,(K223+L223)&gt;0),"SI","NO")</f>
        <v>#REF!</v>
      </c>
      <c r="N223" s="136" t="n">
        <f aca="false">VLOOKUP(E224,'O_MN, PE_UTA_UGM 2023'!$B$1:$I$300,7,FALSE())</f>
        <v>400</v>
      </c>
      <c r="O223" s="136" t="n">
        <f aca="false">VLOOKUP(E224,'O_MN, PE_UTA_UGM 2023'!$B$1:$I$300,8,FALSE())</f>
        <v>1000</v>
      </c>
      <c r="P223" s="45"/>
      <c r="Q223" s="126" t="n">
        <f aca="false">VLOOKUP(E224,'O_MN, PE_UTA_UGM 2023'!$B$1:$I$300,5,FALSE())</f>
        <v>114.19</v>
      </c>
      <c r="R223" s="126" t="n">
        <f aca="false">VLOOKUP(E224,'O_MN, PE_UTA_UGM 2023'!$B$1:$I$300,6,FALSE())</f>
        <v>240.4</v>
      </c>
      <c r="S223" s="45"/>
      <c r="T223" s="47"/>
      <c r="U223" s="127" t="n">
        <f aca="false">(H223*N223)+(I223*O223)+((K223*N223)+(L223*O223)*1.25)</f>
        <v>0</v>
      </c>
      <c r="V223" s="128"/>
      <c r="W223" s="128"/>
      <c r="X223" s="127" t="n">
        <f aca="false">(H223*Q223)+(I223*R223)+((K223*Q223)+(L223*R223)*1.25)</f>
        <v>0</v>
      </c>
      <c r="Y223" s="129"/>
      <c r="Z223" s="130" t="e">
        <f aca="false">(#REF!+#REF!+K223)*'O_MN, PE_UTA_UGM 2023'!H197</f>
        <v>#REF!</v>
      </c>
      <c r="AA223" s="131" t="e">
        <f aca="false">(#REF!+#REF!+L223)*'O_MN, PE_UTA_UGM 2023'!I197</f>
        <v>#REF!</v>
      </c>
      <c r="AB223" s="132" t="n">
        <f aca="false">IF(ISERROR(+ROUND(#REF!*N223/#REF!,3)),0,+ROUND(#REF!*N223/#REF!,3))</f>
        <v>0</v>
      </c>
      <c r="AC223" s="132" t="n">
        <f aca="false">IF(ISERROR(+ROUND(#REF!*O223/#REF!,3)),0,+ROUND(#REF!*O223/#REF!,3))</f>
        <v>0</v>
      </c>
      <c r="AD223" s="133" t="n">
        <f aca="false">IF(AND(AB223=0,AC223=0),0,#REF!*(#REF!-(#REF!*AB223/N223))+#REF!*(#REF!-(#REF!*AC223/O223)))</f>
        <v>0</v>
      </c>
      <c r="AE223" s="3"/>
      <c r="AF223" s="3"/>
      <c r="AG223" s="3"/>
      <c r="AH223" s="3"/>
      <c r="AI223" s="3"/>
    </row>
    <row r="224" customFormat="false" ht="15" hidden="false" customHeight="false" outlineLevel="0" collapsed="false">
      <c r="A224" s="3"/>
      <c r="B224" s="116"/>
      <c r="C224" s="134"/>
      <c r="D224" s="135"/>
      <c r="E224" s="119" t="n">
        <f aca="false">'O_MN, PE_UTA_UGM 2023'!B197</f>
        <v>246</v>
      </c>
      <c r="F224" s="120" t="str">
        <f aca="false">'O_MN, PE_UTA_UGM 2023'!C197</f>
        <v>MEZCLA ZULLA – CEBADA</v>
      </c>
      <c r="G224" s="121"/>
      <c r="H224" s="122"/>
      <c r="I224" s="122"/>
      <c r="J224" s="123"/>
      <c r="K224" s="124"/>
      <c r="L224" s="124"/>
      <c r="M224" s="112" t="e">
        <f aca="false">+IF(OR((#REF!+#REF!)&gt;0,(#REF!+#REF!)&gt;0,(K224+L224)&gt;0),"SI","NO")</f>
        <v>#REF!</v>
      </c>
      <c r="N224" s="136" t="n">
        <f aca="false">VLOOKUP(E225,'O_MN, PE_UTA_UGM 2023'!$B$1:$I$300,7,FALSE())</f>
        <v>365.73</v>
      </c>
      <c r="O224" s="136" t="n">
        <f aca="false">VLOOKUP(E225,'O_MN, PE_UTA_UGM 2023'!$B$1:$I$300,8,FALSE())</f>
        <v>600</v>
      </c>
      <c r="P224" s="45"/>
      <c r="Q224" s="126" t="n">
        <f aca="false">VLOOKUP(E225,'O_MN, PE_UTA_UGM 2023'!$B$1:$I$300,5,FALSE())</f>
        <v>114.19</v>
      </c>
      <c r="R224" s="126" t="n">
        <f aca="false">VLOOKUP(E225,'O_MN, PE_UTA_UGM 2023'!$B$1:$I$300,6,FALSE())</f>
        <v>240.4</v>
      </c>
      <c r="S224" s="45"/>
      <c r="T224" s="47"/>
      <c r="U224" s="127" t="n">
        <f aca="false">(H224*N224)+(I224*O224)+((K224*N224)+(L224*O224)*1.25)</f>
        <v>0</v>
      </c>
      <c r="V224" s="128"/>
      <c r="W224" s="128"/>
      <c r="X224" s="127" t="n">
        <f aca="false">(H224*Q224)+(I224*R224)+((K224*Q224)+(L224*R224)*1.25)</f>
        <v>0</v>
      </c>
      <c r="Y224" s="129"/>
      <c r="Z224" s="130" t="e">
        <f aca="false">(#REF!+#REF!+K224)*'O_MN, PE_UTA_UGM 2023'!H198</f>
        <v>#REF!</v>
      </c>
      <c r="AA224" s="131" t="e">
        <f aca="false">(#REF!+#REF!+L224)*'O_MN, PE_UTA_UGM 2023'!I198</f>
        <v>#REF!</v>
      </c>
      <c r="AB224" s="132" t="n">
        <f aca="false">IF(ISERROR(+ROUND(#REF!*N224/#REF!,3)),0,+ROUND(#REF!*N224/#REF!,3))</f>
        <v>0</v>
      </c>
      <c r="AC224" s="132" t="n">
        <f aca="false">IF(ISERROR(+ROUND(#REF!*O224/#REF!,3)),0,+ROUND(#REF!*O224/#REF!,3))</f>
        <v>0</v>
      </c>
      <c r="AD224" s="133" t="n">
        <f aca="false">IF(AND(AB224=0,AC224=0),0,#REF!*(#REF!-(#REF!*AB224/N224))+#REF!*(#REF!-(#REF!*AC224/O224)))</f>
        <v>0</v>
      </c>
      <c r="AE224" s="3"/>
      <c r="AF224" s="3"/>
      <c r="AG224" s="3"/>
      <c r="AH224" s="3"/>
      <c r="AI224" s="3"/>
    </row>
    <row r="225" customFormat="false" ht="15" hidden="false" customHeight="false" outlineLevel="0" collapsed="false">
      <c r="A225" s="3"/>
      <c r="B225" s="116"/>
      <c r="C225" s="134"/>
      <c r="D225" s="135"/>
      <c r="E225" s="119" t="n">
        <f aca="false">'O_MN, PE_UTA_UGM 2023'!B198</f>
        <v>10</v>
      </c>
      <c r="F225" s="120" t="str">
        <f aca="false">'O_MN, PE_UTA_UGM 2023'!C198</f>
        <v>MIJO</v>
      </c>
      <c r="G225" s="121"/>
      <c r="H225" s="122"/>
      <c r="I225" s="122"/>
      <c r="J225" s="123"/>
      <c r="K225" s="124"/>
      <c r="L225" s="124"/>
      <c r="M225" s="112" t="e">
        <f aca="false">+IF(OR((#REF!+#REF!)&gt;0,(#REF!+#REF!)&gt;0,(K225+L225)&gt;0),"SI","NO")</f>
        <v>#REF!</v>
      </c>
      <c r="N225" s="136" t="n">
        <f aca="false">VLOOKUP(E226,'O_MN, PE_UTA_UGM 2023'!$B$1:$I$300,7,FALSE())</f>
        <v>1000</v>
      </c>
      <c r="O225" s="136" t="n">
        <f aca="false">VLOOKUP(E226,'O_MN, PE_UTA_UGM 2023'!$B$1:$I$300,8,FALSE())</f>
        <v>3800</v>
      </c>
      <c r="P225" s="45"/>
      <c r="Q225" s="126" t="n">
        <f aca="false">VLOOKUP(E226,'O_MN, PE_UTA_UGM 2023'!$B$1:$I$300,5,FALSE())</f>
        <v>114.19</v>
      </c>
      <c r="R225" s="126" t="n">
        <f aca="false">VLOOKUP(E226,'O_MN, PE_UTA_UGM 2023'!$B$1:$I$300,6,FALSE())</f>
        <v>240.4</v>
      </c>
      <c r="S225" s="45"/>
      <c r="T225" s="47"/>
      <c r="U225" s="127" t="n">
        <f aca="false">(H225*N225)+(I225*O225)+((K225*N225)+(L225*O225)*1.25)</f>
        <v>0</v>
      </c>
      <c r="V225" s="128"/>
      <c r="W225" s="128"/>
      <c r="X225" s="127" t="n">
        <f aca="false">(H225*Q225)+(I225*R225)+((K225*Q225)+(L225*R225)*1.25)</f>
        <v>0</v>
      </c>
      <c r="Y225" s="129"/>
      <c r="Z225" s="130" t="e">
        <f aca="false">(#REF!+#REF!+K225)*'O_MN, PE_UTA_UGM 2023'!H199</f>
        <v>#REF!</v>
      </c>
      <c r="AA225" s="131" t="e">
        <f aca="false">(#REF!+#REF!+L225)*'O_MN, PE_UTA_UGM 2023'!I199</f>
        <v>#REF!</v>
      </c>
      <c r="AB225" s="132" t="n">
        <f aca="false">IF(ISERROR(+ROUND(#REF!*N225/#REF!,3)),0,+ROUND(#REF!*N225/#REF!,3))</f>
        <v>0</v>
      </c>
      <c r="AC225" s="132" t="n">
        <f aca="false">IF(ISERROR(+ROUND(#REF!*O225/#REF!,3)),0,+ROUND(#REF!*O225/#REF!,3))</f>
        <v>0</v>
      </c>
      <c r="AD225" s="133" t="n">
        <f aca="false">IF(AND(AB225=0,AC225=0),0,#REF!*(#REF!-(#REF!*AB225/N225))+#REF!*(#REF!-(#REF!*AC225/O225)))</f>
        <v>0</v>
      </c>
      <c r="AE225" s="3"/>
      <c r="AF225" s="3"/>
      <c r="AG225" s="3"/>
      <c r="AH225" s="3"/>
      <c r="AI225" s="3"/>
    </row>
    <row r="226" customFormat="false" ht="15" hidden="false" customHeight="false" outlineLevel="0" collapsed="false">
      <c r="A226" s="3"/>
      <c r="B226" s="116"/>
      <c r="C226" s="134"/>
      <c r="D226" s="135"/>
      <c r="E226" s="119" t="n">
        <f aca="false">'O_MN, PE_UTA_UGM 2023'!B199</f>
        <v>319</v>
      </c>
      <c r="F226" s="120" t="str">
        <f aca="false">'O_MN, PE_UTA_UGM 2023'!C199</f>
        <v>MILENRAMA</v>
      </c>
      <c r="G226" s="121"/>
      <c r="H226" s="122"/>
      <c r="I226" s="122"/>
      <c r="J226" s="123"/>
      <c r="K226" s="124"/>
      <c r="L226" s="124"/>
      <c r="M226" s="112" t="e">
        <f aca="false">+IF(OR((#REF!+#REF!)&gt;0,(#REF!+#REF!)&gt;0,(K226+L226)&gt;0),"SI","NO")</f>
        <v>#REF!</v>
      </c>
      <c r="N226" s="136" t="n">
        <f aca="false">VLOOKUP(E227,'O_MN, PE_UTA_UGM 2023'!$B$1:$I$300,7,FALSE())</f>
        <v>700</v>
      </c>
      <c r="O226" s="136" t="n">
        <f aca="false">VLOOKUP(E227,'O_MN, PE_UTA_UGM 2023'!$B$1:$I$300,8,FALSE())</f>
        <v>1800</v>
      </c>
      <c r="P226" s="45"/>
      <c r="Q226" s="126" t="n">
        <f aca="false">VLOOKUP(E227,'O_MN, PE_UTA_UGM 2023'!$B$1:$I$300,5,FALSE())</f>
        <v>114.19</v>
      </c>
      <c r="R226" s="126" t="n">
        <f aca="false">VLOOKUP(E227,'O_MN, PE_UTA_UGM 2023'!$B$1:$I$300,6,FALSE())</f>
        <v>270.46</v>
      </c>
      <c r="S226" s="45"/>
      <c r="T226" s="47"/>
      <c r="U226" s="127" t="n">
        <f aca="false">(H226*N226)+(I226*O226)+((K226*N226)+(L226*O226)*1.25)</f>
        <v>0</v>
      </c>
      <c r="V226" s="128"/>
      <c r="W226" s="128"/>
      <c r="X226" s="127" t="n">
        <f aca="false">(H226*Q226)+(I226*R226)+((K226*Q226)+(L226*R226)*1.25)</f>
        <v>0</v>
      </c>
      <c r="Y226" s="129"/>
      <c r="Z226" s="130" t="e">
        <f aca="false">(#REF!+#REF!+K226)*'O_MN, PE_UTA_UGM 2023'!H200</f>
        <v>#REF!</v>
      </c>
      <c r="AA226" s="131" t="e">
        <f aca="false">(#REF!+#REF!+L226)*'O_MN, PE_UTA_UGM 2023'!I200</f>
        <v>#REF!</v>
      </c>
      <c r="AB226" s="132" t="n">
        <f aca="false">IF(ISERROR(+ROUND(#REF!*N226/#REF!,3)),0,+ROUND(#REF!*N226/#REF!,3))</f>
        <v>0</v>
      </c>
      <c r="AC226" s="132" t="n">
        <f aca="false">IF(ISERROR(+ROUND(#REF!*O226/#REF!,3)),0,+ROUND(#REF!*O226/#REF!,3))</f>
        <v>0</v>
      </c>
      <c r="AD226" s="133" t="n">
        <f aca="false">IF(AND(AB226=0,AC226=0),0,#REF!*(#REF!-(#REF!*AB226/N226))+#REF!*(#REF!-(#REF!*AC226/O226)))</f>
        <v>0</v>
      </c>
      <c r="AE226" s="3"/>
      <c r="AF226" s="3"/>
      <c r="AG226" s="3"/>
      <c r="AH226" s="3"/>
      <c r="AI226" s="3"/>
    </row>
    <row r="227" customFormat="false" ht="15" hidden="false" customHeight="false" outlineLevel="0" collapsed="false">
      <c r="A227" s="3"/>
      <c r="B227" s="116"/>
      <c r="C227" s="134"/>
      <c r="D227" s="135"/>
      <c r="E227" s="119" t="n">
        <f aca="false">'O_MN, PE_UTA_UGM 2023'!B200</f>
        <v>223</v>
      </c>
      <c r="F227" s="120" t="str">
        <f aca="false">'O_MN, PE_UTA_UGM 2023'!C200</f>
        <v>MISCANTHUS</v>
      </c>
      <c r="G227" s="121"/>
      <c r="H227" s="122"/>
      <c r="I227" s="122"/>
      <c r="J227" s="123"/>
      <c r="K227" s="124"/>
      <c r="L227" s="124"/>
      <c r="M227" s="112" t="e">
        <f aca="false">+IF(OR((#REF!+#REF!)&gt;0,(#REF!+#REF!)&gt;0,(K227+L227)&gt;0),"SI","NO")</f>
        <v>#REF!</v>
      </c>
      <c r="N227" s="136" t="n">
        <f aca="false">VLOOKUP(E228,'O_MN, PE_UTA_UGM 2023'!$B$1:$I$300,7,FALSE())</f>
        <v>0</v>
      </c>
      <c r="O227" s="136" t="n">
        <f aca="false">VLOOKUP(E228,'O_MN, PE_UTA_UGM 2023'!$B$1:$I$300,8,FALSE())</f>
        <v>1200</v>
      </c>
      <c r="P227" s="45"/>
      <c r="Q227" s="126" t="n">
        <f aca="false">VLOOKUP(E228,'O_MN, PE_UTA_UGM 2023'!$B$1:$I$300,5,FALSE())</f>
        <v>114.19</v>
      </c>
      <c r="R227" s="126" t="n">
        <f aca="false">VLOOKUP(E228,'O_MN, PE_UTA_UGM 2023'!$B$1:$I$300,6,FALSE())</f>
        <v>240.4</v>
      </c>
      <c r="S227" s="45"/>
      <c r="T227" s="47"/>
      <c r="U227" s="127" t="n">
        <f aca="false">(H227*N227)+(I227*O227)+((K227*N227)+(L227*O227)*1.25)</f>
        <v>0</v>
      </c>
      <c r="V227" s="128"/>
      <c r="W227" s="128"/>
      <c r="X227" s="127" t="n">
        <f aca="false">(H227*Q227)+(I227*R227)+((K227*Q227)+(L227*R227)*1.25)</f>
        <v>0</v>
      </c>
      <c r="Y227" s="129"/>
      <c r="Z227" s="130" t="e">
        <f aca="false">(#REF!+#REF!+K227)*'O_MN, PE_UTA_UGM 2023'!H201</f>
        <v>#REF!</v>
      </c>
      <c r="AA227" s="131" t="e">
        <f aca="false">(#REF!+#REF!+L227)*'O_MN, PE_UTA_UGM 2023'!I201</f>
        <v>#REF!</v>
      </c>
      <c r="AB227" s="132" t="n">
        <f aca="false">IF(ISERROR(+ROUND(#REF!*N227/#REF!,3)),0,+ROUND(#REF!*N227/#REF!,3))</f>
        <v>0</v>
      </c>
      <c r="AC227" s="132" t="n">
        <f aca="false">IF(ISERROR(+ROUND(#REF!*O227/#REF!,3)),0,+ROUND(#REF!*O227/#REF!,3))</f>
        <v>0</v>
      </c>
      <c r="AD227" s="133" t="n">
        <f aca="false">IF(AND(AB227=0,AC227=0),0,#REF!*(#REF!-(#REF!*AB227/N227))+#REF!*(#REF!-(#REF!*AC227/O227)))</f>
        <v>0</v>
      </c>
      <c r="AE227" s="3"/>
      <c r="AF227" s="3"/>
      <c r="AG227" s="3"/>
      <c r="AH227" s="3"/>
      <c r="AI227" s="3"/>
    </row>
    <row r="228" customFormat="false" ht="15" hidden="false" customHeight="false" outlineLevel="0" collapsed="false">
      <c r="A228" s="3"/>
      <c r="B228" s="116"/>
      <c r="C228" s="134"/>
      <c r="D228" s="135"/>
      <c r="E228" s="119" t="n">
        <f aca="false">'O_MN, PE_UTA_UGM 2023'!B201</f>
        <v>331</v>
      </c>
      <c r="F228" s="120" t="str">
        <f aca="false">'O_MN, PE_UTA_UGM 2023'!C201</f>
        <v>MORINGA</v>
      </c>
      <c r="G228" s="121"/>
      <c r="H228" s="122"/>
      <c r="I228" s="122"/>
      <c r="J228" s="123"/>
      <c r="K228" s="124"/>
      <c r="L228" s="124"/>
      <c r="M228" s="112" t="e">
        <f aca="false">+IF(OR((#REF!+#REF!)&gt;0,(#REF!+#REF!)&gt;0,(K228+L228)&gt;0),"SI","NO")</f>
        <v>#REF!</v>
      </c>
      <c r="N228" s="136" t="n">
        <f aca="false">VLOOKUP(E229,'O_MN, PE_UTA_UGM 2023'!$B$1:$I$300,7,FALSE())</f>
        <v>1000</v>
      </c>
      <c r="O228" s="136" t="n">
        <f aca="false">VLOOKUP(E229,'O_MN, PE_UTA_UGM 2023'!$B$1:$I$300,8,FALSE())</f>
        <v>3800</v>
      </c>
      <c r="P228" s="45"/>
      <c r="Q228" s="126" t="n">
        <f aca="false">VLOOKUP(E229,'O_MN, PE_UTA_UGM 2023'!$B$1:$I$300,5,FALSE())</f>
        <v>114.19</v>
      </c>
      <c r="R228" s="126" t="n">
        <f aca="false">VLOOKUP(E229,'O_MN, PE_UTA_UGM 2023'!$B$1:$I$300,6,FALSE())</f>
        <v>240.4</v>
      </c>
      <c r="S228" s="45"/>
      <c r="T228" s="47"/>
      <c r="U228" s="127" t="n">
        <f aca="false">(H228*N228)+(I228*O228)+((K228*N228)+(L228*O228)*1.25)</f>
        <v>0</v>
      </c>
      <c r="V228" s="128"/>
      <c r="W228" s="128"/>
      <c r="X228" s="127" t="n">
        <f aca="false">(H228*Q228)+(I228*R228)+((K228*Q228)+(L228*R228)*1.25)</f>
        <v>0</v>
      </c>
      <c r="Y228" s="129"/>
      <c r="Z228" s="130" t="e">
        <f aca="false">(#REF!+#REF!+K228)*'O_MN, PE_UTA_UGM 2023'!H202</f>
        <v>#REF!</v>
      </c>
      <c r="AA228" s="131" t="e">
        <f aca="false">(#REF!+#REF!+L228)*'O_MN, PE_UTA_UGM 2023'!I202</f>
        <v>#REF!</v>
      </c>
      <c r="AB228" s="132" t="n">
        <f aca="false">IF(ISERROR(+ROUND(#REF!*N228/#REF!,3)),0,+ROUND(#REF!*N228/#REF!,3))</f>
        <v>0</v>
      </c>
      <c r="AC228" s="132" t="n">
        <f aca="false">IF(ISERROR(+ROUND(#REF!*O228/#REF!,3)),0,+ROUND(#REF!*O228/#REF!,3))</f>
        <v>0</v>
      </c>
      <c r="AD228" s="133" t="n">
        <f aca="false">IF(AND(AB228=0,AC228=0),0,#REF!*(#REF!-(#REF!*AB228/N228))+#REF!*(#REF!-(#REF!*AC228/O228)))</f>
        <v>0</v>
      </c>
      <c r="AE228" s="3"/>
      <c r="AF228" s="3"/>
      <c r="AG228" s="3"/>
      <c r="AH228" s="3"/>
      <c r="AI228" s="3"/>
    </row>
    <row r="229" customFormat="false" ht="15" hidden="false" customHeight="false" outlineLevel="0" collapsed="false">
      <c r="A229" s="3"/>
      <c r="B229" s="116"/>
      <c r="C229" s="134"/>
      <c r="D229" s="135"/>
      <c r="E229" s="119" t="n">
        <f aca="false">'O_MN, PE_UTA_UGM 2023'!B202</f>
        <v>332</v>
      </c>
      <c r="F229" s="120" t="str">
        <f aca="false">'O_MN, PE_UTA_UGM 2023'!C202</f>
        <v>MOSTAZA</v>
      </c>
      <c r="G229" s="121"/>
      <c r="H229" s="122"/>
      <c r="I229" s="122"/>
      <c r="J229" s="123"/>
      <c r="K229" s="124"/>
      <c r="L229" s="124"/>
      <c r="M229" s="112" t="e">
        <f aca="false">+IF(OR((#REF!+#REF!)&gt;0,(#REF!+#REF!)&gt;0,(K229+L229)&gt;0),"SI","NO")</f>
        <v>#REF!</v>
      </c>
      <c r="N229" s="136" t="n">
        <f aca="false">VLOOKUP(E230,'O_MN, PE_UTA_UGM 2023'!$B$1:$I$300,7,FALSE())</f>
        <v>0</v>
      </c>
      <c r="O229" s="136" t="n">
        <f aca="false">VLOOKUP(E230,'O_MN, PE_UTA_UGM 2023'!$B$1:$I$300,8,FALSE())</f>
        <v>5200</v>
      </c>
      <c r="P229" s="45"/>
      <c r="Q229" s="126" t="n">
        <f aca="false">VLOOKUP(E230,'O_MN, PE_UTA_UGM 2023'!$B$1:$I$300,5,FALSE())</f>
        <v>360.61</v>
      </c>
      <c r="R229" s="126" t="n">
        <f aca="false">VLOOKUP(E230,'O_MN, PE_UTA_UGM 2023'!$B$1:$I$300,6,FALSE())</f>
        <v>1352.28</v>
      </c>
      <c r="S229" s="45"/>
      <c r="T229" s="47"/>
      <c r="U229" s="127" t="n">
        <f aca="false">(H229*N229)+(I229*O229)+((K229*N229)+(L229*O229)*1.25)</f>
        <v>0</v>
      </c>
      <c r="V229" s="128"/>
      <c r="W229" s="128"/>
      <c r="X229" s="127" t="n">
        <f aca="false">(H229*Q229)+(I229*R229)+((K229*Q229)+(L229*R229)*1.25)</f>
        <v>0</v>
      </c>
      <c r="Y229" s="129"/>
      <c r="Z229" s="130" t="e">
        <f aca="false">(#REF!+#REF!+K229)*'O_MN, PE_UTA_UGM 2023'!H203</f>
        <v>#REF!</v>
      </c>
      <c r="AA229" s="131" t="e">
        <f aca="false">(#REF!+#REF!+L229)*'O_MN, PE_UTA_UGM 2023'!I203</f>
        <v>#REF!</v>
      </c>
      <c r="AB229" s="132" t="n">
        <f aca="false">IF(ISERROR(+ROUND(#REF!*N229/#REF!,3)),0,+ROUND(#REF!*N229/#REF!,3))</f>
        <v>0</v>
      </c>
      <c r="AC229" s="132" t="n">
        <f aca="false">IF(ISERROR(+ROUND(#REF!*O229/#REF!,3)),0,+ROUND(#REF!*O229/#REF!,3))</f>
        <v>0</v>
      </c>
      <c r="AD229" s="133" t="n">
        <f aca="false">IF(AND(AB229=0,AC229=0),0,#REF!*(#REF!-(#REF!*AB229/N229))+#REF!*(#REF!-(#REF!*AC229/O229)))</f>
        <v>0</v>
      </c>
      <c r="AE229" s="3"/>
      <c r="AF229" s="3"/>
      <c r="AG229" s="3"/>
      <c r="AH229" s="3"/>
      <c r="AI229" s="3"/>
    </row>
    <row r="230" customFormat="false" ht="15" hidden="false" customHeight="false" outlineLevel="0" collapsed="false">
      <c r="A230" s="3"/>
      <c r="B230" s="116"/>
      <c r="C230" s="134"/>
      <c r="D230" s="135"/>
      <c r="E230" s="119" t="n">
        <f aca="false">'O_MN, PE_UTA_UGM 2023'!B203</f>
        <v>179</v>
      </c>
      <c r="F230" s="120" t="str">
        <f aca="false">'O_MN, PE_UTA_UGM 2023'!C203</f>
        <v>NABO</v>
      </c>
      <c r="G230" s="121"/>
      <c r="H230" s="122"/>
      <c r="I230" s="122"/>
      <c r="J230" s="123"/>
      <c r="K230" s="124"/>
      <c r="L230" s="124"/>
      <c r="M230" s="112" t="e">
        <f aca="false">+IF(OR((#REF!+#REF!)&gt;0,(#REF!+#REF!)&gt;0,(K230+L230)&gt;0),"SI","NO")</f>
        <v>#REF!</v>
      </c>
      <c r="N230" s="136" t="n">
        <f aca="false">VLOOKUP(E231,'O_MN, PE_UTA_UGM 2023'!$B$1:$I$300,7,FALSE())</f>
        <v>1939.8</v>
      </c>
      <c r="O230" s="136" t="n">
        <f aca="false">VLOOKUP(E231,'O_MN, PE_UTA_UGM 2023'!$B$1:$I$300,8,FALSE())</f>
        <v>6000</v>
      </c>
      <c r="P230" s="45"/>
      <c r="Q230" s="126" t="n">
        <f aca="false">VLOOKUP(E231,'O_MN, PE_UTA_UGM 2023'!$B$1:$I$300,5,FALSE())</f>
        <v>480.81</v>
      </c>
      <c r="R230" s="126" t="n">
        <f aca="false">VLOOKUP(E231,'O_MN, PE_UTA_UGM 2023'!$B$1:$I$300,6,FALSE())</f>
        <v>1442.43</v>
      </c>
      <c r="S230" s="45"/>
      <c r="T230" s="47"/>
      <c r="U230" s="127" t="n">
        <f aca="false">(H230*N230)+(I230*O230)+((K230*N230)+(L230*O230)*1.25)</f>
        <v>0</v>
      </c>
      <c r="V230" s="128"/>
      <c r="W230" s="128"/>
      <c r="X230" s="127" t="n">
        <f aca="false">(H230*Q230)+(I230*R230)+((K230*Q230)+(L230*R230)*1.25)</f>
        <v>0</v>
      </c>
      <c r="Y230" s="129"/>
      <c r="Z230" s="130" t="e">
        <f aca="false">(#REF!+#REF!+K230)*'O_MN, PE_UTA_UGM 2023'!H204</f>
        <v>#REF!</v>
      </c>
      <c r="AA230" s="131" t="e">
        <f aca="false">(#REF!+#REF!+L230)*'O_MN, PE_UTA_UGM 2023'!I204</f>
        <v>#REF!</v>
      </c>
      <c r="AB230" s="132" t="n">
        <f aca="false">IF(ISERROR(+ROUND(#REF!*N230/#REF!,3)),0,+ROUND(#REF!*N230/#REF!,3))</f>
        <v>0</v>
      </c>
      <c r="AC230" s="132" t="n">
        <f aca="false">IF(ISERROR(+ROUND(#REF!*O230/#REF!,3)),0,+ROUND(#REF!*O230/#REF!,3))</f>
        <v>0</v>
      </c>
      <c r="AD230" s="133" t="n">
        <f aca="false">IF(AND(AB230=0,AC230=0),0,#REF!*(#REF!-(#REF!*AB230/N230))+#REF!*(#REF!-(#REF!*AC230/O230)))</f>
        <v>0</v>
      </c>
      <c r="AE230" s="3"/>
      <c r="AF230" s="3"/>
      <c r="AG230" s="3"/>
      <c r="AH230" s="3"/>
      <c r="AI230" s="3"/>
    </row>
    <row r="231" customFormat="false" ht="15" hidden="false" customHeight="false" outlineLevel="0" collapsed="false">
      <c r="A231" s="3"/>
      <c r="B231" s="116"/>
      <c r="C231" s="134"/>
      <c r="D231" s="135"/>
      <c r="E231" s="119" t="n">
        <f aca="false">'O_MN, PE_UTA_UGM 2023'!B204</f>
        <v>206</v>
      </c>
      <c r="F231" s="120" t="str">
        <f aca="false">'O_MN, PE_UTA_UGM 2023'!C204</f>
        <v>NARANJO</v>
      </c>
      <c r="G231" s="121"/>
      <c r="H231" s="122"/>
      <c r="I231" s="122"/>
      <c r="J231" s="123"/>
      <c r="K231" s="124"/>
      <c r="L231" s="124"/>
      <c r="M231" s="112" t="e">
        <f aca="false">+IF(OR((#REF!+#REF!)&gt;0,(#REF!+#REF!)&gt;0,(K231+L231)&gt;0),"SI","NO")</f>
        <v>#REF!</v>
      </c>
      <c r="N231" s="136" t="n">
        <f aca="false">VLOOKUP(E232,'O_MN, PE_UTA_UGM 2023'!$B$1:$I$300,7,FALSE())</f>
        <v>1939.72</v>
      </c>
      <c r="O231" s="136" t="n">
        <f aca="false">VLOOKUP(E232,'O_MN, PE_UTA_UGM 2023'!$B$1:$I$300,8,FALSE())</f>
        <v>6000</v>
      </c>
      <c r="P231" s="45"/>
      <c r="Q231" s="126" t="n">
        <f aca="false">VLOOKUP(E232,'O_MN, PE_UTA_UGM 2023'!$B$1:$I$300,5,FALSE())</f>
        <v>480.81</v>
      </c>
      <c r="R231" s="126" t="n">
        <f aca="false">VLOOKUP(E232,'O_MN, PE_UTA_UGM 2023'!$B$1:$I$300,6,FALSE())</f>
        <v>1442.43</v>
      </c>
      <c r="S231" s="45"/>
      <c r="T231" s="47"/>
      <c r="U231" s="127" t="n">
        <f aca="false">(H231*N231)+(I231*O231)+((K231*N231)+(L231*O231)*1.25)</f>
        <v>0</v>
      </c>
      <c r="V231" s="128"/>
      <c r="W231" s="128"/>
      <c r="X231" s="127" t="n">
        <f aca="false">(H231*Q231)+(I231*R231)+((K231*Q231)+(L231*R231)*1.25)</f>
        <v>0</v>
      </c>
      <c r="Y231" s="129"/>
      <c r="Z231" s="130" t="e">
        <f aca="false">(#REF!+#REF!+K231)*'O_MN, PE_UTA_UGM 2023'!H205</f>
        <v>#REF!</v>
      </c>
      <c r="AA231" s="131" t="e">
        <f aca="false">(#REF!+#REF!+L231)*'O_MN, PE_UTA_UGM 2023'!I205</f>
        <v>#REF!</v>
      </c>
      <c r="AB231" s="132" t="n">
        <f aca="false">IF(ISERROR(+ROUND(#REF!*N231/#REF!,3)),0,+ROUND(#REF!*N231/#REF!,3))</f>
        <v>0</v>
      </c>
      <c r="AC231" s="132" t="n">
        <f aca="false">IF(ISERROR(+ROUND(#REF!*O231/#REF!,3)),0,+ROUND(#REF!*O231/#REF!,3))</f>
        <v>0</v>
      </c>
      <c r="AD231" s="133" t="n">
        <f aca="false">IF(AND(AB231=0,AC231=0),0,#REF!*(#REF!-(#REF!*AB231/N231))+#REF!*(#REF!-(#REF!*AC231/O231)))</f>
        <v>0</v>
      </c>
      <c r="AE231" s="3"/>
      <c r="AF231" s="3"/>
      <c r="AG231" s="3"/>
      <c r="AH231" s="3"/>
      <c r="AI231" s="3"/>
    </row>
    <row r="232" customFormat="false" ht="15" hidden="false" customHeight="false" outlineLevel="0" collapsed="false">
      <c r="A232" s="3"/>
      <c r="B232" s="116"/>
      <c r="C232" s="134"/>
      <c r="D232" s="135"/>
      <c r="E232" s="119" t="n">
        <f aca="false">'O_MN, PE_UTA_UGM 2023'!B205</f>
        <v>909</v>
      </c>
      <c r="F232" s="120" t="str">
        <f aca="false">'O_MN, PE_UTA_UGM 2023'!C205</f>
        <v>NASHI</v>
      </c>
      <c r="G232" s="121"/>
      <c r="H232" s="122"/>
      <c r="I232" s="122"/>
      <c r="J232" s="123"/>
      <c r="K232" s="124"/>
      <c r="L232" s="124"/>
      <c r="M232" s="112" t="e">
        <f aca="false">+IF(OR((#REF!+#REF!)&gt;0,(#REF!+#REF!)&gt;0,(K232+L232)&gt;0),"SI","NO")</f>
        <v>#REF!</v>
      </c>
      <c r="N232" s="136" t="n">
        <f aca="false">VLOOKUP(E233,'O_MN, PE_UTA_UGM 2023'!$B$1:$I$300,7,FALSE())</f>
        <v>1939.72</v>
      </c>
      <c r="O232" s="136" t="n">
        <f aca="false">VLOOKUP(E233,'O_MN, PE_UTA_UGM 2023'!$B$1:$I$300,8,FALSE())</f>
        <v>9500</v>
      </c>
      <c r="P232" s="45"/>
      <c r="Q232" s="126" t="n">
        <f aca="false">VLOOKUP(E233,'O_MN, PE_UTA_UGM 2023'!$B$1:$I$300,5,FALSE())</f>
        <v>480.81</v>
      </c>
      <c r="R232" s="126" t="n">
        <f aca="false">VLOOKUP(E233,'O_MN, PE_UTA_UGM 2023'!$B$1:$I$300,6,FALSE())</f>
        <v>1442.43</v>
      </c>
      <c r="S232" s="45"/>
      <c r="T232" s="47"/>
      <c r="U232" s="127" t="n">
        <f aca="false">(H232*N232)+(I232*O232)+((K232*N232)+(L232*O232)*1.25)</f>
        <v>0</v>
      </c>
      <c r="V232" s="128"/>
      <c r="W232" s="128"/>
      <c r="X232" s="127" t="n">
        <f aca="false">(H232*Q232)+(I232*R232)+((K232*Q232)+(L232*R232)*1.25)</f>
        <v>0</v>
      </c>
      <c r="Y232" s="129"/>
      <c r="Z232" s="130" t="e">
        <f aca="false">(#REF!+#REF!+K232)*'O_MN, PE_UTA_UGM 2023'!H206</f>
        <v>#REF!</v>
      </c>
      <c r="AA232" s="131" t="e">
        <f aca="false">(#REF!+#REF!+L232)*'O_MN, PE_UTA_UGM 2023'!I206</f>
        <v>#REF!</v>
      </c>
      <c r="AB232" s="132" t="n">
        <f aca="false">IF(ISERROR(+ROUND(#REF!*N232/#REF!,3)),0,+ROUND(#REF!*N232/#REF!,3))</f>
        <v>0</v>
      </c>
      <c r="AC232" s="132" t="n">
        <f aca="false">IF(ISERROR(+ROUND(#REF!*O232/#REF!,3)),0,+ROUND(#REF!*O232/#REF!,3))</f>
        <v>0</v>
      </c>
      <c r="AD232" s="133" t="n">
        <f aca="false">IF(AND(AB232=0,AC232=0),0,#REF!*(#REF!-(#REF!*AB232/N232))+#REF!*(#REF!-(#REF!*AC232/O232)))</f>
        <v>0</v>
      </c>
      <c r="AE232" s="3"/>
      <c r="AF232" s="3"/>
      <c r="AG232" s="3"/>
      <c r="AH232" s="3"/>
      <c r="AI232" s="3"/>
    </row>
    <row r="233" customFormat="false" ht="15" hidden="false" customHeight="false" outlineLevel="0" collapsed="false">
      <c r="A233" s="3"/>
      <c r="B233" s="116"/>
      <c r="C233" s="134"/>
      <c r="D233" s="135"/>
      <c r="E233" s="119" t="n">
        <f aca="false">'O_MN, PE_UTA_UGM 2023'!B206</f>
        <v>106</v>
      </c>
      <c r="F233" s="120" t="str">
        <f aca="false">'O_MN, PE_UTA_UGM 2023'!C206</f>
        <v>NECTARINOS</v>
      </c>
      <c r="G233" s="121"/>
      <c r="H233" s="122"/>
      <c r="I233" s="122"/>
      <c r="J233" s="123"/>
      <c r="K233" s="124"/>
      <c r="L233" s="124"/>
      <c r="M233" s="112" t="e">
        <f aca="false">+IF(OR((#REF!+#REF!)&gt;0,(#REF!+#REF!)&gt;0,(K233+L233)&gt;0),"SI","NO")</f>
        <v>#REF!</v>
      </c>
      <c r="N233" s="136" t="n">
        <f aca="false">VLOOKUP(E234,'O_MN, PE_UTA_UGM 2023'!$B$1:$I$300,7,FALSE())</f>
        <v>1939.72</v>
      </c>
      <c r="O233" s="136" t="n">
        <f aca="false">VLOOKUP(E234,'O_MN, PE_UTA_UGM 2023'!$B$1:$I$300,8,FALSE())</f>
        <v>6000</v>
      </c>
      <c r="P233" s="45"/>
      <c r="Q233" s="126" t="n">
        <f aca="false">VLOOKUP(E234,'O_MN, PE_UTA_UGM 2023'!$B$1:$I$300,5,FALSE())</f>
        <v>480.81</v>
      </c>
      <c r="R233" s="126" t="n">
        <f aca="false">VLOOKUP(E234,'O_MN, PE_UTA_UGM 2023'!$B$1:$I$300,6,FALSE())</f>
        <v>1442.43</v>
      </c>
      <c r="S233" s="45"/>
      <c r="T233" s="47"/>
      <c r="U233" s="127" t="n">
        <f aca="false">(H233*N233)+(I233*O233)+((K233*N233)+(L233*O233)*1.25)</f>
        <v>0</v>
      </c>
      <c r="V233" s="128"/>
      <c r="W233" s="128"/>
      <c r="X233" s="127" t="n">
        <f aca="false">(H233*Q233)+(I233*R233)+((K233*Q233)+(L233*R233)*1.25)</f>
        <v>0</v>
      </c>
      <c r="Y233" s="129"/>
      <c r="Z233" s="130" t="e">
        <f aca="false">(#REF!+#REF!+K233)*'O_MN, PE_UTA_UGM 2023'!H207</f>
        <v>#REF!</v>
      </c>
      <c r="AA233" s="131" t="e">
        <f aca="false">(#REF!+#REF!+L233)*'O_MN, PE_UTA_UGM 2023'!I207</f>
        <v>#REF!</v>
      </c>
      <c r="AB233" s="132" t="n">
        <f aca="false">IF(ISERROR(+ROUND(#REF!*N233/#REF!,3)),0,+ROUND(#REF!*N233/#REF!,3))</f>
        <v>0</v>
      </c>
      <c r="AC233" s="132" t="n">
        <f aca="false">IF(ISERROR(+ROUND(#REF!*O233/#REF!,3)),0,+ROUND(#REF!*O233/#REF!,3))</f>
        <v>0</v>
      </c>
      <c r="AD233" s="133" t="n">
        <f aca="false">IF(AND(AB233=0,AC233=0),0,#REF!*(#REF!-(#REF!*AB233/N233))+#REF!*(#REF!-(#REF!*AC233/O233)))</f>
        <v>0</v>
      </c>
      <c r="AE233" s="3"/>
      <c r="AF233" s="3"/>
      <c r="AG233" s="3"/>
      <c r="AH233" s="3"/>
      <c r="AI233" s="3"/>
    </row>
    <row r="234" customFormat="false" ht="15" hidden="false" customHeight="false" outlineLevel="0" collapsed="false">
      <c r="A234" s="3"/>
      <c r="B234" s="116"/>
      <c r="C234" s="134"/>
      <c r="D234" s="135"/>
      <c r="E234" s="119" t="n">
        <f aca="false">'O_MN, PE_UTA_UGM 2023'!B207</f>
        <v>214</v>
      </c>
      <c r="F234" s="120" t="str">
        <f aca="false">'O_MN, PE_UTA_UGM 2023'!C207</f>
        <v>NISPERO</v>
      </c>
      <c r="G234" s="121"/>
      <c r="H234" s="122"/>
      <c r="I234" s="122"/>
      <c r="J234" s="123"/>
      <c r="K234" s="124"/>
      <c r="L234" s="124"/>
      <c r="M234" s="112" t="e">
        <f aca="false">+IF(OR((#REF!+#REF!)&gt;0,(#REF!+#REF!)&gt;0,(K234+L234)&gt;0),"SI","NO")</f>
        <v>#REF!</v>
      </c>
      <c r="N234" s="136" t="n">
        <f aca="false">VLOOKUP(E235,'O_MN, PE_UTA_UGM 2023'!$B$1:$I$300,7,FALSE())</f>
        <v>1000</v>
      </c>
      <c r="O234" s="136" t="n">
        <f aca="false">VLOOKUP(E235,'O_MN, PE_UTA_UGM 2023'!$B$1:$I$300,8,FALSE())</f>
        <v>5500</v>
      </c>
      <c r="P234" s="45"/>
      <c r="Q234" s="126" t="n">
        <f aca="false">VLOOKUP(E235,'O_MN, PE_UTA_UGM 2023'!$B$1:$I$300,5,FALSE())</f>
        <v>450.76</v>
      </c>
      <c r="R234" s="126" t="n">
        <f aca="false">VLOOKUP(E235,'O_MN, PE_UTA_UGM 2023'!$B$1:$I$300,6,FALSE())</f>
        <v>721.21</v>
      </c>
      <c r="S234" s="45"/>
      <c r="T234" s="47"/>
      <c r="U234" s="127" t="n">
        <f aca="false">(H234*N234)+(I234*O234)+((K234*N234)+(L234*O234)*1.25)</f>
        <v>0</v>
      </c>
      <c r="V234" s="128"/>
      <c r="W234" s="128"/>
      <c r="X234" s="127" t="n">
        <f aca="false">(H234*Q234)+(I234*R234)+((K234*Q234)+(L234*R234)*1.25)</f>
        <v>0</v>
      </c>
      <c r="Y234" s="129"/>
      <c r="Z234" s="130" t="e">
        <f aca="false">(#REF!+#REF!+K234)*'O_MN, PE_UTA_UGM 2023'!H208</f>
        <v>#REF!</v>
      </c>
      <c r="AA234" s="131" t="e">
        <f aca="false">(#REF!+#REF!+L234)*'O_MN, PE_UTA_UGM 2023'!I208</f>
        <v>#REF!</v>
      </c>
      <c r="AB234" s="132" t="n">
        <f aca="false">IF(ISERROR(+ROUND(#REF!*N234/#REF!,3)),0,+ROUND(#REF!*N234/#REF!,3))</f>
        <v>0</v>
      </c>
      <c r="AC234" s="132" t="n">
        <f aca="false">IF(ISERROR(+ROUND(#REF!*O234/#REF!,3)),0,+ROUND(#REF!*O234/#REF!,3))</f>
        <v>0</v>
      </c>
      <c r="AD234" s="133" t="n">
        <f aca="false">IF(AND(AB234=0,AC234=0),0,#REF!*(#REF!-(#REF!*AB234/N234))+#REF!*(#REF!-(#REF!*AC234/O234)))</f>
        <v>0</v>
      </c>
      <c r="AE234" s="3"/>
      <c r="AF234" s="3"/>
      <c r="AG234" s="3"/>
      <c r="AH234" s="3"/>
      <c r="AI234" s="3"/>
    </row>
    <row r="235" customFormat="false" ht="15" hidden="false" customHeight="false" outlineLevel="0" collapsed="false">
      <c r="A235" s="3"/>
      <c r="B235" s="116"/>
      <c r="C235" s="134"/>
      <c r="D235" s="135"/>
      <c r="E235" s="119" t="n">
        <f aca="false">'O_MN, PE_UTA_UGM 2023'!B208</f>
        <v>112</v>
      </c>
      <c r="F235" s="120" t="str">
        <f aca="false">'O_MN, PE_UTA_UGM 2023'!C208</f>
        <v>NOGALES</v>
      </c>
      <c r="G235" s="121"/>
      <c r="H235" s="122"/>
      <c r="I235" s="122"/>
      <c r="J235" s="123"/>
      <c r="K235" s="124"/>
      <c r="L235" s="124"/>
      <c r="M235" s="112" t="e">
        <f aca="false">+IF(OR((#REF!+#REF!)&gt;0,(#REF!+#REF!)&gt;0,(K235+L235)&gt;0),"SI","NO")</f>
        <v>#REF!</v>
      </c>
      <c r="N235" s="136" t="n">
        <f aca="false">VLOOKUP(E236,'O_MN, PE_UTA_UGM 2023'!$B$1:$I$300,7,FALSE())</f>
        <v>600</v>
      </c>
      <c r="O235" s="136" t="n">
        <f aca="false">VLOOKUP(E236,'O_MN, PE_UTA_UGM 2023'!$B$1:$I$300,8,FALSE())</f>
        <v>1800</v>
      </c>
      <c r="P235" s="45"/>
      <c r="Q235" s="126" t="n">
        <f aca="false">VLOOKUP(E236,'O_MN, PE_UTA_UGM 2023'!$B$1:$I$300,5,FALSE())</f>
        <v>405.68</v>
      </c>
      <c r="R235" s="126" t="n">
        <f aca="false">VLOOKUP(E236,'O_MN, PE_UTA_UGM 2023'!$B$1:$I$300,6,FALSE())</f>
        <v>649.09</v>
      </c>
      <c r="S235" s="45"/>
      <c r="T235" s="47"/>
      <c r="U235" s="127" t="n">
        <f aca="false">(H235*N235)+(I235*O235)+((K235*N235)+(L235*O235)*1.25)</f>
        <v>0</v>
      </c>
      <c r="V235" s="128"/>
      <c r="W235" s="128"/>
      <c r="X235" s="127" t="n">
        <f aca="false">(H235*Q235)+(I235*R235)+((K235*Q235)+(L235*R235)*1.25)</f>
        <v>0</v>
      </c>
      <c r="Y235" s="129"/>
      <c r="Z235" s="130" t="e">
        <f aca="false">(#REF!+#REF!+K235)*'O_MN, PE_UTA_UGM 2023'!H209</f>
        <v>#REF!</v>
      </c>
      <c r="AA235" s="131" t="e">
        <f aca="false">(#REF!+#REF!+L235)*'O_MN, PE_UTA_UGM 2023'!I209</f>
        <v>#REF!</v>
      </c>
      <c r="AB235" s="132" t="n">
        <f aca="false">IF(ISERROR(+ROUND(#REF!*N235/#REF!,3)),0,+ROUND(#REF!*N235/#REF!,3))</f>
        <v>0</v>
      </c>
      <c r="AC235" s="132" t="n">
        <f aca="false">IF(ISERROR(+ROUND(#REF!*O235/#REF!,3)),0,+ROUND(#REF!*O235/#REF!,3))</f>
        <v>0</v>
      </c>
      <c r="AD235" s="133" t="n">
        <f aca="false">IF(AND(AB235=0,AC235=0),0,#REF!*(#REF!-(#REF!*AB235/N235))+#REF!*(#REF!-(#REF!*AC235/O235)))</f>
        <v>0</v>
      </c>
      <c r="AE235" s="3"/>
      <c r="AF235" s="3"/>
      <c r="AG235" s="3"/>
      <c r="AH235" s="3"/>
      <c r="AI235" s="3"/>
    </row>
    <row r="236" customFormat="false" ht="15" hidden="false" customHeight="false" outlineLevel="0" collapsed="false">
      <c r="A236" s="3"/>
      <c r="B236" s="116"/>
      <c r="C236" s="134"/>
      <c r="D236" s="135"/>
      <c r="E236" s="119" t="n">
        <f aca="false">'O_MN, PE_UTA_UGM 2023'!B209</f>
        <v>101</v>
      </c>
      <c r="F236" s="120" t="str">
        <f aca="false">'O_MN, PE_UTA_UGM 2023'!C209</f>
        <v>OLIVAR</v>
      </c>
      <c r="G236" s="121"/>
      <c r="H236" s="122"/>
      <c r="I236" s="122"/>
      <c r="J236" s="123"/>
      <c r="K236" s="124"/>
      <c r="L236" s="124"/>
      <c r="M236" s="112" t="e">
        <f aca="false">+IF(OR((#REF!+#REF!)&gt;0,(#REF!+#REF!)&gt;0,(K236+L236)&gt;0),"SI","NO")</f>
        <v>#REF!</v>
      </c>
      <c r="N236" s="136" t="n">
        <f aca="false">VLOOKUP(E237,'O_MN, PE_UTA_UGM 2023'!$B$1:$I$300,7,FALSE())</f>
        <v>0</v>
      </c>
      <c r="O236" s="136" t="n">
        <f aca="false">VLOOKUP(E237,'O_MN, PE_UTA_UGM 2023'!$B$1:$I$300,8,FALSE())</f>
        <v>0</v>
      </c>
      <c r="P236" s="45"/>
      <c r="Q236" s="126" t="n">
        <f aca="false">VLOOKUP(E237,'O_MN, PE_UTA_UGM 2023'!$B$1:$I$300,5,FALSE())</f>
        <v>450.76</v>
      </c>
      <c r="R236" s="126" t="n">
        <f aca="false">VLOOKUP(E237,'O_MN, PE_UTA_UGM 2023'!$B$1:$I$300,6,FALSE())</f>
        <v>721.21</v>
      </c>
      <c r="S236" s="45"/>
      <c r="T236" s="47"/>
      <c r="U236" s="127" t="n">
        <f aca="false">(H236*N236)+(I236*O236)+((K236*N236)+(L236*O236)*1.25)</f>
        <v>0</v>
      </c>
      <c r="V236" s="128"/>
      <c r="W236" s="128"/>
      <c r="X236" s="127" t="n">
        <f aca="false">(H236*Q236)+(I236*R236)+((K236*Q236)+(L236*R236)*1.25)</f>
        <v>0</v>
      </c>
      <c r="Y236" s="129"/>
      <c r="Z236" s="130" t="e">
        <f aca="false">(#REF!+#REF!+K236)*'O_MN, PE_UTA_UGM 2023'!H210</f>
        <v>#REF!</v>
      </c>
      <c r="AA236" s="131" t="e">
        <f aca="false">(#REF!+#REF!+L236)*'O_MN, PE_UTA_UGM 2023'!I210</f>
        <v>#REF!</v>
      </c>
      <c r="AB236" s="132" t="n">
        <f aca="false">IF(ISERROR(+ROUND(#REF!*N236/#REF!,3)),0,+ROUND(#REF!*N236/#REF!,3))</f>
        <v>0</v>
      </c>
      <c r="AC236" s="132" t="n">
        <f aca="false">IF(ISERROR(+ROUND(#REF!*O236/#REF!,3)),0,+ROUND(#REF!*O236/#REF!,3))</f>
        <v>0</v>
      </c>
      <c r="AD236" s="133" t="n">
        <f aca="false">IF(AND(AB236=0,AC236=0),0,#REF!*(#REF!-(#REF!*AB236/N236))+#REF!*(#REF!-(#REF!*AC236/O236)))</f>
        <v>0</v>
      </c>
      <c r="AE236" s="3"/>
      <c r="AF236" s="3"/>
      <c r="AG236" s="3"/>
      <c r="AH236" s="3"/>
      <c r="AI236" s="3"/>
    </row>
    <row r="237" customFormat="false" ht="15" hidden="false" customHeight="false" outlineLevel="0" collapsed="false">
      <c r="A237" s="3"/>
      <c r="B237" s="116"/>
      <c r="C237" s="134"/>
      <c r="D237" s="135"/>
      <c r="E237" s="119" t="n">
        <f aca="false">'O_MN, PE_UTA_UGM 2023'!B210</f>
        <v>226</v>
      </c>
      <c r="F237" s="120" t="str">
        <f aca="false">'O_MN, PE_UTA_UGM 2023'!C210</f>
        <v>OPUNTIA</v>
      </c>
      <c r="G237" s="121"/>
      <c r="H237" s="122"/>
      <c r="I237" s="122"/>
      <c r="J237" s="123"/>
      <c r="K237" s="124"/>
      <c r="L237" s="124"/>
      <c r="M237" s="112" t="e">
        <f aca="false">+IF(OR((#REF!+#REF!)&gt;0,(#REF!+#REF!)&gt;0,(K237+L237)&gt;0),"SI","NO")</f>
        <v>#REF!</v>
      </c>
      <c r="N237" s="136" t="n">
        <f aca="false">VLOOKUP(E238,'O_MN, PE_UTA_UGM 2023'!$B$1:$I$300,7,FALSE())</f>
        <v>1000</v>
      </c>
      <c r="O237" s="136" t="n">
        <f aca="false">VLOOKUP(E238,'O_MN, PE_UTA_UGM 2023'!$B$1:$I$300,8,FALSE())</f>
        <v>3800</v>
      </c>
      <c r="P237" s="45"/>
      <c r="Q237" s="126" t="n">
        <f aca="false">VLOOKUP(E238,'O_MN, PE_UTA_UGM 2023'!$B$1:$I$300,5,FALSE())</f>
        <v>114.19</v>
      </c>
      <c r="R237" s="126" t="n">
        <f aca="false">VLOOKUP(E238,'O_MN, PE_UTA_UGM 2023'!$B$1:$I$300,6,FALSE())</f>
        <v>240.4</v>
      </c>
      <c r="S237" s="45"/>
      <c r="T237" s="47"/>
      <c r="U237" s="127" t="n">
        <f aca="false">(H237*N237)+(I237*O237)+((K237*N237)+(L237*O237)*1.25)</f>
        <v>0</v>
      </c>
      <c r="V237" s="128"/>
      <c r="W237" s="128"/>
      <c r="X237" s="127" t="n">
        <f aca="false">(H237*Q237)+(I237*R237)+((K237*Q237)+(L237*R237)*1.25)</f>
        <v>0</v>
      </c>
      <c r="Y237" s="129"/>
      <c r="Z237" s="130" t="e">
        <f aca="false">(#REF!+#REF!+K237)*'O_MN, PE_UTA_UGM 2023'!H211</f>
        <v>#REF!</v>
      </c>
      <c r="AA237" s="131" t="e">
        <f aca="false">(#REF!+#REF!+L237)*'O_MN, PE_UTA_UGM 2023'!I211</f>
        <v>#REF!</v>
      </c>
      <c r="AB237" s="132" t="n">
        <f aca="false">IF(ISERROR(+ROUND(#REF!*N237/#REF!,3)),0,+ROUND(#REF!*N237/#REF!,3))</f>
        <v>0</v>
      </c>
      <c r="AC237" s="132" t="n">
        <f aca="false">IF(ISERROR(+ROUND(#REF!*O237/#REF!,3)),0,+ROUND(#REF!*O237/#REF!,3))</f>
        <v>0</v>
      </c>
      <c r="AD237" s="133" t="n">
        <f aca="false">IF(AND(AB237=0,AC237=0),0,#REF!*(#REF!-(#REF!*AB237/N237))+#REF!*(#REF!-(#REF!*AC237/O237)))</f>
        <v>0</v>
      </c>
      <c r="AE237" s="3"/>
      <c r="AF237" s="3"/>
      <c r="AG237" s="3"/>
      <c r="AH237" s="3"/>
      <c r="AI237" s="3"/>
    </row>
    <row r="238" customFormat="false" ht="15" hidden="false" customHeight="false" outlineLevel="0" collapsed="false">
      <c r="A238" s="3"/>
      <c r="B238" s="116"/>
      <c r="C238" s="134"/>
      <c r="D238" s="135"/>
      <c r="E238" s="119" t="n">
        <f aca="false">'O_MN, PE_UTA_UGM 2023'!B211</f>
        <v>267</v>
      </c>
      <c r="F238" s="120" t="str">
        <f aca="false">'O_MN, PE_UTA_UGM 2023'!C211</f>
        <v>ORÉGANO</v>
      </c>
      <c r="G238" s="121"/>
      <c r="H238" s="122"/>
      <c r="I238" s="122"/>
      <c r="J238" s="123"/>
      <c r="K238" s="124"/>
      <c r="L238" s="124"/>
      <c r="M238" s="112" t="e">
        <f aca="false">+IF(OR((#REF!+#REF!)&gt;0,(#REF!+#REF!)&gt;0,(K238+L238)&gt;0),"SI","NO")</f>
        <v>#REF!</v>
      </c>
      <c r="N238" s="136" t="n">
        <f aca="false">VLOOKUP(E239,'O_MN, PE_UTA_UGM 2023'!$B$1:$I$300,7,FALSE())</f>
        <v>0</v>
      </c>
      <c r="O238" s="136" t="n">
        <f aca="false">VLOOKUP(E239,'O_MN, PE_UTA_UGM 2023'!$B$1:$I$300,8,FALSE())</f>
        <v>5200</v>
      </c>
      <c r="P238" s="45"/>
      <c r="Q238" s="126" t="n">
        <f aca="false">VLOOKUP(E239,'O_MN, PE_UTA_UGM 2023'!$B$1:$I$300,5,FALSE())</f>
        <v>360.61</v>
      </c>
      <c r="R238" s="126" t="n">
        <f aca="false">VLOOKUP(E239,'O_MN, PE_UTA_UGM 2023'!$B$1:$I$300,6,FALSE())</f>
        <v>1352.28</v>
      </c>
      <c r="S238" s="45"/>
      <c r="T238" s="47"/>
      <c r="U238" s="127" t="n">
        <f aca="false">(H238*N238)+(I238*O238)+((K238*N238)+(L238*O238)*1.25)</f>
        <v>0</v>
      </c>
      <c r="V238" s="128"/>
      <c r="W238" s="128"/>
      <c r="X238" s="127" t="n">
        <f aca="false">(H238*Q238)+(I238*R238)+((K238*Q238)+(L238*R238)*1.25)</f>
        <v>0</v>
      </c>
      <c r="Y238" s="129"/>
      <c r="Z238" s="130" t="e">
        <f aca="false">(#REF!+#REF!+K238)*'O_MN, PE_UTA_UGM 2023'!H212</f>
        <v>#REF!</v>
      </c>
      <c r="AA238" s="131" t="e">
        <f aca="false">(#REF!+#REF!+L238)*'O_MN, PE_UTA_UGM 2023'!I212</f>
        <v>#REF!</v>
      </c>
      <c r="AB238" s="132" t="n">
        <f aca="false">IF(ISERROR(+ROUND(#REF!*N238/#REF!,3)),0,+ROUND(#REF!*N238/#REF!,3))</f>
        <v>0</v>
      </c>
      <c r="AC238" s="132" t="n">
        <f aca="false">IF(ISERROR(+ROUND(#REF!*O238/#REF!,3)),0,+ROUND(#REF!*O238/#REF!,3))</f>
        <v>0</v>
      </c>
      <c r="AD238" s="133" t="n">
        <f aca="false">IF(AND(AB238=0,AC238=0),0,#REF!*(#REF!-(#REF!*AB238/N238))+#REF!*(#REF!-(#REF!*AC238/O238)))</f>
        <v>0</v>
      </c>
      <c r="AE238" s="3"/>
      <c r="AF238" s="3"/>
      <c r="AG238" s="3"/>
      <c r="AH238" s="3"/>
      <c r="AI238" s="3"/>
    </row>
    <row r="239" customFormat="false" ht="15" hidden="false" customHeight="false" outlineLevel="0" collapsed="false">
      <c r="A239" s="3"/>
      <c r="B239" s="116"/>
      <c r="C239" s="134"/>
      <c r="D239" s="135"/>
      <c r="E239" s="119" t="n">
        <f aca="false">'O_MN, PE_UTA_UGM 2023'!B212</f>
        <v>903</v>
      </c>
      <c r="F239" s="120" t="str">
        <f aca="false">'O_MN, PE_UTA_UGM 2023'!C212</f>
        <v>OTRAS CRUCÍFERAS</v>
      </c>
      <c r="G239" s="121"/>
      <c r="H239" s="122"/>
      <c r="I239" s="122"/>
      <c r="J239" s="123"/>
      <c r="K239" s="124"/>
      <c r="L239" s="124"/>
      <c r="M239" s="112" t="e">
        <f aca="false">+IF(OR((#REF!+#REF!)&gt;0,(#REF!+#REF!)&gt;0,(K239+L239)&gt;0),"SI","NO")</f>
        <v>#REF!</v>
      </c>
      <c r="N239" s="136" t="n">
        <f aca="false">VLOOKUP(E240,'O_MN, PE_UTA_UGM 2023'!$B$1:$I$300,7,FALSE())</f>
        <v>1000</v>
      </c>
      <c r="O239" s="136" t="n">
        <f aca="false">VLOOKUP(E240,'O_MN, PE_UTA_UGM 2023'!$B$1:$I$300,8,FALSE())</f>
        <v>3800</v>
      </c>
      <c r="P239" s="45"/>
      <c r="Q239" s="126" t="n">
        <f aca="false">VLOOKUP(E240,'O_MN, PE_UTA_UGM 2023'!$B$1:$I$300,5,FALSE())</f>
        <v>114.19</v>
      </c>
      <c r="R239" s="126" t="n">
        <f aca="false">VLOOKUP(E240,'O_MN, PE_UTA_UGM 2023'!$B$1:$I$300,6,FALSE())</f>
        <v>240.4</v>
      </c>
      <c r="S239" s="45"/>
      <c r="T239" s="47"/>
      <c r="U239" s="127" t="n">
        <f aca="false">(H239*N239)+(I239*O239)+((K239*N239)+(L239*O239)*1.25)</f>
        <v>0</v>
      </c>
      <c r="V239" s="128"/>
      <c r="W239" s="128"/>
      <c r="X239" s="127" t="n">
        <f aca="false">(H239*Q239)+(I239*R239)+((K239*Q239)+(L239*R239)*1.25)</f>
        <v>0</v>
      </c>
      <c r="Y239" s="129"/>
      <c r="Z239" s="130" t="e">
        <f aca="false">(#REF!+#REF!+K239)*'O_MN, PE_UTA_UGM 2023'!H213</f>
        <v>#REF!</v>
      </c>
      <c r="AA239" s="131" t="e">
        <f aca="false">(#REF!+#REF!+L239)*'O_MN, PE_UTA_UGM 2023'!I213</f>
        <v>#REF!</v>
      </c>
      <c r="AB239" s="132" t="n">
        <f aca="false">IF(ISERROR(+ROUND(#REF!*N239/#REF!,3)),0,+ROUND(#REF!*N239/#REF!,3))</f>
        <v>0</v>
      </c>
      <c r="AC239" s="132" t="n">
        <f aca="false">IF(ISERROR(+ROUND(#REF!*O239/#REF!,3)),0,+ROUND(#REF!*O239/#REF!,3))</f>
        <v>0</v>
      </c>
      <c r="AD239" s="133" t="n">
        <f aca="false">IF(AND(AB239=0,AC239=0),0,#REF!*(#REF!-(#REF!*AB239/N239))+#REF!*(#REF!-(#REF!*AC239/O239)))</f>
        <v>0</v>
      </c>
      <c r="AE239" s="3"/>
      <c r="AF239" s="3"/>
      <c r="AG239" s="3"/>
      <c r="AH239" s="3"/>
      <c r="AI239" s="3"/>
    </row>
    <row r="240" customFormat="false" ht="15" hidden="false" customHeight="false" outlineLevel="0" collapsed="false">
      <c r="A240" s="3"/>
      <c r="B240" s="116"/>
      <c r="C240" s="134"/>
      <c r="D240" s="135"/>
      <c r="E240" s="119" t="n">
        <f aca="false">'O_MN, PE_UTA_UGM 2023'!B213</f>
        <v>342</v>
      </c>
      <c r="F240" s="120" t="str">
        <f aca="false">'O_MN, PE_UTA_UGM 2023'!C213</f>
        <v>OTRAS MEZCLAS CON PREDOMINIO CFN</v>
      </c>
      <c r="G240" s="121"/>
      <c r="H240" s="122"/>
      <c r="I240" s="122"/>
      <c r="J240" s="123"/>
      <c r="K240" s="124"/>
      <c r="L240" s="124"/>
      <c r="M240" s="112" t="e">
        <f aca="false">+IF(OR((#REF!+#REF!)&gt;0,(#REF!+#REF!)&gt;0,(K240+L240)&gt;0),"SI","NO")</f>
        <v>#REF!</v>
      </c>
      <c r="N240" s="136" t="n">
        <f aca="false">VLOOKUP(E241,'O_MN, PE_UTA_UGM 2023'!$B$1:$I$300,7,FALSE())</f>
        <v>0</v>
      </c>
      <c r="O240" s="136" t="n">
        <f aca="false">VLOOKUP(E241,'O_MN, PE_UTA_UGM 2023'!$B$1:$I$300,8,FALSE())</f>
        <v>0</v>
      </c>
      <c r="P240" s="45"/>
      <c r="Q240" s="126" t="n">
        <f aca="false">VLOOKUP(E241,'O_MN, PE_UTA_UGM 2023'!$B$1:$I$300,5,FALSE())</f>
        <v>1E-005</v>
      </c>
      <c r="R240" s="126" t="n">
        <f aca="false">VLOOKUP(E241,'O_MN, PE_UTA_UGM 2023'!$B$1:$I$300,6,FALSE())</f>
        <v>1E-005</v>
      </c>
      <c r="S240" s="45"/>
      <c r="T240" s="47"/>
      <c r="U240" s="127" t="n">
        <f aca="false">(H240*N240)+(I240*O240)+((K240*N240)+(L240*O240)*1.25)</f>
        <v>0</v>
      </c>
      <c r="V240" s="128"/>
      <c r="W240" s="128"/>
      <c r="X240" s="127" t="n">
        <f aca="false">(H240*Q240)+(I240*R240)+((K240*Q240)+(L240*R240)*1.25)</f>
        <v>0</v>
      </c>
      <c r="Y240" s="129"/>
      <c r="Z240" s="130" t="e">
        <f aca="false">(#REF!+#REF!+K240)*'O_MN, PE_UTA_UGM 2023'!H214</f>
        <v>#REF!</v>
      </c>
      <c r="AA240" s="131" t="e">
        <f aca="false">(#REF!+#REF!+L240)*'O_MN, PE_UTA_UGM 2023'!I214</f>
        <v>#REF!</v>
      </c>
      <c r="AB240" s="132" t="n">
        <f aca="false">IF(ISERROR(+ROUND(#REF!*N240/#REF!,3)),0,+ROUND(#REF!*N240/#REF!,3))</f>
        <v>0</v>
      </c>
      <c r="AC240" s="132" t="n">
        <f aca="false">IF(ISERROR(+ROUND(#REF!*O240/#REF!,3)),0,+ROUND(#REF!*O240/#REF!,3))</f>
        <v>0</v>
      </c>
      <c r="AD240" s="133" t="n">
        <f aca="false">IF(AND(AB240=0,AC240=0),0,#REF!*(#REF!-(#REF!*AB240/N240))+#REF!*(#REF!-(#REF!*AC240/O240)))</f>
        <v>0</v>
      </c>
      <c r="AE240" s="3"/>
      <c r="AF240" s="3"/>
      <c r="AG240" s="3"/>
      <c r="AH240" s="3"/>
      <c r="AI240" s="3"/>
    </row>
    <row r="241" customFormat="false" ht="15" hidden="false" customHeight="false" outlineLevel="0" collapsed="false">
      <c r="A241" s="3"/>
      <c r="B241" s="116"/>
      <c r="C241" s="134"/>
      <c r="D241" s="135"/>
      <c r="E241" s="119" t="n">
        <f aca="false">'O_MN, PE_UTA_UGM 2023'!B214</f>
        <v>115</v>
      </c>
      <c r="F241" s="120" t="str">
        <f aca="false">'O_MN, PE_UTA_UGM 2023'!C214</f>
        <v>OTRAS SUPERFICIES FORESTALES</v>
      </c>
      <c r="G241" s="121"/>
      <c r="H241" s="122"/>
      <c r="I241" s="122"/>
      <c r="J241" s="123"/>
      <c r="K241" s="124"/>
      <c r="L241" s="124"/>
      <c r="M241" s="112" t="e">
        <f aca="false">+IF(OR((#REF!+#REF!)&gt;0,(#REF!+#REF!)&gt;0,(K241+L241)&gt;0),"SI","NO")</f>
        <v>#REF!</v>
      </c>
      <c r="N241" s="136" t="n">
        <f aca="false">VLOOKUP(E242,'O_MN, PE_UTA_UGM 2023'!$B$1:$I$300,7,FALSE())</f>
        <v>0</v>
      </c>
      <c r="O241" s="136" t="n">
        <f aca="false">VLOOKUP(E242,'O_MN, PE_UTA_UGM 2023'!$B$1:$I$300,8,FALSE())</f>
        <v>0</v>
      </c>
      <c r="P241" s="45"/>
      <c r="Q241" s="126" t="n">
        <f aca="false">VLOOKUP(E242,'O_MN, PE_UTA_UGM 2023'!$B$1:$I$300,5,FALSE())</f>
        <v>1E-005</v>
      </c>
      <c r="R241" s="126" t="n">
        <f aca="false">VLOOKUP(E242,'O_MN, PE_UTA_UGM 2023'!$B$1:$I$300,6,FALSE())</f>
        <v>1E-005</v>
      </c>
      <c r="S241" s="45"/>
      <c r="T241" s="47"/>
      <c r="U241" s="127" t="n">
        <f aca="false">(H241*N241)+(I241*O241)+((K241*N241)+(L241*O241)*1.25)</f>
        <v>0</v>
      </c>
      <c r="V241" s="128"/>
      <c r="W241" s="128"/>
      <c r="X241" s="127" t="n">
        <f aca="false">(H241*Q241)+(I241*R241)+((K241*Q241)+(L241*R241)*1.25)</f>
        <v>0</v>
      </c>
      <c r="Y241" s="129"/>
      <c r="Z241" s="130" t="e">
        <f aca="false">(#REF!+#REF!+K241)*'O_MN, PE_UTA_UGM 2023'!H215</f>
        <v>#REF!</v>
      </c>
      <c r="AA241" s="131" t="e">
        <f aca="false">(#REF!+#REF!+L241)*'O_MN, PE_UTA_UGM 2023'!I215</f>
        <v>#REF!</v>
      </c>
      <c r="AB241" s="132" t="n">
        <f aca="false">IF(ISERROR(+ROUND(#REF!*N241/#REF!,3)),0,+ROUND(#REF!*N241/#REF!,3))</f>
        <v>0</v>
      </c>
      <c r="AC241" s="132" t="n">
        <f aca="false">IF(ISERROR(+ROUND(#REF!*O241/#REF!,3)),0,+ROUND(#REF!*O241/#REF!,3))</f>
        <v>0</v>
      </c>
      <c r="AD241" s="133" t="n">
        <f aca="false">IF(AND(AB241=0,AC241=0),0,#REF!*(#REF!-(#REF!*AB241/N241))+#REF!*(#REF!-(#REF!*AC241/O241)))</f>
        <v>0</v>
      </c>
      <c r="AE241" s="3"/>
      <c r="AF241" s="3"/>
      <c r="AG241" s="3"/>
      <c r="AH241" s="3"/>
      <c r="AI241" s="3"/>
    </row>
    <row r="242" customFormat="false" ht="15" hidden="false" customHeight="false" outlineLevel="0" collapsed="false">
      <c r="A242" s="3"/>
      <c r="B242" s="116"/>
      <c r="C242" s="134"/>
      <c r="D242" s="135"/>
      <c r="E242" s="119" t="n">
        <f aca="false">'O_MN, PE_UTA_UGM 2023'!B215</f>
        <v>850</v>
      </c>
      <c r="F242" s="120" t="str">
        <f aca="false">'O_MN, PE_UTA_UGM 2023'!C215</f>
        <v>OTRAS SUPERFICIES FORESTALES-VUELO</v>
      </c>
      <c r="G242" s="121"/>
      <c r="H242" s="122"/>
      <c r="I242" s="122"/>
      <c r="J242" s="123"/>
      <c r="K242" s="124"/>
      <c r="L242" s="124"/>
      <c r="M242" s="112" t="e">
        <f aca="false">+IF(OR((#REF!+#REF!)&gt;0,(#REF!+#REF!)&gt;0,(K242+L242)&gt;0),"SI","NO")</f>
        <v>#REF!</v>
      </c>
      <c r="N242" s="136" t="n">
        <f aca="false">VLOOKUP(E243,'O_MN, PE_UTA_UGM 2023'!$B$1:$I$300,7,FALSE())</f>
        <v>0</v>
      </c>
      <c r="O242" s="136" t="n">
        <f aca="false">VLOOKUP(E243,'O_MN, PE_UTA_UGM 2023'!$B$1:$I$300,8,FALSE())</f>
        <v>0</v>
      </c>
      <c r="P242" s="45"/>
      <c r="Q242" s="126" t="n">
        <f aca="false">VLOOKUP(E243,'O_MN, PE_UTA_UGM 2023'!$B$1:$I$300,5,FALSE())</f>
        <v>1E-005</v>
      </c>
      <c r="R242" s="126" t="n">
        <f aca="false">VLOOKUP(E243,'O_MN, PE_UTA_UGM 2023'!$B$1:$I$300,6,FALSE())</f>
        <v>1E-005</v>
      </c>
      <c r="S242" s="45"/>
      <c r="T242" s="47"/>
      <c r="U242" s="127" t="n">
        <f aca="false">(H242*N242)+(I242*O242)+((K242*N242)+(L242*O242)*1.25)</f>
        <v>0</v>
      </c>
      <c r="V242" s="128"/>
      <c r="W242" s="128"/>
      <c r="X242" s="127" t="n">
        <f aca="false">(H242*Q242)+(I242*R242)+((K242*Q242)+(L242*R242)*1.25)</f>
        <v>0</v>
      </c>
      <c r="Y242" s="129"/>
      <c r="Z242" s="130" t="e">
        <f aca="false">(#REF!+#REF!+K242)*'O_MN, PE_UTA_UGM 2023'!H216</f>
        <v>#REF!</v>
      </c>
      <c r="AA242" s="131" t="e">
        <f aca="false">(#REF!+#REF!+L242)*'O_MN, PE_UTA_UGM 2023'!I216</f>
        <v>#REF!</v>
      </c>
      <c r="AB242" s="132" t="n">
        <f aca="false">IF(ISERROR(+ROUND(#REF!*N242/#REF!,3)),0,+ROUND(#REF!*N242/#REF!,3))</f>
        <v>0</v>
      </c>
      <c r="AC242" s="132" t="n">
        <f aca="false">IF(ISERROR(+ROUND(#REF!*O242/#REF!,3)),0,+ROUND(#REF!*O242/#REF!,3))</f>
        <v>0</v>
      </c>
      <c r="AD242" s="133" t="n">
        <f aca="false">IF(AND(AB242=0,AC242=0),0,#REF!*(#REF!-(#REF!*AB242/N242))+#REF!*(#REF!-(#REF!*AC242/O242)))</f>
        <v>0</v>
      </c>
      <c r="AE242" s="3"/>
      <c r="AF242" s="3"/>
      <c r="AG242" s="3"/>
      <c r="AH242" s="3"/>
      <c r="AI242" s="3"/>
    </row>
    <row r="243" customFormat="false" ht="15" hidden="false" customHeight="false" outlineLevel="0" collapsed="false">
      <c r="A243" s="3"/>
      <c r="B243" s="116"/>
      <c r="C243" s="134"/>
      <c r="D243" s="135"/>
      <c r="E243" s="119" t="n">
        <f aca="false">'O_MN, PE_UTA_UGM 2023'!B216</f>
        <v>150</v>
      </c>
      <c r="F243" s="120" t="str">
        <f aca="false">'O_MN, PE_UTA_UGM 2023'!C216</f>
        <v>OTRAS UTILIZACIONES NO AGRARIAS NI FORESTALES</v>
      </c>
      <c r="G243" s="121"/>
      <c r="H243" s="122"/>
      <c r="I243" s="122"/>
      <c r="J243" s="123"/>
      <c r="K243" s="124"/>
      <c r="L243" s="124"/>
      <c r="M243" s="112" t="e">
        <f aca="false">+IF(OR((#REF!+#REF!)&gt;0,(#REF!+#REF!)&gt;0,(K243+L243)&gt;0),"SI","NO")</f>
        <v>#REF!</v>
      </c>
      <c r="N243" s="136" t="n">
        <f aca="false">VLOOKUP(E244,'O_MN, PE_UTA_UGM 2023'!$B$1:$I$300,7,FALSE())</f>
        <v>500</v>
      </c>
      <c r="O243" s="136" t="n">
        <f aca="false">VLOOKUP(E244,'O_MN, PE_UTA_UGM 2023'!$B$1:$I$300,8,FALSE())</f>
        <v>1500</v>
      </c>
      <c r="P243" s="45"/>
      <c r="Q243" s="126" t="n">
        <f aca="false">VLOOKUP(E244,'O_MN, PE_UTA_UGM 2023'!$B$1:$I$300,5,FALSE())</f>
        <v>450.76</v>
      </c>
      <c r="R243" s="126" t="n">
        <f aca="false">VLOOKUP(E244,'O_MN, PE_UTA_UGM 2023'!$B$1:$I$300,6,FALSE())</f>
        <v>721.21</v>
      </c>
      <c r="S243" s="45"/>
      <c r="T243" s="47"/>
      <c r="U243" s="127" t="n">
        <f aca="false">(H243*N243)+(I243*O243)+((K243*N243)+(L243*O243)*1.25)</f>
        <v>0</v>
      </c>
      <c r="V243" s="128"/>
      <c r="W243" s="128"/>
      <c r="X243" s="127" t="n">
        <f aca="false">(H243*Q243)+(I243*R243)+((K243*Q243)+(L243*R243)*1.25)</f>
        <v>0</v>
      </c>
      <c r="Y243" s="129"/>
      <c r="Z243" s="130" t="e">
        <f aca="false">(#REF!+#REF!+K243)*'O_MN, PE_UTA_UGM 2023'!H217</f>
        <v>#REF!</v>
      </c>
      <c r="AA243" s="131" t="e">
        <f aca="false">(#REF!+#REF!+L243)*'O_MN, PE_UTA_UGM 2023'!I217</f>
        <v>#REF!</v>
      </c>
      <c r="AB243" s="132" t="n">
        <f aca="false">IF(ISERROR(+ROUND(#REF!*N243/#REF!,3)),0,+ROUND(#REF!*N243/#REF!,3))</f>
        <v>0</v>
      </c>
      <c r="AC243" s="132" t="n">
        <f aca="false">IF(ISERROR(+ROUND(#REF!*O243/#REF!,3)),0,+ROUND(#REF!*O243/#REF!,3))</f>
        <v>0</v>
      </c>
      <c r="AD243" s="133" t="n">
        <f aca="false">IF(AND(AB243=0,AC243=0),0,#REF!*(#REF!-(#REF!*AB243/N243))+#REF!*(#REF!-(#REF!*AC243/O243)))</f>
        <v>0</v>
      </c>
      <c r="AE243" s="3"/>
      <c r="AF243" s="3"/>
      <c r="AG243" s="3"/>
      <c r="AH243" s="3"/>
      <c r="AI243" s="3"/>
    </row>
    <row r="244" customFormat="false" ht="15" hidden="false" customHeight="false" outlineLevel="0" collapsed="false">
      <c r="A244" s="3"/>
      <c r="B244" s="116"/>
      <c r="C244" s="134"/>
      <c r="D244" s="135"/>
      <c r="E244" s="119" t="n">
        <f aca="false">'O_MN, PE_UTA_UGM 2023'!B217</f>
        <v>113</v>
      </c>
      <c r="F244" s="120" t="str">
        <f aca="false">'O_MN, PE_UTA_UGM 2023'!C217</f>
        <v>OTROS FRUTALES</v>
      </c>
      <c r="G244" s="121"/>
      <c r="H244" s="122"/>
      <c r="I244" s="122"/>
      <c r="J244" s="123"/>
      <c r="K244" s="124"/>
      <c r="L244" s="124"/>
      <c r="M244" s="112" t="e">
        <f aca="false">+IF(OR((#REF!+#REF!)&gt;0,(#REF!+#REF!)&gt;0,(K244+L244)&gt;0),"SI","NO")</f>
        <v>#REF!</v>
      </c>
      <c r="N244" s="136" t="n">
        <f aca="false">VLOOKUP(E245,'O_MN, PE_UTA_UGM 2023'!$B$1:$I$300,7,FALSE())</f>
        <v>1939.72</v>
      </c>
      <c r="O244" s="136" t="n">
        <f aca="false">VLOOKUP(E245,'O_MN, PE_UTA_UGM 2023'!$B$1:$I$300,8,FALSE())</f>
        <v>6000</v>
      </c>
      <c r="P244" s="45"/>
      <c r="Q244" s="126" t="n">
        <f aca="false">VLOOKUP(E245,'O_MN, PE_UTA_UGM 2023'!$B$1:$I$300,5,FALSE())</f>
        <v>480.81</v>
      </c>
      <c r="R244" s="126" t="n">
        <f aca="false">VLOOKUP(E245,'O_MN, PE_UTA_UGM 2023'!$B$1:$I$300,6,FALSE())</f>
        <v>1442.43</v>
      </c>
      <c r="S244" s="45"/>
      <c r="T244" s="47"/>
      <c r="U244" s="127" t="n">
        <f aca="false">(H244*N244)+(I244*O244)+((K244*N244)+(L244*O244)*1.25)</f>
        <v>0</v>
      </c>
      <c r="V244" s="128"/>
      <c r="W244" s="128"/>
      <c r="X244" s="127" t="n">
        <f aca="false">(H244*Q244)+(I244*R244)+((K244*Q244)+(L244*R244)*1.25)</f>
        <v>0</v>
      </c>
      <c r="Y244" s="129"/>
      <c r="Z244" s="130" t="e">
        <f aca="false">(#REF!+#REF!+K244)*'O_MN, PE_UTA_UGM 2023'!H218</f>
        <v>#REF!</v>
      </c>
      <c r="AA244" s="131" t="e">
        <f aca="false">(#REF!+#REF!+L244)*'O_MN, PE_UTA_UGM 2023'!I218</f>
        <v>#REF!</v>
      </c>
      <c r="AB244" s="132" t="n">
        <f aca="false">IF(ISERROR(+ROUND(#REF!*N244/#REF!,3)),0,+ROUND(#REF!*N244/#REF!,3))</f>
        <v>0</v>
      </c>
      <c r="AC244" s="132" t="n">
        <f aca="false">IF(ISERROR(+ROUND(#REF!*O244/#REF!,3)),0,+ROUND(#REF!*O244/#REF!,3))</f>
        <v>0</v>
      </c>
      <c r="AD244" s="133" t="n">
        <f aca="false">IF(AND(AB244=0,AC244=0),0,#REF!*(#REF!-(#REF!*AB244/N244))+#REF!*(#REF!-(#REF!*AC244/O244)))</f>
        <v>0</v>
      </c>
      <c r="AE244" s="3"/>
      <c r="AF244" s="3"/>
      <c r="AG244" s="3"/>
      <c r="AH244" s="3"/>
      <c r="AI244" s="3"/>
    </row>
    <row r="245" customFormat="false" ht="15" hidden="false" customHeight="false" outlineLevel="0" collapsed="false">
      <c r="A245" s="3"/>
      <c r="B245" s="116"/>
      <c r="C245" s="134"/>
      <c r="D245" s="135"/>
      <c r="E245" s="119" t="n">
        <f aca="false">'O_MN, PE_UTA_UGM 2023'!B218</f>
        <v>202</v>
      </c>
      <c r="F245" s="120" t="str">
        <f aca="false">'O_MN, PE_UTA_UGM 2023'!C218</f>
        <v>PARAGUAYO</v>
      </c>
      <c r="G245" s="121"/>
      <c r="H245" s="122"/>
      <c r="I245" s="122"/>
      <c r="J245" s="123"/>
      <c r="K245" s="124"/>
      <c r="L245" s="124"/>
      <c r="M245" s="112" t="e">
        <f aca="false">+IF(OR((#REF!+#REF!)&gt;0,(#REF!+#REF!)&gt;0,(K245+L245)&gt;0),"SI","NO")</f>
        <v>#REF!</v>
      </c>
      <c r="N245" s="136" t="n">
        <f aca="false">VLOOKUP(E246,'O_MN, PE_UTA_UGM 2023'!$B$1:$I$300,7,FALSE())</f>
        <v>0</v>
      </c>
      <c r="O245" s="136" t="n">
        <f aca="false">VLOOKUP(E246,'O_MN, PE_UTA_UGM 2023'!$B$1:$I$300,8,FALSE())</f>
        <v>0</v>
      </c>
      <c r="P245" s="45"/>
      <c r="Q245" s="126" t="n">
        <f aca="false">VLOOKUP(E246,'O_MN, PE_UTA_UGM 2023'!$B$1:$I$300,5,FALSE())</f>
        <v>1E-005</v>
      </c>
      <c r="R245" s="126" t="n">
        <f aca="false">VLOOKUP(E246,'O_MN, PE_UTA_UGM 2023'!$B$1:$I$300,6,FALSE())</f>
        <v>1E-005</v>
      </c>
      <c r="S245" s="45"/>
      <c r="T245" s="47"/>
      <c r="U245" s="127" t="n">
        <f aca="false">(H245*N245)+(I245*O245)+((K245*N245)+(L245*O245)*1.25)</f>
        <v>0</v>
      </c>
      <c r="V245" s="128"/>
      <c r="W245" s="128"/>
      <c r="X245" s="127" t="n">
        <f aca="false">(H245*Q245)+(I245*R245)+((K245*Q245)+(L245*R245)*1.25)</f>
        <v>0</v>
      </c>
      <c r="Y245" s="129"/>
      <c r="Z245" s="130" t="e">
        <f aca="false">(#REF!+#REF!+K245)*'O_MN, PE_UTA_UGM 2023'!H219</f>
        <v>#REF!</v>
      </c>
      <c r="AA245" s="131" t="e">
        <f aca="false">(#REF!+#REF!+L245)*'O_MN, PE_UTA_UGM 2023'!I219</f>
        <v>#REF!</v>
      </c>
      <c r="AB245" s="132" t="n">
        <f aca="false">IF(ISERROR(+ROUND(#REF!*N245/#REF!,3)),0,+ROUND(#REF!*N245/#REF!,3))</f>
        <v>0</v>
      </c>
      <c r="AC245" s="132" t="n">
        <f aca="false">IF(ISERROR(+ROUND(#REF!*O245/#REF!,3)),0,+ROUND(#REF!*O245/#REF!,3))</f>
        <v>0</v>
      </c>
      <c r="AD245" s="133" t="n">
        <f aca="false">IF(AND(AB245=0,AC245=0),0,#REF!*(#REF!-(#REF!*AB245/N245))+#REF!*(#REF!-(#REF!*AC245/O245)))</f>
        <v>0</v>
      </c>
      <c r="AE245" s="3"/>
      <c r="AF245" s="3"/>
      <c r="AG245" s="3"/>
      <c r="AH245" s="3"/>
      <c r="AI245" s="3"/>
    </row>
    <row r="246" customFormat="false" ht="15" hidden="false" customHeight="false" outlineLevel="0" collapsed="false">
      <c r="A246" s="3"/>
      <c r="B246" s="116"/>
      <c r="C246" s="134"/>
      <c r="D246" s="135"/>
      <c r="E246" s="119" t="n">
        <f aca="false">'O_MN, PE_UTA_UGM 2023'!B219</f>
        <v>64</v>
      </c>
      <c r="F246" s="120" t="str">
        <f aca="false">'O_MN, PE_UTA_UGM 2023'!C219</f>
        <v>PASTIZAL DE 5 O MÁS AÑOS</v>
      </c>
      <c r="G246" s="121"/>
      <c r="H246" s="122"/>
      <c r="I246" s="122"/>
      <c r="J246" s="123"/>
      <c r="K246" s="124"/>
      <c r="L246" s="124"/>
      <c r="M246" s="112" t="e">
        <f aca="false">+IF(OR((#REF!+#REF!)&gt;0,(#REF!+#REF!)&gt;0,(K246+L246)&gt;0),"SI","NO")</f>
        <v>#REF!</v>
      </c>
      <c r="N246" s="136" t="n">
        <f aca="false">VLOOKUP(E247,'O_MN, PE_UTA_UGM 2023'!$B$1:$I$300,7,FALSE())</f>
        <v>0</v>
      </c>
      <c r="O246" s="136" t="n">
        <f aca="false">VLOOKUP(E247,'O_MN, PE_UTA_UGM 2023'!$B$1:$I$300,8,FALSE())</f>
        <v>0</v>
      </c>
      <c r="P246" s="45"/>
      <c r="Q246" s="126" t="n">
        <f aca="false">VLOOKUP(E247,'O_MN, PE_UTA_UGM 2023'!$B$1:$I$300,5,FALSE())</f>
        <v>1E-005</v>
      </c>
      <c r="R246" s="126" t="n">
        <f aca="false">VLOOKUP(E247,'O_MN, PE_UTA_UGM 2023'!$B$1:$I$300,6,FALSE())</f>
        <v>1E-005</v>
      </c>
      <c r="S246" s="45"/>
      <c r="T246" s="47"/>
      <c r="U246" s="127" t="n">
        <f aca="false">(H246*N246)+(I246*O246)+((K246*N246)+(L246*O246)*1.25)</f>
        <v>0</v>
      </c>
      <c r="V246" s="128"/>
      <c r="W246" s="128"/>
      <c r="X246" s="127" t="n">
        <f aca="false">(H246*Q246)+(I246*R246)+((K246*Q246)+(L246*R246)*1.25)</f>
        <v>0</v>
      </c>
      <c r="Y246" s="129"/>
      <c r="Z246" s="130" t="e">
        <f aca="false">(#REF!+#REF!+K246)*'O_MN, PE_UTA_UGM 2023'!H220</f>
        <v>#REF!</v>
      </c>
      <c r="AA246" s="131" t="e">
        <f aca="false">(#REF!+#REF!+L246)*'O_MN, PE_UTA_UGM 2023'!I220</f>
        <v>#REF!</v>
      </c>
      <c r="AB246" s="132" t="n">
        <f aca="false">IF(ISERROR(+ROUND(#REF!*N246/#REF!,3)),0,+ROUND(#REF!*N246/#REF!,3))</f>
        <v>0</v>
      </c>
      <c r="AC246" s="132" t="n">
        <f aca="false">IF(ISERROR(+ROUND(#REF!*O246/#REF!,3)),0,+ROUND(#REF!*O246/#REF!,3))</f>
        <v>0</v>
      </c>
      <c r="AD246" s="133" t="n">
        <f aca="false">IF(AND(AB246=0,AC246=0),0,#REF!*(#REF!-(#REF!*AB246/N246))+#REF!*(#REF!-(#REF!*AC246/O246)))</f>
        <v>0</v>
      </c>
      <c r="AE246" s="3"/>
      <c r="AF246" s="3"/>
      <c r="AG246" s="3"/>
      <c r="AH246" s="3"/>
      <c r="AI246" s="3"/>
    </row>
    <row r="247" customFormat="false" ht="15" hidden="false" customHeight="false" outlineLevel="0" collapsed="false">
      <c r="A247" s="3"/>
      <c r="B247" s="116"/>
      <c r="C247" s="134"/>
      <c r="D247" s="135"/>
      <c r="E247" s="119" t="n">
        <f aca="false">'O_MN, PE_UTA_UGM 2023'!B220</f>
        <v>66</v>
      </c>
      <c r="F247" s="120" t="str">
        <f aca="false">'O_MN, PE_UTA_UGM 2023'!C220</f>
        <v>PASTO ARBOLADO DE 5 O MÁS AÑOS</v>
      </c>
      <c r="G247" s="121"/>
      <c r="H247" s="122"/>
      <c r="I247" s="122"/>
      <c r="J247" s="123"/>
      <c r="K247" s="124"/>
      <c r="L247" s="124"/>
      <c r="M247" s="112" t="e">
        <f aca="false">+IF(OR((#REF!+#REF!)&gt;0,(#REF!+#REF!)&gt;0,(K247+L247)&gt;0),"SI","NO")</f>
        <v>#REF!</v>
      </c>
      <c r="N247" s="136" t="n">
        <f aca="false">VLOOKUP(E248,'O_MN, PE_UTA_UGM 2023'!$B$1:$I$300,7,FALSE())</f>
        <v>0</v>
      </c>
      <c r="O247" s="136" t="n">
        <f aca="false">VLOOKUP(E248,'O_MN, PE_UTA_UGM 2023'!$B$1:$I$300,8,FALSE())</f>
        <v>0</v>
      </c>
      <c r="P247" s="45"/>
      <c r="Q247" s="126" t="n">
        <f aca="false">VLOOKUP(E248,'O_MN, PE_UTA_UGM 2023'!$B$1:$I$300,5,FALSE())</f>
        <v>1E-005</v>
      </c>
      <c r="R247" s="126" t="n">
        <f aca="false">VLOOKUP(E248,'O_MN, PE_UTA_UGM 2023'!$B$1:$I$300,6,FALSE())</f>
        <v>1E-005</v>
      </c>
      <c r="S247" s="45"/>
      <c r="T247" s="47"/>
      <c r="U247" s="127" t="n">
        <f aca="false">(H247*N247)+(I247*O247)+((K247*N247)+(L247*O247)*1.25)</f>
        <v>0</v>
      </c>
      <c r="V247" s="128"/>
      <c r="W247" s="128"/>
      <c r="X247" s="127" t="n">
        <f aca="false">(H247*Q247)+(I247*R247)+((K247*Q247)+(L247*R247)*1.25)</f>
        <v>0</v>
      </c>
      <c r="Y247" s="129"/>
      <c r="Z247" s="130" t="e">
        <f aca="false">(#REF!+#REF!+K247)*'O_MN, PE_UTA_UGM 2023'!H221</f>
        <v>#REF!</v>
      </c>
      <c r="AA247" s="131" t="e">
        <f aca="false">(#REF!+#REF!+L247)*'O_MN, PE_UTA_UGM 2023'!I221</f>
        <v>#REF!</v>
      </c>
      <c r="AB247" s="132" t="n">
        <f aca="false">IF(ISERROR(+ROUND(#REF!*N247/#REF!,3)),0,+ROUND(#REF!*N247/#REF!,3))</f>
        <v>0</v>
      </c>
      <c r="AC247" s="132" t="n">
        <f aca="false">IF(ISERROR(+ROUND(#REF!*O247/#REF!,3)),0,+ROUND(#REF!*O247/#REF!,3))</f>
        <v>0</v>
      </c>
      <c r="AD247" s="133" t="n">
        <f aca="false">IF(AND(AB247=0,AC247=0),0,#REF!*(#REF!-(#REF!*AB247/N247))+#REF!*(#REF!-(#REF!*AC247/O247)))</f>
        <v>0</v>
      </c>
      <c r="AE247" s="3"/>
      <c r="AF247" s="3"/>
      <c r="AG247" s="3"/>
      <c r="AH247" s="3"/>
      <c r="AI247" s="3"/>
    </row>
    <row r="248" customFormat="false" ht="15" hidden="false" customHeight="false" outlineLevel="0" collapsed="false">
      <c r="A248" s="3"/>
      <c r="B248" s="116"/>
      <c r="C248" s="134"/>
      <c r="D248" s="135"/>
      <c r="E248" s="119" t="n">
        <f aca="false">'O_MN, PE_UTA_UGM 2023'!B221</f>
        <v>65</v>
      </c>
      <c r="F248" s="120" t="str">
        <f aca="false">'O_MN, PE_UTA_UGM 2023'!C221</f>
        <v>PASTO ARBUSTIVO DE 5 O MÁS AÑOS</v>
      </c>
      <c r="G248" s="121"/>
      <c r="H248" s="122"/>
      <c r="I248" s="122"/>
      <c r="J248" s="123"/>
      <c r="K248" s="124"/>
      <c r="L248" s="124"/>
      <c r="M248" s="112" t="e">
        <f aca="false">+IF(OR((#REF!+#REF!)&gt;0,(#REF!+#REF!)&gt;0,(K248+L248)&gt;0),"SI","NO")</f>
        <v>#REF!</v>
      </c>
      <c r="N248" s="136" t="n">
        <f aca="false">VLOOKUP(E249,'O_MN, PE_UTA_UGM 2023'!$B$1:$I$300,7,FALSE())</f>
        <v>400</v>
      </c>
      <c r="O248" s="136" t="n">
        <f aca="false">VLOOKUP(E249,'O_MN, PE_UTA_UGM 2023'!$B$1:$I$300,8,FALSE())</f>
        <v>800</v>
      </c>
      <c r="P248" s="45"/>
      <c r="Q248" s="126" t="n">
        <f aca="false">VLOOKUP(E249,'O_MN, PE_UTA_UGM 2023'!$B$1:$I$300,5,FALSE())</f>
        <v>114.19</v>
      </c>
      <c r="R248" s="126" t="n">
        <f aca="false">VLOOKUP(E249,'O_MN, PE_UTA_UGM 2023'!$B$1:$I$300,6,FALSE())</f>
        <v>240.4</v>
      </c>
      <c r="S248" s="45"/>
      <c r="T248" s="47"/>
      <c r="U248" s="127" t="n">
        <f aca="false">(H248*N248)+(I248*O248)+((K248*N248)+(L248*O248)*1.25)</f>
        <v>0</v>
      </c>
      <c r="V248" s="128"/>
      <c r="W248" s="128"/>
      <c r="X248" s="127" t="n">
        <f aca="false">(H248*Q248)+(I248*R248)+((K248*Q248)+(L248*R248)*1.25)</f>
        <v>0</v>
      </c>
      <c r="Y248" s="129"/>
      <c r="Z248" s="130" t="e">
        <f aca="false">(#REF!+#REF!+K248)*'O_MN, PE_UTA_UGM 2023'!H222</f>
        <v>#REF!</v>
      </c>
      <c r="AA248" s="131" t="e">
        <f aca="false">(#REF!+#REF!+L248)*'O_MN, PE_UTA_UGM 2023'!I222</f>
        <v>#REF!</v>
      </c>
      <c r="AB248" s="132" t="n">
        <f aca="false">IF(ISERROR(+ROUND(#REF!*N248/#REF!,3)),0,+ROUND(#REF!*N248/#REF!,3))</f>
        <v>0</v>
      </c>
      <c r="AC248" s="132" t="n">
        <f aca="false">IF(ISERROR(+ROUND(#REF!*O248/#REF!,3)),0,+ROUND(#REF!*O248/#REF!,3))</f>
        <v>0</v>
      </c>
      <c r="AD248" s="133" t="n">
        <f aca="false">IF(AND(AB248=0,AC248=0),0,#REF!*(#REF!-(#REF!*AB248/N248))+#REF!*(#REF!-(#REF!*AC248/O248)))</f>
        <v>0</v>
      </c>
      <c r="AE248" s="3"/>
      <c r="AF248" s="3"/>
      <c r="AG248" s="3"/>
      <c r="AH248" s="3"/>
      <c r="AI248" s="3"/>
    </row>
    <row r="249" customFormat="false" ht="15" hidden="false" customHeight="false" outlineLevel="0" collapsed="false">
      <c r="A249" s="3"/>
      <c r="B249" s="116"/>
      <c r="C249" s="134"/>
      <c r="D249" s="135"/>
      <c r="E249" s="119" t="n">
        <f aca="false">'O_MN, PE_UTA_UGM 2023'!B222</f>
        <v>328</v>
      </c>
      <c r="F249" s="120" t="str">
        <f aca="false">'O_MN, PE_UTA_UGM 2023'!C222</f>
        <v>PASTO DEL SUDÁN</v>
      </c>
      <c r="G249" s="121"/>
      <c r="H249" s="122"/>
      <c r="I249" s="122"/>
      <c r="J249" s="123"/>
      <c r="K249" s="124"/>
      <c r="L249" s="124"/>
      <c r="M249" s="112" t="e">
        <f aca="false">+IF(OR((#REF!+#REF!)&gt;0,(#REF!+#REF!)&gt;0,(K249+L249)&gt;0),"SI","NO")</f>
        <v>#REF!</v>
      </c>
      <c r="N249" s="136" t="n">
        <f aca="false">VLOOKUP(E250,'O_MN, PE_UTA_UGM 2023'!$B$1:$I$300,7,FALSE())</f>
        <v>0</v>
      </c>
      <c r="O249" s="136" t="n">
        <f aca="false">VLOOKUP(E250,'O_MN, PE_UTA_UGM 2023'!$B$1:$I$300,8,FALSE())</f>
        <v>0</v>
      </c>
      <c r="P249" s="45"/>
      <c r="Q249" s="126" t="n">
        <f aca="false">VLOOKUP(E250,'O_MN, PE_UTA_UGM 2023'!$B$1:$I$300,5,FALSE())</f>
        <v>1E-005</v>
      </c>
      <c r="R249" s="126" t="n">
        <f aca="false">VLOOKUP(E250,'O_MN, PE_UTA_UGM 2023'!$B$1:$I$300,6,FALSE())</f>
        <v>1E-005</v>
      </c>
      <c r="S249" s="45"/>
      <c r="T249" s="47"/>
      <c r="U249" s="127" t="n">
        <f aca="false">(H249*N249)+(I249*O249)+((K249*N249)+(L249*O249)*1.25)</f>
        <v>0</v>
      </c>
      <c r="V249" s="128"/>
      <c r="W249" s="128"/>
      <c r="X249" s="127" t="n">
        <f aca="false">(H249*Q249)+(I249*R249)+((K249*Q249)+(L249*R249)*1.25)</f>
        <v>0</v>
      </c>
      <c r="Y249" s="129"/>
      <c r="Z249" s="130" t="e">
        <f aca="false">(#REF!+#REF!+K249)*'O_MN, PE_UTA_UGM 2023'!H223</f>
        <v>#REF!</v>
      </c>
      <c r="AA249" s="131" t="e">
        <f aca="false">(#REF!+#REF!+L249)*'O_MN, PE_UTA_UGM 2023'!I223</f>
        <v>#REF!</v>
      </c>
      <c r="AB249" s="132" t="n">
        <f aca="false">IF(ISERROR(+ROUND(#REF!*N249/#REF!,3)),0,+ROUND(#REF!*N249/#REF!,3))</f>
        <v>0</v>
      </c>
      <c r="AC249" s="132" t="n">
        <f aca="false">IF(ISERROR(+ROUND(#REF!*O249/#REF!,3)),0,+ROUND(#REF!*O249/#REF!,3))</f>
        <v>0</v>
      </c>
      <c r="AD249" s="133" t="n">
        <f aca="false">IF(AND(AB249=0,AC249=0),0,#REF!*(#REF!-(#REF!*AB249/N249))+#REF!*(#REF!-(#REF!*AC249/O249)))</f>
        <v>0</v>
      </c>
      <c r="AE249" s="3"/>
      <c r="AF249" s="3"/>
      <c r="AG249" s="3"/>
      <c r="AH249" s="3"/>
      <c r="AI249" s="3"/>
    </row>
    <row r="250" customFormat="false" ht="15" hidden="false" customHeight="false" outlineLevel="0" collapsed="false">
      <c r="A250" s="3"/>
      <c r="B250" s="116"/>
      <c r="C250" s="134"/>
      <c r="D250" s="135"/>
      <c r="E250" s="119" t="n">
        <f aca="false">'O_MN, PE_UTA_UGM 2023'!B223</f>
        <v>63</v>
      </c>
      <c r="F250" s="120" t="str">
        <f aca="false">'O_MN, PE_UTA_UGM 2023'!C223</f>
        <v>PASTOS de menos de 5 años</v>
      </c>
      <c r="G250" s="121"/>
      <c r="H250" s="122"/>
      <c r="I250" s="122"/>
      <c r="J250" s="123"/>
      <c r="K250" s="124"/>
      <c r="L250" s="124"/>
      <c r="M250" s="112" t="e">
        <f aca="false">+IF(OR((#REF!+#REF!)&gt;0,(#REF!+#REF!)&gt;0,(K250+L250)&gt;0),"SI","NO")</f>
        <v>#REF!</v>
      </c>
      <c r="N250" s="136" t="n">
        <f aca="false">VLOOKUP(E251,'O_MN, PE_UTA_UGM 2023'!$B$1:$I$300,7,FALSE())</f>
        <v>0</v>
      </c>
      <c r="O250" s="136" t="n">
        <f aca="false">VLOOKUP(E251,'O_MN, PE_UTA_UGM 2023'!$B$1:$I$300,8,FALSE())</f>
        <v>0</v>
      </c>
      <c r="P250" s="45"/>
      <c r="Q250" s="126" t="n">
        <f aca="false">VLOOKUP(E251,'O_MN, PE_UTA_UGM 2023'!$B$1:$I$300,5,FALSE())</f>
        <v>1E-005</v>
      </c>
      <c r="R250" s="126" t="n">
        <f aca="false">VLOOKUP(E251,'O_MN, PE_UTA_UGM 2023'!$B$1:$I$300,6,FALSE())</f>
        <v>1E-005</v>
      </c>
      <c r="S250" s="45"/>
      <c r="T250" s="47"/>
      <c r="U250" s="127" t="n">
        <f aca="false">(H250*N250)+(I250*O250)+((K250*N250)+(L250*O250)*1.25)</f>
        <v>0</v>
      </c>
      <c r="V250" s="128"/>
      <c r="W250" s="128"/>
      <c r="X250" s="127" t="n">
        <f aca="false">(H250*Q250)+(I250*R250)+((K250*Q250)+(L250*R250)*1.25)</f>
        <v>0</v>
      </c>
      <c r="Y250" s="129"/>
      <c r="Z250" s="130" t="e">
        <f aca="false">(#REF!+#REF!+K250)*'O_MN, PE_UTA_UGM 2023'!H224</f>
        <v>#REF!</v>
      </c>
      <c r="AA250" s="131" t="e">
        <f aca="false">(#REF!+#REF!+L250)*'O_MN, PE_UTA_UGM 2023'!I224</f>
        <v>#REF!</v>
      </c>
      <c r="AB250" s="132" t="n">
        <f aca="false">IF(ISERROR(+ROUND(#REF!*N250/#REF!,3)),0,+ROUND(#REF!*N250/#REF!,3))</f>
        <v>0</v>
      </c>
      <c r="AC250" s="132" t="n">
        <f aca="false">IF(ISERROR(+ROUND(#REF!*O250/#REF!,3)),0,+ROUND(#REF!*O250/#REF!,3))</f>
        <v>0</v>
      </c>
      <c r="AD250" s="133" t="n">
        <f aca="false">IF(AND(AB250=0,AC250=0),0,#REF!*(#REF!-(#REF!*AB250/N250))+#REF!*(#REF!-(#REF!*AC250/O250)))</f>
        <v>0</v>
      </c>
      <c r="AE250" s="3"/>
      <c r="AF250" s="3"/>
      <c r="AG250" s="3"/>
      <c r="AH250" s="3"/>
      <c r="AI250" s="3"/>
    </row>
    <row r="251" customFormat="false" ht="15" hidden="false" customHeight="false" outlineLevel="0" collapsed="false">
      <c r="A251" s="3"/>
      <c r="B251" s="116"/>
      <c r="C251" s="134"/>
      <c r="D251" s="135"/>
      <c r="E251" s="119" t="n">
        <f aca="false">'O_MN, PE_UTA_UGM 2023'!B224</f>
        <v>62</v>
      </c>
      <c r="F251" s="120" t="str">
        <f aca="false">'O_MN, PE_UTA_UGM 2023'!C224</f>
        <v>PASTOS PERMANENTES DE 5 O MÁS AÑOS</v>
      </c>
      <c r="G251" s="121"/>
      <c r="H251" s="122"/>
      <c r="I251" s="122"/>
      <c r="J251" s="123"/>
      <c r="K251" s="124"/>
      <c r="L251" s="124"/>
      <c r="M251" s="112" t="e">
        <f aca="false">+IF(OR((#REF!+#REF!)&gt;0,(#REF!+#REF!)&gt;0,(K251+L251)&gt;0),"SI","NO")</f>
        <v>#REF!</v>
      </c>
      <c r="N251" s="136" t="n">
        <f aca="false">VLOOKUP(E252,'O_MN, PE_UTA_UGM 2023'!$B$1:$I$300,7,FALSE())</f>
        <v>1739.31</v>
      </c>
      <c r="O251" s="136" t="n">
        <f aca="false">VLOOKUP(E252,'O_MN, PE_UTA_UGM 2023'!$B$1:$I$300,8,FALSE())</f>
        <v>7000</v>
      </c>
      <c r="P251" s="45"/>
      <c r="Q251" s="126" t="n">
        <f aca="false">VLOOKUP(E252,'O_MN, PE_UTA_UGM 2023'!$B$1:$I$300,5,FALSE())</f>
        <v>450.76</v>
      </c>
      <c r="R251" s="126" t="n">
        <f aca="false">VLOOKUP(E252,'O_MN, PE_UTA_UGM 2023'!$B$1:$I$300,6,FALSE())</f>
        <v>1202.02</v>
      </c>
      <c r="S251" s="45"/>
      <c r="T251" s="47"/>
      <c r="U251" s="127" t="n">
        <f aca="false">(H251*N251)+(I251*O251)+((K251*N251)+(L251*O251)*1.25)</f>
        <v>0</v>
      </c>
      <c r="V251" s="128"/>
      <c r="W251" s="128"/>
      <c r="X251" s="127" t="n">
        <f aca="false">(H251*Q251)+(I251*R251)+((K251*Q251)+(L251*R251)*1.25)</f>
        <v>0</v>
      </c>
      <c r="Y251" s="129"/>
      <c r="Z251" s="130" t="e">
        <f aca="false">(#REF!+#REF!+K251)*'O_MN, PE_UTA_UGM 2023'!H225</f>
        <v>#REF!</v>
      </c>
      <c r="AA251" s="131" t="e">
        <f aca="false">(#REF!+#REF!+L251)*'O_MN, PE_UTA_UGM 2023'!I225</f>
        <v>#REF!</v>
      </c>
      <c r="AB251" s="132" t="n">
        <f aca="false">IF(ISERROR(+ROUND(#REF!*N251/#REF!,3)),0,+ROUND(#REF!*N251/#REF!,3))</f>
        <v>0</v>
      </c>
      <c r="AC251" s="132" t="n">
        <f aca="false">IF(ISERROR(+ROUND(#REF!*O251/#REF!,3)),0,+ROUND(#REF!*O251/#REF!,3))</f>
        <v>0</v>
      </c>
      <c r="AD251" s="133" t="n">
        <f aca="false">IF(AND(AB251=0,AC251=0),0,#REF!*(#REF!-(#REF!*AB251/N251))+#REF!*(#REF!-(#REF!*AC251/O251)))</f>
        <v>0</v>
      </c>
      <c r="AE251" s="3"/>
      <c r="AF251" s="3"/>
      <c r="AG251" s="3"/>
      <c r="AH251" s="3"/>
      <c r="AI251" s="3"/>
    </row>
    <row r="252" customFormat="false" ht="15" hidden="false" customHeight="false" outlineLevel="0" collapsed="false">
      <c r="A252" s="3"/>
      <c r="B252" s="116"/>
      <c r="C252" s="134"/>
      <c r="D252" s="135"/>
      <c r="E252" s="119" t="n">
        <f aca="false">'O_MN, PE_UTA_UGM 2023'!B225</f>
        <v>99</v>
      </c>
      <c r="F252" s="120" t="str">
        <f aca="false">'O_MN, PE_UTA_UGM 2023'!C225</f>
        <v>PATATA</v>
      </c>
      <c r="G252" s="121"/>
      <c r="H252" s="122"/>
      <c r="I252" s="122"/>
      <c r="J252" s="123"/>
      <c r="K252" s="124"/>
      <c r="L252" s="124"/>
      <c r="M252" s="112" t="e">
        <f aca="false">+IF(OR((#REF!+#REF!)&gt;0,(#REF!+#REF!)&gt;0,(K252+L252)&gt;0),"SI","NO")</f>
        <v>#REF!</v>
      </c>
      <c r="N252" s="136" t="n">
        <f aca="false">VLOOKUP(E253,'O_MN, PE_UTA_UGM 2023'!$B$1:$I$300,7,FALSE())</f>
        <v>0</v>
      </c>
      <c r="O252" s="136" t="n">
        <f aca="false">VLOOKUP(E253,'O_MN, PE_UTA_UGM 2023'!$B$1:$I$300,8,FALSE())</f>
        <v>1200</v>
      </c>
      <c r="P252" s="45"/>
      <c r="Q252" s="126" t="n">
        <f aca="false">VLOOKUP(E253,'O_MN, PE_UTA_UGM 2023'!$B$1:$I$300,5,FALSE())</f>
        <v>114.19</v>
      </c>
      <c r="R252" s="126" t="n">
        <f aca="false">VLOOKUP(E253,'O_MN, PE_UTA_UGM 2023'!$B$1:$I$300,6,FALSE())</f>
        <v>240.4</v>
      </c>
      <c r="S252" s="45"/>
      <c r="T252" s="47"/>
      <c r="U252" s="127" t="n">
        <f aca="false">(H252*N252)+(I252*O252)+((K252*N252)+(L252*O252)*1.25)</f>
        <v>0</v>
      </c>
      <c r="V252" s="128"/>
      <c r="W252" s="128"/>
      <c r="X252" s="127" t="n">
        <f aca="false">(H252*Q252)+(I252*R252)+((K252*Q252)+(L252*R252)*1.25)</f>
        <v>0</v>
      </c>
      <c r="Y252" s="129"/>
      <c r="Z252" s="130" t="e">
        <f aca="false">(#REF!+#REF!+K252)*'O_MN, PE_UTA_UGM 2023'!H226</f>
        <v>#REF!</v>
      </c>
      <c r="AA252" s="131" t="e">
        <f aca="false">(#REF!+#REF!+L252)*'O_MN, PE_UTA_UGM 2023'!I226</f>
        <v>#REF!</v>
      </c>
      <c r="AB252" s="132" t="n">
        <f aca="false">IF(ISERROR(+ROUND(#REF!*N252/#REF!,3)),0,+ROUND(#REF!*N252/#REF!,3))</f>
        <v>0</v>
      </c>
      <c r="AC252" s="132" t="n">
        <f aca="false">IF(ISERROR(+ROUND(#REF!*O252/#REF!,3)),0,+ROUND(#REF!*O252/#REF!,3))</f>
        <v>0</v>
      </c>
      <c r="AD252" s="133" t="n">
        <f aca="false">IF(AND(AB252=0,AC252=0),0,#REF!*(#REF!-(#REF!*AB252/N252))+#REF!*(#REF!-(#REF!*AC252/O252)))</f>
        <v>0</v>
      </c>
      <c r="AE252" s="3"/>
      <c r="AF252" s="3"/>
      <c r="AG252" s="3"/>
      <c r="AH252" s="3"/>
      <c r="AI252" s="3"/>
    </row>
    <row r="253" customFormat="false" ht="15" hidden="false" customHeight="false" outlineLevel="0" collapsed="false">
      <c r="A253" s="3"/>
      <c r="B253" s="116"/>
      <c r="C253" s="134"/>
      <c r="D253" s="135"/>
      <c r="E253" s="119" t="n">
        <f aca="false">'O_MN, PE_UTA_UGM 2023'!B226</f>
        <v>200</v>
      </c>
      <c r="F253" s="120" t="str">
        <f aca="false">'O_MN, PE_UTA_UGM 2023'!C226</f>
        <v>PAULOWNIA</v>
      </c>
      <c r="G253" s="121"/>
      <c r="H253" s="122"/>
      <c r="I253" s="122"/>
      <c r="J253" s="123"/>
      <c r="K253" s="124"/>
      <c r="L253" s="124"/>
      <c r="M253" s="112" t="e">
        <f aca="false">+IF(OR((#REF!+#REF!)&gt;0,(#REF!+#REF!)&gt;0,(K253+L253)&gt;0),"SI","NO")</f>
        <v>#REF!</v>
      </c>
      <c r="N253" s="136" t="n">
        <f aca="false">VLOOKUP(E254,'O_MN, PE_UTA_UGM 2023'!$B$1:$I$300,7,FALSE())</f>
        <v>0</v>
      </c>
      <c r="O253" s="136" t="n">
        <f aca="false">VLOOKUP(E254,'O_MN, PE_UTA_UGM 2023'!$B$1:$I$300,8,FALSE())</f>
        <v>5200</v>
      </c>
      <c r="P253" s="45"/>
      <c r="Q253" s="126" t="n">
        <f aca="false">VLOOKUP(E254,'O_MN, PE_UTA_UGM 2023'!$B$1:$I$300,5,FALSE())</f>
        <v>360.61</v>
      </c>
      <c r="R253" s="126" t="n">
        <f aca="false">VLOOKUP(E254,'O_MN, PE_UTA_UGM 2023'!$B$1:$I$300,6,FALSE())</f>
        <v>1352.28</v>
      </c>
      <c r="S253" s="45"/>
      <c r="T253" s="47"/>
      <c r="U253" s="127" t="n">
        <f aca="false">(H253*N253)+(I253*O253)+((K253*N253)+(L253*O253)*1.25)</f>
        <v>0</v>
      </c>
      <c r="V253" s="128"/>
      <c r="W253" s="128"/>
      <c r="X253" s="127" t="n">
        <f aca="false">(H253*Q253)+(I253*R253)+((K253*Q253)+(L253*R253)*1.25)</f>
        <v>0</v>
      </c>
      <c r="Y253" s="129"/>
      <c r="Z253" s="130" t="e">
        <f aca="false">(#REF!+#REF!+K253)*'O_MN, PE_UTA_UGM 2023'!H227</f>
        <v>#REF!</v>
      </c>
      <c r="AA253" s="131" t="e">
        <f aca="false">(#REF!+#REF!+L253)*'O_MN, PE_UTA_UGM 2023'!I227</f>
        <v>#REF!</v>
      </c>
      <c r="AB253" s="132" t="n">
        <f aca="false">IF(ISERROR(+ROUND(#REF!*N253/#REF!,3)),0,+ROUND(#REF!*N253/#REF!,3))</f>
        <v>0</v>
      </c>
      <c r="AC253" s="132" t="n">
        <f aca="false">IF(ISERROR(+ROUND(#REF!*O253/#REF!,3)),0,+ROUND(#REF!*O253/#REF!,3))</f>
        <v>0</v>
      </c>
      <c r="AD253" s="133" t="n">
        <f aca="false">IF(AND(AB253=0,AC253=0),0,#REF!*(#REF!-(#REF!*AB253/N253))+#REF!*(#REF!-(#REF!*AC253/O253)))</f>
        <v>0</v>
      </c>
      <c r="AE253" s="3"/>
      <c r="AF253" s="3"/>
      <c r="AG253" s="3"/>
      <c r="AH253" s="3"/>
      <c r="AI253" s="3"/>
    </row>
    <row r="254" customFormat="false" ht="15" hidden="false" customHeight="false" outlineLevel="0" collapsed="false">
      <c r="A254" s="3"/>
      <c r="B254" s="116"/>
      <c r="C254" s="134"/>
      <c r="D254" s="135"/>
      <c r="E254" s="119" t="n">
        <f aca="false">'O_MN, PE_UTA_UGM 2023'!B227</f>
        <v>188</v>
      </c>
      <c r="F254" s="120" t="str">
        <f aca="false">'O_MN, PE_UTA_UGM 2023'!C227</f>
        <v>PEPINILLOS</v>
      </c>
      <c r="G254" s="121"/>
      <c r="H254" s="122"/>
      <c r="I254" s="122"/>
      <c r="J254" s="123"/>
      <c r="K254" s="124"/>
      <c r="L254" s="124"/>
      <c r="M254" s="112" t="e">
        <f aca="false">+IF(OR((#REF!+#REF!)&gt;0,(#REF!+#REF!)&gt;0,(K254+L254)&gt;0),"SI","NO")</f>
        <v>#REF!</v>
      </c>
      <c r="N254" s="136" t="n">
        <f aca="false">VLOOKUP(E255,'O_MN, PE_UTA_UGM 2023'!$B$1:$I$300,7,FALSE())</f>
        <v>0</v>
      </c>
      <c r="O254" s="136" t="n">
        <f aca="false">VLOOKUP(E255,'O_MN, PE_UTA_UGM 2023'!$B$1:$I$300,8,FALSE())</f>
        <v>7000</v>
      </c>
      <c r="P254" s="45"/>
      <c r="Q254" s="126" t="n">
        <f aca="false">VLOOKUP(E255,'O_MN, PE_UTA_UGM 2023'!$B$1:$I$300,5,FALSE())</f>
        <v>360.61</v>
      </c>
      <c r="R254" s="126" t="n">
        <f aca="false">VLOOKUP(E255,'O_MN, PE_UTA_UGM 2023'!$B$1:$I$300,6,FALSE())</f>
        <v>1352.28</v>
      </c>
      <c r="S254" s="45"/>
      <c r="T254" s="47"/>
      <c r="U254" s="127" t="n">
        <f aca="false">(H254*N254)+(I254*O254)+((K254*N254)+(L254*O254)*1.25)</f>
        <v>0</v>
      </c>
      <c r="V254" s="128"/>
      <c r="W254" s="128"/>
      <c r="X254" s="127" t="n">
        <f aca="false">(H254*Q254)+(I254*R254)+((K254*Q254)+(L254*R254)*1.25)</f>
        <v>0</v>
      </c>
      <c r="Y254" s="129"/>
      <c r="Z254" s="130" t="e">
        <f aca="false">(#REF!+#REF!+K254)*'O_MN, PE_UTA_UGM 2023'!H228</f>
        <v>#REF!</v>
      </c>
      <c r="AA254" s="131" t="e">
        <f aca="false">(#REF!+#REF!+L254)*'O_MN, PE_UTA_UGM 2023'!I228</f>
        <v>#REF!</v>
      </c>
      <c r="AB254" s="132" t="n">
        <f aca="false">IF(ISERROR(+ROUND(#REF!*N254/#REF!,3)),0,+ROUND(#REF!*N254/#REF!,3))</f>
        <v>0</v>
      </c>
      <c r="AC254" s="132" t="n">
        <f aca="false">IF(ISERROR(+ROUND(#REF!*O254/#REF!,3)),0,+ROUND(#REF!*O254/#REF!,3))</f>
        <v>0</v>
      </c>
      <c r="AD254" s="133" t="n">
        <f aca="false">IF(AND(AB254=0,AC254=0),0,#REF!*(#REF!-(#REF!*AB254/N254))+#REF!*(#REF!-(#REF!*AC254/O254)))</f>
        <v>0</v>
      </c>
      <c r="AE254" s="3"/>
      <c r="AF254" s="3"/>
      <c r="AG254" s="3"/>
      <c r="AH254" s="3"/>
      <c r="AI254" s="3"/>
    </row>
    <row r="255" customFormat="false" ht="15" hidden="false" customHeight="false" outlineLevel="0" collapsed="false">
      <c r="A255" s="3"/>
      <c r="B255" s="116"/>
      <c r="C255" s="134"/>
      <c r="D255" s="135"/>
      <c r="E255" s="119" t="n">
        <f aca="false">'O_MN, PE_UTA_UGM 2023'!B228</f>
        <v>165</v>
      </c>
      <c r="F255" s="120" t="str">
        <f aca="false">'O_MN, PE_UTA_UGM 2023'!C228</f>
        <v>PEPINO</v>
      </c>
      <c r="G255" s="121"/>
      <c r="H255" s="122"/>
      <c r="I255" s="122"/>
      <c r="J255" s="123"/>
      <c r="K255" s="124"/>
      <c r="L255" s="124"/>
      <c r="M255" s="112" t="e">
        <f aca="false">+IF(OR((#REF!+#REF!)&gt;0,(#REF!+#REF!)&gt;0,(K255+L255)&gt;0),"SI","NO")</f>
        <v>#REF!</v>
      </c>
      <c r="N255" s="136" t="n">
        <f aca="false">VLOOKUP(E256,'O_MN, PE_UTA_UGM 2023'!$B$1:$I$300,7,FALSE())</f>
        <v>1939.72</v>
      </c>
      <c r="O255" s="136" t="n">
        <f aca="false">VLOOKUP(E256,'O_MN, PE_UTA_UGM 2023'!$B$1:$I$300,8,FALSE())</f>
        <v>8500</v>
      </c>
      <c r="P255" s="45"/>
      <c r="Q255" s="126" t="n">
        <f aca="false">VLOOKUP(E256,'O_MN, PE_UTA_UGM 2023'!$B$1:$I$300,5,FALSE())</f>
        <v>480.81</v>
      </c>
      <c r="R255" s="126" t="n">
        <f aca="false">VLOOKUP(E256,'O_MN, PE_UTA_UGM 2023'!$B$1:$I$300,6,FALSE())</f>
        <v>1442.43</v>
      </c>
      <c r="S255" s="45"/>
      <c r="T255" s="47"/>
      <c r="U255" s="127" t="n">
        <f aca="false">(H255*N255)+(I255*O255)+((K255*N255)+(L255*O255)*1.25)</f>
        <v>0</v>
      </c>
      <c r="V255" s="128"/>
      <c r="W255" s="128"/>
      <c r="X255" s="127" t="n">
        <f aca="false">(H255*Q255)+(I255*R255)+((K255*Q255)+(L255*R255)*1.25)</f>
        <v>0</v>
      </c>
      <c r="Y255" s="129"/>
      <c r="Z255" s="130" t="e">
        <f aca="false">(#REF!+#REF!+K255)*'O_MN, PE_UTA_UGM 2023'!H229</f>
        <v>#REF!</v>
      </c>
      <c r="AA255" s="131" t="e">
        <f aca="false">(#REF!+#REF!+L255)*'O_MN, PE_UTA_UGM 2023'!I229</f>
        <v>#REF!</v>
      </c>
      <c r="AB255" s="132" t="n">
        <f aca="false">IF(ISERROR(+ROUND(#REF!*N255/#REF!,3)),0,+ROUND(#REF!*N255/#REF!,3))</f>
        <v>0</v>
      </c>
      <c r="AC255" s="132" t="n">
        <f aca="false">IF(ISERROR(+ROUND(#REF!*O255/#REF!,3)),0,+ROUND(#REF!*O255/#REF!,3))</f>
        <v>0</v>
      </c>
      <c r="AD255" s="133" t="n">
        <f aca="false">IF(AND(AB255=0,AC255=0),0,#REF!*(#REF!-(#REF!*AB255/N255))+#REF!*(#REF!-(#REF!*AC255/O255)))</f>
        <v>0</v>
      </c>
      <c r="AE255" s="3"/>
      <c r="AF255" s="3"/>
      <c r="AG255" s="3"/>
      <c r="AH255" s="3"/>
      <c r="AI255" s="3"/>
    </row>
    <row r="256" customFormat="false" ht="15" hidden="false" customHeight="false" outlineLevel="0" collapsed="false">
      <c r="A256" s="3"/>
      <c r="B256" s="116"/>
      <c r="C256" s="134"/>
      <c r="D256" s="135"/>
      <c r="E256" s="119" t="n">
        <f aca="false">'O_MN, PE_UTA_UGM 2023'!B229</f>
        <v>108</v>
      </c>
      <c r="F256" s="120" t="str">
        <f aca="false">'O_MN, PE_UTA_UGM 2023'!C229</f>
        <v>PERALES</v>
      </c>
      <c r="G256" s="121"/>
      <c r="H256" s="122"/>
      <c r="I256" s="122"/>
      <c r="J256" s="123"/>
      <c r="K256" s="124"/>
      <c r="L256" s="124"/>
      <c r="M256" s="112" t="e">
        <f aca="false">+IF(OR((#REF!+#REF!)&gt;0,(#REF!+#REF!)&gt;0,(K256+L256)&gt;0),"SI","NO")</f>
        <v>#REF!</v>
      </c>
      <c r="N256" s="136" t="n">
        <f aca="false">VLOOKUP(E257,'O_MN, PE_UTA_UGM 2023'!$B$1:$I$300,7,FALSE())</f>
        <v>1000</v>
      </c>
      <c r="O256" s="136" t="n">
        <f aca="false">VLOOKUP(E257,'O_MN, PE_UTA_UGM 2023'!$B$1:$I$300,8,FALSE())</f>
        <v>3800</v>
      </c>
      <c r="P256" s="45"/>
      <c r="Q256" s="126" t="n">
        <f aca="false">VLOOKUP(E257,'O_MN, PE_UTA_UGM 2023'!$B$1:$I$300,5,FALSE())</f>
        <v>114.19</v>
      </c>
      <c r="R256" s="126" t="n">
        <f aca="false">VLOOKUP(E257,'O_MN, PE_UTA_UGM 2023'!$B$1:$I$300,6,FALSE())</f>
        <v>240.4</v>
      </c>
      <c r="S256" s="45"/>
      <c r="T256" s="47"/>
      <c r="U256" s="127" t="n">
        <f aca="false">(H256*N256)+(I256*O256)+((K256*N256)+(L256*O256)*1.25)</f>
        <v>0</v>
      </c>
      <c r="V256" s="128"/>
      <c r="W256" s="128"/>
      <c r="X256" s="127" t="n">
        <f aca="false">(H256*Q256)+(I256*R256)+((K256*Q256)+(L256*R256)*1.25)</f>
        <v>0</v>
      </c>
      <c r="Y256" s="129"/>
      <c r="Z256" s="130" t="e">
        <f aca="false">(#REF!+#REF!+K256)*'O_MN, PE_UTA_UGM 2023'!H230</f>
        <v>#REF!</v>
      </c>
      <c r="AA256" s="131" t="e">
        <f aca="false">(#REF!+#REF!+L256)*'O_MN, PE_UTA_UGM 2023'!I230</f>
        <v>#REF!</v>
      </c>
      <c r="AB256" s="132" t="n">
        <f aca="false">IF(ISERROR(+ROUND(#REF!*N256/#REF!,3)),0,+ROUND(#REF!*N256/#REF!,3))</f>
        <v>0</v>
      </c>
      <c r="AC256" s="132" t="n">
        <f aca="false">IF(ISERROR(+ROUND(#REF!*O256/#REF!,3)),0,+ROUND(#REF!*O256/#REF!,3))</f>
        <v>0</v>
      </c>
      <c r="AD256" s="133" t="n">
        <f aca="false">IF(AND(AB256=0,AC256=0),0,#REF!*(#REF!-(#REF!*AB256/N256))+#REF!*(#REF!-(#REF!*AC256/O256)))</f>
        <v>0</v>
      </c>
      <c r="AE256" s="3"/>
      <c r="AF256" s="3"/>
      <c r="AG256" s="3"/>
      <c r="AH256" s="3"/>
      <c r="AI256" s="3"/>
    </row>
    <row r="257" customFormat="false" ht="15" hidden="false" customHeight="false" outlineLevel="0" collapsed="false">
      <c r="A257" s="3"/>
      <c r="B257" s="116"/>
      <c r="C257" s="134"/>
      <c r="D257" s="135"/>
      <c r="E257" s="119" t="n">
        <f aca="false">'O_MN, PE_UTA_UGM 2023'!B230</f>
        <v>261</v>
      </c>
      <c r="F257" s="120" t="str">
        <f aca="false">'O_MN, PE_UTA_UGM 2023'!C230</f>
        <v>PEREJIL</v>
      </c>
      <c r="G257" s="121"/>
      <c r="H257" s="122"/>
      <c r="I257" s="122"/>
      <c r="J257" s="123"/>
      <c r="K257" s="124"/>
      <c r="L257" s="124"/>
      <c r="M257" s="112" t="e">
        <f aca="false">+IF(OR((#REF!+#REF!)&gt;0,(#REF!+#REF!)&gt;0,(K257+L257)&gt;0),"SI","NO")</f>
        <v>#REF!</v>
      </c>
      <c r="N257" s="136" t="n">
        <f aca="false">VLOOKUP(E258,'O_MN, PE_UTA_UGM 2023'!$B$1:$I$300,7,FALSE())</f>
        <v>1000</v>
      </c>
      <c r="O257" s="136" t="n">
        <f aca="false">VLOOKUP(E258,'O_MN, PE_UTA_UGM 2023'!$B$1:$I$300,8,FALSE())</f>
        <v>3800</v>
      </c>
      <c r="P257" s="45"/>
      <c r="Q257" s="126" t="n">
        <f aca="false">VLOOKUP(E258,'O_MN, PE_UTA_UGM 2023'!$B$1:$I$300,5,FALSE())</f>
        <v>114.19</v>
      </c>
      <c r="R257" s="126" t="n">
        <f aca="false">VLOOKUP(E258,'O_MN, PE_UTA_UGM 2023'!$B$1:$I$300,6,FALSE())</f>
        <v>240.4</v>
      </c>
      <c r="S257" s="45"/>
      <c r="T257" s="47"/>
      <c r="U257" s="127" t="n">
        <f aca="false">(H257*N257)+(I257*O257)+((K257*N257)+(L257*O257)*1.25)</f>
        <v>0</v>
      </c>
      <c r="V257" s="128"/>
      <c r="W257" s="128"/>
      <c r="X257" s="127" t="n">
        <f aca="false">(H257*Q257)+(I257*R257)+((K257*Q257)+(L257*R257)*1.25)</f>
        <v>0</v>
      </c>
      <c r="Y257" s="129"/>
      <c r="Z257" s="130" t="e">
        <f aca="false">(#REF!+#REF!+K257)*'O_MN, PE_UTA_UGM 2023'!H231</f>
        <v>#REF!</v>
      </c>
      <c r="AA257" s="131" t="e">
        <f aca="false">(#REF!+#REF!+L257)*'O_MN, PE_UTA_UGM 2023'!I231</f>
        <v>#REF!</v>
      </c>
      <c r="AB257" s="132" t="n">
        <f aca="false">IF(ISERROR(+ROUND(#REF!*N257/#REF!,3)),0,+ROUND(#REF!*N257/#REF!,3))</f>
        <v>0</v>
      </c>
      <c r="AC257" s="132" t="n">
        <f aca="false">IF(ISERROR(+ROUND(#REF!*O257/#REF!,3)),0,+ROUND(#REF!*O257/#REF!,3))</f>
        <v>0</v>
      </c>
      <c r="AD257" s="133" t="n">
        <f aca="false">IF(AND(AB257=0,AC257=0),0,#REF!*(#REF!-(#REF!*AB257/N257))+#REF!*(#REF!-(#REF!*AC257/O257)))</f>
        <v>0</v>
      </c>
      <c r="AE257" s="3"/>
      <c r="AF257" s="3"/>
      <c r="AG257" s="3"/>
      <c r="AH257" s="3"/>
      <c r="AI257" s="3"/>
    </row>
    <row r="258" customFormat="false" ht="15" hidden="false" customHeight="false" outlineLevel="0" collapsed="false">
      <c r="A258" s="3"/>
      <c r="B258" s="116"/>
      <c r="C258" s="134"/>
      <c r="D258" s="135"/>
      <c r="E258" s="119" t="n">
        <f aca="false">'O_MN, PE_UTA_UGM 2023'!B231</f>
        <v>269</v>
      </c>
      <c r="F258" s="120" t="str">
        <f aca="false">'O_MN, PE_UTA_UGM 2023'!C231</f>
        <v>PERIFOLLO</v>
      </c>
      <c r="G258" s="121"/>
      <c r="H258" s="122"/>
      <c r="I258" s="122"/>
      <c r="J258" s="123"/>
      <c r="K258" s="124"/>
      <c r="L258" s="124"/>
      <c r="M258" s="112" t="e">
        <f aca="false">+IF(OR((#REF!+#REF!)&gt;0,(#REF!+#REF!)&gt;0,(K258+L258)&gt;0),"SI","NO")</f>
        <v>#REF!</v>
      </c>
      <c r="N258" s="136" t="n">
        <f aca="false">VLOOKUP(E259,'O_MN, PE_UTA_UGM 2023'!$B$1:$I$300,7,FALSE())</f>
        <v>0</v>
      </c>
      <c r="O258" s="136" t="n">
        <f aca="false">VLOOKUP(E259,'O_MN, PE_UTA_UGM 2023'!$B$1:$I$300,8,FALSE())</f>
        <v>0</v>
      </c>
      <c r="P258" s="45"/>
      <c r="Q258" s="126" t="n">
        <f aca="false">VLOOKUP(E259,'O_MN, PE_UTA_UGM 2023'!$B$1:$I$300,5,FALSE())</f>
        <v>1E-005</v>
      </c>
      <c r="R258" s="126" t="n">
        <f aca="false">VLOOKUP(E259,'O_MN, PE_UTA_UGM 2023'!$B$1:$I$300,6,FALSE())</f>
        <v>1E-005</v>
      </c>
      <c r="S258" s="45"/>
      <c r="T258" s="47"/>
      <c r="U258" s="127" t="n">
        <f aca="false">(H258*N258)+(I258*O258)+((K258*N258)+(L258*O258)*1.25)</f>
        <v>0</v>
      </c>
      <c r="V258" s="128"/>
      <c r="W258" s="128"/>
      <c r="X258" s="127" t="n">
        <f aca="false">(H258*Q258)+(I258*R258)+((K258*Q258)+(L258*R258)*1.25)</f>
        <v>0</v>
      </c>
      <c r="Y258" s="129"/>
      <c r="Z258" s="130" t="e">
        <f aca="false">(#REF!+#REF!+K258)*'O_MN, PE_UTA_UGM 2023'!H232</f>
        <v>#REF!</v>
      </c>
      <c r="AA258" s="131" t="e">
        <f aca="false">(#REF!+#REF!+L258)*'O_MN, PE_UTA_UGM 2023'!I232</f>
        <v>#REF!</v>
      </c>
      <c r="AB258" s="132" t="n">
        <f aca="false">IF(ISERROR(+ROUND(#REF!*N258/#REF!,3)),0,+ROUND(#REF!*N258/#REF!,3))</f>
        <v>0</v>
      </c>
      <c r="AC258" s="132" t="n">
        <f aca="false">IF(ISERROR(+ROUND(#REF!*O258/#REF!,3)),0,+ROUND(#REF!*O258/#REF!,3))</f>
        <v>0</v>
      </c>
      <c r="AD258" s="133" t="n">
        <f aca="false">IF(AND(AB258=0,AC258=0),0,#REF!*(#REF!-(#REF!*AB258/N258))+#REF!*(#REF!-(#REF!*AC258/O258)))</f>
        <v>0</v>
      </c>
      <c r="AE258" s="3"/>
      <c r="AF258" s="3"/>
      <c r="AG258" s="3"/>
      <c r="AH258" s="3"/>
      <c r="AI258" s="3"/>
    </row>
    <row r="259" customFormat="false" ht="15" hidden="false" customHeight="false" outlineLevel="0" collapsed="false">
      <c r="A259" s="3"/>
      <c r="B259" s="116"/>
      <c r="C259" s="134"/>
      <c r="D259" s="135"/>
      <c r="E259" s="119" t="n">
        <f aca="false">'O_MN, PE_UTA_UGM 2023'!B232</f>
        <v>233</v>
      </c>
      <c r="F259" s="120" t="str">
        <f aca="false">'O_MN, PE_UTA_UGM 2023'!C232</f>
        <v>PHYTOLACCA</v>
      </c>
      <c r="G259" s="121"/>
      <c r="H259" s="122"/>
      <c r="I259" s="122"/>
      <c r="J259" s="123"/>
      <c r="K259" s="124"/>
      <c r="L259" s="124"/>
      <c r="M259" s="112" t="e">
        <f aca="false">+IF(OR((#REF!+#REF!)&gt;0,(#REF!+#REF!)&gt;0,(K259+L259)&gt;0),"SI","NO")</f>
        <v>#REF!</v>
      </c>
      <c r="N259" s="136" t="n">
        <f aca="false">VLOOKUP(E260,'O_MN, PE_UTA_UGM 2023'!$B$1:$I$300,7,FALSE())</f>
        <v>0</v>
      </c>
      <c r="O259" s="136" t="n">
        <f aca="false">VLOOKUP(E260,'O_MN, PE_UTA_UGM 2023'!$B$1:$I$300,8,FALSE())</f>
        <v>8000</v>
      </c>
      <c r="P259" s="45"/>
      <c r="Q259" s="126" t="n">
        <f aca="false">VLOOKUP(E260,'O_MN, PE_UTA_UGM 2023'!$B$1:$I$300,5,FALSE())</f>
        <v>360.61</v>
      </c>
      <c r="R259" s="126" t="n">
        <f aca="false">VLOOKUP(E260,'O_MN, PE_UTA_UGM 2023'!$B$1:$I$300,6,FALSE())</f>
        <v>1352.28</v>
      </c>
      <c r="S259" s="45"/>
      <c r="T259" s="47"/>
      <c r="U259" s="127" t="n">
        <f aca="false">(H259*N259)+(I259*O259)+((K259*N259)+(L259*O259)*1.25)</f>
        <v>0</v>
      </c>
      <c r="V259" s="128"/>
      <c r="W259" s="128"/>
      <c r="X259" s="127" t="n">
        <f aca="false">(H259*Q259)+(I259*R259)+((K259*Q259)+(L259*R259)*1.25)</f>
        <v>0</v>
      </c>
      <c r="Y259" s="129"/>
      <c r="Z259" s="130" t="e">
        <f aca="false">(#REF!+#REF!+K259)*'O_MN, PE_UTA_UGM 2023'!H233</f>
        <v>#REF!</v>
      </c>
      <c r="AA259" s="131" t="e">
        <f aca="false">(#REF!+#REF!+L259)*'O_MN, PE_UTA_UGM 2023'!I233</f>
        <v>#REF!</v>
      </c>
      <c r="AB259" s="132" t="n">
        <f aca="false">IF(ISERROR(+ROUND(#REF!*N259/#REF!,3)),0,+ROUND(#REF!*N259/#REF!,3))</f>
        <v>0</v>
      </c>
      <c r="AC259" s="132" t="n">
        <f aca="false">IF(ISERROR(+ROUND(#REF!*O259/#REF!,3)),0,+ROUND(#REF!*O259/#REF!,3))</f>
        <v>0</v>
      </c>
      <c r="AD259" s="133" t="n">
        <f aca="false">IF(AND(AB259=0,AC259=0),0,#REF!*(#REF!-(#REF!*AB259/N259))+#REF!*(#REF!-(#REF!*AC259/O259)))</f>
        <v>0</v>
      </c>
      <c r="AE259" s="3"/>
      <c r="AF259" s="3"/>
      <c r="AG259" s="3"/>
      <c r="AH259" s="3"/>
      <c r="AI259" s="3"/>
    </row>
    <row r="260" customFormat="false" ht="15" hidden="false" customHeight="false" outlineLevel="0" collapsed="false">
      <c r="A260" s="3"/>
      <c r="B260" s="116"/>
      <c r="C260" s="134"/>
      <c r="D260" s="135"/>
      <c r="E260" s="119" t="n">
        <f aca="false">'O_MN, PE_UTA_UGM 2023'!B233</f>
        <v>152</v>
      </c>
      <c r="F260" s="120" t="str">
        <f aca="false">'O_MN, PE_UTA_UGM 2023'!C233</f>
        <v>PIMIENTO</v>
      </c>
      <c r="G260" s="121"/>
      <c r="H260" s="122"/>
      <c r="I260" s="122"/>
      <c r="J260" s="123"/>
      <c r="K260" s="124"/>
      <c r="L260" s="124"/>
      <c r="M260" s="112" t="e">
        <f aca="false">+IF(OR((#REF!+#REF!)&gt;0,(#REF!+#REF!)&gt;0,(K260+L260)&gt;0),"SI","NO")</f>
        <v>#REF!</v>
      </c>
      <c r="N260" s="136" t="n">
        <f aca="false">VLOOKUP(E261,'O_MN, PE_UTA_UGM 2023'!$B$1:$I$300,7,FALSE())</f>
        <v>0</v>
      </c>
      <c r="O260" s="136" t="n">
        <f aca="false">VLOOKUP(E261,'O_MN, PE_UTA_UGM 2023'!$B$1:$I$300,8,FALSE())</f>
        <v>5200</v>
      </c>
      <c r="P260" s="45"/>
      <c r="Q260" s="126" t="n">
        <f aca="false">VLOOKUP(E261,'O_MN, PE_UTA_UGM 2023'!$B$1:$I$300,5,FALSE())</f>
        <v>360.61</v>
      </c>
      <c r="R260" s="126" t="n">
        <f aca="false">VLOOKUP(E261,'O_MN, PE_UTA_UGM 2023'!$B$1:$I$300,6,FALSE())</f>
        <v>1352.28</v>
      </c>
      <c r="S260" s="45"/>
      <c r="T260" s="47"/>
      <c r="U260" s="127" t="n">
        <f aca="false">(H260*N260)+(I260*O260)+((K260*N260)+(L260*O260)*1.25)</f>
        <v>0</v>
      </c>
      <c r="V260" s="128"/>
      <c r="W260" s="128"/>
      <c r="X260" s="127" t="n">
        <f aca="false">(H260*Q260)+(I260*R260)+((K260*Q260)+(L260*R260)*1.25)</f>
        <v>0</v>
      </c>
      <c r="Y260" s="129"/>
      <c r="Z260" s="130" t="e">
        <f aca="false">(#REF!+#REF!+K260)*'O_MN, PE_UTA_UGM 2023'!H234</f>
        <v>#REF!</v>
      </c>
      <c r="AA260" s="131" t="e">
        <f aca="false">(#REF!+#REF!+L260)*'O_MN, PE_UTA_UGM 2023'!I234</f>
        <v>#REF!</v>
      </c>
      <c r="AB260" s="132" t="n">
        <f aca="false">IF(ISERROR(+ROUND(#REF!*N260/#REF!,3)),0,+ROUND(#REF!*N260/#REF!,3))</f>
        <v>0</v>
      </c>
      <c r="AC260" s="132" t="n">
        <f aca="false">IF(ISERROR(+ROUND(#REF!*O260/#REF!,3)),0,+ROUND(#REF!*O260/#REF!,3))</f>
        <v>0</v>
      </c>
      <c r="AD260" s="133" t="n">
        <f aca="false">IF(AND(AB260=0,AC260=0),0,#REF!*(#REF!-(#REF!*AB260/N260))+#REF!*(#REF!-(#REF!*AC260/O260)))</f>
        <v>0</v>
      </c>
      <c r="AE260" s="3"/>
      <c r="AF260" s="3"/>
      <c r="AG260" s="3"/>
      <c r="AH260" s="3"/>
      <c r="AI260" s="3"/>
    </row>
    <row r="261" customFormat="false" ht="15" hidden="false" customHeight="false" outlineLevel="0" collapsed="false">
      <c r="A261" s="3"/>
      <c r="B261" s="116"/>
      <c r="C261" s="134"/>
      <c r="D261" s="135"/>
      <c r="E261" s="119" t="n">
        <f aca="false">'O_MN, PE_UTA_UGM 2023'!B234</f>
        <v>98</v>
      </c>
      <c r="F261" s="120" t="str">
        <f aca="false">'O_MN, PE_UTA_UGM 2023'!C234</f>
        <v>PIMIENTO PARA PIMENTÓN</v>
      </c>
      <c r="G261" s="121"/>
      <c r="H261" s="122"/>
      <c r="I261" s="122"/>
      <c r="J261" s="123"/>
      <c r="K261" s="124"/>
      <c r="L261" s="124"/>
      <c r="M261" s="112" t="e">
        <f aca="false">+IF(OR((#REF!+#REF!)&gt;0,(#REF!+#REF!)&gt;0,(K261+L261)&gt;0),"SI","NO")</f>
        <v>#REF!</v>
      </c>
      <c r="N261" s="136" t="n">
        <f aca="false">VLOOKUP(E262,'O_MN, PE_UTA_UGM 2023'!$B$1:$I$300,7,FALSE())</f>
        <v>0</v>
      </c>
      <c r="O261" s="136" t="n">
        <f aca="false">VLOOKUP(E262,'O_MN, PE_UTA_UGM 2023'!$B$1:$I$300,8,FALSE())</f>
        <v>0</v>
      </c>
      <c r="P261" s="45"/>
      <c r="Q261" s="126" t="n">
        <f aca="false">VLOOKUP(E262,'O_MN, PE_UTA_UGM 2023'!$B$1:$I$300,5,FALSE())</f>
        <v>1E-005</v>
      </c>
      <c r="R261" s="126" t="n">
        <f aca="false">VLOOKUP(E262,'O_MN, PE_UTA_UGM 2023'!$B$1:$I$300,6,FALSE())</f>
        <v>1E-005</v>
      </c>
      <c r="S261" s="45"/>
      <c r="T261" s="47"/>
      <c r="U261" s="127" t="n">
        <f aca="false">(H261*N261)+(I261*O261)+((K261*N261)+(L261*O261)*1.25)</f>
        <v>0</v>
      </c>
      <c r="V261" s="128"/>
      <c r="W261" s="128"/>
      <c r="X261" s="127" t="n">
        <f aca="false">(H261*Q261)+(I261*R261)+((K261*Q261)+(L261*R261)*1.25)</f>
        <v>0</v>
      </c>
      <c r="Y261" s="129"/>
      <c r="Z261" s="130" t="e">
        <f aca="false">(#REF!+#REF!+K261)*'O_MN, PE_UTA_UGM 2023'!H235</f>
        <v>#REF!</v>
      </c>
      <c r="AA261" s="131" t="e">
        <f aca="false">(#REF!+#REF!+L261)*'O_MN, PE_UTA_UGM 2023'!I235</f>
        <v>#REF!</v>
      </c>
      <c r="AB261" s="132" t="n">
        <f aca="false">IF(ISERROR(+ROUND(#REF!*N261/#REF!,3)),0,+ROUND(#REF!*N261/#REF!,3))</f>
        <v>0</v>
      </c>
      <c r="AC261" s="132" t="n">
        <f aca="false">IF(ISERROR(+ROUND(#REF!*O261/#REF!,3)),0,+ROUND(#REF!*O261/#REF!,3))</f>
        <v>0</v>
      </c>
      <c r="AD261" s="133" t="n">
        <f aca="false">IF(AND(AB261=0,AC261=0),0,#REF!*(#REF!-(#REF!*AB261/N261))+#REF!*(#REF!-(#REF!*AC261/O261)))</f>
        <v>0</v>
      </c>
      <c r="AE261" s="3"/>
      <c r="AF261" s="3"/>
      <c r="AG261" s="3"/>
      <c r="AH261" s="3"/>
      <c r="AI261" s="3"/>
    </row>
    <row r="262" customFormat="false" ht="15" hidden="false" customHeight="false" outlineLevel="0" collapsed="false">
      <c r="A262" s="3"/>
      <c r="B262" s="116"/>
      <c r="C262" s="134"/>
      <c r="D262" s="135"/>
      <c r="E262" s="119" t="n">
        <f aca="false">'O_MN, PE_UTA_UGM 2023'!B235</f>
        <v>199</v>
      </c>
      <c r="F262" s="120" t="str">
        <f aca="false">'O_MN, PE_UTA_UGM 2023'!C235</f>
        <v>PINOS</v>
      </c>
      <c r="G262" s="121"/>
      <c r="H262" s="122"/>
      <c r="I262" s="122"/>
      <c r="J262" s="123"/>
      <c r="K262" s="124"/>
      <c r="L262" s="124"/>
      <c r="M262" s="112" t="e">
        <f aca="false">+IF(OR((#REF!+#REF!)&gt;0,(#REF!+#REF!)&gt;0,(K262+L262)&gt;0),"SI","NO")</f>
        <v>#REF!</v>
      </c>
      <c r="N262" s="136" t="n">
        <f aca="false">VLOOKUP(E263,'O_MN, PE_UTA_UGM 2023'!$B$1:$I$300,7,FALSE())</f>
        <v>0</v>
      </c>
      <c r="O262" s="136" t="n">
        <f aca="false">VLOOKUP(E263,'O_MN, PE_UTA_UGM 2023'!$B$1:$I$300,8,FALSE())</f>
        <v>0</v>
      </c>
      <c r="P262" s="45"/>
      <c r="Q262" s="126" t="n">
        <f aca="false">VLOOKUP(E263,'O_MN, PE_UTA_UGM 2023'!$B$1:$I$300,5,FALSE())</f>
        <v>1E-005</v>
      </c>
      <c r="R262" s="126" t="n">
        <f aca="false">VLOOKUP(E263,'O_MN, PE_UTA_UGM 2023'!$B$1:$I$300,6,FALSE())</f>
        <v>1E-005</v>
      </c>
      <c r="S262" s="45"/>
      <c r="T262" s="47"/>
      <c r="U262" s="127" t="n">
        <f aca="false">(H262*N262)+(I262*O262)+((K262*N262)+(L262*O262)*1.25)</f>
        <v>0</v>
      </c>
      <c r="V262" s="128"/>
      <c r="W262" s="128"/>
      <c r="X262" s="127" t="n">
        <f aca="false">(H262*Q262)+(I262*R262)+((K262*Q262)+(L262*R262)*1.25)</f>
        <v>0</v>
      </c>
      <c r="Y262" s="129"/>
      <c r="Z262" s="130" t="e">
        <f aca="false">(#REF!+#REF!+K262)*'O_MN, PE_UTA_UGM 2023'!H236</f>
        <v>#REF!</v>
      </c>
      <c r="AA262" s="131" t="e">
        <f aca="false">(#REF!+#REF!+L262)*'O_MN, PE_UTA_UGM 2023'!I236</f>
        <v>#REF!</v>
      </c>
      <c r="AB262" s="132" t="n">
        <f aca="false">IF(ISERROR(+ROUND(#REF!*N262/#REF!,3)),0,+ROUND(#REF!*N262/#REF!,3))</f>
        <v>0</v>
      </c>
      <c r="AC262" s="132" t="n">
        <f aca="false">IF(ISERROR(+ROUND(#REF!*O262/#REF!,3)),0,+ROUND(#REF!*O262/#REF!,3))</f>
        <v>0</v>
      </c>
      <c r="AD262" s="133" t="n">
        <f aca="false">IF(AND(AB262=0,AC262=0),0,#REF!*(#REF!-(#REF!*AB262/N262))+#REF!*(#REF!-(#REF!*AC262/O262)))</f>
        <v>0</v>
      </c>
      <c r="AE262" s="3"/>
      <c r="AF262" s="3"/>
      <c r="AG262" s="3"/>
      <c r="AH262" s="3"/>
      <c r="AI262" s="3"/>
    </row>
    <row r="263" customFormat="false" ht="15" hidden="false" customHeight="false" outlineLevel="0" collapsed="false">
      <c r="A263" s="3"/>
      <c r="B263" s="116"/>
      <c r="C263" s="134"/>
      <c r="D263" s="135"/>
      <c r="E263" s="119" t="n">
        <f aca="false">'O_MN, PE_UTA_UGM 2023'!B236</f>
        <v>301</v>
      </c>
      <c r="F263" s="120" t="str">
        <f aca="false">'O_MN, PE_UTA_UGM 2023'!C236</f>
        <v>PINSAPO</v>
      </c>
      <c r="G263" s="121"/>
      <c r="H263" s="122"/>
      <c r="I263" s="122"/>
      <c r="J263" s="123"/>
      <c r="K263" s="124"/>
      <c r="L263" s="124"/>
      <c r="M263" s="112" t="e">
        <f aca="false">+IF(OR((#REF!+#REF!)&gt;0,(#REF!+#REF!)&gt;0,(K263+L263)&gt;0),"SI","NO")</f>
        <v>#REF!</v>
      </c>
      <c r="N263" s="136" t="n">
        <f aca="false">VLOOKUP(E264,'O_MN, PE_UTA_UGM 2023'!$B$1:$I$300,7,FALSE())</f>
        <v>500</v>
      </c>
      <c r="O263" s="136" t="n">
        <f aca="false">VLOOKUP(E264,'O_MN, PE_UTA_UGM 2023'!$B$1:$I$300,8,FALSE())</f>
        <v>1500</v>
      </c>
      <c r="P263" s="45"/>
      <c r="Q263" s="126" t="n">
        <f aca="false">VLOOKUP(E264,'O_MN, PE_UTA_UGM 2023'!$B$1:$I$300,5,FALSE())</f>
        <v>450.76</v>
      </c>
      <c r="R263" s="126" t="n">
        <f aca="false">VLOOKUP(E264,'O_MN, PE_UTA_UGM 2023'!$B$1:$I$300,6,FALSE())</f>
        <v>721.21</v>
      </c>
      <c r="S263" s="45"/>
      <c r="T263" s="47"/>
      <c r="U263" s="127" t="n">
        <f aca="false">(H263*N263)+(I263*O263)+((K263*N263)+(L263*O263)*1.25)</f>
        <v>0</v>
      </c>
      <c r="V263" s="128"/>
      <c r="W263" s="128"/>
      <c r="X263" s="127" t="n">
        <f aca="false">(H263*Q263)+(I263*R263)+((K263*Q263)+(L263*R263)*1.25)</f>
        <v>0</v>
      </c>
      <c r="Y263" s="129"/>
      <c r="Z263" s="130" t="e">
        <f aca="false">(#REF!+#REF!+K263)*'O_MN, PE_UTA_UGM 2023'!H237</f>
        <v>#REF!</v>
      </c>
      <c r="AA263" s="131" t="e">
        <f aca="false">(#REF!+#REF!+L263)*'O_MN, PE_UTA_UGM 2023'!I237</f>
        <v>#REF!</v>
      </c>
      <c r="AB263" s="132" t="n">
        <f aca="false">IF(ISERROR(+ROUND(#REF!*N263/#REF!,3)),0,+ROUND(#REF!*N263/#REF!,3))</f>
        <v>0</v>
      </c>
      <c r="AC263" s="132" t="n">
        <f aca="false">IF(ISERROR(+ROUND(#REF!*O263/#REF!,3)),0,+ROUND(#REF!*O263/#REF!,3))</f>
        <v>0</v>
      </c>
      <c r="AD263" s="133" t="n">
        <f aca="false">IF(AND(AB263=0,AC263=0),0,#REF!*(#REF!-(#REF!*AB263/N263))+#REF!*(#REF!-(#REF!*AC263/O263)))</f>
        <v>0</v>
      </c>
      <c r="AE263" s="3"/>
      <c r="AF263" s="3"/>
      <c r="AG263" s="3"/>
      <c r="AH263" s="3"/>
      <c r="AI263" s="3"/>
    </row>
    <row r="264" customFormat="false" ht="15" hidden="false" customHeight="false" outlineLevel="0" collapsed="false">
      <c r="A264" s="3"/>
      <c r="B264" s="139"/>
      <c r="C264" s="140"/>
      <c r="D264" s="141"/>
      <c r="E264" s="119" t="n">
        <f aca="false">'O_MN, PE_UTA_UGM 2023'!B237</f>
        <v>124</v>
      </c>
      <c r="F264" s="120" t="str">
        <f aca="false">'O_MN, PE_UTA_UGM 2023'!C237</f>
        <v>PISTACHO</v>
      </c>
      <c r="G264" s="121"/>
      <c r="H264" s="122"/>
      <c r="I264" s="122"/>
      <c r="J264" s="123"/>
      <c r="K264" s="124"/>
      <c r="L264" s="124"/>
      <c r="M264" s="112" t="e">
        <f aca="false">+IF(OR((#REF!+#REF!)&gt;0,(#REF!+#REF!)&gt;0,(K264+L264)&gt;0),"SI","NO")</f>
        <v>#REF!</v>
      </c>
      <c r="N264" s="136" t="n">
        <f aca="false">VLOOKUP(E265,'O_MN, PE_UTA_UGM 2023'!$B$1:$I$300,7,FALSE())</f>
        <v>1939.72</v>
      </c>
      <c r="O264" s="136" t="n">
        <f aca="false">VLOOKUP(E265,'O_MN, PE_UTA_UGM 2023'!$B$1:$I$300,8,FALSE())</f>
        <v>8500</v>
      </c>
      <c r="P264" s="45"/>
      <c r="Q264" s="126" t="n">
        <f aca="false">VLOOKUP(E265,'O_MN, PE_UTA_UGM 2023'!$B$1:$I$300,5,FALSE())</f>
        <v>480.81</v>
      </c>
      <c r="R264" s="126" t="n">
        <f aca="false">VLOOKUP(E265,'O_MN, PE_UTA_UGM 2023'!$B$1:$I$300,6,FALSE())</f>
        <v>1442.43</v>
      </c>
      <c r="S264" s="45"/>
      <c r="T264" s="47"/>
      <c r="U264" s="127" t="n">
        <f aca="false">(H264*N264)+(I264*O264)+((K264*N264)+(L264*O264)*1.25)</f>
        <v>0</v>
      </c>
      <c r="V264" s="128"/>
      <c r="W264" s="128"/>
      <c r="X264" s="127" t="n">
        <f aca="false">(H264*Q264)+(I264*R264)+((K264*Q264)+(L264*R264)*1.25)</f>
        <v>0</v>
      </c>
      <c r="Y264" s="129"/>
      <c r="Z264" s="130" t="e">
        <f aca="false">(#REF!+#REF!+K264)*'O_MN, PE_UTA_UGM 2023'!H238</f>
        <v>#REF!</v>
      </c>
      <c r="AA264" s="131" t="e">
        <f aca="false">(#REF!+#REF!+L264)*'O_MN, PE_UTA_UGM 2023'!I238</f>
        <v>#REF!</v>
      </c>
      <c r="AB264" s="132" t="n">
        <f aca="false">IF(ISERROR(+ROUND(#REF!*N264/#REF!,3)),0,+ROUND(#REF!*N264/#REF!,3))</f>
        <v>0</v>
      </c>
      <c r="AC264" s="132" t="n">
        <f aca="false">IF(ISERROR(+ROUND(#REF!*O264/#REF!,3)),0,+ROUND(#REF!*O264/#REF!,3))</f>
        <v>0</v>
      </c>
      <c r="AD264" s="133" t="n">
        <f aca="false">IF(AND(AB264=0,AC264=0),0,#REF!*(#REF!-(#REF!*AB264/N264))+#REF!*(#REF!-(#REF!*AC264/O264)))</f>
        <v>0</v>
      </c>
      <c r="AE264" s="3"/>
      <c r="AF264" s="3"/>
      <c r="AG264" s="3"/>
      <c r="AH264" s="3"/>
      <c r="AI264" s="3"/>
    </row>
    <row r="265" customFormat="false" ht="15" hidden="false" customHeight="false" outlineLevel="0" collapsed="false">
      <c r="A265" s="3"/>
      <c r="B265" s="139"/>
      <c r="C265" s="140"/>
      <c r="D265" s="141"/>
      <c r="E265" s="119" t="n">
        <f aca="false">'O_MN, PE_UTA_UGM 2023'!B238</f>
        <v>201</v>
      </c>
      <c r="F265" s="120" t="str">
        <f aca="false">'O_MN, PE_UTA_UGM 2023'!C238</f>
        <v>PLATERINA</v>
      </c>
      <c r="G265" s="121"/>
      <c r="H265" s="122"/>
      <c r="I265" s="122"/>
      <c r="J265" s="123"/>
      <c r="K265" s="124"/>
      <c r="L265" s="124"/>
      <c r="M265" s="112" t="e">
        <f aca="false">+IF(OR((#REF!+#REF!)&gt;0,(#REF!+#REF!)&gt;0,(K265+L265)&gt;0),"SI","NO")</f>
        <v>#REF!</v>
      </c>
      <c r="N265" s="136" t="n">
        <f aca="false">VLOOKUP(E266,'O_MN, PE_UTA_UGM 2023'!$B$1:$I$300,7,FALSE())</f>
        <v>700</v>
      </c>
      <c r="O265" s="136" t="n">
        <f aca="false">VLOOKUP(E266,'O_MN, PE_UTA_UGM 2023'!$B$1:$I$300,8,FALSE())</f>
        <v>1800</v>
      </c>
      <c r="P265" s="45"/>
      <c r="Q265" s="126" t="n">
        <f aca="false">VLOOKUP(E266,'O_MN, PE_UTA_UGM 2023'!$B$1:$I$300,5,FALSE())</f>
        <v>114.19</v>
      </c>
      <c r="R265" s="126" t="n">
        <f aca="false">VLOOKUP(E266,'O_MN, PE_UTA_UGM 2023'!$B$1:$I$300,6,FALSE())</f>
        <v>270.46</v>
      </c>
      <c r="S265" s="45"/>
      <c r="T265" s="47"/>
      <c r="U265" s="127" t="n">
        <f aca="false">(H265*N265)+(I265*O265)+((K265*N265)+(L265*O265)*1.25)</f>
        <v>0</v>
      </c>
      <c r="V265" s="128"/>
      <c r="W265" s="128"/>
      <c r="X265" s="127" t="n">
        <f aca="false">(H265*Q265)+(I265*R265)+((K265*Q265)+(L265*R265)*1.25)</f>
        <v>0</v>
      </c>
      <c r="Y265" s="129"/>
      <c r="Z265" s="130" t="e">
        <f aca="false">(#REF!+#REF!+K265)*'O_MN, PE_UTA_UGM 2023'!H239</f>
        <v>#REF!</v>
      </c>
      <c r="AA265" s="131" t="e">
        <f aca="false">(#REF!+#REF!+L265)*'O_MN, PE_UTA_UGM 2023'!I239</f>
        <v>#REF!</v>
      </c>
      <c r="AB265" s="132" t="n">
        <f aca="false">IF(ISERROR(+ROUND(#REF!*N265/#REF!,3)),0,+ROUND(#REF!*N265/#REF!,3))</f>
        <v>0</v>
      </c>
      <c r="AC265" s="132" t="n">
        <f aca="false">IF(ISERROR(+ROUND(#REF!*O265/#REF!,3)),0,+ROUND(#REF!*O265/#REF!,3))</f>
        <v>0</v>
      </c>
      <c r="AD265" s="133" t="n">
        <f aca="false">IF(AND(AB265=0,AC265=0),0,#REF!*(#REF!-(#REF!*AB265/N265))+#REF!*(#REF!-(#REF!*AC265/O265)))</f>
        <v>0</v>
      </c>
      <c r="AE265" s="3"/>
      <c r="AF265" s="3"/>
      <c r="AG265" s="3"/>
      <c r="AH265" s="3"/>
      <c r="AI265" s="3"/>
    </row>
    <row r="266" customFormat="false" ht="15" hidden="false" customHeight="false" outlineLevel="0" collapsed="false">
      <c r="A266" s="3"/>
      <c r="B266" s="139"/>
      <c r="C266" s="140"/>
      <c r="D266" s="141"/>
      <c r="E266" s="119" t="n">
        <f aca="false">'O_MN, PE_UTA_UGM 2023'!B239</f>
        <v>74</v>
      </c>
      <c r="F266" s="120" t="str">
        <f aca="false">'O_MN, PE_UTA_UGM 2023'!C239</f>
        <v>POA</v>
      </c>
      <c r="G266" s="121"/>
      <c r="H266" s="122"/>
      <c r="I266" s="122"/>
      <c r="J266" s="123"/>
      <c r="K266" s="124"/>
      <c r="L266" s="124"/>
      <c r="M266" s="112" t="e">
        <f aca="false">+IF(OR((#REF!+#REF!)&gt;0,(#REF!+#REF!)&gt;0,(K266+L266)&gt;0),"SI","NO")</f>
        <v>#REF!</v>
      </c>
      <c r="N266" s="136" t="n">
        <f aca="false">VLOOKUP(E267,'O_MN, PE_UTA_UGM 2023'!$B$1:$I$300,7,FALSE())</f>
        <v>1000</v>
      </c>
      <c r="O266" s="136" t="n">
        <f aca="false">VLOOKUP(E267,'O_MN, PE_UTA_UGM 2023'!$B$1:$I$300,8,FALSE())</f>
        <v>3800</v>
      </c>
      <c r="P266" s="45"/>
      <c r="Q266" s="126" t="n">
        <f aca="false">VLOOKUP(E267,'O_MN, PE_UTA_UGM 2023'!$B$1:$I$300,5,FALSE())</f>
        <v>114.19</v>
      </c>
      <c r="R266" s="126" t="n">
        <f aca="false">VLOOKUP(E267,'O_MN, PE_UTA_UGM 2023'!$B$1:$I$300,6,FALSE())</f>
        <v>240.4</v>
      </c>
      <c r="S266" s="45"/>
      <c r="T266" s="47"/>
      <c r="U266" s="127" t="n">
        <f aca="false">(H266*N266)+(I266*O266)+((K266*N266)+(L266*O266)*1.25)</f>
        <v>0</v>
      </c>
      <c r="V266" s="128"/>
      <c r="W266" s="128"/>
      <c r="X266" s="127" t="n">
        <f aca="false">(H266*Q266)+(I266*R266)+((K266*Q266)+(L266*R266)*1.25)</f>
        <v>0</v>
      </c>
      <c r="Y266" s="129"/>
      <c r="Z266" s="130" t="e">
        <f aca="false">(#REF!+#REF!+K266)*'O_MN, PE_UTA_UGM 2023'!H240</f>
        <v>#REF!</v>
      </c>
      <c r="AA266" s="131" t="e">
        <f aca="false">(#REF!+#REF!+L266)*'O_MN, PE_UTA_UGM 2023'!I240</f>
        <v>#REF!</v>
      </c>
      <c r="AB266" s="132" t="n">
        <f aca="false">IF(ISERROR(+ROUND(#REF!*N266/#REF!,3)),0,+ROUND(#REF!*N266/#REF!,3))</f>
        <v>0</v>
      </c>
      <c r="AC266" s="132" t="n">
        <f aca="false">IF(ISERROR(+ROUND(#REF!*O266/#REF!,3)),0,+ROUND(#REF!*O266/#REF!,3))</f>
        <v>0</v>
      </c>
      <c r="AD266" s="133" t="n">
        <f aca="false">IF(AND(AB266=0,AC266=0),0,#REF!*(#REF!-(#REF!*AB266/N266))+#REF!*(#REF!-(#REF!*AC266/O266)))</f>
        <v>0</v>
      </c>
      <c r="AE266" s="3"/>
      <c r="AF266" s="3"/>
      <c r="AG266" s="3"/>
      <c r="AH266" s="3"/>
      <c r="AI266" s="3"/>
    </row>
    <row r="267" customFormat="false" ht="15" hidden="false" customHeight="false" outlineLevel="0" collapsed="false">
      <c r="A267" s="3"/>
      <c r="B267" s="139"/>
      <c r="C267" s="140"/>
      <c r="D267" s="141"/>
      <c r="E267" s="119" t="n">
        <f aca="false">'O_MN, PE_UTA_UGM 2023'!B240</f>
        <v>320</v>
      </c>
      <c r="F267" s="120" t="str">
        <f aca="false">'O_MN, PE_UTA_UGM 2023'!C240</f>
        <v>POLEO</v>
      </c>
      <c r="G267" s="121"/>
      <c r="H267" s="122"/>
      <c r="I267" s="122"/>
      <c r="J267" s="123"/>
      <c r="K267" s="124"/>
      <c r="L267" s="124"/>
      <c r="M267" s="112" t="e">
        <f aca="false">+IF(OR((#REF!+#REF!)&gt;0,(#REF!+#REF!)&gt;0,(K267+L267)&gt;0),"SI","NO")</f>
        <v>#REF!</v>
      </c>
      <c r="N267" s="136" t="n">
        <f aca="false">VLOOKUP(E268,'O_MN, PE_UTA_UGM 2023'!$B$1:$I$300,7,FALSE())</f>
        <v>1939.8</v>
      </c>
      <c r="O267" s="136" t="n">
        <f aca="false">VLOOKUP(E268,'O_MN, PE_UTA_UGM 2023'!$B$1:$I$300,8,FALSE())</f>
        <v>6000</v>
      </c>
      <c r="P267" s="45"/>
      <c r="Q267" s="126" t="n">
        <f aca="false">VLOOKUP(E268,'O_MN, PE_UTA_UGM 2023'!$B$1:$I$300,5,FALSE())</f>
        <v>480.81</v>
      </c>
      <c r="R267" s="126" t="n">
        <f aca="false">VLOOKUP(E268,'O_MN, PE_UTA_UGM 2023'!$B$1:$I$300,6,FALSE())</f>
        <v>1442.43</v>
      </c>
      <c r="S267" s="45"/>
      <c r="T267" s="47"/>
      <c r="U267" s="127" t="n">
        <f aca="false">(H267*N267)+(I267*O267)+((K267*N267)+(L267*O267)*1.25)</f>
        <v>0</v>
      </c>
      <c r="V267" s="128"/>
      <c r="W267" s="128"/>
      <c r="X267" s="127" t="n">
        <f aca="false">(H267*Q267)+(I267*R267)+((K267*Q267)+(L267*R267)*1.25)</f>
        <v>0</v>
      </c>
      <c r="Y267" s="129"/>
      <c r="Z267" s="130" t="e">
        <f aca="false">(#REF!+#REF!+K267)*'O_MN, PE_UTA_UGM 2023'!H241</f>
        <v>#REF!</v>
      </c>
      <c r="AA267" s="131" t="e">
        <f aca="false">(#REF!+#REF!+L267)*'O_MN, PE_UTA_UGM 2023'!I241</f>
        <v>#REF!</v>
      </c>
      <c r="AB267" s="132" t="n">
        <f aca="false">IF(ISERROR(+ROUND(#REF!*N267/#REF!,3)),0,+ROUND(#REF!*N267/#REF!,3))</f>
        <v>0</v>
      </c>
      <c r="AC267" s="132" t="n">
        <f aca="false">IF(ISERROR(+ROUND(#REF!*O267/#REF!,3)),0,+ROUND(#REF!*O267/#REF!,3))</f>
        <v>0</v>
      </c>
      <c r="AD267" s="133" t="n">
        <f aca="false">IF(AND(AB267=0,AC267=0),0,#REF!*(#REF!-(#REF!*AB267/N267))+#REF!*(#REF!-(#REF!*AC267/O267)))</f>
        <v>0</v>
      </c>
      <c r="AE267" s="3"/>
      <c r="AF267" s="3"/>
      <c r="AG267" s="3"/>
      <c r="AH267" s="3"/>
      <c r="AI267" s="3"/>
    </row>
    <row r="268" customFormat="false" ht="15" hidden="false" customHeight="false" outlineLevel="0" collapsed="false">
      <c r="A268" s="3"/>
      <c r="B268" s="139"/>
      <c r="C268" s="140"/>
      <c r="D268" s="141"/>
      <c r="E268" s="119" t="n">
        <f aca="false">'O_MN, PE_UTA_UGM 2023'!B241</f>
        <v>208</v>
      </c>
      <c r="F268" s="120" t="str">
        <f aca="false">'O_MN, PE_UTA_UGM 2023'!C241</f>
        <v>POMELO</v>
      </c>
      <c r="G268" s="121"/>
      <c r="H268" s="122"/>
      <c r="I268" s="122"/>
      <c r="J268" s="123"/>
      <c r="K268" s="124"/>
      <c r="L268" s="124"/>
      <c r="M268" s="112" t="e">
        <f aca="false">+IF(OR((#REF!+#REF!)&gt;0,(#REF!+#REF!)&gt;0,(K268+L268)&gt;0),"SI","NO")</f>
        <v>#REF!</v>
      </c>
      <c r="N268" s="136" t="n">
        <f aca="false">VLOOKUP(E269,'O_MN, PE_UTA_UGM 2023'!$B$1:$I$300,7,FALSE())</f>
        <v>0</v>
      </c>
      <c r="O268" s="136" t="n">
        <f aca="false">VLOOKUP(E269,'O_MN, PE_UTA_UGM 2023'!$B$1:$I$300,8,FALSE())</f>
        <v>0</v>
      </c>
      <c r="P268" s="45"/>
      <c r="Q268" s="126" t="n">
        <f aca="false">VLOOKUP(E269,'O_MN, PE_UTA_UGM 2023'!$B$1:$I$300,5,FALSE())</f>
        <v>1E-005</v>
      </c>
      <c r="R268" s="126" t="n">
        <f aca="false">VLOOKUP(E269,'O_MN, PE_UTA_UGM 2023'!$B$1:$I$300,6,FALSE())</f>
        <v>1E-005</v>
      </c>
      <c r="S268" s="45"/>
      <c r="T268" s="47"/>
      <c r="U268" s="127" t="n">
        <f aca="false">(H268*N268)+(I268*O268)+((K268*N268)+(L268*O268)*1.25)</f>
        <v>0</v>
      </c>
      <c r="V268" s="128"/>
      <c r="W268" s="128"/>
      <c r="X268" s="127" t="n">
        <f aca="false">(H268*Q268)+(I268*R268)+((K268*Q268)+(L268*R268)*1.25)</f>
        <v>0</v>
      </c>
      <c r="Y268" s="129"/>
      <c r="Z268" s="130" t="e">
        <f aca="false">(#REF!+#REF!+K268)*'O_MN, PE_UTA_UGM 2023'!H242</f>
        <v>#REF!</v>
      </c>
      <c r="AA268" s="131" t="e">
        <f aca="false">(#REF!+#REF!+L268)*'O_MN, PE_UTA_UGM 2023'!I242</f>
        <v>#REF!</v>
      </c>
      <c r="AB268" s="132" t="n">
        <f aca="false">IF(ISERROR(+ROUND(#REF!*N268/#REF!,3)),0,+ROUND(#REF!*N268/#REF!,3))</f>
        <v>0</v>
      </c>
      <c r="AC268" s="132" t="n">
        <f aca="false">IF(ISERROR(+ROUND(#REF!*O268/#REF!,3)),0,+ROUND(#REF!*O268/#REF!,3))</f>
        <v>0</v>
      </c>
      <c r="AD268" s="133" t="n">
        <f aca="false">IF(AND(AB268=0,AC268=0),0,#REF!*(#REF!-(#REF!*AB268/N268))+#REF!*(#REF!-(#REF!*AC268/O268)))</f>
        <v>0</v>
      </c>
      <c r="AE268" s="3"/>
      <c r="AF268" s="3"/>
      <c r="AG268" s="3"/>
      <c r="AH268" s="3"/>
      <c r="AI268" s="3"/>
    </row>
    <row r="269" customFormat="false" ht="15" hidden="false" customHeight="false" outlineLevel="0" collapsed="false">
      <c r="A269" s="3"/>
      <c r="B269" s="139"/>
      <c r="C269" s="140"/>
      <c r="D269" s="141"/>
      <c r="E269" s="119" t="n">
        <f aca="false">'O_MN, PE_UTA_UGM 2023'!B242</f>
        <v>333</v>
      </c>
      <c r="F269" s="120" t="str">
        <f aca="false">'O_MN, PE_UTA_UGM 2023'!C242</f>
        <v>PORTAINJERTOS DE VID</v>
      </c>
      <c r="G269" s="121"/>
      <c r="H269" s="122"/>
      <c r="I269" s="122"/>
      <c r="J269" s="123"/>
      <c r="K269" s="124"/>
      <c r="L269" s="124"/>
      <c r="M269" s="112" t="e">
        <f aca="false">+IF(OR((#REF!+#REF!)&gt;0,(#REF!+#REF!)&gt;0,(K269+L269)&gt;0),"SI","NO")</f>
        <v>#REF!</v>
      </c>
      <c r="N269" s="136" t="n">
        <f aca="false">VLOOKUP(E270,'O_MN, PE_UTA_UGM 2023'!$B$1:$I$300,7,FALSE())</f>
        <v>175</v>
      </c>
      <c r="O269" s="136" t="n">
        <f aca="false">VLOOKUP(E270,'O_MN, PE_UTA_UGM 2023'!$B$1:$I$300,8,FALSE())</f>
        <v>8500</v>
      </c>
      <c r="P269" s="45"/>
      <c r="Q269" s="126" t="n">
        <f aca="false">VLOOKUP(E270,'O_MN, PE_UTA_UGM 2023'!$B$1:$I$300,5,FALSE())</f>
        <v>360.61</v>
      </c>
      <c r="R269" s="126" t="n">
        <f aca="false">VLOOKUP(E270,'O_MN, PE_UTA_UGM 2023'!$B$1:$I$300,6,FALSE())</f>
        <v>1352.28</v>
      </c>
      <c r="S269" s="45"/>
      <c r="T269" s="47"/>
      <c r="U269" s="127" t="n">
        <f aca="false">(H269*N269)+(I269*O269)+((K269*N269)+(L269*O269)*1.25)</f>
        <v>0</v>
      </c>
      <c r="V269" s="128"/>
      <c r="W269" s="128"/>
      <c r="X269" s="127" t="n">
        <f aca="false">(H269*Q269)+(I269*R269)+((K269*Q269)+(L269*R269)*1.25)</f>
        <v>0</v>
      </c>
      <c r="Y269" s="129"/>
      <c r="Z269" s="130" t="e">
        <f aca="false">(#REF!+#REF!+K269)*'O_MN, PE_UTA_UGM 2023'!H243</f>
        <v>#REF!</v>
      </c>
      <c r="AA269" s="131" t="e">
        <f aca="false">(#REF!+#REF!+L269)*'O_MN, PE_UTA_UGM 2023'!I243</f>
        <v>#REF!</v>
      </c>
      <c r="AB269" s="132" t="n">
        <f aca="false">IF(ISERROR(+ROUND(#REF!*N269/#REF!,3)),0,+ROUND(#REF!*N269/#REF!,3))</f>
        <v>0</v>
      </c>
      <c r="AC269" s="132" t="n">
        <f aca="false">IF(ISERROR(+ROUND(#REF!*O269/#REF!,3)),0,+ROUND(#REF!*O269/#REF!,3))</f>
        <v>0</v>
      </c>
      <c r="AD269" s="133" t="n">
        <f aca="false">IF(AND(AB269=0,AC269=0),0,#REF!*(#REF!-(#REF!*AB269/N269))+#REF!*(#REF!-(#REF!*AC269/O269)))</f>
        <v>0</v>
      </c>
      <c r="AE269" s="3"/>
      <c r="AF269" s="3"/>
      <c r="AG269" s="3"/>
      <c r="AH269" s="3"/>
      <c r="AI269" s="3"/>
    </row>
    <row r="270" customFormat="false" ht="15" hidden="false" customHeight="false" outlineLevel="0" collapsed="false">
      <c r="A270" s="3"/>
      <c r="B270" s="139"/>
      <c r="C270" s="140"/>
      <c r="D270" s="141"/>
      <c r="E270" s="119" t="n">
        <f aca="false">'O_MN, PE_UTA_UGM 2023'!B243</f>
        <v>151</v>
      </c>
      <c r="F270" s="120" t="str">
        <f aca="false">'O_MN, PE_UTA_UGM 2023'!C243</f>
        <v>PUERROS</v>
      </c>
      <c r="G270" s="121"/>
      <c r="H270" s="122"/>
      <c r="I270" s="122"/>
      <c r="J270" s="123"/>
      <c r="K270" s="124"/>
      <c r="L270" s="124"/>
      <c r="M270" s="112" t="e">
        <f aca="false">+IF(OR((#REF!+#REF!)&gt;0,(#REF!+#REF!)&gt;0,(K270+L270)&gt;0),"SI","NO")</f>
        <v>#REF!</v>
      </c>
      <c r="N270" s="136" t="n">
        <f aca="false">VLOOKUP(E271,'O_MN, PE_UTA_UGM 2023'!$B$1:$I$300,7,FALSE())</f>
        <v>700</v>
      </c>
      <c r="O270" s="136" t="n">
        <f aca="false">VLOOKUP(E271,'O_MN, PE_UTA_UGM 2023'!$B$1:$I$300,8,FALSE())</f>
        <v>2000</v>
      </c>
      <c r="P270" s="45"/>
      <c r="Q270" s="126" t="n">
        <f aca="false">VLOOKUP(E271,'O_MN, PE_UTA_UGM 2023'!$B$1:$I$300,5,FALSE())</f>
        <v>114.19</v>
      </c>
      <c r="R270" s="126" t="n">
        <f aca="false">VLOOKUP(E271,'O_MN, PE_UTA_UGM 2023'!$B$1:$I$300,6,FALSE())</f>
        <v>270.46</v>
      </c>
      <c r="S270" s="45"/>
      <c r="T270" s="47"/>
      <c r="U270" s="127" t="n">
        <f aca="false">(H270*N270)+(I270*O270)+((K270*N270)+(L270*O270)*1.25)</f>
        <v>0</v>
      </c>
      <c r="V270" s="128"/>
      <c r="W270" s="128"/>
      <c r="X270" s="127" t="n">
        <f aca="false">(H270*Q270)+(I270*R270)+((K270*Q270)+(L270*R270)*1.25)</f>
        <v>0</v>
      </c>
      <c r="Y270" s="129"/>
      <c r="Z270" s="130" t="e">
        <f aca="false">(#REF!+#REF!+K270)*'O_MN, PE_UTA_UGM 2023'!H244</f>
        <v>#REF!</v>
      </c>
      <c r="AA270" s="131" t="e">
        <f aca="false">(#REF!+#REF!+L270)*'O_MN, PE_UTA_UGM 2023'!I244</f>
        <v>#REF!</v>
      </c>
      <c r="AB270" s="132" t="n">
        <f aca="false">IF(ISERROR(+ROUND(#REF!*N270/#REF!,3)),0,+ROUND(#REF!*N270/#REF!,3))</f>
        <v>0</v>
      </c>
      <c r="AC270" s="132" t="n">
        <f aca="false">IF(ISERROR(+ROUND(#REF!*O270/#REF!,3)),0,+ROUND(#REF!*O270/#REF!,3))</f>
        <v>0</v>
      </c>
      <c r="AD270" s="133" t="n">
        <f aca="false">IF(AND(AB270=0,AC270=0),0,#REF!*(#REF!-(#REF!*AB270/N270))+#REF!*(#REF!-(#REF!*AC270/O270)))</f>
        <v>0</v>
      </c>
      <c r="AE270" s="3"/>
      <c r="AF270" s="3"/>
      <c r="AG270" s="3"/>
      <c r="AH270" s="3"/>
      <c r="AI270" s="3"/>
    </row>
    <row r="271" customFormat="false" ht="15" hidden="false" customHeight="false" outlineLevel="0" collapsed="false">
      <c r="A271" s="3"/>
      <c r="B271" s="139"/>
      <c r="C271" s="140"/>
      <c r="D271" s="141"/>
      <c r="E271" s="119" t="n">
        <f aca="false">'O_MN, PE_UTA_UGM 2023'!B244</f>
        <v>69</v>
      </c>
      <c r="F271" s="120" t="str">
        <f aca="false">'O_MN, PE_UTA_UGM 2023'!C244</f>
        <v>RAYGRAS peremne</v>
      </c>
      <c r="G271" s="121"/>
      <c r="H271" s="122"/>
      <c r="I271" s="122"/>
      <c r="J271" s="123"/>
      <c r="K271" s="124"/>
      <c r="L271" s="124"/>
      <c r="M271" s="112" t="e">
        <f aca="false">+IF(OR((#REF!+#REF!)&gt;0,(#REF!+#REF!)&gt;0,(K271+L271)&gt;0),"SI","NO")</f>
        <v>#REF!</v>
      </c>
      <c r="N271" s="136" t="n">
        <f aca="false">VLOOKUP(E272,'O_MN, PE_UTA_UGM 2023'!$B$1:$I$300,7,FALSE())</f>
        <v>0</v>
      </c>
      <c r="O271" s="136" t="n">
        <f aca="false">VLOOKUP(E272,'O_MN, PE_UTA_UGM 2023'!$B$1:$I$300,8,FALSE())</f>
        <v>5200</v>
      </c>
      <c r="P271" s="45"/>
      <c r="Q271" s="126" t="n">
        <f aca="false">VLOOKUP(E272,'O_MN, PE_UTA_UGM 2023'!$B$1:$I$300,5,FALSE())</f>
        <v>360.61</v>
      </c>
      <c r="R271" s="126" t="n">
        <f aca="false">VLOOKUP(E272,'O_MN, PE_UTA_UGM 2023'!$B$1:$I$300,6,FALSE())</f>
        <v>1352.28</v>
      </c>
      <c r="S271" s="45"/>
      <c r="T271" s="47"/>
      <c r="U271" s="127" t="n">
        <f aca="false">(H271*N271)+(I271*O271)+((K271*N271)+(L271*O271)*1.25)</f>
        <v>0</v>
      </c>
      <c r="V271" s="128"/>
      <c r="W271" s="128"/>
      <c r="X271" s="127" t="n">
        <f aca="false">(H271*Q271)+(I271*R271)+((K271*Q271)+(L271*R271)*1.25)</f>
        <v>0</v>
      </c>
      <c r="Y271" s="129"/>
      <c r="Z271" s="130" t="e">
        <f aca="false">(#REF!+#REF!+K271)*'O_MN, PE_UTA_UGM 2023'!H245</f>
        <v>#REF!</v>
      </c>
      <c r="AA271" s="131" t="e">
        <f aca="false">(#REF!+#REF!+L271)*'O_MN, PE_UTA_UGM 2023'!I245</f>
        <v>#REF!</v>
      </c>
      <c r="AB271" s="132" t="n">
        <f aca="false">IF(ISERROR(+ROUND(#REF!*N271/#REF!,3)),0,+ROUND(#REF!*N271/#REF!,3))</f>
        <v>0</v>
      </c>
      <c r="AC271" s="132" t="n">
        <f aca="false">IF(ISERROR(+ROUND(#REF!*O271/#REF!,3)),0,+ROUND(#REF!*O271/#REF!,3))</f>
        <v>0</v>
      </c>
      <c r="AD271" s="133" t="n">
        <f aca="false">IF(AND(AB271=0,AC271=0),0,#REF!*(#REF!-(#REF!*AB271/N271))+#REF!*(#REF!-(#REF!*AC271/O271)))</f>
        <v>0</v>
      </c>
      <c r="AE271" s="3"/>
      <c r="AF271" s="3"/>
      <c r="AG271" s="3"/>
      <c r="AH271" s="3"/>
      <c r="AI271" s="3"/>
    </row>
    <row r="272" customFormat="false" ht="15" hidden="false" customHeight="false" outlineLevel="0" collapsed="false">
      <c r="A272" s="3"/>
      <c r="B272" s="139"/>
      <c r="C272" s="140"/>
      <c r="D272" s="141"/>
      <c r="E272" s="119" t="n">
        <f aca="false">'O_MN, PE_UTA_UGM 2023'!B245</f>
        <v>190</v>
      </c>
      <c r="F272" s="120" t="str">
        <f aca="false">'O_MN, PE_UTA_UGM 2023'!C245</f>
        <v>RABANO</v>
      </c>
      <c r="G272" s="121"/>
      <c r="H272" s="122"/>
      <c r="I272" s="122"/>
      <c r="J272" s="123"/>
      <c r="K272" s="124"/>
      <c r="L272" s="124"/>
      <c r="M272" s="112" t="e">
        <f aca="false">+IF(OR((#REF!+#REF!)&gt;0,(#REF!+#REF!)&gt;0,(K272+L272)&gt;0),"SI","NO")</f>
        <v>#REF!</v>
      </c>
      <c r="N272" s="136" t="n">
        <f aca="false">VLOOKUP(E273,'O_MN, PE_UTA_UGM 2023'!$B$1:$I$300,7,FALSE())</f>
        <v>0</v>
      </c>
      <c r="O272" s="136" t="n">
        <f aca="false">VLOOKUP(E273,'O_MN, PE_UTA_UGM 2023'!$B$1:$I$300,8,FALSE())</f>
        <v>5200</v>
      </c>
      <c r="P272" s="45"/>
      <c r="Q272" s="126" t="n">
        <f aca="false">VLOOKUP(E273,'O_MN, PE_UTA_UGM 2023'!$B$1:$I$300,5,FALSE())</f>
        <v>360.61</v>
      </c>
      <c r="R272" s="126" t="n">
        <f aca="false">VLOOKUP(E273,'O_MN, PE_UTA_UGM 2023'!$B$1:$I$300,6,FALSE())</f>
        <v>1352.28</v>
      </c>
      <c r="S272" s="45"/>
      <c r="T272" s="47"/>
      <c r="U272" s="127" t="n">
        <f aca="false">(H272*N272)+(I272*O272)+((K272*N272)+(L272*O272)*1.25)</f>
        <v>0</v>
      </c>
      <c r="V272" s="128"/>
      <c r="W272" s="128"/>
      <c r="X272" s="127" t="n">
        <f aca="false">(H272*Q272)+(I272*R272)+((K272*Q272)+(L272*R272)*1.25)</f>
        <v>0</v>
      </c>
      <c r="Y272" s="129"/>
      <c r="Z272" s="130" t="e">
        <f aca="false">(#REF!+#REF!+K272)*'O_MN, PE_UTA_UGM 2023'!H246</f>
        <v>#REF!</v>
      </c>
      <c r="AA272" s="131" t="e">
        <f aca="false">(#REF!+#REF!+L272)*'O_MN, PE_UTA_UGM 2023'!I246</f>
        <v>#REF!</v>
      </c>
      <c r="AB272" s="132" t="n">
        <f aca="false">IF(ISERROR(+ROUND(#REF!*N272/#REF!,3)),0,+ROUND(#REF!*N272/#REF!,3))</f>
        <v>0</v>
      </c>
      <c r="AC272" s="132" t="n">
        <f aca="false">IF(ISERROR(+ROUND(#REF!*O272/#REF!,3)),0,+ROUND(#REF!*O272/#REF!,3))</f>
        <v>0</v>
      </c>
      <c r="AD272" s="133" t="n">
        <f aca="false">IF(AND(AB272=0,AC272=0),0,#REF!*(#REF!-(#REF!*AB272/N272))+#REF!*(#REF!-(#REF!*AC272/O272)))</f>
        <v>0</v>
      </c>
      <c r="AE272" s="3"/>
      <c r="AF272" s="3"/>
      <c r="AG272" s="3"/>
      <c r="AH272" s="3"/>
      <c r="AI272" s="3"/>
    </row>
    <row r="273" customFormat="false" ht="15" hidden="false" customHeight="false" outlineLevel="0" collapsed="false">
      <c r="A273" s="3"/>
      <c r="B273" s="139"/>
      <c r="C273" s="140"/>
      <c r="D273" s="141"/>
      <c r="E273" s="119" t="n">
        <f aca="false">'O_MN, PE_UTA_UGM 2023'!B246</f>
        <v>321</v>
      </c>
      <c r="F273" s="120" t="str">
        <f aca="false">'O_MN, PE_UTA_UGM 2023'!C246</f>
        <v>RÁBANO NEGRO</v>
      </c>
      <c r="G273" s="121"/>
      <c r="H273" s="122"/>
      <c r="I273" s="122"/>
      <c r="J273" s="123"/>
      <c r="K273" s="124"/>
      <c r="L273" s="124"/>
      <c r="M273" s="112" t="e">
        <f aca="false">+IF(OR((#REF!+#REF!)&gt;0,(#REF!+#REF!)&gt;0,(K273+L273)&gt;0),"SI","NO")</f>
        <v>#REF!</v>
      </c>
      <c r="N273" s="136" t="n">
        <f aca="false">VLOOKUP(E274,'O_MN, PE_UTA_UGM 2023'!$B$1:$I$300,7,FALSE())</f>
        <v>0</v>
      </c>
      <c r="O273" s="136" t="n">
        <f aca="false">VLOOKUP(E274,'O_MN, PE_UTA_UGM 2023'!$B$1:$I$300,8,FALSE())</f>
        <v>0</v>
      </c>
      <c r="P273" s="45"/>
      <c r="Q273" s="126" t="n">
        <f aca="false">VLOOKUP(E274,'O_MN, PE_UTA_UGM 2023'!$B$1:$I$300,5,FALSE())</f>
        <v>1E-005</v>
      </c>
      <c r="R273" s="126" t="n">
        <f aca="false">VLOOKUP(E274,'O_MN, PE_UTA_UGM 2023'!$B$1:$I$300,6,FALSE())</f>
        <v>1E-005</v>
      </c>
      <c r="S273" s="45"/>
      <c r="T273" s="47"/>
      <c r="U273" s="127" t="n">
        <f aca="false">(H273*N273)+(I273*O273)+((K273*N273)+(L273*O273)*1.25)</f>
        <v>0</v>
      </c>
      <c r="V273" s="128"/>
      <c r="W273" s="128"/>
      <c r="X273" s="127" t="n">
        <f aca="false">(H273*Q273)+(I273*R273)+((K273*Q273)+(L273*R273)*1.25)</f>
        <v>0</v>
      </c>
      <c r="Y273" s="129"/>
      <c r="Z273" s="130" t="e">
        <f aca="false">(#REF!+#REF!+K273)*'O_MN, PE_UTA_UGM 2023'!H247</f>
        <v>#REF!</v>
      </c>
      <c r="AA273" s="131" t="e">
        <f aca="false">(#REF!+#REF!+L273)*'O_MN, PE_UTA_UGM 2023'!I247</f>
        <v>#REF!</v>
      </c>
      <c r="AB273" s="132" t="n">
        <f aca="false">IF(ISERROR(+ROUND(#REF!*N273/#REF!,3)),0,+ROUND(#REF!*N273/#REF!,3))</f>
        <v>0</v>
      </c>
      <c r="AC273" s="132" t="n">
        <f aca="false">IF(ISERROR(+ROUND(#REF!*O273/#REF!,3)),0,+ROUND(#REF!*O273/#REF!,3))</f>
        <v>0</v>
      </c>
      <c r="AD273" s="133" t="n">
        <f aca="false">IF(AND(AB273=0,AC273=0),0,#REF!*(#REF!-(#REF!*AB273/N273))+#REF!*(#REF!-(#REF!*AC273/O273)))</f>
        <v>0</v>
      </c>
      <c r="AE273" s="3"/>
      <c r="AF273" s="3"/>
      <c r="AG273" s="3"/>
      <c r="AH273" s="3"/>
      <c r="AI273" s="3"/>
    </row>
    <row r="274" customFormat="false" ht="15" hidden="false" customHeight="false" outlineLevel="0" collapsed="false">
      <c r="A274" s="3"/>
      <c r="B274" s="139"/>
      <c r="C274" s="140"/>
      <c r="D274" s="141"/>
      <c r="E274" s="119" t="n">
        <f aca="false">'O_MN, PE_UTA_UGM 2023'!B247</f>
        <v>350</v>
      </c>
      <c r="F274" s="120" t="str">
        <f aca="false">'O_MN, PE_UTA_UGM 2023'!C247</f>
        <v>RASTROJERAS</v>
      </c>
      <c r="G274" s="121"/>
      <c r="H274" s="122"/>
      <c r="I274" s="122"/>
      <c r="J274" s="123"/>
      <c r="K274" s="124"/>
      <c r="L274" s="124"/>
      <c r="M274" s="112" t="e">
        <f aca="false">+IF(OR((#REF!+#REF!)&gt;0,(#REF!+#REF!)&gt;0,(K274+L274)&gt;0),"SI","NO")</f>
        <v>#REF!</v>
      </c>
      <c r="N274" s="136" t="n">
        <f aca="false">VLOOKUP(E275,'O_MN, PE_UTA_UGM 2023'!$B$1:$I$300,7,FALSE())</f>
        <v>700</v>
      </c>
      <c r="O274" s="136" t="n">
        <f aca="false">VLOOKUP(E275,'O_MN, PE_UTA_UGM 2023'!$B$1:$I$300,8,FALSE())</f>
        <v>2000</v>
      </c>
      <c r="P274" s="45"/>
      <c r="Q274" s="126" t="n">
        <f aca="false">VLOOKUP(E275,'O_MN, PE_UTA_UGM 2023'!$B$1:$I$300,5,FALSE())</f>
        <v>114.19</v>
      </c>
      <c r="R274" s="126" t="n">
        <f aca="false">VLOOKUP(E275,'O_MN, PE_UTA_UGM 2023'!$B$1:$I$300,6,FALSE())</f>
        <v>270.46</v>
      </c>
      <c r="S274" s="45"/>
      <c r="T274" s="47"/>
      <c r="U274" s="127" t="n">
        <f aca="false">(H274*N274)+(I274*O274)+((K274*N274)+(L274*O274)*1.25)</f>
        <v>0</v>
      </c>
      <c r="V274" s="128"/>
      <c r="W274" s="128"/>
      <c r="X274" s="127" t="n">
        <f aca="false">(H274*Q274)+(I274*R274)+((K274*Q274)+(L274*R274)*1.25)</f>
        <v>0</v>
      </c>
      <c r="Y274" s="129"/>
      <c r="Z274" s="130" t="e">
        <f aca="false">(#REF!+#REF!+K274)*'O_MN, PE_UTA_UGM 2023'!H248</f>
        <v>#REF!</v>
      </c>
      <c r="AA274" s="131" t="e">
        <f aca="false">(#REF!+#REF!+L274)*'O_MN, PE_UTA_UGM 2023'!I248</f>
        <v>#REF!</v>
      </c>
      <c r="AB274" s="132" t="n">
        <f aca="false">IF(ISERROR(+ROUND(#REF!*N274/#REF!,3)),0,+ROUND(#REF!*N274/#REF!,3))</f>
        <v>0</v>
      </c>
      <c r="AC274" s="132" t="n">
        <f aca="false">IF(ISERROR(+ROUND(#REF!*O274/#REF!,3)),0,+ROUND(#REF!*O274/#REF!,3))</f>
        <v>0</v>
      </c>
      <c r="AD274" s="133" t="n">
        <f aca="false">IF(AND(AB274=0,AC274=0),0,#REF!*(#REF!-(#REF!*AB274/N274))+#REF!*(#REF!-(#REF!*AC274/O274)))</f>
        <v>0</v>
      </c>
      <c r="AE274" s="3"/>
      <c r="AF274" s="3"/>
      <c r="AG274" s="3"/>
      <c r="AH274" s="3"/>
      <c r="AI274" s="3"/>
    </row>
    <row r="275" customFormat="false" ht="15" hidden="false" customHeight="false" outlineLevel="0" collapsed="false">
      <c r="A275" s="3"/>
      <c r="B275" s="139"/>
      <c r="C275" s="140"/>
      <c r="D275" s="141"/>
      <c r="E275" s="119" t="n">
        <f aca="false">'O_MN, PE_UTA_UGM 2023'!B248</f>
        <v>78</v>
      </c>
      <c r="F275" s="120" t="str">
        <f aca="false">'O_MN, PE_UTA_UGM 2023'!C248</f>
        <v>RAYGRAS anual</v>
      </c>
      <c r="G275" s="121"/>
      <c r="H275" s="122"/>
      <c r="I275" s="122"/>
      <c r="J275" s="123"/>
      <c r="K275" s="124"/>
      <c r="L275" s="124"/>
      <c r="M275" s="112" t="e">
        <f aca="false">+IF(OR((#REF!+#REF!)&gt;0,(#REF!+#REF!)&gt;0,(K275+L275)&gt;0),"SI","NO")</f>
        <v>#REF!</v>
      </c>
      <c r="N275" s="136" t="n">
        <f aca="false">VLOOKUP(E276,'O_MN, PE_UTA_UGM 2023'!$B$1:$I$300,7,FALSE())</f>
        <v>186.91</v>
      </c>
      <c r="O275" s="136" t="n">
        <f aca="false">VLOOKUP(E276,'O_MN, PE_UTA_UGM 2023'!$B$1:$I$300,8,FALSE())</f>
        <v>540.36</v>
      </c>
      <c r="P275" s="45"/>
      <c r="Q275" s="126" t="n">
        <f aca="false">VLOOKUP(E276,'O_MN, PE_UTA_UGM 2023'!$B$1:$I$300,5,FALSE())</f>
        <v>114.19</v>
      </c>
      <c r="R275" s="126" t="n">
        <f aca="false">VLOOKUP(E276,'O_MN, PE_UTA_UGM 2023'!$B$1:$I$300,6,FALSE())</f>
        <v>240.4</v>
      </c>
      <c r="S275" s="45"/>
      <c r="T275" s="47"/>
      <c r="U275" s="127" t="n">
        <f aca="false">(H275*N275)+(I275*O275)+((K275*N275)+(L275*O275)*1.25)</f>
        <v>0</v>
      </c>
      <c r="V275" s="128"/>
      <c r="W275" s="128"/>
      <c r="X275" s="127" t="n">
        <f aca="false">(H275*Q275)+(I275*R275)+((K275*Q275)+(L275*R275)*1.25)</f>
        <v>0</v>
      </c>
      <c r="Y275" s="129"/>
      <c r="Z275" s="130" t="e">
        <f aca="false">(#REF!+#REF!+K275)*'O_MN, PE_UTA_UGM 2023'!H249</f>
        <v>#REF!</v>
      </c>
      <c r="AA275" s="131" t="e">
        <f aca="false">(#REF!+#REF!+L275)*'O_MN, PE_UTA_UGM 2023'!I249</f>
        <v>#REF!</v>
      </c>
      <c r="AB275" s="132" t="n">
        <f aca="false">IF(ISERROR(+ROUND(#REF!*N275/#REF!,3)),0,+ROUND(#REF!*N275/#REF!,3))</f>
        <v>0</v>
      </c>
      <c r="AC275" s="132" t="n">
        <f aca="false">IF(ISERROR(+ROUND(#REF!*O275/#REF!,3)),0,+ROUND(#REF!*O275/#REF!,3))</f>
        <v>0</v>
      </c>
      <c r="AD275" s="133" t="n">
        <f aca="false">IF(AND(AB275=0,AC275=0),0,#REF!*(#REF!-(#REF!*AB275/N275))+#REF!*(#REF!-(#REF!*AC275/O275)))</f>
        <v>0</v>
      </c>
      <c r="AE275" s="3"/>
      <c r="AF275" s="3"/>
      <c r="AG275" s="3"/>
      <c r="AH275" s="3"/>
      <c r="AI275" s="3"/>
    </row>
    <row r="276" customFormat="false" ht="15" hidden="false" customHeight="false" outlineLevel="0" collapsed="false">
      <c r="A276" s="3"/>
      <c r="B276" s="139"/>
      <c r="C276" s="140"/>
      <c r="D276" s="141"/>
      <c r="E276" s="119" t="n">
        <f aca="false">'O_MN, PE_UTA_UGM 2023'!B249</f>
        <v>90</v>
      </c>
      <c r="F276" s="120" t="str">
        <f aca="false">'O_MN, PE_UTA_UGM 2023'!C249</f>
        <v>REGALIZ</v>
      </c>
      <c r="G276" s="121"/>
      <c r="H276" s="122"/>
      <c r="I276" s="122"/>
      <c r="J276" s="123"/>
      <c r="K276" s="124"/>
      <c r="L276" s="124"/>
      <c r="M276" s="112" t="e">
        <f aca="false">+IF(OR((#REF!+#REF!)&gt;0,(#REF!+#REF!)&gt;0,(K276+L276)&gt;0),"SI","NO")</f>
        <v>#REF!</v>
      </c>
      <c r="N276" s="136" t="n">
        <f aca="false">VLOOKUP(E277,'O_MN, PE_UTA_UGM 2023'!$B$1:$I$300,7,FALSE())</f>
        <v>500</v>
      </c>
      <c r="O276" s="136" t="n">
        <f aca="false">VLOOKUP(E277,'O_MN, PE_UTA_UGM 2023'!$B$1:$I$300,8,FALSE())</f>
        <v>1300</v>
      </c>
      <c r="P276" s="45"/>
      <c r="Q276" s="126" t="n">
        <f aca="false">VLOOKUP(E277,'O_MN, PE_UTA_UGM 2023'!$B$1:$I$300,5,FALSE())</f>
        <v>300.51</v>
      </c>
      <c r="R276" s="126" t="n">
        <f aca="false">VLOOKUP(E277,'O_MN, PE_UTA_UGM 2023'!$B$1:$I$300,6,FALSE())</f>
        <v>901.52</v>
      </c>
      <c r="S276" s="45"/>
      <c r="T276" s="47"/>
      <c r="U276" s="127" t="n">
        <f aca="false">(H276*N276)+(I276*O276)+((K276*N276)+(L276*O276)*1.25)</f>
        <v>0</v>
      </c>
      <c r="V276" s="128"/>
      <c r="W276" s="128"/>
      <c r="X276" s="127" t="n">
        <f aca="false">(H276*Q276)+(I276*R276)+((K276*Q276)+(L276*R276)*1.25)</f>
        <v>0</v>
      </c>
      <c r="Y276" s="129"/>
      <c r="Z276" s="130" t="e">
        <f aca="false">(#REF!+#REF!+K276)*'O_MN, PE_UTA_UGM 2023'!H250</f>
        <v>#REF!</v>
      </c>
      <c r="AA276" s="131" t="e">
        <f aca="false">(#REF!+#REF!+L276)*'O_MN, PE_UTA_UGM 2023'!I250</f>
        <v>#REF!</v>
      </c>
      <c r="AB276" s="132" t="n">
        <f aca="false">IF(ISERROR(+ROUND(#REF!*N276/#REF!,3)),0,+ROUND(#REF!*N276/#REF!,3))</f>
        <v>0</v>
      </c>
      <c r="AC276" s="132" t="n">
        <f aca="false">IF(ISERROR(+ROUND(#REF!*O276/#REF!,3)),0,+ROUND(#REF!*O276/#REF!,3))</f>
        <v>0</v>
      </c>
      <c r="AD276" s="133" t="n">
        <f aca="false">IF(AND(AB276=0,AC276=0),0,#REF!*(#REF!-(#REF!*AB276/N276))+#REF!*(#REF!-(#REF!*AC276/O276)))</f>
        <v>0</v>
      </c>
      <c r="AE276" s="3"/>
      <c r="AF276" s="3"/>
      <c r="AG276" s="3"/>
      <c r="AH276" s="3"/>
      <c r="AI276" s="3"/>
    </row>
    <row r="277" customFormat="false" ht="15" hidden="false" customHeight="false" outlineLevel="0" collapsed="false">
      <c r="A277" s="3"/>
      <c r="B277" s="139"/>
      <c r="C277" s="140"/>
      <c r="D277" s="141"/>
      <c r="E277" s="119" t="n">
        <f aca="false">'O_MN, PE_UTA_UGM 2023'!B250</f>
        <v>82</v>
      </c>
      <c r="F277" s="120" t="str">
        <f aca="false">'O_MN, PE_UTA_UGM 2023'!C250</f>
        <v>REMOLACHA</v>
      </c>
      <c r="G277" s="121"/>
      <c r="H277" s="122"/>
      <c r="I277" s="122"/>
      <c r="J277" s="123"/>
      <c r="K277" s="124"/>
      <c r="L277" s="124"/>
      <c r="M277" s="112" t="e">
        <f aca="false">+IF(OR((#REF!+#REF!)&gt;0,(#REF!+#REF!)&gt;0,(K277+L277)&gt;0),"SI","NO")</f>
        <v>#REF!</v>
      </c>
      <c r="N277" s="136" t="n">
        <f aca="false">VLOOKUP(E278,'O_MN, PE_UTA_UGM 2023'!$B$1:$I$300,7,FALSE())</f>
        <v>0</v>
      </c>
      <c r="O277" s="136" t="n">
        <f aca="false">VLOOKUP(E278,'O_MN, PE_UTA_UGM 2023'!$B$1:$I$300,8,FALSE())</f>
        <v>5200</v>
      </c>
      <c r="P277" s="45"/>
      <c r="Q277" s="126" t="n">
        <f aca="false">VLOOKUP(E278,'O_MN, PE_UTA_UGM 2023'!$B$1:$I$300,5,FALSE())</f>
        <v>360.61</v>
      </c>
      <c r="R277" s="126" t="n">
        <f aca="false">VLOOKUP(E278,'O_MN, PE_UTA_UGM 2023'!$B$1:$I$300,6,FALSE())</f>
        <v>1352.28</v>
      </c>
      <c r="S277" s="45"/>
      <c r="T277" s="47"/>
      <c r="U277" s="127" t="n">
        <f aca="false">(H277*N277)+(I277*O277)+((K277*N277)+(L277*O277)*1.25)</f>
        <v>0</v>
      </c>
      <c r="V277" s="128"/>
      <c r="W277" s="128"/>
      <c r="X277" s="127" t="n">
        <f aca="false">(H277*Q277)+(I277*R277)+((K277*Q277)+(L277*R277)*1.25)</f>
        <v>0</v>
      </c>
      <c r="Y277" s="129"/>
      <c r="Z277" s="130" t="e">
        <f aca="false">(#REF!+#REF!+K277)*'O_MN, PE_UTA_UGM 2023'!H251</f>
        <v>#REF!</v>
      </c>
      <c r="AA277" s="131" t="e">
        <f aca="false">(#REF!+#REF!+L277)*'O_MN, PE_UTA_UGM 2023'!I251</f>
        <v>#REF!</v>
      </c>
      <c r="AB277" s="132" t="n">
        <f aca="false">IF(ISERROR(+ROUND(#REF!*N277/#REF!,3)),0,+ROUND(#REF!*N277/#REF!,3))</f>
        <v>0</v>
      </c>
      <c r="AC277" s="132" t="n">
        <f aca="false">IF(ISERROR(+ROUND(#REF!*O277/#REF!,3)),0,+ROUND(#REF!*O277/#REF!,3))</f>
        <v>0</v>
      </c>
      <c r="AD277" s="133" t="n">
        <f aca="false">IF(AND(AB277=0,AC277=0),0,#REF!*(#REF!-(#REF!*AB277/N277))+#REF!*(#REF!-(#REF!*AC277/O277)))</f>
        <v>0</v>
      </c>
      <c r="AE277" s="3"/>
      <c r="AF277" s="3"/>
      <c r="AG277" s="3"/>
      <c r="AH277" s="3"/>
      <c r="AI277" s="3"/>
    </row>
    <row r="278" customFormat="false" ht="15" hidden="false" customHeight="false" outlineLevel="0" collapsed="false">
      <c r="A278" s="3"/>
      <c r="B278" s="139"/>
      <c r="C278" s="140"/>
      <c r="D278" s="141"/>
      <c r="E278" s="119" t="n">
        <f aca="false">'O_MN, PE_UTA_UGM 2023'!B251</f>
        <v>327</v>
      </c>
      <c r="F278" s="120" t="str">
        <f aca="false">'O_MN, PE_UTA_UGM 2023'!C251</f>
        <v>REMOLACHA DE MESA</v>
      </c>
      <c r="G278" s="121"/>
      <c r="H278" s="122"/>
      <c r="I278" s="122"/>
      <c r="J278" s="123"/>
      <c r="K278" s="124"/>
      <c r="L278" s="124"/>
      <c r="M278" s="112" t="e">
        <f aca="false">+IF(OR((#REF!+#REF!)&gt;0,(#REF!+#REF!)&gt;0,(K278+L278)&gt;0),"SI","NO")</f>
        <v>#REF!</v>
      </c>
      <c r="N278" s="136" t="n">
        <f aca="false">VLOOKUP(E279,'O_MN, PE_UTA_UGM 2023'!$B$1:$I$300,7,FALSE())</f>
        <v>0</v>
      </c>
      <c r="O278" s="136" t="n">
        <f aca="false">VLOOKUP(E279,'O_MN, PE_UTA_UGM 2023'!$B$1:$I$300,8,FALSE())</f>
        <v>5200</v>
      </c>
      <c r="P278" s="45"/>
      <c r="Q278" s="126" t="n">
        <f aca="false">VLOOKUP(E279,'O_MN, PE_UTA_UGM 2023'!$B$1:$I$300,5,FALSE())</f>
        <v>360.61</v>
      </c>
      <c r="R278" s="126" t="n">
        <f aca="false">VLOOKUP(E279,'O_MN, PE_UTA_UGM 2023'!$B$1:$I$300,6,FALSE())</f>
        <v>1352.28</v>
      </c>
      <c r="S278" s="45"/>
      <c r="T278" s="47"/>
      <c r="U278" s="127" t="n">
        <f aca="false">(H278*N278)+(I278*O278)+((K278*N278)+(L278*O278)*1.25)</f>
        <v>0</v>
      </c>
      <c r="V278" s="128"/>
      <c r="W278" s="128"/>
      <c r="X278" s="127" t="n">
        <f aca="false">(H278*Q278)+(I278*R278)+((K278*Q278)+(L278*R278)*1.25)</f>
        <v>0</v>
      </c>
      <c r="Y278" s="129"/>
      <c r="Z278" s="130" t="e">
        <f aca="false">(#REF!+#REF!+K278)*'O_MN, PE_UTA_UGM 2023'!H252</f>
        <v>#REF!</v>
      </c>
      <c r="AA278" s="131" t="e">
        <f aca="false">(#REF!+#REF!+L278)*'O_MN, PE_UTA_UGM 2023'!I252</f>
        <v>#REF!</v>
      </c>
      <c r="AB278" s="132" t="n">
        <f aca="false">IF(ISERROR(+ROUND(#REF!*N278/#REF!,3)),0,+ROUND(#REF!*N278/#REF!,3))</f>
        <v>0</v>
      </c>
      <c r="AC278" s="132" t="n">
        <f aca="false">IF(ISERROR(+ROUND(#REF!*O278/#REF!,3)),0,+ROUND(#REF!*O278/#REF!,3))</f>
        <v>0</v>
      </c>
      <c r="AD278" s="133" t="n">
        <f aca="false">IF(AND(AB278=0,AC278=0),0,#REF!*(#REF!-(#REF!*AB278/N278))+#REF!*(#REF!-(#REF!*AC278/O278)))</f>
        <v>0</v>
      </c>
      <c r="AE278" s="3"/>
      <c r="AF278" s="3"/>
      <c r="AG278" s="3"/>
      <c r="AH278" s="3"/>
      <c r="AI278" s="3"/>
    </row>
    <row r="279" customFormat="false" ht="15" hidden="false" customHeight="false" outlineLevel="0" collapsed="false">
      <c r="A279" s="3"/>
      <c r="B279" s="139"/>
      <c r="C279" s="140"/>
      <c r="D279" s="141"/>
      <c r="E279" s="119" t="n">
        <f aca="false">'O_MN, PE_UTA_UGM 2023'!B252</f>
        <v>172</v>
      </c>
      <c r="F279" s="120" t="str">
        <f aca="false">'O_MN, PE_UTA_UGM 2023'!C252</f>
        <v>REPOLLO</v>
      </c>
      <c r="G279" s="121"/>
      <c r="H279" s="122"/>
      <c r="I279" s="122"/>
      <c r="J279" s="123"/>
      <c r="K279" s="124"/>
      <c r="L279" s="124"/>
      <c r="M279" s="112" t="e">
        <f aca="false">+IF(OR((#REF!+#REF!)&gt;0,(#REF!+#REF!)&gt;0,(K279+L279)&gt;0),"SI","NO")</f>
        <v>#REF!</v>
      </c>
      <c r="N279" s="136" t="n">
        <f aca="false">VLOOKUP(E280,'O_MN, PE_UTA_UGM 2023'!$B$1:$I$300,7,FALSE())</f>
        <v>0</v>
      </c>
      <c r="O279" s="136" t="n">
        <f aca="false">VLOOKUP(E280,'O_MN, PE_UTA_UGM 2023'!$B$1:$I$300,8,FALSE())</f>
        <v>0</v>
      </c>
      <c r="P279" s="45"/>
      <c r="Q279" s="126" t="n">
        <f aca="false">VLOOKUP(E280,'O_MN, PE_UTA_UGM 2023'!$B$1:$I$300,5,FALSE())</f>
        <v>48.08</v>
      </c>
      <c r="R279" s="126" t="n">
        <f aca="false">VLOOKUP(E280,'O_MN, PE_UTA_UGM 2023'!$B$1:$I$300,6,FALSE())</f>
        <v>150.25</v>
      </c>
      <c r="S279" s="45"/>
      <c r="T279" s="47"/>
      <c r="U279" s="127" t="n">
        <f aca="false">(H279*N279)+(I279*O279)+((K279*N279)+(L279*O279)*1.25)</f>
        <v>0</v>
      </c>
      <c r="V279" s="128"/>
      <c r="W279" s="128"/>
      <c r="X279" s="127" t="n">
        <f aca="false">(H279*Q279)+(I279*R279)+((K279*Q279)+(L279*R279)*1.25)</f>
        <v>0</v>
      </c>
      <c r="Y279" s="129"/>
      <c r="Z279" s="130" t="e">
        <f aca="false">(#REF!+#REF!+K279)*'O_MN, PE_UTA_UGM 2023'!H253</f>
        <v>#REF!</v>
      </c>
      <c r="AA279" s="131" t="e">
        <f aca="false">(#REF!+#REF!+L279)*'O_MN, PE_UTA_UGM 2023'!I253</f>
        <v>#REF!</v>
      </c>
      <c r="AB279" s="132" t="n">
        <f aca="false">IF(ISERROR(+ROUND(#REF!*N279/#REF!,3)),0,+ROUND(#REF!*N279/#REF!,3))</f>
        <v>0</v>
      </c>
      <c r="AC279" s="132" t="n">
        <f aca="false">IF(ISERROR(+ROUND(#REF!*O279/#REF!,3)),0,+ROUND(#REF!*O279/#REF!,3))</f>
        <v>0</v>
      </c>
      <c r="AD279" s="133" t="n">
        <f aca="false">IF(AND(AB279=0,AC279=0),0,#REF!*(#REF!-(#REF!*AB279/N279))+#REF!*(#REF!-(#REF!*AC279/O279)))</f>
        <v>0</v>
      </c>
      <c r="AE279" s="3"/>
      <c r="AF279" s="3"/>
      <c r="AG279" s="3"/>
      <c r="AH279" s="3"/>
      <c r="AI279" s="3"/>
    </row>
    <row r="280" customFormat="false" ht="15" hidden="false" customHeight="false" outlineLevel="0" collapsed="false">
      <c r="A280" s="3"/>
      <c r="B280" s="139"/>
      <c r="C280" s="140"/>
      <c r="D280" s="141"/>
      <c r="E280" s="119" t="n">
        <f aca="false">'O_MN, PE_UTA_UGM 2023'!B253</f>
        <v>28</v>
      </c>
      <c r="F280" s="120" t="str">
        <f aca="false">'O_MN, PE_UTA_UGM 2023'!C253</f>
        <v>RETIRADA FORESTACIÓN</v>
      </c>
      <c r="G280" s="121"/>
      <c r="H280" s="122"/>
      <c r="I280" s="122"/>
      <c r="J280" s="123"/>
      <c r="K280" s="124"/>
      <c r="L280" s="124"/>
      <c r="M280" s="112" t="e">
        <f aca="false">+IF(OR((#REF!+#REF!)&gt;0,(#REF!+#REF!)&gt;0,(K280+L280)&gt;0),"SI","NO")</f>
        <v>#REF!</v>
      </c>
      <c r="N280" s="136" t="n">
        <f aca="false">VLOOKUP(E281,'O_MN, PE_UTA_UGM 2023'!$B$1:$I$300,7,FALSE())</f>
        <v>0</v>
      </c>
      <c r="O280" s="136" t="n">
        <f aca="false">VLOOKUP(E281,'O_MN, PE_UTA_UGM 2023'!$B$1:$I$300,8,FALSE())</f>
        <v>0</v>
      </c>
      <c r="P280" s="45"/>
      <c r="Q280" s="126" t="n">
        <f aca="false">VLOOKUP(E281,'O_MN, PE_UTA_UGM 2023'!$B$1:$I$300,5,FALSE())</f>
        <v>1E-005</v>
      </c>
      <c r="R280" s="126" t="n">
        <f aca="false">VLOOKUP(E281,'O_MN, PE_UTA_UGM 2023'!$B$1:$I$300,6,FALSE())</f>
        <v>1E-005</v>
      </c>
      <c r="S280" s="45"/>
      <c r="T280" s="47"/>
      <c r="U280" s="127" t="n">
        <f aca="false">(H280*N280)+(I280*O280)+((K280*N280)+(L280*O280)*1.25)</f>
        <v>0</v>
      </c>
      <c r="V280" s="128"/>
      <c r="W280" s="128"/>
      <c r="X280" s="127" t="n">
        <f aca="false">(H280*Q280)+(I280*R280)+((K280*Q280)+(L280*R280)*1.25)</f>
        <v>0</v>
      </c>
      <c r="Y280" s="129"/>
      <c r="Z280" s="130" t="e">
        <f aca="false">(#REF!+#REF!+K280)*'O_MN, PE_UTA_UGM 2023'!H254</f>
        <v>#REF!</v>
      </c>
      <c r="AA280" s="131" t="e">
        <f aca="false">(#REF!+#REF!+L280)*'O_MN, PE_UTA_UGM 2023'!I254</f>
        <v>#REF!</v>
      </c>
      <c r="AB280" s="132" t="n">
        <f aca="false">IF(ISERROR(+ROUND(#REF!*N280/#REF!,3)),0,+ROUND(#REF!*N280/#REF!,3))</f>
        <v>0</v>
      </c>
      <c r="AC280" s="132" t="n">
        <f aca="false">IF(ISERROR(+ROUND(#REF!*O280/#REF!,3)),0,+ROUND(#REF!*O280/#REF!,3))</f>
        <v>0</v>
      </c>
      <c r="AD280" s="133" t="n">
        <f aca="false">IF(AND(AB280=0,AC280=0),0,#REF!*(#REF!-(#REF!*AB280/N280))+#REF!*(#REF!-(#REF!*AC280/O280)))</f>
        <v>0</v>
      </c>
      <c r="AE280" s="3"/>
      <c r="AF280" s="3"/>
      <c r="AG280" s="3"/>
      <c r="AH280" s="3"/>
      <c r="AI280" s="3"/>
    </row>
    <row r="281" customFormat="false" ht="15" hidden="false" customHeight="false" outlineLevel="0" collapsed="false">
      <c r="A281" s="3"/>
      <c r="B281" s="139"/>
      <c r="C281" s="140"/>
      <c r="D281" s="141"/>
      <c r="E281" s="119" t="n">
        <f aca="false">'O_MN, PE_UTA_UGM 2023'!B254</f>
        <v>230</v>
      </c>
      <c r="F281" s="120" t="str">
        <f aca="false">'O_MN, PE_UTA_UGM 2023'!C254</f>
        <v>ROBINIA</v>
      </c>
      <c r="G281" s="121"/>
      <c r="H281" s="122"/>
      <c r="I281" s="122"/>
      <c r="J281" s="123"/>
      <c r="K281" s="124"/>
      <c r="L281" s="124"/>
      <c r="M281" s="112" t="e">
        <f aca="false">+IF(OR((#REF!+#REF!)&gt;0,(#REF!+#REF!)&gt;0,(K281+L281)&gt;0),"SI","NO")</f>
        <v>#REF!</v>
      </c>
      <c r="N281" s="136" t="n">
        <f aca="false">VLOOKUP(E282,'O_MN, PE_UTA_UGM 2023'!$B$1:$I$300,7,FALSE())</f>
        <v>0</v>
      </c>
      <c r="O281" s="136" t="n">
        <f aca="false">VLOOKUP(E282,'O_MN, PE_UTA_UGM 2023'!$B$1:$I$300,8,FALSE())</f>
        <v>0</v>
      </c>
      <c r="P281" s="45"/>
      <c r="Q281" s="126" t="n">
        <f aca="false">VLOOKUP(E282,'O_MN, PE_UTA_UGM 2023'!$B$1:$I$300,5,FALSE())</f>
        <v>1E-005</v>
      </c>
      <c r="R281" s="126" t="n">
        <f aca="false">VLOOKUP(E282,'O_MN, PE_UTA_UGM 2023'!$B$1:$I$300,6,FALSE())</f>
        <v>1E-005</v>
      </c>
      <c r="S281" s="45"/>
      <c r="T281" s="47"/>
      <c r="U281" s="127" t="n">
        <f aca="false">(H281*N281)+(I281*O281)+((K281*N281)+(L281*O281)*1.25)</f>
        <v>0</v>
      </c>
      <c r="V281" s="128"/>
      <c r="W281" s="128"/>
      <c r="X281" s="127" t="n">
        <f aca="false">(H281*Q281)+(I281*R281)+((K281*Q281)+(L281*R281)*1.25)</f>
        <v>0</v>
      </c>
      <c r="Y281" s="129"/>
      <c r="Z281" s="130" t="e">
        <f aca="false">(#REF!+#REF!+K281)*'O_MN, PE_UTA_UGM 2023'!H255</f>
        <v>#REF!</v>
      </c>
      <c r="AA281" s="131" t="e">
        <f aca="false">(#REF!+#REF!+L281)*'O_MN, PE_UTA_UGM 2023'!I255</f>
        <v>#REF!</v>
      </c>
      <c r="AB281" s="132" t="n">
        <f aca="false">IF(ISERROR(+ROUND(#REF!*N281/#REF!,3)),0,+ROUND(#REF!*N281/#REF!,3))</f>
        <v>0</v>
      </c>
      <c r="AC281" s="132" t="n">
        <f aca="false">IF(ISERROR(+ROUND(#REF!*O281/#REF!,3)),0,+ROUND(#REF!*O281/#REF!,3))</f>
        <v>0</v>
      </c>
      <c r="AD281" s="133" t="n">
        <f aca="false">IF(AND(AB281=0,AC281=0),0,#REF!*(#REF!-(#REF!*AB281/N281))+#REF!*(#REF!-(#REF!*AC281/O281)))</f>
        <v>0</v>
      </c>
      <c r="AE281" s="3"/>
      <c r="AF281" s="3"/>
      <c r="AG281" s="3"/>
      <c r="AH281" s="3"/>
      <c r="AI281" s="3"/>
    </row>
    <row r="282" customFormat="false" ht="15" hidden="false" customHeight="false" outlineLevel="0" collapsed="false">
      <c r="A282" s="3"/>
      <c r="B282" s="139"/>
      <c r="C282" s="140"/>
      <c r="D282" s="141"/>
      <c r="E282" s="119" t="n">
        <f aca="false">'O_MN, PE_UTA_UGM 2023'!B255</f>
        <v>293</v>
      </c>
      <c r="F282" s="120" t="str">
        <f aca="false">'O_MN, PE_UTA_UGM 2023'!C255</f>
        <v>ROBLE</v>
      </c>
      <c r="G282" s="121"/>
      <c r="H282" s="122"/>
      <c r="I282" s="122"/>
      <c r="J282" s="123"/>
      <c r="K282" s="124"/>
      <c r="L282" s="124"/>
      <c r="M282" s="112" t="e">
        <f aca="false">+IF(OR((#REF!+#REF!)&gt;0,(#REF!+#REF!)&gt;0,(K282+L282)&gt;0),"SI","NO")</f>
        <v>#REF!</v>
      </c>
      <c r="N282" s="136" t="n">
        <f aca="false">VLOOKUP(E283,'O_MN, PE_UTA_UGM 2023'!$B$1:$I$300,7,FALSE())</f>
        <v>0</v>
      </c>
      <c r="O282" s="136" t="n">
        <f aca="false">VLOOKUP(E283,'O_MN, PE_UTA_UGM 2023'!$B$1:$I$300,8,FALSE())</f>
        <v>5200</v>
      </c>
      <c r="P282" s="45"/>
      <c r="Q282" s="126" t="n">
        <f aca="false">VLOOKUP(E283,'O_MN, PE_UTA_UGM 2023'!$B$1:$I$300,5,FALSE())</f>
        <v>360.61</v>
      </c>
      <c r="R282" s="126" t="n">
        <f aca="false">VLOOKUP(E283,'O_MN, PE_UTA_UGM 2023'!$B$1:$I$300,6,FALSE())</f>
        <v>1352.28</v>
      </c>
      <c r="S282" s="45"/>
      <c r="T282" s="47"/>
      <c r="U282" s="127" t="n">
        <f aca="false">(H282*N282)+(I282*O282)+((K282*N282)+(L282*O282)*1.25)</f>
        <v>0</v>
      </c>
      <c r="V282" s="128"/>
      <c r="W282" s="128"/>
      <c r="X282" s="127" t="n">
        <f aca="false">(H282*Q282)+(I282*R282)+((K282*Q282)+(L282*R282)*1.25)</f>
        <v>0</v>
      </c>
      <c r="Y282" s="129"/>
      <c r="Z282" s="130" t="e">
        <f aca="false">(#REF!+#REF!+K282)*'O_MN, PE_UTA_UGM 2023'!H256</f>
        <v>#REF!</v>
      </c>
      <c r="AA282" s="131" t="e">
        <f aca="false">(#REF!+#REF!+L282)*'O_MN, PE_UTA_UGM 2023'!I256</f>
        <v>#REF!</v>
      </c>
      <c r="AB282" s="132" t="n">
        <f aca="false">IF(ISERROR(+ROUND(#REF!*N282/#REF!,3)),0,+ROUND(#REF!*N282/#REF!,3))</f>
        <v>0</v>
      </c>
      <c r="AC282" s="132" t="n">
        <f aca="false">IF(ISERROR(+ROUND(#REF!*O282/#REF!,3)),0,+ROUND(#REF!*O282/#REF!,3))</f>
        <v>0</v>
      </c>
      <c r="AD282" s="133" t="n">
        <f aca="false">IF(AND(AB282=0,AC282=0),0,#REF!*(#REF!-(#REF!*AB282/N282))+#REF!*(#REF!-(#REF!*AC282/O282)))</f>
        <v>0</v>
      </c>
      <c r="AE282" s="3"/>
      <c r="AF282" s="3"/>
      <c r="AG282" s="3"/>
      <c r="AH282" s="3"/>
      <c r="AI282" s="3"/>
    </row>
    <row r="283" customFormat="false" ht="15" hidden="false" customHeight="false" outlineLevel="0" collapsed="false">
      <c r="A283" s="3"/>
      <c r="B283" s="139"/>
      <c r="C283" s="140"/>
      <c r="D283" s="141"/>
      <c r="E283" s="119" t="n">
        <f aca="false">'O_MN, PE_UTA_UGM 2023'!B256</f>
        <v>92</v>
      </c>
      <c r="F283" s="120" t="str">
        <f aca="false">'O_MN, PE_UTA_UGM 2023'!C256</f>
        <v>ROMANESCU</v>
      </c>
      <c r="G283" s="121"/>
      <c r="H283" s="122"/>
      <c r="I283" s="122"/>
      <c r="J283" s="123"/>
      <c r="K283" s="124"/>
      <c r="L283" s="124"/>
      <c r="M283" s="112" t="e">
        <f aca="false">+IF(OR((#REF!+#REF!)&gt;0,(#REF!+#REF!)&gt;0,(K283+L283)&gt;0),"SI","NO")</f>
        <v>#REF!</v>
      </c>
      <c r="N283" s="136" t="n">
        <f aca="false">VLOOKUP(E284,'O_MN, PE_UTA_UGM 2023'!$B$1:$I$300,7,FALSE())</f>
        <v>1000</v>
      </c>
      <c r="O283" s="136" t="n">
        <f aca="false">VLOOKUP(E284,'O_MN, PE_UTA_UGM 2023'!$B$1:$I$300,8,FALSE())</f>
        <v>3800</v>
      </c>
      <c r="P283" s="45"/>
      <c r="Q283" s="126" t="n">
        <f aca="false">VLOOKUP(E284,'O_MN, PE_UTA_UGM 2023'!$B$1:$I$300,5,FALSE())</f>
        <v>114.19</v>
      </c>
      <c r="R283" s="126" t="n">
        <f aca="false">VLOOKUP(E284,'O_MN, PE_UTA_UGM 2023'!$B$1:$I$300,6,FALSE())</f>
        <v>240.4</v>
      </c>
      <c r="S283" s="45"/>
      <c r="T283" s="47"/>
      <c r="U283" s="127" t="n">
        <f aca="false">(H283*N283)+(I283*O283)+((K283*N283)+(L283*O283)*1.25)</f>
        <v>0</v>
      </c>
      <c r="V283" s="128"/>
      <c r="W283" s="128"/>
      <c r="X283" s="127" t="n">
        <f aca="false">(H283*Q283)+(I283*R283)+((K283*Q283)+(L283*R283)*1.25)</f>
        <v>0</v>
      </c>
      <c r="Y283" s="129"/>
      <c r="Z283" s="130" t="e">
        <f aca="false">(#REF!+#REF!+K283)*'O_MN, PE_UTA_UGM 2023'!H257</f>
        <v>#REF!</v>
      </c>
      <c r="AA283" s="131" t="e">
        <f aca="false">(#REF!+#REF!+L283)*'O_MN, PE_UTA_UGM 2023'!I257</f>
        <v>#REF!</v>
      </c>
      <c r="AB283" s="132" t="n">
        <f aca="false">IF(ISERROR(+ROUND(#REF!*N283/#REF!,3)),0,+ROUND(#REF!*N283/#REF!,3))</f>
        <v>0</v>
      </c>
      <c r="AC283" s="132" t="n">
        <f aca="false">IF(ISERROR(+ROUND(#REF!*O283/#REF!,3)),0,+ROUND(#REF!*O283/#REF!,3))</f>
        <v>0</v>
      </c>
      <c r="AD283" s="133" t="n">
        <f aca="false">IF(AND(AB283=0,AC283=0),0,#REF!*(#REF!-(#REF!*AB283/N283))+#REF!*(#REF!-(#REF!*AC283/O283)))</f>
        <v>0</v>
      </c>
      <c r="AE283" s="3"/>
      <c r="AF283" s="3"/>
      <c r="AG283" s="3"/>
      <c r="AH283" s="3"/>
      <c r="AI283" s="3"/>
    </row>
    <row r="284" customFormat="false" ht="15" hidden="false" customHeight="false" outlineLevel="0" collapsed="false">
      <c r="A284" s="3"/>
      <c r="B284" s="139"/>
      <c r="C284" s="140"/>
      <c r="D284" s="141"/>
      <c r="E284" s="119" t="n">
        <f aca="false">'O_MN, PE_UTA_UGM 2023'!B257</f>
        <v>288</v>
      </c>
      <c r="F284" s="120" t="str">
        <f aca="false">'O_MN, PE_UTA_UGM 2023'!C257</f>
        <v>ROMERO</v>
      </c>
      <c r="G284" s="121"/>
      <c r="H284" s="122"/>
      <c r="I284" s="122"/>
      <c r="J284" s="123"/>
      <c r="K284" s="124"/>
      <c r="L284" s="124"/>
      <c r="M284" s="112" t="e">
        <f aca="false">+IF(OR((#REF!+#REF!)&gt;0,(#REF!+#REF!)&gt;0,(K284+L284)&gt;0),"SI","NO")</f>
        <v>#REF!</v>
      </c>
      <c r="N284" s="136" t="n">
        <f aca="false">VLOOKUP(E285,'O_MN, PE_UTA_UGM 2023'!$B$1:$I$300,7,FALSE())</f>
        <v>1000</v>
      </c>
      <c r="O284" s="136" t="n">
        <f aca="false">VLOOKUP(E285,'O_MN, PE_UTA_UGM 2023'!$B$1:$I$300,8,FALSE())</f>
        <v>3800</v>
      </c>
      <c r="P284" s="45"/>
      <c r="Q284" s="126" t="n">
        <f aca="false">VLOOKUP(E285,'O_MN, PE_UTA_UGM 2023'!$B$1:$I$300,5,FALSE())</f>
        <v>114.19</v>
      </c>
      <c r="R284" s="126" t="n">
        <f aca="false">VLOOKUP(E285,'O_MN, PE_UTA_UGM 2023'!$B$1:$I$300,6,FALSE())</f>
        <v>240.4</v>
      </c>
      <c r="S284" s="45"/>
      <c r="T284" s="47"/>
      <c r="U284" s="127" t="n">
        <f aca="false">(H284*N284)+(I284*O284)+((K284*N284)+(L284*O284)*1.25)</f>
        <v>0</v>
      </c>
      <c r="V284" s="128"/>
      <c r="W284" s="128"/>
      <c r="X284" s="127" t="n">
        <f aca="false">(H284*Q284)+(I284*R284)+((K284*Q284)+(L284*R284)*1.25)</f>
        <v>0</v>
      </c>
      <c r="Y284" s="129"/>
      <c r="Z284" s="130" t="e">
        <f aca="false">(#REF!+#REF!+K284)*'O_MN, PE_UTA_UGM 2023'!H258</f>
        <v>#REF!</v>
      </c>
      <c r="AA284" s="131" t="e">
        <f aca="false">(#REF!+#REF!+L284)*'O_MN, PE_UTA_UGM 2023'!I258</f>
        <v>#REF!</v>
      </c>
      <c r="AB284" s="132" t="n">
        <f aca="false">IF(ISERROR(+ROUND(#REF!*N284/#REF!,3)),0,+ROUND(#REF!*N284/#REF!,3))</f>
        <v>0</v>
      </c>
      <c r="AC284" s="132" t="n">
        <f aca="false">IF(ISERROR(+ROUND(#REF!*O284/#REF!,3)),0,+ROUND(#REF!*O284/#REF!,3))</f>
        <v>0</v>
      </c>
      <c r="AD284" s="133" t="n">
        <f aca="false">IF(AND(AB284=0,AC284=0),0,#REF!*(#REF!-(#REF!*AB284/N284))+#REF!*(#REF!-(#REF!*AC284/O284)))</f>
        <v>0</v>
      </c>
      <c r="AE284" s="3"/>
      <c r="AF284" s="3"/>
      <c r="AG284" s="3"/>
      <c r="AH284" s="3"/>
      <c r="AI284" s="3"/>
    </row>
    <row r="285" customFormat="false" ht="15" hidden="false" customHeight="false" outlineLevel="0" collapsed="false">
      <c r="A285" s="3"/>
      <c r="B285" s="139"/>
      <c r="C285" s="140"/>
      <c r="D285" s="141"/>
      <c r="E285" s="119" t="n">
        <f aca="false">'O_MN, PE_UTA_UGM 2023'!B258</f>
        <v>322</v>
      </c>
      <c r="F285" s="120" t="str">
        <f aca="false">'O_MN, PE_UTA_UGM 2023'!C258</f>
        <v>ROMPEPIEDRA</v>
      </c>
      <c r="G285" s="121"/>
      <c r="H285" s="122"/>
      <c r="I285" s="122"/>
      <c r="J285" s="123"/>
      <c r="K285" s="124"/>
      <c r="L285" s="124"/>
      <c r="M285" s="112" t="e">
        <f aca="false">+IF(OR((#REF!+#REF!)&gt;0,(#REF!+#REF!)&gt;0,(K285+L285)&gt;0),"SI","NO")</f>
        <v>#REF!</v>
      </c>
      <c r="N285" s="136" t="n">
        <f aca="false">VLOOKUP(E286,'O_MN, PE_UTA_UGM 2023'!$B$1:$I$300,7,FALSE())</f>
        <v>0</v>
      </c>
      <c r="O285" s="136" t="n">
        <f aca="false">VLOOKUP(E286,'O_MN, PE_UTA_UGM 2023'!$B$1:$I$300,8,FALSE())</f>
        <v>0</v>
      </c>
      <c r="P285" s="45"/>
      <c r="Q285" s="126" t="n">
        <f aca="false">VLOOKUP(E286,'O_MN, PE_UTA_UGM 2023'!$B$1:$I$300,5,FALSE())</f>
        <v>1E-005</v>
      </c>
      <c r="R285" s="126" t="n">
        <f aca="false">VLOOKUP(E286,'O_MN, PE_UTA_UGM 2023'!$B$1:$I$300,6,FALSE())</f>
        <v>1E-005</v>
      </c>
      <c r="S285" s="45"/>
      <c r="T285" s="47"/>
      <c r="U285" s="127" t="n">
        <f aca="false">(H285*N285)+(I285*O285)+((K285*N285)+(L285*O285)*1.25)</f>
        <v>0</v>
      </c>
      <c r="V285" s="128"/>
      <c r="W285" s="128"/>
      <c r="X285" s="127" t="n">
        <f aca="false">(H285*Q285)+(I285*R285)+((K285*Q285)+(L285*R285)*1.25)</f>
        <v>0</v>
      </c>
      <c r="Y285" s="129"/>
      <c r="Z285" s="130" t="e">
        <f aca="false">(#REF!+#REF!+K285)*'O_MN, PE_UTA_UGM 2023'!H259</f>
        <v>#REF!</v>
      </c>
      <c r="AA285" s="131" t="e">
        <f aca="false">(#REF!+#REF!+L285)*'O_MN, PE_UTA_UGM 2023'!I259</f>
        <v>#REF!</v>
      </c>
      <c r="AB285" s="132" t="n">
        <f aca="false">IF(ISERROR(+ROUND(#REF!*N285/#REF!,3)),0,+ROUND(#REF!*N285/#REF!,3))</f>
        <v>0</v>
      </c>
      <c r="AC285" s="132" t="n">
        <f aca="false">IF(ISERROR(+ROUND(#REF!*O285/#REF!,3)),0,+ROUND(#REF!*O285/#REF!,3))</f>
        <v>0</v>
      </c>
      <c r="AD285" s="133" t="n">
        <f aca="false">IF(AND(AB285=0,AC285=0),0,#REF!*(#REF!-(#REF!*AB285/N285))+#REF!*(#REF!-(#REF!*AC285/O285)))</f>
        <v>0</v>
      </c>
      <c r="AE285" s="3"/>
      <c r="AF285" s="3"/>
      <c r="AG285" s="3"/>
      <c r="AH285" s="3"/>
      <c r="AI285" s="3"/>
    </row>
    <row r="286" customFormat="false" ht="15" hidden="false" customHeight="false" outlineLevel="0" collapsed="false">
      <c r="A286" s="3"/>
      <c r="B286" s="139"/>
      <c r="C286" s="140"/>
      <c r="D286" s="141"/>
      <c r="E286" s="119" t="n">
        <f aca="false">'O_MN, PE_UTA_UGM 2023'!B259</f>
        <v>300</v>
      </c>
      <c r="F286" s="120" t="str">
        <f aca="false">'O_MN, PE_UTA_UGM 2023'!C259</f>
        <v>SABINA</v>
      </c>
      <c r="G286" s="121"/>
      <c r="H286" s="122"/>
      <c r="I286" s="122"/>
      <c r="J286" s="123"/>
      <c r="K286" s="124"/>
      <c r="L286" s="124"/>
      <c r="M286" s="112" t="e">
        <f aca="false">+IF(OR((#REF!+#REF!)&gt;0,(#REF!+#REF!)&gt;0,(K286+L286)&gt;0),"SI","NO")</f>
        <v>#REF!</v>
      </c>
      <c r="N286" s="136" t="n">
        <f aca="false">VLOOKUP(E287,'O_MN, PE_UTA_UGM 2023'!$B$1:$I$300,7,FALSE())</f>
        <v>0</v>
      </c>
      <c r="O286" s="136" t="n">
        <f aca="false">VLOOKUP(E287,'O_MN, PE_UTA_UGM 2023'!$B$1:$I$300,8,FALSE())</f>
        <v>0</v>
      </c>
      <c r="P286" s="45"/>
      <c r="Q286" s="126" t="n">
        <f aca="false">VLOOKUP(E287,'O_MN, PE_UTA_UGM 2023'!$B$1:$I$300,5,FALSE())</f>
        <v>114.19</v>
      </c>
      <c r="R286" s="126" t="n">
        <f aca="false">VLOOKUP(E287,'O_MN, PE_UTA_UGM 2023'!$B$1:$I$300,6,FALSE())</f>
        <v>240.4</v>
      </c>
      <c r="S286" s="45"/>
      <c r="T286" s="47"/>
      <c r="U286" s="127" t="n">
        <f aca="false">(H286*N286)+(I286*O286)+((K286*N286)+(L286*O286)*1.25)</f>
        <v>0</v>
      </c>
      <c r="V286" s="128"/>
      <c r="W286" s="128"/>
      <c r="X286" s="127" t="n">
        <f aca="false">(H286*Q286)+(I286*R286)+((K286*Q286)+(L286*R286)*1.25)</f>
        <v>0</v>
      </c>
      <c r="Y286" s="129"/>
      <c r="Z286" s="130" t="e">
        <f aca="false">(#REF!+#REF!+K286)*'O_MN, PE_UTA_UGM 2023'!H260</f>
        <v>#REF!</v>
      </c>
      <c r="AA286" s="131" t="e">
        <f aca="false">(#REF!+#REF!+L286)*'O_MN, PE_UTA_UGM 2023'!I260</f>
        <v>#REF!</v>
      </c>
      <c r="AB286" s="132" t="n">
        <f aca="false">IF(ISERROR(+ROUND(#REF!*N286/#REF!,3)),0,+ROUND(#REF!*N286/#REF!,3))</f>
        <v>0</v>
      </c>
      <c r="AC286" s="132" t="n">
        <f aca="false">IF(ISERROR(+ROUND(#REF!*O286/#REF!,3)),0,+ROUND(#REF!*O286/#REF!,3))</f>
        <v>0</v>
      </c>
      <c r="AD286" s="133" t="n">
        <f aca="false">IF(AND(AB286=0,AC286=0),0,#REF!*(#REF!-(#REF!*AB286/N286))+#REF!*(#REF!-(#REF!*AC286/O286)))</f>
        <v>0</v>
      </c>
      <c r="AE286" s="3"/>
      <c r="AF286" s="3"/>
      <c r="AG286" s="3"/>
      <c r="AH286" s="3"/>
      <c r="AI286" s="3"/>
    </row>
    <row r="287" customFormat="false" ht="15" hidden="false" customHeight="false" outlineLevel="0" collapsed="false">
      <c r="A287" s="3"/>
      <c r="B287" s="139"/>
      <c r="C287" s="140"/>
      <c r="D287" s="141"/>
      <c r="E287" s="119" t="n">
        <f aca="false">'O_MN, PE_UTA_UGM 2023'!B260</f>
        <v>227</v>
      </c>
      <c r="F287" s="120" t="str">
        <f aca="false">'O_MN, PE_UTA_UGM 2023'!C260</f>
        <v>SALIX</v>
      </c>
      <c r="G287" s="121"/>
      <c r="H287" s="122"/>
      <c r="I287" s="122"/>
      <c r="J287" s="123"/>
      <c r="K287" s="124"/>
      <c r="L287" s="124"/>
      <c r="M287" s="112" t="e">
        <f aca="false">+IF(OR((#REF!+#REF!)&gt;0,(#REF!+#REF!)&gt;0,(K287+L287)&gt;0),"SI","NO")</f>
        <v>#REF!</v>
      </c>
      <c r="N287" s="136" t="n">
        <f aca="false">VLOOKUP(E288,'O_MN, PE_UTA_UGM 2023'!$B$1:$I$300,7,FALSE())</f>
        <v>1000</v>
      </c>
      <c r="O287" s="136" t="n">
        <f aca="false">VLOOKUP(E288,'O_MN, PE_UTA_UGM 2023'!$B$1:$I$300,8,FALSE())</f>
        <v>3800</v>
      </c>
      <c r="P287" s="45"/>
      <c r="Q287" s="126" t="n">
        <f aca="false">VLOOKUP(E288,'O_MN, PE_UTA_UGM 2023'!$B$1:$I$300,5,FALSE())</f>
        <v>114.19</v>
      </c>
      <c r="R287" s="126" t="n">
        <f aca="false">VLOOKUP(E288,'O_MN, PE_UTA_UGM 2023'!$B$1:$I$300,6,FALSE())</f>
        <v>240.4</v>
      </c>
      <c r="S287" s="45"/>
      <c r="T287" s="47"/>
      <c r="U287" s="127" t="n">
        <f aca="false">(H287*N287)+(I287*O287)+((K287*N287)+(L287*O287)*1.25)</f>
        <v>0</v>
      </c>
      <c r="V287" s="128"/>
      <c r="W287" s="128"/>
      <c r="X287" s="127" t="n">
        <f aca="false">(H287*Q287)+(I287*R287)+((K287*Q287)+(L287*R287)*1.25)</f>
        <v>0</v>
      </c>
      <c r="Y287" s="129"/>
      <c r="Z287" s="130" t="e">
        <f aca="false">(#REF!+#REF!+K287)*'O_MN, PE_UTA_UGM 2023'!H261</f>
        <v>#REF!</v>
      </c>
      <c r="AA287" s="131" t="e">
        <f aca="false">(#REF!+#REF!+L287)*'O_MN, PE_UTA_UGM 2023'!I261</f>
        <v>#REF!</v>
      </c>
      <c r="AB287" s="132" t="n">
        <f aca="false">IF(ISERROR(+ROUND(#REF!*N287/#REF!,3)),0,+ROUND(#REF!*N287/#REF!,3))</f>
        <v>0</v>
      </c>
      <c r="AC287" s="132" t="n">
        <f aca="false">IF(ISERROR(+ROUND(#REF!*O287/#REF!,3)),0,+ROUND(#REF!*O287/#REF!,3))</f>
        <v>0</v>
      </c>
      <c r="AD287" s="133" t="n">
        <f aca="false">IF(AND(AB287=0,AC287=0),0,#REF!*(#REF!-(#REF!*AB287/N287))+#REF!*(#REF!-(#REF!*AC287/O287)))</f>
        <v>0</v>
      </c>
      <c r="AE287" s="3"/>
      <c r="AF287" s="3"/>
      <c r="AG287" s="3"/>
      <c r="AH287" s="3"/>
      <c r="AI287" s="3"/>
    </row>
    <row r="288" customFormat="false" ht="15" hidden="false" customHeight="false" outlineLevel="0" collapsed="false">
      <c r="A288" s="3"/>
      <c r="B288" s="139"/>
      <c r="C288" s="140"/>
      <c r="D288" s="141"/>
      <c r="E288" s="119" t="n">
        <f aca="false">'O_MN, PE_UTA_UGM 2023'!B261</f>
        <v>268</v>
      </c>
      <c r="F288" s="120" t="str">
        <f aca="false">'O_MN, PE_UTA_UGM 2023'!C261</f>
        <v>SALVIA</v>
      </c>
      <c r="G288" s="121"/>
      <c r="H288" s="122"/>
      <c r="I288" s="122"/>
      <c r="J288" s="123"/>
      <c r="K288" s="124"/>
      <c r="L288" s="124"/>
      <c r="M288" s="112" t="e">
        <f aca="false">+IF(OR((#REF!+#REF!)&gt;0,(#REF!+#REF!)&gt;0,(K288+L288)&gt;0),"SI","NO")</f>
        <v>#REF!</v>
      </c>
      <c r="N288" s="136" t="n">
        <f aca="false">VLOOKUP(E289,'O_MN, PE_UTA_UGM 2023'!$B$1:$I$300,7,FALSE())</f>
        <v>0</v>
      </c>
      <c r="O288" s="136" t="n">
        <f aca="false">VLOOKUP(E289,'O_MN, PE_UTA_UGM 2023'!$B$1:$I$300,8,FALSE())</f>
        <v>8500</v>
      </c>
      <c r="P288" s="45"/>
      <c r="Q288" s="126" t="n">
        <f aca="false">VLOOKUP(E289,'O_MN, PE_UTA_UGM 2023'!$B$1:$I$300,5,FALSE())</f>
        <v>360.61</v>
      </c>
      <c r="R288" s="126" t="n">
        <f aca="false">VLOOKUP(E289,'O_MN, PE_UTA_UGM 2023'!$B$1:$I$300,6,FALSE())</f>
        <v>1352.28</v>
      </c>
      <c r="S288" s="45"/>
      <c r="T288" s="47"/>
      <c r="U288" s="127" t="n">
        <f aca="false">(H288*N288)+(I288*O288)+((K288*N288)+(L288*O288)*1.25)</f>
        <v>0</v>
      </c>
      <c r="V288" s="128"/>
      <c r="W288" s="128"/>
      <c r="X288" s="127" t="n">
        <f aca="false">(H288*Q288)+(I288*R288)+((K288*Q288)+(L288*R288)*1.25)</f>
        <v>0</v>
      </c>
      <c r="Y288" s="129"/>
      <c r="Z288" s="130" t="e">
        <f aca="false">(#REF!+#REF!+K288)*'O_MN, PE_UTA_UGM 2023'!H262</f>
        <v>#REF!</v>
      </c>
      <c r="AA288" s="131" t="e">
        <f aca="false">(#REF!+#REF!+L288)*'O_MN, PE_UTA_UGM 2023'!I262</f>
        <v>#REF!</v>
      </c>
      <c r="AB288" s="132" t="n">
        <f aca="false">IF(ISERROR(+ROUND(#REF!*N288/#REF!,3)),0,+ROUND(#REF!*N288/#REF!,3))</f>
        <v>0</v>
      </c>
      <c r="AC288" s="132" t="n">
        <f aca="false">IF(ISERROR(+ROUND(#REF!*O288/#REF!,3)),0,+ROUND(#REF!*O288/#REF!,3))</f>
        <v>0</v>
      </c>
      <c r="AD288" s="133" t="n">
        <f aca="false">IF(AND(AB288=0,AC288=0),0,#REF!*(#REF!-(#REF!*AB288/N288))+#REF!*(#REF!-(#REF!*AC288/O288)))</f>
        <v>0</v>
      </c>
      <c r="AE288" s="3"/>
      <c r="AF288" s="3"/>
      <c r="AG288" s="3"/>
      <c r="AH288" s="3"/>
      <c r="AI288" s="3"/>
    </row>
    <row r="289" customFormat="false" ht="15" hidden="false" customHeight="false" outlineLevel="0" collapsed="false">
      <c r="A289" s="3"/>
      <c r="B289" s="139"/>
      <c r="C289" s="140"/>
      <c r="D289" s="141"/>
      <c r="E289" s="119" t="n">
        <f aca="false">'O_MN, PE_UTA_UGM 2023'!B262</f>
        <v>156</v>
      </c>
      <c r="F289" s="120" t="str">
        <f aca="false">'O_MN, PE_UTA_UGM 2023'!C262</f>
        <v>SANDIA</v>
      </c>
      <c r="G289" s="121"/>
      <c r="H289" s="122"/>
      <c r="I289" s="122"/>
      <c r="J289" s="123"/>
      <c r="K289" s="124"/>
      <c r="L289" s="124"/>
      <c r="M289" s="112" t="e">
        <f aca="false">+IF(OR((#REF!+#REF!)&gt;0,(#REF!+#REF!)&gt;0,(K289+L289)&gt;0),"SI","NO")</f>
        <v>#REF!</v>
      </c>
      <c r="N289" s="136" t="n">
        <f aca="false">VLOOKUP(E290,'O_MN, PE_UTA_UGM 2023'!$B$1:$I$300,7,FALSE())</f>
        <v>1000</v>
      </c>
      <c r="O289" s="136" t="n">
        <f aca="false">VLOOKUP(E290,'O_MN, PE_UTA_UGM 2023'!$B$1:$I$300,8,FALSE())</f>
        <v>3800</v>
      </c>
      <c r="P289" s="45"/>
      <c r="Q289" s="126" t="n">
        <f aca="false">VLOOKUP(E290,'O_MN, PE_UTA_UGM 2023'!$B$1:$I$300,5,FALSE())</f>
        <v>114.19</v>
      </c>
      <c r="R289" s="126" t="n">
        <f aca="false">VLOOKUP(E290,'O_MN, PE_UTA_UGM 2023'!$B$1:$I$300,6,FALSE())</f>
        <v>240.4</v>
      </c>
      <c r="S289" s="45"/>
      <c r="T289" s="47"/>
      <c r="U289" s="127" t="n">
        <f aca="false">(H289*N289)+(I289*O289)+((K289*N289)+(L289*O289)*1.25)</f>
        <v>0</v>
      </c>
      <c r="V289" s="128"/>
      <c r="W289" s="128"/>
      <c r="X289" s="127" t="n">
        <f aca="false">(H289*Q289)+(I289*R289)+((K289*Q289)+(L289*R289)*1.25)</f>
        <v>0</v>
      </c>
      <c r="Y289" s="129"/>
      <c r="Z289" s="130" t="e">
        <f aca="false">(#REF!+#REF!+K289)*'O_MN, PE_UTA_UGM 2023'!H263</f>
        <v>#REF!</v>
      </c>
      <c r="AA289" s="131" t="e">
        <f aca="false">(#REF!+#REF!+L289)*'O_MN, PE_UTA_UGM 2023'!I263</f>
        <v>#REF!</v>
      </c>
      <c r="AB289" s="132" t="n">
        <f aca="false">IF(ISERROR(+ROUND(#REF!*N289/#REF!,3)),0,+ROUND(#REF!*N289/#REF!,3))</f>
        <v>0</v>
      </c>
      <c r="AC289" s="132" t="n">
        <f aca="false">IF(ISERROR(+ROUND(#REF!*O289/#REF!,3)),0,+ROUND(#REF!*O289/#REF!,3))</f>
        <v>0</v>
      </c>
      <c r="AD289" s="133" t="n">
        <f aca="false">IF(AND(AB289=0,AC289=0),0,#REF!*(#REF!-(#REF!*AB289/N289))+#REF!*(#REF!-(#REF!*AC289/O289)))</f>
        <v>0</v>
      </c>
      <c r="AE289" s="3"/>
      <c r="AF289" s="3"/>
      <c r="AG289" s="3"/>
      <c r="AH289" s="3"/>
      <c r="AI289" s="3"/>
    </row>
    <row r="290" customFormat="false" ht="15" hidden="false" customHeight="false" outlineLevel="0" collapsed="false">
      <c r="A290" s="3"/>
      <c r="B290" s="139"/>
      <c r="C290" s="140"/>
      <c r="D290" s="141"/>
      <c r="E290" s="119" t="n">
        <f aca="false">'O_MN, PE_UTA_UGM 2023'!B263</f>
        <v>289</v>
      </c>
      <c r="F290" s="120" t="str">
        <f aca="false">'O_MN, PE_UTA_UGM 2023'!C263</f>
        <v>SANTOLINA</v>
      </c>
      <c r="G290" s="121"/>
      <c r="H290" s="122"/>
      <c r="I290" s="122"/>
      <c r="J290" s="123"/>
      <c r="K290" s="124"/>
      <c r="L290" s="124"/>
      <c r="M290" s="112" t="e">
        <f aca="false">+IF(OR((#REF!+#REF!)&gt;0,(#REF!+#REF!)&gt;0,(K290+L290)&gt;0),"SI","NO")</f>
        <v>#REF!</v>
      </c>
      <c r="N290" s="136" t="n">
        <f aca="false">VLOOKUP(E291,'O_MN, PE_UTA_UGM 2023'!$B$1:$I$300,7,FALSE())</f>
        <v>1939.8</v>
      </c>
      <c r="O290" s="136" t="n">
        <f aca="false">VLOOKUP(E291,'O_MN, PE_UTA_UGM 2023'!$B$1:$I$300,8,FALSE())</f>
        <v>6000</v>
      </c>
      <c r="P290" s="45"/>
      <c r="Q290" s="126" t="n">
        <f aca="false">VLOOKUP(E291,'O_MN, PE_UTA_UGM 2023'!$B$1:$I$300,5,FALSE())</f>
        <v>480.81</v>
      </c>
      <c r="R290" s="126" t="n">
        <f aca="false">VLOOKUP(E291,'O_MN, PE_UTA_UGM 2023'!$B$1:$I$300,6,FALSE())</f>
        <v>1442.43</v>
      </c>
      <c r="S290" s="45"/>
      <c r="T290" s="47"/>
      <c r="U290" s="127" t="n">
        <f aca="false">(H290*N290)+(I290*O290)+((K290*N290)+(L290*O290)*1.25)</f>
        <v>0</v>
      </c>
      <c r="V290" s="128"/>
      <c r="W290" s="128"/>
      <c r="X290" s="127" t="n">
        <f aca="false">(H290*Q290)+(I290*R290)+((K290*Q290)+(L290*R290)*1.25)</f>
        <v>0</v>
      </c>
      <c r="Y290" s="129"/>
      <c r="Z290" s="130" t="e">
        <f aca="false">(#REF!+#REF!+K290)*'O_MN, PE_UTA_UGM 2023'!H264</f>
        <v>#REF!</v>
      </c>
      <c r="AA290" s="131" t="e">
        <f aca="false">(#REF!+#REF!+L290)*'O_MN, PE_UTA_UGM 2023'!I264</f>
        <v>#REF!</v>
      </c>
      <c r="AB290" s="132" t="n">
        <f aca="false">IF(ISERROR(+ROUND(#REF!*N290/#REF!,3)),0,+ROUND(#REF!*N290/#REF!,3))</f>
        <v>0</v>
      </c>
      <c r="AC290" s="132" t="n">
        <f aca="false">IF(ISERROR(+ROUND(#REF!*O290/#REF!,3)),0,+ROUND(#REF!*O290/#REF!,3))</f>
        <v>0</v>
      </c>
      <c r="AD290" s="133" t="n">
        <f aca="false">IF(AND(AB290=0,AC290=0),0,#REF!*(#REF!-(#REF!*AB290/N290))+#REF!*(#REF!-(#REF!*AC290/O290)))</f>
        <v>0</v>
      </c>
      <c r="AE290" s="3"/>
      <c r="AF290" s="3"/>
      <c r="AG290" s="3"/>
      <c r="AH290" s="3"/>
      <c r="AI290" s="3"/>
    </row>
    <row r="291" customFormat="false" ht="15" hidden="false" customHeight="false" outlineLevel="0" collapsed="false">
      <c r="A291" s="3"/>
      <c r="B291" s="139"/>
      <c r="C291" s="140"/>
      <c r="D291" s="141"/>
      <c r="E291" s="119" t="n">
        <f aca="false">'O_MN, PE_UTA_UGM 2023'!B264</f>
        <v>205</v>
      </c>
      <c r="F291" s="120" t="str">
        <f aca="false">'O_MN, PE_UTA_UGM 2023'!C264</f>
        <v>SATSUMAS</v>
      </c>
      <c r="G291" s="121"/>
      <c r="H291" s="122"/>
      <c r="I291" s="122"/>
      <c r="J291" s="123"/>
      <c r="K291" s="124"/>
      <c r="L291" s="124"/>
      <c r="M291" s="112" t="e">
        <f aca="false">+IF(OR((#REF!+#REF!)&gt;0,(#REF!+#REF!)&gt;0,(K291+L291)&gt;0),"SI","NO")</f>
        <v>#REF!</v>
      </c>
      <c r="N291" s="136" t="n">
        <f aca="false">VLOOKUP(E292,'O_MN, PE_UTA_UGM 2023'!$B$1:$I$300,7,FALSE())</f>
        <v>0</v>
      </c>
      <c r="O291" s="136" t="n">
        <f aca="false">VLOOKUP(E292,'O_MN, PE_UTA_UGM 2023'!$B$1:$I$300,8,FALSE())</f>
        <v>180000</v>
      </c>
      <c r="P291" s="45"/>
      <c r="Q291" s="126" t="n">
        <f aca="false">VLOOKUP(E292,'O_MN, PE_UTA_UGM 2023'!$B$1:$I$300,5,FALSE())</f>
        <v>1E-005</v>
      </c>
      <c r="R291" s="126" t="n">
        <f aca="false">VLOOKUP(E292,'O_MN, PE_UTA_UGM 2023'!$B$1:$I$300,6,FALSE())</f>
        <v>100000</v>
      </c>
      <c r="S291" s="45"/>
      <c r="T291" s="47"/>
      <c r="U291" s="127" t="n">
        <f aca="false">(H291*N291)+(I291*O291)+((K291*N291)+(L291*O291)*1.25)</f>
        <v>0</v>
      </c>
      <c r="V291" s="128"/>
      <c r="W291" s="128"/>
      <c r="X291" s="127" t="n">
        <f aca="false">(H291*Q291)+(I291*R291)+((K291*Q291)+(L291*R291)*1.25)</f>
        <v>0</v>
      </c>
      <c r="Y291" s="129"/>
      <c r="Z291" s="130" t="e">
        <f aca="false">(#REF!+#REF!+K291)*'O_MN, PE_UTA_UGM 2023'!H265</f>
        <v>#REF!</v>
      </c>
      <c r="AA291" s="131" t="e">
        <f aca="false">(#REF!+#REF!+L291)*'O_MN, PE_UTA_UGM 2023'!I265</f>
        <v>#REF!</v>
      </c>
      <c r="AB291" s="132" t="n">
        <f aca="false">IF(ISERROR(+ROUND(#REF!*N291/#REF!,3)),0,+ROUND(#REF!*N291/#REF!,3))</f>
        <v>0</v>
      </c>
      <c r="AC291" s="132" t="n">
        <f aca="false">IF(ISERROR(+ROUND(#REF!*O291/#REF!,3)),0,+ROUND(#REF!*O291/#REF!,3))</f>
        <v>0</v>
      </c>
      <c r="AD291" s="133" t="n">
        <f aca="false">IF(AND(AB291=0,AC291=0),0,#REF!*(#REF!-(#REF!*AB291/N291))+#REF!*(#REF!-(#REF!*AC291/O291)))</f>
        <v>0</v>
      </c>
      <c r="AE291" s="3"/>
      <c r="AF291" s="3"/>
      <c r="AG291" s="3"/>
      <c r="AH291" s="3"/>
      <c r="AI291" s="3"/>
    </row>
    <row r="292" customFormat="false" ht="15" hidden="false" customHeight="false" outlineLevel="0" collapsed="false">
      <c r="A292" s="3"/>
      <c r="B292" s="139"/>
      <c r="C292" s="140"/>
      <c r="D292" s="141"/>
      <c r="E292" s="119" t="n">
        <f aca="false">'O_MN, PE_UTA_UGM 2023'!B265</f>
        <v>97</v>
      </c>
      <c r="F292" s="120" t="str">
        <f aca="false">'O_MN, PE_UTA_UGM 2023'!C265</f>
        <v>SETAS</v>
      </c>
      <c r="G292" s="121"/>
      <c r="H292" s="122"/>
      <c r="I292" s="122"/>
      <c r="J292" s="123"/>
      <c r="K292" s="124"/>
      <c r="L292" s="124"/>
      <c r="M292" s="112" t="e">
        <f aca="false">+IF(OR((#REF!+#REF!)&gt;0,(#REF!+#REF!)&gt;0,(K292+L292)&gt;0),"SI","NO")</f>
        <v>#REF!</v>
      </c>
      <c r="N292" s="136" t="n">
        <f aca="false">VLOOKUP(E293,'O_MN, PE_UTA_UGM 2023'!$B$1:$I$300,7,FALSE())</f>
        <v>1000</v>
      </c>
      <c r="O292" s="136" t="n">
        <f aca="false">VLOOKUP(E293,'O_MN, PE_UTA_UGM 2023'!$B$1:$I$300,8,FALSE())</f>
        <v>3800</v>
      </c>
      <c r="P292" s="45"/>
      <c r="Q292" s="126" t="n">
        <f aca="false">VLOOKUP(E293,'O_MN, PE_UTA_UGM 2023'!$B$1:$I$300,5,FALSE())</f>
        <v>114.19</v>
      </c>
      <c r="R292" s="126" t="n">
        <f aca="false">VLOOKUP(E293,'O_MN, PE_UTA_UGM 2023'!$B$1:$I$300,6,FALSE())</f>
        <v>240.4</v>
      </c>
      <c r="S292" s="45"/>
      <c r="T292" s="47"/>
      <c r="U292" s="127" t="n">
        <f aca="false">(H292*N292)+(I292*O292)+((K292*N292)+(L292*O292)*1.25)</f>
        <v>0</v>
      </c>
      <c r="V292" s="128"/>
      <c r="W292" s="128"/>
      <c r="X292" s="127" t="n">
        <f aca="false">(H292*Q292)+(I292*R292)+((K292*Q292)+(L292*R292)*1.25)</f>
        <v>0</v>
      </c>
      <c r="Y292" s="129"/>
      <c r="Z292" s="130" t="e">
        <f aca="false">(#REF!+#REF!+K292)*'O_MN, PE_UTA_UGM 2023'!H266</f>
        <v>#REF!</v>
      </c>
      <c r="AA292" s="131" t="e">
        <f aca="false">(#REF!+#REF!+L292)*'O_MN, PE_UTA_UGM 2023'!I266</f>
        <v>#REF!</v>
      </c>
      <c r="AB292" s="132" t="n">
        <f aca="false">IF(ISERROR(+ROUND(#REF!*N292/#REF!,3)),0,+ROUND(#REF!*N292/#REF!,3))</f>
        <v>0</v>
      </c>
      <c r="AC292" s="132" t="n">
        <f aca="false">IF(ISERROR(+ROUND(#REF!*O292/#REF!,3)),0,+ROUND(#REF!*O292/#REF!,3))</f>
        <v>0</v>
      </c>
      <c r="AD292" s="133" t="n">
        <f aca="false">IF(AND(AB292=0,AC292=0),0,#REF!*(#REF!-(#REF!*AB292/N292))+#REF!*(#REF!-(#REF!*AC292/O292)))</f>
        <v>0</v>
      </c>
      <c r="AE292" s="3"/>
      <c r="AF292" s="3"/>
      <c r="AG292" s="3"/>
      <c r="AH292" s="3"/>
      <c r="AI292" s="3"/>
    </row>
    <row r="293" customFormat="false" ht="15" hidden="false" customHeight="false" outlineLevel="0" collapsed="false">
      <c r="A293" s="3"/>
      <c r="B293" s="139"/>
      <c r="C293" s="140"/>
      <c r="D293" s="141"/>
      <c r="E293" s="119" t="n">
        <f aca="false">'O_MN, PE_UTA_UGM 2023'!B266</f>
        <v>341</v>
      </c>
      <c r="F293" s="120" t="str">
        <f aca="false">'O_MN, PE_UTA_UGM 2023'!C266</f>
        <v>SILPHIUM</v>
      </c>
      <c r="G293" s="121"/>
      <c r="H293" s="122"/>
      <c r="I293" s="122"/>
      <c r="J293" s="123"/>
      <c r="K293" s="124"/>
      <c r="L293" s="124"/>
      <c r="M293" s="112" t="e">
        <f aca="false">+IF(OR((#REF!+#REF!)&gt;0,(#REF!+#REF!)&gt;0,(K293+L293)&gt;0),"SI","NO")</f>
        <v>#REF!</v>
      </c>
      <c r="N293" s="136" t="n">
        <f aca="false">VLOOKUP(E294,'O_MN, PE_UTA_UGM 2023'!$B$1:$I$300,7,FALSE())</f>
        <v>1000</v>
      </c>
      <c r="O293" s="136" t="n">
        <f aca="false">VLOOKUP(E294,'O_MN, PE_UTA_UGM 2023'!$B$1:$I$300,8,FALSE())</f>
        <v>3800</v>
      </c>
      <c r="P293" s="45"/>
      <c r="Q293" s="126" t="n">
        <f aca="false">VLOOKUP(E294,'O_MN, PE_UTA_UGM 2023'!$B$1:$I$300,5,FALSE())</f>
        <v>114.19</v>
      </c>
      <c r="R293" s="126" t="n">
        <f aca="false">VLOOKUP(E294,'O_MN, PE_UTA_UGM 2023'!$B$1:$I$300,6,FALSE())</f>
        <v>240.4</v>
      </c>
      <c r="S293" s="45"/>
      <c r="T293" s="47"/>
      <c r="U293" s="127" t="n">
        <f aca="false">(H293*N293)+(I293*O293)+((K293*N293)+(L293*O293)*1.25)</f>
        <v>0</v>
      </c>
      <c r="V293" s="128"/>
      <c r="W293" s="128"/>
      <c r="X293" s="127" t="n">
        <f aca="false">(H293*Q293)+(I293*R293)+((K293*Q293)+(L293*R293)*1.25)</f>
        <v>0</v>
      </c>
      <c r="Y293" s="129"/>
      <c r="Z293" s="130" t="e">
        <f aca="false">(#REF!+#REF!+K293)*'O_MN, PE_UTA_UGM 2023'!H267</f>
        <v>#REF!</v>
      </c>
      <c r="AA293" s="131" t="e">
        <f aca="false">(#REF!+#REF!+L293)*'O_MN, PE_UTA_UGM 2023'!I267</f>
        <v>#REF!</v>
      </c>
      <c r="AB293" s="132" t="n">
        <f aca="false">IF(ISERROR(+ROUND(#REF!*N293/#REF!,3)),0,+ROUND(#REF!*N293/#REF!,3))</f>
        <v>0</v>
      </c>
      <c r="AC293" s="132" t="n">
        <f aca="false">IF(ISERROR(+ROUND(#REF!*O293/#REF!,3)),0,+ROUND(#REF!*O293/#REF!,3))</f>
        <v>0</v>
      </c>
      <c r="AD293" s="133" t="n">
        <f aca="false">IF(AND(AB293=0,AC293=0),0,#REF!*(#REF!-(#REF!*AB293/N293))+#REF!*(#REF!-(#REF!*AC293/O293)))</f>
        <v>0</v>
      </c>
      <c r="AE293" s="3"/>
      <c r="AF293" s="3"/>
      <c r="AG293" s="3"/>
      <c r="AH293" s="3"/>
      <c r="AI293" s="3"/>
    </row>
    <row r="294" customFormat="false" ht="15" hidden="false" customHeight="false" outlineLevel="0" collapsed="false">
      <c r="A294" s="3"/>
      <c r="B294" s="139"/>
      <c r="C294" s="140"/>
      <c r="D294" s="141"/>
      <c r="E294" s="119" t="n">
        <f aca="false">'O_MN, PE_UTA_UGM 2023'!B267</f>
        <v>900</v>
      </c>
      <c r="F294" s="120" t="str">
        <f aca="false">'O_MN, PE_UTA_UGM 2023'!C267</f>
        <v>SINAPIS ALBA</v>
      </c>
      <c r="G294" s="121"/>
      <c r="H294" s="122"/>
      <c r="I294" s="122"/>
      <c r="J294" s="123"/>
      <c r="K294" s="124"/>
      <c r="L294" s="124"/>
      <c r="M294" s="112" t="e">
        <f aca="false">+IF(OR((#REF!+#REF!)&gt;0,(#REF!+#REF!)&gt;0,(K294+L294)&gt;0),"SI","NO")</f>
        <v>#REF!</v>
      </c>
      <c r="N294" s="136" t="n">
        <f aca="false">VLOOKUP(E295,'O_MN, PE_UTA_UGM 2023'!$B$1:$I$300,7,FALSE())</f>
        <v>350</v>
      </c>
      <c r="O294" s="136" t="n">
        <f aca="false">VLOOKUP(E295,'O_MN, PE_UTA_UGM 2023'!$B$1:$I$300,8,FALSE())</f>
        <v>850</v>
      </c>
      <c r="P294" s="45"/>
      <c r="Q294" s="126" t="n">
        <f aca="false">VLOOKUP(E295,'O_MN, PE_UTA_UGM 2023'!$B$1:$I$300,5,FALSE())</f>
        <v>114.19</v>
      </c>
      <c r="R294" s="126" t="n">
        <f aca="false">VLOOKUP(E295,'O_MN, PE_UTA_UGM 2023'!$B$1:$I$300,6,FALSE())</f>
        <v>240.4</v>
      </c>
      <c r="S294" s="45"/>
      <c r="T294" s="47"/>
      <c r="U294" s="127" t="n">
        <f aca="false">(H294*N294)+(I294*O294)+((K294*N294)+(L294*O294)*1.25)</f>
        <v>0</v>
      </c>
      <c r="V294" s="128"/>
      <c r="W294" s="128"/>
      <c r="X294" s="127" t="n">
        <f aca="false">(H294*Q294)+(I294*R294)+((K294*Q294)+(L294*R294)*1.25)</f>
        <v>0</v>
      </c>
      <c r="Y294" s="129"/>
      <c r="Z294" s="130" t="e">
        <f aca="false">(#REF!+#REF!+K294)*'O_MN, PE_UTA_UGM 2023'!H268</f>
        <v>#REF!</v>
      </c>
      <c r="AA294" s="131" t="e">
        <f aca="false">(#REF!+#REF!+L294)*'O_MN, PE_UTA_UGM 2023'!I268</f>
        <v>#REF!</v>
      </c>
      <c r="AB294" s="132" t="n">
        <f aca="false">IF(ISERROR(+ROUND(#REF!*N294/#REF!,3)),0,+ROUND(#REF!*N294/#REF!,3))</f>
        <v>0</v>
      </c>
      <c r="AC294" s="132" t="n">
        <f aca="false">IF(ISERROR(+ROUND(#REF!*O294/#REF!,3)),0,+ROUND(#REF!*O294/#REF!,3))</f>
        <v>0</v>
      </c>
      <c r="AD294" s="133" t="n">
        <f aca="false">IF(AND(AB294=0,AC294=0),0,#REF!*(#REF!-(#REF!*AB294/N294))+#REF!*(#REF!-(#REF!*AC294/O294)))</f>
        <v>0</v>
      </c>
      <c r="AE294" s="3"/>
      <c r="AF294" s="3"/>
      <c r="AG294" s="3"/>
      <c r="AH294" s="3"/>
      <c r="AI294" s="3"/>
    </row>
    <row r="295" customFormat="false" ht="15" hidden="false" customHeight="false" outlineLevel="0" collapsed="false">
      <c r="A295" s="3"/>
      <c r="B295" s="139"/>
      <c r="C295" s="140"/>
      <c r="D295" s="141"/>
      <c r="E295" s="119" t="n">
        <f aca="false">'O_MN, PE_UTA_UGM 2023'!B268</f>
        <v>34</v>
      </c>
      <c r="F295" s="120" t="str">
        <f aca="false">'O_MN, PE_UTA_UGM 2023'!C268</f>
        <v>SOJA</v>
      </c>
      <c r="G295" s="121"/>
      <c r="H295" s="122"/>
      <c r="I295" s="122"/>
      <c r="J295" s="123"/>
      <c r="K295" s="124"/>
      <c r="L295" s="124"/>
      <c r="M295" s="112" t="e">
        <f aca="false">+IF(OR((#REF!+#REF!)&gt;0,(#REF!+#REF!)&gt;0,(K295+L295)&gt;0),"SI","NO")</f>
        <v>#REF!</v>
      </c>
      <c r="N295" s="136" t="n">
        <f aca="false">VLOOKUP(E296,'O_MN, PE_UTA_UGM 2023'!$B$1:$I$300,7,FALSE())</f>
        <v>400</v>
      </c>
      <c r="O295" s="136" t="n">
        <f aca="false">VLOOKUP(E296,'O_MN, PE_UTA_UGM 2023'!$B$1:$I$300,8,FALSE())</f>
        <v>800</v>
      </c>
      <c r="P295" s="45"/>
      <c r="Q295" s="126" t="n">
        <f aca="false">VLOOKUP(E296,'O_MN, PE_UTA_UGM 2023'!$B$1:$I$300,5,FALSE())</f>
        <v>114.19</v>
      </c>
      <c r="R295" s="126" t="n">
        <f aca="false">VLOOKUP(E296,'O_MN, PE_UTA_UGM 2023'!$B$1:$I$300,6,FALSE())</f>
        <v>240.4</v>
      </c>
      <c r="S295" s="45"/>
      <c r="T295" s="47"/>
      <c r="U295" s="127" t="n">
        <f aca="false">(H295*N295)+(I295*O295)+((K295*N295)+(L295*O295)*1.25)</f>
        <v>0</v>
      </c>
      <c r="V295" s="128"/>
      <c r="W295" s="128"/>
      <c r="X295" s="127" t="n">
        <f aca="false">(H295*Q295)+(I295*R295)+((K295*Q295)+(L295*R295)*1.25)</f>
        <v>0</v>
      </c>
      <c r="Y295" s="129"/>
      <c r="Z295" s="130" t="e">
        <f aca="false">(#REF!+#REF!+K295)*'O_MN, PE_UTA_UGM 2023'!H269</f>
        <v>#REF!</v>
      </c>
      <c r="AA295" s="131" t="e">
        <f aca="false">(#REF!+#REF!+L295)*'O_MN, PE_UTA_UGM 2023'!I269</f>
        <v>#REF!</v>
      </c>
      <c r="AB295" s="132" t="n">
        <f aca="false">IF(ISERROR(+ROUND(#REF!*N295/#REF!,3)),0,+ROUND(#REF!*N295/#REF!,3))</f>
        <v>0</v>
      </c>
      <c r="AC295" s="132" t="n">
        <f aca="false">IF(ISERROR(+ROUND(#REF!*O295/#REF!,3)),0,+ROUND(#REF!*O295/#REF!,3))</f>
        <v>0</v>
      </c>
      <c r="AD295" s="133" t="n">
        <f aca="false">IF(AND(AB295=0,AC295=0),0,#REF!*(#REF!-(#REF!*AB295/N295))+#REF!*(#REF!-(#REF!*AC295/O295)))</f>
        <v>0</v>
      </c>
      <c r="AE295" s="3"/>
      <c r="AF295" s="3"/>
      <c r="AG295" s="3"/>
      <c r="AH295" s="3"/>
      <c r="AI295" s="3"/>
    </row>
    <row r="296" customFormat="false" ht="15" hidden="false" customHeight="false" outlineLevel="0" collapsed="false">
      <c r="A296" s="3"/>
      <c r="B296" s="139"/>
      <c r="C296" s="140"/>
      <c r="D296" s="141"/>
      <c r="E296" s="119" t="n">
        <f aca="false">'O_MN, PE_UTA_UGM 2023'!B269</f>
        <v>7</v>
      </c>
      <c r="F296" s="120" t="str">
        <f aca="false">'O_MN, PE_UTA_UGM 2023'!C269</f>
        <v>SORGO</v>
      </c>
      <c r="G296" s="121"/>
      <c r="H296" s="122"/>
      <c r="I296" s="122"/>
      <c r="J296" s="123"/>
      <c r="K296" s="124"/>
      <c r="L296" s="124"/>
      <c r="M296" s="112" t="e">
        <f aca="false">+IF(OR((#REF!+#REF!)&gt;0,(#REF!+#REF!)&gt;0,(K296+L296)&gt;0),"SI","NO")</f>
        <v>#REF!</v>
      </c>
      <c r="N296" s="136" t="n">
        <f aca="false">VLOOKUP(E297,'O_MN, PE_UTA_UGM 2023'!$B$1:$I$300,7,FALSE())</f>
        <v>0</v>
      </c>
      <c r="O296" s="136" t="n">
        <f aca="false">VLOOKUP(E297,'O_MN, PE_UTA_UGM 2023'!$B$1:$I$300,8,FALSE())</f>
        <v>0</v>
      </c>
      <c r="P296" s="45"/>
      <c r="Q296" s="126" t="n">
        <f aca="false">VLOOKUP(E297,'O_MN, PE_UTA_UGM 2023'!$B$1:$I$300,5,FALSE())</f>
        <v>1E-005</v>
      </c>
      <c r="R296" s="126" t="n">
        <f aca="false">VLOOKUP(E297,'O_MN, PE_UTA_UGM 2023'!$B$1:$I$300,6,FALSE())</f>
        <v>1E-005</v>
      </c>
      <c r="S296" s="45"/>
      <c r="T296" s="47"/>
      <c r="U296" s="127" t="n">
        <f aca="false">(H296*N296)+(I296*O296)+((K296*N296)+(L296*O296)*1.25)</f>
        <v>0</v>
      </c>
      <c r="V296" s="128"/>
      <c r="W296" s="128"/>
      <c r="X296" s="127" t="n">
        <f aca="false">(H296*Q296)+(I296*R296)+((K296*Q296)+(L296*R296)*1.25)</f>
        <v>0</v>
      </c>
      <c r="Y296" s="129"/>
      <c r="Z296" s="130" t="e">
        <f aca="false">(#REF!+#REF!+K296)*'O_MN, PE_UTA_UGM 2023'!H270</f>
        <v>#REF!</v>
      </c>
      <c r="AA296" s="131" t="e">
        <f aca="false">(#REF!+#REF!+L296)*'O_MN, PE_UTA_UGM 2023'!I270</f>
        <v>#REF!</v>
      </c>
      <c r="AB296" s="132" t="n">
        <f aca="false">IF(ISERROR(+ROUND(#REF!*N296/#REF!,3)),0,+ROUND(#REF!*N296/#REF!,3))</f>
        <v>0</v>
      </c>
      <c r="AC296" s="132" t="n">
        <f aca="false">IF(ISERROR(+ROUND(#REF!*O296/#REF!,3)),0,+ROUND(#REF!*O296/#REF!,3))</f>
        <v>0</v>
      </c>
      <c r="AD296" s="133" t="n">
        <f aca="false">IF(AND(AB296=0,AC296=0),0,#REF!*(#REF!-(#REF!*AB296/N296))+#REF!*(#REF!-(#REF!*AC296/O296)))</f>
        <v>0</v>
      </c>
      <c r="AE296" s="3"/>
      <c r="AF296" s="3"/>
      <c r="AG296" s="3"/>
      <c r="AH296" s="3"/>
      <c r="AI296" s="3"/>
    </row>
    <row r="297" customFormat="false" ht="15" hidden="false" customHeight="false" outlineLevel="0" collapsed="false">
      <c r="A297" s="3"/>
      <c r="B297" s="139"/>
      <c r="C297" s="140"/>
      <c r="D297" s="141"/>
      <c r="E297" s="119" t="n">
        <f aca="false">'O_MN, PE_UTA_UGM 2023'!B270</f>
        <v>700</v>
      </c>
      <c r="F297" s="120" t="str">
        <f aca="false">'O_MN, PE_UTA_UGM 2023'!C270</f>
        <v>HECTÁREAS AGROSILVICULTURA AYUDAS RTO Nº 1698/2005 Y/O RTO Nº 1305/2013</v>
      </c>
      <c r="G297" s="121"/>
      <c r="H297" s="122"/>
      <c r="I297" s="122"/>
      <c r="J297" s="123"/>
      <c r="K297" s="124"/>
      <c r="L297" s="124"/>
      <c r="M297" s="112" t="e">
        <f aca="false">+IF(OR((#REF!+#REF!)&gt;0,(#REF!+#REF!)&gt;0,(K297+L297)&gt;0),"SI","NO")</f>
        <v>#REF!</v>
      </c>
      <c r="N297" s="136" t="n">
        <f aca="false">VLOOKUP(E298,'O_MN, PE_UTA_UGM 2023'!$B$1:$I$300,7,FALSE())</f>
        <v>0</v>
      </c>
      <c r="O297" s="136" t="n">
        <f aca="false">VLOOKUP(E298,'O_MN, PE_UTA_UGM 2023'!$B$1:$I$300,8,FALSE())</f>
        <v>1000</v>
      </c>
      <c r="P297" s="45"/>
      <c r="Q297" s="126" t="n">
        <f aca="false">VLOOKUP(E298,'O_MN, PE_UTA_UGM 2023'!$B$1:$I$300,5,FALSE())</f>
        <v>390.66</v>
      </c>
      <c r="R297" s="126" t="n">
        <f aca="false">VLOOKUP(E298,'O_MN, PE_UTA_UGM 2023'!$B$1:$I$300,6,FALSE())</f>
        <v>390.66</v>
      </c>
      <c r="S297" s="45"/>
      <c r="T297" s="47"/>
      <c r="U297" s="127" t="n">
        <f aca="false">(H297*N297)+(I297*O297)+((K297*N297)+(L297*O297)*1.25)</f>
        <v>0</v>
      </c>
      <c r="V297" s="128"/>
      <c r="W297" s="128"/>
      <c r="X297" s="127" t="n">
        <f aca="false">(H297*Q297)+(I297*R297)+((K297*Q297)+(L297*R297)*1.25)</f>
        <v>0</v>
      </c>
      <c r="Y297" s="129"/>
      <c r="Z297" s="130" t="e">
        <f aca="false">(#REF!+#REF!+K297)*'O_MN, PE_UTA_UGM 2023'!H271</f>
        <v>#REF!</v>
      </c>
      <c r="AA297" s="131" t="e">
        <f aca="false">(#REF!+#REF!+L297)*'O_MN, PE_UTA_UGM 2023'!I271</f>
        <v>#REF!</v>
      </c>
      <c r="AB297" s="132" t="n">
        <f aca="false">IF(ISERROR(+ROUND(#REF!*N297/#REF!,3)),0,+ROUND(#REF!*N297/#REF!,3))</f>
        <v>0</v>
      </c>
      <c r="AC297" s="132" t="n">
        <f aca="false">IF(ISERROR(+ROUND(#REF!*O297/#REF!,3)),0,+ROUND(#REF!*O297/#REF!,3))</f>
        <v>0</v>
      </c>
      <c r="AD297" s="133" t="n">
        <f aca="false">IF(AND(AB297=0,AC297=0),0,#REF!*(#REF!-(#REF!*AB297/N297))+#REF!*(#REF!-(#REF!*AC297/O297)))</f>
        <v>0</v>
      </c>
      <c r="AE297" s="3"/>
      <c r="AF297" s="3"/>
      <c r="AG297" s="3"/>
      <c r="AH297" s="3"/>
      <c r="AI297" s="3"/>
    </row>
    <row r="298" customFormat="false" ht="15" hidden="false" customHeight="false" outlineLevel="0" collapsed="false">
      <c r="A298" s="3"/>
      <c r="B298" s="139"/>
      <c r="C298" s="140"/>
      <c r="D298" s="141"/>
      <c r="E298" s="119" t="n">
        <f aca="false">'O_MN, PE_UTA_UGM 2023'!B271</f>
        <v>237</v>
      </c>
      <c r="F298" s="120" t="str">
        <f aca="false">'O_MN, PE_UTA_UGM 2023'!C271</f>
        <v>SUPERFICIES FORESTALES DE ROTACIÓN CORTA</v>
      </c>
      <c r="G298" s="121"/>
      <c r="H298" s="122"/>
      <c r="I298" s="122"/>
      <c r="J298" s="123"/>
      <c r="K298" s="124"/>
      <c r="L298" s="124"/>
      <c r="M298" s="112" t="e">
        <f aca="false">+IF(OR((#REF!+#REF!)&gt;0,(#REF!+#REF!)&gt;0,(K298+L298)&gt;0),"SI","NO")</f>
        <v>#REF!</v>
      </c>
      <c r="N298" s="136" t="n">
        <f aca="false">VLOOKUP(E299,'O_MN, PE_UTA_UGM 2023'!$B$1:$I$300,7,FALSE())</f>
        <v>0</v>
      </c>
      <c r="O298" s="136" t="n">
        <f aca="false">VLOOKUP(E299,'O_MN, PE_UTA_UGM 2023'!$B$1:$I$300,8,FALSE())</f>
        <v>0</v>
      </c>
      <c r="P298" s="45"/>
      <c r="Q298" s="126" t="n">
        <f aca="false">VLOOKUP(E299,'O_MN, PE_UTA_UGM 2023'!$B$1:$I$300,5,FALSE())</f>
        <v>1E-005</v>
      </c>
      <c r="R298" s="126" t="n">
        <f aca="false">VLOOKUP(E299,'O_MN, PE_UTA_UGM 2023'!$B$1:$I$300,6,FALSE())</f>
        <v>1E-005</v>
      </c>
      <c r="S298" s="45"/>
      <c r="T298" s="47"/>
      <c r="U298" s="127" t="n">
        <f aca="false">(H298*N298)+(I298*O298)+((K298*N298)+(L298*O298)*1.25)</f>
        <v>0</v>
      </c>
      <c r="V298" s="128"/>
      <c r="W298" s="128"/>
      <c r="X298" s="127" t="n">
        <f aca="false">(H298*Q298)+(I298*R298)+((K298*Q298)+(L298*R298)*1.25)</f>
        <v>0</v>
      </c>
      <c r="Y298" s="129"/>
      <c r="Z298" s="130" t="e">
        <f aca="false">(#REF!+#REF!+K298)*'O_MN, PE_UTA_UGM 2023'!H272</f>
        <v>#REF!</v>
      </c>
      <c r="AA298" s="131" t="e">
        <f aca="false">(#REF!+#REF!+L298)*'O_MN, PE_UTA_UGM 2023'!I272</f>
        <v>#REF!</v>
      </c>
      <c r="AB298" s="132" t="n">
        <f aca="false">IF(ISERROR(+ROUND(#REF!*N298/#REF!,3)),0,+ROUND(#REF!*N298/#REF!,3))</f>
        <v>0</v>
      </c>
      <c r="AC298" s="132" t="n">
        <f aca="false">IF(ISERROR(+ROUND(#REF!*O298/#REF!,3)),0,+ROUND(#REF!*O298/#REF!,3))</f>
        <v>0</v>
      </c>
      <c r="AD298" s="133" t="n">
        <f aca="false">IF(AND(AB298=0,AC298=0),0,#REF!*(#REF!-(#REF!*AB298/N298))+#REF!*(#REF!-(#REF!*AC298/O298)))</f>
        <v>0</v>
      </c>
      <c r="AE298" s="3"/>
      <c r="AF298" s="3"/>
      <c r="AG298" s="3"/>
      <c r="AH298" s="3"/>
      <c r="AI298" s="3"/>
    </row>
    <row r="299" customFormat="false" ht="15" hidden="false" customHeight="false" outlineLevel="0" collapsed="false">
      <c r="A299" s="3"/>
      <c r="B299" s="139"/>
      <c r="C299" s="140"/>
      <c r="D299" s="141"/>
      <c r="E299" s="119" t="n">
        <f aca="false">'O_MN, PE_UTA_UGM 2023'!B272</f>
        <v>114</v>
      </c>
      <c r="F299" s="120" t="str">
        <f aca="false">'O_MN, PE_UTA_UGM 2023'!C272</f>
        <v>SUPERFICIES FORESTALES MADERABLES</v>
      </c>
      <c r="G299" s="121"/>
      <c r="H299" s="122"/>
      <c r="I299" s="122"/>
      <c r="J299" s="123"/>
      <c r="K299" s="124"/>
      <c r="L299" s="124"/>
      <c r="M299" s="112" t="e">
        <f aca="false">+IF(OR((#REF!+#REF!)&gt;0,(#REF!+#REF!)&gt;0,(K299+L299)&gt;0),"SI","NO")</f>
        <v>#REF!</v>
      </c>
      <c r="N299" s="136" t="n">
        <f aca="false">VLOOKUP(E300,'O_MN, PE_UTA_UGM 2023'!$B$1:$I$300,7,FALSE())</f>
        <v>270.46</v>
      </c>
      <c r="O299" s="136" t="n">
        <f aca="false">VLOOKUP(E300,'O_MN, PE_UTA_UGM 2023'!$B$1:$I$300,8,FALSE())</f>
        <v>600</v>
      </c>
      <c r="P299" s="45"/>
      <c r="Q299" s="126" t="n">
        <f aca="false">VLOOKUP(E300,'O_MN, PE_UTA_UGM 2023'!$B$1:$I$300,5,FALSE())</f>
        <v>1E-005</v>
      </c>
      <c r="R299" s="126" t="n">
        <f aca="false">VLOOKUP(E300,'O_MN, PE_UTA_UGM 2023'!$B$1:$I$300,6,FALSE())</f>
        <v>1E-005</v>
      </c>
      <c r="S299" s="45"/>
      <c r="T299" s="47"/>
      <c r="U299" s="127" t="n">
        <f aca="false">(H299*N299)+(I299*O299)+((K299*N299)+(L299*O299)*1.25)</f>
        <v>0</v>
      </c>
      <c r="V299" s="128"/>
      <c r="W299" s="128"/>
      <c r="X299" s="127" t="n">
        <f aca="false">(H299*Q299)+(I299*R299)+((K299*Q299)+(L299*R299)*1.25)</f>
        <v>0</v>
      </c>
      <c r="Y299" s="129"/>
      <c r="Z299" s="130" t="e">
        <f aca="false">(#REF!+#REF!+K299)*'O_MN, PE_UTA_UGM 2023'!H273</f>
        <v>#REF!</v>
      </c>
      <c r="AA299" s="131" t="e">
        <f aca="false">(#REF!+#REF!+L299)*'O_MN, PE_UTA_UGM 2023'!I273</f>
        <v>#REF!</v>
      </c>
      <c r="AB299" s="132" t="n">
        <f aca="false">IF(ISERROR(+ROUND(#REF!*N299/#REF!,3)),0,+ROUND(#REF!*N299/#REF!,3))</f>
        <v>0</v>
      </c>
      <c r="AC299" s="132" t="n">
        <f aca="false">IF(ISERROR(+ROUND(#REF!*O299/#REF!,3)),0,+ROUND(#REF!*O299/#REF!,3))</f>
        <v>0</v>
      </c>
      <c r="AD299" s="133" t="n">
        <f aca="false">IF(AND(AB299=0,AC299=0),0,#REF!*(#REF!-(#REF!*AB299/N299))+#REF!*(#REF!-(#REF!*AC299/O299)))</f>
        <v>0</v>
      </c>
      <c r="AE299" s="3"/>
      <c r="AF299" s="3"/>
      <c r="AG299" s="3"/>
      <c r="AH299" s="3"/>
      <c r="AI299" s="3"/>
    </row>
    <row r="300" customFormat="false" ht="15" hidden="false" customHeight="false" outlineLevel="0" collapsed="false">
      <c r="A300" s="3"/>
      <c r="B300" s="139"/>
      <c r="C300" s="140"/>
      <c r="D300" s="141"/>
      <c r="E300" s="119" t="n">
        <f aca="false">'O_MN, PE_UTA_UGM 2023'!B273</f>
        <v>83</v>
      </c>
      <c r="F300" s="120" t="str">
        <f aca="false">'O_MN, PE_UTA_UGM 2023'!C273</f>
        <v>TABACO</v>
      </c>
      <c r="G300" s="121"/>
      <c r="H300" s="122"/>
      <c r="I300" s="122"/>
      <c r="J300" s="123"/>
      <c r="K300" s="124"/>
      <c r="L300" s="124"/>
      <c r="M300" s="112" t="e">
        <f aca="false">+IF(OR((#REF!+#REF!)&gt;0,(#REF!+#REF!)&gt;0,(K300+L300)&gt;0),"SI","NO")</f>
        <v>#REF!</v>
      </c>
      <c r="N300" s="136" t="n">
        <f aca="false">VLOOKUP(E301,'O_MN, PE_UTA_UGM 2023'!$B$1:$I$300,7,FALSE())</f>
        <v>365.73</v>
      </c>
      <c r="O300" s="136" t="n">
        <f aca="false">VLOOKUP(E301,'O_MN, PE_UTA_UGM 2023'!$B$1:$I$300,8,FALSE())</f>
        <v>600</v>
      </c>
      <c r="P300" s="45"/>
      <c r="Q300" s="126" t="n">
        <f aca="false">VLOOKUP(E301,'O_MN, PE_UTA_UGM 2023'!$B$1:$I$300,5,FALSE())</f>
        <v>114.19</v>
      </c>
      <c r="R300" s="126" t="n">
        <f aca="false">VLOOKUP(E301,'O_MN, PE_UTA_UGM 2023'!$B$1:$I$300,6,FALSE())</f>
        <v>240.4</v>
      </c>
      <c r="S300" s="45"/>
      <c r="T300" s="47"/>
      <c r="U300" s="127" t="n">
        <f aca="false">(H300*N300)+(I300*O300)+((K300*N300)+(L300*O300)*1.25)</f>
        <v>0</v>
      </c>
      <c r="V300" s="128"/>
      <c r="W300" s="128"/>
      <c r="X300" s="127" t="n">
        <f aca="false">(H300*Q300)+(I300*R300)+((K300*Q300)+(L300*R300)*1.25)</f>
        <v>0</v>
      </c>
      <c r="Y300" s="129"/>
      <c r="Z300" s="130" t="e">
        <f aca="false">(#REF!+#REF!+K300)*'O_MN, PE_UTA_UGM 2023'!H274</f>
        <v>#REF!</v>
      </c>
      <c r="AA300" s="131" t="e">
        <f aca="false">(#REF!+#REF!+L300)*'O_MN, PE_UTA_UGM 2023'!I274</f>
        <v>#REF!</v>
      </c>
      <c r="AB300" s="132" t="n">
        <f aca="false">IF(ISERROR(+ROUND(#REF!*N300/#REF!,3)),0,+ROUND(#REF!*N300/#REF!,3))</f>
        <v>0</v>
      </c>
      <c r="AC300" s="132" t="n">
        <f aca="false">IF(ISERROR(+ROUND(#REF!*O300/#REF!,3)),0,+ROUND(#REF!*O300/#REF!,3))</f>
        <v>0</v>
      </c>
      <c r="AD300" s="133" t="n">
        <f aca="false">IF(AND(AB300=0,AC300=0),0,#REF!*(#REF!-(#REF!*AB300/N300))+#REF!*(#REF!-(#REF!*AC300/O300)))</f>
        <v>0</v>
      </c>
      <c r="AE300" s="3"/>
      <c r="AF300" s="3"/>
      <c r="AG300" s="3"/>
      <c r="AH300" s="3"/>
      <c r="AI300" s="3"/>
    </row>
    <row r="301" customFormat="false" ht="15" hidden="false" customHeight="false" outlineLevel="0" collapsed="false">
      <c r="A301" s="3"/>
      <c r="B301" s="139"/>
      <c r="C301" s="140"/>
      <c r="D301" s="141"/>
      <c r="E301" s="119" t="n">
        <f aca="false">'O_MN, PE_UTA_UGM 2023'!B274</f>
        <v>19</v>
      </c>
      <c r="F301" s="120" t="str">
        <f aca="false">'O_MN, PE_UTA_UGM 2023'!C274</f>
        <v>TEFF</v>
      </c>
      <c r="G301" s="121"/>
      <c r="H301" s="122"/>
      <c r="I301" s="122"/>
      <c r="J301" s="123"/>
      <c r="K301" s="124"/>
      <c r="L301" s="124"/>
      <c r="M301" s="112" t="e">
        <f aca="false">+IF(OR((#REF!+#REF!)&gt;0,(#REF!+#REF!)&gt;0,(K301+L301)&gt;0),"SI","NO")</f>
        <v>#REF!</v>
      </c>
      <c r="N301" s="136" t="n">
        <f aca="false">VLOOKUP(E302,'O_MN, PE_UTA_UGM 2023'!$B$1:$I$300,7,FALSE())</f>
        <v>186.91</v>
      </c>
      <c r="O301" s="136" t="n">
        <f aca="false">VLOOKUP(E302,'O_MN, PE_UTA_UGM 2023'!$B$1:$I$300,8,FALSE())</f>
        <v>540.36</v>
      </c>
      <c r="P301" s="45"/>
      <c r="Q301" s="126" t="n">
        <f aca="false">VLOOKUP(E302,'O_MN, PE_UTA_UGM 2023'!$B$1:$I$300,5,FALSE())</f>
        <v>114.19</v>
      </c>
      <c r="R301" s="126" t="n">
        <f aca="false">VLOOKUP(E302,'O_MN, PE_UTA_UGM 2023'!$B$1:$I$300,6,FALSE())</f>
        <v>240.4</v>
      </c>
      <c r="S301" s="45"/>
      <c r="T301" s="47"/>
      <c r="U301" s="127" t="n">
        <f aca="false">(H301*N301)+(I301*O301)+((K301*N301)+(L301*O301)*1.25)</f>
        <v>0</v>
      </c>
      <c r="V301" s="128"/>
      <c r="W301" s="128"/>
      <c r="X301" s="127" t="n">
        <f aca="false">(H301*Q301)+(I301*R301)+((K301*Q301)+(L301*R301)*1.25)</f>
        <v>0</v>
      </c>
      <c r="Y301" s="129"/>
      <c r="Z301" s="130" t="e">
        <f aca="false">(#REF!+#REF!+K301)*'O_MN, PE_UTA_UGM 2023'!H275</f>
        <v>#REF!</v>
      </c>
      <c r="AA301" s="131" t="e">
        <f aca="false">(#REF!+#REF!+L301)*'O_MN, PE_UTA_UGM 2023'!I275</f>
        <v>#REF!</v>
      </c>
      <c r="AB301" s="132" t="n">
        <f aca="false">IF(ISERROR(+ROUND(#REF!*N301/#REF!,3)),0,+ROUND(#REF!*N301/#REF!,3))</f>
        <v>0</v>
      </c>
      <c r="AC301" s="132" t="n">
        <f aca="false">IF(ISERROR(+ROUND(#REF!*O301/#REF!,3)),0,+ROUND(#REF!*O301/#REF!,3))</f>
        <v>0</v>
      </c>
      <c r="AD301" s="133" t="n">
        <f aca="false">IF(AND(AB301=0,AC301=0),0,#REF!*(#REF!-(#REF!*AB301/N301))+#REF!*(#REF!-(#REF!*AC301/O301)))</f>
        <v>0</v>
      </c>
      <c r="AE301" s="3"/>
      <c r="AF301" s="3"/>
      <c r="AG301" s="3"/>
      <c r="AH301" s="3"/>
      <c r="AI301" s="3"/>
    </row>
    <row r="302" customFormat="false" ht="15" hidden="false" customHeight="false" outlineLevel="0" collapsed="false">
      <c r="A302" s="3"/>
      <c r="B302" s="139"/>
      <c r="C302" s="140"/>
      <c r="D302" s="141"/>
      <c r="E302" s="119" t="n">
        <f aca="false">'O_MN, PE_UTA_UGM 2023'!B275</f>
        <v>240</v>
      </c>
      <c r="F302" s="120" t="str">
        <f aca="false">'O_MN, PE_UTA_UGM 2023'!C275</f>
        <v>TITARROS</v>
      </c>
      <c r="G302" s="121"/>
      <c r="H302" s="122"/>
      <c r="I302" s="122"/>
      <c r="J302" s="123"/>
      <c r="K302" s="124"/>
      <c r="L302" s="124"/>
      <c r="M302" s="112" t="e">
        <f aca="false">+IF(OR((#REF!+#REF!)&gt;0,(#REF!+#REF!)&gt;0,(K302+L302)&gt;0),"SI","NO")</f>
        <v>#REF!</v>
      </c>
      <c r="N302" s="136" t="n">
        <f aca="false">VLOOKUP(E303,'O_MN, PE_UTA_UGM 2023'!$B$1:$I$300,7,FALSE())</f>
        <v>0</v>
      </c>
      <c r="O302" s="136" t="n">
        <f aca="false">VLOOKUP(E303,'O_MN, PE_UTA_UGM 2023'!$B$1:$I$300,8,FALSE())</f>
        <v>12000</v>
      </c>
      <c r="P302" s="45"/>
      <c r="Q302" s="126" t="n">
        <f aca="false">VLOOKUP(E303,'O_MN, PE_UTA_UGM 2023'!$B$1:$I$300,5,FALSE())</f>
        <v>360.61</v>
      </c>
      <c r="R302" s="126" t="n">
        <f aca="false">VLOOKUP(E303,'O_MN, PE_UTA_UGM 2023'!$B$1:$I$300,6,FALSE())</f>
        <v>1352.28</v>
      </c>
      <c r="S302" s="45"/>
      <c r="T302" s="47"/>
      <c r="U302" s="127" t="n">
        <f aca="false">(H302*N302)+(I302*O302)+((K302*N302)+(L302*O302)*1.25)</f>
        <v>0</v>
      </c>
      <c r="V302" s="128"/>
      <c r="W302" s="128"/>
      <c r="X302" s="127" t="n">
        <f aca="false">(H302*Q302)+(I302*R302)+((K302*Q302)+(L302*R302)*1.25)</f>
        <v>0</v>
      </c>
      <c r="Y302" s="129"/>
      <c r="Z302" s="130" t="e">
        <f aca="false">(#REF!+#REF!+K302)*'O_MN, PE_UTA_UGM 2023'!H276</f>
        <v>#REF!</v>
      </c>
      <c r="AA302" s="131" t="e">
        <f aca="false">(#REF!+#REF!+L302)*'O_MN, PE_UTA_UGM 2023'!I276</f>
        <v>#REF!</v>
      </c>
      <c r="AB302" s="132" t="n">
        <f aca="false">IF(ISERROR(+ROUND(#REF!*N302/#REF!,3)),0,+ROUND(#REF!*N302/#REF!,3))</f>
        <v>0</v>
      </c>
      <c r="AC302" s="132" t="n">
        <f aca="false">IF(ISERROR(+ROUND(#REF!*O302/#REF!,3)),0,+ROUND(#REF!*O302/#REF!,3))</f>
        <v>0</v>
      </c>
      <c r="AD302" s="133" t="n">
        <f aca="false">IF(AND(AB302=0,AC302=0),0,#REF!*(#REF!-(#REF!*AB302/N302))+#REF!*(#REF!-(#REF!*AC302/O302)))</f>
        <v>0</v>
      </c>
      <c r="AE302" s="3"/>
      <c r="AF302" s="3"/>
      <c r="AG302" s="3"/>
      <c r="AH302" s="3"/>
      <c r="AI302" s="3"/>
    </row>
    <row r="303" customFormat="false" ht="15" hidden="false" customHeight="false" outlineLevel="0" collapsed="false">
      <c r="A303" s="3"/>
      <c r="B303" s="139"/>
      <c r="C303" s="140"/>
      <c r="D303" s="141"/>
      <c r="E303" s="119" t="n">
        <f aca="false">'O_MN, PE_UTA_UGM 2023'!B276</f>
        <v>197</v>
      </c>
      <c r="F303" s="120" t="str">
        <f aca="false">'O_MN, PE_UTA_UGM 2023'!C276</f>
        <v>TOMATE</v>
      </c>
      <c r="G303" s="121"/>
      <c r="H303" s="122"/>
      <c r="I303" s="122"/>
      <c r="J303" s="123"/>
      <c r="K303" s="124"/>
      <c r="L303" s="124"/>
      <c r="M303" s="112" t="e">
        <f aca="false">+IF(OR((#REF!+#REF!)&gt;0,(#REF!+#REF!)&gt;0,(K303+L303)&gt;0),"SI","NO")</f>
        <v>#REF!</v>
      </c>
      <c r="N303" s="136" t="n">
        <f aca="false">VLOOKUP(E304,'O_MN, PE_UTA_UGM 2023'!$B$1:$I$300,7,FALSE())</f>
        <v>0</v>
      </c>
      <c r="O303" s="136" t="n">
        <f aca="false">VLOOKUP(E304,'O_MN, PE_UTA_UGM 2023'!$B$1:$I$300,8,FALSE())</f>
        <v>6000</v>
      </c>
      <c r="P303" s="45"/>
      <c r="Q303" s="126" t="n">
        <f aca="false">VLOOKUP(E304,'O_MN, PE_UTA_UGM 2023'!$B$1:$I$300,5,FALSE())</f>
        <v>360.61</v>
      </c>
      <c r="R303" s="126" t="n">
        <f aca="false">VLOOKUP(E304,'O_MN, PE_UTA_UGM 2023'!$B$1:$I$300,6,FALSE())</f>
        <v>1352.28</v>
      </c>
      <c r="S303" s="45"/>
      <c r="T303" s="47"/>
      <c r="U303" s="127" t="n">
        <f aca="false">(H303*N303)+(I303*O303)+((K303*N303)+(L303*O303)*1.25)</f>
        <v>0</v>
      </c>
      <c r="V303" s="128"/>
      <c r="W303" s="128"/>
      <c r="X303" s="127" t="n">
        <f aca="false">(H303*Q303)+(I303*R303)+((K303*Q303)+(L303*R303)*1.25)</f>
        <v>0</v>
      </c>
      <c r="Y303" s="129"/>
      <c r="Z303" s="130" t="e">
        <f aca="false">(#REF!+#REF!+K303)*'O_MN, PE_UTA_UGM 2023'!H277</f>
        <v>#REF!</v>
      </c>
      <c r="AA303" s="131" t="e">
        <f aca="false">(#REF!+#REF!+L303)*'O_MN, PE_UTA_UGM 2023'!I277</f>
        <v>#REF!</v>
      </c>
      <c r="AB303" s="132" t="n">
        <f aca="false">IF(ISERROR(+ROUND(#REF!*N303/#REF!,3)),0,+ROUND(#REF!*N303/#REF!,3))</f>
        <v>0</v>
      </c>
      <c r="AC303" s="132" t="n">
        <f aca="false">IF(ISERROR(+ROUND(#REF!*O303/#REF!,3)),0,+ROUND(#REF!*O303/#REF!,3))</f>
        <v>0</v>
      </c>
      <c r="AD303" s="133" t="n">
        <f aca="false">IF(AND(AB303=0,AC303=0),0,#REF!*(#REF!-(#REF!*AB303/N303))+#REF!*(#REF!-(#REF!*AC303/O303)))</f>
        <v>0</v>
      </c>
      <c r="AE303" s="3"/>
      <c r="AF303" s="3"/>
      <c r="AG303" s="3"/>
      <c r="AH303" s="3"/>
      <c r="AI303" s="3"/>
    </row>
    <row r="304" customFormat="false" ht="15" hidden="false" customHeight="false" outlineLevel="0" collapsed="false">
      <c r="A304" s="3"/>
      <c r="B304" s="139"/>
      <c r="C304" s="140"/>
      <c r="D304" s="141"/>
      <c r="E304" s="119" t="n">
        <f aca="false">'O_MN, PE_UTA_UGM 2023'!B277</f>
        <v>198</v>
      </c>
      <c r="F304" s="120" t="str">
        <f aca="false">'O_MN, PE_UTA_UGM 2023'!C277</f>
        <v>TOMATE PARA TRANSFORMACIÓN</v>
      </c>
      <c r="G304" s="121"/>
      <c r="H304" s="122"/>
      <c r="I304" s="122"/>
      <c r="J304" s="123"/>
      <c r="K304" s="124"/>
      <c r="L304" s="124"/>
      <c r="M304" s="112" t="e">
        <f aca="false">+IF(OR((#REF!+#REF!)&gt;0,(#REF!+#REF!)&gt;0,(K304+L304)&gt;0),"SI","NO")</f>
        <v>#REF!</v>
      </c>
      <c r="N304" s="136" t="n">
        <f aca="false">VLOOKUP(E305,'O_MN, PE_UTA_UGM 2023'!$B$1:$I$300,7,FALSE())</f>
        <v>1000</v>
      </c>
      <c r="O304" s="136" t="n">
        <f aca="false">VLOOKUP(E305,'O_MN, PE_UTA_UGM 2023'!$B$1:$I$300,8,FALSE())</f>
        <v>3800</v>
      </c>
      <c r="P304" s="45"/>
      <c r="Q304" s="126" t="n">
        <f aca="false">VLOOKUP(E305,'O_MN, PE_UTA_UGM 2023'!$B$1:$I$300,5,FALSE())</f>
        <v>114.19</v>
      </c>
      <c r="R304" s="126" t="n">
        <f aca="false">VLOOKUP(E305,'O_MN, PE_UTA_UGM 2023'!$B$1:$I$300,6,FALSE())</f>
        <v>240.4</v>
      </c>
      <c r="S304" s="45"/>
      <c r="T304" s="47"/>
      <c r="U304" s="127" t="n">
        <f aca="false">(H304*N304)+(I304*O304)+((K304*N304)+(L304*O304)*1.25)</f>
        <v>0</v>
      </c>
      <c r="V304" s="128"/>
      <c r="W304" s="128"/>
      <c r="X304" s="127" t="n">
        <f aca="false">(H304*Q304)+(I304*R304)+((K304*Q304)+(L304*R304)*1.25)</f>
        <v>0</v>
      </c>
      <c r="Y304" s="129"/>
      <c r="Z304" s="130" t="e">
        <f aca="false">(#REF!+#REF!+K304)*'O_MN, PE_UTA_UGM 2023'!H278</f>
        <v>#REF!</v>
      </c>
      <c r="AA304" s="131" t="e">
        <f aca="false">(#REF!+#REF!+L304)*'O_MN, PE_UTA_UGM 2023'!I278</f>
        <v>#REF!</v>
      </c>
      <c r="AB304" s="132" t="n">
        <f aca="false">IF(ISERROR(+ROUND(#REF!*N304/#REF!,3)),0,+ROUND(#REF!*N304/#REF!,3))</f>
        <v>0</v>
      </c>
      <c r="AC304" s="132" t="n">
        <f aca="false">IF(ISERROR(+ROUND(#REF!*O304/#REF!,3)),0,+ROUND(#REF!*O304/#REF!,3))</f>
        <v>0</v>
      </c>
      <c r="AD304" s="133" t="n">
        <f aca="false">IF(AND(AB304=0,AC304=0),0,#REF!*(#REF!-(#REF!*AB304/N304))+#REF!*(#REF!-(#REF!*AC304/O304)))</f>
        <v>0</v>
      </c>
      <c r="AE304" s="3"/>
      <c r="AF304" s="3"/>
      <c r="AG304" s="3"/>
      <c r="AH304" s="3"/>
      <c r="AI304" s="3"/>
    </row>
    <row r="305" customFormat="false" ht="15" hidden="false" customHeight="false" outlineLevel="0" collapsed="false">
      <c r="A305" s="3"/>
      <c r="B305" s="139"/>
      <c r="C305" s="140"/>
      <c r="D305" s="141"/>
      <c r="E305" s="119" t="n">
        <f aca="false">'O_MN, PE_UTA_UGM 2023'!B278</f>
        <v>263</v>
      </c>
      <c r="F305" s="120" t="str">
        <f aca="false">'O_MN, PE_UTA_UGM 2023'!C278</f>
        <v>TOMILLO</v>
      </c>
      <c r="G305" s="121"/>
      <c r="H305" s="122"/>
      <c r="I305" s="122"/>
      <c r="J305" s="123"/>
      <c r="K305" s="124"/>
      <c r="L305" s="124"/>
      <c r="M305" s="112" t="e">
        <f aca="false">+IF(OR((#REF!+#REF!)&gt;0,(#REF!+#REF!)&gt;0,(K305+L305)&gt;0),"SI","NO")</f>
        <v>#REF!</v>
      </c>
      <c r="N305" s="136" t="n">
        <f aca="false">VLOOKUP(E306,'O_MN, PE_UTA_UGM 2023'!$B$1:$I$300,7,FALSE())</f>
        <v>365.73</v>
      </c>
      <c r="O305" s="136" t="n">
        <f aca="false">VLOOKUP(E306,'O_MN, PE_UTA_UGM 2023'!$B$1:$I$300,8,FALSE())</f>
        <v>600</v>
      </c>
      <c r="P305" s="45"/>
      <c r="Q305" s="126" t="n">
        <f aca="false">VLOOKUP(E306,'O_MN, PE_UTA_UGM 2023'!$B$1:$I$300,5,FALSE())</f>
        <v>114.19</v>
      </c>
      <c r="R305" s="126" t="n">
        <f aca="false">VLOOKUP(E306,'O_MN, PE_UTA_UGM 2023'!$B$1:$I$300,6,FALSE())</f>
        <v>240.4</v>
      </c>
      <c r="S305" s="45"/>
      <c r="T305" s="47"/>
      <c r="U305" s="127" t="n">
        <f aca="false">(H305*N305)+(I305*O305)+((K305*N305)+(L305*O305)*1.25)</f>
        <v>0</v>
      </c>
      <c r="V305" s="128"/>
      <c r="W305" s="128"/>
      <c r="X305" s="127" t="n">
        <f aca="false">(H305*Q305)+(I305*R305)+((K305*Q305)+(L305*R305)*1.25)</f>
        <v>0</v>
      </c>
      <c r="Y305" s="129"/>
      <c r="Z305" s="130" t="e">
        <f aca="false">(#REF!+#REF!+K305)*'O_MN, PE_UTA_UGM 2023'!H279</f>
        <v>#REF!</v>
      </c>
      <c r="AA305" s="131" t="e">
        <f aca="false">(#REF!+#REF!+L305)*'O_MN, PE_UTA_UGM 2023'!I279</f>
        <v>#REF!</v>
      </c>
      <c r="AB305" s="132" t="n">
        <f aca="false">IF(ISERROR(+ROUND(#REF!*N305/#REF!,3)),0,+ROUND(#REF!*N305/#REF!,3))</f>
        <v>0</v>
      </c>
      <c r="AC305" s="132" t="n">
        <f aca="false">IF(ISERROR(+ROUND(#REF!*O305/#REF!,3)),0,+ROUND(#REF!*O305/#REF!,3))</f>
        <v>0</v>
      </c>
      <c r="AD305" s="133" t="n">
        <f aca="false">IF(AND(AB305=0,AC305=0),0,#REF!*(#REF!-(#REF!*AB305/N305))+#REF!*(#REF!-(#REF!*AC305/O305)))</f>
        <v>0</v>
      </c>
      <c r="AE305" s="3"/>
      <c r="AF305" s="3"/>
      <c r="AG305" s="3"/>
      <c r="AH305" s="3"/>
      <c r="AI305" s="3"/>
    </row>
    <row r="306" customFormat="false" ht="15" hidden="false" customHeight="false" outlineLevel="0" collapsed="false">
      <c r="A306" s="3"/>
      <c r="B306" s="139"/>
      <c r="C306" s="140"/>
      <c r="D306" s="141"/>
      <c r="E306" s="119" t="n">
        <f aca="false">'O_MN, PE_UTA_UGM 2023'!B279</f>
        <v>12</v>
      </c>
      <c r="F306" s="120" t="str">
        <f aca="false">'O_MN, PE_UTA_UGM 2023'!C279</f>
        <v>TRANQUILLON</v>
      </c>
      <c r="G306" s="121"/>
      <c r="H306" s="122"/>
      <c r="I306" s="122"/>
      <c r="J306" s="123"/>
      <c r="K306" s="124"/>
      <c r="L306" s="124"/>
      <c r="M306" s="112" t="e">
        <f aca="false">+IF(OR((#REF!+#REF!)&gt;0,(#REF!+#REF!)&gt;0,(K306+L306)&gt;0),"SI","NO")</f>
        <v>#REF!</v>
      </c>
      <c r="N306" s="136" t="n">
        <f aca="false">VLOOKUP(E307,'O_MN, PE_UTA_UGM 2023'!$B$1:$I$300,7,FALSE())</f>
        <v>1000</v>
      </c>
      <c r="O306" s="136" t="n">
        <f aca="false">VLOOKUP(E307,'O_MN, PE_UTA_UGM 2023'!$B$1:$I$300,8,FALSE())</f>
        <v>3800</v>
      </c>
      <c r="P306" s="45"/>
      <c r="Q306" s="126" t="n">
        <f aca="false">VLOOKUP(E307,'O_MN, PE_UTA_UGM 2023'!$B$1:$I$300,5,FALSE())</f>
        <v>114.19</v>
      </c>
      <c r="R306" s="126" t="n">
        <f aca="false">VLOOKUP(E307,'O_MN, PE_UTA_UGM 2023'!$B$1:$I$300,6,FALSE())</f>
        <v>240.4</v>
      </c>
      <c r="S306" s="45"/>
      <c r="T306" s="47"/>
      <c r="U306" s="127" t="n">
        <f aca="false">(H306*N306)+(I306*O306)+((K306*N306)+(L306*O306)*1.25)</f>
        <v>0</v>
      </c>
      <c r="V306" s="128"/>
      <c r="W306" s="128"/>
      <c r="X306" s="127" t="n">
        <f aca="false">(H306*Q306)+(I306*R306)+((K306*Q306)+(L306*R306)*1.25)</f>
        <v>0</v>
      </c>
      <c r="Y306" s="129"/>
      <c r="Z306" s="130" t="e">
        <f aca="false">(#REF!+#REF!+K306)*'O_MN, PE_UTA_UGM 2023'!H280</f>
        <v>#REF!</v>
      </c>
      <c r="AA306" s="131" t="e">
        <f aca="false">(#REF!+#REF!+L306)*'O_MN, PE_UTA_UGM 2023'!I280</f>
        <v>#REF!</v>
      </c>
      <c r="AB306" s="132" t="n">
        <f aca="false">IF(ISERROR(+ROUND(#REF!*N306/#REF!,3)),0,+ROUND(#REF!*N306/#REF!,3))</f>
        <v>0</v>
      </c>
      <c r="AC306" s="132" t="n">
        <f aca="false">IF(ISERROR(+ROUND(#REF!*O306/#REF!,3)),0,+ROUND(#REF!*O306/#REF!,3))</f>
        <v>0</v>
      </c>
      <c r="AD306" s="133" t="n">
        <f aca="false">IF(AND(AB306=0,AC306=0),0,#REF!*(#REF!-(#REF!*AB306/N306))+#REF!*(#REF!-(#REF!*AC306/O306)))</f>
        <v>0</v>
      </c>
      <c r="AE306" s="3"/>
      <c r="AF306" s="3"/>
      <c r="AG306" s="3"/>
      <c r="AH306" s="3"/>
      <c r="AI306" s="3"/>
    </row>
    <row r="307" customFormat="false" ht="15" hidden="false" customHeight="false" outlineLevel="0" collapsed="false">
      <c r="A307" s="3"/>
      <c r="B307" s="139"/>
      <c r="C307" s="140"/>
      <c r="D307" s="141"/>
      <c r="E307" s="119" t="n">
        <f aca="false">'O_MN, PE_UTA_UGM 2023'!B280</f>
        <v>323</v>
      </c>
      <c r="F307" s="120" t="str">
        <f aca="false">'O_MN, PE_UTA_UGM 2023'!C280</f>
        <v>TRAVALERA</v>
      </c>
      <c r="G307" s="121"/>
      <c r="H307" s="122"/>
      <c r="I307" s="122"/>
      <c r="J307" s="123"/>
      <c r="K307" s="124"/>
      <c r="L307" s="124"/>
      <c r="M307" s="112" t="e">
        <f aca="false">+IF(OR((#REF!+#REF!)&gt;0,(#REF!+#REF!)&gt;0,(K307+L307)&gt;0),"SI","NO")</f>
        <v>#REF!</v>
      </c>
      <c r="N307" s="136" t="n">
        <f aca="false">VLOOKUP(E308,'O_MN, PE_UTA_UGM 2023'!$B$1:$I$300,7,FALSE())</f>
        <v>500</v>
      </c>
      <c r="O307" s="136" t="n">
        <f aca="false">VLOOKUP(E308,'O_MN, PE_UTA_UGM 2023'!$B$1:$I$300,8,FALSE())</f>
        <v>1000</v>
      </c>
      <c r="P307" s="45"/>
      <c r="Q307" s="126" t="n">
        <f aca="false">VLOOKUP(E308,'O_MN, PE_UTA_UGM 2023'!$B$1:$I$300,5,FALSE())</f>
        <v>114.19</v>
      </c>
      <c r="R307" s="126" t="n">
        <f aca="false">VLOOKUP(E308,'O_MN, PE_UTA_UGM 2023'!$B$1:$I$300,6,FALSE())</f>
        <v>270.46</v>
      </c>
      <c r="S307" s="45"/>
      <c r="T307" s="47"/>
      <c r="U307" s="127" t="n">
        <f aca="false">(H307*N307)+(I307*O307)+((K307*N307)+(L307*O307)*1.25)</f>
        <v>0</v>
      </c>
      <c r="V307" s="128"/>
      <c r="W307" s="128"/>
      <c r="X307" s="127" t="n">
        <f aca="false">(H307*Q307)+(I307*R307)+((K307*Q307)+(L307*R307)*1.25)</f>
        <v>0</v>
      </c>
      <c r="Y307" s="129"/>
      <c r="Z307" s="130" t="e">
        <f aca="false">(#REF!+#REF!+K307)*'O_MN, PE_UTA_UGM 2023'!H281</f>
        <v>#REF!</v>
      </c>
      <c r="AA307" s="131" t="e">
        <f aca="false">(#REF!+#REF!+L307)*'O_MN, PE_UTA_UGM 2023'!I281</f>
        <v>#REF!</v>
      </c>
      <c r="AB307" s="132" t="n">
        <f aca="false">IF(ISERROR(+ROUND(#REF!*N307/#REF!,3)),0,+ROUND(#REF!*N307/#REF!,3))</f>
        <v>0</v>
      </c>
      <c r="AC307" s="132" t="n">
        <f aca="false">IF(ISERROR(+ROUND(#REF!*O307/#REF!,3)),0,+ROUND(#REF!*O307/#REF!,3))</f>
        <v>0</v>
      </c>
      <c r="AD307" s="133" t="n">
        <f aca="false">IF(AND(AB307=0,AC307=0),0,#REF!*(#REF!-(#REF!*AB307/N307))+#REF!*(#REF!-(#REF!*AC307/O307)))</f>
        <v>0</v>
      </c>
      <c r="AE307" s="3"/>
      <c r="AF307" s="3"/>
      <c r="AG307" s="3"/>
      <c r="AH307" s="3"/>
      <c r="AI307" s="3"/>
    </row>
    <row r="308" customFormat="false" ht="15" hidden="false" customHeight="false" outlineLevel="0" collapsed="false">
      <c r="A308" s="3"/>
      <c r="B308" s="139"/>
      <c r="C308" s="140"/>
      <c r="D308" s="141"/>
      <c r="E308" s="119" t="n">
        <f aca="false">'O_MN, PE_UTA_UGM 2023'!B281</f>
        <v>77</v>
      </c>
      <c r="F308" s="120" t="str">
        <f aca="false">'O_MN, PE_UTA_UGM 2023'!C281</f>
        <v>TRÉBOL</v>
      </c>
      <c r="G308" s="121"/>
      <c r="H308" s="122"/>
      <c r="I308" s="122"/>
      <c r="J308" s="123"/>
      <c r="K308" s="124"/>
      <c r="L308" s="124"/>
      <c r="M308" s="112" t="e">
        <f aca="false">+IF(OR((#REF!+#REF!)&gt;0,(#REF!+#REF!)&gt;0,(K308+L308)&gt;0),"SI","NO")</f>
        <v>#REF!</v>
      </c>
      <c r="N308" s="136" t="n">
        <f aca="false">VLOOKUP(E309,'O_MN, PE_UTA_UGM 2023'!$B$1:$I$300,7,FALSE())</f>
        <v>522.73</v>
      </c>
      <c r="O308" s="136" t="n">
        <f aca="false">VLOOKUP(E309,'O_MN, PE_UTA_UGM 2023'!$B$1:$I$300,8,FALSE())</f>
        <v>1000</v>
      </c>
      <c r="P308" s="45"/>
      <c r="Q308" s="126" t="n">
        <f aca="false">VLOOKUP(E309,'O_MN, PE_UTA_UGM 2023'!$B$1:$I$300,5,FALSE())</f>
        <v>114.19</v>
      </c>
      <c r="R308" s="126" t="n">
        <f aca="false">VLOOKUP(E309,'O_MN, PE_UTA_UGM 2023'!$B$1:$I$300,6,FALSE())</f>
        <v>240.4</v>
      </c>
      <c r="S308" s="45"/>
      <c r="T308" s="47"/>
      <c r="U308" s="127" t="n">
        <f aca="false">(H308*N308)+(I308*O308)+((K308*N308)+(L308*O308)*1.25)</f>
        <v>0</v>
      </c>
      <c r="V308" s="128"/>
      <c r="W308" s="128"/>
      <c r="X308" s="127" t="n">
        <f aca="false">(H308*Q308)+(I308*R308)+((K308*Q308)+(L308*R308)*1.25)</f>
        <v>0</v>
      </c>
      <c r="Y308" s="129"/>
      <c r="Z308" s="130" t="e">
        <f aca="false">(#REF!+#REF!+K308)*'O_MN, PE_UTA_UGM 2023'!H282</f>
        <v>#REF!</v>
      </c>
      <c r="AA308" s="131" t="e">
        <f aca="false">(#REF!+#REF!+L308)*'O_MN, PE_UTA_UGM 2023'!I282</f>
        <v>#REF!</v>
      </c>
      <c r="AB308" s="132" t="n">
        <f aca="false">IF(ISERROR(+ROUND(#REF!*N308/#REF!,3)),0,+ROUND(#REF!*N308/#REF!,3))</f>
        <v>0</v>
      </c>
      <c r="AC308" s="132" t="n">
        <f aca="false">IF(ISERROR(+ROUND(#REF!*O308/#REF!,3)),0,+ROUND(#REF!*O308/#REF!,3))</f>
        <v>0</v>
      </c>
      <c r="AD308" s="133" t="n">
        <f aca="false">IF(AND(AB308=0,AC308=0),0,#REF!*(#REF!-(#REF!*AB308/N308))+#REF!*(#REF!-(#REF!*AC308/O308)))</f>
        <v>0</v>
      </c>
      <c r="AE308" s="3"/>
      <c r="AF308" s="3"/>
      <c r="AG308" s="3"/>
      <c r="AH308" s="3"/>
      <c r="AI308" s="3"/>
    </row>
    <row r="309" customFormat="false" ht="15" hidden="false" customHeight="false" outlineLevel="0" collapsed="false">
      <c r="A309" s="3"/>
      <c r="B309" s="139"/>
      <c r="C309" s="140"/>
      <c r="D309" s="141"/>
      <c r="E309" s="119" t="n">
        <f aca="false">'O_MN, PE_UTA_UGM 2023'!B282</f>
        <v>1</v>
      </c>
      <c r="F309" s="120" t="str">
        <f aca="false">'O_MN, PE_UTA_UGM 2023'!C282</f>
        <v>TRIGO BLANDO</v>
      </c>
      <c r="G309" s="121"/>
      <c r="H309" s="122"/>
      <c r="I309" s="122"/>
      <c r="J309" s="123"/>
      <c r="K309" s="124"/>
      <c r="L309" s="124"/>
      <c r="M309" s="112" t="e">
        <f aca="false">+IF(OR((#REF!+#REF!)&gt;0,(#REF!+#REF!)&gt;0,(K309+L309)&gt;0),"SI","NO")</f>
        <v>#REF!</v>
      </c>
      <c r="N309" s="136" t="n">
        <f aca="false">VLOOKUP(E310,'O_MN, PE_UTA_UGM 2023'!$B$1:$I$300,7,FALSE())</f>
        <v>358.58</v>
      </c>
      <c r="O309" s="136" t="n">
        <f aca="false">VLOOKUP(E310,'O_MN, PE_UTA_UGM 2023'!$B$1:$I$300,8,FALSE())</f>
        <v>1000</v>
      </c>
      <c r="P309" s="45"/>
      <c r="Q309" s="126" t="n">
        <f aca="false">VLOOKUP(E310,'O_MN, PE_UTA_UGM 2023'!$B$1:$I$300,5,FALSE())</f>
        <v>114.19</v>
      </c>
      <c r="R309" s="126" t="n">
        <f aca="false">VLOOKUP(E310,'O_MN, PE_UTA_UGM 2023'!$B$1:$I$300,6,FALSE())</f>
        <v>240.4</v>
      </c>
      <c r="S309" s="45"/>
      <c r="T309" s="47"/>
      <c r="U309" s="127" t="n">
        <f aca="false">(H309*N309)+(I309*O309)+((K309*N309)+(L309*O309)*1.25)</f>
        <v>0</v>
      </c>
      <c r="V309" s="128"/>
      <c r="W309" s="128"/>
      <c r="X309" s="127" t="n">
        <f aca="false">(H309*Q309)+(I309*R309)+((K309*Q309)+(L309*R309)*1.25)</f>
        <v>0</v>
      </c>
      <c r="Y309" s="129"/>
      <c r="Z309" s="130" t="e">
        <f aca="false">(#REF!+#REF!+K309)*'O_MN, PE_UTA_UGM 2023'!H283</f>
        <v>#REF!</v>
      </c>
      <c r="AA309" s="131" t="e">
        <f aca="false">(#REF!+#REF!+L309)*'O_MN, PE_UTA_UGM 2023'!I283</f>
        <v>#REF!</v>
      </c>
      <c r="AB309" s="132" t="n">
        <f aca="false">IF(ISERROR(+ROUND(#REF!*N309/#REF!,3)),0,+ROUND(#REF!*N309/#REF!,3))</f>
        <v>0</v>
      </c>
      <c r="AC309" s="132" t="n">
        <f aca="false">IF(ISERROR(+ROUND(#REF!*O309/#REF!,3)),0,+ROUND(#REF!*O309/#REF!,3))</f>
        <v>0</v>
      </c>
      <c r="AD309" s="133" t="n">
        <f aca="false">IF(AND(AB309=0,AC309=0),0,#REF!*(#REF!-(#REF!*AB309/N309))+#REF!*(#REF!-(#REF!*AC309/O309)))</f>
        <v>0</v>
      </c>
      <c r="AE309" s="3"/>
      <c r="AF309" s="3"/>
      <c r="AG309" s="3"/>
      <c r="AH309" s="3"/>
      <c r="AI309" s="3"/>
    </row>
    <row r="310" customFormat="false" ht="15" hidden="false" customHeight="false" outlineLevel="0" collapsed="false">
      <c r="A310" s="3"/>
      <c r="B310" s="139"/>
      <c r="C310" s="140"/>
      <c r="D310" s="141"/>
      <c r="E310" s="119" t="n">
        <f aca="false">'O_MN, PE_UTA_UGM 2023'!B283</f>
        <v>3</v>
      </c>
      <c r="F310" s="120" t="str">
        <f aca="false">'O_MN, PE_UTA_UGM 2023'!C283</f>
        <v>TRIGO DURO</v>
      </c>
      <c r="G310" s="121"/>
      <c r="H310" s="122"/>
      <c r="I310" s="122"/>
      <c r="J310" s="123"/>
      <c r="K310" s="124"/>
      <c r="L310" s="124"/>
      <c r="M310" s="112" t="e">
        <f aca="false">+IF(OR((#REF!+#REF!)&gt;0,(#REF!+#REF!)&gt;0,(K310+L310)&gt;0),"SI","NO")</f>
        <v>#REF!</v>
      </c>
      <c r="N310" s="136" t="n">
        <f aca="false">VLOOKUP(E311,'O_MN, PE_UTA_UGM 2023'!$B$1:$I$300,7,FALSE())</f>
        <v>365.73</v>
      </c>
      <c r="O310" s="136" t="n">
        <f aca="false">VLOOKUP(E311,'O_MN, PE_UTA_UGM 2023'!$B$1:$I$300,8,FALSE())</f>
        <v>600</v>
      </c>
      <c r="P310" s="45"/>
      <c r="Q310" s="126" t="n">
        <f aca="false">VLOOKUP(E311,'O_MN, PE_UTA_UGM 2023'!$B$1:$I$300,5,FALSE())</f>
        <v>114.19</v>
      </c>
      <c r="R310" s="126" t="n">
        <f aca="false">VLOOKUP(E311,'O_MN, PE_UTA_UGM 2023'!$B$1:$I$300,6,FALSE())</f>
        <v>240.4</v>
      </c>
      <c r="S310" s="45"/>
      <c r="T310" s="47"/>
      <c r="U310" s="127" t="n">
        <f aca="false">(H310*N310)+(I310*O310)+((K310*N310)+(L310*O310)*1.25)</f>
        <v>0</v>
      </c>
      <c r="V310" s="128"/>
      <c r="W310" s="128"/>
      <c r="X310" s="127" t="n">
        <f aca="false">(H310*Q310)+(I310*R310)+((K310*Q310)+(L310*R310)*1.25)</f>
        <v>0</v>
      </c>
      <c r="Y310" s="129"/>
      <c r="Z310" s="130" t="e">
        <f aca="false">(#REF!+#REF!+K310)*'O_MN, PE_UTA_UGM 2023'!H284</f>
        <v>#REF!</v>
      </c>
      <c r="AA310" s="131" t="e">
        <f aca="false">(#REF!+#REF!+L310)*'O_MN, PE_UTA_UGM 2023'!I284</f>
        <v>#REF!</v>
      </c>
      <c r="AB310" s="132" t="n">
        <f aca="false">IF(ISERROR(+ROUND(#REF!*N310/#REF!,3)),0,+ROUND(#REF!*N310/#REF!,3))</f>
        <v>0</v>
      </c>
      <c r="AC310" s="132" t="n">
        <f aca="false">IF(ISERROR(+ROUND(#REF!*O310/#REF!,3)),0,+ROUND(#REF!*O310/#REF!,3))</f>
        <v>0</v>
      </c>
      <c r="AD310" s="133" t="n">
        <f aca="false">IF(AND(AB310=0,AC310=0),0,#REF!*(#REF!-(#REF!*AB310/N310))+#REF!*(#REF!-(#REF!*AC310/O310)))</f>
        <v>0</v>
      </c>
      <c r="AE310" s="3"/>
      <c r="AF310" s="3"/>
      <c r="AG310" s="3"/>
      <c r="AH310" s="3"/>
      <c r="AI310" s="3"/>
    </row>
    <row r="311" customFormat="false" ht="15" hidden="false" customHeight="false" outlineLevel="0" collapsed="false">
      <c r="A311" s="3"/>
      <c r="B311" s="139"/>
      <c r="C311" s="140"/>
      <c r="D311" s="141"/>
      <c r="E311" s="119" t="n">
        <f aca="false">'O_MN, PE_UTA_UGM 2023'!B284</f>
        <v>325</v>
      </c>
      <c r="F311" s="120" t="str">
        <f aca="false">'O_MN, PE_UTA_UGM 2023'!C284</f>
        <v>TRIGO KHORASAN</v>
      </c>
      <c r="G311" s="121"/>
      <c r="H311" s="122"/>
      <c r="I311" s="122"/>
      <c r="J311" s="123"/>
      <c r="K311" s="124"/>
      <c r="L311" s="124"/>
      <c r="M311" s="112" t="e">
        <f aca="false">+IF(OR((#REF!+#REF!)&gt;0,(#REF!+#REF!)&gt;0,(K311+L311)&gt;0),"SI","NO")</f>
        <v>#REF!</v>
      </c>
      <c r="N311" s="136" t="n">
        <f aca="false">VLOOKUP(E312,'O_MN, PE_UTA_UGM 2023'!$B$1:$I$300,7,FALSE())</f>
        <v>365.73</v>
      </c>
      <c r="O311" s="136" t="n">
        <f aca="false">VLOOKUP(E312,'O_MN, PE_UTA_UGM 2023'!$B$1:$I$300,8,FALSE())</f>
        <v>700</v>
      </c>
      <c r="P311" s="45"/>
      <c r="Q311" s="126" t="n">
        <f aca="false">VLOOKUP(E312,'O_MN, PE_UTA_UGM 2023'!$B$1:$I$300,5,FALSE())</f>
        <v>114.19</v>
      </c>
      <c r="R311" s="126" t="n">
        <f aca="false">VLOOKUP(E312,'O_MN, PE_UTA_UGM 2023'!$B$1:$I$300,6,FALSE())</f>
        <v>240.4</v>
      </c>
      <c r="S311" s="45"/>
      <c r="T311" s="47"/>
      <c r="U311" s="127" t="n">
        <f aca="false">(H311*N311)+(I311*O311)+((K311*N311)+(L311*O311)*1.25)</f>
        <v>0</v>
      </c>
      <c r="V311" s="128"/>
      <c r="W311" s="128"/>
      <c r="X311" s="127" t="n">
        <f aca="false">(H311*Q311)+(I311*R311)+((K311*Q311)+(L311*R311)*1.25)</f>
        <v>0</v>
      </c>
      <c r="Y311" s="129"/>
      <c r="Z311" s="130" t="e">
        <f aca="false">(#REF!+#REF!+K311)*'O_MN, PE_UTA_UGM 2023'!H285</f>
        <v>#REF!</v>
      </c>
      <c r="AA311" s="131" t="e">
        <f aca="false">(#REF!+#REF!+L311)*'O_MN, PE_UTA_UGM 2023'!I285</f>
        <v>#REF!</v>
      </c>
      <c r="AB311" s="132" t="n">
        <f aca="false">IF(ISERROR(+ROUND(#REF!*N311/#REF!,3)),0,+ROUND(#REF!*N311/#REF!,3))</f>
        <v>0</v>
      </c>
      <c r="AC311" s="132" t="n">
        <f aca="false">IF(ISERROR(+ROUND(#REF!*O311/#REF!,3)),0,+ROUND(#REF!*O311/#REF!,3))</f>
        <v>0</v>
      </c>
      <c r="AD311" s="133" t="n">
        <f aca="false">IF(AND(AB311=0,AC311=0),0,#REF!*(#REF!-(#REF!*AB311/N311))+#REF!*(#REF!-(#REF!*AC311/O311)))</f>
        <v>0</v>
      </c>
      <c r="AE311" s="3"/>
      <c r="AF311" s="3"/>
      <c r="AG311" s="3"/>
      <c r="AH311" s="3"/>
      <c r="AI311" s="3"/>
    </row>
    <row r="312" customFormat="false" ht="15" hidden="false" customHeight="false" outlineLevel="0" collapsed="false">
      <c r="A312" s="3"/>
      <c r="B312" s="139"/>
      <c r="C312" s="140"/>
      <c r="D312" s="141"/>
      <c r="E312" s="119" t="n">
        <f aca="false">'O_MN, PE_UTA_UGM 2023'!B285</f>
        <v>13</v>
      </c>
      <c r="F312" s="120" t="str">
        <f aca="false">'O_MN, PE_UTA_UGM 2023'!C285</f>
        <v>TRITICALE</v>
      </c>
      <c r="G312" s="121"/>
      <c r="H312" s="122"/>
      <c r="I312" s="122"/>
      <c r="J312" s="123"/>
      <c r="K312" s="124"/>
      <c r="L312" s="124"/>
      <c r="M312" s="112" t="e">
        <f aca="false">+IF(OR((#REF!+#REF!)&gt;0,(#REF!+#REF!)&gt;0,(K312+L312)&gt;0),"SI","NO")</f>
        <v>#REF!</v>
      </c>
      <c r="N312" s="136" t="n">
        <f aca="false">VLOOKUP(E313,'O_MN, PE_UTA_UGM 2023'!$B$1:$I$300,7,FALSE())</f>
        <v>365.73</v>
      </c>
      <c r="O312" s="136" t="n">
        <f aca="false">VLOOKUP(E313,'O_MN, PE_UTA_UGM 2023'!$B$1:$I$300,8,FALSE())</f>
        <v>700</v>
      </c>
      <c r="P312" s="45"/>
      <c r="Q312" s="126" t="n">
        <f aca="false">VLOOKUP(E313,'O_MN, PE_UTA_UGM 2023'!$B$1:$I$300,5,FALSE())</f>
        <v>114.19</v>
      </c>
      <c r="R312" s="126" t="n">
        <f aca="false">VLOOKUP(E313,'O_MN, PE_UTA_UGM 2023'!$B$1:$I$300,6,FALSE())</f>
        <v>240.4</v>
      </c>
      <c r="S312" s="45"/>
      <c r="T312" s="47"/>
      <c r="U312" s="127" t="n">
        <f aca="false">(H312*N312)+(I312*O312)+((K312*N312)+(L312*O312)*1.25)</f>
        <v>0</v>
      </c>
      <c r="V312" s="128"/>
      <c r="W312" s="128"/>
      <c r="X312" s="127" t="n">
        <f aca="false">(H312*Q312)+(I312*R312)+((K312*Q312)+(L312*R312)*1.25)</f>
        <v>0</v>
      </c>
      <c r="Y312" s="129"/>
      <c r="Z312" s="130" t="e">
        <f aca="false">(#REF!+#REF!+K312)*'O_MN, PE_UTA_UGM 2023'!H286</f>
        <v>#REF!</v>
      </c>
      <c r="AA312" s="131" t="e">
        <f aca="false">(#REF!+#REF!+L312)*'O_MN, PE_UTA_UGM 2023'!I286</f>
        <v>#REF!</v>
      </c>
      <c r="AB312" s="132" t="n">
        <f aca="false">IF(ISERROR(+ROUND(#REF!*N312/#REF!,3)),0,+ROUND(#REF!*N312/#REF!,3))</f>
        <v>0</v>
      </c>
      <c r="AC312" s="132" t="n">
        <f aca="false">IF(ISERROR(+ROUND(#REF!*O312/#REF!,3)),0,+ROUND(#REF!*O312/#REF!,3))</f>
        <v>0</v>
      </c>
      <c r="AD312" s="133" t="n">
        <f aca="false">IF(AND(AB312=0,AC312=0),0,#REF!*(#REF!-(#REF!*AB312/N312))+#REF!*(#REF!-(#REF!*AC312/O312)))</f>
        <v>0</v>
      </c>
      <c r="AE312" s="3"/>
      <c r="AF312" s="3"/>
      <c r="AG312" s="3"/>
      <c r="AH312" s="3"/>
      <c r="AI312" s="3"/>
    </row>
    <row r="313" customFormat="false" ht="15" hidden="false" customHeight="false" outlineLevel="0" collapsed="false">
      <c r="A313" s="3"/>
      <c r="B313" s="139"/>
      <c r="C313" s="140"/>
      <c r="D313" s="141"/>
      <c r="E313" s="119" t="n">
        <f aca="false">'O_MN, PE_UTA_UGM 2023'!B286</f>
        <v>2</v>
      </c>
      <c r="F313" s="120" t="str">
        <f aca="false">'O_MN, PE_UTA_UGM 2023'!C286</f>
        <v>TRITICUM SPELTA</v>
      </c>
      <c r="G313" s="121"/>
      <c r="H313" s="122"/>
      <c r="I313" s="122"/>
      <c r="J313" s="123"/>
      <c r="K313" s="124"/>
      <c r="L313" s="124"/>
      <c r="M313" s="112" t="e">
        <f aca="false">+IF(OR((#REF!+#REF!)&gt;0,(#REF!+#REF!)&gt;0,(K313+L313)&gt;0),"SI","NO")</f>
        <v>#REF!</v>
      </c>
      <c r="N313" s="136" t="n">
        <f aca="false">VLOOKUP(E314,'O_MN, PE_UTA_UGM 2023'!$B$1:$I$300,7,FALSE())</f>
        <v>365.73</v>
      </c>
      <c r="O313" s="136" t="n">
        <f aca="false">VLOOKUP(E314,'O_MN, PE_UTA_UGM 2023'!$B$1:$I$300,8,FALSE())</f>
        <v>700</v>
      </c>
      <c r="P313" s="45"/>
      <c r="Q313" s="126" t="n">
        <f aca="false">VLOOKUP(E314,'O_MN, PE_UTA_UGM 2023'!$B$1:$I$300,5,FALSE())</f>
        <v>114.19</v>
      </c>
      <c r="R313" s="126" t="n">
        <f aca="false">VLOOKUP(E314,'O_MN, PE_UTA_UGM 2023'!$B$1:$I$300,6,FALSE())</f>
        <v>240.4</v>
      </c>
      <c r="S313" s="45"/>
      <c r="T313" s="47"/>
      <c r="U313" s="127" t="n">
        <f aca="false">(H313*N313)+(I313*O313)+((K313*N313)+(L313*O313)*1.25)</f>
        <v>0</v>
      </c>
      <c r="V313" s="128"/>
      <c r="W313" s="128"/>
      <c r="X313" s="127" t="n">
        <f aca="false">(H313*Q313)+(I313*R313)+((K313*Q313)+(L313*R313)*1.25)</f>
        <v>0</v>
      </c>
      <c r="Y313" s="129"/>
      <c r="Z313" s="130" t="e">
        <f aca="false">(#REF!+#REF!+K313)*'O_MN, PE_UTA_UGM 2023'!H287</f>
        <v>#REF!</v>
      </c>
      <c r="AA313" s="131" t="e">
        <f aca="false">(#REF!+#REF!+L313)*'O_MN, PE_UTA_UGM 2023'!I287</f>
        <v>#REF!</v>
      </c>
      <c r="AB313" s="132" t="n">
        <f aca="false">IF(ISERROR(+ROUND(#REF!*N313/#REF!,3)),0,+ROUND(#REF!*N313/#REF!,3))</f>
        <v>0</v>
      </c>
      <c r="AC313" s="132" t="n">
        <f aca="false">IF(ISERROR(+ROUND(#REF!*O313/#REF!,3)),0,+ROUND(#REF!*O313/#REF!,3))</f>
        <v>0</v>
      </c>
      <c r="AD313" s="133" t="n">
        <f aca="false">IF(AND(AB313=0,AC313=0),0,#REF!*(#REF!-(#REF!*AB313/N313))+#REF!*(#REF!-(#REF!*AC313/O313)))</f>
        <v>0</v>
      </c>
      <c r="AE313" s="3"/>
      <c r="AF313" s="3"/>
      <c r="AG313" s="3"/>
      <c r="AH313" s="3"/>
      <c r="AI313" s="3"/>
    </row>
    <row r="314" customFormat="false" ht="15" hidden="false" customHeight="false" outlineLevel="0" collapsed="false">
      <c r="A314" s="3"/>
      <c r="B314" s="139"/>
      <c r="C314" s="140"/>
      <c r="D314" s="141"/>
      <c r="E314" s="119" t="n">
        <f aca="false">'O_MN, PE_UTA_UGM 2023'!B287</f>
        <v>14</v>
      </c>
      <c r="F314" s="120" t="str">
        <f aca="false">'O_MN, PE_UTA_UGM 2023'!C287</f>
        <v>TRITORDEUM</v>
      </c>
      <c r="G314" s="121"/>
      <c r="H314" s="122"/>
      <c r="I314" s="122"/>
      <c r="J314" s="123"/>
      <c r="K314" s="124"/>
      <c r="L314" s="124"/>
      <c r="M314" s="112" t="e">
        <f aca="false">+IF(OR((#REF!+#REF!)&gt;0,(#REF!+#REF!)&gt;0,(K314+L314)&gt;0),"SI","NO")</f>
        <v>#REF!</v>
      </c>
      <c r="N314" s="136" t="n">
        <f aca="false">VLOOKUP(E315,'O_MN, PE_UTA_UGM 2023'!$B$1:$I$300,7,FALSE())</f>
        <v>2000</v>
      </c>
      <c r="O314" s="136" t="n">
        <f aca="false">VLOOKUP(E315,'O_MN, PE_UTA_UGM 2023'!$B$1:$I$300,8,FALSE())</f>
        <v>6000</v>
      </c>
      <c r="P314" s="45"/>
      <c r="Q314" s="126" t="n">
        <f aca="false">VLOOKUP(E315,'O_MN, PE_UTA_UGM 2023'!$B$1:$I$300,5,FALSE())</f>
        <v>450.76</v>
      </c>
      <c r="R314" s="126" t="n">
        <f aca="false">VLOOKUP(E315,'O_MN, PE_UTA_UGM 2023'!$B$1:$I$300,6,FALSE())</f>
        <v>721.21</v>
      </c>
      <c r="S314" s="45"/>
      <c r="T314" s="47"/>
      <c r="U314" s="127" t="n">
        <f aca="false">(H314*N314)+(I314*O314)+((K314*N314)+(L314*O314)*1.25)</f>
        <v>0</v>
      </c>
      <c r="V314" s="128"/>
      <c r="W314" s="128"/>
      <c r="X314" s="127" t="n">
        <f aca="false">(H314*Q314)+(I314*R314)+((K314*Q314)+(L314*R314)*1.25)</f>
        <v>0</v>
      </c>
      <c r="Y314" s="129"/>
      <c r="Z314" s="130" t="e">
        <f aca="false">(#REF!+#REF!+K314)*'O_MN, PE_UTA_UGM 2023'!H288</f>
        <v>#REF!</v>
      </c>
      <c r="AA314" s="131" t="e">
        <f aca="false">(#REF!+#REF!+L314)*'O_MN, PE_UTA_UGM 2023'!I288</f>
        <v>#REF!</v>
      </c>
      <c r="AB314" s="132" t="n">
        <f aca="false">IF(ISERROR(+ROUND(#REF!*N314/#REF!,3)),0,+ROUND(#REF!*N314/#REF!,3))</f>
        <v>0</v>
      </c>
      <c r="AC314" s="132" t="n">
        <f aca="false">IF(ISERROR(+ROUND(#REF!*O314/#REF!,3)),0,+ROUND(#REF!*O314/#REF!,3))</f>
        <v>0</v>
      </c>
      <c r="AD314" s="133" t="n">
        <f aca="false">IF(AND(AB314=0,AC314=0),0,#REF!*(#REF!-(#REF!*AB314/N314))+#REF!*(#REF!-(#REF!*AC314/O314)))</f>
        <v>0</v>
      </c>
      <c r="AE314" s="3"/>
      <c r="AF314" s="3"/>
      <c r="AG314" s="3"/>
      <c r="AH314" s="3"/>
      <c r="AI314" s="3"/>
    </row>
    <row r="315" customFormat="false" ht="15" hidden="false" customHeight="false" outlineLevel="0" collapsed="false">
      <c r="A315" s="3"/>
      <c r="B315" s="139"/>
      <c r="C315" s="140"/>
      <c r="D315" s="141"/>
      <c r="E315" s="119" t="n">
        <f aca="false">'O_MN, PE_UTA_UGM 2023'!B288</f>
        <v>280</v>
      </c>
      <c r="F315" s="120" t="str">
        <f aca="false">'O_MN, PE_UTA_UGM 2023'!C288</f>
        <v>TRUFA</v>
      </c>
      <c r="G315" s="121"/>
      <c r="H315" s="122"/>
      <c r="I315" s="122"/>
      <c r="J315" s="123"/>
      <c r="K315" s="124"/>
      <c r="L315" s="124"/>
      <c r="M315" s="112" t="e">
        <f aca="false">+IF(OR((#REF!+#REF!)&gt;0,(#REF!+#REF!)&gt;0,(K315+L315)&gt;0),"SI","NO")</f>
        <v>#REF!</v>
      </c>
      <c r="N315" s="136" t="n">
        <f aca="false">VLOOKUP(E316,'O_MN, PE_UTA_UGM 2023'!$B$1:$I$300,7,FALSE())</f>
        <v>1614.25</v>
      </c>
      <c r="O315" s="136" t="n">
        <f aca="false">VLOOKUP(E316,'O_MN, PE_UTA_UGM 2023'!$B$1:$I$300,8,FALSE())</f>
        <v>5200</v>
      </c>
      <c r="P315" s="45"/>
      <c r="Q315" s="126" t="n">
        <f aca="false">VLOOKUP(E316,'O_MN, PE_UTA_UGM 2023'!$B$1:$I$300,5,FALSE())</f>
        <v>450.76</v>
      </c>
      <c r="R315" s="126" t="n">
        <f aca="false">VLOOKUP(E316,'O_MN, PE_UTA_UGM 2023'!$B$1:$I$300,6,FALSE())</f>
        <v>721.21</v>
      </c>
      <c r="S315" s="45"/>
      <c r="T315" s="47"/>
      <c r="U315" s="127" t="n">
        <f aca="false">(H315*N315)+(I315*O315)+((K315*N315)+(L315*O315)*1.25)</f>
        <v>0</v>
      </c>
      <c r="V315" s="128"/>
      <c r="W315" s="128"/>
      <c r="X315" s="127" t="n">
        <f aca="false">(H315*Q315)+(I315*R315)+((K315*Q315)+(L315*R315)*1.25)</f>
        <v>0</v>
      </c>
      <c r="Y315" s="129"/>
      <c r="Z315" s="130" t="e">
        <f aca="false">(#REF!+#REF!+K315)*'O_MN, PE_UTA_UGM 2023'!H289</f>
        <v>#REF!</v>
      </c>
      <c r="AA315" s="131" t="e">
        <f aca="false">(#REF!+#REF!+L315)*'O_MN, PE_UTA_UGM 2023'!I289</f>
        <v>#REF!</v>
      </c>
      <c r="AB315" s="132" t="n">
        <f aca="false">IF(ISERROR(+ROUND(#REF!*N315/#REF!,3)),0,+ROUND(#REF!*N315/#REF!,3))</f>
        <v>0</v>
      </c>
      <c r="AC315" s="132" t="n">
        <f aca="false">IF(ISERROR(+ROUND(#REF!*O315/#REF!,3)),0,+ROUND(#REF!*O315/#REF!,3))</f>
        <v>0</v>
      </c>
      <c r="AD315" s="133" t="n">
        <f aca="false">IF(AND(AB315=0,AC315=0),0,#REF!*(#REF!-(#REF!*AB315/N315))+#REF!*(#REF!-(#REF!*AC315/O315)))</f>
        <v>0</v>
      </c>
      <c r="AE315" s="3"/>
      <c r="AF315" s="3"/>
      <c r="AG315" s="3"/>
      <c r="AH315" s="3"/>
      <c r="AI315" s="3"/>
    </row>
    <row r="316" customFormat="false" ht="15" hidden="false" customHeight="false" outlineLevel="0" collapsed="false">
      <c r="A316" s="3"/>
      <c r="B316" s="139"/>
      <c r="C316" s="140"/>
      <c r="D316" s="141"/>
      <c r="E316" s="119" t="n">
        <f aca="false">'O_MN, PE_UTA_UGM 2023'!B289</f>
        <v>103</v>
      </c>
      <c r="F316" s="120" t="str">
        <f aca="false">'O_MN, PE_UTA_UGM 2023'!C289</f>
        <v>UVA DE MESA</v>
      </c>
      <c r="G316" s="121"/>
      <c r="H316" s="122"/>
      <c r="I316" s="122"/>
      <c r="J316" s="123"/>
      <c r="K316" s="124"/>
      <c r="L316" s="124"/>
      <c r="M316" s="112" t="e">
        <f aca="false">+IF(OR((#REF!+#REF!)&gt;0,(#REF!+#REF!)&gt;0,(K316+L316)&gt;0),"SI","NO")</f>
        <v>#REF!</v>
      </c>
      <c r="N316" s="136" t="n">
        <f aca="false">VLOOKUP(E317,'O_MN, PE_UTA_UGM 2023'!$B$1:$I$300,7,FALSE())</f>
        <v>614.25</v>
      </c>
      <c r="O316" s="136" t="n">
        <f aca="false">VLOOKUP(E317,'O_MN, PE_UTA_UGM 2023'!$B$1:$I$300,8,FALSE())</f>
        <v>2400</v>
      </c>
      <c r="P316" s="45"/>
      <c r="Q316" s="126" t="n">
        <f aca="false">VLOOKUP(E317,'O_MN, PE_UTA_UGM 2023'!$B$1:$I$300,5,FALSE())</f>
        <v>450.76</v>
      </c>
      <c r="R316" s="126" t="n">
        <f aca="false">VLOOKUP(E317,'O_MN, PE_UTA_UGM 2023'!$B$1:$I$300,6,FALSE())</f>
        <v>721.21</v>
      </c>
      <c r="S316" s="45"/>
      <c r="T316" s="47"/>
      <c r="U316" s="127" t="n">
        <f aca="false">(H316*N316)+(I316*O316)+((K316*N316)+(L316*O316)*1.25)</f>
        <v>0</v>
      </c>
      <c r="V316" s="128"/>
      <c r="W316" s="128"/>
      <c r="X316" s="127" t="n">
        <f aca="false">(H316*Q316)+(I316*R316)+((K316*Q316)+(L316*R316)*1.25)</f>
        <v>0</v>
      </c>
      <c r="Y316" s="129"/>
      <c r="Z316" s="130" t="e">
        <f aca="false">(#REF!+#REF!+K316)*'O_MN, PE_UTA_UGM 2023'!H290</f>
        <v>#REF!</v>
      </c>
      <c r="AA316" s="131" t="e">
        <f aca="false">(#REF!+#REF!+L316)*'O_MN, PE_UTA_UGM 2023'!I290</f>
        <v>#REF!</v>
      </c>
      <c r="AB316" s="132" t="n">
        <f aca="false">IF(ISERROR(+ROUND(#REF!*N316/#REF!,3)),0,+ROUND(#REF!*N316/#REF!,3))</f>
        <v>0</v>
      </c>
      <c r="AC316" s="132" t="n">
        <f aca="false">IF(ISERROR(+ROUND(#REF!*O316/#REF!,3)),0,+ROUND(#REF!*O316/#REF!,3))</f>
        <v>0</v>
      </c>
      <c r="AD316" s="133" t="n">
        <f aca="false">IF(AND(AB316=0,AC316=0),0,#REF!*(#REF!-(#REF!*AB316/N316))+#REF!*(#REF!-(#REF!*AC316/O316)))</f>
        <v>0</v>
      </c>
      <c r="AE316" s="3"/>
      <c r="AF316" s="3"/>
      <c r="AG316" s="3"/>
      <c r="AH316" s="3"/>
      <c r="AI316" s="3"/>
    </row>
    <row r="317" customFormat="false" ht="15" hidden="false" customHeight="false" outlineLevel="0" collapsed="false">
      <c r="A317" s="3"/>
      <c r="B317" s="139"/>
      <c r="C317" s="140"/>
      <c r="D317" s="141"/>
      <c r="E317" s="119" t="n">
        <f aca="false">'O_MN, PE_UTA_UGM 2023'!B290</f>
        <v>221</v>
      </c>
      <c r="F317" s="120" t="str">
        <f aca="false">'O_MN, PE_UTA_UGM 2023'!C290</f>
        <v>UVA PASA</v>
      </c>
      <c r="G317" s="121"/>
      <c r="H317" s="122"/>
      <c r="I317" s="122"/>
      <c r="J317" s="123"/>
      <c r="K317" s="124"/>
      <c r="L317" s="124"/>
      <c r="M317" s="112" t="e">
        <f aca="false">+IF(OR((#REF!+#REF!)&gt;0,(#REF!+#REF!)&gt;0,(K317+L317)&gt;0),"SI","NO")</f>
        <v>#REF!</v>
      </c>
      <c r="N317" s="136" t="n">
        <f aca="false">VLOOKUP(E318,'O_MN, PE_UTA_UGM 2023'!$B$1:$I$300,7,FALSE())</f>
        <v>1000</v>
      </c>
      <c r="O317" s="136" t="n">
        <f aca="false">VLOOKUP(E318,'O_MN, PE_UTA_UGM 2023'!$B$1:$I$300,8,FALSE())</f>
        <v>3800</v>
      </c>
      <c r="P317" s="45"/>
      <c r="Q317" s="126" t="n">
        <f aca="false">VLOOKUP(E318,'O_MN, PE_UTA_UGM 2023'!$B$1:$I$300,5,FALSE())</f>
        <v>114.19</v>
      </c>
      <c r="R317" s="126" t="n">
        <f aca="false">VLOOKUP(E318,'O_MN, PE_UTA_UGM 2023'!$B$1:$I$300,6,FALSE())</f>
        <v>240.4</v>
      </c>
      <c r="S317" s="45"/>
      <c r="T317" s="47"/>
      <c r="U317" s="127" t="n">
        <f aca="false">(H317*N317)+(I317*O317)+((K317*N317)+(L317*O317)*1.25)</f>
        <v>0</v>
      </c>
      <c r="V317" s="128"/>
      <c r="W317" s="128"/>
      <c r="X317" s="127" t="n">
        <f aca="false">(H317*Q317)+(I317*R317)+((K317*Q317)+(L317*R317)*1.25)</f>
        <v>0</v>
      </c>
      <c r="Y317" s="129"/>
      <c r="Z317" s="130" t="e">
        <f aca="false">(#REF!+#REF!+K317)*'O_MN, PE_UTA_UGM 2023'!H291</f>
        <v>#REF!</v>
      </c>
      <c r="AA317" s="131" t="e">
        <f aca="false">(#REF!+#REF!+L317)*'O_MN, PE_UTA_UGM 2023'!I291</f>
        <v>#REF!</v>
      </c>
      <c r="AB317" s="132" t="n">
        <f aca="false">IF(ISERROR(+ROUND(#REF!*N317/#REF!,3)),0,+ROUND(#REF!*N317/#REF!,3))</f>
        <v>0</v>
      </c>
      <c r="AC317" s="132" t="n">
        <f aca="false">IF(ISERROR(+ROUND(#REF!*O317/#REF!,3)),0,+ROUND(#REF!*O317/#REF!,3))</f>
        <v>0</v>
      </c>
      <c r="AD317" s="133" t="n">
        <f aca="false">IF(AND(AB317=0,AC317=0),0,#REF!*(#REF!-(#REF!*AB317/N317))+#REF!*(#REF!-(#REF!*AC317/O317)))</f>
        <v>0</v>
      </c>
      <c r="AE317" s="3"/>
      <c r="AF317" s="3"/>
      <c r="AG317" s="3"/>
      <c r="AH317" s="3"/>
      <c r="AI317" s="3"/>
    </row>
    <row r="318" customFormat="false" ht="15" hidden="false" customHeight="false" outlineLevel="0" collapsed="false">
      <c r="A318" s="3"/>
      <c r="B318" s="139"/>
      <c r="C318" s="140"/>
      <c r="D318" s="141"/>
      <c r="E318" s="119" t="n">
        <f aca="false">'O_MN, PE_UTA_UGM 2023'!B291</f>
        <v>256</v>
      </c>
      <c r="F318" s="120" t="str">
        <f aca="false">'O_MN, PE_UTA_UGM 2023'!C291</f>
        <v>VALERIANA</v>
      </c>
      <c r="G318" s="121"/>
      <c r="H318" s="122"/>
      <c r="I318" s="122"/>
      <c r="J318" s="123"/>
      <c r="K318" s="124"/>
      <c r="L318" s="124"/>
      <c r="M318" s="112" t="e">
        <f aca="false">+IF(OR((#REF!+#REF!)&gt;0,(#REF!+#REF!)&gt;0,(K318+L318)&gt;0),"SI","NO")</f>
        <v>#REF!</v>
      </c>
      <c r="N318" s="136" t="n">
        <f aca="false">VLOOKUP(E319,'O_MN, PE_UTA_UGM 2023'!$B$1:$I$300,7,FALSE())</f>
        <v>1000</v>
      </c>
      <c r="O318" s="136" t="n">
        <f aca="false">VLOOKUP(E319,'O_MN, PE_UTA_UGM 2023'!$B$1:$I$300,8,FALSE())</f>
        <v>3800</v>
      </c>
      <c r="P318" s="45"/>
      <c r="Q318" s="126" t="n">
        <f aca="false">VLOOKUP(E319,'O_MN, PE_UTA_UGM 2023'!$B$1:$I$300,5,FALSE())</f>
        <v>114.19</v>
      </c>
      <c r="R318" s="126" t="n">
        <f aca="false">VLOOKUP(E319,'O_MN, PE_UTA_UGM 2023'!$B$1:$I$300,6,FALSE())</f>
        <v>240.4</v>
      </c>
      <c r="S318" s="45"/>
      <c r="T318" s="47"/>
      <c r="U318" s="127" t="n">
        <f aca="false">(H318*N318)+(I318*O318)+((K318*N318)+(L318*O318)*1.25)</f>
        <v>0</v>
      </c>
      <c r="V318" s="128"/>
      <c r="W318" s="128"/>
      <c r="X318" s="127" t="n">
        <f aca="false">(H318*Q318)+(I318*R318)+((K318*Q318)+(L318*R318)*1.25)</f>
        <v>0</v>
      </c>
      <c r="Y318" s="129"/>
      <c r="Z318" s="130" t="e">
        <f aca="false">(#REF!+#REF!+K318)*'O_MN, PE_UTA_UGM 2023'!H292</f>
        <v>#REF!</v>
      </c>
      <c r="AA318" s="131" t="e">
        <f aca="false">(#REF!+#REF!+L318)*'O_MN, PE_UTA_UGM 2023'!I292</f>
        <v>#REF!</v>
      </c>
      <c r="AB318" s="132" t="n">
        <f aca="false">IF(ISERROR(+ROUND(#REF!*N318/#REF!,3)),0,+ROUND(#REF!*N318/#REF!,3))</f>
        <v>0</v>
      </c>
      <c r="AC318" s="132" t="n">
        <f aca="false">IF(ISERROR(+ROUND(#REF!*O318/#REF!,3)),0,+ROUND(#REF!*O318/#REF!,3))</f>
        <v>0</v>
      </c>
      <c r="AD318" s="133" t="n">
        <f aca="false">IF(AND(AB318=0,AC318=0),0,#REF!*(#REF!-(#REF!*AB318/N318))+#REF!*(#REF!-(#REF!*AC318/O318)))</f>
        <v>0</v>
      </c>
      <c r="AE318" s="3"/>
      <c r="AF318" s="3"/>
      <c r="AG318" s="3"/>
      <c r="AH318" s="3"/>
      <c r="AI318" s="3"/>
    </row>
    <row r="319" customFormat="false" ht="15" hidden="false" customHeight="false" outlineLevel="0" collapsed="false">
      <c r="A319" s="3"/>
      <c r="B319" s="139"/>
      <c r="C319" s="140"/>
      <c r="D319" s="141"/>
      <c r="E319" s="119" t="n">
        <f aca="false">'O_MN, PE_UTA_UGM 2023'!B292</f>
        <v>324</v>
      </c>
      <c r="F319" s="120" t="str">
        <f aca="false">'O_MN, PE_UTA_UGM 2023'!C292</f>
        <v>VARA DE ORO</v>
      </c>
      <c r="G319" s="121"/>
      <c r="H319" s="122"/>
      <c r="I319" s="122"/>
      <c r="J319" s="123"/>
      <c r="K319" s="124"/>
      <c r="L319" s="124"/>
      <c r="M319" s="112" t="e">
        <f aca="false">+IF(OR((#REF!+#REF!)&gt;0,(#REF!+#REF!)&gt;0,(K319+L319)&gt;0),"SI","NO")</f>
        <v>#REF!</v>
      </c>
      <c r="N319" s="136" t="n">
        <f aca="false">VLOOKUP(E320,'O_MN, PE_UTA_UGM 2023'!$B$1:$I$300,7,FALSE())</f>
        <v>1000</v>
      </c>
      <c r="O319" s="136" t="n">
        <f aca="false">VLOOKUP(E320,'O_MN, PE_UTA_UGM 2023'!$B$1:$I$300,8,FALSE())</f>
        <v>3800</v>
      </c>
      <c r="P319" s="45"/>
      <c r="Q319" s="126" t="n">
        <f aca="false">VLOOKUP(E320,'O_MN, PE_UTA_UGM 2023'!$B$1:$I$300,5,FALSE())</f>
        <v>114.19</v>
      </c>
      <c r="R319" s="126" t="n">
        <f aca="false">VLOOKUP(E320,'O_MN, PE_UTA_UGM 2023'!$B$1:$I$300,6,FALSE())</f>
        <v>240.4</v>
      </c>
      <c r="S319" s="45"/>
      <c r="T319" s="47"/>
      <c r="U319" s="127" t="n">
        <f aca="false">(H319*N319)+(I319*O319)+((K319*N319)+(L319*O319)*1.25)</f>
        <v>0</v>
      </c>
      <c r="V319" s="128"/>
      <c r="W319" s="128"/>
      <c r="X319" s="127" t="n">
        <f aca="false">(H319*Q319)+(I319*R319)+((K319*Q319)+(L319*R319)*1.25)</f>
        <v>0</v>
      </c>
      <c r="Y319" s="129"/>
      <c r="Z319" s="130" t="e">
        <f aca="false">(#REF!+#REF!+K319)*'O_MN, PE_UTA_UGM 2023'!H293</f>
        <v>#REF!</v>
      </c>
      <c r="AA319" s="131" t="e">
        <f aca="false">(#REF!+#REF!+L319)*'O_MN, PE_UTA_UGM 2023'!I293</f>
        <v>#REF!</v>
      </c>
      <c r="AB319" s="132" t="n">
        <f aca="false">IF(ISERROR(+ROUND(#REF!*N319/#REF!,3)),0,+ROUND(#REF!*N319/#REF!,3))</f>
        <v>0</v>
      </c>
      <c r="AC319" s="132" t="n">
        <f aca="false">IF(ISERROR(+ROUND(#REF!*O319/#REF!,3)),0,+ROUND(#REF!*O319/#REF!,3))</f>
        <v>0</v>
      </c>
      <c r="AD319" s="133" t="n">
        <f aca="false">IF(AND(AB319=0,AC319=0),0,#REF!*(#REF!-(#REF!*AB319/N319))+#REF!*(#REF!-(#REF!*AC319/O319)))</f>
        <v>0</v>
      </c>
      <c r="AE319" s="3"/>
      <c r="AF319" s="3"/>
      <c r="AG319" s="3"/>
      <c r="AH319" s="3"/>
      <c r="AI319" s="3"/>
    </row>
    <row r="320" customFormat="false" ht="15" hidden="false" customHeight="false" outlineLevel="0" collapsed="false">
      <c r="A320" s="3"/>
      <c r="B320" s="139"/>
      <c r="C320" s="140"/>
      <c r="D320" s="141"/>
      <c r="E320" s="119" t="n">
        <f aca="false">'O_MN, PE_UTA_UGM 2023'!B293</f>
        <v>277</v>
      </c>
      <c r="F320" s="120" t="str">
        <f aca="false">'O_MN, PE_UTA_UGM 2023'!C293</f>
        <v>VERBENA</v>
      </c>
      <c r="G320" s="121"/>
      <c r="H320" s="122"/>
      <c r="I320" s="122"/>
      <c r="J320" s="123"/>
      <c r="K320" s="124"/>
      <c r="L320" s="124"/>
      <c r="M320" s="112" t="e">
        <f aca="false">+IF(OR((#REF!+#REF!)&gt;0,(#REF!+#REF!)&gt;0,(K320+L320)&gt;0),"SI","NO")</f>
        <v>#REF!</v>
      </c>
      <c r="N320" s="136" t="n">
        <f aca="false">VLOOKUP(E321,'O_MN, PE_UTA_UGM 2023'!$B$1:$I$300,7,FALSE())</f>
        <v>350</v>
      </c>
      <c r="O320" s="136" t="n">
        <f aca="false">VLOOKUP(E321,'O_MN, PE_UTA_UGM 2023'!$B$1:$I$300,8,FALSE())</f>
        <v>750</v>
      </c>
      <c r="P320" s="45"/>
      <c r="Q320" s="126" t="n">
        <f aca="false">VLOOKUP(E321,'O_MN, PE_UTA_UGM 2023'!$B$1:$I$300,5,FALSE())</f>
        <v>114.19</v>
      </c>
      <c r="R320" s="126" t="n">
        <f aca="false">VLOOKUP(E321,'O_MN, PE_UTA_UGM 2023'!$B$1:$I$300,6,FALSE())</f>
        <v>240.4</v>
      </c>
      <c r="S320" s="45"/>
      <c r="T320" s="47"/>
      <c r="U320" s="127" t="n">
        <f aca="false">(H320*N320)+(I320*O320)+((K320*N320)+(L320*O320)*1.25)</f>
        <v>0</v>
      </c>
      <c r="V320" s="128"/>
      <c r="W320" s="128"/>
      <c r="X320" s="127" t="n">
        <f aca="false">(H320*Q320)+(I320*R320)+((K320*Q320)+(L320*R320)*1.25)</f>
        <v>0</v>
      </c>
      <c r="Y320" s="129"/>
      <c r="Z320" s="130" t="e">
        <f aca="false">(#REF!+#REF!+K320)*'O_MN, PE_UTA_UGM 2023'!H294</f>
        <v>#REF!</v>
      </c>
      <c r="AA320" s="131" t="e">
        <f aca="false">(#REF!+#REF!+L320)*'O_MN, PE_UTA_UGM 2023'!I294</f>
        <v>#REF!</v>
      </c>
      <c r="AB320" s="132" t="n">
        <f aca="false">IF(ISERROR(+ROUND(#REF!*N320/#REF!,3)),0,+ROUND(#REF!*N320/#REF!,3))</f>
        <v>0</v>
      </c>
      <c r="AC320" s="132" t="n">
        <f aca="false">IF(ISERROR(+ROUND(#REF!*O320/#REF!,3)),0,+ROUND(#REF!*O320/#REF!,3))</f>
        <v>0</v>
      </c>
      <c r="AD320" s="133" t="n">
        <f aca="false">IF(AND(AB320=0,AC320=0),0,#REF!*(#REF!-(#REF!*AB320/N320))+#REF!*(#REF!-(#REF!*AC320/O320)))</f>
        <v>0</v>
      </c>
      <c r="AE320" s="3"/>
      <c r="AF320" s="3"/>
      <c r="AG320" s="3"/>
      <c r="AH320" s="3"/>
      <c r="AI320" s="3"/>
    </row>
    <row r="321" customFormat="false" ht="15" hidden="false" customHeight="false" outlineLevel="0" collapsed="false">
      <c r="A321" s="3"/>
      <c r="B321" s="139"/>
      <c r="C321" s="140"/>
      <c r="D321" s="141"/>
      <c r="E321" s="119" t="n">
        <f aca="false">'O_MN, PE_UTA_UGM 2023'!B294</f>
        <v>52</v>
      </c>
      <c r="F321" s="120" t="str">
        <f aca="false">'O_MN, PE_UTA_UGM 2023'!C294</f>
        <v>VEZA  </v>
      </c>
      <c r="G321" s="121"/>
      <c r="H321" s="122"/>
      <c r="I321" s="122"/>
      <c r="J321" s="123"/>
      <c r="K321" s="124"/>
      <c r="L321" s="124"/>
      <c r="M321" s="112" t="e">
        <f aca="false">+IF(OR((#REF!+#REF!)&gt;0,(#REF!+#REF!)&gt;0,(K321+L321)&gt;0),"SI","NO")</f>
        <v>#REF!</v>
      </c>
      <c r="N321" s="136" t="n">
        <f aca="false">VLOOKUP(E322,'O_MN, PE_UTA_UGM 2023'!$B$1:$I$300,7,FALSE())</f>
        <v>500</v>
      </c>
      <c r="O321" s="136" t="n">
        <f aca="false">VLOOKUP(E322,'O_MN, PE_UTA_UGM 2023'!$B$1:$I$300,8,FALSE())</f>
        <v>1500</v>
      </c>
      <c r="P321" s="45"/>
      <c r="Q321" s="126" t="n">
        <f aca="false">VLOOKUP(E322,'O_MN, PE_UTA_UGM 2023'!$B$1:$I$300,5,FALSE())</f>
        <v>450.76</v>
      </c>
      <c r="R321" s="126" t="n">
        <f aca="false">VLOOKUP(E322,'O_MN, PE_UTA_UGM 2023'!$B$1:$I$300,6,FALSE())</f>
        <v>721.21</v>
      </c>
      <c r="S321" s="45"/>
      <c r="T321" s="47"/>
      <c r="U321" s="127" t="n">
        <f aca="false">(H321*N321)+(I321*O321)+((K321*N321)+(L321*O321)*1.25)</f>
        <v>0</v>
      </c>
      <c r="V321" s="128"/>
      <c r="W321" s="128"/>
      <c r="X321" s="127" t="n">
        <f aca="false">(H321*Q321)+(I321*R321)+((K321*Q321)+(L321*R321)*1.25)</f>
        <v>0</v>
      </c>
      <c r="Y321" s="129"/>
      <c r="Z321" s="130" t="e">
        <f aca="false">(#REF!+#REF!+K321)*'O_MN, PE_UTA_UGM 2023'!H295</f>
        <v>#REF!</v>
      </c>
      <c r="AA321" s="131" t="e">
        <f aca="false">(#REF!+#REF!+L321)*'O_MN, PE_UTA_UGM 2023'!I295</f>
        <v>#REF!</v>
      </c>
      <c r="AB321" s="132" t="n">
        <f aca="false">IF(ISERROR(+ROUND(#REF!*N321/#REF!,3)),0,+ROUND(#REF!*N321/#REF!,3))</f>
        <v>0</v>
      </c>
      <c r="AC321" s="132" t="n">
        <f aca="false">IF(ISERROR(+ROUND(#REF!*O321/#REF!,3)),0,+ROUND(#REF!*O321/#REF!,3))</f>
        <v>0</v>
      </c>
      <c r="AD321" s="133" t="n">
        <f aca="false">IF(AND(AB321=0,AC321=0),0,#REF!*(#REF!-(#REF!*AB321/N321))+#REF!*(#REF!-(#REF!*AC321/O321)))</f>
        <v>0</v>
      </c>
      <c r="AE321" s="3"/>
      <c r="AF321" s="3"/>
      <c r="AG321" s="3"/>
      <c r="AH321" s="3"/>
      <c r="AI321" s="3"/>
    </row>
    <row r="322" customFormat="false" ht="15" hidden="false" customHeight="false" outlineLevel="0" collapsed="false">
      <c r="A322" s="3"/>
      <c r="B322" s="139"/>
      <c r="C322" s="140"/>
      <c r="D322" s="141"/>
      <c r="E322" s="119" t="n">
        <f aca="false">'O_MN, PE_UTA_UGM 2023'!B295</f>
        <v>120</v>
      </c>
      <c r="F322" s="120" t="str">
        <f aca="false">'O_MN, PE_UTA_UGM 2023'!C295</f>
        <v>VIÑA – OLIVAR</v>
      </c>
      <c r="G322" s="121"/>
      <c r="H322" s="122"/>
      <c r="I322" s="122"/>
      <c r="J322" s="123"/>
      <c r="K322" s="124"/>
      <c r="L322" s="124"/>
      <c r="M322" s="112" t="e">
        <f aca="false">+IF(OR((#REF!+#REF!)&gt;0,(#REF!+#REF!)&gt;0,(K322+L322)&gt;0),"SI","NO")</f>
        <v>#REF!</v>
      </c>
      <c r="N322" s="136" t="n">
        <f aca="false">VLOOKUP(E323,'O_MN, PE_UTA_UGM 2023'!$B$1:$I$300,7,FALSE())</f>
        <v>800</v>
      </c>
      <c r="O322" s="136" t="n">
        <f aca="false">VLOOKUP(E323,'O_MN, PE_UTA_UGM 2023'!$B$1:$I$300,8,FALSE())</f>
        <v>1800</v>
      </c>
      <c r="P322" s="45"/>
      <c r="Q322" s="126" t="n">
        <f aca="false">VLOOKUP(E323,'O_MN, PE_UTA_UGM 2023'!$B$1:$I$300,5,FALSE())</f>
        <v>450.76</v>
      </c>
      <c r="R322" s="126" t="n">
        <f aca="false">VLOOKUP(E323,'O_MN, PE_UTA_UGM 2023'!$B$1:$I$300,6,FALSE())</f>
        <v>721.21</v>
      </c>
      <c r="S322" s="45"/>
      <c r="T322" s="47"/>
      <c r="U322" s="127" t="n">
        <f aca="false">(H322*N322)+(I322*O322)+((K322*N322)+(L322*O322)*1.25)</f>
        <v>0</v>
      </c>
      <c r="V322" s="128"/>
      <c r="W322" s="128"/>
      <c r="X322" s="127" t="n">
        <f aca="false">(H322*Q322)+(I322*R322)+((K322*Q322)+(L322*R322)*1.25)</f>
        <v>0</v>
      </c>
      <c r="Y322" s="129"/>
      <c r="Z322" s="130" t="e">
        <f aca="false">(#REF!+#REF!+K322)*'O_MN, PE_UTA_UGM 2023'!H296</f>
        <v>#REF!</v>
      </c>
      <c r="AA322" s="131" t="e">
        <f aca="false">(#REF!+#REF!+L322)*'O_MN, PE_UTA_UGM 2023'!I296</f>
        <v>#REF!</v>
      </c>
      <c r="AB322" s="132" t="n">
        <f aca="false">IF(ISERROR(+ROUND(#REF!*N322/#REF!,3)),0,+ROUND(#REF!*N322/#REF!,3))</f>
        <v>0</v>
      </c>
      <c r="AC322" s="132" t="n">
        <f aca="false">IF(ISERROR(+ROUND(#REF!*O322/#REF!,3)),0,+ROUND(#REF!*O322/#REF!,3))</f>
        <v>0</v>
      </c>
      <c r="AD322" s="133" t="n">
        <f aca="false">IF(AND(AB322=0,AC322=0),0,#REF!*(#REF!-(#REF!*AB322/N322))+#REF!*(#REF!-(#REF!*AC322/O322)))</f>
        <v>0</v>
      </c>
      <c r="AE322" s="3"/>
      <c r="AF322" s="3"/>
      <c r="AG322" s="3"/>
      <c r="AH322" s="3"/>
      <c r="AI322" s="3"/>
    </row>
    <row r="323" customFormat="false" ht="15" hidden="false" customHeight="false" outlineLevel="0" collapsed="false">
      <c r="A323" s="3"/>
      <c r="B323" s="139"/>
      <c r="C323" s="140"/>
      <c r="D323" s="141"/>
      <c r="E323" s="119" t="n">
        <f aca="false">'O_MN, PE_UTA_UGM 2023'!B296</f>
        <v>102</v>
      </c>
      <c r="F323" s="120" t="str">
        <f aca="false">'O_MN, PE_UTA_UGM 2023'!C296</f>
        <v>VIÑEDO VINIFICACION</v>
      </c>
      <c r="G323" s="121"/>
      <c r="H323" s="122"/>
      <c r="I323" s="122"/>
      <c r="J323" s="123"/>
      <c r="K323" s="124"/>
      <c r="L323" s="124"/>
      <c r="M323" s="112" t="e">
        <f aca="false">+IF(OR((#REF!+#REF!)&gt;0,(#REF!+#REF!)&gt;0,(K323+L323)&gt;0),"SI","NO")</f>
        <v>#REF!</v>
      </c>
      <c r="N323" s="136" t="n">
        <f aca="false">VLOOKUP(E324,'O_MN, PE_UTA_UGM 2023'!$B$1:$I$300,7,FALSE())</f>
        <v>0</v>
      </c>
      <c r="O323" s="136" t="n">
        <f aca="false">VLOOKUP(E324,'O_MN, PE_UTA_UGM 2023'!$B$1:$I$300,8,FALSE())</f>
        <v>50000</v>
      </c>
      <c r="P323" s="45"/>
      <c r="Q323" s="126" t="n">
        <f aca="false">VLOOKUP(E324,'O_MN, PE_UTA_UGM 2023'!$B$1:$I$300,5,FALSE())</f>
        <v>3005.06</v>
      </c>
      <c r="R323" s="126" t="n">
        <f aca="false">VLOOKUP(E324,'O_MN, PE_UTA_UGM 2023'!$B$1:$I$300,6,FALSE())</f>
        <v>15025.3</v>
      </c>
      <c r="S323" s="45"/>
      <c r="T323" s="47"/>
      <c r="U323" s="127" t="n">
        <f aca="false">(H323*N323)+(I323*O323)+((K323*N323)+(L323*O323)*1.25)</f>
        <v>0</v>
      </c>
      <c r="V323" s="128"/>
      <c r="W323" s="128"/>
      <c r="X323" s="127" t="n">
        <f aca="false">(H323*Q323)+(I323*R323)+((K323*Q323)+(L323*R323)*1.25)</f>
        <v>0</v>
      </c>
      <c r="Y323" s="129"/>
      <c r="Z323" s="130" t="e">
        <f aca="false">(#REF!+#REF!+K323)*'O_MN, PE_UTA_UGM 2023'!H297</f>
        <v>#REF!</v>
      </c>
      <c r="AA323" s="131" t="e">
        <f aca="false">(#REF!+#REF!+L323)*'O_MN, PE_UTA_UGM 2023'!I297</f>
        <v>#REF!</v>
      </c>
      <c r="AB323" s="132" t="n">
        <f aca="false">IF(ISERROR(+ROUND(#REF!*N323/#REF!,3)),0,+ROUND(#REF!*N323/#REF!,3))</f>
        <v>0</v>
      </c>
      <c r="AC323" s="132" t="n">
        <f aca="false">IF(ISERROR(+ROUND(#REF!*O323/#REF!,3)),0,+ROUND(#REF!*O323/#REF!,3))</f>
        <v>0</v>
      </c>
      <c r="AD323" s="133" t="n">
        <f aca="false">IF(AND(AB323=0,AC323=0),0,#REF!*(#REF!-(#REF!*AB323/N323))+#REF!*(#REF!-(#REF!*AC323/O323)))</f>
        <v>0</v>
      </c>
      <c r="AE323" s="3"/>
      <c r="AF323" s="3"/>
      <c r="AG323" s="3"/>
      <c r="AH323" s="3"/>
      <c r="AI323" s="3"/>
    </row>
    <row r="324" customFormat="false" ht="15" hidden="false" customHeight="false" outlineLevel="0" collapsed="false">
      <c r="A324" s="3"/>
      <c r="B324" s="139"/>
      <c r="C324" s="140"/>
      <c r="D324" s="141"/>
      <c r="E324" s="119" t="n">
        <f aca="false">'O_MN, PE_UTA_UGM 2023'!B297</f>
        <v>119</v>
      </c>
      <c r="F324" s="120" t="str">
        <f aca="false">'O_MN, PE_UTA_UGM 2023'!C297</f>
        <v>VIVEROS</v>
      </c>
      <c r="G324" s="121"/>
      <c r="H324" s="122"/>
      <c r="I324" s="122"/>
      <c r="J324" s="123"/>
      <c r="K324" s="124"/>
      <c r="L324" s="124"/>
      <c r="M324" s="112" t="e">
        <f aca="false">+IF(OR((#REF!+#REF!)&gt;0,(#REF!+#REF!)&gt;0,(K324+L324)&gt;0),"SI","NO")</f>
        <v>#REF!</v>
      </c>
      <c r="N324" s="136" t="n">
        <f aca="false">VLOOKUP(E325,'O_MN, PE_UTA_UGM 2023'!$B$1:$I$300,7,FALSE())</f>
        <v>350</v>
      </c>
      <c r="O324" s="136" t="n">
        <f aca="false">VLOOKUP(E325,'O_MN, PE_UTA_UGM 2023'!$B$1:$I$300,8,FALSE())</f>
        <v>750</v>
      </c>
      <c r="P324" s="45"/>
      <c r="Q324" s="126" t="n">
        <f aca="false">VLOOKUP(E325,'O_MN, PE_UTA_UGM 2023'!$B$1:$I$300,5,FALSE())</f>
        <v>114.19</v>
      </c>
      <c r="R324" s="126" t="n">
        <f aca="false">VLOOKUP(E325,'O_MN, PE_UTA_UGM 2023'!$B$1:$I$300,6,FALSE())</f>
        <v>240.4</v>
      </c>
      <c r="S324" s="45"/>
      <c r="T324" s="47"/>
      <c r="U324" s="127" t="n">
        <f aca="false">(H324*N324)+(I324*O324)+((K324*N324)+(L324*O324)*1.25)</f>
        <v>0</v>
      </c>
      <c r="V324" s="128"/>
      <c r="W324" s="128"/>
      <c r="X324" s="127" t="n">
        <f aca="false">(H324*Q324)+(I324*R324)+((K324*Q324)+(L324*R324)*1.25)</f>
        <v>0</v>
      </c>
      <c r="Y324" s="129"/>
      <c r="Z324" s="130" t="e">
        <f aca="false">(#REF!+#REF!+K324)*'O_MN, PE_UTA_UGM 2023'!H298</f>
        <v>#REF!</v>
      </c>
      <c r="AA324" s="131" t="e">
        <f aca="false">(#REF!+#REF!+L324)*'O_MN, PE_UTA_UGM 2023'!I298</f>
        <v>#REF!</v>
      </c>
      <c r="AB324" s="132" t="n">
        <f aca="false">IF(ISERROR(+ROUND(#REF!*N324/#REF!,3)),0,+ROUND(#REF!*N324/#REF!,3))</f>
        <v>0</v>
      </c>
      <c r="AC324" s="132" t="n">
        <f aca="false">IF(ISERROR(+ROUND(#REF!*O324/#REF!,3)),0,+ROUND(#REF!*O324/#REF!,3))</f>
        <v>0</v>
      </c>
      <c r="AD324" s="133" t="n">
        <f aca="false">IF(AND(AB324=0,AC324=0),0,#REF!*(#REF!-(#REF!*AB324/N324))+#REF!*(#REF!-(#REF!*AC324/O324)))</f>
        <v>0</v>
      </c>
      <c r="AE324" s="3"/>
      <c r="AF324" s="3"/>
      <c r="AG324" s="3"/>
      <c r="AH324" s="3"/>
      <c r="AI324" s="3"/>
    </row>
    <row r="325" customFormat="false" ht="15" hidden="false" customHeight="false" outlineLevel="0" collapsed="false">
      <c r="A325" s="3"/>
      <c r="B325" s="139"/>
      <c r="C325" s="140"/>
      <c r="D325" s="141"/>
      <c r="E325" s="119" t="n">
        <f aca="false">'O_MN, PE_UTA_UGM 2023'!B298</f>
        <v>53</v>
      </c>
      <c r="F325" s="120" t="str">
        <f aca="false">'O_MN, PE_UTA_UGM 2023'!C298</f>
        <v>YEROS</v>
      </c>
      <c r="G325" s="121"/>
      <c r="H325" s="122"/>
      <c r="I325" s="122"/>
      <c r="J325" s="123"/>
      <c r="K325" s="124"/>
      <c r="L325" s="124"/>
      <c r="M325" s="112" t="e">
        <f aca="false">+IF(OR((#REF!+#REF!)&gt;0,(#REF!+#REF!)&gt;0,(K325+L325)&gt;0),"SI","NO")</f>
        <v>#REF!</v>
      </c>
      <c r="N325" s="136" t="n">
        <f aca="false">VLOOKUP(E326,'O_MN, PE_UTA_UGM 2023'!$B$1:$I$300,7,FALSE())</f>
        <v>0</v>
      </c>
      <c r="O325" s="136" t="n">
        <f aca="false">VLOOKUP(E326,'O_MN, PE_UTA_UGM 2023'!$B$1:$I$300,8,FALSE())</f>
        <v>5200</v>
      </c>
      <c r="P325" s="45"/>
      <c r="Q325" s="126" t="n">
        <f aca="false">VLOOKUP(E326,'O_MN, PE_UTA_UGM 2023'!$B$1:$I$300,5,FALSE())</f>
        <v>360.61</v>
      </c>
      <c r="R325" s="126" t="n">
        <f aca="false">VLOOKUP(E326,'O_MN, PE_UTA_UGM 2023'!$B$1:$I$300,6,FALSE())</f>
        <v>1352.28</v>
      </c>
      <c r="S325" s="45"/>
      <c r="T325" s="47"/>
      <c r="U325" s="127" t="n">
        <f aca="false">(H325*N325)+(I325*O325)+((K325*N325)+(L325*O325)*1.25)</f>
        <v>0</v>
      </c>
      <c r="V325" s="128"/>
      <c r="W325" s="128"/>
      <c r="X325" s="127" t="n">
        <f aca="false">(H325*Q325)+(I325*R325)+((K325*Q325)+(L325*R325)*1.25)</f>
        <v>0</v>
      </c>
      <c r="Y325" s="129"/>
      <c r="Z325" s="130" t="e">
        <f aca="false">(#REF!+#REF!+K325)*'O_MN, PE_UTA_UGM 2023'!H299</f>
        <v>#REF!</v>
      </c>
      <c r="AA325" s="131" t="e">
        <f aca="false">(#REF!+#REF!+L325)*'O_MN, PE_UTA_UGM 2023'!I299</f>
        <v>#REF!</v>
      </c>
      <c r="AB325" s="132" t="n">
        <f aca="false">IF(ISERROR(+ROUND(#REF!*N325/#REF!,3)),0,+ROUND(#REF!*N325/#REF!,3))</f>
        <v>0</v>
      </c>
      <c r="AC325" s="132" t="n">
        <f aca="false">IF(ISERROR(+ROUND(#REF!*O325/#REF!,3)),0,+ROUND(#REF!*O325/#REF!,3))</f>
        <v>0</v>
      </c>
      <c r="AD325" s="133" t="n">
        <f aca="false">IF(AND(AB325=0,AC325=0),0,#REF!*(#REF!-(#REF!*AB325/N325))+#REF!*(#REF!-(#REF!*AC325/O325)))</f>
        <v>0</v>
      </c>
      <c r="AE325" s="3"/>
      <c r="AF325" s="3"/>
      <c r="AG325" s="3"/>
      <c r="AH325" s="3"/>
      <c r="AI325" s="3"/>
    </row>
    <row r="326" customFormat="false" ht="15" hidden="false" customHeight="false" outlineLevel="0" collapsed="false">
      <c r="A326" s="3"/>
      <c r="B326" s="139"/>
      <c r="C326" s="140"/>
      <c r="D326" s="141"/>
      <c r="E326" s="119" t="n">
        <f aca="false">'O_MN, PE_UTA_UGM 2023'!B299</f>
        <v>178</v>
      </c>
      <c r="F326" s="120" t="str">
        <f aca="false">'O_MN, PE_UTA_UGM 2023'!C299</f>
        <v>ZANAHORIA</v>
      </c>
      <c r="G326" s="121"/>
      <c r="H326" s="122"/>
      <c r="I326" s="122"/>
      <c r="J326" s="123"/>
      <c r="K326" s="124"/>
      <c r="L326" s="124"/>
      <c r="M326" s="112" t="e">
        <f aca="false">+IF(OR((#REF!+#REF!)&gt;0,(#REF!+#REF!)&gt;0,(K326+L326)&gt;0),"SI","NO")</f>
        <v>#REF!</v>
      </c>
      <c r="N326" s="136" t="n">
        <f aca="false">VLOOKUP(E327,'O_MN, PE_UTA_UGM 2023'!$B$1:$I$300,7,FALSE())</f>
        <v>700</v>
      </c>
      <c r="O326" s="136" t="n">
        <f aca="false">VLOOKUP(E327,'O_MN, PE_UTA_UGM 2023'!$B$1:$I$300,8,FALSE())</f>
        <v>1800</v>
      </c>
      <c r="P326" s="45"/>
      <c r="Q326" s="126" t="n">
        <f aca="false">VLOOKUP(E327,'O_MN, PE_UTA_UGM 2023'!$B$1:$I$300,5,FALSE())</f>
        <v>114.19</v>
      </c>
      <c r="R326" s="126" t="n">
        <f aca="false">VLOOKUP(E327,'O_MN, PE_UTA_UGM 2023'!$B$1:$I$300,6,FALSE())</f>
        <v>240.4</v>
      </c>
      <c r="S326" s="45"/>
      <c r="T326" s="47"/>
      <c r="U326" s="127" t="n">
        <f aca="false">(H326*N326)+(I326*O326)+((K326*N326)+(L326*O326)*1.25)</f>
        <v>0</v>
      </c>
      <c r="V326" s="128"/>
      <c r="W326" s="128"/>
      <c r="X326" s="127" t="n">
        <f aca="false">(H326*Q326)+(I326*R326)+((K326*Q326)+(L326*R326)*1.25)</f>
        <v>0</v>
      </c>
      <c r="Y326" s="129"/>
      <c r="Z326" s="130" t="e">
        <f aca="false">(#REF!+#REF!+K326)*'O_MN, PE_UTA_UGM 2023'!H300</f>
        <v>#REF!</v>
      </c>
      <c r="AA326" s="131" t="e">
        <f aca="false">(#REF!+#REF!+L326)*'O_MN, PE_UTA_UGM 2023'!I300</f>
        <v>#REF!</v>
      </c>
      <c r="AB326" s="132" t="n">
        <f aca="false">IF(ISERROR(+ROUND(#REF!*N326/#REF!,3)),0,+ROUND(#REF!*N326/#REF!,3))</f>
        <v>0</v>
      </c>
      <c r="AC326" s="132" t="n">
        <f aca="false">IF(ISERROR(+ROUND(#REF!*O326/#REF!,3)),0,+ROUND(#REF!*O326/#REF!,3))</f>
        <v>0</v>
      </c>
      <c r="AD326" s="133" t="n">
        <f aca="false">IF(AND(AB326=0,AC326=0),0,#REF!*(#REF!-(#REF!*AB326/N326))+#REF!*(#REF!-(#REF!*AC326/O326)))</f>
        <v>0</v>
      </c>
      <c r="AE326" s="3"/>
      <c r="AF326" s="3"/>
      <c r="AG326" s="3"/>
      <c r="AH326" s="3"/>
      <c r="AI326" s="3"/>
    </row>
    <row r="327" customFormat="false" ht="15" hidden="false" customHeight="false" outlineLevel="0" collapsed="false">
      <c r="A327" s="3"/>
      <c r="B327" s="116"/>
      <c r="C327" s="134"/>
      <c r="D327" s="135"/>
      <c r="E327" s="119" t="n">
        <f aca="false">'O_MN, PE_UTA_UGM 2023'!B300</f>
        <v>76</v>
      </c>
      <c r="F327" s="120" t="str">
        <f aca="false">'O_MN, PE_UTA_UGM 2023'!C300</f>
        <v>ZULLA</v>
      </c>
      <c r="G327" s="142"/>
      <c r="H327" s="143" t="n">
        <f aca="false">SUM(H30:H326)</f>
        <v>0</v>
      </c>
      <c r="I327" s="144" t="n">
        <f aca="false">SUM(I30:I326)</f>
        <v>0</v>
      </c>
      <c r="J327" s="145"/>
      <c r="K327" s="146" t="n">
        <f aca="false">SUM(K30:K326)</f>
        <v>13</v>
      </c>
      <c r="L327" s="147" t="n">
        <f aca="false">SUM(L30:L326)</f>
        <v>44</v>
      </c>
      <c r="M327" s="112" t="e">
        <f aca="false">+IF(OR((#REF!+#REF!)&gt;0,(#REF!+#REF!)&gt;0,(K327+L327)&gt;0),"SI","NO")</f>
        <v>#REF!</v>
      </c>
      <c r="N327" s="148"/>
      <c r="O327" s="148"/>
      <c r="P327" s="45"/>
      <c r="Q327" s="45"/>
      <c r="R327" s="45"/>
      <c r="S327" s="45"/>
      <c r="T327" s="47"/>
      <c r="U327" s="149" t="n">
        <f aca="false">SUM(U30:U326)</f>
        <v>442400</v>
      </c>
      <c r="V327" s="49"/>
      <c r="W327" s="48"/>
      <c r="X327" s="149" t="n">
        <f aca="false">SUM(X30:X326)</f>
        <v>79676.22</v>
      </c>
      <c r="Y327" s="150"/>
      <c r="Z327" s="149" t="e">
        <f aca="false">SUM(Z30:Z326)</f>
        <v>#REF!</v>
      </c>
      <c r="AA327" s="149" t="e">
        <f aca="false">SUM(AA30:AA326)</f>
        <v>#REF!</v>
      </c>
      <c r="AB327" s="51"/>
      <c r="AC327" s="51"/>
      <c r="AD327" s="151" t="n">
        <f aca="false">SUM(AD30:AD326)</f>
        <v>0</v>
      </c>
      <c r="AE327" s="3"/>
      <c r="AF327" s="3"/>
      <c r="AG327" s="3"/>
      <c r="AH327" s="3"/>
      <c r="AI327" s="3"/>
    </row>
    <row r="328" customFormat="false" ht="14.25" hidden="false" customHeight="false" outlineLevel="0" collapsed="false">
      <c r="A328" s="3"/>
      <c r="B328" s="152"/>
      <c r="C328" s="153"/>
      <c r="D328" s="153"/>
      <c r="E328" s="153"/>
      <c r="F328" s="154" t="s">
        <v>45</v>
      </c>
      <c r="G328" s="11"/>
      <c r="H328" s="11"/>
      <c r="I328" s="11"/>
      <c r="J328" s="43"/>
      <c r="K328" s="155"/>
      <c r="L328" s="155"/>
      <c r="M328" s="44"/>
      <c r="N328" s="45"/>
      <c r="O328" s="45"/>
      <c r="P328" s="45"/>
      <c r="Q328" s="45"/>
      <c r="R328" s="45"/>
      <c r="S328" s="45"/>
      <c r="T328" s="47"/>
      <c r="U328" s="50"/>
      <c r="V328" s="49"/>
      <c r="W328" s="48"/>
      <c r="X328" s="50"/>
      <c r="Y328" s="50"/>
      <c r="Z328" s="50"/>
      <c r="AA328" s="51"/>
      <c r="AB328" s="51"/>
      <c r="AC328" s="51"/>
      <c r="AD328" s="45"/>
      <c r="AE328" s="3"/>
      <c r="AF328" s="3"/>
      <c r="AG328" s="3"/>
      <c r="AH328" s="3"/>
      <c r="AI328" s="3"/>
    </row>
    <row r="329" customFormat="false" ht="14.25" hidden="false" customHeight="false" outlineLevel="0" collapsed="false">
      <c r="A329" s="3"/>
      <c r="B329" s="3"/>
      <c r="C329" s="3"/>
      <c r="D329" s="3"/>
      <c r="E329" s="3"/>
      <c r="F329" s="5"/>
      <c r="G329" s="3"/>
      <c r="H329" s="3"/>
      <c r="I329" s="3"/>
      <c r="J329" s="6"/>
      <c r="K329" s="7"/>
      <c r="L329" s="7"/>
      <c r="M329" s="8"/>
      <c r="N329" s="3"/>
      <c r="O329" s="3"/>
      <c r="P329" s="3"/>
      <c r="Q329" s="3"/>
      <c r="R329" s="3"/>
      <c r="S329" s="3"/>
      <c r="T329" s="6"/>
      <c r="U329" s="9"/>
      <c r="V329" s="10"/>
      <c r="W329" s="10"/>
      <c r="X329" s="9"/>
      <c r="Y329" s="9"/>
      <c r="Z329" s="9"/>
      <c r="AA329" s="3"/>
      <c r="AB329" s="3"/>
      <c r="AC329" s="3"/>
      <c r="AD329" s="3"/>
      <c r="AE329" s="3"/>
      <c r="AF329" s="3"/>
      <c r="AG329" s="3"/>
      <c r="AH329" s="3"/>
      <c r="AI329" s="3"/>
    </row>
    <row r="330" customFormat="false" ht="14.25" hidden="false" customHeight="false" outlineLevel="0" collapsed="false">
      <c r="A330" s="3"/>
      <c r="B330" s="3"/>
      <c r="C330" s="3"/>
      <c r="D330" s="3"/>
      <c r="E330" s="3"/>
      <c r="F330" s="5"/>
      <c r="G330" s="3"/>
      <c r="H330" s="3"/>
      <c r="I330" s="3"/>
      <c r="J330" s="6"/>
      <c r="K330" s="7"/>
      <c r="L330" s="7"/>
      <c r="M330" s="8"/>
      <c r="N330" s="3"/>
      <c r="O330" s="3"/>
      <c r="P330" s="3"/>
      <c r="Q330" s="3"/>
      <c r="R330" s="3"/>
      <c r="S330" s="3"/>
      <c r="T330" s="6"/>
      <c r="U330" s="9"/>
      <c r="V330" s="10"/>
      <c r="W330" s="10"/>
      <c r="X330" s="9"/>
      <c r="Y330" s="9"/>
      <c r="Z330" s="9"/>
      <c r="AA330" s="3"/>
      <c r="AB330" s="3"/>
      <c r="AC330" s="3"/>
      <c r="AD330" s="3"/>
      <c r="AE330" s="3"/>
      <c r="AF330" s="3"/>
      <c r="AG330" s="3"/>
      <c r="AH330" s="3"/>
      <c r="AI330" s="3"/>
    </row>
    <row r="331" customFormat="false" ht="14.25" hidden="false" customHeight="false" outlineLevel="0" collapsed="false">
      <c r="A331" s="3"/>
      <c r="B331" s="3"/>
      <c r="C331" s="3"/>
      <c r="D331" s="3"/>
      <c r="E331" s="3"/>
      <c r="F331" s="5"/>
      <c r="G331" s="3"/>
      <c r="H331" s="3"/>
      <c r="I331" s="3"/>
      <c r="J331" s="6"/>
      <c r="K331" s="7"/>
      <c r="L331" s="7"/>
      <c r="M331" s="8"/>
      <c r="N331" s="3"/>
      <c r="O331" s="3"/>
      <c r="P331" s="3"/>
      <c r="Q331" s="3"/>
      <c r="R331" s="3"/>
      <c r="S331" s="3"/>
      <c r="T331" s="6"/>
      <c r="U331" s="9"/>
      <c r="V331" s="10"/>
      <c r="W331" s="10"/>
      <c r="X331" s="9"/>
      <c r="Y331" s="9"/>
      <c r="Z331" s="9"/>
      <c r="AA331" s="3"/>
      <c r="AB331" s="3"/>
      <c r="AC331" s="3"/>
      <c r="AD331" s="3"/>
      <c r="AE331" s="3"/>
      <c r="AF331" s="3"/>
      <c r="AG331" s="3"/>
      <c r="AH331" s="3"/>
      <c r="AI331" s="3"/>
    </row>
    <row r="332" customFormat="false" ht="14.25" hidden="false" customHeight="false" outlineLevel="0" collapsed="false">
      <c r="A332" s="3"/>
      <c r="B332" s="3"/>
      <c r="C332" s="3"/>
      <c r="D332" s="3"/>
      <c r="E332" s="3"/>
      <c r="F332" s="5"/>
      <c r="G332" s="3"/>
      <c r="H332" s="3"/>
      <c r="I332" s="3"/>
      <c r="J332" s="6"/>
      <c r="K332" s="7"/>
      <c r="L332" s="7"/>
      <c r="M332" s="8"/>
      <c r="N332" s="3"/>
      <c r="O332" s="3"/>
      <c r="P332" s="3"/>
      <c r="Q332" s="3"/>
      <c r="R332" s="3"/>
      <c r="S332" s="3"/>
      <c r="T332" s="6"/>
      <c r="U332" s="9"/>
      <c r="V332" s="10"/>
      <c r="W332" s="10"/>
      <c r="X332" s="9"/>
      <c r="Y332" s="9"/>
      <c r="Z332" s="9"/>
      <c r="AA332" s="3"/>
      <c r="AB332" s="3"/>
      <c r="AC332" s="3"/>
      <c r="AD332" s="3"/>
      <c r="AE332" s="3"/>
      <c r="AF332" s="3"/>
      <c r="AG332" s="3"/>
      <c r="AH332" s="3"/>
      <c r="AI332" s="3"/>
    </row>
    <row r="333" customFormat="false" ht="14.25" hidden="false" customHeight="false" outlineLevel="0" collapsed="false">
      <c r="A333" s="3"/>
      <c r="B333" s="3"/>
      <c r="C333" s="3"/>
      <c r="D333" s="3"/>
      <c r="E333" s="3"/>
      <c r="F333" s="5"/>
      <c r="G333" s="3"/>
      <c r="H333" s="3"/>
      <c r="I333" s="3"/>
      <c r="J333" s="6"/>
      <c r="K333" s="7"/>
      <c r="L333" s="7"/>
      <c r="M333" s="8"/>
      <c r="N333" s="3"/>
      <c r="O333" s="3"/>
      <c r="P333" s="3"/>
      <c r="Q333" s="3"/>
      <c r="R333" s="3"/>
      <c r="S333" s="3"/>
      <c r="T333" s="6"/>
      <c r="U333" s="9"/>
      <c r="V333" s="10"/>
      <c r="W333" s="10"/>
      <c r="X333" s="9"/>
      <c r="Y333" s="9"/>
      <c r="Z333" s="9"/>
      <c r="AA333" s="3"/>
      <c r="AB333" s="3"/>
      <c r="AC333" s="3"/>
      <c r="AD333" s="3"/>
      <c r="AE333" s="3"/>
      <c r="AF333" s="3"/>
      <c r="AG333" s="3"/>
      <c r="AH333" s="3"/>
      <c r="AI333" s="3"/>
    </row>
    <row r="334" customFormat="false" ht="14.25" hidden="false" customHeight="false" outlineLevel="0" collapsed="false">
      <c r="A334" s="3"/>
      <c r="B334" s="3"/>
      <c r="C334" s="3"/>
      <c r="D334" s="3"/>
      <c r="E334" s="3"/>
      <c r="F334" s="5"/>
      <c r="G334" s="3"/>
      <c r="H334" s="3"/>
      <c r="I334" s="3"/>
      <c r="J334" s="6"/>
      <c r="K334" s="7"/>
      <c r="L334" s="7"/>
      <c r="M334" s="8"/>
      <c r="N334" s="3"/>
      <c r="O334" s="3"/>
      <c r="P334" s="3"/>
      <c r="Q334" s="3"/>
      <c r="R334" s="3"/>
      <c r="S334" s="3"/>
      <c r="T334" s="6"/>
      <c r="U334" s="9"/>
      <c r="V334" s="10"/>
      <c r="W334" s="10"/>
      <c r="X334" s="9"/>
      <c r="Y334" s="9"/>
      <c r="Z334" s="9"/>
      <c r="AA334" s="3"/>
      <c r="AB334" s="3"/>
      <c r="AC334" s="3"/>
      <c r="AD334" s="3"/>
      <c r="AE334" s="3"/>
      <c r="AF334" s="3"/>
      <c r="AG334" s="3"/>
      <c r="AH334" s="3"/>
      <c r="AI334" s="3"/>
    </row>
    <row r="335" customFormat="false" ht="14.25" hidden="false" customHeight="false" outlineLevel="0" collapsed="false">
      <c r="A335" s="3"/>
      <c r="B335" s="3"/>
      <c r="C335" s="3"/>
      <c r="D335" s="3"/>
      <c r="E335" s="3"/>
      <c r="F335" s="5"/>
      <c r="G335" s="3"/>
      <c r="H335" s="3"/>
      <c r="I335" s="3"/>
      <c r="J335" s="6"/>
      <c r="K335" s="7"/>
      <c r="L335" s="7"/>
      <c r="M335" s="8"/>
      <c r="N335" s="3"/>
      <c r="O335" s="3"/>
      <c r="P335" s="3"/>
      <c r="Q335" s="3"/>
      <c r="R335" s="3"/>
      <c r="S335" s="3"/>
      <c r="T335" s="6"/>
      <c r="U335" s="9"/>
      <c r="V335" s="10"/>
      <c r="W335" s="10"/>
      <c r="X335" s="9"/>
      <c r="Y335" s="9"/>
      <c r="Z335" s="9"/>
      <c r="AA335" s="3"/>
      <c r="AB335" s="3"/>
      <c r="AC335" s="3"/>
      <c r="AD335" s="3"/>
      <c r="AE335" s="3"/>
      <c r="AF335" s="3"/>
      <c r="AG335" s="3"/>
      <c r="AH335" s="3"/>
      <c r="AI335" s="3"/>
    </row>
    <row r="336" customFormat="false" ht="14.25" hidden="false" customHeight="false" outlineLevel="0" collapsed="false">
      <c r="A336" s="3"/>
      <c r="B336" s="3"/>
      <c r="C336" s="3"/>
      <c r="D336" s="3"/>
      <c r="E336" s="3"/>
      <c r="F336" s="5"/>
      <c r="G336" s="3"/>
      <c r="H336" s="3"/>
      <c r="I336" s="3"/>
      <c r="J336" s="6"/>
      <c r="K336" s="7"/>
      <c r="L336" s="7"/>
      <c r="M336" s="8"/>
      <c r="N336" s="3"/>
      <c r="O336" s="3"/>
      <c r="P336" s="3"/>
      <c r="Q336" s="3"/>
      <c r="R336" s="3"/>
      <c r="S336" s="3"/>
      <c r="T336" s="6"/>
      <c r="U336" s="9"/>
      <c r="V336" s="10"/>
      <c r="W336" s="10"/>
      <c r="X336" s="9"/>
      <c r="Y336" s="9"/>
      <c r="Z336" s="9"/>
      <c r="AA336" s="3"/>
      <c r="AB336" s="3"/>
      <c r="AC336" s="3"/>
      <c r="AD336" s="3"/>
      <c r="AE336" s="3"/>
      <c r="AF336" s="3"/>
      <c r="AG336" s="3"/>
      <c r="AH336" s="3"/>
      <c r="AI336" s="3"/>
    </row>
    <row r="337" customFormat="false" ht="14.25" hidden="false" customHeight="false" outlineLevel="0" collapsed="false">
      <c r="A337" s="3"/>
      <c r="B337" s="3"/>
      <c r="C337" s="3"/>
      <c r="D337" s="3"/>
      <c r="E337" s="3"/>
      <c r="F337" s="5"/>
      <c r="G337" s="3"/>
      <c r="H337" s="3"/>
      <c r="I337" s="3"/>
      <c r="J337" s="6"/>
      <c r="K337" s="7"/>
      <c r="L337" s="7"/>
      <c r="M337" s="8"/>
      <c r="N337" s="3"/>
      <c r="O337" s="3"/>
      <c r="P337" s="3"/>
      <c r="Q337" s="3"/>
      <c r="R337" s="3"/>
      <c r="S337" s="3"/>
      <c r="T337" s="6"/>
      <c r="U337" s="9"/>
      <c r="V337" s="10"/>
      <c r="W337" s="10"/>
      <c r="X337" s="9"/>
      <c r="Y337" s="9"/>
      <c r="Z337" s="9"/>
      <c r="AA337" s="3"/>
      <c r="AB337" s="3"/>
      <c r="AC337" s="3"/>
      <c r="AD337" s="3"/>
      <c r="AE337" s="3"/>
      <c r="AF337" s="3"/>
      <c r="AG337" s="3"/>
      <c r="AH337" s="3"/>
      <c r="AI337" s="3"/>
    </row>
    <row r="338" customFormat="false" ht="14.25" hidden="false" customHeight="false" outlineLevel="0" collapsed="false">
      <c r="A338" s="3"/>
      <c r="B338" s="3"/>
      <c r="C338" s="3"/>
      <c r="D338" s="3"/>
      <c r="E338" s="3"/>
      <c r="F338" s="5"/>
      <c r="G338" s="3"/>
      <c r="H338" s="3"/>
      <c r="I338" s="3"/>
      <c r="J338" s="6"/>
      <c r="K338" s="7"/>
      <c r="L338" s="7"/>
      <c r="M338" s="8"/>
      <c r="N338" s="3"/>
      <c r="O338" s="3"/>
      <c r="P338" s="3"/>
      <c r="Q338" s="3"/>
      <c r="R338" s="3"/>
      <c r="S338" s="3"/>
      <c r="T338" s="6"/>
      <c r="U338" s="9"/>
      <c r="V338" s="10"/>
      <c r="W338" s="10"/>
      <c r="X338" s="9"/>
      <c r="Y338" s="9"/>
      <c r="Z338" s="9"/>
      <c r="AA338" s="3"/>
      <c r="AB338" s="3"/>
      <c r="AC338" s="3"/>
      <c r="AD338" s="3"/>
      <c r="AE338" s="3"/>
      <c r="AF338" s="3"/>
      <c r="AG338" s="3"/>
      <c r="AH338" s="3"/>
      <c r="AI338" s="3"/>
    </row>
    <row r="339" customFormat="false" ht="14.25" hidden="false" customHeight="false" outlineLevel="0" collapsed="false">
      <c r="A339" s="3"/>
      <c r="B339" s="3"/>
      <c r="C339" s="3"/>
      <c r="D339" s="3"/>
      <c r="E339" s="3"/>
      <c r="F339" s="5"/>
      <c r="G339" s="3"/>
      <c r="H339" s="3"/>
      <c r="I339" s="3"/>
      <c r="J339" s="6"/>
      <c r="K339" s="7"/>
      <c r="L339" s="7"/>
      <c r="M339" s="8"/>
      <c r="N339" s="3"/>
      <c r="O339" s="3"/>
      <c r="P339" s="3"/>
      <c r="Q339" s="3"/>
      <c r="R339" s="3"/>
      <c r="S339" s="3"/>
      <c r="T339" s="6"/>
      <c r="U339" s="9"/>
      <c r="V339" s="10"/>
      <c r="W339" s="10"/>
      <c r="X339" s="9"/>
      <c r="Y339" s="9"/>
      <c r="Z339" s="9"/>
      <c r="AA339" s="3"/>
      <c r="AB339" s="3"/>
      <c r="AC339" s="3"/>
      <c r="AD339" s="3"/>
      <c r="AE339" s="3"/>
      <c r="AF339" s="3"/>
      <c r="AG339" s="3"/>
      <c r="AH339" s="3"/>
      <c r="AI339" s="3"/>
    </row>
    <row r="340" customFormat="false" ht="14.25" hidden="false" customHeight="false" outlineLevel="0" collapsed="false">
      <c r="A340" s="3"/>
      <c r="B340" s="3"/>
      <c r="C340" s="3"/>
      <c r="D340" s="3"/>
      <c r="E340" s="3"/>
      <c r="F340" s="5"/>
      <c r="G340" s="3"/>
      <c r="H340" s="3"/>
      <c r="I340" s="3"/>
      <c r="J340" s="6"/>
      <c r="K340" s="7"/>
      <c r="L340" s="7"/>
      <c r="M340" s="8"/>
      <c r="N340" s="3"/>
      <c r="O340" s="3"/>
      <c r="P340" s="3"/>
      <c r="Q340" s="3"/>
      <c r="R340" s="3"/>
      <c r="S340" s="3"/>
      <c r="T340" s="6"/>
      <c r="U340" s="9"/>
      <c r="V340" s="10"/>
      <c r="W340" s="10"/>
      <c r="X340" s="9"/>
      <c r="Y340" s="9"/>
      <c r="Z340" s="9"/>
      <c r="AA340" s="3"/>
      <c r="AB340" s="3"/>
      <c r="AC340" s="3"/>
      <c r="AD340" s="3"/>
      <c r="AE340" s="3"/>
      <c r="AF340" s="3"/>
      <c r="AG340" s="3"/>
      <c r="AH340" s="3"/>
      <c r="AI340" s="3"/>
    </row>
    <row r="341" customFormat="false" ht="14.25" hidden="false" customHeight="false" outlineLevel="0" collapsed="false">
      <c r="A341" s="3"/>
      <c r="B341" s="3"/>
      <c r="C341" s="3"/>
      <c r="D341" s="3"/>
      <c r="E341" s="3"/>
      <c r="F341" s="5"/>
      <c r="G341" s="3"/>
      <c r="H341" s="3"/>
      <c r="I341" s="3"/>
      <c r="J341" s="6"/>
      <c r="K341" s="7"/>
      <c r="L341" s="7"/>
      <c r="M341" s="8"/>
      <c r="N341" s="3"/>
      <c r="O341" s="3"/>
      <c r="P341" s="3"/>
      <c r="Q341" s="3"/>
      <c r="R341" s="3"/>
      <c r="S341" s="3"/>
      <c r="T341" s="6"/>
      <c r="U341" s="9"/>
      <c r="V341" s="10"/>
      <c r="W341" s="10"/>
      <c r="X341" s="9"/>
      <c r="Y341" s="9"/>
      <c r="Z341" s="9"/>
      <c r="AA341" s="3"/>
      <c r="AB341" s="3"/>
      <c r="AC341" s="3"/>
      <c r="AD341" s="3"/>
      <c r="AE341" s="3"/>
      <c r="AF341" s="3"/>
      <c r="AG341" s="3"/>
      <c r="AH341" s="3"/>
      <c r="AI341" s="3"/>
    </row>
    <row r="342" customFormat="false" ht="14.25" hidden="false" customHeight="false" outlineLevel="0" collapsed="false">
      <c r="A342" s="3"/>
      <c r="B342" s="3"/>
      <c r="C342" s="3"/>
      <c r="D342" s="3"/>
      <c r="E342" s="3"/>
      <c r="F342" s="5"/>
      <c r="G342" s="3"/>
      <c r="H342" s="3"/>
      <c r="I342" s="3"/>
      <c r="J342" s="6"/>
      <c r="K342" s="7"/>
      <c r="L342" s="7"/>
      <c r="M342" s="8"/>
      <c r="N342" s="3"/>
      <c r="O342" s="3"/>
      <c r="P342" s="3"/>
      <c r="Q342" s="3"/>
      <c r="R342" s="3"/>
      <c r="S342" s="3"/>
      <c r="T342" s="6"/>
      <c r="U342" s="9"/>
      <c r="V342" s="10"/>
      <c r="W342" s="10"/>
      <c r="X342" s="9"/>
      <c r="Y342" s="9"/>
      <c r="Z342" s="9"/>
      <c r="AA342" s="3"/>
      <c r="AB342" s="3"/>
      <c r="AC342" s="3"/>
      <c r="AD342" s="3"/>
      <c r="AE342" s="3"/>
      <c r="AF342" s="3"/>
      <c r="AG342" s="3"/>
      <c r="AH342" s="3"/>
      <c r="AI342" s="3"/>
    </row>
    <row r="343" customFormat="false" ht="14.25" hidden="false" customHeight="false" outlineLevel="0" collapsed="false">
      <c r="A343" s="3"/>
      <c r="B343" s="3"/>
      <c r="C343" s="3"/>
      <c r="D343" s="3"/>
      <c r="E343" s="3"/>
      <c r="F343" s="5"/>
      <c r="G343" s="3"/>
      <c r="H343" s="3"/>
      <c r="I343" s="3"/>
      <c r="J343" s="6"/>
      <c r="K343" s="7"/>
      <c r="L343" s="7"/>
      <c r="M343" s="8"/>
      <c r="N343" s="3"/>
      <c r="O343" s="3"/>
      <c r="P343" s="3"/>
      <c r="Q343" s="3"/>
      <c r="R343" s="3"/>
      <c r="S343" s="3"/>
      <c r="T343" s="6"/>
      <c r="U343" s="9"/>
      <c r="V343" s="10"/>
      <c r="W343" s="10"/>
      <c r="X343" s="9"/>
      <c r="Y343" s="9"/>
      <c r="Z343" s="9"/>
      <c r="AA343" s="3"/>
      <c r="AB343" s="3"/>
      <c r="AC343" s="3"/>
      <c r="AD343" s="3"/>
      <c r="AE343" s="3"/>
      <c r="AF343" s="3"/>
      <c r="AG343" s="3"/>
      <c r="AH343" s="3"/>
      <c r="AI343" s="3"/>
    </row>
    <row r="344" customFormat="false" ht="14.25" hidden="false" customHeight="false" outlineLevel="0" collapsed="false">
      <c r="A344" s="3"/>
      <c r="B344" s="3"/>
      <c r="C344" s="3"/>
      <c r="D344" s="3"/>
      <c r="E344" s="3"/>
      <c r="F344" s="5"/>
      <c r="G344" s="3"/>
      <c r="H344" s="3"/>
      <c r="I344" s="3"/>
      <c r="J344" s="6"/>
      <c r="K344" s="7"/>
      <c r="L344" s="7"/>
      <c r="M344" s="8"/>
      <c r="N344" s="3"/>
      <c r="O344" s="3"/>
      <c r="P344" s="3"/>
      <c r="Q344" s="3"/>
      <c r="R344" s="3"/>
      <c r="S344" s="3"/>
      <c r="T344" s="6"/>
      <c r="U344" s="9"/>
      <c r="V344" s="10"/>
      <c r="W344" s="10"/>
      <c r="X344" s="9"/>
      <c r="Y344" s="9"/>
      <c r="Z344" s="9"/>
      <c r="AA344" s="3"/>
      <c r="AB344" s="3"/>
      <c r="AC344" s="3"/>
      <c r="AD344" s="3"/>
      <c r="AE344" s="3"/>
      <c r="AF344" s="3"/>
      <c r="AG344" s="3"/>
      <c r="AH344" s="3"/>
      <c r="AI344" s="3"/>
    </row>
    <row r="345" customFormat="false" ht="14.25" hidden="false" customHeight="false" outlineLevel="0" collapsed="false">
      <c r="A345" s="3"/>
      <c r="B345" s="3"/>
      <c r="C345" s="3"/>
      <c r="D345" s="3"/>
      <c r="E345" s="3"/>
      <c r="F345" s="5"/>
      <c r="G345" s="3"/>
      <c r="H345" s="3"/>
      <c r="I345" s="3"/>
      <c r="J345" s="6"/>
      <c r="K345" s="7"/>
      <c r="L345" s="7"/>
      <c r="M345" s="8"/>
      <c r="N345" s="3"/>
      <c r="O345" s="3"/>
      <c r="P345" s="3"/>
      <c r="Q345" s="3"/>
      <c r="R345" s="3"/>
      <c r="S345" s="3"/>
      <c r="T345" s="6"/>
      <c r="U345" s="9"/>
      <c r="V345" s="10"/>
      <c r="W345" s="10"/>
      <c r="X345" s="9"/>
      <c r="Y345" s="9"/>
      <c r="Z345" s="9"/>
      <c r="AA345" s="3"/>
      <c r="AB345" s="3"/>
      <c r="AC345" s="3"/>
      <c r="AD345" s="3"/>
      <c r="AE345" s="3"/>
      <c r="AF345" s="3"/>
      <c r="AG345" s="3"/>
      <c r="AH345" s="3"/>
      <c r="AI345" s="3"/>
    </row>
    <row r="346" customFormat="false" ht="14.25" hidden="false" customHeight="false" outlineLevel="0" collapsed="false">
      <c r="A346" s="3"/>
      <c r="B346" s="3"/>
      <c r="C346" s="3"/>
      <c r="D346" s="3"/>
      <c r="E346" s="3"/>
      <c r="F346" s="5"/>
      <c r="G346" s="3"/>
      <c r="H346" s="3"/>
      <c r="I346" s="3"/>
      <c r="J346" s="6"/>
      <c r="K346" s="7"/>
      <c r="L346" s="7"/>
      <c r="M346" s="8"/>
      <c r="N346" s="3"/>
      <c r="O346" s="3"/>
      <c r="P346" s="3"/>
      <c r="Q346" s="3"/>
      <c r="R346" s="3"/>
      <c r="S346" s="3"/>
      <c r="T346" s="6"/>
      <c r="U346" s="9"/>
      <c r="V346" s="10"/>
      <c r="W346" s="10"/>
      <c r="X346" s="9"/>
      <c r="Y346" s="9"/>
      <c r="Z346" s="9"/>
      <c r="AA346" s="3"/>
      <c r="AB346" s="3"/>
      <c r="AC346" s="3"/>
      <c r="AD346" s="3"/>
      <c r="AE346" s="3"/>
      <c r="AF346" s="3"/>
      <c r="AG346" s="3"/>
      <c r="AH346" s="3"/>
      <c r="AI346" s="3"/>
    </row>
    <row r="347" customFormat="false" ht="14.25" hidden="false" customHeight="false" outlineLevel="0" collapsed="false">
      <c r="A347" s="3"/>
      <c r="B347" s="3"/>
      <c r="C347" s="3"/>
      <c r="D347" s="3"/>
      <c r="E347" s="3"/>
      <c r="F347" s="5"/>
      <c r="G347" s="3"/>
      <c r="H347" s="3"/>
      <c r="I347" s="3"/>
      <c r="J347" s="6"/>
      <c r="K347" s="7"/>
      <c r="L347" s="7"/>
      <c r="M347" s="8"/>
      <c r="N347" s="3"/>
      <c r="O347" s="3"/>
      <c r="P347" s="3"/>
      <c r="Q347" s="3"/>
      <c r="R347" s="3"/>
      <c r="S347" s="3"/>
      <c r="T347" s="6"/>
      <c r="U347" s="9"/>
      <c r="V347" s="10"/>
      <c r="W347" s="10"/>
      <c r="X347" s="9"/>
      <c r="Y347" s="9"/>
      <c r="Z347" s="9"/>
      <c r="AA347" s="3"/>
      <c r="AB347" s="3"/>
      <c r="AC347" s="3"/>
      <c r="AD347" s="3"/>
      <c r="AE347" s="3"/>
      <c r="AF347" s="3"/>
      <c r="AG347" s="3"/>
      <c r="AH347" s="3"/>
      <c r="AI347" s="3"/>
    </row>
    <row r="348" customFormat="false" ht="14.25" hidden="false" customHeight="false" outlineLevel="0" collapsed="false">
      <c r="A348" s="3"/>
      <c r="B348" s="3"/>
      <c r="C348" s="3"/>
      <c r="D348" s="3"/>
      <c r="E348" s="3"/>
      <c r="F348" s="5"/>
      <c r="G348" s="3"/>
      <c r="H348" s="3"/>
      <c r="I348" s="3"/>
      <c r="J348" s="6"/>
      <c r="K348" s="7"/>
      <c r="L348" s="7"/>
      <c r="M348" s="8"/>
      <c r="N348" s="3"/>
      <c r="O348" s="3"/>
      <c r="P348" s="3"/>
      <c r="Q348" s="3"/>
      <c r="R348" s="3"/>
      <c r="S348" s="3"/>
      <c r="T348" s="6"/>
      <c r="U348" s="9"/>
      <c r="V348" s="10"/>
      <c r="W348" s="10"/>
      <c r="X348" s="9"/>
      <c r="Y348" s="9"/>
      <c r="Z348" s="9"/>
      <c r="AA348" s="3"/>
      <c r="AB348" s="3"/>
      <c r="AC348" s="3"/>
      <c r="AD348" s="3"/>
      <c r="AE348" s="3"/>
      <c r="AF348" s="3"/>
      <c r="AG348" s="3"/>
      <c r="AH348" s="3"/>
      <c r="AI348" s="3"/>
    </row>
    <row r="349" customFormat="false" ht="14.25" hidden="false" customHeight="false" outlineLevel="0" collapsed="false">
      <c r="A349" s="3"/>
      <c r="B349" s="3"/>
      <c r="C349" s="3"/>
      <c r="D349" s="3"/>
      <c r="E349" s="3"/>
      <c r="F349" s="5"/>
      <c r="G349" s="3"/>
      <c r="H349" s="3"/>
      <c r="I349" s="3"/>
      <c r="J349" s="6"/>
      <c r="K349" s="7"/>
      <c r="L349" s="7"/>
      <c r="M349" s="8"/>
      <c r="N349" s="3"/>
      <c r="O349" s="3"/>
      <c r="P349" s="3"/>
      <c r="Q349" s="3"/>
      <c r="R349" s="3"/>
      <c r="S349" s="3"/>
      <c r="T349" s="6"/>
      <c r="U349" s="9"/>
      <c r="V349" s="10"/>
      <c r="W349" s="10"/>
      <c r="X349" s="9"/>
      <c r="Y349" s="9"/>
      <c r="Z349" s="9"/>
      <c r="AA349" s="3"/>
      <c r="AB349" s="3"/>
      <c r="AC349" s="3"/>
      <c r="AD349" s="3"/>
      <c r="AE349" s="3"/>
      <c r="AF349" s="3"/>
      <c r="AG349" s="3"/>
      <c r="AH349" s="3"/>
      <c r="AI349" s="3"/>
    </row>
    <row r="350" customFormat="false" ht="14.25" hidden="false" customHeight="false" outlineLevel="0" collapsed="false">
      <c r="A350" s="3"/>
      <c r="B350" s="3"/>
      <c r="C350" s="3"/>
      <c r="D350" s="3"/>
      <c r="E350" s="3"/>
      <c r="F350" s="5"/>
      <c r="G350" s="3"/>
      <c r="H350" s="3"/>
      <c r="I350" s="3"/>
      <c r="J350" s="6"/>
      <c r="K350" s="7"/>
      <c r="L350" s="7"/>
      <c r="M350" s="8"/>
      <c r="N350" s="3"/>
      <c r="O350" s="3"/>
      <c r="P350" s="3"/>
      <c r="Q350" s="3"/>
      <c r="R350" s="3"/>
      <c r="S350" s="3"/>
      <c r="T350" s="6"/>
      <c r="U350" s="9"/>
      <c r="V350" s="10"/>
      <c r="W350" s="10"/>
      <c r="X350" s="9"/>
      <c r="Y350" s="9"/>
      <c r="Z350" s="9"/>
      <c r="AA350" s="3"/>
      <c r="AB350" s="3"/>
      <c r="AC350" s="3"/>
      <c r="AD350" s="3"/>
      <c r="AE350" s="3"/>
      <c r="AF350" s="3"/>
      <c r="AG350" s="3"/>
      <c r="AH350" s="3"/>
      <c r="AI350" s="3"/>
    </row>
    <row r="351" customFormat="false" ht="14.25" hidden="false" customHeight="false" outlineLevel="0" collapsed="false">
      <c r="A351" s="3"/>
      <c r="B351" s="3"/>
      <c r="C351" s="3"/>
      <c r="D351" s="3"/>
      <c r="E351" s="3"/>
      <c r="F351" s="5"/>
      <c r="G351" s="3"/>
      <c r="H351" s="3"/>
      <c r="I351" s="3"/>
      <c r="J351" s="6"/>
      <c r="K351" s="7"/>
      <c r="L351" s="7"/>
      <c r="M351" s="8"/>
      <c r="N351" s="3"/>
      <c r="O351" s="3"/>
      <c r="P351" s="3"/>
      <c r="Q351" s="3"/>
      <c r="R351" s="3"/>
      <c r="S351" s="3"/>
      <c r="T351" s="6"/>
      <c r="U351" s="9"/>
      <c r="V351" s="10"/>
      <c r="W351" s="10"/>
      <c r="X351" s="9"/>
      <c r="Y351" s="9"/>
      <c r="Z351" s="9"/>
      <c r="AA351" s="3"/>
      <c r="AB351" s="3"/>
      <c r="AC351" s="3"/>
      <c r="AD351" s="3"/>
      <c r="AE351" s="3"/>
      <c r="AF351" s="3"/>
      <c r="AG351" s="3"/>
      <c r="AH351" s="3"/>
      <c r="AI351" s="3"/>
    </row>
    <row r="352" customFormat="false" ht="14.25" hidden="false" customHeight="false" outlineLevel="0" collapsed="false">
      <c r="A352" s="3"/>
      <c r="B352" s="3"/>
      <c r="C352" s="3"/>
      <c r="D352" s="3"/>
      <c r="E352" s="3"/>
      <c r="F352" s="5"/>
      <c r="G352" s="3"/>
      <c r="H352" s="3"/>
      <c r="I352" s="3"/>
      <c r="J352" s="6"/>
      <c r="K352" s="7"/>
      <c r="L352" s="7"/>
      <c r="M352" s="8"/>
      <c r="N352" s="3"/>
      <c r="O352" s="3"/>
      <c r="P352" s="3"/>
      <c r="Q352" s="3"/>
      <c r="R352" s="3"/>
      <c r="S352" s="3"/>
      <c r="T352" s="6"/>
      <c r="U352" s="9"/>
      <c r="V352" s="10"/>
      <c r="W352" s="10"/>
      <c r="X352" s="9"/>
      <c r="Y352" s="9"/>
      <c r="Z352" s="9"/>
      <c r="AA352" s="3"/>
      <c r="AB352" s="3"/>
      <c r="AC352" s="3"/>
      <c r="AD352" s="3"/>
      <c r="AE352" s="3"/>
      <c r="AF352" s="3"/>
      <c r="AG352" s="3"/>
      <c r="AH352" s="3"/>
      <c r="AI352" s="3"/>
    </row>
    <row r="353" customFormat="false" ht="4.5" hidden="true" customHeight="true" outlineLevel="0" collapsed="false">
      <c r="A353" s="3"/>
      <c r="B353" s="3"/>
      <c r="C353" s="3"/>
      <c r="D353" s="3"/>
      <c r="E353" s="3"/>
      <c r="F353" s="156" t="s">
        <v>30</v>
      </c>
      <c r="G353" s="3"/>
      <c r="H353" s="3"/>
      <c r="I353" s="3"/>
      <c r="J353" s="6"/>
      <c r="K353" s="7"/>
      <c r="L353" s="7"/>
      <c r="M353" s="8"/>
      <c r="N353" s="3"/>
      <c r="O353" s="3"/>
      <c r="P353" s="3"/>
      <c r="Q353" s="3"/>
      <c r="R353" s="3"/>
      <c r="S353" s="3"/>
      <c r="T353" s="6"/>
      <c r="U353" s="9"/>
      <c r="V353" s="10"/>
      <c r="W353" s="10"/>
      <c r="X353" s="9"/>
      <c r="Y353" s="9"/>
      <c r="Z353" s="9"/>
      <c r="AA353" s="3"/>
      <c r="AB353" s="3"/>
      <c r="AC353" s="3"/>
      <c r="AD353" s="3"/>
      <c r="AE353" s="3"/>
      <c r="AF353" s="3"/>
      <c r="AG353" s="3"/>
      <c r="AH353" s="3"/>
      <c r="AI353" s="3"/>
    </row>
    <row r="354" customFormat="false" ht="12.75" hidden="true" customHeight="true" outlineLevel="0" collapsed="false">
      <c r="A354" s="3"/>
      <c r="B354" s="3"/>
      <c r="C354" s="3"/>
      <c r="D354" s="3"/>
      <c r="E354" s="3"/>
      <c r="F354" s="157"/>
      <c r="G354" s="3"/>
      <c r="H354" s="3"/>
      <c r="I354" s="3"/>
      <c r="J354" s="6"/>
      <c r="K354" s="7"/>
      <c r="L354" s="7"/>
      <c r="M354" s="8"/>
      <c r="N354" s="3"/>
      <c r="O354" s="3"/>
      <c r="P354" s="3"/>
      <c r="Q354" s="3"/>
      <c r="R354" s="3"/>
      <c r="S354" s="3"/>
      <c r="T354" s="6"/>
      <c r="U354" s="9"/>
      <c r="V354" s="10"/>
      <c r="W354" s="10"/>
      <c r="X354" s="9"/>
      <c r="Y354" s="9"/>
      <c r="Z354" s="9"/>
      <c r="AA354" s="3"/>
      <c r="AB354" s="3"/>
      <c r="AC354" s="3"/>
      <c r="AD354" s="3"/>
      <c r="AE354" s="3"/>
      <c r="AF354" s="3"/>
      <c r="AG354" s="3"/>
      <c r="AH354" s="3"/>
      <c r="AI354" s="3"/>
    </row>
    <row r="355" customFormat="false" ht="14.25" hidden="false" customHeight="false" outlineLevel="0" collapsed="false">
      <c r="A355" s="3"/>
      <c r="B355" s="3"/>
      <c r="C355" s="3"/>
      <c r="D355" s="3"/>
      <c r="E355" s="3"/>
      <c r="F355" s="156" t="s">
        <v>46</v>
      </c>
      <c r="G355" s="3"/>
      <c r="H355" s="3"/>
      <c r="I355" s="3"/>
      <c r="J355" s="6"/>
      <c r="K355" s="7"/>
      <c r="L355" s="7"/>
      <c r="M355" s="8"/>
      <c r="N355" s="3"/>
      <c r="O355" s="3"/>
      <c r="P355" s="3"/>
      <c r="Q355" s="3"/>
      <c r="R355" s="3"/>
      <c r="S355" s="3"/>
      <c r="T355" s="6"/>
      <c r="U355" s="9"/>
      <c r="V355" s="10"/>
      <c r="W355" s="10"/>
      <c r="X355" s="9"/>
      <c r="Y355" s="9"/>
      <c r="Z355" s="9"/>
      <c r="AA355" s="3"/>
      <c r="AB355" s="3"/>
      <c r="AC355" s="3"/>
      <c r="AD355" s="3"/>
      <c r="AE355" s="3"/>
      <c r="AF355" s="3"/>
      <c r="AG355" s="3"/>
      <c r="AH355" s="3"/>
      <c r="AI355" s="3"/>
    </row>
  </sheetData>
  <sheetProtection algorithmName="SHA-512" hashValue="ShkbqJYDr+cZbmoOp2KuOphtKO/uT8yAYlHgE8S5TekWQP83HSUj5K7+ru/auH8oKV8Cm3Kko4HtP7vPfdT6gA==" saltValue="Z+XwWFK5T5oh5RZDHCfvoQ==" spinCount="100000" sheet="true" objects="true" scenarios="true"/>
  <mergeCells count="29">
    <mergeCell ref="B1:E1"/>
    <mergeCell ref="B16:E16"/>
    <mergeCell ref="J21:O21"/>
    <mergeCell ref="F23:F24"/>
    <mergeCell ref="H23:I24"/>
    <mergeCell ref="K23:L24"/>
    <mergeCell ref="M23:M26"/>
    <mergeCell ref="H25:I25"/>
    <mergeCell ref="K25:L25"/>
    <mergeCell ref="U25:X25"/>
    <mergeCell ref="AB25:AD25"/>
    <mergeCell ref="H26:I26"/>
    <mergeCell ref="K26:L26"/>
    <mergeCell ref="B27:B29"/>
    <mergeCell ref="C27:C29"/>
    <mergeCell ref="D27:D29"/>
    <mergeCell ref="E27:E29"/>
    <mergeCell ref="F27:F29"/>
    <mergeCell ref="H27:I27"/>
    <mergeCell ref="K27:L27"/>
    <mergeCell ref="N27:O27"/>
    <mergeCell ref="Q27:R27"/>
    <mergeCell ref="U27:U29"/>
    <mergeCell ref="X27:X29"/>
    <mergeCell ref="AB27:AB29"/>
    <mergeCell ref="AC27:AC29"/>
    <mergeCell ref="AD27:AD29"/>
    <mergeCell ref="H28:I28"/>
    <mergeCell ref="K28:L28"/>
  </mergeCells>
  <conditionalFormatting sqref="G30:G326">
    <cfRule type="cellIs" priority="2" operator="greaterThan" aboveAverage="0" equalAverage="0" bottom="0" percent="0" rank="0" text="" dxfId="2">
      <formula>0</formula>
    </cfRule>
    <cfRule type="cellIs" priority="3" operator="lessThanOrEqual" aboveAverage="0" equalAverage="0" bottom="0" percent="0" rank="0" text="" dxfId="3">
      <formula>0</formula>
    </cfRule>
  </conditionalFormatting>
  <conditionalFormatting sqref="J30:J326">
    <cfRule type="cellIs" priority="4" operator="greaterThan" aboveAverage="0" equalAverage="0" bottom="0" percent="0" rank="0" text="" dxfId="4">
      <formula>0</formula>
    </cfRule>
    <cfRule type="cellIs" priority="5" operator="lessThanOrEqual" aboveAverage="0" equalAverage="0" bottom="0" percent="0" rank="0" text="" dxfId="5">
      <formula>0</formula>
    </cfRule>
  </conditionalFormatting>
  <conditionalFormatting sqref="U30:Y326">
    <cfRule type="cellIs" priority="6" operator="equal" aboveAverage="0" equalAverage="0" bottom="0" percent="0" rank="0" text="" dxfId="6">
      <formula>0</formula>
    </cfRule>
  </conditionalFormatting>
  <conditionalFormatting sqref="Z30:AA326">
    <cfRule type="cellIs" priority="7" operator="greaterThan" aboveAverage="0" equalAverage="0" bottom="0" percent="0" rank="0" text="" dxfId="7">
      <formula>0</formula>
    </cfRule>
    <cfRule type="cellIs" priority="8" operator="lessThanOrEqual" aboveAverage="0" equalAverage="0" bottom="0" percent="0" rank="0" text="" dxfId="8">
      <formula>0</formula>
    </cfRule>
  </conditionalFormatting>
  <conditionalFormatting sqref="AB30:AD326">
    <cfRule type="cellIs" priority="9" operator="equal" aboveAverage="0" equalAverage="0" bottom="0" percent="0" rank="0" text="" dxfId="9">
      <formula>0</formula>
    </cfRule>
    <cfRule type="cellIs" priority="10" operator="greaterThan" aboveAverage="0" equalAverage="0" bottom="0" percent="0" rank="0" text="" dxfId="10">
      <formula>0</formula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V405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4" activeCellId="0" sqref="A14"/>
    </sheetView>
  </sheetViews>
  <sheetFormatPr defaultColWidth="12.75390625" defaultRowHeight="14.25" zeroHeight="false" outlineLevelRow="0" outlineLevelCol="0"/>
  <cols>
    <col collapsed="false" customWidth="true" hidden="false" outlineLevel="0" max="5" min="1" style="2" width="17.25"/>
    <col collapsed="false" customWidth="true" hidden="false" outlineLevel="0" max="6" min="6" style="2" width="34.5"/>
    <col collapsed="false" customWidth="true" hidden="false" outlineLevel="0" max="12" min="7" style="2" width="24.13"/>
    <col collapsed="false" customWidth="false" hidden="true" outlineLevel="0" max="24" min="13" style="2" width="12.75"/>
    <col collapsed="false" customWidth="true" hidden="true" outlineLevel="0" max="25" min="25" style="2" width="2.88"/>
    <col collapsed="false" customWidth="true" hidden="true" outlineLevel="0" max="26" min="26" style="2" width="6.13"/>
    <col collapsed="false" customWidth="true" hidden="true" outlineLevel="0" max="27" min="27" style="2" width="5.88"/>
    <col collapsed="false" customWidth="true" hidden="true" outlineLevel="0" max="28" min="28" style="2" width="6.13"/>
    <col collapsed="false" customWidth="true" hidden="true" outlineLevel="0" max="29" min="29" style="2" width="5.88"/>
    <col collapsed="false" customWidth="true" hidden="true" outlineLevel="0" max="30" min="30" style="2" width="47.63"/>
    <col collapsed="false" customWidth="true" hidden="true" outlineLevel="0" max="31" min="31" style="2" width="5.88"/>
    <col collapsed="false" customWidth="true" hidden="true" outlineLevel="0" max="32" min="32" style="2" width="2.63"/>
    <col collapsed="false" customWidth="true" hidden="true" outlineLevel="0" max="33" min="33" style="2" width="13.25"/>
    <col collapsed="false" customWidth="true" hidden="true" outlineLevel="0" max="34" min="34" style="2" width="8.38"/>
    <col collapsed="false" customWidth="true" hidden="true" outlineLevel="0" max="35" min="35" style="2" width="9.38"/>
    <col collapsed="false" customWidth="true" hidden="true" outlineLevel="0" max="36" min="36" style="2" width="7.25"/>
    <col collapsed="false" customWidth="true" hidden="true" outlineLevel="0" max="37" min="37" style="2" width="9.63"/>
    <col collapsed="false" customWidth="true" hidden="true" outlineLevel="0" max="38" min="38" style="2" width="2.63"/>
    <col collapsed="false" customWidth="true" hidden="true" outlineLevel="0" max="39" min="39" style="2" width="8.88"/>
    <col collapsed="false" customWidth="true" hidden="true" outlineLevel="0" max="40" min="40" style="2" width="11.25"/>
    <col collapsed="false" customWidth="true" hidden="true" outlineLevel="0" max="41" min="41" style="2" width="3.75"/>
    <col collapsed="false" customWidth="true" hidden="true" outlineLevel="0" max="42" min="42" style="2" width="7.88"/>
    <col collapsed="false" customWidth="true" hidden="true" outlineLevel="0" max="43" min="43" style="2" width="10.63"/>
    <col collapsed="false" customWidth="true" hidden="true" outlineLevel="0" max="44" min="44" style="2" width="4.25"/>
    <col collapsed="false" customWidth="true" hidden="true" outlineLevel="0" max="46" min="45" style="2" width="8.88"/>
    <col collapsed="false" customWidth="true" hidden="true" outlineLevel="0" max="47" min="47" style="2" width="3.88"/>
    <col collapsed="false" customWidth="true" hidden="true" outlineLevel="0" max="48" min="48" style="2" width="12.25"/>
    <col collapsed="false" customWidth="true" hidden="true" outlineLevel="0" max="49" min="49" style="2" width="26.25"/>
    <col collapsed="false" customWidth="true" hidden="true" outlineLevel="0" max="50" min="50" style="2" width="27.25"/>
    <col collapsed="false" customWidth="true" hidden="true" outlineLevel="0" max="51" min="51" style="2" width="26.25"/>
    <col collapsed="false" customWidth="true" hidden="true" outlineLevel="0" max="52" min="52" style="2" width="26.63"/>
    <col collapsed="false" customWidth="true" hidden="true" outlineLevel="0" max="53" min="53" style="2" width="13.13"/>
    <col collapsed="false" customWidth="true" hidden="true" outlineLevel="0" max="54" min="54" style="2" width="11.38"/>
    <col collapsed="false" customWidth="true" hidden="true" outlineLevel="0" max="55" min="55" style="2" width="11.5"/>
    <col collapsed="false" customWidth="true" hidden="true" outlineLevel="0" max="56" min="56" style="2" width="14.13"/>
    <col collapsed="false" customWidth="true" hidden="true" outlineLevel="0" max="57" min="57" style="2" width="14.25"/>
    <col collapsed="false" customWidth="true" hidden="true" outlineLevel="0" max="58" min="58" style="2" width="12.38"/>
    <col collapsed="false" customWidth="true" hidden="true" outlineLevel="0" max="59" min="59" style="2" width="12.5"/>
    <col collapsed="false" customWidth="true" hidden="true" outlineLevel="0" max="60" min="60" style="2" width="11.38"/>
    <col collapsed="false" customWidth="true" hidden="true" outlineLevel="0" max="64" min="61" style="2" width="6.5"/>
    <col collapsed="false" customWidth="true" hidden="true" outlineLevel="0" max="65" min="65" style="2" width="6.13"/>
    <col collapsed="false" customWidth="true" hidden="true" outlineLevel="0" max="66" min="66" style="2" width="4.25"/>
    <col collapsed="false" customWidth="true" hidden="true" outlineLevel="0" max="67" min="67" style="2" width="3.88"/>
    <col collapsed="false" customWidth="true" hidden="true" outlineLevel="0" max="68" min="68" style="2" width="4.25"/>
    <col collapsed="false" customWidth="true" hidden="true" outlineLevel="0" max="69" min="69" style="2" width="3.88"/>
    <col collapsed="false" customWidth="true" hidden="true" outlineLevel="0" max="70" min="70" style="2" width="4.25"/>
    <col collapsed="false" customWidth="true" hidden="true" outlineLevel="0" max="72" min="71" style="2" width="10.13"/>
    <col collapsed="false" customWidth="true" hidden="true" outlineLevel="0" max="73" min="73" style="2" width="6.88"/>
    <col collapsed="false" customWidth="true" hidden="true" outlineLevel="0" max="74" min="74" style="2" width="4.25"/>
  </cols>
  <sheetData>
    <row r="1" customFormat="false" ht="20.25" hidden="false" customHeight="true" outlineLevel="0" collapsed="false">
      <c r="A1" s="158" t="s">
        <v>47</v>
      </c>
      <c r="B1" s="158"/>
      <c r="C1" s="159"/>
      <c r="D1" s="159"/>
      <c r="E1" s="160"/>
      <c r="F1" s="161"/>
      <c r="G1" s="162"/>
      <c r="H1" s="163" t="s">
        <v>48</v>
      </c>
      <c r="I1" s="164" t="s">
        <v>6</v>
      </c>
      <c r="J1" s="165" t="s">
        <v>7</v>
      </c>
      <c r="K1" s="166" t="s">
        <v>8</v>
      </c>
      <c r="L1" s="167" t="s">
        <v>9</v>
      </c>
      <c r="M1" s="168"/>
      <c r="N1" s="169"/>
      <c r="O1" s="169"/>
      <c r="P1" s="169"/>
      <c r="Q1" s="169"/>
      <c r="R1" s="168"/>
      <c r="S1" s="168"/>
      <c r="T1" s="168"/>
      <c r="U1" s="168"/>
      <c r="V1" s="168"/>
      <c r="W1" s="168"/>
      <c r="X1" s="168"/>
      <c r="Y1" s="168"/>
      <c r="Z1" s="170"/>
      <c r="AA1" s="168"/>
      <c r="AB1" s="168"/>
      <c r="AC1" s="168"/>
      <c r="AD1" s="170"/>
      <c r="AE1" s="168"/>
      <c r="AF1" s="168"/>
      <c r="AG1" s="163" t="s">
        <v>48</v>
      </c>
      <c r="AH1" s="164" t="s">
        <v>6</v>
      </c>
      <c r="AI1" s="165" t="s">
        <v>7</v>
      </c>
      <c r="AJ1" s="166" t="s">
        <v>8</v>
      </c>
      <c r="AK1" s="167" t="s">
        <v>9</v>
      </c>
      <c r="AL1" s="171"/>
      <c r="AM1" s="172"/>
      <c r="AN1" s="172"/>
      <c r="AO1" s="168"/>
      <c r="AP1" s="168"/>
      <c r="AQ1" s="168"/>
      <c r="AR1" s="168"/>
      <c r="AS1" s="168"/>
      <c r="AT1" s="168"/>
      <c r="AU1" s="168"/>
      <c r="AV1" s="168"/>
      <c r="AW1" s="162"/>
      <c r="AX1" s="169"/>
      <c r="AY1" s="169"/>
      <c r="AZ1" s="169"/>
      <c r="BA1" s="168"/>
      <c r="BB1" s="168"/>
      <c r="BC1" s="168"/>
      <c r="BD1" s="168"/>
      <c r="BE1" s="168"/>
      <c r="BF1" s="168"/>
      <c r="BG1" s="168"/>
      <c r="BH1" s="173"/>
      <c r="BI1" s="173"/>
      <c r="BJ1" s="173"/>
      <c r="BK1" s="173"/>
      <c r="BL1" s="173"/>
      <c r="BM1" s="11" t="n">
        <v>1</v>
      </c>
      <c r="BN1" s="168"/>
      <c r="BO1" s="168"/>
      <c r="BP1" s="168"/>
      <c r="BQ1" s="168"/>
      <c r="BR1" s="174"/>
      <c r="BS1" s="9"/>
      <c r="BT1" s="9"/>
      <c r="BU1" s="9"/>
      <c r="BV1" s="9"/>
    </row>
    <row r="2" customFormat="false" ht="20.25" hidden="false" customHeight="true" outlineLevel="0" collapsed="false">
      <c r="A2" s="158"/>
      <c r="B2" s="158"/>
      <c r="C2" s="3"/>
      <c r="D2" s="3"/>
      <c r="E2" s="175"/>
      <c r="F2" s="176"/>
      <c r="G2" s="177" t="s">
        <v>49</v>
      </c>
      <c r="H2" s="178" t="n">
        <f aca="false">SUM(I2:L2)</f>
        <v>0</v>
      </c>
      <c r="I2" s="179" t="n">
        <f aca="false">O_CALC_CultivoPrincipal!AJ7</f>
        <v>0</v>
      </c>
      <c r="J2" s="180" t="n">
        <f aca="false">O_CALC_CultivoPrincipal!AI7</f>
        <v>0</v>
      </c>
      <c r="K2" s="179" t="n">
        <f aca="false">O_CALC_CultivoPrincipal!AL7</f>
        <v>0</v>
      </c>
      <c r="L2" s="180" t="n">
        <f aca="false">O_CALC_CultivoPrincipal!AK7</f>
        <v>0</v>
      </c>
      <c r="M2" s="3"/>
      <c r="N2" s="3"/>
      <c r="O2" s="3"/>
      <c r="P2" s="3"/>
      <c r="Q2" s="46"/>
      <c r="R2" s="3"/>
      <c r="S2" s="3"/>
      <c r="T2" s="3"/>
      <c r="U2" s="3"/>
      <c r="V2" s="3"/>
      <c r="W2" s="3"/>
      <c r="X2" s="3"/>
      <c r="Y2" s="3"/>
      <c r="Z2" s="5"/>
      <c r="AA2" s="3"/>
      <c r="AB2" s="3"/>
      <c r="AC2" s="3"/>
      <c r="AD2" s="5"/>
      <c r="AE2" s="3"/>
      <c r="AF2" s="3"/>
      <c r="AG2" s="3" t="n">
        <v>4670.955</v>
      </c>
      <c r="AH2" s="3" t="n">
        <v>522.73</v>
      </c>
      <c r="AI2" s="6" t="n">
        <v>448.225</v>
      </c>
      <c r="AJ2" s="3" t="n">
        <v>700</v>
      </c>
      <c r="AK2" s="46" t="n">
        <v>3000</v>
      </c>
      <c r="AL2" s="176"/>
      <c r="AM2" s="181"/>
      <c r="AN2" s="181"/>
      <c r="AO2" s="3"/>
      <c r="AP2" s="3"/>
      <c r="AQ2" s="3"/>
      <c r="AR2" s="3"/>
      <c r="AS2" s="3"/>
      <c r="AT2" s="3"/>
      <c r="AU2" s="3"/>
      <c r="AV2" s="3"/>
      <c r="AW2" s="43" t="s">
        <v>50</v>
      </c>
      <c r="AX2" s="43" t="s">
        <v>51</v>
      </c>
      <c r="AY2" s="11" t="s">
        <v>52</v>
      </c>
      <c r="AZ2" s="11" t="s">
        <v>53</v>
      </c>
      <c r="BA2" s="3"/>
      <c r="BB2" s="3"/>
      <c r="BC2" s="3"/>
      <c r="BD2" s="3"/>
      <c r="BE2" s="3"/>
      <c r="BF2" s="3"/>
      <c r="BG2" s="3"/>
      <c r="BH2" s="182"/>
      <c r="BI2" s="182"/>
      <c r="BJ2" s="182"/>
      <c r="BK2" s="182"/>
      <c r="BL2" s="182"/>
      <c r="BM2" s="183" t="n">
        <v>1</v>
      </c>
      <c r="BN2" s="3"/>
      <c r="BO2" s="3"/>
      <c r="BP2" s="3"/>
      <c r="BQ2" s="3"/>
      <c r="BR2" s="6"/>
      <c r="BS2" s="184"/>
      <c r="BT2" s="184"/>
      <c r="BU2" s="184"/>
      <c r="BV2" s="184"/>
    </row>
    <row r="3" customFormat="false" ht="20.25" hidden="false" customHeight="true" outlineLevel="0" collapsed="false">
      <c r="A3" s="158"/>
      <c r="B3" s="158"/>
      <c r="C3" s="3"/>
      <c r="D3" s="3"/>
      <c r="E3" s="175"/>
      <c r="F3" s="176"/>
      <c r="G3" s="177" t="s">
        <v>54</v>
      </c>
      <c r="H3" s="178" t="n">
        <f aca="false">SUM(I3:L3)</f>
        <v>0</v>
      </c>
      <c r="I3" s="185" t="n">
        <f aca="false">AG14</f>
        <v>0</v>
      </c>
      <c r="J3" s="186" t="n">
        <f aca="false">AJ14</f>
        <v>0</v>
      </c>
      <c r="K3" s="185" t="n">
        <f aca="false">AH14</f>
        <v>0</v>
      </c>
      <c r="L3" s="186" t="n">
        <f aca="false">AK14</f>
        <v>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5"/>
      <c r="AA3" s="3"/>
      <c r="AB3" s="3"/>
      <c r="AC3" s="3"/>
      <c r="AD3" s="5"/>
      <c r="AE3" s="3"/>
      <c r="AF3" s="3"/>
      <c r="AG3" s="3" t="n">
        <v>1098.34</v>
      </c>
      <c r="AH3" s="3" t="n">
        <v>114.19</v>
      </c>
      <c r="AI3" s="6" t="n">
        <v>142.7375</v>
      </c>
      <c r="AJ3" s="3" t="n">
        <v>240.4</v>
      </c>
      <c r="AK3" s="187" t="n">
        <v>601.0125</v>
      </c>
      <c r="AL3" s="176"/>
      <c r="AM3" s="181"/>
      <c r="AN3" s="181"/>
      <c r="AO3" s="3"/>
      <c r="AP3" s="3"/>
      <c r="AQ3" s="3"/>
      <c r="AR3" s="3"/>
      <c r="AS3" s="3"/>
      <c r="AT3" s="3"/>
      <c r="AU3" s="3"/>
      <c r="AV3" s="3"/>
      <c r="AW3" s="188" t="s">
        <v>55</v>
      </c>
      <c r="AX3" s="188" t="s">
        <v>56</v>
      </c>
      <c r="AY3" s="188" t="s">
        <v>57</v>
      </c>
      <c r="AZ3" s="188" t="s">
        <v>58</v>
      </c>
      <c r="BA3" s="3"/>
      <c r="BB3" s="3"/>
      <c r="BC3" s="3"/>
      <c r="BD3" s="183"/>
      <c r="BE3" s="3"/>
      <c r="BF3" s="3"/>
      <c r="BG3" s="189" t="s">
        <v>59</v>
      </c>
      <c r="BH3" s="190" t="s">
        <v>60</v>
      </c>
      <c r="BI3" s="189" t="s">
        <v>61</v>
      </c>
      <c r="BJ3" s="190" t="s">
        <v>62</v>
      </c>
      <c r="BK3" s="189" t="s">
        <v>63</v>
      </c>
      <c r="BL3" s="182"/>
      <c r="BM3" s="183" t="n">
        <v>1</v>
      </c>
      <c r="BN3" s="3"/>
      <c r="BO3" s="3"/>
      <c r="BP3" s="3"/>
      <c r="BQ3" s="3"/>
      <c r="BR3" s="6"/>
      <c r="BS3" s="184"/>
      <c r="BT3" s="184"/>
      <c r="BU3" s="184"/>
      <c r="BV3" s="184"/>
    </row>
    <row r="4" customFormat="false" ht="20.25" hidden="false" customHeight="true" outlineLevel="0" collapsed="false">
      <c r="A4" s="158"/>
      <c r="B4" s="158"/>
      <c r="C4" s="3"/>
      <c r="D4" s="3"/>
      <c r="E4" s="175"/>
      <c r="F4" s="176"/>
      <c r="G4" s="177" t="s">
        <v>64</v>
      </c>
      <c r="H4" s="191" t="n">
        <f aca="false">SUM(I4:L4)</f>
        <v>0</v>
      </c>
      <c r="I4" s="192" t="n">
        <f aca="false">SUM(AV26:AV401)</f>
        <v>0</v>
      </c>
      <c r="J4" s="186" t="n">
        <f aca="false">SUM(AX26:AX401)</f>
        <v>0</v>
      </c>
      <c r="K4" s="185" t="n">
        <f aca="false">SUM(AW26:AW401)</f>
        <v>0</v>
      </c>
      <c r="L4" s="186" t="n">
        <f aca="false">SUM(AY26:AY401)</f>
        <v>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5"/>
      <c r="AA4" s="3"/>
      <c r="AB4" s="3"/>
      <c r="AC4" s="3"/>
      <c r="AD4" s="5"/>
      <c r="AE4" s="3"/>
      <c r="AF4" s="3"/>
      <c r="AG4" s="3" t="n">
        <v>0.0387</v>
      </c>
      <c r="AH4" s="3" t="n">
        <v>0.00465</v>
      </c>
      <c r="AI4" s="6" t="n">
        <v>0.00465</v>
      </c>
      <c r="AJ4" s="3" t="n">
        <v>0.0098</v>
      </c>
      <c r="AK4" s="3" t="n">
        <v>0.0196</v>
      </c>
      <c r="AL4" s="176"/>
      <c r="AM4" s="181"/>
      <c r="AN4" s="181"/>
      <c r="AO4" s="3"/>
      <c r="AP4" s="3"/>
      <c r="AQ4" s="3"/>
      <c r="AR4" s="3"/>
      <c r="AS4" s="3"/>
      <c r="AT4" s="3"/>
      <c r="AU4" s="3"/>
      <c r="AV4" s="24"/>
      <c r="AW4" s="169"/>
      <c r="AX4" s="169"/>
      <c r="AY4" s="169"/>
      <c r="AZ4" s="169"/>
      <c r="BA4" s="24"/>
      <c r="BB4" s="3"/>
      <c r="BC4" s="3"/>
      <c r="BD4" s="24"/>
      <c r="BE4" s="24"/>
      <c r="BF4" s="3"/>
      <c r="BG4" s="189"/>
      <c r="BH4" s="190"/>
      <c r="BI4" s="189"/>
      <c r="BJ4" s="190"/>
      <c r="BK4" s="189"/>
      <c r="BL4" s="182"/>
      <c r="BM4" s="183" t="n">
        <v>1</v>
      </c>
      <c r="BN4" s="3"/>
      <c r="BO4" s="3"/>
      <c r="BP4" s="3"/>
      <c r="BQ4" s="3"/>
      <c r="BR4" s="6"/>
      <c r="BS4" s="184"/>
      <c r="BT4" s="184"/>
      <c r="BU4" s="184"/>
      <c r="BV4" s="184"/>
    </row>
    <row r="5" customFormat="false" ht="20.25" hidden="false" customHeight="true" outlineLevel="0" collapsed="false">
      <c r="A5" s="158"/>
      <c r="B5" s="158"/>
      <c r="C5" s="3"/>
      <c r="D5" s="3"/>
      <c r="E5" s="175"/>
      <c r="F5" s="176"/>
      <c r="G5" s="177" t="s">
        <v>65</v>
      </c>
      <c r="H5" s="191" t="n">
        <f aca="false">SUM(I5:L5)</f>
        <v>0</v>
      </c>
      <c r="I5" s="192" t="n">
        <f aca="false">SUM(AZ26:AZ401)</f>
        <v>0</v>
      </c>
      <c r="J5" s="186" t="n">
        <f aca="false">SUM(BB26:BB401)</f>
        <v>0</v>
      </c>
      <c r="K5" s="185" t="n">
        <f aca="false">SUM(BA26:BA401)</f>
        <v>0</v>
      </c>
      <c r="L5" s="186" t="n">
        <f aca="false">SUM(BC26:BC401)</f>
        <v>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5"/>
      <c r="AA5" s="3"/>
      <c r="AB5" s="3"/>
      <c r="AC5" s="3"/>
      <c r="AD5" s="5"/>
      <c r="AE5" s="3"/>
      <c r="AF5" s="3"/>
      <c r="AG5" s="3"/>
      <c r="AH5" s="3"/>
      <c r="AI5" s="6"/>
      <c r="AJ5" s="3"/>
      <c r="AK5" s="3"/>
      <c r="AL5" s="176"/>
      <c r="AM5" s="181"/>
      <c r="AN5" s="181"/>
      <c r="AO5" s="3"/>
      <c r="AP5" s="3"/>
      <c r="AQ5" s="3"/>
      <c r="AR5" s="3"/>
      <c r="AS5" s="3"/>
      <c r="AT5" s="3"/>
      <c r="AU5" s="3"/>
      <c r="AV5" s="3"/>
      <c r="AW5" s="43" t="s">
        <v>66</v>
      </c>
      <c r="AX5" s="43" t="s">
        <v>67</v>
      </c>
      <c r="AY5" s="11" t="s">
        <v>68</v>
      </c>
      <c r="AZ5" s="11" t="s">
        <v>69</v>
      </c>
      <c r="BA5" s="3"/>
      <c r="BB5" s="3"/>
      <c r="BC5" s="3"/>
      <c r="BD5" s="3"/>
      <c r="BE5" s="3"/>
      <c r="BF5" s="3"/>
      <c r="BG5" s="189"/>
      <c r="BH5" s="190"/>
      <c r="BI5" s="189"/>
      <c r="BJ5" s="190"/>
      <c r="BK5" s="189"/>
      <c r="BL5" s="182"/>
      <c r="BM5" s="183" t="n">
        <v>1</v>
      </c>
      <c r="BN5" s="3"/>
      <c r="BO5" s="3"/>
      <c r="BP5" s="3"/>
      <c r="BQ5" s="3"/>
      <c r="BR5" s="6"/>
      <c r="BS5" s="184"/>
      <c r="BT5" s="184"/>
      <c r="BU5" s="184"/>
      <c r="BV5" s="184"/>
    </row>
    <row r="6" customFormat="false" ht="20.25" hidden="false" customHeight="true" outlineLevel="0" collapsed="false">
      <c r="A6" s="158"/>
      <c r="B6" s="158"/>
      <c r="C6" s="3"/>
      <c r="D6" s="3"/>
      <c r="E6" s="175"/>
      <c r="F6" s="176"/>
      <c r="G6" s="193" t="s">
        <v>70</v>
      </c>
      <c r="H6" s="178" t="n">
        <f aca="false">SUM(I6:L6)</f>
        <v>0</v>
      </c>
      <c r="I6" s="192" t="n">
        <f aca="false">SUM(BD26:BD401)</f>
        <v>0</v>
      </c>
      <c r="J6" s="186" t="n">
        <f aca="false">SUM(BF26:BF401)</f>
        <v>0</v>
      </c>
      <c r="K6" s="185" t="n">
        <f aca="false">SUM(BE26:BE401)</f>
        <v>0</v>
      </c>
      <c r="L6" s="186" t="n">
        <f aca="false">SUM(BG26:BG401)</f>
        <v>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5"/>
      <c r="AA6" s="3"/>
      <c r="AB6" s="3"/>
      <c r="AC6" s="3"/>
      <c r="AD6" s="5"/>
      <c r="AE6" s="3"/>
      <c r="AF6" s="3"/>
      <c r="AG6" s="3"/>
      <c r="AH6" s="3"/>
      <c r="AI6" s="6"/>
      <c r="AJ6" s="3"/>
      <c r="AK6" s="3"/>
      <c r="AL6" s="194"/>
      <c r="AM6" s="194"/>
      <c r="AN6" s="195"/>
      <c r="AO6" s="196"/>
      <c r="AP6" s="194"/>
      <c r="AQ6" s="194"/>
      <c r="AR6" s="195"/>
      <c r="AS6" s="195"/>
      <c r="AT6" s="3"/>
      <c r="AU6" s="3"/>
      <c r="AV6" s="3"/>
      <c r="AW6" s="188" t="s">
        <v>71</v>
      </c>
      <c r="AX6" s="188" t="s">
        <v>72</v>
      </c>
      <c r="AY6" s="188" t="s">
        <v>73</v>
      </c>
      <c r="AZ6" s="188" t="s">
        <v>74</v>
      </c>
      <c r="BA6" s="3"/>
      <c r="BB6" s="3"/>
      <c r="BC6" s="3"/>
      <c r="BD6" s="3"/>
      <c r="BE6" s="3"/>
      <c r="BF6" s="3"/>
      <c r="BG6" s="3"/>
      <c r="BH6" s="182"/>
      <c r="BI6" s="182"/>
      <c r="BJ6" s="182"/>
      <c r="BK6" s="182"/>
      <c r="BL6" s="182"/>
      <c r="BM6" s="183" t="n">
        <v>1</v>
      </c>
      <c r="BN6" s="3"/>
      <c r="BO6" s="3"/>
      <c r="BP6" s="3"/>
      <c r="BQ6" s="3"/>
      <c r="BR6" s="6"/>
      <c r="BS6" s="184"/>
      <c r="BT6" s="184"/>
      <c r="BU6" s="184"/>
      <c r="BV6" s="184"/>
    </row>
    <row r="7" customFormat="false" ht="20.25" hidden="false" customHeight="true" outlineLevel="0" collapsed="false">
      <c r="A7" s="158"/>
      <c r="B7" s="158"/>
      <c r="C7" s="3"/>
      <c r="D7" s="3"/>
      <c r="E7" s="175"/>
      <c r="F7" s="176"/>
      <c r="G7" s="197" t="s">
        <v>75</v>
      </c>
      <c r="H7" s="197"/>
      <c r="I7" s="197"/>
      <c r="J7" s="197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5"/>
      <c r="AA7" s="3"/>
      <c r="AB7" s="3"/>
      <c r="AC7" s="3"/>
      <c r="AD7" s="5"/>
      <c r="AE7" s="3"/>
      <c r="AF7" s="3"/>
      <c r="AG7" s="3"/>
      <c r="AH7" s="3"/>
      <c r="AI7" s="6"/>
      <c r="AJ7" s="3"/>
      <c r="AK7" s="3"/>
      <c r="AL7" s="176"/>
      <c r="AM7" s="181"/>
      <c r="AN7" s="181"/>
      <c r="AO7" s="3"/>
      <c r="AP7" s="3"/>
      <c r="AQ7" s="3"/>
      <c r="AR7" s="3"/>
      <c r="AS7" s="3"/>
      <c r="AT7" s="3"/>
      <c r="AU7" s="3"/>
      <c r="AV7" s="3"/>
      <c r="AW7" s="169"/>
      <c r="AX7" s="169"/>
      <c r="AY7" s="169"/>
      <c r="AZ7" s="169"/>
      <c r="BA7" s="3"/>
      <c r="BB7" s="3"/>
      <c r="BC7" s="3"/>
      <c r="BD7" s="3"/>
      <c r="BE7" s="3"/>
      <c r="BF7" s="3"/>
      <c r="BG7" s="3"/>
      <c r="BH7" s="182"/>
      <c r="BI7" s="182"/>
      <c r="BJ7" s="182"/>
      <c r="BK7" s="182"/>
      <c r="BL7" s="182"/>
      <c r="BM7" s="183" t="n">
        <v>1</v>
      </c>
      <c r="BN7" s="3"/>
      <c r="BO7" s="3"/>
      <c r="BP7" s="3"/>
      <c r="BQ7" s="3"/>
      <c r="BR7" s="6"/>
      <c r="BS7" s="184"/>
      <c r="BT7" s="184"/>
      <c r="BU7" s="184"/>
      <c r="BV7" s="184"/>
    </row>
    <row r="8" customFormat="false" ht="20.25" hidden="false" customHeight="true" outlineLevel="0" collapsed="false">
      <c r="A8" s="158"/>
      <c r="B8" s="158"/>
      <c r="C8" s="3"/>
      <c r="D8" s="3"/>
      <c r="E8" s="175"/>
      <c r="F8" s="176"/>
      <c r="G8" s="198" t="s">
        <v>59</v>
      </c>
      <c r="H8" s="199"/>
      <c r="I8" s="199"/>
      <c r="J8" s="200" t="n">
        <f aca="false">BH14</f>
        <v>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5"/>
      <c r="AA8" s="3"/>
      <c r="AB8" s="3"/>
      <c r="AC8" s="3"/>
      <c r="AD8" s="5"/>
      <c r="AE8" s="3"/>
      <c r="AF8" s="3"/>
      <c r="AG8" s="3"/>
      <c r="AH8" s="3"/>
      <c r="AI8" s="6"/>
      <c r="AJ8" s="3"/>
      <c r="AK8" s="3"/>
      <c r="AL8" s="176"/>
      <c r="AM8" s="181"/>
      <c r="AN8" s="181"/>
      <c r="AO8" s="3"/>
      <c r="AP8" s="3"/>
      <c r="AQ8" s="3"/>
      <c r="AR8" s="3"/>
      <c r="AS8" s="3"/>
      <c r="AT8" s="3"/>
      <c r="AU8" s="3"/>
      <c r="AV8" s="3"/>
      <c r="AW8" s="43" t="s">
        <v>76</v>
      </c>
      <c r="AX8" s="11" t="s">
        <v>77</v>
      </c>
      <c r="AY8" s="43" t="s">
        <v>78</v>
      </c>
      <c r="AZ8" s="11" t="s">
        <v>79</v>
      </c>
      <c r="BA8" s="3"/>
      <c r="BB8" s="3"/>
      <c r="BC8" s="3"/>
      <c r="BD8" s="3"/>
      <c r="BE8" s="3"/>
      <c r="BF8" s="3"/>
      <c r="BG8" s="3"/>
      <c r="BH8" s="182"/>
      <c r="BI8" s="182"/>
      <c r="BJ8" s="182"/>
      <c r="BK8" s="182"/>
      <c r="BL8" s="182"/>
      <c r="BM8" s="183"/>
      <c r="BN8" s="3"/>
      <c r="BO8" s="3"/>
      <c r="BP8" s="3"/>
      <c r="BQ8" s="3"/>
      <c r="BR8" s="6"/>
      <c r="BS8" s="184"/>
      <c r="BT8" s="184"/>
      <c r="BU8" s="184"/>
      <c r="BV8" s="184"/>
    </row>
    <row r="9" customFormat="false" ht="20.25" hidden="false" customHeight="true" outlineLevel="0" collapsed="false">
      <c r="A9" s="158"/>
      <c r="B9" s="158"/>
      <c r="C9" s="3"/>
      <c r="D9" s="3"/>
      <c r="E9" s="175"/>
      <c r="F9" s="176"/>
      <c r="G9" s="201" t="s">
        <v>80</v>
      </c>
      <c r="H9" s="202"/>
      <c r="I9" s="202"/>
      <c r="J9" s="203" t="n">
        <f aca="false">BI14</f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5"/>
      <c r="AA9" s="3"/>
      <c r="AB9" s="3"/>
      <c r="AC9" s="3"/>
      <c r="AD9" s="5"/>
      <c r="AE9" s="3"/>
      <c r="AF9" s="3"/>
      <c r="AG9" s="3"/>
      <c r="AH9" s="3"/>
      <c r="AI9" s="6"/>
      <c r="AJ9" s="3"/>
      <c r="AK9" s="3"/>
      <c r="AL9" s="176"/>
      <c r="AM9" s="181"/>
      <c r="AN9" s="181"/>
      <c r="AO9" s="3"/>
      <c r="AP9" s="3"/>
      <c r="AQ9" s="3"/>
      <c r="AR9" s="3"/>
      <c r="AS9" s="3"/>
      <c r="AT9" s="3"/>
      <c r="AU9" s="3"/>
      <c r="AV9" s="204"/>
      <c r="AW9" s="188" t="s">
        <v>81</v>
      </c>
      <c r="AX9" s="188" t="s">
        <v>82</v>
      </c>
      <c r="AY9" s="188" t="s">
        <v>83</v>
      </c>
      <c r="AZ9" s="188" t="s">
        <v>84</v>
      </c>
      <c r="BA9" s="3"/>
      <c r="BB9" s="3"/>
      <c r="BC9" s="3"/>
      <c r="BD9" s="204"/>
      <c r="BE9" s="3"/>
      <c r="BF9" s="3"/>
      <c r="BG9" s="3"/>
      <c r="BH9" s="182"/>
      <c r="BI9" s="182"/>
      <c r="BJ9" s="182"/>
      <c r="BK9" s="182"/>
      <c r="BL9" s="182"/>
      <c r="BM9" s="183" t="n">
        <v>1</v>
      </c>
      <c r="BN9" s="3"/>
      <c r="BO9" s="3"/>
      <c r="BP9" s="3"/>
      <c r="BQ9" s="3"/>
      <c r="BR9" s="6"/>
      <c r="BS9" s="184"/>
      <c r="BT9" s="184"/>
      <c r="BU9" s="184"/>
      <c r="BV9" s="184"/>
    </row>
    <row r="10" customFormat="false" ht="16.5" hidden="false" customHeight="true" outlineLevel="0" collapsed="false">
      <c r="A10" s="205" t="s">
        <v>35</v>
      </c>
      <c r="B10" s="205"/>
      <c r="C10" s="206" t="s">
        <v>36</v>
      </c>
      <c r="D10" s="206"/>
      <c r="E10" s="207"/>
      <c r="F10" s="176"/>
      <c r="G10" s="198" t="s">
        <v>85</v>
      </c>
      <c r="H10" s="199"/>
      <c r="I10" s="199"/>
      <c r="J10" s="200" t="n">
        <f aca="false">BJ14</f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5"/>
      <c r="AA10" s="3"/>
      <c r="AB10" s="3"/>
      <c r="AC10" s="3"/>
      <c r="AD10" s="5"/>
      <c r="AE10" s="3"/>
      <c r="AF10" s="3"/>
      <c r="AG10" s="3"/>
      <c r="AH10" s="3"/>
      <c r="AI10" s="3"/>
      <c r="AJ10" s="3"/>
      <c r="AK10" s="3"/>
      <c r="AL10" s="176"/>
      <c r="AM10" s="181"/>
      <c r="AN10" s="181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182"/>
      <c r="BI10" s="182"/>
      <c r="BJ10" s="182"/>
      <c r="BK10" s="182"/>
      <c r="BL10" s="182"/>
      <c r="BM10" s="183" t="n">
        <v>1</v>
      </c>
      <c r="BN10" s="3"/>
      <c r="BO10" s="3"/>
      <c r="BP10" s="3"/>
      <c r="BQ10" s="3"/>
      <c r="BR10" s="6"/>
      <c r="BS10" s="184"/>
      <c r="BT10" s="184"/>
      <c r="BU10" s="184"/>
      <c r="BV10" s="184"/>
    </row>
    <row r="11" customFormat="false" ht="16.5" hidden="false" customHeight="true" outlineLevel="0" collapsed="false">
      <c r="A11" s="205"/>
      <c r="B11" s="205"/>
      <c r="C11" s="206"/>
      <c r="D11" s="206"/>
      <c r="E11" s="207"/>
      <c r="F11" s="176"/>
      <c r="G11" s="201" t="s">
        <v>86</v>
      </c>
      <c r="H11" s="202"/>
      <c r="I11" s="202"/>
      <c r="J11" s="203" t="n">
        <f aca="false">BK14</f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5"/>
      <c r="AA11" s="3"/>
      <c r="AB11" s="3"/>
      <c r="AC11" s="3"/>
      <c r="AD11" s="5"/>
      <c r="AE11" s="3"/>
      <c r="AF11" s="3"/>
      <c r="AG11" s="3"/>
      <c r="AH11" s="3"/>
      <c r="AI11" s="3"/>
      <c r="AJ11" s="208" t="n">
        <f aca="false">SUM(CX4:CX8)</f>
        <v>0</v>
      </c>
      <c r="AK11" s="3"/>
      <c r="AL11" s="176"/>
      <c r="AM11" s="181"/>
      <c r="AN11" s="181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182"/>
      <c r="BI11" s="182"/>
      <c r="BJ11" s="182"/>
      <c r="BK11" s="182"/>
      <c r="BL11" s="182"/>
      <c r="BM11" s="183" t="n">
        <v>1</v>
      </c>
      <c r="BN11" s="3"/>
      <c r="BO11" s="3"/>
      <c r="BP11" s="3"/>
      <c r="BQ11" s="3"/>
      <c r="BR11" s="6"/>
      <c r="BS11" s="184"/>
      <c r="BT11" s="184"/>
      <c r="BU11" s="184"/>
      <c r="BV11" s="184"/>
    </row>
    <row r="12" customFormat="false" ht="16.5" hidden="false" customHeight="true" outlineLevel="0" collapsed="false">
      <c r="A12" s="209" t="s">
        <v>87</v>
      </c>
      <c r="B12" s="210" t="s">
        <v>88</v>
      </c>
      <c r="C12" s="211" t="s">
        <v>87</v>
      </c>
      <c r="D12" s="212" t="s">
        <v>88</v>
      </c>
      <c r="E12" s="213" t="s">
        <v>89</v>
      </c>
      <c r="F12" s="214" t="s">
        <v>90</v>
      </c>
      <c r="G12" s="215" t="s">
        <v>91</v>
      </c>
      <c r="H12" s="216"/>
      <c r="I12" s="216"/>
      <c r="J12" s="217" t="n">
        <f aca="false">BL14</f>
        <v>0</v>
      </c>
      <c r="K12" s="3"/>
      <c r="L12" s="3"/>
      <c r="M12" s="3"/>
      <c r="N12" s="218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5"/>
      <c r="AA12" s="3"/>
      <c r="AB12" s="3"/>
      <c r="AC12" s="3"/>
      <c r="AD12" s="5"/>
      <c r="AE12" s="3"/>
      <c r="AF12" s="3"/>
      <c r="AG12" s="3"/>
      <c r="AH12" s="3"/>
      <c r="AI12" s="3"/>
      <c r="AJ12" s="3"/>
      <c r="AK12" s="3"/>
      <c r="AL12" s="176"/>
      <c r="AM12" s="181"/>
      <c r="AN12" s="181"/>
      <c r="AO12" s="3"/>
      <c r="AP12" s="3"/>
      <c r="AQ12" s="3"/>
      <c r="AR12" s="3"/>
      <c r="AS12" s="3"/>
      <c r="AT12" s="3"/>
      <c r="AU12" s="3"/>
      <c r="AV12" s="182"/>
      <c r="AW12" s="182"/>
      <c r="AX12" s="182"/>
      <c r="AY12" s="182"/>
      <c r="AZ12" s="182"/>
      <c r="BA12" s="182"/>
      <c r="BB12" s="182"/>
      <c r="BC12" s="182"/>
      <c r="BD12" s="3"/>
      <c r="BE12" s="3"/>
      <c r="BF12" s="3"/>
      <c r="BG12" s="3"/>
      <c r="BH12" s="182"/>
      <c r="BI12" s="182"/>
      <c r="BJ12" s="182"/>
      <c r="BK12" s="182"/>
      <c r="BL12" s="182"/>
      <c r="BM12" s="183" t="n">
        <v>1</v>
      </c>
      <c r="BN12" s="3"/>
      <c r="BO12" s="3"/>
      <c r="BP12" s="3"/>
      <c r="BQ12" s="3"/>
      <c r="BR12" s="6"/>
      <c r="BS12" s="184"/>
      <c r="BT12" s="184"/>
      <c r="BU12" s="184"/>
      <c r="BV12" s="184"/>
    </row>
    <row r="13" customFormat="false" ht="14.25" hidden="false" customHeight="false" outlineLevel="0" collapsed="false">
      <c r="A13" s="219"/>
      <c r="B13" s="220"/>
      <c r="C13" s="221"/>
      <c r="D13" s="222"/>
      <c r="E13" s="223" t="str">
        <f aca="false">IF(SUM(A13:D13)&gt;0,SUM(A13:D13),"")</f>
        <v/>
      </c>
      <c r="F13" s="224" t="str">
        <f aca="false">AD26</f>
        <v>TRIGO BLANDO</v>
      </c>
      <c r="G13" s="162"/>
      <c r="H13" s="169"/>
      <c r="I13" s="169"/>
      <c r="J13" s="169"/>
      <c r="K13" s="169"/>
      <c r="L13" s="169"/>
      <c r="M13" s="169"/>
      <c r="N13" s="225"/>
      <c r="O13" s="169"/>
      <c r="P13" s="169"/>
      <c r="Q13" s="169"/>
      <c r="R13" s="3"/>
      <c r="S13" s="3"/>
      <c r="T13" s="3"/>
      <c r="U13" s="3"/>
      <c r="V13" s="3"/>
      <c r="W13" s="3"/>
      <c r="X13" s="3"/>
      <c r="Y13" s="3"/>
      <c r="Z13" s="5"/>
      <c r="AA13" s="3"/>
      <c r="AB13" s="3"/>
      <c r="AC13" s="3"/>
      <c r="AD13" s="42"/>
      <c r="AE13" s="43"/>
      <c r="AF13" s="43"/>
      <c r="AG13" s="43"/>
      <c r="AH13" s="43"/>
      <c r="AI13" s="11"/>
      <c r="AJ13" s="11"/>
      <c r="AK13" s="11"/>
      <c r="AL13" s="226"/>
      <c r="AM13" s="227"/>
      <c r="AN13" s="227"/>
      <c r="AO13" s="45"/>
      <c r="AP13" s="45"/>
      <c r="AQ13" s="45"/>
      <c r="AR13" s="45"/>
      <c r="AS13" s="45"/>
      <c r="AT13" s="3"/>
      <c r="AU13" s="3"/>
      <c r="AV13" s="43" t="s">
        <v>50</v>
      </c>
      <c r="AW13" s="43" t="s">
        <v>51</v>
      </c>
      <c r="AX13" s="11" t="s">
        <v>52</v>
      </c>
      <c r="AY13" s="11" t="s">
        <v>53</v>
      </c>
      <c r="AZ13" s="43" t="s">
        <v>66</v>
      </c>
      <c r="BA13" s="43" t="s">
        <v>67</v>
      </c>
      <c r="BB13" s="11" t="s">
        <v>68</v>
      </c>
      <c r="BC13" s="11" t="s">
        <v>69</v>
      </c>
      <c r="BD13" s="43" t="s">
        <v>76</v>
      </c>
      <c r="BE13" s="43" t="s">
        <v>78</v>
      </c>
      <c r="BF13" s="11" t="s">
        <v>77</v>
      </c>
      <c r="BG13" s="11" t="s">
        <v>79</v>
      </c>
      <c r="BH13" s="182"/>
      <c r="BI13" s="182"/>
      <c r="BJ13" s="182"/>
      <c r="BK13" s="182"/>
      <c r="BL13" s="182"/>
      <c r="BM13" s="11" t="n">
        <v>1</v>
      </c>
      <c r="BN13" s="11"/>
      <c r="BO13" s="11"/>
      <c r="BP13" s="11"/>
      <c r="BQ13" s="11"/>
      <c r="BR13" s="47"/>
      <c r="BS13" s="48"/>
      <c r="BT13" s="48"/>
      <c r="BU13" s="48"/>
      <c r="BV13" s="50"/>
    </row>
    <row r="14" customFormat="false" ht="15" hidden="false" customHeight="false" outlineLevel="0" collapsed="false">
      <c r="A14" s="228"/>
      <c r="B14" s="229"/>
      <c r="C14" s="230"/>
      <c r="D14" s="231"/>
      <c r="E14" s="223" t="str">
        <f aca="false">IF(SUM(A14:D14)&gt;0,SUM(A14:D14),"")</f>
        <v/>
      </c>
      <c r="F14" s="224" t="str">
        <f aca="false">AD27</f>
        <v>ESPELTA</v>
      </c>
      <c r="G14" s="162"/>
      <c r="H14" s="169"/>
      <c r="I14" s="169"/>
      <c r="J14" s="169"/>
      <c r="K14" s="169"/>
      <c r="L14" s="169"/>
      <c r="M14" s="169"/>
      <c r="N14" s="232"/>
      <c r="O14" s="169"/>
      <c r="P14" s="169"/>
      <c r="Q14" s="169"/>
      <c r="R14" s="3"/>
      <c r="S14" s="3"/>
      <c r="T14" s="3"/>
      <c r="U14" s="3"/>
      <c r="V14" s="3"/>
      <c r="W14" s="3"/>
      <c r="X14" s="3"/>
      <c r="Y14" s="3"/>
      <c r="Z14" s="5"/>
      <c r="AA14" s="3"/>
      <c r="AB14" s="3"/>
      <c r="AC14" s="3"/>
      <c r="AD14" s="5"/>
      <c r="AE14" s="56"/>
      <c r="AF14" s="56"/>
      <c r="AG14" s="143" t="n">
        <f aca="false">SUM(AG26:AG401)</f>
        <v>0</v>
      </c>
      <c r="AH14" s="143" t="n">
        <f aca="false">SUM(AH26:AH401)</f>
        <v>0</v>
      </c>
      <c r="AI14" s="143"/>
      <c r="AJ14" s="143" t="n">
        <f aca="false">SUM(AJ26:AJ401)</f>
        <v>0</v>
      </c>
      <c r="AK14" s="143" t="n">
        <f aca="false">SUM(AK26:AK401)</f>
        <v>0</v>
      </c>
      <c r="AL14" s="233"/>
      <c r="AM14" s="234"/>
      <c r="AN14" s="234"/>
      <c r="AO14" s="60"/>
      <c r="AP14" s="235"/>
      <c r="AQ14" s="235"/>
      <c r="AR14" s="235"/>
      <c r="AS14" s="235"/>
      <c r="AT14" s="3"/>
      <c r="AU14" s="3"/>
      <c r="AV14" s="188" t="n">
        <f aca="false">SUM(AV26:AV401)</f>
        <v>0</v>
      </c>
      <c r="AW14" s="188" t="n">
        <f aca="false">SUM(AW26:AW401)</f>
        <v>0</v>
      </c>
      <c r="AX14" s="188" t="n">
        <f aca="false">SUM(AX26:AX401)</f>
        <v>0</v>
      </c>
      <c r="AY14" s="188" t="n">
        <f aca="false">SUM(AY26:AY401)</f>
        <v>0</v>
      </c>
      <c r="AZ14" s="188" t="n">
        <f aca="false">SUM(AZ26:AZ401)</f>
        <v>0</v>
      </c>
      <c r="BA14" s="188" t="n">
        <f aca="false">SUM(BA26:BA401)</f>
        <v>0</v>
      </c>
      <c r="BB14" s="188" t="n">
        <f aca="false">SUM(BB26:BB401)</f>
        <v>0</v>
      </c>
      <c r="BC14" s="188" t="n">
        <f aca="false">SUM(BC26:BC401)</f>
        <v>0</v>
      </c>
      <c r="BD14" s="188" t="n">
        <f aca="false">SUM(BD26:BD401)</f>
        <v>0</v>
      </c>
      <c r="BE14" s="188" t="n">
        <f aca="false">SUM(BE26:BE401)</f>
        <v>0</v>
      </c>
      <c r="BF14" s="188" t="n">
        <f aca="false">SUM(BF26:BF401)</f>
        <v>0</v>
      </c>
      <c r="BG14" s="188" t="n">
        <f aca="false">SUM(BG26:BG401)</f>
        <v>0</v>
      </c>
      <c r="BH14" s="188" t="n">
        <f aca="false">SUM(BH26:BH401)</f>
        <v>0</v>
      </c>
      <c r="BI14" s="188" t="n">
        <f aca="false">SUM(BI26:BI401)</f>
        <v>0</v>
      </c>
      <c r="BJ14" s="188" t="n">
        <f aca="false">SUM(BJ26:BJ401)</f>
        <v>0</v>
      </c>
      <c r="BK14" s="188" t="n">
        <f aca="false">SUM(BK26:BK401)</f>
        <v>0</v>
      </c>
      <c r="BL14" s="188" t="n">
        <f aca="false">SUM(BL26:BL401)</f>
        <v>0</v>
      </c>
      <c r="BM14" s="58" t="n">
        <v>1</v>
      </c>
      <c r="BN14" s="58"/>
      <c r="BO14" s="58"/>
      <c r="BP14" s="58"/>
      <c r="BQ14" s="58"/>
      <c r="BR14" s="47"/>
      <c r="BS14" s="49"/>
      <c r="BT14" s="63"/>
      <c r="BU14" s="63"/>
      <c r="BV14" s="64"/>
    </row>
    <row r="15" customFormat="false" ht="15" hidden="false" customHeight="false" outlineLevel="0" collapsed="false">
      <c r="A15" s="228"/>
      <c r="B15" s="229"/>
      <c r="C15" s="230"/>
      <c r="D15" s="231"/>
      <c r="E15" s="223" t="str">
        <f aca="false">IF(SUM(A15:D15)&gt;0,SUM(A15:D15),"")</f>
        <v/>
      </c>
      <c r="F15" s="224" t="str">
        <f aca="false">AD28</f>
        <v>TRIGO DURO</v>
      </c>
      <c r="G15" s="3"/>
      <c r="H15" s="3"/>
      <c r="I15" s="3"/>
      <c r="J15" s="3"/>
      <c r="K15" s="169"/>
      <c r="L15" s="169"/>
      <c r="M15" s="169"/>
      <c r="N15" s="236"/>
      <c r="O15" s="169"/>
      <c r="P15" s="169"/>
      <c r="Q15" s="169"/>
      <c r="R15" s="3"/>
      <c r="S15" s="3"/>
      <c r="T15" s="3"/>
      <c r="U15" s="3"/>
      <c r="V15" s="3"/>
      <c r="W15" s="3"/>
      <c r="X15" s="3"/>
      <c r="Y15" s="3"/>
      <c r="Z15" s="5"/>
      <c r="AA15" s="3"/>
      <c r="AB15" s="3"/>
      <c r="AC15" s="3"/>
      <c r="AD15" s="66"/>
      <c r="AE15" s="6"/>
      <c r="AF15" s="6"/>
      <c r="AG15" s="57"/>
      <c r="AH15" s="57"/>
      <c r="AI15" s="58"/>
      <c r="AJ15" s="58"/>
      <c r="AK15" s="58"/>
      <c r="AL15" s="233"/>
      <c r="AM15" s="234"/>
      <c r="AN15" s="234"/>
      <c r="AO15" s="60"/>
      <c r="AP15" s="60"/>
      <c r="AQ15" s="60"/>
      <c r="AR15" s="60"/>
      <c r="AS15" s="60"/>
      <c r="AT15" s="60"/>
      <c r="AU15" s="60"/>
      <c r="AV15" s="57"/>
      <c r="AW15" s="57"/>
      <c r="AX15" s="58"/>
      <c r="AY15" s="58"/>
      <c r="AZ15" s="57"/>
      <c r="BA15" s="57"/>
      <c r="BB15" s="58"/>
      <c r="BC15" s="58"/>
      <c r="BD15" s="57"/>
      <c r="BE15" s="57"/>
      <c r="BF15" s="58"/>
      <c r="BG15" s="58"/>
      <c r="BH15" s="182"/>
      <c r="BI15" s="182"/>
      <c r="BJ15" s="182"/>
      <c r="BK15" s="182"/>
      <c r="BL15" s="182"/>
      <c r="BM15" s="58" t="n">
        <v>1</v>
      </c>
      <c r="BN15" s="58"/>
      <c r="BO15" s="58"/>
      <c r="BP15" s="58"/>
      <c r="BQ15" s="58"/>
      <c r="BR15" s="47"/>
      <c r="BS15" s="49"/>
      <c r="BT15" s="63"/>
      <c r="BU15" s="63"/>
      <c r="BV15" s="64"/>
    </row>
    <row r="16" customFormat="false" ht="14.25" hidden="false" customHeight="false" outlineLevel="0" collapsed="false">
      <c r="A16" s="228"/>
      <c r="B16" s="229"/>
      <c r="C16" s="230"/>
      <c r="D16" s="231"/>
      <c r="E16" s="223" t="str">
        <f aca="false">IF(SUM(A16:D16)&gt;0,SUM(A16:D16),"")</f>
        <v/>
      </c>
      <c r="F16" s="224" t="str">
        <f aca="false">AD29</f>
        <v>MAÍZ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66"/>
      <c r="AA16" s="67"/>
      <c r="AB16" s="67"/>
      <c r="AC16" s="67"/>
      <c r="AD16" s="5"/>
      <c r="AE16" s="56"/>
      <c r="AF16" s="56"/>
      <c r="AG16" s="3"/>
      <c r="AH16" s="3"/>
      <c r="AI16" s="6"/>
      <c r="AJ16" s="3"/>
      <c r="AK16" s="3"/>
      <c r="AL16" s="237" t="s">
        <v>92</v>
      </c>
      <c r="AM16" s="238"/>
      <c r="AN16" s="238"/>
      <c r="AO16" s="45"/>
      <c r="AP16" s="45"/>
      <c r="AQ16" s="45"/>
      <c r="AR16" s="45"/>
      <c r="AS16" s="45"/>
      <c r="AT16" s="45"/>
      <c r="AU16" s="45"/>
      <c r="AV16" s="239" t="s">
        <v>93</v>
      </c>
      <c r="AW16" s="239"/>
      <c r="AX16" s="239"/>
      <c r="AY16" s="239"/>
      <c r="AZ16" s="240" t="s">
        <v>12</v>
      </c>
      <c r="BA16" s="240"/>
      <c r="BB16" s="240"/>
      <c r="BC16" s="240"/>
      <c r="BD16" s="241" t="s">
        <v>94</v>
      </c>
      <c r="BE16" s="241"/>
      <c r="BF16" s="241"/>
      <c r="BG16" s="241"/>
      <c r="BH16" s="242" t="s">
        <v>95</v>
      </c>
      <c r="BI16" s="242"/>
      <c r="BJ16" s="242"/>
      <c r="BK16" s="242"/>
      <c r="BL16" s="242"/>
      <c r="BM16" s="153" t="n">
        <v>1</v>
      </c>
      <c r="BN16" s="153"/>
      <c r="BO16" s="153"/>
      <c r="BP16" s="153"/>
      <c r="BQ16" s="153"/>
      <c r="BR16" s="47"/>
      <c r="BS16" s="149" t="n">
        <f aca="false">SUM(BS25:BS317)</f>
        <v>0</v>
      </c>
      <c r="BT16" s="149" t="n">
        <f aca="false">SUM(BT25:BT317)</f>
        <v>0</v>
      </c>
      <c r="BU16" s="150"/>
      <c r="BV16" s="150"/>
    </row>
    <row r="17" customFormat="false" ht="21.75" hidden="false" customHeight="true" outlineLevel="0" collapsed="false">
      <c r="A17" s="228"/>
      <c r="B17" s="229"/>
      <c r="C17" s="230"/>
      <c r="D17" s="231"/>
      <c r="E17" s="223" t="str">
        <f aca="false">IF(SUM(A17:D17)&gt;0,SUM(A17:D17),"")</f>
        <v/>
      </c>
      <c r="F17" s="224" t="str">
        <f aca="false">AD30</f>
        <v>CEBADA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66"/>
      <c r="AA17" s="67"/>
      <c r="AB17" s="67"/>
      <c r="AC17" s="67"/>
      <c r="AD17" s="74"/>
      <c r="AE17" s="43"/>
      <c r="AF17" s="43"/>
      <c r="AG17" s="43"/>
      <c r="AH17" s="43"/>
      <c r="AI17" s="11"/>
      <c r="AJ17" s="11"/>
      <c r="AK17" s="11"/>
      <c r="AL17" s="243"/>
      <c r="AM17" s="244"/>
      <c r="AN17" s="244"/>
      <c r="AO17" s="54"/>
      <c r="AP17" s="54"/>
      <c r="AQ17" s="54"/>
      <c r="AR17" s="54"/>
      <c r="AS17" s="54"/>
      <c r="AT17" s="54"/>
      <c r="AU17" s="54"/>
      <c r="AV17" s="239"/>
      <c r="AW17" s="239"/>
      <c r="AX17" s="239"/>
      <c r="AY17" s="239"/>
      <c r="AZ17" s="240"/>
      <c r="BA17" s="240"/>
      <c r="BB17" s="240"/>
      <c r="BC17" s="240"/>
      <c r="BD17" s="241"/>
      <c r="BE17" s="241"/>
      <c r="BF17" s="241"/>
      <c r="BG17" s="241"/>
      <c r="BH17" s="242"/>
      <c r="BI17" s="242"/>
      <c r="BJ17" s="242"/>
      <c r="BK17" s="242"/>
      <c r="BL17" s="242"/>
      <c r="BM17" s="153" t="n">
        <v>1</v>
      </c>
      <c r="BN17" s="153"/>
      <c r="BO17" s="153"/>
      <c r="BP17" s="153"/>
      <c r="BQ17" s="153"/>
      <c r="BR17" s="43"/>
      <c r="BS17" s="72"/>
      <c r="BT17" s="72"/>
      <c r="BU17" s="72"/>
      <c r="BV17" s="73"/>
    </row>
    <row r="18" customFormat="false" ht="21.75" hidden="false" customHeight="true" outlineLevel="0" collapsed="false">
      <c r="A18" s="219"/>
      <c r="B18" s="220"/>
      <c r="C18" s="221"/>
      <c r="D18" s="222"/>
      <c r="E18" s="223" t="str">
        <f aca="false">IF(SUM(A18:D18)&gt;0,SUM(A18:D18),"")</f>
        <v/>
      </c>
      <c r="F18" s="224" t="str">
        <f aca="false">AD31</f>
        <v>CENTENO</v>
      </c>
      <c r="G18" s="3"/>
      <c r="H18" s="3"/>
      <c r="I18" s="3"/>
      <c r="J18" s="3"/>
      <c r="K18" s="169"/>
      <c r="L18" s="169"/>
      <c r="M18" s="169"/>
      <c r="N18" s="169"/>
      <c r="O18" s="169"/>
      <c r="P18" s="169"/>
      <c r="Q18" s="169"/>
      <c r="R18" s="3"/>
      <c r="S18" s="3"/>
      <c r="T18" s="3"/>
      <c r="U18" s="3"/>
      <c r="V18" s="3"/>
      <c r="W18" s="3"/>
      <c r="X18" s="3"/>
      <c r="Y18" s="3"/>
      <c r="Z18" s="66"/>
      <c r="AA18" s="67"/>
      <c r="AB18" s="67"/>
      <c r="AC18" s="67"/>
      <c r="AD18" s="77"/>
      <c r="AE18" s="43"/>
      <c r="AF18" s="43"/>
      <c r="AG18" s="78" t="s">
        <v>17</v>
      </c>
      <c r="AH18" s="78"/>
      <c r="AI18" s="6"/>
      <c r="AJ18" s="79" t="s">
        <v>17</v>
      </c>
      <c r="AK18" s="79"/>
      <c r="AL18" s="245" t="s">
        <v>18</v>
      </c>
      <c r="AM18" s="246"/>
      <c r="AN18" s="246" t="n">
        <f aca="false">AM27*1.25</f>
        <v>457.1625</v>
      </c>
      <c r="AO18" s="247"/>
      <c r="AP18" s="247"/>
      <c r="AQ18" s="247"/>
      <c r="AR18" s="247"/>
      <c r="AS18" s="247"/>
      <c r="AT18" s="247"/>
      <c r="AU18" s="247"/>
      <c r="AV18" s="248"/>
      <c r="AW18" s="248"/>
      <c r="AX18" s="249"/>
      <c r="AY18" s="249"/>
      <c r="AZ18" s="250"/>
      <c r="BA18" s="250"/>
      <c r="BB18" s="251"/>
      <c r="BC18" s="251"/>
      <c r="BD18" s="252"/>
      <c r="BE18" s="252"/>
      <c r="BF18" s="253"/>
      <c r="BG18" s="253"/>
      <c r="BH18" s="254"/>
      <c r="BI18" s="255"/>
      <c r="BJ18" s="255"/>
      <c r="BK18" s="255"/>
      <c r="BL18" s="256"/>
      <c r="BM18" s="257" t="n">
        <v>1</v>
      </c>
      <c r="BN18" s="258"/>
      <c r="BO18" s="258"/>
      <c r="BP18" s="258"/>
      <c r="BQ18" s="258"/>
      <c r="BR18" s="47"/>
      <c r="BS18" s="49"/>
      <c r="BT18" s="49"/>
      <c r="BU18" s="49"/>
      <c r="BV18" s="82"/>
    </row>
    <row r="19" customFormat="false" ht="21.75" hidden="false" customHeight="true" outlineLevel="0" collapsed="false">
      <c r="A19" s="228"/>
      <c r="B19" s="229"/>
      <c r="C19" s="230"/>
      <c r="D19" s="231"/>
      <c r="E19" s="223" t="str">
        <f aca="false">IF(SUM(A19:D19)&gt;0,SUM(A19:D19),"")</f>
        <v/>
      </c>
      <c r="F19" s="224" t="str">
        <f aca="false">AD32</f>
        <v>SORGO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66"/>
      <c r="AA19" s="67"/>
      <c r="AB19" s="67"/>
      <c r="AC19" s="67"/>
      <c r="AD19" s="77"/>
      <c r="AE19" s="43"/>
      <c r="AF19" s="43"/>
      <c r="AG19" s="78"/>
      <c r="AH19" s="78"/>
      <c r="AI19" s="6"/>
      <c r="AJ19" s="79"/>
      <c r="AK19" s="79"/>
      <c r="AL19" s="245"/>
      <c r="AM19" s="259"/>
      <c r="AN19" s="181"/>
      <c r="AO19" s="3"/>
      <c r="AP19" s="260"/>
      <c r="AQ19" s="260"/>
      <c r="AR19" s="260"/>
      <c r="AS19" s="260"/>
      <c r="AT19" s="260"/>
      <c r="AU19" s="260"/>
      <c r="AV19" s="248"/>
      <c r="AW19" s="248"/>
      <c r="AX19" s="249"/>
      <c r="AY19" s="249"/>
      <c r="AZ19" s="250"/>
      <c r="BA19" s="250"/>
      <c r="BB19" s="251"/>
      <c r="BC19" s="251"/>
      <c r="BD19" s="252"/>
      <c r="BE19" s="252"/>
      <c r="BF19" s="253"/>
      <c r="BG19" s="253"/>
      <c r="BH19" s="261"/>
      <c r="BI19" s="262"/>
      <c r="BJ19" s="262"/>
      <c r="BK19" s="262"/>
      <c r="BL19" s="263"/>
      <c r="BM19" s="257" t="n">
        <v>1</v>
      </c>
      <c r="BN19" s="258"/>
      <c r="BO19" s="258"/>
      <c r="BP19" s="258"/>
      <c r="BQ19" s="258"/>
      <c r="BR19" s="47"/>
      <c r="BS19" s="48"/>
      <c r="BT19" s="48"/>
      <c r="BU19" s="48"/>
      <c r="BV19" s="50"/>
    </row>
    <row r="20" customFormat="false" ht="21.75" hidden="false" customHeight="true" outlineLevel="0" collapsed="false">
      <c r="A20" s="228"/>
      <c r="B20" s="229"/>
      <c r="C20" s="230"/>
      <c r="D20" s="231"/>
      <c r="E20" s="223" t="str">
        <f aca="false">IF(SUM(A20:D20)&gt;0,SUM(A20:D20),"")</f>
        <v/>
      </c>
      <c r="F20" s="224" t="str">
        <f aca="false">AD33</f>
        <v>AVENA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66"/>
      <c r="AA20" s="67"/>
      <c r="AB20" s="67"/>
      <c r="AC20" s="67"/>
      <c r="AD20" s="85"/>
      <c r="AE20" s="43"/>
      <c r="AF20" s="43"/>
      <c r="AG20" s="86" t="s">
        <v>20</v>
      </c>
      <c r="AH20" s="86"/>
      <c r="AI20" s="6"/>
      <c r="AJ20" s="87" t="s">
        <v>20</v>
      </c>
      <c r="AK20" s="87"/>
      <c r="AL20" s="245"/>
      <c r="AM20" s="246"/>
      <c r="AN20" s="246"/>
      <c r="AO20" s="247"/>
      <c r="AP20" s="247"/>
      <c r="AQ20" s="247"/>
      <c r="AR20" s="247"/>
      <c r="AS20" s="247"/>
      <c r="AT20" s="247"/>
      <c r="AU20" s="247"/>
      <c r="AV20" s="264" t="s">
        <v>20</v>
      </c>
      <c r="AW20" s="264"/>
      <c r="AX20" s="265" t="s">
        <v>20</v>
      </c>
      <c r="AY20" s="265"/>
      <c r="AZ20" s="266" t="s">
        <v>20</v>
      </c>
      <c r="BA20" s="266"/>
      <c r="BB20" s="267" t="s">
        <v>20</v>
      </c>
      <c r="BC20" s="267"/>
      <c r="BD20" s="264" t="s">
        <v>20</v>
      </c>
      <c r="BE20" s="264"/>
      <c r="BF20" s="265" t="s">
        <v>20</v>
      </c>
      <c r="BG20" s="265"/>
      <c r="BH20" s="261"/>
      <c r="BI20" s="262"/>
      <c r="BJ20" s="262"/>
      <c r="BK20" s="262"/>
      <c r="BL20" s="263"/>
      <c r="BM20" s="257" t="n">
        <v>1</v>
      </c>
      <c r="BN20" s="258"/>
      <c r="BO20" s="258"/>
      <c r="BP20" s="258"/>
      <c r="BQ20" s="258"/>
      <c r="BR20" s="47"/>
      <c r="BS20" s="88" t="s">
        <v>10</v>
      </c>
      <c r="BT20" s="88"/>
      <c r="BU20" s="73"/>
      <c r="BV20" s="73"/>
    </row>
    <row r="21" customFormat="false" ht="12.75" hidden="false" customHeight="true" outlineLevel="0" collapsed="false">
      <c r="A21" s="228"/>
      <c r="B21" s="229"/>
      <c r="C21" s="230"/>
      <c r="D21" s="231"/>
      <c r="E21" s="223" t="str">
        <f aca="false">IF(SUM(A21:D21)&gt;0,SUM(A21:D21),"")</f>
        <v/>
      </c>
      <c r="F21" s="224" t="str">
        <f aca="false">AD34</f>
        <v>ALFORFÓN</v>
      </c>
      <c r="G21" s="3"/>
      <c r="H21" s="3"/>
      <c r="I21" s="3"/>
      <c r="J21" s="3"/>
      <c r="K21" s="169"/>
      <c r="L21" s="169"/>
      <c r="M21" s="169"/>
      <c r="N21" s="169"/>
      <c r="O21" s="169"/>
      <c r="P21" s="169"/>
      <c r="Q21" s="169"/>
      <c r="R21" s="3"/>
      <c r="S21" s="3"/>
      <c r="T21" s="3"/>
      <c r="U21" s="3"/>
      <c r="V21" s="3"/>
      <c r="W21" s="3"/>
      <c r="X21" s="3"/>
      <c r="Y21" s="3"/>
      <c r="Z21" s="66"/>
      <c r="AA21" s="67"/>
      <c r="AB21" s="67"/>
      <c r="AC21" s="67"/>
      <c r="AD21" s="42"/>
      <c r="AE21" s="11"/>
      <c r="AF21" s="43"/>
      <c r="AG21" s="86" t="s">
        <v>21</v>
      </c>
      <c r="AH21" s="86"/>
      <c r="AI21" s="6"/>
      <c r="AJ21" s="87" t="s">
        <v>21</v>
      </c>
      <c r="AK21" s="87"/>
      <c r="AL21" s="245"/>
      <c r="AM21" s="227"/>
      <c r="AN21" s="227"/>
      <c r="AO21" s="45"/>
      <c r="AP21" s="45"/>
      <c r="AQ21" s="45"/>
      <c r="AR21" s="45"/>
      <c r="AS21" s="45"/>
      <c r="AT21" s="45"/>
      <c r="AU21" s="45"/>
      <c r="AV21" s="264" t="s">
        <v>21</v>
      </c>
      <c r="AW21" s="264"/>
      <c r="AX21" s="265" t="s">
        <v>21</v>
      </c>
      <c r="AY21" s="265"/>
      <c r="AZ21" s="266" t="s">
        <v>21</v>
      </c>
      <c r="BA21" s="266"/>
      <c r="BB21" s="267" t="s">
        <v>21</v>
      </c>
      <c r="BC21" s="267"/>
      <c r="BD21" s="264" t="s">
        <v>21</v>
      </c>
      <c r="BE21" s="264"/>
      <c r="BF21" s="265" t="s">
        <v>21</v>
      </c>
      <c r="BG21" s="265"/>
      <c r="BH21" s="261"/>
      <c r="BI21" s="262"/>
      <c r="BJ21" s="262"/>
      <c r="BK21" s="262"/>
      <c r="BL21" s="263"/>
      <c r="BM21" s="257" t="n">
        <v>1</v>
      </c>
      <c r="BN21" s="258"/>
      <c r="BO21" s="258"/>
      <c r="BP21" s="258"/>
      <c r="BQ21" s="258"/>
      <c r="BR21" s="47"/>
      <c r="BS21" s="50"/>
      <c r="BT21" s="50"/>
      <c r="BU21" s="50"/>
      <c r="BV21" s="50"/>
    </row>
    <row r="22" customFormat="false" ht="36" hidden="false" customHeight="true" outlineLevel="0" collapsed="false">
      <c r="A22" s="228"/>
      <c r="B22" s="229"/>
      <c r="C22" s="230"/>
      <c r="D22" s="231"/>
      <c r="E22" s="223" t="str">
        <f aca="false">IF(SUM(A22:D22)&gt;0,SUM(A22:D22),"")</f>
        <v/>
      </c>
      <c r="F22" s="224" t="str">
        <f aca="false">AD35</f>
        <v>MIJO</v>
      </c>
      <c r="G22" s="3"/>
      <c r="H22" s="3"/>
      <c r="I22" s="3"/>
      <c r="J22" s="3"/>
      <c r="K22" s="3"/>
      <c r="L22" s="3"/>
      <c r="M22" s="169"/>
      <c r="N22" s="169"/>
      <c r="O22" s="169"/>
      <c r="P22" s="169"/>
      <c r="Q22" s="169"/>
      <c r="R22" s="3"/>
      <c r="S22" s="3"/>
      <c r="T22" s="3"/>
      <c r="U22" s="3"/>
      <c r="V22" s="3"/>
      <c r="W22" s="3"/>
      <c r="X22" s="3"/>
      <c r="Y22" s="3"/>
      <c r="Z22" s="268" t="s">
        <v>96</v>
      </c>
      <c r="AA22" s="94" t="s">
        <v>97</v>
      </c>
      <c r="AB22" s="94" t="s">
        <v>98</v>
      </c>
      <c r="AC22" s="94" t="s">
        <v>99</v>
      </c>
      <c r="AD22" s="95" t="s">
        <v>26</v>
      </c>
      <c r="AE22" s="96"/>
      <c r="AF22" s="43"/>
      <c r="AG22" s="86" t="s">
        <v>27</v>
      </c>
      <c r="AH22" s="86"/>
      <c r="AI22" s="6"/>
      <c r="AJ22" s="87" t="s">
        <v>27</v>
      </c>
      <c r="AK22" s="87"/>
      <c r="AL22" s="269"/>
      <c r="AM22" s="98" t="s">
        <v>28</v>
      </c>
      <c r="AN22" s="98"/>
      <c r="AO22" s="99"/>
      <c r="AP22" s="100" t="s">
        <v>29</v>
      </c>
      <c r="AQ22" s="100"/>
      <c r="AR22" s="101"/>
      <c r="AS22" s="100" t="s">
        <v>100</v>
      </c>
      <c r="AT22" s="100"/>
      <c r="AU22" s="270"/>
      <c r="AV22" s="264" t="s">
        <v>27</v>
      </c>
      <c r="AW22" s="264"/>
      <c r="AX22" s="265" t="s">
        <v>27</v>
      </c>
      <c r="AY22" s="265"/>
      <c r="AZ22" s="266" t="s">
        <v>27</v>
      </c>
      <c r="BA22" s="266"/>
      <c r="BB22" s="267" t="s">
        <v>27</v>
      </c>
      <c r="BC22" s="267"/>
      <c r="BD22" s="264" t="s">
        <v>27</v>
      </c>
      <c r="BE22" s="264"/>
      <c r="BF22" s="265" t="s">
        <v>27</v>
      </c>
      <c r="BG22" s="265"/>
      <c r="BH22" s="261"/>
      <c r="BI22" s="262"/>
      <c r="BJ22" s="262"/>
      <c r="BK22" s="262"/>
      <c r="BL22" s="263"/>
      <c r="BM22" s="257" t="n">
        <v>1</v>
      </c>
      <c r="BN22" s="258"/>
      <c r="BO22" s="258"/>
      <c r="BP22" s="258"/>
      <c r="BQ22" s="258"/>
      <c r="BR22" s="47"/>
      <c r="BS22" s="102" t="s">
        <v>30</v>
      </c>
      <c r="BT22" s="105" t="s">
        <v>12</v>
      </c>
      <c r="BU22" s="105" t="s">
        <v>70</v>
      </c>
      <c r="BV22" s="106"/>
    </row>
    <row r="23" customFormat="false" ht="21.75" hidden="false" customHeight="true" outlineLevel="0" collapsed="false">
      <c r="A23" s="219"/>
      <c r="B23" s="220"/>
      <c r="C23" s="221"/>
      <c r="D23" s="222"/>
      <c r="E23" s="223" t="str">
        <f aca="false">IF(SUM(A23:D23)&gt;0,SUM(A23:D23),"")</f>
        <v/>
      </c>
      <c r="F23" s="224" t="str">
        <f aca="false">AD36</f>
        <v>ALPISTE</v>
      </c>
      <c r="G23" s="3"/>
      <c r="H23" s="3"/>
      <c r="I23" s="3"/>
      <c r="J23" s="3"/>
      <c r="K23" s="3"/>
      <c r="L23" s="3"/>
      <c r="M23" s="169"/>
      <c r="N23" s="169"/>
      <c r="O23" s="169"/>
      <c r="P23" s="169"/>
      <c r="Q23" s="169"/>
      <c r="R23" s="3"/>
      <c r="S23" s="3"/>
      <c r="T23" s="3"/>
      <c r="U23" s="3"/>
      <c r="V23" s="3"/>
      <c r="W23" s="3"/>
      <c r="X23" s="3"/>
      <c r="Y23" s="3"/>
      <c r="Z23" s="268"/>
      <c r="AA23" s="94"/>
      <c r="AB23" s="94"/>
      <c r="AC23" s="94"/>
      <c r="AD23" s="95"/>
      <c r="AE23" s="271" t="s">
        <v>96</v>
      </c>
      <c r="AF23" s="43" t="s">
        <v>101</v>
      </c>
      <c r="AG23" s="86" t="s">
        <v>35</v>
      </c>
      <c r="AH23" s="86"/>
      <c r="AI23" s="6"/>
      <c r="AJ23" s="87" t="s">
        <v>36</v>
      </c>
      <c r="AK23" s="87"/>
      <c r="AL23" s="272"/>
      <c r="AM23" s="273"/>
      <c r="AN23" s="273"/>
      <c r="AO23" s="99"/>
      <c r="AP23" s="110"/>
      <c r="AQ23" s="110"/>
      <c r="AR23" s="101"/>
      <c r="AS23" s="110"/>
      <c r="AT23" s="110"/>
      <c r="AU23" s="270"/>
      <c r="AV23" s="264" t="s">
        <v>35</v>
      </c>
      <c r="AW23" s="264"/>
      <c r="AX23" s="265" t="s">
        <v>36</v>
      </c>
      <c r="AY23" s="265"/>
      <c r="AZ23" s="266" t="s">
        <v>35</v>
      </c>
      <c r="BA23" s="266"/>
      <c r="BB23" s="267" t="s">
        <v>36</v>
      </c>
      <c r="BC23" s="267"/>
      <c r="BD23" s="264" t="s">
        <v>35</v>
      </c>
      <c r="BE23" s="264"/>
      <c r="BF23" s="265" t="s">
        <v>36</v>
      </c>
      <c r="BG23" s="265"/>
      <c r="BH23" s="274" t="s">
        <v>59</v>
      </c>
      <c r="BI23" s="275" t="s">
        <v>60</v>
      </c>
      <c r="BJ23" s="275" t="s">
        <v>61</v>
      </c>
      <c r="BK23" s="275" t="s">
        <v>62</v>
      </c>
      <c r="BL23" s="276" t="s">
        <v>63</v>
      </c>
      <c r="BM23" s="257" t="n">
        <v>1</v>
      </c>
      <c r="BN23" s="258"/>
      <c r="BO23" s="258"/>
      <c r="BP23" s="258"/>
      <c r="BQ23" s="258"/>
      <c r="BR23" s="47"/>
      <c r="BS23" s="102"/>
      <c r="BT23" s="105"/>
      <c r="BU23" s="105"/>
      <c r="BV23" s="106"/>
    </row>
    <row r="24" customFormat="false" ht="14.25" hidden="false" customHeight="false" outlineLevel="0" collapsed="false">
      <c r="A24" s="219"/>
      <c r="B24" s="220"/>
      <c r="C24" s="221"/>
      <c r="D24" s="222"/>
      <c r="E24" s="223" t="str">
        <f aca="false">IF(SUM(A24:D24)&gt;0,SUM(A24:D24),"")</f>
        <v/>
      </c>
      <c r="F24" s="224" t="str">
        <f aca="false">AD37</f>
        <v>TRANQUILLÓN</v>
      </c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3"/>
      <c r="S24" s="3"/>
      <c r="T24" s="3"/>
      <c r="U24" s="3"/>
      <c r="V24" s="3"/>
      <c r="W24" s="3"/>
      <c r="X24" s="3"/>
      <c r="Y24" s="3"/>
      <c r="Z24" s="268"/>
      <c r="AA24" s="94"/>
      <c r="AB24" s="94"/>
      <c r="AC24" s="94"/>
      <c r="AD24" s="95"/>
      <c r="AE24" s="111"/>
      <c r="AF24" s="43"/>
      <c r="AG24" s="277" t="s">
        <v>37</v>
      </c>
      <c r="AH24" s="277" t="s">
        <v>38</v>
      </c>
      <c r="AI24" s="6"/>
      <c r="AJ24" s="278" t="s">
        <v>37</v>
      </c>
      <c r="AK24" s="278" t="s">
        <v>38</v>
      </c>
      <c r="AL24" s="237" t="n">
        <v>0</v>
      </c>
      <c r="AM24" s="279" t="s">
        <v>37</v>
      </c>
      <c r="AN24" s="279" t="s">
        <v>38</v>
      </c>
      <c r="AO24" s="114"/>
      <c r="AP24" s="280" t="s">
        <v>37</v>
      </c>
      <c r="AQ24" s="280" t="s">
        <v>38</v>
      </c>
      <c r="AR24" s="114"/>
      <c r="AS24" s="280" t="s">
        <v>37</v>
      </c>
      <c r="AT24" s="280" t="s">
        <v>38</v>
      </c>
      <c r="AU24" s="281"/>
      <c r="AV24" s="282" t="s">
        <v>37</v>
      </c>
      <c r="AW24" s="277" t="s">
        <v>38</v>
      </c>
      <c r="AX24" s="278" t="s">
        <v>37</v>
      </c>
      <c r="AY24" s="283" t="s">
        <v>38</v>
      </c>
      <c r="AZ24" s="284" t="s">
        <v>37</v>
      </c>
      <c r="BA24" s="277" t="s">
        <v>38</v>
      </c>
      <c r="BB24" s="278" t="s">
        <v>37</v>
      </c>
      <c r="BC24" s="285" t="s">
        <v>38</v>
      </c>
      <c r="BD24" s="282" t="s">
        <v>37</v>
      </c>
      <c r="BE24" s="277" t="s">
        <v>38</v>
      </c>
      <c r="BF24" s="278" t="s">
        <v>37</v>
      </c>
      <c r="BG24" s="283" t="s">
        <v>38</v>
      </c>
      <c r="BH24" s="286" t="n">
        <v>1</v>
      </c>
      <c r="BI24" s="287" t="n">
        <v>2</v>
      </c>
      <c r="BJ24" s="286" t="n">
        <v>3</v>
      </c>
      <c r="BK24" s="287" t="n">
        <v>4</v>
      </c>
      <c r="BL24" s="286" t="n">
        <v>5</v>
      </c>
      <c r="BM24" s="257" t="n">
        <v>1</v>
      </c>
      <c r="BN24" s="258"/>
      <c r="BO24" s="258"/>
      <c r="BP24" s="258"/>
      <c r="BQ24" s="258"/>
      <c r="BR24" s="47"/>
      <c r="BS24" s="102"/>
      <c r="BT24" s="105"/>
      <c r="BU24" s="105"/>
      <c r="BV24" s="106"/>
    </row>
    <row r="25" customFormat="false" ht="14.25" hidden="false" customHeight="false" outlineLevel="0" collapsed="false">
      <c r="A25" s="228"/>
      <c r="B25" s="229"/>
      <c r="C25" s="230"/>
      <c r="D25" s="231"/>
      <c r="E25" s="223" t="str">
        <f aca="false">IF(SUM(A25:D25)&gt;0,SUM(A25:D25),"")</f>
        <v/>
      </c>
      <c r="F25" s="224" t="str">
        <f aca="false">AD38</f>
        <v>TRITICALE</v>
      </c>
      <c r="G25" s="169"/>
      <c r="H25" s="169"/>
      <c r="I25" s="169"/>
      <c r="J25" s="169"/>
      <c r="K25" s="169"/>
      <c r="L25" s="169"/>
      <c r="M25" s="169"/>
      <c r="N25" s="169"/>
      <c r="O25" s="169"/>
      <c r="P25" s="169"/>
      <c r="Q25" s="169"/>
      <c r="R25" s="3"/>
      <c r="S25" s="3"/>
      <c r="T25" s="3"/>
      <c r="U25" s="3"/>
      <c r="V25" s="3"/>
      <c r="W25" s="3"/>
      <c r="X25" s="3"/>
      <c r="Y25" s="288" t="s">
        <v>102</v>
      </c>
      <c r="Z25" s="289" t="s">
        <v>103</v>
      </c>
      <c r="AA25" s="288" t="s">
        <v>104</v>
      </c>
      <c r="AB25" s="289" t="s">
        <v>105</v>
      </c>
      <c r="AC25" s="288" t="s">
        <v>106</v>
      </c>
      <c r="AD25" s="289" t="s">
        <v>107</v>
      </c>
      <c r="AE25" s="288" t="s">
        <v>108</v>
      </c>
      <c r="AF25" s="289" t="s">
        <v>109</v>
      </c>
      <c r="AG25" s="288" t="s">
        <v>110</v>
      </c>
      <c r="AH25" s="289" t="s">
        <v>111</v>
      </c>
      <c r="AI25" s="288" t="s">
        <v>112</v>
      </c>
      <c r="AJ25" s="289" t="s">
        <v>113</v>
      </c>
      <c r="AK25" s="288" t="s">
        <v>114</v>
      </c>
      <c r="AL25" s="289" t="s">
        <v>115</v>
      </c>
      <c r="AM25" s="288" t="s">
        <v>116</v>
      </c>
      <c r="AN25" s="289" t="s">
        <v>117</v>
      </c>
      <c r="AO25" s="288" t="s">
        <v>118</v>
      </c>
      <c r="AP25" s="289" t="s">
        <v>119</v>
      </c>
      <c r="AQ25" s="288" t="s">
        <v>120</v>
      </c>
      <c r="AR25" s="289" t="s">
        <v>121</v>
      </c>
      <c r="AS25" s="288" t="s">
        <v>122</v>
      </c>
      <c r="AT25" s="289" t="s">
        <v>123</v>
      </c>
      <c r="AU25" s="288" t="s">
        <v>124</v>
      </c>
      <c r="AV25" s="289" t="s">
        <v>125</v>
      </c>
      <c r="AW25" s="288" t="s">
        <v>126</v>
      </c>
      <c r="AX25" s="289" t="s">
        <v>127</v>
      </c>
      <c r="AY25" s="288" t="s">
        <v>128</v>
      </c>
      <c r="AZ25" s="289" t="s">
        <v>129</v>
      </c>
      <c r="BA25" s="288" t="s">
        <v>130</v>
      </c>
      <c r="BB25" s="289" t="s">
        <v>131</v>
      </c>
      <c r="BC25" s="288" t="s">
        <v>132</v>
      </c>
      <c r="BD25" s="289" t="s">
        <v>133</v>
      </c>
      <c r="BE25" s="288" t="s">
        <v>134</v>
      </c>
      <c r="BF25" s="289" t="s">
        <v>135</v>
      </c>
      <c r="BG25" s="288" t="s">
        <v>136</v>
      </c>
      <c r="BH25" s="289" t="s">
        <v>137</v>
      </c>
      <c r="BI25" s="288" t="s">
        <v>138</v>
      </c>
      <c r="BJ25" s="289" t="s">
        <v>139</v>
      </c>
      <c r="BK25" s="288" t="s">
        <v>140</v>
      </c>
      <c r="BL25" s="289" t="s">
        <v>141</v>
      </c>
      <c r="BM25" s="288" t="s">
        <v>142</v>
      </c>
      <c r="BN25" s="289" t="s">
        <v>143</v>
      </c>
      <c r="BO25" s="288" t="s">
        <v>144</v>
      </c>
      <c r="BP25" s="289" t="s">
        <v>145</v>
      </c>
      <c r="BQ25" s="288" t="s">
        <v>146</v>
      </c>
      <c r="BR25" s="289" t="s">
        <v>147</v>
      </c>
      <c r="BS25" s="288" t="s">
        <v>148</v>
      </c>
      <c r="BT25" s="289" t="s">
        <v>149</v>
      </c>
      <c r="BU25" s="288" t="s">
        <v>150</v>
      </c>
      <c r="BV25" s="289" t="s">
        <v>151</v>
      </c>
    </row>
    <row r="26" customFormat="false" ht="15" hidden="false" customHeight="false" outlineLevel="0" collapsed="false">
      <c r="A26" s="228"/>
      <c r="B26" s="229"/>
      <c r="C26" s="230"/>
      <c r="D26" s="231"/>
      <c r="E26" s="223" t="str">
        <f aca="false">IF(SUM(A26:D26)&gt;0,SUM(A26:D26),"")</f>
        <v/>
      </c>
      <c r="F26" s="224" t="str">
        <f aca="false">AD39</f>
        <v>TRITORDEUM</v>
      </c>
      <c r="G26" s="290"/>
      <c r="H26" s="290"/>
      <c r="I26" s="290"/>
      <c r="J26" s="290"/>
      <c r="K26" s="290"/>
      <c r="L26" s="290"/>
      <c r="M26" s="290"/>
      <c r="N26" s="290"/>
      <c r="O26" s="290"/>
      <c r="P26" s="290"/>
      <c r="Q26" s="290"/>
      <c r="R26" s="288"/>
      <c r="S26" s="288"/>
      <c r="T26" s="288"/>
      <c r="U26" s="288"/>
      <c r="V26" s="288"/>
      <c r="W26" s="288"/>
      <c r="X26" s="288"/>
      <c r="Y26" s="288"/>
      <c r="Z26" s="291" t="str">
        <f aca="false">IF(AF26&gt;0,RANK(AF26,AF$6:AF$422),"")</f>
        <v/>
      </c>
      <c r="AA26" s="292" t="n">
        <f aca="false">'O_MN, PE_UTA_UGM 2024'!N3</f>
        <v>1</v>
      </c>
      <c r="AB26" s="292" t="n">
        <f aca="false">'O_MN, PE_UTA_UGM 2024'!O3</f>
        <v>0</v>
      </c>
      <c r="AC26" s="292" t="n">
        <f aca="false">'O_MN, PE_UTA_UGM 2024'!C3</f>
        <v>1</v>
      </c>
      <c r="AD26" s="293" t="str">
        <f aca="false">IF(AB26=0,'O_MN, PE_UTA_UGM 2024'!F3,CONCATENATE('O_MN, PE_UTA_UGM 2024'!F3," ","INVERNADERO"))</f>
        <v>TRIGO BLANDO</v>
      </c>
      <c r="AE26" s="294"/>
      <c r="AF26" s="295" t="n">
        <f aca="false">SUM(AG26:AH26)+SUM(AJ26:AK26)</f>
        <v>0</v>
      </c>
      <c r="AG26" s="296" t="n">
        <f aca="false">A13</f>
        <v>0</v>
      </c>
      <c r="AH26" s="296" t="n">
        <f aca="false">B13</f>
        <v>0</v>
      </c>
      <c r="AI26" s="288"/>
      <c r="AJ26" s="297" t="n">
        <f aca="false">C13</f>
        <v>0</v>
      </c>
      <c r="AK26" s="297" t="n">
        <f aca="false">D13</f>
        <v>0</v>
      </c>
      <c r="AL26" s="298" t="s">
        <v>152</v>
      </c>
      <c r="AM26" s="299" t="n">
        <f aca="false">'O_MN, PE_UTA_UGM 2024'!J3</f>
        <v>522.73</v>
      </c>
      <c r="AN26" s="299" t="n">
        <f aca="false">'O_MN, PE_UTA_UGM 2024'!K3</f>
        <v>1000</v>
      </c>
      <c r="AO26" s="300"/>
      <c r="AP26" s="299" t="n">
        <f aca="false">'O_MN, PE_UTA_UGM 2024'!H3</f>
        <v>114.19</v>
      </c>
      <c r="AQ26" s="299" t="n">
        <f aca="false">'O_MN, PE_UTA_UGM 2024'!I3</f>
        <v>240.4</v>
      </c>
      <c r="AR26" s="301"/>
      <c r="AS26" s="302" t="n">
        <f aca="false">'O_MN, PE_UTA_UGM 2024'!L3</f>
        <v>0.00465</v>
      </c>
      <c r="AT26" s="302" t="n">
        <f aca="false">'O_MN, PE_UTA_UGM 2024'!M3</f>
        <v>0.0098</v>
      </c>
      <c r="AU26" s="300"/>
      <c r="AV26" s="303" t="n">
        <f aca="false">AG26*AM26</f>
        <v>0</v>
      </c>
      <c r="AW26" s="304" t="n">
        <f aca="false">AH26*AN26</f>
        <v>0</v>
      </c>
      <c r="AX26" s="297" t="n">
        <f aca="false">1.25*AJ26*AM26</f>
        <v>0</v>
      </c>
      <c r="AY26" s="305" t="n">
        <f aca="false">1.25*AK26*AN26</f>
        <v>0</v>
      </c>
      <c r="AZ26" s="306" t="n">
        <f aca="false">AG26*AP26</f>
        <v>0</v>
      </c>
      <c r="BA26" s="304" t="n">
        <f aca="false">AH26*AQ26</f>
        <v>0</v>
      </c>
      <c r="BB26" s="297" t="n">
        <f aca="false">1.25*AJ26*AP26</f>
        <v>0</v>
      </c>
      <c r="BC26" s="297" t="n">
        <f aca="false">1.25*AK26*AQ26</f>
        <v>0</v>
      </c>
      <c r="BD26" s="303" t="n">
        <f aca="false">AG26*AS26</f>
        <v>0</v>
      </c>
      <c r="BE26" s="304" t="n">
        <f aca="false">AH26*AT26</f>
        <v>0</v>
      </c>
      <c r="BF26" s="297" t="n">
        <f aca="false">AJ26*AS26</f>
        <v>0</v>
      </c>
      <c r="BG26" s="305" t="n">
        <f aca="false">AK26*AT26</f>
        <v>0</v>
      </c>
      <c r="BH26" s="307" t="n">
        <f aca="false">IF(BH$24=$AA26,($AG26*$AM26)+($AJ26*$AM26*1.25)+($AH26*$AN26)+($AK26*$AN26*1.25),"")</f>
        <v>0</v>
      </c>
      <c r="BI26" s="308" t="str">
        <f aca="false">IF(BI$24=$AA26,($AG26*$AM26)+($AJ26*$AM26*1.25)+($AH26*$AN26)+($AK26*$AN26*1.25),"")</f>
        <v/>
      </c>
      <c r="BJ26" s="308" t="str">
        <f aca="false">IF(BJ$24=$AA26,($AG26*$AM26)+($AJ26*$AM26*1.25)+($AH26*$AN26)+($AK26*$AN26*1.25),"")</f>
        <v/>
      </c>
      <c r="BK26" s="308" t="str">
        <f aca="false">IF(BK$24=$AA26,($AG26*$AM26)+($AJ26*$AM26*1.25)+($AH26*$AN26)+($AK26*$AN26*1.25),"")</f>
        <v/>
      </c>
      <c r="BL26" s="309" t="str">
        <f aca="false">IF(BL$24=$AA26,($AG26*$AM26)+($AJ26*$AM26*1.25)+($AH26*$AN26)+($AK26*$AN26*1.25),"")</f>
        <v/>
      </c>
      <c r="BM26" s="310" t="str">
        <f aca="false">IF(CONCATENATE(BH26,BI26,BJ26,BK26,BL26)="",1,"")</f>
        <v/>
      </c>
      <c r="BN26" s="311"/>
      <c r="BO26" s="311"/>
      <c r="BP26" s="311"/>
      <c r="BQ26" s="311"/>
      <c r="BR26" s="312"/>
      <c r="BS26" s="313" t="n">
        <f aca="false">(AG26*AM26)+(AH26*AN26)+((AJ26*AM26)+(AK26*AN26)*1.25)</f>
        <v>0</v>
      </c>
      <c r="BT26" s="313" t="n">
        <f aca="false">(AG26*AP26)+(AH26*AQ26)+((AJ26*AP26)+(AK26*AQ26)*1.25)</f>
        <v>0</v>
      </c>
      <c r="BU26" s="314" t="n">
        <f aca="false">(AG26*AS26)+(AH26*AT26)+((AJ26*AS26)+(AK26*AT26)*1.25)</f>
        <v>0</v>
      </c>
      <c r="BV26" s="315"/>
    </row>
    <row r="27" customFormat="false" ht="15" hidden="false" customHeight="false" outlineLevel="0" collapsed="false">
      <c r="A27" s="228"/>
      <c r="B27" s="229"/>
      <c r="C27" s="230"/>
      <c r="D27" s="231"/>
      <c r="E27" s="223" t="str">
        <f aca="false">IF(SUM(A27:D27)&gt;0,SUM(A27:D27),"")</f>
        <v/>
      </c>
      <c r="F27" s="224" t="str">
        <f aca="false">AD40</f>
        <v>TEFF</v>
      </c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3"/>
      <c r="S27" s="3"/>
      <c r="T27" s="3"/>
      <c r="U27" s="3"/>
      <c r="V27" s="3"/>
      <c r="W27" s="3"/>
      <c r="X27" s="3"/>
      <c r="Y27" s="3"/>
      <c r="Z27" s="316" t="str">
        <f aca="false">IF(AF27&gt;0,RANK(AF27,AF$6:AF$422),"")</f>
        <v/>
      </c>
      <c r="AA27" s="134" t="n">
        <f aca="false">'O_MN, PE_UTA_UGM 2024'!N4</f>
        <v>1</v>
      </c>
      <c r="AB27" s="135" t="n">
        <f aca="false">'O_MN, PE_UTA_UGM 2024'!O4</f>
        <v>0</v>
      </c>
      <c r="AC27" s="317" t="n">
        <f aca="false">'O_MN, PE_UTA_UGM 2024'!C4</f>
        <v>2</v>
      </c>
      <c r="AD27" s="293" t="str">
        <f aca="false">IF(AB27=0,'O_MN, PE_UTA_UGM 2024'!F4,CONCATENATE('O_MN, PE_UTA_UGM 2024'!F4," ","INVERNADERO"))</f>
        <v>ESPELTA</v>
      </c>
      <c r="AE27" s="89"/>
      <c r="AF27" s="123" t="n">
        <f aca="false">SUM(AG27:AH27)+SUM(AJ27:AK27)</f>
        <v>0</v>
      </c>
      <c r="AG27" s="318" t="n">
        <f aca="false">A14</f>
        <v>0</v>
      </c>
      <c r="AH27" s="319" t="n">
        <f aca="false">B14</f>
        <v>0</v>
      </c>
      <c r="AI27" s="6"/>
      <c r="AJ27" s="320" t="n">
        <f aca="false">C14</f>
        <v>0</v>
      </c>
      <c r="AK27" s="320" t="n">
        <f aca="false">D14</f>
        <v>0</v>
      </c>
      <c r="AL27" s="237" t="s">
        <v>153</v>
      </c>
      <c r="AM27" s="299" t="n">
        <f aca="false">'O_MN, PE_UTA_UGM 2024'!J4</f>
        <v>365.73</v>
      </c>
      <c r="AN27" s="299" t="n">
        <f aca="false">'O_MN, PE_UTA_UGM 2024'!K4</f>
        <v>700</v>
      </c>
      <c r="AO27" s="300"/>
      <c r="AP27" s="299" t="n">
        <f aca="false">'O_MN, PE_UTA_UGM 2024'!H4</f>
        <v>114.19</v>
      </c>
      <c r="AQ27" s="299" t="n">
        <f aca="false">'O_MN, PE_UTA_UGM 2024'!I4</f>
        <v>240.4</v>
      </c>
      <c r="AR27" s="301"/>
      <c r="AS27" s="302" t="n">
        <f aca="false">'O_MN, PE_UTA_UGM 2024'!L4</f>
        <v>0.00465</v>
      </c>
      <c r="AT27" s="302" t="n">
        <f aca="false">'O_MN, PE_UTA_UGM 2024'!M4</f>
        <v>0.0098</v>
      </c>
      <c r="AU27" s="45"/>
      <c r="AV27" s="321" t="n">
        <f aca="false">AG27*AM27</f>
        <v>0</v>
      </c>
      <c r="AW27" s="319" t="n">
        <f aca="false">AH27*AN27</f>
        <v>0</v>
      </c>
      <c r="AX27" s="320" t="n">
        <f aca="false">1.25*AJ27*AM27</f>
        <v>0</v>
      </c>
      <c r="AY27" s="322" t="n">
        <f aca="false">1.25*AK27*AN27</f>
        <v>0</v>
      </c>
      <c r="AZ27" s="323" t="n">
        <f aca="false">AG27*AP27</f>
        <v>0</v>
      </c>
      <c r="BA27" s="319" t="n">
        <f aca="false">AH27*AQ27</f>
        <v>0</v>
      </c>
      <c r="BB27" s="320" t="n">
        <f aca="false">1.25*AJ27*AP27</f>
        <v>0</v>
      </c>
      <c r="BC27" s="320" t="n">
        <f aca="false">1.25*AK27*AQ27</f>
        <v>0</v>
      </c>
      <c r="BD27" s="321" t="n">
        <f aca="false">AG27*AS27</f>
        <v>0</v>
      </c>
      <c r="BE27" s="319" t="n">
        <f aca="false">AH27*AT27</f>
        <v>0</v>
      </c>
      <c r="BF27" s="320" t="n">
        <f aca="false">AJ27*AS27</f>
        <v>0</v>
      </c>
      <c r="BG27" s="322" t="n">
        <f aca="false">AK27*AT27</f>
        <v>0</v>
      </c>
      <c r="BH27" s="324" t="n">
        <f aca="false">IF(BH$24=$AA27,($AG27*$AM27)+($AJ27*$AM27*1.25)+($AH27*$AN27)+($AK27*$AN27*1.25),"")</f>
        <v>0</v>
      </c>
      <c r="BI27" s="325" t="str">
        <f aca="false">IF(BI$24=$AA27,($AG27*$AM27)+($AJ27*$AM27*1.25)+($AH27*$AN27)+($AK27*$AN27*1.25),"")</f>
        <v/>
      </c>
      <c r="BJ27" s="325" t="str">
        <f aca="false">IF(BJ$24=$AA27,($AG27*$AM27)+($AJ27*$AM27*1.25)+($AH27*$AN27)+($AK27*$AN27*1.25),"")</f>
        <v/>
      </c>
      <c r="BK27" s="325" t="str">
        <f aca="false">IF(BK$24=$AA27,($AG27*$AM27)+($AJ27*$AM27*1.25)+($AH27*$AN27)+($AK27*$AN27*1.25),"")</f>
        <v/>
      </c>
      <c r="BL27" s="326" t="str">
        <f aca="false">IF(BL$24=$AA27,($AG27*$AM27)+($AJ27*$AM27*1.25)+($AH27*$AN27)+($AK27*$AN27*1.25),"")</f>
        <v/>
      </c>
      <c r="BM27" s="327" t="str">
        <f aca="false">IF(CONCATENATE(BH27,BI27,BJ27,BK27,BL27)="",1,"")</f>
        <v/>
      </c>
      <c r="BN27" s="328"/>
      <c r="BO27" s="328"/>
      <c r="BP27" s="328"/>
      <c r="BQ27" s="328"/>
      <c r="BR27" s="47"/>
      <c r="BS27" s="127" t="n">
        <f aca="false">(AG27*AM27)+(AH27*AN27)+((AJ27*AM27)+(AK27*AN27)*1.25)</f>
        <v>0</v>
      </c>
      <c r="BT27" s="127" t="n">
        <f aca="false">(AG27*AP27)+(AH27*AQ27)+((AJ27*AP27)+(AK27*AQ27)*1.25)</f>
        <v>0</v>
      </c>
      <c r="BU27" s="329"/>
      <c r="BV27" s="129"/>
    </row>
    <row r="28" customFormat="false" ht="15" hidden="false" customHeight="false" outlineLevel="0" collapsed="false">
      <c r="A28" s="228"/>
      <c r="B28" s="229"/>
      <c r="C28" s="230"/>
      <c r="D28" s="231"/>
      <c r="E28" s="223" t="str">
        <f aca="false">IF(SUM(A28:D28)&gt;0,SUM(A28:D28),"")</f>
        <v/>
      </c>
      <c r="F28" s="224" t="str">
        <f aca="false">AD41</f>
        <v>BARBECHO TRADICIONAL</v>
      </c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3"/>
      <c r="S28" s="3"/>
      <c r="T28" s="3"/>
      <c r="U28" s="3"/>
      <c r="V28" s="3"/>
      <c r="W28" s="3"/>
      <c r="X28" s="3"/>
      <c r="Y28" s="3"/>
      <c r="Z28" s="316" t="str">
        <f aca="false">IF(AF28&gt;0,RANK(AF28,AF$6:AF$422),"")</f>
        <v/>
      </c>
      <c r="AA28" s="134" t="n">
        <f aca="false">'O_MN, PE_UTA_UGM 2024'!N5</f>
        <v>1</v>
      </c>
      <c r="AB28" s="135" t="n">
        <f aca="false">'O_MN, PE_UTA_UGM 2024'!O5</f>
        <v>0</v>
      </c>
      <c r="AC28" s="317" t="n">
        <f aca="false">'O_MN, PE_UTA_UGM 2024'!C5</f>
        <v>3</v>
      </c>
      <c r="AD28" s="293" t="str">
        <f aca="false">IF(AB28=0,'O_MN, PE_UTA_UGM 2024'!F5,CONCATENATE('O_MN, PE_UTA_UGM 2024'!F5," ","INVERNADERO"))</f>
        <v>TRIGO DURO</v>
      </c>
      <c r="AE28" s="89"/>
      <c r="AF28" s="123" t="n">
        <f aca="false">SUM(AG28:AH28)+SUM(AJ28:AK28)</f>
        <v>0</v>
      </c>
      <c r="AG28" s="318" t="n">
        <f aca="false">A15</f>
        <v>0</v>
      </c>
      <c r="AH28" s="319" t="n">
        <f aca="false">B15</f>
        <v>0</v>
      </c>
      <c r="AI28" s="6"/>
      <c r="AJ28" s="320" t="n">
        <f aca="false">C15</f>
        <v>0</v>
      </c>
      <c r="AK28" s="320" t="n">
        <f aca="false">D15</f>
        <v>0</v>
      </c>
      <c r="AL28" s="237" t="s">
        <v>154</v>
      </c>
      <c r="AM28" s="299" t="n">
        <f aca="false">'O_MN, PE_UTA_UGM 2024'!J5</f>
        <v>358.58</v>
      </c>
      <c r="AN28" s="299" t="n">
        <f aca="false">'O_MN, PE_UTA_UGM 2024'!K5</f>
        <v>1000</v>
      </c>
      <c r="AO28" s="300"/>
      <c r="AP28" s="299" t="n">
        <f aca="false">'O_MN, PE_UTA_UGM 2024'!H5</f>
        <v>114.19</v>
      </c>
      <c r="AQ28" s="299" t="n">
        <f aca="false">'O_MN, PE_UTA_UGM 2024'!I5</f>
        <v>240.4</v>
      </c>
      <c r="AR28" s="301"/>
      <c r="AS28" s="302" t="n">
        <f aca="false">'O_MN, PE_UTA_UGM 2024'!L5</f>
        <v>0.00465</v>
      </c>
      <c r="AT28" s="302" t="n">
        <f aca="false">'O_MN, PE_UTA_UGM 2024'!M5</f>
        <v>0.0098</v>
      </c>
      <c r="AU28" s="45"/>
      <c r="AV28" s="321" t="n">
        <f aca="false">AG28*AM28</f>
        <v>0</v>
      </c>
      <c r="AW28" s="319" t="n">
        <f aca="false">AH28*AN28</f>
        <v>0</v>
      </c>
      <c r="AX28" s="320" t="n">
        <f aca="false">1.25*AJ28*AM28</f>
        <v>0</v>
      </c>
      <c r="AY28" s="322" t="n">
        <f aca="false">1.25*AK28*AN28</f>
        <v>0</v>
      </c>
      <c r="AZ28" s="323" t="n">
        <f aca="false">AG28*AP28</f>
        <v>0</v>
      </c>
      <c r="BA28" s="319" t="n">
        <f aca="false">AH28*AQ28</f>
        <v>0</v>
      </c>
      <c r="BB28" s="320" t="n">
        <f aca="false">1.25*AJ28*AP28</f>
        <v>0</v>
      </c>
      <c r="BC28" s="320" t="n">
        <f aca="false">1.25*AK28*AQ28</f>
        <v>0</v>
      </c>
      <c r="BD28" s="321" t="n">
        <f aca="false">AG28*AS28</f>
        <v>0</v>
      </c>
      <c r="BE28" s="319" t="n">
        <f aca="false">AH28*AT28</f>
        <v>0</v>
      </c>
      <c r="BF28" s="320" t="n">
        <f aca="false">AJ28*AS28</f>
        <v>0</v>
      </c>
      <c r="BG28" s="322" t="n">
        <f aca="false">AK28*AT28</f>
        <v>0</v>
      </c>
      <c r="BH28" s="324" t="n">
        <f aca="false">IF(BH$24=$AA28,($AG28*$AM28)+($AJ28*$AM28*1.25)+($AH28*$AN28)+($AK28*$AN28*1.25),"")</f>
        <v>0</v>
      </c>
      <c r="BI28" s="325" t="str">
        <f aca="false">IF(BI$24=$AA28,($AG28*$AM28)+($AJ28*$AM28*1.25)+($AH28*$AN28)+($AK28*$AN28*1.25),"")</f>
        <v/>
      </c>
      <c r="BJ28" s="325" t="str">
        <f aca="false">IF(BJ$24=$AA28,($AG28*$AM28)+($AJ28*$AM28*1.25)+($AH28*$AN28)+($AK28*$AN28*1.25),"")</f>
        <v/>
      </c>
      <c r="BK28" s="325" t="str">
        <f aca="false">IF(BK$24=$AA28,($AG28*$AM28)+($AJ28*$AM28*1.25)+($AH28*$AN28)+($AK28*$AN28*1.25),"")</f>
        <v/>
      </c>
      <c r="BL28" s="326" t="str">
        <f aca="false">IF(BL$24=$AA28,($AG28*$AM28)+($AJ28*$AM28*1.25)+($AH28*$AN28)+($AK28*$AN28*1.25),"")</f>
        <v/>
      </c>
      <c r="BM28" s="327" t="str">
        <f aca="false">IF(CONCATENATE(BH28,BI28,BJ28,BK28,BL28)="",1,"")</f>
        <v/>
      </c>
      <c r="BN28" s="328"/>
      <c r="BO28" s="328"/>
      <c r="BP28" s="328"/>
      <c r="BQ28" s="328"/>
      <c r="BR28" s="47"/>
      <c r="BS28" s="127" t="n">
        <f aca="false">(AG28*AM28)+(AH28*AN28)+((AJ28*AM28)+(AK28*AN28)*1.25)</f>
        <v>0</v>
      </c>
      <c r="BT28" s="127" t="n">
        <f aca="false">(AG28*AP28)+(AH28*AQ28)+((AJ28*AP28)+(AK28*AQ28)*1.25)</f>
        <v>0</v>
      </c>
      <c r="BU28" s="329"/>
      <c r="BV28" s="129"/>
    </row>
    <row r="29" customFormat="false" ht="15" hidden="false" customHeight="false" outlineLevel="0" collapsed="false">
      <c r="A29" s="219"/>
      <c r="B29" s="220"/>
      <c r="C29" s="221"/>
      <c r="D29" s="222"/>
      <c r="E29" s="223" t="str">
        <f aca="false">IF(SUM(A29:D29)&gt;0,SUM(A29:D29),"")</f>
        <v/>
      </c>
      <c r="F29" s="224" t="str">
        <f aca="false">AD42</f>
        <v>BARBECHO MEDIOAMBIENTAL</v>
      </c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3"/>
      <c r="S29" s="3"/>
      <c r="T29" s="3"/>
      <c r="U29" s="3"/>
      <c r="V29" s="3"/>
      <c r="W29" s="3"/>
      <c r="X29" s="3"/>
      <c r="Y29" s="3"/>
      <c r="Z29" s="316" t="str">
        <f aca="false">IF(AF29&gt;0,RANK(AF29,AF$6:AF$422),"")</f>
        <v/>
      </c>
      <c r="AA29" s="134" t="n">
        <f aca="false">'O_MN, PE_UTA_UGM 2024'!N6</f>
        <v>1</v>
      </c>
      <c r="AB29" s="135" t="n">
        <f aca="false">'O_MN, PE_UTA_UGM 2024'!O6</f>
        <v>0</v>
      </c>
      <c r="AC29" s="317" t="n">
        <f aca="false">'O_MN, PE_UTA_UGM 2024'!C6</f>
        <v>4</v>
      </c>
      <c r="AD29" s="293" t="str">
        <f aca="false">IF(AB29=0,'O_MN, PE_UTA_UGM 2024'!F6,CONCATENATE('O_MN, PE_UTA_UGM 2024'!F6," ","INVERNADERO"))</f>
        <v>MAÍZ</v>
      </c>
      <c r="AE29" s="89"/>
      <c r="AF29" s="123" t="n">
        <f aca="false">SUM(AG29:AH29)+SUM(AJ29:AK29)</f>
        <v>0</v>
      </c>
      <c r="AG29" s="318" t="n">
        <f aca="false">A16</f>
        <v>0</v>
      </c>
      <c r="AH29" s="319" t="n">
        <f aca="false">B16</f>
        <v>0</v>
      </c>
      <c r="AI29" s="6"/>
      <c r="AJ29" s="320" t="n">
        <f aca="false">C16</f>
        <v>0</v>
      </c>
      <c r="AK29" s="320" t="n">
        <f aca="false">D16</f>
        <v>0</v>
      </c>
      <c r="AL29" s="237" t="s">
        <v>155</v>
      </c>
      <c r="AM29" s="299" t="n">
        <f aca="false">'O_MN, PE_UTA_UGM 2024'!J6</f>
        <v>951.75</v>
      </c>
      <c r="AN29" s="299" t="n">
        <f aca="false">'O_MN, PE_UTA_UGM 2024'!K6</f>
        <v>2400</v>
      </c>
      <c r="AO29" s="300"/>
      <c r="AP29" s="299" t="n">
        <f aca="false">'O_MN, PE_UTA_UGM 2024'!H6</f>
        <v>114.19</v>
      </c>
      <c r="AQ29" s="299" t="n">
        <f aca="false">'O_MN, PE_UTA_UGM 2024'!I6</f>
        <v>480.81</v>
      </c>
      <c r="AR29" s="301"/>
      <c r="AS29" s="302" t="n">
        <f aca="false">'O_MN, PE_UTA_UGM 2024'!L6</f>
        <v>0.00465</v>
      </c>
      <c r="AT29" s="302" t="n">
        <f aca="false">'O_MN, PE_UTA_UGM 2024'!M6</f>
        <v>0.0196</v>
      </c>
      <c r="AU29" s="45"/>
      <c r="AV29" s="321" t="n">
        <f aca="false">AG29*AM29</f>
        <v>0</v>
      </c>
      <c r="AW29" s="319" t="n">
        <f aca="false">AH29*AN29</f>
        <v>0</v>
      </c>
      <c r="AX29" s="320" t="n">
        <f aca="false">1.25*AJ29*AM29</f>
        <v>0</v>
      </c>
      <c r="AY29" s="322" t="n">
        <f aca="false">1.25*AK29*AN29</f>
        <v>0</v>
      </c>
      <c r="AZ29" s="323" t="n">
        <f aca="false">AG29*AP29</f>
        <v>0</v>
      </c>
      <c r="BA29" s="319" t="n">
        <f aca="false">AH29*AQ29</f>
        <v>0</v>
      </c>
      <c r="BB29" s="320" t="n">
        <f aca="false">1.25*AJ29*AP29</f>
        <v>0</v>
      </c>
      <c r="BC29" s="320" t="n">
        <f aca="false">1.25*AK29*AQ29</f>
        <v>0</v>
      </c>
      <c r="BD29" s="321" t="n">
        <f aca="false">AG29*AS29</f>
        <v>0</v>
      </c>
      <c r="BE29" s="319" t="n">
        <f aca="false">AH29*AT29</f>
        <v>0</v>
      </c>
      <c r="BF29" s="320" t="n">
        <f aca="false">AJ29*AS29</f>
        <v>0</v>
      </c>
      <c r="BG29" s="322" t="n">
        <f aca="false">AK29*AT29</f>
        <v>0</v>
      </c>
      <c r="BH29" s="324" t="n">
        <f aca="false">IF(BH$24=$AA29,($AG29*$AM29)+($AJ29*$AM29*1.25)+($AH29*$AN29)+($AK29*$AN29*1.25),"")</f>
        <v>0</v>
      </c>
      <c r="BI29" s="325" t="str">
        <f aca="false">IF(BI$24=$AA29,($AG29*$AM29)+($AJ29*$AM29*1.25)+($AH29*$AN29)+($AK29*$AN29*1.25),"")</f>
        <v/>
      </c>
      <c r="BJ29" s="325" t="str">
        <f aca="false">IF(BJ$24=$AA29,($AG29*$AM29)+($AJ29*$AM29*1.25)+($AH29*$AN29)+($AK29*$AN29*1.25),"")</f>
        <v/>
      </c>
      <c r="BK29" s="325" t="str">
        <f aca="false">IF(BK$24=$AA29,($AG29*$AM29)+($AJ29*$AM29*1.25)+($AH29*$AN29)+($AK29*$AN29*1.25),"")</f>
        <v/>
      </c>
      <c r="BL29" s="326" t="str">
        <f aca="false">IF(BL$24=$AA29,($AG29*$AM29)+($AJ29*$AM29*1.25)+($AH29*$AN29)+($AK29*$AN29*1.25),"")</f>
        <v/>
      </c>
      <c r="BM29" s="327" t="str">
        <f aca="false">IF(CONCATENATE(BH29,BI29,BJ29,BK29,BL29)="",1,"")</f>
        <v/>
      </c>
      <c r="BN29" s="328"/>
      <c r="BO29" s="328"/>
      <c r="BP29" s="328"/>
      <c r="BQ29" s="328"/>
      <c r="BR29" s="47"/>
      <c r="BS29" s="127" t="n">
        <f aca="false">(AG29*AM29)+(AH29*AN29)+((AJ29*AM29)+(AK29*AN29)*1.25)</f>
        <v>0</v>
      </c>
      <c r="BT29" s="127" t="n">
        <f aca="false">(AG29*AP29)+(AH29*AQ29)+((AJ29*AP29)+(AK29*AQ29)*1.25)</f>
        <v>0</v>
      </c>
      <c r="BU29" s="329"/>
      <c r="BV29" s="129"/>
    </row>
    <row r="30" customFormat="false" ht="15" hidden="false" customHeight="false" outlineLevel="0" collapsed="false">
      <c r="A30" s="228"/>
      <c r="B30" s="229"/>
      <c r="C30" s="230"/>
      <c r="D30" s="231"/>
      <c r="E30" s="223" t="str">
        <f aca="false">IF(SUM(A30:D30)&gt;0,SUM(A30:D30),"")</f>
        <v/>
      </c>
      <c r="F30" s="224" t="str">
        <f aca="false">AD43</f>
        <v>GIRASOL</v>
      </c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3"/>
      <c r="S30" s="3"/>
      <c r="T30" s="3"/>
      <c r="U30" s="3"/>
      <c r="V30" s="3"/>
      <c r="W30" s="3"/>
      <c r="X30" s="3"/>
      <c r="Y30" s="3"/>
      <c r="Z30" s="316" t="str">
        <f aca="false">IF(AF30&gt;0,RANK(AF30,AF$6:AF$422),"")</f>
        <v/>
      </c>
      <c r="AA30" s="134" t="n">
        <f aca="false">'O_MN, PE_UTA_UGM 2024'!N7</f>
        <v>1</v>
      </c>
      <c r="AB30" s="135" t="n">
        <f aca="false">'O_MN, PE_UTA_UGM 2024'!O7</f>
        <v>0</v>
      </c>
      <c r="AC30" s="317" t="n">
        <f aca="false">'O_MN, PE_UTA_UGM 2024'!C7</f>
        <v>5</v>
      </c>
      <c r="AD30" s="293" t="str">
        <f aca="false">IF(AB30=0,'O_MN, PE_UTA_UGM 2024'!F7,CONCATENATE('O_MN, PE_UTA_UGM 2024'!F7," ","INVERNADERO"))</f>
        <v>CEBADA</v>
      </c>
      <c r="AE30" s="89"/>
      <c r="AF30" s="123" t="n">
        <f aca="false">SUM(AG30:AH30)+SUM(AJ30:AK30)</f>
        <v>0</v>
      </c>
      <c r="AG30" s="318" t="n">
        <f aca="false">A17</f>
        <v>0</v>
      </c>
      <c r="AH30" s="319" t="n">
        <f aca="false">B17</f>
        <v>0</v>
      </c>
      <c r="AI30" s="6"/>
      <c r="AJ30" s="320" t="n">
        <f aca="false">C17</f>
        <v>0</v>
      </c>
      <c r="AK30" s="320" t="n">
        <f aca="false">D17</f>
        <v>0</v>
      </c>
      <c r="AL30" s="237" t="s">
        <v>156</v>
      </c>
      <c r="AM30" s="299" t="n">
        <f aca="false">'O_MN, PE_UTA_UGM 2024'!J7</f>
        <v>400</v>
      </c>
      <c r="AN30" s="299" t="n">
        <f aca="false">'O_MN, PE_UTA_UGM 2024'!K7</f>
        <v>800</v>
      </c>
      <c r="AO30" s="300"/>
      <c r="AP30" s="299" t="n">
        <f aca="false">'O_MN, PE_UTA_UGM 2024'!H7</f>
        <v>114.19</v>
      </c>
      <c r="AQ30" s="299" t="n">
        <f aca="false">'O_MN, PE_UTA_UGM 2024'!I7</f>
        <v>240.4</v>
      </c>
      <c r="AR30" s="301"/>
      <c r="AS30" s="302" t="n">
        <f aca="false">'O_MN, PE_UTA_UGM 2024'!L7</f>
        <v>0.00465</v>
      </c>
      <c r="AT30" s="302" t="n">
        <f aca="false">'O_MN, PE_UTA_UGM 2024'!M7</f>
        <v>0.0098</v>
      </c>
      <c r="AU30" s="45"/>
      <c r="AV30" s="321" t="n">
        <f aca="false">AG30*AM30</f>
        <v>0</v>
      </c>
      <c r="AW30" s="319" t="n">
        <f aca="false">AH30*AN30</f>
        <v>0</v>
      </c>
      <c r="AX30" s="320" t="n">
        <f aca="false">1.25*AJ30*AM30</f>
        <v>0</v>
      </c>
      <c r="AY30" s="322" t="n">
        <f aca="false">1.25*AK30*AN30</f>
        <v>0</v>
      </c>
      <c r="AZ30" s="323" t="n">
        <f aca="false">AG30*AP30</f>
        <v>0</v>
      </c>
      <c r="BA30" s="319" t="n">
        <f aca="false">AH30*AQ30</f>
        <v>0</v>
      </c>
      <c r="BB30" s="320" t="n">
        <f aca="false">1.25*AJ30*AP30</f>
        <v>0</v>
      </c>
      <c r="BC30" s="320" t="n">
        <f aca="false">1.25*AK30*AQ30</f>
        <v>0</v>
      </c>
      <c r="BD30" s="321" t="n">
        <f aca="false">AG30*AS30</f>
        <v>0</v>
      </c>
      <c r="BE30" s="319" t="n">
        <f aca="false">AH30*AT30</f>
        <v>0</v>
      </c>
      <c r="BF30" s="320" t="n">
        <f aca="false">AJ30*AS30</f>
        <v>0</v>
      </c>
      <c r="BG30" s="322" t="n">
        <f aca="false">AK30*AT30</f>
        <v>0</v>
      </c>
      <c r="BH30" s="324" t="n">
        <f aca="false">IF(BH$24=$AA30,($AG30*$AM30)+($AJ30*$AM30*1.25)+($AH30*$AN30)+($AK30*$AN30*1.25),"")</f>
        <v>0</v>
      </c>
      <c r="BI30" s="325" t="str">
        <f aca="false">IF(BI$24=$AA30,($AG30*$AM30)+($AJ30*$AM30*1.25)+($AH30*$AN30)+($AK30*$AN30*1.25),"")</f>
        <v/>
      </c>
      <c r="BJ30" s="325" t="str">
        <f aca="false">IF(BJ$24=$AA30,($AG30*$AM30)+($AJ30*$AM30*1.25)+($AH30*$AN30)+($AK30*$AN30*1.25),"")</f>
        <v/>
      </c>
      <c r="BK30" s="325" t="str">
        <f aca="false">IF(BK$24=$AA30,($AG30*$AM30)+($AJ30*$AM30*1.25)+($AH30*$AN30)+($AK30*$AN30*1.25),"")</f>
        <v/>
      </c>
      <c r="BL30" s="326" t="str">
        <f aca="false">IF(BL$24=$AA30,($AG30*$AM30)+($AJ30*$AM30*1.25)+($AH30*$AN30)+($AK30*$AN30*1.25),"")</f>
        <v/>
      </c>
      <c r="BM30" s="327" t="str">
        <f aca="false">IF(CONCATENATE(BH30,BI30,BJ30,BK30,BL30)="",1,"")</f>
        <v/>
      </c>
      <c r="BN30" s="328"/>
      <c r="BO30" s="328"/>
      <c r="BP30" s="328"/>
      <c r="BQ30" s="328"/>
      <c r="BR30" s="47"/>
      <c r="BS30" s="127" t="n">
        <f aca="false">(AG30*AM30)+(AH30*AN30)+((AJ30*AM30)+(AK30*AN30)*1.25)</f>
        <v>0</v>
      </c>
      <c r="BT30" s="127" t="n">
        <f aca="false">(AG30*AP30)+(AH30*AQ30)+((AJ30*AP30)+(AK30*AQ30)*1.25)</f>
        <v>0</v>
      </c>
      <c r="BU30" s="329"/>
      <c r="BV30" s="129"/>
    </row>
    <row r="31" customFormat="false" ht="15" hidden="false" customHeight="false" outlineLevel="0" collapsed="false">
      <c r="A31" s="228"/>
      <c r="B31" s="229"/>
      <c r="C31" s="230"/>
      <c r="D31" s="231"/>
      <c r="E31" s="223" t="str">
        <f aca="false">IF(SUM(A31:D31)&gt;0,SUM(A31:D31),"")</f>
        <v/>
      </c>
      <c r="F31" s="224" t="str">
        <f aca="false">AD44</f>
        <v>SOJA</v>
      </c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3"/>
      <c r="S31" s="3"/>
      <c r="T31" s="3"/>
      <c r="U31" s="3"/>
      <c r="V31" s="3"/>
      <c r="W31" s="3"/>
      <c r="X31" s="3"/>
      <c r="Y31" s="3"/>
      <c r="Z31" s="316" t="str">
        <f aca="false">IF(AF31&gt;0,RANK(AF31,AF$6:AF$422),"")</f>
        <v/>
      </c>
      <c r="AA31" s="134" t="n">
        <f aca="false">'O_MN, PE_UTA_UGM 2024'!N8</f>
        <v>1</v>
      </c>
      <c r="AB31" s="135" t="n">
        <f aca="false">'O_MN, PE_UTA_UGM 2024'!O8</f>
        <v>0</v>
      </c>
      <c r="AC31" s="317" t="n">
        <f aca="false">'O_MN, PE_UTA_UGM 2024'!C8</f>
        <v>6</v>
      </c>
      <c r="AD31" s="293" t="str">
        <f aca="false">IF(AB31=0,'O_MN, PE_UTA_UGM 2024'!F8,CONCATENATE('O_MN, PE_UTA_UGM 2024'!F8," ","INVERNADERO"))</f>
        <v>CENTENO</v>
      </c>
      <c r="AE31" s="89"/>
      <c r="AF31" s="123" t="n">
        <f aca="false">SUM(AG31:AH31)+SUM(AJ31:AK31)</f>
        <v>0</v>
      </c>
      <c r="AG31" s="318" t="n">
        <f aca="false">A18</f>
        <v>0</v>
      </c>
      <c r="AH31" s="319" t="n">
        <f aca="false">B18</f>
        <v>0</v>
      </c>
      <c r="AI31" s="6"/>
      <c r="AJ31" s="320" t="n">
        <f aca="false">C18</f>
        <v>0</v>
      </c>
      <c r="AK31" s="320" t="n">
        <f aca="false">D18</f>
        <v>0</v>
      </c>
      <c r="AL31" s="237" t="s">
        <v>157</v>
      </c>
      <c r="AM31" s="299" t="n">
        <f aca="false">'O_MN, PE_UTA_UGM 2024'!J8</f>
        <v>364.22</v>
      </c>
      <c r="AN31" s="299" t="n">
        <f aca="false">'O_MN, PE_UTA_UGM 2024'!K8</f>
        <v>600</v>
      </c>
      <c r="AO31" s="300"/>
      <c r="AP31" s="299" t="n">
        <f aca="false">'O_MN, PE_UTA_UGM 2024'!H8</f>
        <v>114.19</v>
      </c>
      <c r="AQ31" s="299" t="n">
        <f aca="false">'O_MN, PE_UTA_UGM 2024'!I8</f>
        <v>240.4</v>
      </c>
      <c r="AR31" s="301"/>
      <c r="AS31" s="302" t="n">
        <f aca="false">'O_MN, PE_UTA_UGM 2024'!L8</f>
        <v>0.00465</v>
      </c>
      <c r="AT31" s="302" t="n">
        <f aca="false">'O_MN, PE_UTA_UGM 2024'!M8</f>
        <v>0.0098</v>
      </c>
      <c r="AU31" s="45"/>
      <c r="AV31" s="321" t="n">
        <f aca="false">AG31*AM31</f>
        <v>0</v>
      </c>
      <c r="AW31" s="319" t="n">
        <f aca="false">AH31*AN31</f>
        <v>0</v>
      </c>
      <c r="AX31" s="320" t="n">
        <f aca="false">1.25*AJ31*AM31</f>
        <v>0</v>
      </c>
      <c r="AY31" s="322" t="n">
        <f aca="false">1.25*AK31*AN31</f>
        <v>0</v>
      </c>
      <c r="AZ31" s="323" t="n">
        <f aca="false">AG31*AP31</f>
        <v>0</v>
      </c>
      <c r="BA31" s="319" t="n">
        <f aca="false">AH31*AQ31</f>
        <v>0</v>
      </c>
      <c r="BB31" s="320" t="n">
        <f aca="false">1.25*AJ31*AP31</f>
        <v>0</v>
      </c>
      <c r="BC31" s="320" t="n">
        <f aca="false">1.25*AK31*AQ31</f>
        <v>0</v>
      </c>
      <c r="BD31" s="321" t="n">
        <f aca="false">AG31*AS31</f>
        <v>0</v>
      </c>
      <c r="BE31" s="319" t="n">
        <f aca="false">AH31*AT31</f>
        <v>0</v>
      </c>
      <c r="BF31" s="320" t="n">
        <f aca="false">AJ31*AS31</f>
        <v>0</v>
      </c>
      <c r="BG31" s="322" t="n">
        <f aca="false">AK31*AT31</f>
        <v>0</v>
      </c>
      <c r="BH31" s="324" t="n">
        <f aca="false">IF(BH$24=$AA31,($AG31*$AM31)+($AJ31*$AM31*1.25)+($AH31*$AN31)+($AK31*$AN31*1.25),"")</f>
        <v>0</v>
      </c>
      <c r="BI31" s="325" t="str">
        <f aca="false">IF(BI$24=$AA31,($AG31*$AM31)+($AJ31*$AM31*1.25)+($AH31*$AN31)+($AK31*$AN31*1.25),"")</f>
        <v/>
      </c>
      <c r="BJ31" s="325" t="str">
        <f aca="false">IF(BJ$24=$AA31,($AG31*$AM31)+($AJ31*$AM31*1.25)+($AH31*$AN31)+($AK31*$AN31*1.25),"")</f>
        <v/>
      </c>
      <c r="BK31" s="325" t="str">
        <f aca="false">IF(BK$24=$AA31,($AG31*$AM31)+($AJ31*$AM31*1.25)+($AH31*$AN31)+($AK31*$AN31*1.25),"")</f>
        <v/>
      </c>
      <c r="BL31" s="326" t="str">
        <f aca="false">IF(BL$24=$AA31,($AG31*$AM31)+($AJ31*$AM31*1.25)+($AH31*$AN31)+($AK31*$AN31*1.25),"")</f>
        <v/>
      </c>
      <c r="BM31" s="327" t="str">
        <f aca="false">IF(CONCATENATE(BH31,BI31,BJ31,BK31,BL31)="",1,"")</f>
        <v/>
      </c>
      <c r="BN31" s="328"/>
      <c r="BO31" s="328"/>
      <c r="BP31" s="328"/>
      <c r="BQ31" s="328"/>
      <c r="BR31" s="47"/>
      <c r="BS31" s="127" t="n">
        <f aca="false">(AG31*AM31)+(AH31*AN31)+((AJ31*AM31)+(AK31*AN31)*1.25)</f>
        <v>0</v>
      </c>
      <c r="BT31" s="127" t="n">
        <f aca="false">(AG31*AP31)+(AH31*AQ31)+((AJ31*AP31)+(AK31*AQ31)*1.25)</f>
        <v>0</v>
      </c>
      <c r="BU31" s="329"/>
      <c r="BV31" s="129"/>
    </row>
    <row r="32" customFormat="false" ht="15" hidden="false" customHeight="false" outlineLevel="0" collapsed="false">
      <c r="A32" s="228"/>
      <c r="B32" s="229"/>
      <c r="C32" s="230"/>
      <c r="D32" s="231"/>
      <c r="E32" s="223" t="str">
        <f aca="false">IF(SUM(A32:D32)&gt;0,SUM(A32:D32),"")</f>
        <v/>
      </c>
      <c r="F32" s="224" t="str">
        <f aca="false">AD45</f>
        <v>COLZA</v>
      </c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3"/>
      <c r="S32" s="3"/>
      <c r="T32" s="3"/>
      <c r="U32" s="3"/>
      <c r="V32" s="3"/>
      <c r="W32" s="3"/>
      <c r="X32" s="3"/>
      <c r="Y32" s="3"/>
      <c r="Z32" s="316" t="str">
        <f aca="false">IF(AF32&gt;0,RANK(AF32,AF$6:AF$422),"")</f>
        <v/>
      </c>
      <c r="AA32" s="134" t="n">
        <f aca="false">'O_MN, PE_UTA_UGM 2024'!N9</f>
        <v>1</v>
      </c>
      <c r="AB32" s="135" t="n">
        <f aca="false">'O_MN, PE_UTA_UGM 2024'!O9</f>
        <v>0</v>
      </c>
      <c r="AC32" s="317" t="n">
        <f aca="false">'O_MN, PE_UTA_UGM 2024'!C9</f>
        <v>7</v>
      </c>
      <c r="AD32" s="293" t="str">
        <f aca="false">IF(AB32=0,'O_MN, PE_UTA_UGM 2024'!F9,CONCATENATE('O_MN, PE_UTA_UGM 2024'!F9," ","INVERNADERO"))</f>
        <v>SORGO</v>
      </c>
      <c r="AE32" s="89"/>
      <c r="AF32" s="123" t="n">
        <f aca="false">SUM(AG32:AH32)+SUM(AJ32:AK32)</f>
        <v>0</v>
      </c>
      <c r="AG32" s="318" t="n">
        <f aca="false">A19</f>
        <v>0</v>
      </c>
      <c r="AH32" s="319" t="n">
        <f aca="false">B19</f>
        <v>0</v>
      </c>
      <c r="AI32" s="6"/>
      <c r="AJ32" s="320" t="n">
        <f aca="false">C19</f>
        <v>0</v>
      </c>
      <c r="AK32" s="320" t="n">
        <f aca="false">D19</f>
        <v>0</v>
      </c>
      <c r="AL32" s="237" t="s">
        <v>158</v>
      </c>
      <c r="AM32" s="299" t="n">
        <f aca="false">'O_MN, PE_UTA_UGM 2024'!J9</f>
        <v>400</v>
      </c>
      <c r="AN32" s="299" t="n">
        <f aca="false">'O_MN, PE_UTA_UGM 2024'!K9</f>
        <v>800</v>
      </c>
      <c r="AO32" s="300"/>
      <c r="AP32" s="299" t="n">
        <f aca="false">'O_MN, PE_UTA_UGM 2024'!H9</f>
        <v>114.19</v>
      </c>
      <c r="AQ32" s="299" t="n">
        <f aca="false">'O_MN, PE_UTA_UGM 2024'!I9</f>
        <v>240.4</v>
      </c>
      <c r="AR32" s="301"/>
      <c r="AS32" s="302" t="n">
        <f aca="false">'O_MN, PE_UTA_UGM 2024'!L9</f>
        <v>0.00465</v>
      </c>
      <c r="AT32" s="302" t="n">
        <f aca="false">'O_MN, PE_UTA_UGM 2024'!M9</f>
        <v>0.0098</v>
      </c>
      <c r="AU32" s="45"/>
      <c r="AV32" s="321" t="n">
        <f aca="false">AG32*AM32</f>
        <v>0</v>
      </c>
      <c r="AW32" s="319" t="n">
        <f aca="false">AH32*AN32</f>
        <v>0</v>
      </c>
      <c r="AX32" s="320" t="n">
        <f aca="false">1.25*AJ32*AM32</f>
        <v>0</v>
      </c>
      <c r="AY32" s="322" t="n">
        <f aca="false">1.25*AK32*AN32</f>
        <v>0</v>
      </c>
      <c r="AZ32" s="323" t="n">
        <f aca="false">AG32*AP32</f>
        <v>0</v>
      </c>
      <c r="BA32" s="319" t="n">
        <f aca="false">AH32*AQ32</f>
        <v>0</v>
      </c>
      <c r="BB32" s="320" t="n">
        <f aca="false">1.25*AJ32*AP32</f>
        <v>0</v>
      </c>
      <c r="BC32" s="320" t="n">
        <f aca="false">1.25*AK32*AQ32</f>
        <v>0</v>
      </c>
      <c r="BD32" s="321" t="n">
        <f aca="false">AG32*AS32</f>
        <v>0</v>
      </c>
      <c r="BE32" s="319" t="n">
        <f aca="false">AH32*AT32</f>
        <v>0</v>
      </c>
      <c r="BF32" s="320" t="n">
        <f aca="false">AJ32*AS32</f>
        <v>0</v>
      </c>
      <c r="BG32" s="322" t="n">
        <f aca="false">AK32*AT32</f>
        <v>0</v>
      </c>
      <c r="BH32" s="324" t="n">
        <f aca="false">IF(BH$24=$AA32,($AG32*$AM32)+($AJ32*$AM32*1.25)+($AH32*$AN32)+($AK32*$AN32*1.25),"")</f>
        <v>0</v>
      </c>
      <c r="BI32" s="325" t="str">
        <f aca="false">IF(BI$24=$AA32,($AG32*$AM32)+($AJ32*$AM32*1.25)+($AH32*$AN32)+($AK32*$AN32*1.25),"")</f>
        <v/>
      </c>
      <c r="BJ32" s="325" t="str">
        <f aca="false">IF(BJ$24=$AA32,($AG32*$AM32)+($AJ32*$AM32*1.25)+($AH32*$AN32)+($AK32*$AN32*1.25),"")</f>
        <v/>
      </c>
      <c r="BK32" s="325" t="str">
        <f aca="false">IF(BK$24=$AA32,($AG32*$AM32)+($AJ32*$AM32*1.25)+($AH32*$AN32)+($AK32*$AN32*1.25),"")</f>
        <v/>
      </c>
      <c r="BL32" s="326" t="str">
        <f aca="false">IF(BL$24=$AA32,($AG32*$AM32)+($AJ32*$AM32*1.25)+($AH32*$AN32)+($AK32*$AN32*1.25),"")</f>
        <v/>
      </c>
      <c r="BM32" s="327" t="str">
        <f aca="false">IF(CONCATENATE(BH32,BI32,BJ32,BK32,BL32)="",1,"")</f>
        <v/>
      </c>
      <c r="BN32" s="328"/>
      <c r="BO32" s="328"/>
      <c r="BP32" s="328"/>
      <c r="BQ32" s="328"/>
      <c r="BR32" s="47"/>
      <c r="BS32" s="127" t="n">
        <f aca="false">(AG32*AM32)+(AH32*AN32)+((AJ32*AM32)+(AK32*AN32)*1.25)</f>
        <v>0</v>
      </c>
      <c r="BT32" s="127" t="n">
        <f aca="false">(AG32*AP32)+(AH32*AQ32)+((AJ32*AP32)+(AK32*AQ32)*1.25)</f>
        <v>0</v>
      </c>
      <c r="BU32" s="329"/>
      <c r="BV32" s="129"/>
    </row>
    <row r="33" customFormat="false" ht="15" hidden="false" customHeight="false" outlineLevel="0" collapsed="false">
      <c r="A33" s="228"/>
      <c r="B33" s="229"/>
      <c r="C33" s="230"/>
      <c r="D33" s="231"/>
      <c r="E33" s="223" t="str">
        <f aca="false">IF(SUM(A33:D33)&gt;0,SUM(A33:D33),"")</f>
        <v/>
      </c>
      <c r="F33" s="224" t="str">
        <f aca="false">AD46</f>
        <v>CAMELINA</v>
      </c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3"/>
      <c r="S33" s="3"/>
      <c r="T33" s="3"/>
      <c r="U33" s="3"/>
      <c r="V33" s="3"/>
      <c r="W33" s="3"/>
      <c r="X33" s="3"/>
      <c r="Y33" s="3"/>
      <c r="Z33" s="316" t="str">
        <f aca="false">IF(AF33&gt;0,RANK(AF33,AF$6:AF$422),"")</f>
        <v/>
      </c>
      <c r="AA33" s="134" t="n">
        <f aca="false">'O_MN, PE_UTA_UGM 2024'!N10</f>
        <v>1</v>
      </c>
      <c r="AB33" s="135" t="n">
        <f aca="false">'O_MN, PE_UTA_UGM 2024'!O10</f>
        <v>0</v>
      </c>
      <c r="AC33" s="317" t="n">
        <f aca="false">'O_MN, PE_UTA_UGM 2024'!C10</f>
        <v>8</v>
      </c>
      <c r="AD33" s="293" t="str">
        <f aca="false">IF(AB33=0,'O_MN, PE_UTA_UGM 2024'!F10,CONCATENATE('O_MN, PE_UTA_UGM 2024'!F10," ","INVERNADERO"))</f>
        <v>AVENA</v>
      </c>
      <c r="AE33" s="89"/>
      <c r="AF33" s="123" t="n">
        <f aca="false">SUM(AG33:AH33)+SUM(AJ33:AK33)</f>
        <v>0</v>
      </c>
      <c r="AG33" s="318" t="n">
        <f aca="false">A20</f>
        <v>0</v>
      </c>
      <c r="AH33" s="319" t="n">
        <f aca="false">B21</f>
        <v>0</v>
      </c>
      <c r="AI33" s="6"/>
      <c r="AJ33" s="320" t="n">
        <f aca="false">C20</f>
        <v>0</v>
      </c>
      <c r="AK33" s="320" t="n">
        <f aca="false">D20</f>
        <v>0</v>
      </c>
      <c r="AL33" s="237" t="s">
        <v>159</v>
      </c>
      <c r="AM33" s="299" t="n">
        <f aca="false">'O_MN, PE_UTA_UGM 2024'!J10</f>
        <v>294.04</v>
      </c>
      <c r="AN33" s="299" t="n">
        <f aca="false">'O_MN, PE_UTA_UGM 2024'!K10</f>
        <v>600</v>
      </c>
      <c r="AO33" s="300"/>
      <c r="AP33" s="299" t="n">
        <f aca="false">'O_MN, PE_UTA_UGM 2024'!H10</f>
        <v>114.19</v>
      </c>
      <c r="AQ33" s="299" t="n">
        <f aca="false">'O_MN, PE_UTA_UGM 2024'!I10</f>
        <v>240.4</v>
      </c>
      <c r="AR33" s="301"/>
      <c r="AS33" s="302" t="n">
        <f aca="false">'O_MN, PE_UTA_UGM 2024'!L10</f>
        <v>0.00465</v>
      </c>
      <c r="AT33" s="302" t="n">
        <f aca="false">'O_MN, PE_UTA_UGM 2024'!M10</f>
        <v>0.0098</v>
      </c>
      <c r="AU33" s="45"/>
      <c r="AV33" s="321" t="n">
        <f aca="false">AG33*AM33</f>
        <v>0</v>
      </c>
      <c r="AW33" s="319" t="n">
        <f aca="false">AH33*AN33</f>
        <v>0</v>
      </c>
      <c r="AX33" s="320" t="n">
        <f aca="false">1.25*AJ33*AM33</f>
        <v>0</v>
      </c>
      <c r="AY33" s="322" t="n">
        <f aca="false">1.25*AK33*AN33</f>
        <v>0</v>
      </c>
      <c r="AZ33" s="323" t="n">
        <f aca="false">AG33*AP33</f>
        <v>0</v>
      </c>
      <c r="BA33" s="319" t="n">
        <f aca="false">AH33*AQ33</f>
        <v>0</v>
      </c>
      <c r="BB33" s="320" t="n">
        <f aca="false">1.25*AJ33*AP33</f>
        <v>0</v>
      </c>
      <c r="BC33" s="320" t="n">
        <f aca="false">1.25*AK33*AQ33</f>
        <v>0</v>
      </c>
      <c r="BD33" s="321" t="n">
        <f aca="false">AG33*AS33</f>
        <v>0</v>
      </c>
      <c r="BE33" s="319" t="n">
        <f aca="false">AH33*AT33</f>
        <v>0</v>
      </c>
      <c r="BF33" s="320" t="n">
        <f aca="false">AJ33*AS33</f>
        <v>0</v>
      </c>
      <c r="BG33" s="322" t="n">
        <f aca="false">AK33*AT33</f>
        <v>0</v>
      </c>
      <c r="BH33" s="324" t="n">
        <f aca="false">IF(BH$24=$AA33,($AG33*$AM33)+($AJ33*$AM33*1.25)+($AH33*$AN33)+($AK33*$AN33*1.25),"")</f>
        <v>0</v>
      </c>
      <c r="BI33" s="325" t="str">
        <f aca="false">IF(BI$24=$AA33,($AG33*$AM33)+($AJ33*$AM33*1.25)+($AH33*$AN33)+($AK33*$AN33*1.25),"")</f>
        <v/>
      </c>
      <c r="BJ33" s="325" t="str">
        <f aca="false">IF(BJ$24=$AA33,($AG33*$AM33)+($AJ33*$AM33*1.25)+($AH33*$AN33)+($AK33*$AN33*1.25),"")</f>
        <v/>
      </c>
      <c r="BK33" s="325" t="str">
        <f aca="false">IF(BK$24=$AA33,($AG33*$AM33)+($AJ33*$AM33*1.25)+($AH33*$AN33)+($AK33*$AN33*1.25),"")</f>
        <v/>
      </c>
      <c r="BL33" s="326" t="str">
        <f aca="false">IF(BL$24=$AA33,($AG33*$AM33)+($AJ33*$AM33*1.25)+($AH33*$AN33)+($AK33*$AN33*1.25),"")</f>
        <v/>
      </c>
      <c r="BM33" s="327" t="str">
        <f aca="false">IF(CONCATENATE(BH33,BI33,BJ33,BK33,BL33)="",1,"")</f>
        <v/>
      </c>
      <c r="BN33" s="328"/>
      <c r="BO33" s="328"/>
      <c r="BP33" s="328"/>
      <c r="BQ33" s="328"/>
      <c r="BR33" s="47"/>
      <c r="BS33" s="127" t="n">
        <f aca="false">(AG33*AM33)+(AH33*AN33)+((AJ33*AM33)+(AK33*AN33)*1.25)</f>
        <v>0</v>
      </c>
      <c r="BT33" s="127" t="n">
        <f aca="false">(AG33*AP33)+(AH33*AQ33)+((AJ33*AP33)+(AK33*AQ33)*1.25)</f>
        <v>0</v>
      </c>
      <c r="BU33" s="329"/>
      <c r="BV33" s="129"/>
    </row>
    <row r="34" customFormat="false" ht="15" hidden="false" customHeight="false" outlineLevel="0" collapsed="false">
      <c r="A34" s="219"/>
      <c r="B34" s="220"/>
      <c r="C34" s="221"/>
      <c r="D34" s="222"/>
      <c r="E34" s="223" t="str">
        <f aca="false">IF(SUM(A34:D34)&gt;0,SUM(A34:D34),"")</f>
        <v/>
      </c>
      <c r="F34" s="224" t="str">
        <f aca="false">AD47</f>
        <v>GUISANTE</v>
      </c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3"/>
      <c r="S34" s="3"/>
      <c r="T34" s="3"/>
      <c r="U34" s="3"/>
      <c r="V34" s="3"/>
      <c r="W34" s="3"/>
      <c r="X34" s="3"/>
      <c r="Y34" s="3"/>
      <c r="Z34" s="316" t="str">
        <f aca="false">IF(AF34&gt;0,RANK(AF34,AF$6:AF$422),"")</f>
        <v/>
      </c>
      <c r="AA34" s="134" t="n">
        <f aca="false">'O_MN, PE_UTA_UGM 2024'!N11</f>
        <v>1</v>
      </c>
      <c r="AB34" s="135" t="n">
        <f aca="false">'O_MN, PE_UTA_UGM 2024'!O11</f>
        <v>0</v>
      </c>
      <c r="AC34" s="317" t="n">
        <f aca="false">'O_MN, PE_UTA_UGM 2024'!C11</f>
        <v>9</v>
      </c>
      <c r="AD34" s="293" t="str">
        <f aca="false">IF(AB34=0,'O_MN, PE_UTA_UGM 2024'!F11,CONCATENATE('O_MN, PE_UTA_UGM 2024'!F11," ","INVERNADERO"))</f>
        <v>ALFORFÓN</v>
      </c>
      <c r="AE34" s="89"/>
      <c r="AF34" s="123" t="n">
        <f aca="false">SUM(AG34:AH34)+SUM(AJ34:AK34)</f>
        <v>0</v>
      </c>
      <c r="AG34" s="318" t="n">
        <f aca="false">A21</f>
        <v>0</v>
      </c>
      <c r="AH34" s="319" t="n">
        <f aca="false">B22</f>
        <v>0</v>
      </c>
      <c r="AI34" s="6"/>
      <c r="AJ34" s="320" t="n">
        <f aca="false">C21</f>
        <v>0</v>
      </c>
      <c r="AK34" s="320" t="n">
        <f aca="false">D21</f>
        <v>0</v>
      </c>
      <c r="AL34" s="237" t="s">
        <v>160</v>
      </c>
      <c r="AM34" s="299" t="n">
        <f aca="false">'O_MN, PE_UTA_UGM 2024'!J11</f>
        <v>265.73</v>
      </c>
      <c r="AN34" s="299" t="n">
        <f aca="false">'O_MN, PE_UTA_UGM 2024'!K11</f>
        <v>500</v>
      </c>
      <c r="AO34" s="300"/>
      <c r="AP34" s="299" t="n">
        <f aca="false">'O_MN, PE_UTA_UGM 2024'!H11</f>
        <v>114.19</v>
      </c>
      <c r="AQ34" s="299" t="n">
        <f aca="false">'O_MN, PE_UTA_UGM 2024'!I11</f>
        <v>240.4</v>
      </c>
      <c r="AR34" s="301"/>
      <c r="AS34" s="302" t="n">
        <f aca="false">'O_MN, PE_UTA_UGM 2024'!L11</f>
        <v>0.00465</v>
      </c>
      <c r="AT34" s="302" t="n">
        <f aca="false">'O_MN, PE_UTA_UGM 2024'!M11</f>
        <v>0.0098</v>
      </c>
      <c r="AU34" s="45"/>
      <c r="AV34" s="321" t="n">
        <f aca="false">AG34*AM34</f>
        <v>0</v>
      </c>
      <c r="AW34" s="319" t="n">
        <f aca="false">AH34*AN34</f>
        <v>0</v>
      </c>
      <c r="AX34" s="320" t="n">
        <f aca="false">1.25*AJ34*AM34</f>
        <v>0</v>
      </c>
      <c r="AY34" s="322" t="n">
        <f aca="false">1.25*AK34*AN34</f>
        <v>0</v>
      </c>
      <c r="AZ34" s="323" t="n">
        <f aca="false">AG34*AP34</f>
        <v>0</v>
      </c>
      <c r="BA34" s="319" t="n">
        <f aca="false">AH34*AQ34</f>
        <v>0</v>
      </c>
      <c r="BB34" s="320" t="n">
        <f aca="false">1.25*AJ34*AP34</f>
        <v>0</v>
      </c>
      <c r="BC34" s="320" t="n">
        <f aca="false">1.25*AK34*AQ34</f>
        <v>0</v>
      </c>
      <c r="BD34" s="321" t="n">
        <f aca="false">AG34*AS34</f>
        <v>0</v>
      </c>
      <c r="BE34" s="319" t="n">
        <f aca="false">AH34*AT34</f>
        <v>0</v>
      </c>
      <c r="BF34" s="320" t="n">
        <f aca="false">AJ34*AS34</f>
        <v>0</v>
      </c>
      <c r="BG34" s="322" t="n">
        <f aca="false">AK34*AT34</f>
        <v>0</v>
      </c>
      <c r="BH34" s="324" t="n">
        <f aca="false">IF(BH$24=$AA34,($AG34*$AM34)+($AJ34*$AM34*1.25)+($AH34*$AN34)+($AK34*$AN34*1.25),"")</f>
        <v>0</v>
      </c>
      <c r="BI34" s="325" t="str">
        <f aca="false">IF(BI$24=$AA34,($AG34*$AM34)+($AJ34*$AM34*1.25)+($AH34*$AN34)+($AK34*$AN34*1.25),"")</f>
        <v/>
      </c>
      <c r="BJ34" s="325" t="str">
        <f aca="false">IF(BJ$24=$AA34,($AG34*$AM34)+($AJ34*$AM34*1.25)+($AH34*$AN34)+($AK34*$AN34*1.25),"")</f>
        <v/>
      </c>
      <c r="BK34" s="325" t="str">
        <f aca="false">IF(BK$24=$AA34,($AG34*$AM34)+($AJ34*$AM34*1.25)+($AH34*$AN34)+($AK34*$AN34*1.25),"")</f>
        <v/>
      </c>
      <c r="BL34" s="326" t="str">
        <f aca="false">IF(BL$24=$AA34,($AG34*$AM34)+($AJ34*$AM34*1.25)+($AH34*$AN34)+($AK34*$AN34*1.25),"")</f>
        <v/>
      </c>
      <c r="BM34" s="327" t="str">
        <f aca="false">IF(CONCATENATE(BH34,BI34,BJ34,BK34,BL34)="",1,"")</f>
        <v/>
      </c>
      <c r="BN34" s="328"/>
      <c r="BO34" s="328"/>
      <c r="BP34" s="328"/>
      <c r="BQ34" s="328"/>
      <c r="BR34" s="47"/>
      <c r="BS34" s="127" t="n">
        <f aca="false">(AG34*AM34)+(AH34*AN34)+((AJ34*AM34)+(AK34*AN34)*1.25)</f>
        <v>0</v>
      </c>
      <c r="BT34" s="127" t="n">
        <f aca="false">(AG34*AP34)+(AH34*AQ34)+((AJ34*AP34)+(AK34*AQ34)*1.25)</f>
        <v>0</v>
      </c>
      <c r="BU34" s="329"/>
      <c r="BV34" s="129"/>
    </row>
    <row r="35" customFormat="false" ht="15" hidden="false" customHeight="false" outlineLevel="0" collapsed="false">
      <c r="A35" s="219"/>
      <c r="B35" s="220"/>
      <c r="C35" s="221"/>
      <c r="D35" s="222"/>
      <c r="E35" s="223" t="str">
        <f aca="false">IF(SUM(A35:D35)&gt;0,SUM(A35:D35),"")</f>
        <v/>
      </c>
      <c r="F35" s="224" t="str">
        <f aca="false">AD48</f>
        <v>HABA</v>
      </c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3"/>
      <c r="S35" s="3"/>
      <c r="T35" s="3"/>
      <c r="U35" s="3"/>
      <c r="V35" s="3"/>
      <c r="W35" s="3"/>
      <c r="X35" s="3"/>
      <c r="Y35" s="3"/>
      <c r="Z35" s="316" t="str">
        <f aca="false">IF(AF35&gt;0,RANK(AF35,AF$6:AF$422),"")</f>
        <v/>
      </c>
      <c r="AA35" s="134" t="n">
        <f aca="false">'O_MN, PE_UTA_UGM 2024'!N12</f>
        <v>1</v>
      </c>
      <c r="AB35" s="135" t="n">
        <f aca="false">'O_MN, PE_UTA_UGM 2024'!O12</f>
        <v>0</v>
      </c>
      <c r="AC35" s="317" t="n">
        <f aca="false">'O_MN, PE_UTA_UGM 2024'!C12</f>
        <v>10</v>
      </c>
      <c r="AD35" s="293" t="str">
        <f aca="false">IF(AB35=0,'O_MN, PE_UTA_UGM 2024'!F12,CONCATENATE('O_MN, PE_UTA_UGM 2024'!F12," ","INVERNADERO"))</f>
        <v>MIJO</v>
      </c>
      <c r="AE35" s="89"/>
      <c r="AF35" s="123" t="n">
        <f aca="false">SUM(AG35:AH35)+SUM(AJ35:AK35)</f>
        <v>0</v>
      </c>
      <c r="AG35" s="318" t="n">
        <f aca="false">A22</f>
        <v>0</v>
      </c>
      <c r="AH35" s="319" t="n">
        <f aca="false">B22</f>
        <v>0</v>
      </c>
      <c r="AI35" s="6"/>
      <c r="AJ35" s="320" t="n">
        <f aca="false">C22</f>
        <v>0</v>
      </c>
      <c r="AK35" s="320" t="n">
        <f aca="false">D22</f>
        <v>0</v>
      </c>
      <c r="AL35" s="237" t="s">
        <v>161</v>
      </c>
      <c r="AM35" s="299" t="n">
        <f aca="false">'O_MN, PE_UTA_UGM 2024'!J12</f>
        <v>365.73</v>
      </c>
      <c r="AN35" s="299" t="n">
        <f aca="false">'O_MN, PE_UTA_UGM 2024'!K12</f>
        <v>600</v>
      </c>
      <c r="AO35" s="300"/>
      <c r="AP35" s="299" t="n">
        <f aca="false">'O_MN, PE_UTA_UGM 2024'!H12</f>
        <v>114.19</v>
      </c>
      <c r="AQ35" s="299" t="n">
        <f aca="false">'O_MN, PE_UTA_UGM 2024'!I12</f>
        <v>240.4</v>
      </c>
      <c r="AR35" s="301"/>
      <c r="AS35" s="302" t="n">
        <f aca="false">'O_MN, PE_UTA_UGM 2024'!L12</f>
        <v>0.00465</v>
      </c>
      <c r="AT35" s="302" t="n">
        <f aca="false">'O_MN, PE_UTA_UGM 2024'!M12</f>
        <v>0.0098</v>
      </c>
      <c r="AU35" s="45"/>
      <c r="AV35" s="321" t="n">
        <f aca="false">AG35*AM35</f>
        <v>0</v>
      </c>
      <c r="AW35" s="319" t="n">
        <f aca="false">AH35*AN35</f>
        <v>0</v>
      </c>
      <c r="AX35" s="320" t="n">
        <f aca="false">1.25*AJ35*AM35</f>
        <v>0</v>
      </c>
      <c r="AY35" s="322" t="n">
        <f aca="false">1.25*AK35*AN35</f>
        <v>0</v>
      </c>
      <c r="AZ35" s="323" t="n">
        <f aca="false">AG35*AP35</f>
        <v>0</v>
      </c>
      <c r="BA35" s="319" t="n">
        <f aca="false">AH35*AQ35</f>
        <v>0</v>
      </c>
      <c r="BB35" s="320" t="n">
        <f aca="false">1.25*AJ35*AP35</f>
        <v>0</v>
      </c>
      <c r="BC35" s="320" t="n">
        <f aca="false">1.25*AK35*AQ35</f>
        <v>0</v>
      </c>
      <c r="BD35" s="321" t="n">
        <f aca="false">AG35*AS35</f>
        <v>0</v>
      </c>
      <c r="BE35" s="319" t="n">
        <f aca="false">AH35*AT35</f>
        <v>0</v>
      </c>
      <c r="BF35" s="320" t="n">
        <f aca="false">AJ35*AS35</f>
        <v>0</v>
      </c>
      <c r="BG35" s="322" t="n">
        <f aca="false">AK35*AT35</f>
        <v>0</v>
      </c>
      <c r="BH35" s="324" t="n">
        <f aca="false">IF(BH$24=$AA35,($AG35*$AM35)+($AJ35*$AM35*1.25)+($AH35*$AN35)+($AK35*$AN35*1.25),"")</f>
        <v>0</v>
      </c>
      <c r="BI35" s="325" t="str">
        <f aca="false">IF(BI$24=$AA35,($AG35*$AM35)+($AJ35*$AM35*1.25)+($AH35*$AN35)+($AK35*$AN35*1.25),"")</f>
        <v/>
      </c>
      <c r="BJ35" s="325" t="str">
        <f aca="false">IF(BJ$24=$AA35,($AG35*$AM35)+($AJ35*$AM35*1.25)+($AH35*$AN35)+($AK35*$AN35*1.25),"")</f>
        <v/>
      </c>
      <c r="BK35" s="325" t="str">
        <f aca="false">IF(BK$24=$AA35,($AG35*$AM35)+($AJ35*$AM35*1.25)+($AH35*$AN35)+($AK35*$AN35*1.25),"")</f>
        <v/>
      </c>
      <c r="BL35" s="326" t="str">
        <f aca="false">IF(BL$24=$AA35,($AG35*$AM35)+($AJ35*$AM35*1.25)+($AH35*$AN35)+($AK35*$AN35*1.25),"")</f>
        <v/>
      </c>
      <c r="BM35" s="327" t="str">
        <f aca="false">IF(CONCATENATE(BH35,BI35,BJ35,BK35,BL35)="",1,"")</f>
        <v/>
      </c>
      <c r="BN35" s="328"/>
      <c r="BO35" s="328"/>
      <c r="BP35" s="328"/>
      <c r="BQ35" s="328"/>
      <c r="BR35" s="47"/>
      <c r="BS35" s="127" t="n">
        <f aca="false">(AG35*AM35)+(AH35*AN35)+((AJ35*AM35)+(AK35*AN35)*1.25)</f>
        <v>0</v>
      </c>
      <c r="BT35" s="127" t="n">
        <f aca="false">(AG35*AP35)+(AH35*AQ35)+((AJ35*AP35)+(AK35*AQ35)*1.25)</f>
        <v>0</v>
      </c>
      <c r="BU35" s="329"/>
      <c r="BV35" s="129"/>
    </row>
    <row r="36" customFormat="false" ht="15" hidden="false" customHeight="false" outlineLevel="0" collapsed="false">
      <c r="A36" s="228"/>
      <c r="B36" s="229"/>
      <c r="C36" s="230"/>
      <c r="D36" s="231"/>
      <c r="E36" s="223" t="str">
        <f aca="false">IF(SUM(A36:D36)&gt;0,SUM(A36:D36),"")</f>
        <v/>
      </c>
      <c r="F36" s="224" t="str">
        <f aca="false">AD49</f>
        <v>ALTRAMUZ BLANCO</v>
      </c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3"/>
      <c r="S36" s="3"/>
      <c r="T36" s="3"/>
      <c r="U36" s="3"/>
      <c r="V36" s="3"/>
      <c r="W36" s="3"/>
      <c r="X36" s="3"/>
      <c r="Y36" s="3"/>
      <c r="Z36" s="316" t="str">
        <f aca="false">IF(AF36&gt;0,RANK(AF36,AF$6:AF$422),"")</f>
        <v/>
      </c>
      <c r="AA36" s="134" t="n">
        <f aca="false">'O_MN, PE_UTA_UGM 2024'!N13</f>
        <v>1</v>
      </c>
      <c r="AB36" s="135" t="n">
        <f aca="false">'O_MN, PE_UTA_UGM 2024'!O13</f>
        <v>0</v>
      </c>
      <c r="AC36" s="317" t="n">
        <f aca="false">'O_MN, PE_UTA_UGM 2024'!C13</f>
        <v>11</v>
      </c>
      <c r="AD36" s="293" t="str">
        <f aca="false">IF(AB36=0,'O_MN, PE_UTA_UGM 2024'!F13,CONCATENATE('O_MN, PE_UTA_UGM 2024'!F13," ","INVERNADERO"))</f>
        <v>ALPISTE</v>
      </c>
      <c r="AE36" s="89"/>
      <c r="AF36" s="123" t="n">
        <f aca="false">SUM(AG36:AH36)+SUM(AJ36:AK36)</f>
        <v>0</v>
      </c>
      <c r="AG36" s="318" t="n">
        <f aca="false">A23</f>
        <v>0</v>
      </c>
      <c r="AH36" s="319" t="n">
        <f aca="false">B23</f>
        <v>0</v>
      </c>
      <c r="AI36" s="6"/>
      <c r="AJ36" s="320" t="n">
        <f aca="false">C23</f>
        <v>0</v>
      </c>
      <c r="AK36" s="320" t="n">
        <f aca="false">D23</f>
        <v>0</v>
      </c>
      <c r="AL36" s="237" t="s">
        <v>162</v>
      </c>
      <c r="AM36" s="299" t="n">
        <f aca="false">'O_MN, PE_UTA_UGM 2024'!J13</f>
        <v>365.73</v>
      </c>
      <c r="AN36" s="299" t="n">
        <f aca="false">'O_MN, PE_UTA_UGM 2024'!K13</f>
        <v>600</v>
      </c>
      <c r="AO36" s="300"/>
      <c r="AP36" s="299" t="n">
        <f aca="false">'O_MN, PE_UTA_UGM 2024'!H13</f>
        <v>114.19</v>
      </c>
      <c r="AQ36" s="299" t="n">
        <f aca="false">'O_MN, PE_UTA_UGM 2024'!I13</f>
        <v>240.4</v>
      </c>
      <c r="AR36" s="301"/>
      <c r="AS36" s="302" t="n">
        <f aca="false">'O_MN, PE_UTA_UGM 2024'!L13</f>
        <v>0.00465</v>
      </c>
      <c r="AT36" s="302" t="n">
        <f aca="false">'O_MN, PE_UTA_UGM 2024'!M13</f>
        <v>0.0098</v>
      </c>
      <c r="AU36" s="45"/>
      <c r="AV36" s="321" t="n">
        <f aca="false">AG36*AM36</f>
        <v>0</v>
      </c>
      <c r="AW36" s="319" t="n">
        <f aca="false">AH36*AN36</f>
        <v>0</v>
      </c>
      <c r="AX36" s="320" t="n">
        <f aca="false">1.25*AJ36*AM36</f>
        <v>0</v>
      </c>
      <c r="AY36" s="322" t="n">
        <f aca="false">1.25*AK36*AN36</f>
        <v>0</v>
      </c>
      <c r="AZ36" s="323" t="n">
        <f aca="false">AG36*AP36</f>
        <v>0</v>
      </c>
      <c r="BA36" s="319" t="n">
        <f aca="false">AH36*AQ36</f>
        <v>0</v>
      </c>
      <c r="BB36" s="320" t="n">
        <f aca="false">1.25*AJ36*AP36</f>
        <v>0</v>
      </c>
      <c r="BC36" s="320" t="n">
        <f aca="false">1.25*AK36*AQ36</f>
        <v>0</v>
      </c>
      <c r="BD36" s="321" t="n">
        <f aca="false">AG36*AS36</f>
        <v>0</v>
      </c>
      <c r="BE36" s="319" t="n">
        <f aca="false">AH36*AT36</f>
        <v>0</v>
      </c>
      <c r="BF36" s="320" t="n">
        <f aca="false">AJ36*AS36</f>
        <v>0</v>
      </c>
      <c r="BG36" s="322" t="n">
        <f aca="false">AK36*AT36</f>
        <v>0</v>
      </c>
      <c r="BH36" s="324" t="n">
        <f aca="false">IF(BH$24=$AA36,($AG36*$AM36)+($AJ36*$AM36*1.25)+($AH36*$AN36)+($AK36*$AN36*1.25),"")</f>
        <v>0</v>
      </c>
      <c r="BI36" s="325" t="str">
        <f aca="false">IF(BI$24=$AA36,($AG36*$AM36)+($AJ36*$AM36*1.25)+($AH36*$AN36)+($AK36*$AN36*1.25),"")</f>
        <v/>
      </c>
      <c r="BJ36" s="325" t="str">
        <f aca="false">IF(BJ$24=$AA36,($AG36*$AM36)+($AJ36*$AM36*1.25)+($AH36*$AN36)+($AK36*$AN36*1.25),"")</f>
        <v/>
      </c>
      <c r="BK36" s="325" t="str">
        <f aca="false">IF(BK$24=$AA36,($AG36*$AM36)+($AJ36*$AM36*1.25)+($AH36*$AN36)+($AK36*$AN36*1.25),"")</f>
        <v/>
      </c>
      <c r="BL36" s="326" t="str">
        <f aca="false">IF(BL$24=$AA36,($AG36*$AM36)+($AJ36*$AM36*1.25)+($AH36*$AN36)+($AK36*$AN36*1.25),"")</f>
        <v/>
      </c>
      <c r="BM36" s="327" t="str">
        <f aca="false">IF(CONCATENATE(BH36,BI36,BJ36,BK36,BL36)="",1,"")</f>
        <v/>
      </c>
      <c r="BN36" s="328"/>
      <c r="BO36" s="328"/>
      <c r="BP36" s="328"/>
      <c r="BQ36" s="328"/>
      <c r="BR36" s="47"/>
      <c r="BS36" s="127" t="n">
        <f aca="false">(AG36*AM36)+(AH36*AN36)+((AJ36*AM36)+(AK36*AN36)*1.25)</f>
        <v>0</v>
      </c>
      <c r="BT36" s="127" t="n">
        <f aca="false">(AG36*AP36)+(AH36*AQ36)+((AJ36*AP36)+(AK36*AQ36)*1.25)</f>
        <v>0</v>
      </c>
      <c r="BU36" s="329"/>
      <c r="BV36" s="129"/>
    </row>
    <row r="37" customFormat="false" ht="15" hidden="false" customHeight="false" outlineLevel="0" collapsed="false">
      <c r="A37" s="228"/>
      <c r="B37" s="229"/>
      <c r="C37" s="230"/>
      <c r="D37" s="231"/>
      <c r="E37" s="223" t="str">
        <f aca="false">IF(SUM(A37:D37)&gt;0,SUM(A37:D37),"")</f>
        <v/>
      </c>
      <c r="F37" s="224" t="str">
        <f aca="false">AD50</f>
        <v>ALUBIA</v>
      </c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3"/>
      <c r="S37" s="3"/>
      <c r="T37" s="3"/>
      <c r="U37" s="3"/>
      <c r="V37" s="3"/>
      <c r="W37" s="3"/>
      <c r="X37" s="3"/>
      <c r="Y37" s="3"/>
      <c r="Z37" s="316" t="str">
        <f aca="false">IF(AF37&gt;0,RANK(AF37,AF$6:AF$422),"")</f>
        <v/>
      </c>
      <c r="AA37" s="134" t="n">
        <f aca="false">'O_MN, PE_UTA_UGM 2024'!N14</f>
        <v>1</v>
      </c>
      <c r="AB37" s="135" t="n">
        <f aca="false">'O_MN, PE_UTA_UGM 2024'!O14</f>
        <v>0</v>
      </c>
      <c r="AC37" s="317" t="n">
        <f aca="false">'O_MN, PE_UTA_UGM 2024'!C14</f>
        <v>12</v>
      </c>
      <c r="AD37" s="293" t="str">
        <f aca="false">IF(AB37=0,'O_MN, PE_UTA_UGM 2024'!F14,CONCATENATE('O_MN, PE_UTA_UGM 2024'!F14," ","INVERNADERO"))</f>
        <v>TRANQUILLÓN</v>
      </c>
      <c r="AE37" s="89"/>
      <c r="AF37" s="123" t="n">
        <f aca="false">SUM(AG37:AH37)+SUM(AJ37:AK37)</f>
        <v>0</v>
      </c>
      <c r="AG37" s="318" t="n">
        <f aca="false">A24</f>
        <v>0</v>
      </c>
      <c r="AH37" s="319" t="n">
        <f aca="false">B24</f>
        <v>0</v>
      </c>
      <c r="AI37" s="6"/>
      <c r="AJ37" s="320" t="n">
        <f aca="false">C24</f>
        <v>0</v>
      </c>
      <c r="AK37" s="320" t="n">
        <f aca="false">D24</f>
        <v>0</v>
      </c>
      <c r="AL37" s="237" t="s">
        <v>163</v>
      </c>
      <c r="AM37" s="299" t="n">
        <f aca="false">'O_MN, PE_UTA_UGM 2024'!J14</f>
        <v>365.73</v>
      </c>
      <c r="AN37" s="299" t="n">
        <f aca="false">'O_MN, PE_UTA_UGM 2024'!K14</f>
        <v>600</v>
      </c>
      <c r="AO37" s="300"/>
      <c r="AP37" s="299" t="n">
        <f aca="false">'O_MN, PE_UTA_UGM 2024'!H14</f>
        <v>114.19</v>
      </c>
      <c r="AQ37" s="299" t="n">
        <f aca="false">'O_MN, PE_UTA_UGM 2024'!I14</f>
        <v>240.4</v>
      </c>
      <c r="AR37" s="301"/>
      <c r="AS37" s="302" t="n">
        <f aca="false">'O_MN, PE_UTA_UGM 2024'!L14</f>
        <v>0.00465</v>
      </c>
      <c r="AT37" s="302" t="n">
        <f aca="false">'O_MN, PE_UTA_UGM 2024'!M14</f>
        <v>0.0098</v>
      </c>
      <c r="AU37" s="45"/>
      <c r="AV37" s="321" t="n">
        <f aca="false">AG37*AM37</f>
        <v>0</v>
      </c>
      <c r="AW37" s="319" t="n">
        <f aca="false">AH37*AN37</f>
        <v>0</v>
      </c>
      <c r="AX37" s="320" t="n">
        <f aca="false">1.25*AJ37*AM37</f>
        <v>0</v>
      </c>
      <c r="AY37" s="322" t="n">
        <f aca="false">1.25*AK37*AN37</f>
        <v>0</v>
      </c>
      <c r="AZ37" s="323" t="n">
        <f aca="false">AG37*AP37</f>
        <v>0</v>
      </c>
      <c r="BA37" s="319" t="n">
        <f aca="false">AH37*AQ37</f>
        <v>0</v>
      </c>
      <c r="BB37" s="320" t="n">
        <f aca="false">1.25*AJ37*AP37</f>
        <v>0</v>
      </c>
      <c r="BC37" s="320" t="n">
        <f aca="false">1.25*AK37*AQ37</f>
        <v>0</v>
      </c>
      <c r="BD37" s="321" t="n">
        <f aca="false">AG37*AS37</f>
        <v>0</v>
      </c>
      <c r="BE37" s="319" t="n">
        <f aca="false">AH37*AT37</f>
        <v>0</v>
      </c>
      <c r="BF37" s="320" t="n">
        <f aca="false">AJ37*AS37</f>
        <v>0</v>
      </c>
      <c r="BG37" s="322" t="n">
        <f aca="false">AK37*AT37</f>
        <v>0</v>
      </c>
      <c r="BH37" s="324" t="n">
        <f aca="false">IF(BH$24=$AA37,($AG37*$AM37)+($AJ37*$AM37*1.25)+($AH37*$AN37)+($AK37*$AN37*1.25),"")</f>
        <v>0</v>
      </c>
      <c r="BI37" s="325" t="str">
        <f aca="false">IF(BI$24=$AA37,($AG37*$AM37)+($AJ37*$AM37*1.25)+($AH37*$AN37)+($AK37*$AN37*1.25),"")</f>
        <v/>
      </c>
      <c r="BJ37" s="325" t="str">
        <f aca="false">IF(BJ$24=$AA37,($AG37*$AM37)+($AJ37*$AM37*1.25)+($AH37*$AN37)+($AK37*$AN37*1.25),"")</f>
        <v/>
      </c>
      <c r="BK37" s="325" t="str">
        <f aca="false">IF(BK$24=$AA37,($AG37*$AM37)+($AJ37*$AM37*1.25)+($AH37*$AN37)+($AK37*$AN37*1.25),"")</f>
        <v/>
      </c>
      <c r="BL37" s="326" t="str">
        <f aca="false">IF(BL$24=$AA37,($AG37*$AM37)+($AJ37*$AM37*1.25)+($AH37*$AN37)+($AK37*$AN37*1.25),"")</f>
        <v/>
      </c>
      <c r="BM37" s="327" t="str">
        <f aca="false">IF(CONCATENATE(BH37,BI37,BJ37,BK37,BL37)="",1,"")</f>
        <v/>
      </c>
      <c r="BN37" s="328"/>
      <c r="BO37" s="328"/>
      <c r="BP37" s="328"/>
      <c r="BQ37" s="328"/>
      <c r="BR37" s="47"/>
      <c r="BS37" s="127" t="n">
        <f aca="false">(AG37*AM37)+(AH37*AN37)+((AJ37*AM37)+(AK37*AN37)*1.25)</f>
        <v>0</v>
      </c>
      <c r="BT37" s="127" t="n">
        <f aca="false">(AG37*AP37)+(AH37*AQ37)+((AJ37*AP37)+(AK37*AQ37)*1.25)</f>
        <v>0</v>
      </c>
      <c r="BU37" s="329"/>
      <c r="BV37" s="129"/>
    </row>
    <row r="38" customFormat="false" ht="15" hidden="false" customHeight="false" outlineLevel="0" collapsed="false">
      <c r="A38" s="228"/>
      <c r="B38" s="229"/>
      <c r="C38" s="230"/>
      <c r="D38" s="231"/>
      <c r="E38" s="223" t="str">
        <f aca="false">IF(SUM(A38:D38)&gt;0,SUM(A38:D38),"")</f>
        <v/>
      </c>
      <c r="F38" s="224" t="str">
        <f aca="false">AD51</f>
        <v>GARBANZO</v>
      </c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3"/>
      <c r="S38" s="3"/>
      <c r="T38" s="3"/>
      <c r="U38" s="3"/>
      <c r="V38" s="3"/>
      <c r="W38" s="3"/>
      <c r="X38" s="3"/>
      <c r="Y38" s="3"/>
      <c r="Z38" s="316" t="str">
        <f aca="false">IF(AF38&gt;0,RANK(AF38,AF$6:AF$422),"")</f>
        <v/>
      </c>
      <c r="AA38" s="134" t="n">
        <f aca="false">'O_MN, PE_UTA_UGM 2024'!N15</f>
        <v>1</v>
      </c>
      <c r="AB38" s="135" t="n">
        <f aca="false">'O_MN, PE_UTA_UGM 2024'!O15</f>
        <v>0</v>
      </c>
      <c r="AC38" s="317" t="n">
        <f aca="false">'O_MN, PE_UTA_UGM 2024'!C15</f>
        <v>13</v>
      </c>
      <c r="AD38" s="293" t="str">
        <f aca="false">IF(AB38=0,'O_MN, PE_UTA_UGM 2024'!F15,CONCATENATE('O_MN, PE_UTA_UGM 2024'!F15," ","INVERNADERO"))</f>
        <v>TRITICALE</v>
      </c>
      <c r="AE38" s="89"/>
      <c r="AF38" s="123" t="n">
        <f aca="false">SUM(AG38:AH38)+SUM(AJ38:AK38)</f>
        <v>0</v>
      </c>
      <c r="AG38" s="318" t="n">
        <f aca="false">A25</f>
        <v>0</v>
      </c>
      <c r="AH38" s="319" t="n">
        <f aca="false">B25</f>
        <v>0</v>
      </c>
      <c r="AI38" s="6"/>
      <c r="AJ38" s="320" t="n">
        <f aca="false">C25</f>
        <v>0</v>
      </c>
      <c r="AK38" s="320" t="n">
        <f aca="false">D25</f>
        <v>0</v>
      </c>
      <c r="AL38" s="237" t="s">
        <v>164</v>
      </c>
      <c r="AM38" s="299" t="n">
        <f aca="false">'O_MN, PE_UTA_UGM 2024'!J15</f>
        <v>365.73</v>
      </c>
      <c r="AN38" s="299" t="n">
        <f aca="false">'O_MN, PE_UTA_UGM 2024'!K15</f>
        <v>700</v>
      </c>
      <c r="AO38" s="300"/>
      <c r="AP38" s="299" t="n">
        <f aca="false">'O_MN, PE_UTA_UGM 2024'!H15</f>
        <v>114.19</v>
      </c>
      <c r="AQ38" s="299" t="n">
        <f aca="false">'O_MN, PE_UTA_UGM 2024'!I15</f>
        <v>240.4</v>
      </c>
      <c r="AR38" s="301"/>
      <c r="AS38" s="302" t="n">
        <f aca="false">'O_MN, PE_UTA_UGM 2024'!L15</f>
        <v>0.00465</v>
      </c>
      <c r="AT38" s="302" t="n">
        <f aca="false">'O_MN, PE_UTA_UGM 2024'!M15</f>
        <v>0.0098</v>
      </c>
      <c r="AU38" s="45"/>
      <c r="AV38" s="321" t="n">
        <f aca="false">AG38*AM38</f>
        <v>0</v>
      </c>
      <c r="AW38" s="319" t="n">
        <f aca="false">AH38*AN38</f>
        <v>0</v>
      </c>
      <c r="AX38" s="320" t="n">
        <f aca="false">1.25*AJ38*AM38</f>
        <v>0</v>
      </c>
      <c r="AY38" s="322" t="n">
        <f aca="false">1.25*AK38*AN38</f>
        <v>0</v>
      </c>
      <c r="AZ38" s="323" t="n">
        <f aca="false">AG38*AP38</f>
        <v>0</v>
      </c>
      <c r="BA38" s="319" t="n">
        <f aca="false">AH38*AQ38</f>
        <v>0</v>
      </c>
      <c r="BB38" s="320" t="n">
        <f aca="false">1.25*AJ38*AP38</f>
        <v>0</v>
      </c>
      <c r="BC38" s="320" t="n">
        <f aca="false">1.25*AK38*AQ38</f>
        <v>0</v>
      </c>
      <c r="BD38" s="321" t="n">
        <f aca="false">AG38*AS38</f>
        <v>0</v>
      </c>
      <c r="BE38" s="319" t="n">
        <f aca="false">AH38*AT38</f>
        <v>0</v>
      </c>
      <c r="BF38" s="320" t="n">
        <f aca="false">AJ38*AS38</f>
        <v>0</v>
      </c>
      <c r="BG38" s="322" t="n">
        <f aca="false">AK38*AT38</f>
        <v>0</v>
      </c>
      <c r="BH38" s="324" t="n">
        <f aca="false">IF(BH$24=$AA38,($AG38*$AM38)+($AJ38*$AM38*1.25)+($AH38*$AN38)+($AK38*$AN38*1.25),"")</f>
        <v>0</v>
      </c>
      <c r="BI38" s="325" t="str">
        <f aca="false">IF(BI$24=$AA38,($AG38*$AM38)+($AJ38*$AM38*1.25)+($AH38*$AN38)+($AK38*$AN38*1.25),"")</f>
        <v/>
      </c>
      <c r="BJ38" s="325" t="str">
        <f aca="false">IF(BJ$24=$AA38,($AG38*$AM38)+($AJ38*$AM38*1.25)+($AH38*$AN38)+($AK38*$AN38*1.25),"")</f>
        <v/>
      </c>
      <c r="BK38" s="325" t="str">
        <f aca="false">IF(BK$24=$AA38,($AG38*$AM38)+($AJ38*$AM38*1.25)+($AH38*$AN38)+($AK38*$AN38*1.25),"")</f>
        <v/>
      </c>
      <c r="BL38" s="326" t="str">
        <f aca="false">IF(BL$24=$AA38,($AG38*$AM38)+($AJ38*$AM38*1.25)+($AH38*$AN38)+($AK38*$AN38*1.25),"")</f>
        <v/>
      </c>
      <c r="BM38" s="327" t="str">
        <f aca="false">IF(CONCATENATE(BH38,BI38,BJ38,BK38,BL38)="",1,"")</f>
        <v/>
      </c>
      <c r="BN38" s="328"/>
      <c r="BO38" s="328"/>
      <c r="BP38" s="328"/>
      <c r="BQ38" s="328"/>
      <c r="BR38" s="47"/>
      <c r="BS38" s="127" t="n">
        <f aca="false">(AG38*AM38)+(AH38*AN38)+((AJ38*AM38)+(AK38*AN38)*1.25)</f>
        <v>0</v>
      </c>
      <c r="BT38" s="127" t="n">
        <f aca="false">(AG38*AP38)+(AH38*AQ38)+((AJ38*AP38)+(AK38*AQ38)*1.25)</f>
        <v>0</v>
      </c>
      <c r="BU38" s="329"/>
      <c r="BV38" s="129"/>
    </row>
    <row r="39" customFormat="false" ht="15" hidden="false" customHeight="false" outlineLevel="0" collapsed="false">
      <c r="A39" s="228"/>
      <c r="B39" s="229"/>
      <c r="C39" s="230"/>
      <c r="D39" s="231"/>
      <c r="E39" s="223" t="str">
        <f aca="false">IF(SUM(A39:D39)&gt;0,SUM(A39:D39),"")</f>
        <v/>
      </c>
      <c r="F39" s="224" t="str">
        <f aca="false">AD52</f>
        <v>LENTEJA</v>
      </c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3"/>
      <c r="S39" s="3"/>
      <c r="T39" s="3"/>
      <c r="U39" s="3"/>
      <c r="V39" s="3"/>
      <c r="W39" s="3"/>
      <c r="X39" s="3"/>
      <c r="Y39" s="3"/>
      <c r="Z39" s="316" t="str">
        <f aca="false">IF(AF39&gt;0,RANK(AF39,AF$6:AF$422),"")</f>
        <v/>
      </c>
      <c r="AA39" s="134" t="n">
        <f aca="false">'O_MN, PE_UTA_UGM 2024'!N16</f>
        <v>1</v>
      </c>
      <c r="AB39" s="135" t="n">
        <f aca="false">'O_MN, PE_UTA_UGM 2024'!O16</f>
        <v>0</v>
      </c>
      <c r="AC39" s="317" t="n">
        <f aca="false">'O_MN, PE_UTA_UGM 2024'!C16</f>
        <v>14</v>
      </c>
      <c r="AD39" s="293" t="str">
        <f aca="false">IF(AB39=0,'O_MN, PE_UTA_UGM 2024'!F16,CONCATENATE('O_MN, PE_UTA_UGM 2024'!F16," ","INVERNADERO"))</f>
        <v>TRITORDEUM</v>
      </c>
      <c r="AE39" s="89"/>
      <c r="AF39" s="123" t="n">
        <f aca="false">SUM(AG39:AH39)+SUM(AJ39:AK39)</f>
        <v>0</v>
      </c>
      <c r="AG39" s="318" t="n">
        <f aca="false">A26</f>
        <v>0</v>
      </c>
      <c r="AH39" s="319" t="n">
        <f aca="false">B26</f>
        <v>0</v>
      </c>
      <c r="AI39" s="6"/>
      <c r="AJ39" s="320" t="n">
        <f aca="false">C26</f>
        <v>0</v>
      </c>
      <c r="AK39" s="320" t="n">
        <f aca="false">D26</f>
        <v>0</v>
      </c>
      <c r="AL39" s="237" t="s">
        <v>165</v>
      </c>
      <c r="AM39" s="299" t="n">
        <f aca="false">'O_MN, PE_UTA_UGM 2024'!J16</f>
        <v>365.73</v>
      </c>
      <c r="AN39" s="299" t="n">
        <f aca="false">'O_MN, PE_UTA_UGM 2024'!K16</f>
        <v>700</v>
      </c>
      <c r="AO39" s="300"/>
      <c r="AP39" s="299" t="n">
        <f aca="false">'O_MN, PE_UTA_UGM 2024'!H16</f>
        <v>114.19</v>
      </c>
      <c r="AQ39" s="299" t="n">
        <f aca="false">'O_MN, PE_UTA_UGM 2024'!I16</f>
        <v>240.4</v>
      </c>
      <c r="AR39" s="301"/>
      <c r="AS39" s="302" t="n">
        <f aca="false">'O_MN, PE_UTA_UGM 2024'!L16</f>
        <v>0.00465</v>
      </c>
      <c r="AT39" s="302" t="n">
        <f aca="false">'O_MN, PE_UTA_UGM 2024'!M16</f>
        <v>0.0098</v>
      </c>
      <c r="AU39" s="45"/>
      <c r="AV39" s="321" t="n">
        <f aca="false">AG39*AM39</f>
        <v>0</v>
      </c>
      <c r="AW39" s="319" t="n">
        <f aca="false">AH39*AN39</f>
        <v>0</v>
      </c>
      <c r="AX39" s="320" t="n">
        <f aca="false">1.25*AJ39*AM39</f>
        <v>0</v>
      </c>
      <c r="AY39" s="322" t="n">
        <f aca="false">1.25*AK39*AN39</f>
        <v>0</v>
      </c>
      <c r="AZ39" s="323" t="n">
        <f aca="false">AG39*AP39</f>
        <v>0</v>
      </c>
      <c r="BA39" s="319" t="n">
        <f aca="false">AH39*AQ39</f>
        <v>0</v>
      </c>
      <c r="BB39" s="320" t="n">
        <f aca="false">1.25*AJ39*AP39</f>
        <v>0</v>
      </c>
      <c r="BC39" s="320" t="n">
        <f aca="false">1.25*AK39*AQ39</f>
        <v>0</v>
      </c>
      <c r="BD39" s="321" t="n">
        <f aca="false">AG39*AS39</f>
        <v>0</v>
      </c>
      <c r="BE39" s="319" t="n">
        <f aca="false">AH39*AT39</f>
        <v>0</v>
      </c>
      <c r="BF39" s="320" t="n">
        <f aca="false">AJ39*AS39</f>
        <v>0</v>
      </c>
      <c r="BG39" s="322" t="n">
        <f aca="false">AK39*AT39</f>
        <v>0</v>
      </c>
      <c r="BH39" s="324" t="n">
        <f aca="false">IF(BH$24=$AA39,($AG39*$AM39)+($AJ39*$AM39*1.25)+($AH39*$AN39)+($AK39*$AN39*1.25),"")</f>
        <v>0</v>
      </c>
      <c r="BI39" s="325" t="str">
        <f aca="false">IF(BI$24=$AA39,($AG39*$AM39)+($AJ39*$AM39*1.25)+($AH39*$AN39)+($AK39*$AN39*1.25),"")</f>
        <v/>
      </c>
      <c r="BJ39" s="325" t="str">
        <f aca="false">IF(BJ$24=$AA39,($AG39*$AM39)+($AJ39*$AM39*1.25)+($AH39*$AN39)+($AK39*$AN39*1.25),"")</f>
        <v/>
      </c>
      <c r="BK39" s="325" t="str">
        <f aca="false">IF(BK$24=$AA39,($AG39*$AM39)+($AJ39*$AM39*1.25)+($AH39*$AN39)+($AK39*$AN39*1.25),"")</f>
        <v/>
      </c>
      <c r="BL39" s="326" t="str">
        <f aca="false">IF(BL$24=$AA39,($AG39*$AM39)+($AJ39*$AM39*1.25)+($AH39*$AN39)+($AK39*$AN39*1.25),"")</f>
        <v/>
      </c>
      <c r="BM39" s="327" t="str">
        <f aca="false">IF(CONCATENATE(BH39,BI39,BJ39,BK39,BL39)="",1,"")</f>
        <v/>
      </c>
      <c r="BN39" s="328"/>
      <c r="BO39" s="328"/>
      <c r="BP39" s="328"/>
      <c r="BQ39" s="328"/>
      <c r="BR39" s="47"/>
      <c r="BS39" s="127" t="n">
        <f aca="false">(AG39*AM39)+(AH39*AN39)+((AJ39*AM39)+(AK39*AN39)*1.25)</f>
        <v>0</v>
      </c>
      <c r="BT39" s="127" t="n">
        <f aca="false">(AG39*AP39)+(AH39*AQ39)+((AJ39*AP39)+(AK39*AQ39)*1.25)</f>
        <v>0</v>
      </c>
      <c r="BU39" s="329"/>
      <c r="BV39" s="129"/>
    </row>
    <row r="40" customFormat="false" ht="15" hidden="false" customHeight="false" outlineLevel="0" collapsed="false">
      <c r="A40" s="219"/>
      <c r="B40" s="220"/>
      <c r="C40" s="221"/>
      <c r="D40" s="222"/>
      <c r="E40" s="223" t="str">
        <f aca="false">IF(SUM(A40:D40)&gt;0,SUM(A40:D40),"")</f>
        <v/>
      </c>
      <c r="F40" s="224" t="str">
        <f aca="false">AD53</f>
        <v>VEZA</v>
      </c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3"/>
      <c r="S40" s="3"/>
      <c r="T40" s="3"/>
      <c r="U40" s="3"/>
      <c r="V40" s="3"/>
      <c r="W40" s="3"/>
      <c r="X40" s="3"/>
      <c r="Y40" s="3"/>
      <c r="Z40" s="316" t="str">
        <f aca="false">IF(AF40&gt;0,RANK(AF40,AF$6:AF$422),"")</f>
        <v/>
      </c>
      <c r="AA40" s="134" t="n">
        <f aca="false">'O_MN, PE_UTA_UGM 2024'!N17</f>
        <v>1</v>
      </c>
      <c r="AB40" s="135" t="n">
        <f aca="false">'O_MN, PE_UTA_UGM 2024'!O17</f>
        <v>0</v>
      </c>
      <c r="AC40" s="317" t="n">
        <f aca="false">'O_MN, PE_UTA_UGM 2024'!C17</f>
        <v>19</v>
      </c>
      <c r="AD40" s="293" t="str">
        <f aca="false">IF(AB40=0,'O_MN, PE_UTA_UGM 2024'!F17,CONCATENATE('O_MN, PE_UTA_UGM 2024'!F17," ","INVERNADERO"))</f>
        <v>TEFF</v>
      </c>
      <c r="AE40" s="89"/>
      <c r="AF40" s="123" t="n">
        <f aca="false">SUM(AG40:AH40)+SUM(AJ40:AK40)</f>
        <v>0</v>
      </c>
      <c r="AG40" s="318" t="n">
        <f aca="false">A27</f>
        <v>0</v>
      </c>
      <c r="AH40" s="319" t="n">
        <f aca="false">B27</f>
        <v>0</v>
      </c>
      <c r="AI40" s="6"/>
      <c r="AJ40" s="320" t="n">
        <f aca="false">C27</f>
        <v>0</v>
      </c>
      <c r="AK40" s="320" t="n">
        <f aca="false">D27</f>
        <v>0</v>
      </c>
      <c r="AL40" s="237" t="s">
        <v>166</v>
      </c>
      <c r="AM40" s="299" t="n">
        <f aca="false">'O_MN, PE_UTA_UGM 2024'!J17</f>
        <v>365.73</v>
      </c>
      <c r="AN40" s="299" t="n">
        <f aca="false">'O_MN, PE_UTA_UGM 2024'!K17</f>
        <v>600</v>
      </c>
      <c r="AO40" s="300"/>
      <c r="AP40" s="299" t="n">
        <f aca="false">'O_MN, PE_UTA_UGM 2024'!H17</f>
        <v>114.19</v>
      </c>
      <c r="AQ40" s="299" t="n">
        <f aca="false">'O_MN, PE_UTA_UGM 2024'!I17</f>
        <v>240.4</v>
      </c>
      <c r="AR40" s="301"/>
      <c r="AS40" s="302" t="n">
        <f aca="false">'O_MN, PE_UTA_UGM 2024'!L17</f>
        <v>0.00465</v>
      </c>
      <c r="AT40" s="302" t="n">
        <f aca="false">'O_MN, PE_UTA_UGM 2024'!M17</f>
        <v>0.0098</v>
      </c>
      <c r="AU40" s="45"/>
      <c r="AV40" s="321" t="n">
        <f aca="false">AG40*AM40</f>
        <v>0</v>
      </c>
      <c r="AW40" s="319" t="n">
        <f aca="false">AH40*AN40</f>
        <v>0</v>
      </c>
      <c r="AX40" s="320" t="n">
        <f aca="false">1.25*AJ40*AM40</f>
        <v>0</v>
      </c>
      <c r="AY40" s="322" t="n">
        <f aca="false">1.25*AK40*AN40</f>
        <v>0</v>
      </c>
      <c r="AZ40" s="323" t="n">
        <f aca="false">AG40*AP40</f>
        <v>0</v>
      </c>
      <c r="BA40" s="319" t="n">
        <f aca="false">AH40*AQ40</f>
        <v>0</v>
      </c>
      <c r="BB40" s="320" t="n">
        <f aca="false">1.25*AJ40*AP40</f>
        <v>0</v>
      </c>
      <c r="BC40" s="320" t="n">
        <f aca="false">1.25*AK40*AQ40</f>
        <v>0</v>
      </c>
      <c r="BD40" s="321" t="n">
        <f aca="false">AG40*AS40</f>
        <v>0</v>
      </c>
      <c r="BE40" s="319" t="n">
        <f aca="false">AH40*AT40</f>
        <v>0</v>
      </c>
      <c r="BF40" s="320" t="n">
        <f aca="false">AJ40*AS40</f>
        <v>0</v>
      </c>
      <c r="BG40" s="322" t="n">
        <f aca="false">AK40*AT40</f>
        <v>0</v>
      </c>
      <c r="BH40" s="324" t="n">
        <f aca="false">IF(BH$24=$AA40,($AG40*$AM40)+($AJ40*$AM40*1.25)+($AH40*$AN40)+($AK40*$AN40*1.25),"")</f>
        <v>0</v>
      </c>
      <c r="BI40" s="325" t="str">
        <f aca="false">IF(BI$24=$AA40,($AG40*$AM40)+($AJ40*$AM40*1.25)+($AH40*$AN40)+($AK40*$AN40*1.25),"")</f>
        <v/>
      </c>
      <c r="BJ40" s="325" t="str">
        <f aca="false">IF(BJ$24=$AA40,($AG40*$AM40)+($AJ40*$AM40*1.25)+($AH40*$AN40)+($AK40*$AN40*1.25),"")</f>
        <v/>
      </c>
      <c r="BK40" s="325" t="str">
        <f aca="false">IF(BK$24=$AA40,($AG40*$AM40)+($AJ40*$AM40*1.25)+($AH40*$AN40)+($AK40*$AN40*1.25),"")</f>
        <v/>
      </c>
      <c r="BL40" s="326" t="str">
        <f aca="false">IF(BL$24=$AA40,($AG40*$AM40)+($AJ40*$AM40*1.25)+($AH40*$AN40)+($AK40*$AN40*1.25),"")</f>
        <v/>
      </c>
      <c r="BM40" s="327" t="str">
        <f aca="false">IF(CONCATENATE(BH40,BI40,BJ40,BK40,BL40)="",1,"")</f>
        <v/>
      </c>
      <c r="BN40" s="328"/>
      <c r="BO40" s="328"/>
      <c r="BP40" s="328"/>
      <c r="BQ40" s="328"/>
      <c r="BR40" s="47"/>
      <c r="BS40" s="127" t="n">
        <f aca="false">(AG40*AM40)+(AH40*AN40)+((AJ40*AM40)+(AK40*AN40)*1.25)</f>
        <v>0</v>
      </c>
      <c r="BT40" s="127" t="n">
        <f aca="false">(AG40*AP40)+(AH40*AQ40)+((AJ40*AP40)+(AK40*AQ40)*1.25)</f>
        <v>0</v>
      </c>
      <c r="BU40" s="329"/>
      <c r="BV40" s="129"/>
    </row>
    <row r="41" customFormat="false" ht="15" hidden="false" customHeight="false" outlineLevel="0" collapsed="false">
      <c r="A41" s="228"/>
      <c r="B41" s="229"/>
      <c r="C41" s="230"/>
      <c r="D41" s="231"/>
      <c r="E41" s="223" t="str">
        <f aca="false">IF(SUM(A41:D41)&gt;0,SUM(A41:D41),"")</f>
        <v/>
      </c>
      <c r="F41" s="224" t="str">
        <f aca="false">AD54</f>
        <v>YEROS</v>
      </c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3"/>
      <c r="S41" s="3"/>
      <c r="T41" s="3"/>
      <c r="U41" s="3"/>
      <c r="V41" s="3"/>
      <c r="W41" s="3"/>
      <c r="X41" s="3"/>
      <c r="Y41" s="3"/>
      <c r="Z41" s="316" t="str">
        <f aca="false">IF(AF41&gt;0,RANK(AF41,AF$6:AF$422),"")</f>
        <v/>
      </c>
      <c r="AA41" s="134" t="n">
        <f aca="false">'O_MN, PE_UTA_UGM 2024'!N18</f>
        <v>0</v>
      </c>
      <c r="AB41" s="135" t="n">
        <f aca="false">'O_MN, PE_UTA_UGM 2024'!O18</f>
        <v>0</v>
      </c>
      <c r="AC41" s="317" t="n">
        <f aca="false">'O_MN, PE_UTA_UGM 2024'!C18</f>
        <v>20</v>
      </c>
      <c r="AD41" s="293" t="str">
        <f aca="false">IF(AB41=0,'O_MN, PE_UTA_UGM 2024'!F18,CONCATENATE('O_MN, PE_UTA_UGM 2024'!F18," ","INVERNADERO"))</f>
        <v>BARBECHO TRADICIONAL</v>
      </c>
      <c r="AE41" s="89"/>
      <c r="AF41" s="123" t="n">
        <f aca="false">SUM(AG41:AH41)+SUM(AJ41:AK41)</f>
        <v>0</v>
      </c>
      <c r="AG41" s="318" t="n">
        <f aca="false">A28</f>
        <v>0</v>
      </c>
      <c r="AH41" s="319" t="n">
        <f aca="false">B28</f>
        <v>0</v>
      </c>
      <c r="AI41" s="6"/>
      <c r="AJ41" s="320" t="n">
        <f aca="false">C28</f>
        <v>0</v>
      </c>
      <c r="AK41" s="320" t="n">
        <f aca="false">D28</f>
        <v>0</v>
      </c>
      <c r="AL41" s="237" t="s">
        <v>167</v>
      </c>
      <c r="AM41" s="299" t="n">
        <f aca="false">'O_MN, PE_UTA_UGM 2024'!J18</f>
        <v>119</v>
      </c>
      <c r="AN41" s="299" t="n">
        <f aca="false">'O_MN, PE_UTA_UGM 2024'!K18</f>
        <v>256</v>
      </c>
      <c r="AO41" s="300"/>
      <c r="AP41" s="299" t="n">
        <f aca="false">'O_MN, PE_UTA_UGM 2024'!H18</f>
        <v>48.08</v>
      </c>
      <c r="AQ41" s="299" t="n">
        <f aca="false">'O_MN, PE_UTA_UGM 2024'!I18</f>
        <v>150.25</v>
      </c>
      <c r="AR41" s="301"/>
      <c r="AS41" s="302" t="n">
        <f aca="false">'O_MN, PE_UTA_UGM 2024'!L18</f>
        <v>0.00196</v>
      </c>
      <c r="AT41" s="302" t="n">
        <f aca="false">'O_MN, PE_UTA_UGM 2024'!M18</f>
        <v>0.00612</v>
      </c>
      <c r="AU41" s="45"/>
      <c r="AV41" s="321" t="n">
        <f aca="false">AG41*AM41</f>
        <v>0</v>
      </c>
      <c r="AW41" s="319" t="n">
        <f aca="false">AH41*AN41</f>
        <v>0</v>
      </c>
      <c r="AX41" s="320" t="n">
        <f aca="false">1.25*AJ41*AM41</f>
        <v>0</v>
      </c>
      <c r="AY41" s="322" t="n">
        <f aca="false">1.25*AK41*AN41</f>
        <v>0</v>
      </c>
      <c r="AZ41" s="323" t="n">
        <f aca="false">AG41*AP41</f>
        <v>0</v>
      </c>
      <c r="BA41" s="319" t="n">
        <f aca="false">AH41*AQ41</f>
        <v>0</v>
      </c>
      <c r="BB41" s="320" t="n">
        <f aca="false">1.25*AJ41*AP41</f>
        <v>0</v>
      </c>
      <c r="BC41" s="320" t="n">
        <f aca="false">1.25*AK41*AQ41</f>
        <v>0</v>
      </c>
      <c r="BD41" s="321" t="n">
        <f aca="false">AG41*AS41</f>
        <v>0</v>
      </c>
      <c r="BE41" s="319" t="n">
        <f aca="false">AH41*AT41</f>
        <v>0</v>
      </c>
      <c r="BF41" s="320" t="n">
        <f aca="false">AJ41*AS41</f>
        <v>0</v>
      </c>
      <c r="BG41" s="322" t="n">
        <f aca="false">AK41*AT41</f>
        <v>0</v>
      </c>
      <c r="BH41" s="324" t="str">
        <f aca="false">IF(BH$24=$AA41,($AG41*$AM41)+($AJ41*$AM41*1.25)+($AH41*$AN41)+($AK41*$AN41*1.25),"")</f>
        <v/>
      </c>
      <c r="BI41" s="325" t="str">
        <f aca="false">IF(BI$24=$AA41,($AG41*$AM41)+($AJ41*$AM41*1.25)+($AH41*$AN41)+($AK41*$AN41*1.25),"")</f>
        <v/>
      </c>
      <c r="BJ41" s="325" t="str">
        <f aca="false">IF(BJ$24=$AA41,($AG41*$AM41)+($AJ41*$AM41*1.25)+($AH41*$AN41)+($AK41*$AN41*1.25),"")</f>
        <v/>
      </c>
      <c r="BK41" s="325" t="str">
        <f aca="false">IF(BK$24=$AA41,($AG41*$AM41)+($AJ41*$AM41*1.25)+($AH41*$AN41)+($AK41*$AN41*1.25),"")</f>
        <v/>
      </c>
      <c r="BL41" s="326" t="str">
        <f aca="false">IF(BL$24=$AA41,($AG41*$AM41)+($AJ41*$AM41*1.25)+($AH41*$AN41)+($AK41*$AN41*1.25),"")</f>
        <v/>
      </c>
      <c r="BM41" s="327" t="n">
        <f aca="false">IF(CONCATENATE(BH41,BI41,BJ41,BK41,BL41)="",1,"")</f>
        <v>1</v>
      </c>
      <c r="BN41" s="328"/>
      <c r="BO41" s="328"/>
      <c r="BP41" s="328"/>
      <c r="BQ41" s="328"/>
      <c r="BR41" s="47"/>
      <c r="BS41" s="127" t="n">
        <f aca="false">(AG41*AM41)+(AH41*AN41)+((AJ41*AM41)+(AK41*AN41)*1.25)</f>
        <v>0</v>
      </c>
      <c r="BT41" s="127" t="n">
        <f aca="false">(AG41*AP41)+(AH41*AQ41)+((AJ41*AP41)+(AK41*AQ41)*1.25)</f>
        <v>0</v>
      </c>
      <c r="BU41" s="329"/>
      <c r="BV41" s="129"/>
    </row>
    <row r="42" customFormat="false" ht="15" hidden="false" customHeight="false" outlineLevel="0" collapsed="false">
      <c r="A42" s="228"/>
      <c r="B42" s="229"/>
      <c r="C42" s="230"/>
      <c r="D42" s="231"/>
      <c r="E42" s="223" t="str">
        <f aca="false">IF(SUM(A42:D42)&gt;0,SUM(A42:D42),"")</f>
        <v/>
      </c>
      <c r="F42" s="224" t="str">
        <f aca="false">AD55</f>
        <v>ALFALFA</v>
      </c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3"/>
      <c r="S42" s="3"/>
      <c r="T42" s="3"/>
      <c r="U42" s="3"/>
      <c r="V42" s="3"/>
      <c r="W42" s="3"/>
      <c r="X42" s="3"/>
      <c r="Y42" s="3"/>
      <c r="Z42" s="316" t="str">
        <f aca="false">IF(AF42&gt;0,RANK(AF42,AF$6:AF$422),"")</f>
        <v/>
      </c>
      <c r="AA42" s="134" t="n">
        <f aca="false">'O_MN, PE_UTA_UGM 2024'!N19</f>
        <v>0</v>
      </c>
      <c r="AB42" s="135" t="n">
        <f aca="false">'O_MN, PE_UTA_UGM 2024'!O19</f>
        <v>0</v>
      </c>
      <c r="AC42" s="317" t="n">
        <f aca="false">'O_MN, PE_UTA_UGM 2024'!C19</f>
        <v>23</v>
      </c>
      <c r="AD42" s="293" t="str">
        <f aca="false">IF(AB42=0,'O_MN, PE_UTA_UGM 2024'!F19,CONCATENATE('O_MN, PE_UTA_UGM 2024'!F19," ","INVERNADERO"))</f>
        <v>BARBECHO MEDIOAMBIENTAL</v>
      </c>
      <c r="AE42" s="89"/>
      <c r="AF42" s="123" t="n">
        <f aca="false">SUM(AG42:AH42)+SUM(AJ42:AK42)</f>
        <v>0</v>
      </c>
      <c r="AG42" s="318" t="n">
        <f aca="false">A29</f>
        <v>0</v>
      </c>
      <c r="AH42" s="319" t="n">
        <f aca="false">B29</f>
        <v>0</v>
      </c>
      <c r="AI42" s="6"/>
      <c r="AJ42" s="320" t="n">
        <f aca="false">C29</f>
        <v>0</v>
      </c>
      <c r="AK42" s="320" t="n">
        <f aca="false">D29</f>
        <v>0</v>
      </c>
      <c r="AL42" s="237" t="s">
        <v>168</v>
      </c>
      <c r="AM42" s="299" t="n">
        <f aca="false">'O_MN, PE_UTA_UGM 2024'!J19</f>
        <v>119</v>
      </c>
      <c r="AN42" s="299" t="n">
        <f aca="false">'O_MN, PE_UTA_UGM 2024'!K19</f>
        <v>256</v>
      </c>
      <c r="AO42" s="300"/>
      <c r="AP42" s="299" t="n">
        <f aca="false">'O_MN, PE_UTA_UGM 2024'!H19</f>
        <v>48.08</v>
      </c>
      <c r="AQ42" s="299" t="n">
        <f aca="false">'O_MN, PE_UTA_UGM 2024'!I19</f>
        <v>150.25</v>
      </c>
      <c r="AR42" s="301"/>
      <c r="AS42" s="302" t="n">
        <f aca="false">'O_MN, PE_UTA_UGM 2024'!L19</f>
        <v>0.00196</v>
      </c>
      <c r="AT42" s="302" t="n">
        <f aca="false">'O_MN, PE_UTA_UGM 2024'!M19</f>
        <v>0.00612</v>
      </c>
      <c r="AU42" s="45"/>
      <c r="AV42" s="321" t="n">
        <f aca="false">AG42*AM42</f>
        <v>0</v>
      </c>
      <c r="AW42" s="319" t="n">
        <f aca="false">AH42*AN42</f>
        <v>0</v>
      </c>
      <c r="AX42" s="320" t="n">
        <f aca="false">1.25*AJ42*AM42</f>
        <v>0</v>
      </c>
      <c r="AY42" s="322" t="n">
        <f aca="false">1.25*AK42*AN42</f>
        <v>0</v>
      </c>
      <c r="AZ42" s="323" t="n">
        <f aca="false">AG42*AP42</f>
        <v>0</v>
      </c>
      <c r="BA42" s="319" t="n">
        <f aca="false">AH42*AQ42</f>
        <v>0</v>
      </c>
      <c r="BB42" s="320" t="n">
        <f aca="false">1.25*AJ42*AP42</f>
        <v>0</v>
      </c>
      <c r="BC42" s="320" t="n">
        <f aca="false">1.25*AK42*AQ42</f>
        <v>0</v>
      </c>
      <c r="BD42" s="321" t="n">
        <f aca="false">AG42*AS42</f>
        <v>0</v>
      </c>
      <c r="BE42" s="319" t="n">
        <f aca="false">AH42*AT42</f>
        <v>0</v>
      </c>
      <c r="BF42" s="320" t="n">
        <f aca="false">AJ42*AS42</f>
        <v>0</v>
      </c>
      <c r="BG42" s="322" t="n">
        <f aca="false">AK42*AT42</f>
        <v>0</v>
      </c>
      <c r="BH42" s="324" t="str">
        <f aca="false">IF(BH$24=$AA42,($AG42*$AM42)+($AJ42*$AM42*1.25)+($AH42*$AN42)+($AK42*$AN42*1.25),"")</f>
        <v/>
      </c>
      <c r="BI42" s="325" t="str">
        <f aca="false">IF(BI$24=$AA42,($AG42*$AM42)+($AJ42*$AM42*1.25)+($AH42*$AN42)+($AK42*$AN42*1.25),"")</f>
        <v/>
      </c>
      <c r="BJ42" s="325" t="str">
        <f aca="false">IF(BJ$24=$AA42,($AG42*$AM42)+($AJ42*$AM42*1.25)+($AH42*$AN42)+($AK42*$AN42*1.25),"")</f>
        <v/>
      </c>
      <c r="BK42" s="325" t="str">
        <f aca="false">IF(BK$24=$AA42,($AG42*$AM42)+($AJ42*$AM42*1.25)+($AH42*$AN42)+($AK42*$AN42*1.25),"")</f>
        <v/>
      </c>
      <c r="BL42" s="326" t="str">
        <f aca="false">IF(BL$24=$AA42,($AG42*$AM42)+($AJ42*$AM42*1.25)+($AH42*$AN42)+($AK42*$AN42*1.25),"")</f>
        <v/>
      </c>
      <c r="BM42" s="327" t="n">
        <f aca="false">IF(CONCATENATE(BH42,BI42,BJ42,BK42,BL42)="",1,"")</f>
        <v>1</v>
      </c>
      <c r="BN42" s="328"/>
      <c r="BO42" s="328"/>
      <c r="BP42" s="328"/>
      <c r="BQ42" s="328"/>
      <c r="BR42" s="47"/>
      <c r="BS42" s="127" t="n">
        <f aca="false">(AG42*AM42)+(AH42*AN42)+((AJ42*AM42)+(AK42*AN42)*1.25)</f>
        <v>0</v>
      </c>
      <c r="BT42" s="127" t="n">
        <f aca="false">(AG42*AP42)+(AH42*AQ42)+((AJ42*AP42)+(AK42*AQ42)*1.25)</f>
        <v>0</v>
      </c>
      <c r="BU42" s="329"/>
      <c r="BV42" s="129"/>
    </row>
    <row r="43" customFormat="false" ht="15" hidden="false" customHeight="false" outlineLevel="0" collapsed="false">
      <c r="A43" s="228"/>
      <c r="B43" s="229"/>
      <c r="C43" s="230"/>
      <c r="D43" s="231"/>
      <c r="E43" s="223" t="str">
        <f aca="false">IF(SUM(A43:D43)&gt;0,SUM(A43:D43),"")</f>
        <v/>
      </c>
      <c r="F43" s="224" t="str">
        <f aca="false">AD56</f>
        <v>ALHOLVA</v>
      </c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3"/>
      <c r="S43" s="3"/>
      <c r="T43" s="3"/>
      <c r="U43" s="3"/>
      <c r="V43" s="3"/>
      <c r="W43" s="3"/>
      <c r="X43" s="3"/>
      <c r="Y43" s="3"/>
      <c r="Z43" s="316" t="str">
        <f aca="false">IF(AF43&gt;0,RANK(AF43,AF$6:AF$422),"")</f>
        <v/>
      </c>
      <c r="AA43" s="134" t="n">
        <f aca="false">'O_MN, PE_UTA_UGM 2024'!N20</f>
        <v>1</v>
      </c>
      <c r="AB43" s="135" t="n">
        <f aca="false">'O_MN, PE_UTA_UGM 2024'!O20</f>
        <v>0</v>
      </c>
      <c r="AC43" s="317" t="n">
        <f aca="false">'O_MN, PE_UTA_UGM 2024'!C20</f>
        <v>33</v>
      </c>
      <c r="AD43" s="293" t="str">
        <f aca="false">IF(AB43=0,'O_MN, PE_UTA_UGM 2024'!F20,CONCATENATE('O_MN, PE_UTA_UGM 2024'!F20," ","INVERNADERO"))</f>
        <v>GIRASOL</v>
      </c>
      <c r="AE43" s="89"/>
      <c r="AF43" s="123" t="n">
        <f aca="false">SUM(AG43:AH43)+SUM(AJ43:AK43)</f>
        <v>0</v>
      </c>
      <c r="AG43" s="318" t="n">
        <f aca="false">A30</f>
        <v>0</v>
      </c>
      <c r="AH43" s="319" t="n">
        <f aca="false">B30</f>
        <v>0</v>
      </c>
      <c r="AI43" s="6"/>
      <c r="AJ43" s="320" t="n">
        <f aca="false">C30</f>
        <v>0</v>
      </c>
      <c r="AK43" s="320" t="n">
        <f aca="false">D30</f>
        <v>0</v>
      </c>
      <c r="AL43" s="237" t="s">
        <v>169</v>
      </c>
      <c r="AM43" s="299" t="n">
        <f aca="false">'O_MN, PE_UTA_UGM 2024'!J20</f>
        <v>350</v>
      </c>
      <c r="AN43" s="299" t="n">
        <f aca="false">'O_MN, PE_UTA_UGM 2024'!K20</f>
        <v>750</v>
      </c>
      <c r="AO43" s="300"/>
      <c r="AP43" s="299" t="n">
        <f aca="false">'O_MN, PE_UTA_UGM 2024'!H20</f>
        <v>114.19</v>
      </c>
      <c r="AQ43" s="299" t="n">
        <f aca="false">'O_MN, PE_UTA_UGM 2024'!I20</f>
        <v>240.4</v>
      </c>
      <c r="AR43" s="301"/>
      <c r="AS43" s="302" t="n">
        <f aca="false">'O_MN, PE_UTA_UGM 2024'!L20</f>
        <v>0.00465</v>
      </c>
      <c r="AT43" s="302" t="n">
        <f aca="false">'O_MN, PE_UTA_UGM 2024'!M20</f>
        <v>0.0098</v>
      </c>
      <c r="AU43" s="45"/>
      <c r="AV43" s="321" t="n">
        <f aca="false">AG43*AM43</f>
        <v>0</v>
      </c>
      <c r="AW43" s="319" t="n">
        <f aca="false">AH43*AN43</f>
        <v>0</v>
      </c>
      <c r="AX43" s="320" t="n">
        <f aca="false">1.25*AJ43*AM43</f>
        <v>0</v>
      </c>
      <c r="AY43" s="322" t="n">
        <f aca="false">1.25*AK43*AN43</f>
        <v>0</v>
      </c>
      <c r="AZ43" s="323" t="n">
        <f aca="false">AG43*AP43</f>
        <v>0</v>
      </c>
      <c r="BA43" s="319" t="n">
        <f aca="false">AH43*AQ43</f>
        <v>0</v>
      </c>
      <c r="BB43" s="320" t="n">
        <f aca="false">1.25*AJ43*AP43</f>
        <v>0</v>
      </c>
      <c r="BC43" s="320" t="n">
        <f aca="false">1.25*AK43*AQ43</f>
        <v>0</v>
      </c>
      <c r="BD43" s="321" t="n">
        <f aca="false">AG43*AS43</f>
        <v>0</v>
      </c>
      <c r="BE43" s="319" t="n">
        <f aca="false">AH43*AT43</f>
        <v>0</v>
      </c>
      <c r="BF43" s="320" t="n">
        <f aca="false">AJ43*AS43</f>
        <v>0</v>
      </c>
      <c r="BG43" s="322" t="n">
        <f aca="false">AK43*AT43</f>
        <v>0</v>
      </c>
      <c r="BH43" s="324" t="n">
        <f aca="false">IF(BH$24=$AA43,($AG43*$AM43)+($AJ43*$AM43*1.25)+($AH43*$AN43)+($AK43*$AN43*1.25),"")</f>
        <v>0</v>
      </c>
      <c r="BI43" s="325" t="str">
        <f aca="false">IF(BI$24=$AA43,($AG43*$AM43)+($AJ43*$AM43*1.25)+($AH43*$AN43)+($AK43*$AN43*1.25),"")</f>
        <v/>
      </c>
      <c r="BJ43" s="325" t="str">
        <f aca="false">IF(BJ$24=$AA43,($AG43*$AM43)+($AJ43*$AM43*1.25)+($AH43*$AN43)+($AK43*$AN43*1.25),"")</f>
        <v/>
      </c>
      <c r="BK43" s="325" t="str">
        <f aca="false">IF(BK$24=$AA43,($AG43*$AM43)+($AJ43*$AM43*1.25)+($AH43*$AN43)+($AK43*$AN43*1.25),"")</f>
        <v/>
      </c>
      <c r="BL43" s="326" t="str">
        <f aca="false">IF(BL$24=$AA43,($AG43*$AM43)+($AJ43*$AM43*1.25)+($AH43*$AN43)+($AK43*$AN43*1.25),"")</f>
        <v/>
      </c>
      <c r="BM43" s="327" t="str">
        <f aca="false">IF(CONCATENATE(BH43,BI43,BJ43,BK43,BL43)="",1,"")</f>
        <v/>
      </c>
      <c r="BN43" s="328"/>
      <c r="BO43" s="328"/>
      <c r="BP43" s="328"/>
      <c r="BQ43" s="328"/>
      <c r="BR43" s="47"/>
      <c r="BS43" s="127" t="n">
        <f aca="false">(AG43*AM43)+(AH43*AN43)+((AJ43*AM43)+(AK43*AN43)*1.25)</f>
        <v>0</v>
      </c>
      <c r="BT43" s="127" t="n">
        <f aca="false">(AG43*AP43)+(AH43*AQ43)+((AJ43*AP43)+(AK43*AQ43)*1.25)</f>
        <v>0</v>
      </c>
      <c r="BU43" s="329"/>
      <c r="BV43" s="129"/>
    </row>
    <row r="44" customFormat="false" ht="15" hidden="false" customHeight="false" outlineLevel="0" collapsed="false">
      <c r="A44" s="228"/>
      <c r="B44" s="229"/>
      <c r="C44" s="230"/>
      <c r="D44" s="231"/>
      <c r="E44" s="223" t="str">
        <f aca="false">IF(SUM(A44:D44)&gt;0,SUM(A44:D44),"")</f>
        <v/>
      </c>
      <c r="F44" s="224" t="str">
        <f aca="false">AD57</f>
        <v>ESPARCETA</v>
      </c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3"/>
      <c r="S44" s="3"/>
      <c r="T44" s="3"/>
      <c r="U44" s="3"/>
      <c r="V44" s="3"/>
      <c r="W44" s="3"/>
      <c r="X44" s="3"/>
      <c r="Y44" s="3"/>
      <c r="Z44" s="316" t="str">
        <f aca="false">IF(AF44&gt;0,RANK(AF44,AF$6:AF$422),"")</f>
        <v/>
      </c>
      <c r="AA44" s="134" t="n">
        <f aca="false">'O_MN, PE_UTA_UGM 2024'!N21</f>
        <v>1</v>
      </c>
      <c r="AB44" s="135" t="n">
        <f aca="false">'O_MN, PE_UTA_UGM 2024'!O21</f>
        <v>0</v>
      </c>
      <c r="AC44" s="317" t="n">
        <f aca="false">'O_MN, PE_UTA_UGM 2024'!C21</f>
        <v>34</v>
      </c>
      <c r="AD44" s="293" t="str">
        <f aca="false">IF(AB44=0,'O_MN, PE_UTA_UGM 2024'!F21,CONCATENATE('O_MN, PE_UTA_UGM 2024'!F21," ","INVERNADERO"))</f>
        <v>SOJA</v>
      </c>
      <c r="AE44" s="89"/>
      <c r="AF44" s="123" t="n">
        <f aca="false">SUM(AG44:AH44)+SUM(AJ44:AK44)</f>
        <v>0</v>
      </c>
      <c r="AG44" s="318" t="n">
        <f aca="false">A31</f>
        <v>0</v>
      </c>
      <c r="AH44" s="319" t="n">
        <f aca="false">B31</f>
        <v>0</v>
      </c>
      <c r="AI44" s="6"/>
      <c r="AJ44" s="320" t="n">
        <f aca="false">C31</f>
        <v>0</v>
      </c>
      <c r="AK44" s="320" t="n">
        <f aca="false">D31</f>
        <v>0</v>
      </c>
      <c r="AL44" s="237" t="s">
        <v>170</v>
      </c>
      <c r="AM44" s="299" t="n">
        <f aca="false">'O_MN, PE_UTA_UGM 2024'!J21</f>
        <v>350</v>
      </c>
      <c r="AN44" s="299" t="n">
        <f aca="false">'O_MN, PE_UTA_UGM 2024'!K21</f>
        <v>850</v>
      </c>
      <c r="AO44" s="300"/>
      <c r="AP44" s="299" t="n">
        <f aca="false">'O_MN, PE_UTA_UGM 2024'!H21</f>
        <v>114.19</v>
      </c>
      <c r="AQ44" s="299" t="n">
        <f aca="false">'O_MN, PE_UTA_UGM 2024'!I21</f>
        <v>240.4</v>
      </c>
      <c r="AR44" s="301"/>
      <c r="AS44" s="302" t="n">
        <f aca="false">'O_MN, PE_UTA_UGM 2024'!L21</f>
        <v>0.00465</v>
      </c>
      <c r="AT44" s="302" t="n">
        <f aca="false">'O_MN, PE_UTA_UGM 2024'!M21</f>
        <v>0.0098</v>
      </c>
      <c r="AU44" s="45"/>
      <c r="AV44" s="321" t="n">
        <f aca="false">AG44*AM44</f>
        <v>0</v>
      </c>
      <c r="AW44" s="319" t="n">
        <f aca="false">AH44*AN44</f>
        <v>0</v>
      </c>
      <c r="AX44" s="320" t="n">
        <f aca="false">1.25*AJ44*AM44</f>
        <v>0</v>
      </c>
      <c r="AY44" s="322" t="n">
        <f aca="false">1.25*AK44*AN44</f>
        <v>0</v>
      </c>
      <c r="AZ44" s="323" t="n">
        <f aca="false">AG44*AP44</f>
        <v>0</v>
      </c>
      <c r="BA44" s="319" t="n">
        <f aca="false">AH44*AQ44</f>
        <v>0</v>
      </c>
      <c r="BB44" s="320" t="n">
        <f aca="false">1.25*AJ44*AP44</f>
        <v>0</v>
      </c>
      <c r="BC44" s="320" t="n">
        <f aca="false">1.25*AK44*AQ44</f>
        <v>0</v>
      </c>
      <c r="BD44" s="321" t="n">
        <f aca="false">AG44*AS44</f>
        <v>0</v>
      </c>
      <c r="BE44" s="319" t="n">
        <f aca="false">AH44*AT44</f>
        <v>0</v>
      </c>
      <c r="BF44" s="320" t="n">
        <f aca="false">AJ44*AS44</f>
        <v>0</v>
      </c>
      <c r="BG44" s="322" t="n">
        <f aca="false">AK44*AT44</f>
        <v>0</v>
      </c>
      <c r="BH44" s="324" t="n">
        <f aca="false">IF(BH$24=$AA44,($AG44*$AM44)+($AJ44*$AM44*1.25)+($AH44*$AN44)+($AK44*$AN44*1.25),"")</f>
        <v>0</v>
      </c>
      <c r="BI44" s="325" t="str">
        <f aca="false">IF(BI$24=$AA44,($AG44*$AM44)+($AJ44*$AM44*1.25)+($AH44*$AN44)+($AK44*$AN44*1.25),"")</f>
        <v/>
      </c>
      <c r="BJ44" s="325" t="str">
        <f aca="false">IF(BJ$24=$AA44,($AG44*$AM44)+($AJ44*$AM44*1.25)+($AH44*$AN44)+($AK44*$AN44*1.25),"")</f>
        <v/>
      </c>
      <c r="BK44" s="325" t="str">
        <f aca="false">IF(BK$24=$AA44,($AG44*$AM44)+($AJ44*$AM44*1.25)+($AH44*$AN44)+($AK44*$AN44*1.25),"")</f>
        <v/>
      </c>
      <c r="BL44" s="326" t="str">
        <f aca="false">IF(BL$24=$AA44,($AG44*$AM44)+($AJ44*$AM44*1.25)+($AH44*$AN44)+($AK44*$AN44*1.25),"")</f>
        <v/>
      </c>
      <c r="BM44" s="327" t="str">
        <f aca="false">IF(CONCATENATE(BH44,BI44,BJ44,BK44,BL44)="",1,"")</f>
        <v/>
      </c>
      <c r="BN44" s="328"/>
      <c r="BO44" s="328"/>
      <c r="BP44" s="328"/>
      <c r="BQ44" s="328"/>
      <c r="BR44" s="47"/>
      <c r="BS44" s="127" t="n">
        <f aca="false">(AG44*AM44)+(AH44*AN44)+((AJ44*AM44)+(AK44*AN44)*1.25)</f>
        <v>0</v>
      </c>
      <c r="BT44" s="127" t="n">
        <f aca="false">(AG44*AP44)+(AH44*AQ44)+((AJ44*AP44)+(AK44*AQ44)*1.25)</f>
        <v>0</v>
      </c>
      <c r="BU44" s="329"/>
      <c r="BV44" s="129"/>
    </row>
    <row r="45" customFormat="false" ht="15" hidden="false" customHeight="false" outlineLevel="0" collapsed="false">
      <c r="A45" s="219"/>
      <c r="B45" s="220"/>
      <c r="C45" s="221"/>
      <c r="D45" s="222"/>
      <c r="E45" s="223" t="str">
        <f aca="false">IF(SUM(A45:D45)&gt;0,SUM(A45:D45),"")</f>
        <v/>
      </c>
      <c r="F45" s="224" t="str">
        <f aca="false">AD58</f>
        <v>FESTUCA</v>
      </c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3"/>
      <c r="S45" s="3"/>
      <c r="T45" s="3"/>
      <c r="U45" s="3"/>
      <c r="V45" s="3"/>
      <c r="W45" s="3"/>
      <c r="X45" s="3"/>
      <c r="Y45" s="3"/>
      <c r="Z45" s="316" t="str">
        <f aca="false">IF(AF45&gt;0,RANK(AF45,AF$6:AF$422),"")</f>
        <v/>
      </c>
      <c r="AA45" s="134" t="n">
        <f aca="false">'O_MN, PE_UTA_UGM 2024'!N22</f>
        <v>1</v>
      </c>
      <c r="AB45" s="135" t="n">
        <f aca="false">'O_MN, PE_UTA_UGM 2024'!O22</f>
        <v>0</v>
      </c>
      <c r="AC45" s="317" t="n">
        <f aca="false">'O_MN, PE_UTA_UGM 2024'!C22</f>
        <v>35</v>
      </c>
      <c r="AD45" s="293" t="str">
        <f aca="false">IF(AB45=0,'O_MN, PE_UTA_UGM 2024'!F22,CONCATENATE('O_MN, PE_UTA_UGM 2024'!F22," ","INVERNADERO"))</f>
        <v>COLZA</v>
      </c>
      <c r="AE45" s="89"/>
      <c r="AF45" s="123" t="n">
        <f aca="false">SUM(AG45:AH45)+SUM(AJ45:AK45)</f>
        <v>0</v>
      </c>
      <c r="AG45" s="318" t="n">
        <f aca="false">A32</f>
        <v>0</v>
      </c>
      <c r="AH45" s="319" t="n">
        <f aca="false">B32</f>
        <v>0</v>
      </c>
      <c r="AI45" s="6"/>
      <c r="AJ45" s="320" t="n">
        <f aca="false">C32</f>
        <v>0</v>
      </c>
      <c r="AK45" s="320" t="n">
        <f aca="false">D32</f>
        <v>0</v>
      </c>
      <c r="AL45" s="237" t="s">
        <v>171</v>
      </c>
      <c r="AM45" s="299" t="n">
        <f aca="false">'O_MN, PE_UTA_UGM 2024'!J22</f>
        <v>350</v>
      </c>
      <c r="AN45" s="299" t="n">
        <f aca="false">'O_MN, PE_UTA_UGM 2024'!K22</f>
        <v>750</v>
      </c>
      <c r="AO45" s="300"/>
      <c r="AP45" s="299" t="n">
        <f aca="false">'O_MN, PE_UTA_UGM 2024'!H22</f>
        <v>114.19</v>
      </c>
      <c r="AQ45" s="299" t="n">
        <f aca="false">'O_MN, PE_UTA_UGM 2024'!I22</f>
        <v>240.4</v>
      </c>
      <c r="AR45" s="301"/>
      <c r="AS45" s="302" t="n">
        <f aca="false">'O_MN, PE_UTA_UGM 2024'!L22</f>
        <v>0.00465</v>
      </c>
      <c r="AT45" s="302" t="n">
        <f aca="false">'O_MN, PE_UTA_UGM 2024'!M22</f>
        <v>0.0098</v>
      </c>
      <c r="AU45" s="45"/>
      <c r="AV45" s="321" t="n">
        <f aca="false">AG45*AM45</f>
        <v>0</v>
      </c>
      <c r="AW45" s="319" t="n">
        <f aca="false">AH45*AN45</f>
        <v>0</v>
      </c>
      <c r="AX45" s="320" t="n">
        <f aca="false">1.25*AJ45*AM45</f>
        <v>0</v>
      </c>
      <c r="AY45" s="322" t="n">
        <f aca="false">1.25*AK45*AN45</f>
        <v>0</v>
      </c>
      <c r="AZ45" s="323" t="n">
        <f aca="false">AG45*AP45</f>
        <v>0</v>
      </c>
      <c r="BA45" s="319" t="n">
        <f aca="false">AH45*AQ45</f>
        <v>0</v>
      </c>
      <c r="BB45" s="320" t="n">
        <f aca="false">1.25*AJ45*AP45</f>
        <v>0</v>
      </c>
      <c r="BC45" s="320" t="n">
        <f aca="false">1.25*AK45*AQ45</f>
        <v>0</v>
      </c>
      <c r="BD45" s="321" t="n">
        <f aca="false">AG45*AS45</f>
        <v>0</v>
      </c>
      <c r="BE45" s="319" t="n">
        <f aca="false">AH45*AT45</f>
        <v>0</v>
      </c>
      <c r="BF45" s="320" t="n">
        <f aca="false">AJ45*AS45</f>
        <v>0</v>
      </c>
      <c r="BG45" s="322" t="n">
        <f aca="false">AK45*AT45</f>
        <v>0</v>
      </c>
      <c r="BH45" s="324" t="n">
        <f aca="false">IF(BH$24=$AA45,($AG45*$AM45)+($AJ45*$AM45*1.25)+($AH45*$AN45)+($AK45*$AN45*1.25),"")</f>
        <v>0</v>
      </c>
      <c r="BI45" s="325" t="str">
        <f aca="false">IF(BI$24=$AA45,($AG45*$AM45)+($AJ45*$AM45*1.25)+($AH45*$AN45)+($AK45*$AN45*1.25),"")</f>
        <v/>
      </c>
      <c r="BJ45" s="325" t="str">
        <f aca="false">IF(BJ$24=$AA45,($AG45*$AM45)+($AJ45*$AM45*1.25)+($AH45*$AN45)+($AK45*$AN45*1.25),"")</f>
        <v/>
      </c>
      <c r="BK45" s="325" t="str">
        <f aca="false">IF(BK$24=$AA45,($AG45*$AM45)+($AJ45*$AM45*1.25)+($AH45*$AN45)+($AK45*$AN45*1.25),"")</f>
        <v/>
      </c>
      <c r="BL45" s="326" t="str">
        <f aca="false">IF(BL$24=$AA45,($AG45*$AM45)+($AJ45*$AM45*1.25)+($AH45*$AN45)+($AK45*$AN45*1.25),"")</f>
        <v/>
      </c>
      <c r="BM45" s="327" t="str">
        <f aca="false">IF(CONCATENATE(BH45,BI45,BJ45,BK45,BL45)="",1,"")</f>
        <v/>
      </c>
      <c r="BN45" s="328"/>
      <c r="BO45" s="328"/>
      <c r="BP45" s="328"/>
      <c r="BQ45" s="328"/>
      <c r="BR45" s="47"/>
      <c r="BS45" s="127" t="n">
        <f aca="false">(AG45*AM45)+(AH45*AN45)+((AJ45*AM45)+(AK45*AN45)*1.25)</f>
        <v>0</v>
      </c>
      <c r="BT45" s="127" t="n">
        <f aca="false">(AG45*AP45)+(AH45*AQ45)+((AJ45*AP45)+(AK45*AQ45)*1.25)</f>
        <v>0</v>
      </c>
      <c r="BU45" s="329"/>
      <c r="BV45" s="129"/>
    </row>
    <row r="46" customFormat="false" ht="15" hidden="false" customHeight="false" outlineLevel="0" collapsed="false">
      <c r="A46" s="219"/>
      <c r="B46" s="220"/>
      <c r="C46" s="221"/>
      <c r="D46" s="222"/>
      <c r="E46" s="223" t="str">
        <f aca="false">IF(SUM(A46:D46)&gt;0,SUM(A46:D46),"")</f>
        <v/>
      </c>
      <c r="F46" s="224" t="str">
        <f aca="false">AD59</f>
        <v>RAYGRASS PERENNE</v>
      </c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3"/>
      <c r="S46" s="3"/>
      <c r="T46" s="3"/>
      <c r="U46" s="3"/>
      <c r="V46" s="3"/>
      <c r="W46" s="3"/>
      <c r="X46" s="3"/>
      <c r="Y46" s="3"/>
      <c r="Z46" s="316" t="str">
        <f aca="false">IF(AF46&gt;0,RANK(AF46,AF$6:AF$422),"")</f>
        <v/>
      </c>
      <c r="AA46" s="134" t="n">
        <f aca="false">'O_MN, PE_UTA_UGM 2024'!N23</f>
        <v>1</v>
      </c>
      <c r="AB46" s="135" t="n">
        <f aca="false">'O_MN, PE_UTA_UGM 2024'!O23</f>
        <v>0</v>
      </c>
      <c r="AC46" s="317" t="n">
        <f aca="false">'O_MN, PE_UTA_UGM 2024'!C23</f>
        <v>36</v>
      </c>
      <c r="AD46" s="293" t="str">
        <f aca="false">IF(AB46=0,'O_MN, PE_UTA_UGM 2024'!F23,CONCATENATE('O_MN, PE_UTA_UGM 2024'!F23," ","INVERNADERO"))</f>
        <v>CAMELINA</v>
      </c>
      <c r="AE46" s="89"/>
      <c r="AF46" s="123" t="n">
        <f aca="false">SUM(AG46:AH46)+SUM(AJ46:AK46)</f>
        <v>0</v>
      </c>
      <c r="AG46" s="318" t="n">
        <f aca="false">A33</f>
        <v>0</v>
      </c>
      <c r="AH46" s="319" t="n">
        <f aca="false">B33</f>
        <v>0</v>
      </c>
      <c r="AI46" s="6"/>
      <c r="AJ46" s="320" t="n">
        <f aca="false">C33</f>
        <v>0</v>
      </c>
      <c r="AK46" s="320" t="n">
        <f aca="false">D33</f>
        <v>0</v>
      </c>
      <c r="AL46" s="237" t="s">
        <v>172</v>
      </c>
      <c r="AM46" s="299" t="n">
        <f aca="false">'O_MN, PE_UTA_UGM 2024'!J23</f>
        <v>186.91</v>
      </c>
      <c r="AN46" s="299" t="n">
        <f aca="false">'O_MN, PE_UTA_UGM 2024'!K23</f>
        <v>840.36</v>
      </c>
      <c r="AO46" s="300"/>
      <c r="AP46" s="299" t="n">
        <f aca="false">'O_MN, PE_UTA_UGM 2024'!H23</f>
        <v>114.19</v>
      </c>
      <c r="AQ46" s="299" t="n">
        <f aca="false">'O_MN, PE_UTA_UGM 2024'!I23</f>
        <v>240.4</v>
      </c>
      <c r="AR46" s="301"/>
      <c r="AS46" s="302" t="n">
        <f aca="false">'O_MN, PE_UTA_UGM 2024'!L23</f>
        <v>0.00465</v>
      </c>
      <c r="AT46" s="302" t="n">
        <f aca="false">'O_MN, PE_UTA_UGM 2024'!M23</f>
        <v>0.0098</v>
      </c>
      <c r="AU46" s="45"/>
      <c r="AV46" s="321" t="n">
        <f aca="false">AG46*AM46</f>
        <v>0</v>
      </c>
      <c r="AW46" s="319" t="n">
        <f aca="false">AH46*AN46</f>
        <v>0</v>
      </c>
      <c r="AX46" s="320" t="n">
        <f aca="false">1.25*AJ46*AM46</f>
        <v>0</v>
      </c>
      <c r="AY46" s="322" t="n">
        <f aca="false">1.25*AK46*AN46</f>
        <v>0</v>
      </c>
      <c r="AZ46" s="323" t="n">
        <f aca="false">AG46*AP46</f>
        <v>0</v>
      </c>
      <c r="BA46" s="319" t="n">
        <f aca="false">AH46*AQ46</f>
        <v>0</v>
      </c>
      <c r="BB46" s="320" t="n">
        <f aca="false">1.25*AJ46*AP46</f>
        <v>0</v>
      </c>
      <c r="BC46" s="320" t="n">
        <f aca="false">1.25*AK46*AQ46</f>
        <v>0</v>
      </c>
      <c r="BD46" s="321" t="n">
        <f aca="false">AG46*AS46</f>
        <v>0</v>
      </c>
      <c r="BE46" s="319" t="n">
        <f aca="false">AH46*AT46</f>
        <v>0</v>
      </c>
      <c r="BF46" s="320" t="n">
        <f aca="false">AJ46*AS46</f>
        <v>0</v>
      </c>
      <c r="BG46" s="322" t="n">
        <f aca="false">AK46*AT46</f>
        <v>0</v>
      </c>
      <c r="BH46" s="324" t="n">
        <f aca="false">IF(BH$24=$AA46,($AG46*$AM46)+($AJ46*$AM46*1.25)+($AH46*$AN46)+($AK46*$AN46*1.25),"")</f>
        <v>0</v>
      </c>
      <c r="BI46" s="325" t="str">
        <f aca="false">IF(BI$24=$AA46,($AG46*$AM46)+($AJ46*$AM46*1.25)+($AH46*$AN46)+($AK46*$AN46*1.25),"")</f>
        <v/>
      </c>
      <c r="BJ46" s="325" t="str">
        <f aca="false">IF(BJ$24=$AA46,($AG46*$AM46)+($AJ46*$AM46*1.25)+($AH46*$AN46)+($AK46*$AN46*1.25),"")</f>
        <v/>
      </c>
      <c r="BK46" s="325" t="str">
        <f aca="false">IF(BK$24=$AA46,($AG46*$AM46)+($AJ46*$AM46*1.25)+($AH46*$AN46)+($AK46*$AN46*1.25),"")</f>
        <v/>
      </c>
      <c r="BL46" s="326" t="str">
        <f aca="false">IF(BL$24=$AA46,($AG46*$AM46)+($AJ46*$AM46*1.25)+($AH46*$AN46)+($AK46*$AN46*1.25),"")</f>
        <v/>
      </c>
      <c r="BM46" s="327" t="str">
        <f aca="false">IF(CONCATENATE(BH46,BI46,BJ46,BK46,BL46)="",1,"")</f>
        <v/>
      </c>
      <c r="BN46" s="328"/>
      <c r="BO46" s="328"/>
      <c r="BP46" s="328"/>
      <c r="BQ46" s="328"/>
      <c r="BR46" s="47"/>
      <c r="BS46" s="127" t="n">
        <f aca="false">(AG46*AM46)+(AH46*AN46)+((AJ46*AM46)+(AK46*AN46)*1.25)</f>
        <v>0</v>
      </c>
      <c r="BT46" s="127" t="n">
        <f aca="false">(AG46*AP46)+(AH46*AQ46)+((AJ46*AP46)+(AK46*AQ46)*1.25)</f>
        <v>0</v>
      </c>
      <c r="BU46" s="329"/>
      <c r="BV46" s="129"/>
    </row>
    <row r="47" customFormat="false" ht="15" hidden="false" customHeight="false" outlineLevel="0" collapsed="false">
      <c r="A47" s="228"/>
      <c r="B47" s="229"/>
      <c r="C47" s="230"/>
      <c r="D47" s="231"/>
      <c r="E47" s="223" t="str">
        <f aca="false">IF(SUM(A47:D47)&gt;0,SUM(A47:D47),"")</f>
        <v/>
      </c>
      <c r="F47" s="224" t="str">
        <f aca="false">AD60</f>
        <v>AGROSTIS</v>
      </c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3"/>
      <c r="S47" s="3"/>
      <c r="T47" s="3"/>
      <c r="U47" s="3"/>
      <c r="V47" s="3"/>
      <c r="W47" s="3"/>
      <c r="X47" s="3"/>
      <c r="Y47" s="3"/>
      <c r="Z47" s="316" t="str">
        <f aca="false">IF(AF47&gt;0,RANK(AF47,AF$6:AF$422),"")</f>
        <v/>
      </c>
      <c r="AA47" s="134" t="n">
        <f aca="false">'O_MN, PE_UTA_UGM 2024'!N24</f>
        <v>1</v>
      </c>
      <c r="AB47" s="135" t="n">
        <f aca="false">'O_MN, PE_UTA_UGM 2024'!O24</f>
        <v>0</v>
      </c>
      <c r="AC47" s="317" t="n">
        <f aca="false">'O_MN, PE_UTA_UGM 2024'!C24</f>
        <v>40</v>
      </c>
      <c r="AD47" s="293" t="str">
        <f aca="false">IF(AB47=0,'O_MN, PE_UTA_UGM 2024'!F24,CONCATENATE('O_MN, PE_UTA_UGM 2024'!F24," ","INVERNADERO"))</f>
        <v>GUISANTE</v>
      </c>
      <c r="AE47" s="89"/>
      <c r="AF47" s="123" t="n">
        <f aca="false">SUM(AG47:AH47)+SUM(AJ47:AK47)</f>
        <v>0</v>
      </c>
      <c r="AG47" s="318" t="n">
        <f aca="false">A34</f>
        <v>0</v>
      </c>
      <c r="AH47" s="319" t="n">
        <f aca="false">B34</f>
        <v>0</v>
      </c>
      <c r="AI47" s="6"/>
      <c r="AJ47" s="320" t="n">
        <f aca="false">C34</f>
        <v>0</v>
      </c>
      <c r="AK47" s="320" t="n">
        <f aca="false">D34</f>
        <v>0</v>
      </c>
      <c r="AL47" s="237" t="s">
        <v>173</v>
      </c>
      <c r="AM47" s="299" t="n">
        <f aca="false">'O_MN, PE_UTA_UGM 2024'!J24</f>
        <v>300</v>
      </c>
      <c r="AN47" s="299" t="n">
        <f aca="false">'O_MN, PE_UTA_UGM 2024'!K24</f>
        <v>700</v>
      </c>
      <c r="AO47" s="300"/>
      <c r="AP47" s="299" t="n">
        <f aca="false">'O_MN, PE_UTA_UGM 2024'!H24</f>
        <v>114.19</v>
      </c>
      <c r="AQ47" s="299" t="n">
        <f aca="false">'O_MN, PE_UTA_UGM 2024'!I24</f>
        <v>240.4</v>
      </c>
      <c r="AR47" s="301"/>
      <c r="AS47" s="302" t="n">
        <f aca="false">'O_MN, PE_UTA_UGM 2024'!L24</f>
        <v>0.00465</v>
      </c>
      <c r="AT47" s="302" t="n">
        <f aca="false">'O_MN, PE_UTA_UGM 2024'!M24</f>
        <v>0.0098</v>
      </c>
      <c r="AU47" s="45"/>
      <c r="AV47" s="321" t="n">
        <f aca="false">AG47*AM47</f>
        <v>0</v>
      </c>
      <c r="AW47" s="319" t="n">
        <f aca="false">AH47*AN47</f>
        <v>0</v>
      </c>
      <c r="AX47" s="320" t="n">
        <f aca="false">1.25*AJ47*AM47</f>
        <v>0</v>
      </c>
      <c r="AY47" s="322" t="n">
        <f aca="false">1.25*AK47*AN47</f>
        <v>0</v>
      </c>
      <c r="AZ47" s="323" t="n">
        <f aca="false">AG47*AP47</f>
        <v>0</v>
      </c>
      <c r="BA47" s="319" t="n">
        <f aca="false">AH47*AQ47</f>
        <v>0</v>
      </c>
      <c r="BB47" s="320" t="n">
        <f aca="false">1.25*AJ47*AP47</f>
        <v>0</v>
      </c>
      <c r="BC47" s="320" t="n">
        <f aca="false">1.25*AK47*AQ47</f>
        <v>0</v>
      </c>
      <c r="BD47" s="321" t="n">
        <f aca="false">AG47*AS47</f>
        <v>0</v>
      </c>
      <c r="BE47" s="319" t="n">
        <f aca="false">AH47*AT47</f>
        <v>0</v>
      </c>
      <c r="BF47" s="320" t="n">
        <f aca="false">AJ47*AS47</f>
        <v>0</v>
      </c>
      <c r="BG47" s="322" t="n">
        <f aca="false">AK47*AT47</f>
        <v>0</v>
      </c>
      <c r="BH47" s="324" t="n">
        <f aca="false">IF(BH$24=$AA47,($AG47*$AM47)+($AJ47*$AM47*1.25)+($AH47*$AN47)+($AK47*$AN47*1.25),"")</f>
        <v>0</v>
      </c>
      <c r="BI47" s="325" t="str">
        <f aca="false">IF(BI$24=$AA47,($AG47*$AM47)+($AJ47*$AM47*1.25)+($AH47*$AN47)+($AK47*$AN47*1.25),"")</f>
        <v/>
      </c>
      <c r="BJ47" s="325" t="str">
        <f aca="false">IF(BJ$24=$AA47,($AG47*$AM47)+($AJ47*$AM47*1.25)+($AH47*$AN47)+($AK47*$AN47*1.25),"")</f>
        <v/>
      </c>
      <c r="BK47" s="325" t="str">
        <f aca="false">IF(BK$24=$AA47,($AG47*$AM47)+($AJ47*$AM47*1.25)+($AH47*$AN47)+($AK47*$AN47*1.25),"")</f>
        <v/>
      </c>
      <c r="BL47" s="326" t="str">
        <f aca="false">IF(BL$24=$AA47,($AG47*$AM47)+($AJ47*$AM47*1.25)+($AH47*$AN47)+($AK47*$AN47*1.25),"")</f>
        <v/>
      </c>
      <c r="BM47" s="327" t="str">
        <f aca="false">IF(CONCATENATE(BH47,BI47,BJ47,BK47,BL47)="",1,"")</f>
        <v/>
      </c>
      <c r="BN47" s="328"/>
      <c r="BO47" s="328"/>
      <c r="BP47" s="328"/>
      <c r="BQ47" s="328"/>
      <c r="BR47" s="47"/>
      <c r="BS47" s="127" t="n">
        <f aca="false">(AG47*AM47)+(AH47*AN47)+((AJ47*AM47)+(AK47*AN47)*1.25)</f>
        <v>0</v>
      </c>
      <c r="BT47" s="127" t="n">
        <f aca="false">(AG47*AP47)+(AH47*AQ47)+((AJ47*AP47)+(AK47*AQ47)*1.25)</f>
        <v>0</v>
      </c>
      <c r="BU47" s="329"/>
      <c r="BV47" s="129"/>
    </row>
    <row r="48" customFormat="false" ht="15" hidden="false" customHeight="false" outlineLevel="0" collapsed="false">
      <c r="A48" s="228"/>
      <c r="B48" s="229"/>
      <c r="C48" s="230"/>
      <c r="D48" s="231"/>
      <c r="E48" s="223" t="str">
        <f aca="false">IF(SUM(A48:D48)&gt;0,SUM(A48:D48),"")</f>
        <v/>
      </c>
      <c r="F48" s="224" t="str">
        <f aca="false">AD61</f>
        <v>ARRHENATHERUM</v>
      </c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3"/>
      <c r="S48" s="3"/>
      <c r="T48" s="3"/>
      <c r="U48" s="3"/>
      <c r="V48" s="3"/>
      <c r="W48" s="3"/>
      <c r="X48" s="3"/>
      <c r="Y48" s="3"/>
      <c r="Z48" s="316" t="str">
        <f aca="false">IF(AF48&gt;0,RANK(AF48,AF$6:AF$422),"")</f>
        <v/>
      </c>
      <c r="AA48" s="134" t="n">
        <f aca="false">'O_MN, PE_UTA_UGM 2024'!N25</f>
        <v>1</v>
      </c>
      <c r="AB48" s="135" t="n">
        <f aca="false">'O_MN, PE_UTA_UGM 2024'!O25</f>
        <v>0</v>
      </c>
      <c r="AC48" s="317" t="n">
        <f aca="false">'O_MN, PE_UTA_UGM 2024'!C25</f>
        <v>41</v>
      </c>
      <c r="AD48" s="293" t="str">
        <f aca="false">IF(AB48=0,'O_MN, PE_UTA_UGM 2024'!F25,CONCATENATE('O_MN, PE_UTA_UGM 2024'!F25," ","INVERNADERO"))</f>
        <v>HABA</v>
      </c>
      <c r="AE48" s="89"/>
      <c r="AF48" s="123" t="n">
        <f aca="false">SUM(AG48:AH48)+SUM(AJ48:AK48)</f>
        <v>0</v>
      </c>
      <c r="AG48" s="318" t="n">
        <f aca="false">A35</f>
        <v>0</v>
      </c>
      <c r="AH48" s="319" t="n">
        <f aca="false">B35</f>
        <v>0</v>
      </c>
      <c r="AI48" s="6"/>
      <c r="AJ48" s="320" t="n">
        <f aca="false">C35</f>
        <v>0</v>
      </c>
      <c r="AK48" s="320" t="n">
        <f aca="false">D35</f>
        <v>0</v>
      </c>
      <c r="AL48" s="237" t="s">
        <v>174</v>
      </c>
      <c r="AM48" s="299" t="n">
        <f aca="false">'O_MN, PE_UTA_UGM 2024'!J25</f>
        <v>350</v>
      </c>
      <c r="AN48" s="299" t="n">
        <f aca="false">'O_MN, PE_UTA_UGM 2024'!K25</f>
        <v>750</v>
      </c>
      <c r="AO48" s="300"/>
      <c r="AP48" s="299" t="n">
        <f aca="false">'O_MN, PE_UTA_UGM 2024'!H25</f>
        <v>114.19</v>
      </c>
      <c r="AQ48" s="299" t="n">
        <f aca="false">'O_MN, PE_UTA_UGM 2024'!I25</f>
        <v>240.4</v>
      </c>
      <c r="AR48" s="301"/>
      <c r="AS48" s="302" t="n">
        <f aca="false">'O_MN, PE_UTA_UGM 2024'!L25</f>
        <v>0.00465</v>
      </c>
      <c r="AT48" s="302" t="n">
        <f aca="false">'O_MN, PE_UTA_UGM 2024'!M25</f>
        <v>0.0098</v>
      </c>
      <c r="AU48" s="45"/>
      <c r="AV48" s="321" t="n">
        <f aca="false">AG48*AM48</f>
        <v>0</v>
      </c>
      <c r="AW48" s="319" t="n">
        <f aca="false">AH48*AN48</f>
        <v>0</v>
      </c>
      <c r="AX48" s="320" t="n">
        <f aca="false">1.25*AJ48*AM48</f>
        <v>0</v>
      </c>
      <c r="AY48" s="322" t="n">
        <f aca="false">1.25*AK48*AN48</f>
        <v>0</v>
      </c>
      <c r="AZ48" s="323" t="n">
        <f aca="false">AG48*AP48</f>
        <v>0</v>
      </c>
      <c r="BA48" s="319" t="n">
        <f aca="false">AH48*AQ48</f>
        <v>0</v>
      </c>
      <c r="BB48" s="320" t="n">
        <f aca="false">1.25*AJ48*AP48</f>
        <v>0</v>
      </c>
      <c r="BC48" s="320" t="n">
        <f aca="false">1.25*AK48*AQ48</f>
        <v>0</v>
      </c>
      <c r="BD48" s="321" t="n">
        <f aca="false">AG48*AS48</f>
        <v>0</v>
      </c>
      <c r="BE48" s="319" t="n">
        <f aca="false">AH48*AT48</f>
        <v>0</v>
      </c>
      <c r="BF48" s="320" t="n">
        <f aca="false">AJ48*AS48</f>
        <v>0</v>
      </c>
      <c r="BG48" s="322" t="n">
        <f aca="false">AK48*AT48</f>
        <v>0</v>
      </c>
      <c r="BH48" s="324" t="n">
        <f aca="false">IF(BH$24=$AA48,($AG48*$AM48)+($AJ48*$AM48*1.25)+($AH48*$AN48)+($AK48*$AN48*1.25),"")</f>
        <v>0</v>
      </c>
      <c r="BI48" s="325" t="str">
        <f aca="false">IF(BI$24=$AA48,($AG48*$AM48)+($AJ48*$AM48*1.25)+($AH48*$AN48)+($AK48*$AN48*1.25),"")</f>
        <v/>
      </c>
      <c r="BJ48" s="325" t="str">
        <f aca="false">IF(BJ$24=$AA48,($AG48*$AM48)+($AJ48*$AM48*1.25)+($AH48*$AN48)+($AK48*$AN48*1.25),"")</f>
        <v/>
      </c>
      <c r="BK48" s="325" t="str">
        <f aca="false">IF(BK$24=$AA48,($AG48*$AM48)+($AJ48*$AM48*1.25)+($AH48*$AN48)+($AK48*$AN48*1.25),"")</f>
        <v/>
      </c>
      <c r="BL48" s="326" t="str">
        <f aca="false">IF(BL$24=$AA48,($AG48*$AM48)+($AJ48*$AM48*1.25)+($AH48*$AN48)+($AK48*$AN48*1.25),"")</f>
        <v/>
      </c>
      <c r="BM48" s="327" t="str">
        <f aca="false">IF(CONCATENATE(BH48,BI48,BJ48,BK48,BL48)="",1,"")</f>
        <v/>
      </c>
      <c r="BN48" s="328"/>
      <c r="BO48" s="328"/>
      <c r="BP48" s="328"/>
      <c r="BQ48" s="328"/>
      <c r="BR48" s="47"/>
      <c r="BS48" s="127" t="n">
        <f aca="false">(AG48*AM48)+(AH48*AN48)+((AJ48*AM48)+(AK48*AN48)*1.25)</f>
        <v>0</v>
      </c>
      <c r="BT48" s="127" t="n">
        <f aca="false">(AG48*AP48)+(AH48*AQ48)+((AJ48*AP48)+(AK48*AQ48)*1.25)</f>
        <v>0</v>
      </c>
      <c r="BU48" s="329"/>
      <c r="BV48" s="129"/>
    </row>
    <row r="49" customFormat="false" ht="15" hidden="false" customHeight="false" outlineLevel="0" collapsed="false">
      <c r="A49" s="228"/>
      <c r="B49" s="229"/>
      <c r="C49" s="230"/>
      <c r="D49" s="231"/>
      <c r="E49" s="223" t="str">
        <f aca="false">IF(SUM(A49:D49)&gt;0,SUM(A49:D49),"")</f>
        <v/>
      </c>
      <c r="F49" s="224" t="str">
        <f aca="false">AD62</f>
        <v>DACTILO</v>
      </c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3"/>
      <c r="S49" s="3"/>
      <c r="T49" s="3"/>
      <c r="U49" s="3"/>
      <c r="V49" s="3"/>
      <c r="W49" s="3"/>
      <c r="X49" s="3"/>
      <c r="Y49" s="3"/>
      <c r="Z49" s="316" t="str">
        <f aca="false">IF(AF49&gt;0,RANK(AF49,AF$6:AF$422),"")</f>
        <v/>
      </c>
      <c r="AA49" s="134" t="n">
        <f aca="false">'O_MN, PE_UTA_UGM 2024'!N26</f>
        <v>1</v>
      </c>
      <c r="AB49" s="135" t="n">
        <f aca="false">'O_MN, PE_UTA_UGM 2024'!O26</f>
        <v>0</v>
      </c>
      <c r="AC49" s="317" t="n">
        <f aca="false">'O_MN, PE_UTA_UGM 2024'!C26</f>
        <v>43</v>
      </c>
      <c r="AD49" s="293" t="str">
        <f aca="false">IF(AB49=0,'O_MN, PE_UTA_UGM 2024'!F26,CONCATENATE('O_MN, PE_UTA_UGM 2024'!F26," ","INVERNADERO"))</f>
        <v>ALTRAMUZ BLANCO</v>
      </c>
      <c r="AE49" s="89"/>
      <c r="AF49" s="123" t="n">
        <f aca="false">SUM(AG49:AH49)+SUM(AJ49:AK49)</f>
        <v>0</v>
      </c>
      <c r="AG49" s="318" t="n">
        <f aca="false">A36</f>
        <v>0</v>
      </c>
      <c r="AH49" s="319" t="n">
        <f aca="false">B36</f>
        <v>0</v>
      </c>
      <c r="AI49" s="6"/>
      <c r="AJ49" s="320" t="n">
        <f aca="false">C36</f>
        <v>0</v>
      </c>
      <c r="AK49" s="320" t="n">
        <f aca="false">D36</f>
        <v>0</v>
      </c>
      <c r="AL49" s="237" t="s">
        <v>175</v>
      </c>
      <c r="AM49" s="299" t="n">
        <f aca="false">'O_MN, PE_UTA_UGM 2024'!J26</f>
        <v>350</v>
      </c>
      <c r="AN49" s="299" t="n">
        <f aca="false">'O_MN, PE_UTA_UGM 2024'!K26</f>
        <v>750</v>
      </c>
      <c r="AO49" s="300"/>
      <c r="AP49" s="299" t="n">
        <f aca="false">'O_MN, PE_UTA_UGM 2024'!H26</f>
        <v>114.19</v>
      </c>
      <c r="AQ49" s="299" t="n">
        <f aca="false">'O_MN, PE_UTA_UGM 2024'!I26</f>
        <v>240.4</v>
      </c>
      <c r="AR49" s="301"/>
      <c r="AS49" s="302" t="n">
        <f aca="false">'O_MN, PE_UTA_UGM 2024'!L26</f>
        <v>0.00465</v>
      </c>
      <c r="AT49" s="302" t="n">
        <f aca="false">'O_MN, PE_UTA_UGM 2024'!M26</f>
        <v>0.0098</v>
      </c>
      <c r="AU49" s="45"/>
      <c r="AV49" s="321" t="n">
        <f aca="false">AG49*AM49</f>
        <v>0</v>
      </c>
      <c r="AW49" s="319" t="n">
        <f aca="false">AH49*AN49</f>
        <v>0</v>
      </c>
      <c r="AX49" s="320" t="n">
        <f aca="false">1.25*AJ49*AM49</f>
        <v>0</v>
      </c>
      <c r="AY49" s="322" t="n">
        <f aca="false">1.25*AK49*AN49</f>
        <v>0</v>
      </c>
      <c r="AZ49" s="323" t="n">
        <f aca="false">AG49*AP49</f>
        <v>0</v>
      </c>
      <c r="BA49" s="319" t="n">
        <f aca="false">AH49*AQ49</f>
        <v>0</v>
      </c>
      <c r="BB49" s="320" t="n">
        <f aca="false">1.25*AJ49*AP49</f>
        <v>0</v>
      </c>
      <c r="BC49" s="320" t="n">
        <f aca="false">1.25*AK49*AQ49</f>
        <v>0</v>
      </c>
      <c r="BD49" s="321" t="n">
        <f aca="false">AG49*AS49</f>
        <v>0</v>
      </c>
      <c r="BE49" s="319" t="n">
        <f aca="false">AH49*AT49</f>
        <v>0</v>
      </c>
      <c r="BF49" s="320" t="n">
        <f aca="false">AJ49*AS49</f>
        <v>0</v>
      </c>
      <c r="BG49" s="322" t="n">
        <f aca="false">AK49*AT49</f>
        <v>0</v>
      </c>
      <c r="BH49" s="324" t="n">
        <f aca="false">IF(BH$24=$AA49,($AG49*$AM49)+($AJ49*$AM49*1.25)+($AH49*$AN49)+($AK49*$AN49*1.25),"")</f>
        <v>0</v>
      </c>
      <c r="BI49" s="325" t="str">
        <f aca="false">IF(BI$24=$AA49,($AG49*$AM49)+($AJ49*$AM49*1.25)+($AH49*$AN49)+($AK49*$AN49*1.25),"")</f>
        <v/>
      </c>
      <c r="BJ49" s="325" t="str">
        <f aca="false">IF(BJ$24=$AA49,($AG49*$AM49)+($AJ49*$AM49*1.25)+($AH49*$AN49)+($AK49*$AN49*1.25),"")</f>
        <v/>
      </c>
      <c r="BK49" s="325" t="str">
        <f aca="false">IF(BK$24=$AA49,($AG49*$AM49)+($AJ49*$AM49*1.25)+($AH49*$AN49)+($AK49*$AN49*1.25),"")</f>
        <v/>
      </c>
      <c r="BL49" s="326" t="str">
        <f aca="false">IF(BL$24=$AA49,($AG49*$AM49)+($AJ49*$AM49*1.25)+($AH49*$AN49)+($AK49*$AN49*1.25),"")</f>
        <v/>
      </c>
      <c r="BM49" s="327" t="str">
        <f aca="false">IF(CONCATENATE(BH49,BI49,BJ49,BK49,BL49)="",1,"")</f>
        <v/>
      </c>
      <c r="BN49" s="328"/>
      <c r="BO49" s="328"/>
      <c r="BP49" s="328"/>
      <c r="BQ49" s="328"/>
      <c r="BR49" s="47"/>
      <c r="BS49" s="127" t="n">
        <f aca="false">(AG49*AM49)+(AH49*AN49)+((AJ49*AM49)+(AK49*AN49)*1.25)</f>
        <v>0</v>
      </c>
      <c r="BT49" s="127" t="n">
        <f aca="false">(AG49*AP49)+(AH49*AQ49)+((AJ49*AP49)+(AK49*AQ49)*1.25)</f>
        <v>0</v>
      </c>
      <c r="BU49" s="329"/>
      <c r="BV49" s="129"/>
    </row>
    <row r="50" customFormat="false" ht="15" hidden="false" customHeight="false" outlineLevel="0" collapsed="false">
      <c r="A50" s="228"/>
      <c r="B50" s="229"/>
      <c r="C50" s="230"/>
      <c r="D50" s="231"/>
      <c r="E50" s="223" t="str">
        <f aca="false">IF(SUM(A50:D50)&gt;0,SUM(A50:D50),"")</f>
        <v/>
      </c>
      <c r="F50" s="224" t="str">
        <f aca="false">AD63</f>
        <v>FLEO</v>
      </c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3"/>
      <c r="S50" s="3"/>
      <c r="T50" s="3"/>
      <c r="U50" s="3"/>
      <c r="V50" s="3"/>
      <c r="W50" s="3"/>
      <c r="X50" s="3"/>
      <c r="Y50" s="3"/>
      <c r="Z50" s="316" t="str">
        <f aca="false">IF(AF50&gt;0,RANK(AF50,AF$6:AF$422),"")</f>
        <v/>
      </c>
      <c r="AA50" s="134" t="n">
        <f aca="false">'O_MN, PE_UTA_UGM 2024'!N27</f>
        <v>1</v>
      </c>
      <c r="AB50" s="135" t="n">
        <f aca="false">'O_MN, PE_UTA_UGM 2024'!O27</f>
        <v>0</v>
      </c>
      <c r="AC50" s="317" t="n">
        <f aca="false">'O_MN, PE_UTA_UGM 2024'!C27</f>
        <v>49</v>
      </c>
      <c r="AD50" s="293" t="str">
        <f aca="false">IF(AB50=0,'O_MN, PE_UTA_UGM 2024'!F27,CONCATENATE('O_MN, PE_UTA_UGM 2024'!F27," ","INVERNADERO"))</f>
        <v>ALUBIA</v>
      </c>
      <c r="AE50" s="89"/>
      <c r="AF50" s="123" t="n">
        <f aca="false">SUM(AG50:AH50)+SUM(AJ50:AK50)</f>
        <v>0</v>
      </c>
      <c r="AG50" s="318" t="n">
        <f aca="false">A37</f>
        <v>0</v>
      </c>
      <c r="AH50" s="319" t="n">
        <f aca="false">B37</f>
        <v>0</v>
      </c>
      <c r="AI50" s="6"/>
      <c r="AJ50" s="320" t="n">
        <f aca="false">C37</f>
        <v>0</v>
      </c>
      <c r="AK50" s="320" t="n">
        <f aca="false">D37</f>
        <v>0</v>
      </c>
      <c r="AL50" s="237" t="s">
        <v>176</v>
      </c>
      <c r="AM50" s="299" t="n">
        <f aca="false">'O_MN, PE_UTA_UGM 2024'!J27</f>
        <v>350</v>
      </c>
      <c r="AN50" s="299" t="n">
        <f aca="false">'O_MN, PE_UTA_UGM 2024'!K27</f>
        <v>750</v>
      </c>
      <c r="AO50" s="300"/>
      <c r="AP50" s="299" t="n">
        <f aca="false">'O_MN, PE_UTA_UGM 2024'!H27</f>
        <v>114.19</v>
      </c>
      <c r="AQ50" s="299" t="n">
        <f aca="false">'O_MN, PE_UTA_UGM 2024'!I27</f>
        <v>240.4</v>
      </c>
      <c r="AR50" s="301"/>
      <c r="AS50" s="302" t="n">
        <f aca="false">'O_MN, PE_UTA_UGM 2024'!L27</f>
        <v>0.00465</v>
      </c>
      <c r="AT50" s="302" t="n">
        <f aca="false">'O_MN, PE_UTA_UGM 2024'!M27</f>
        <v>0.0098</v>
      </c>
      <c r="AU50" s="45"/>
      <c r="AV50" s="321" t="n">
        <f aca="false">AG50*AM50</f>
        <v>0</v>
      </c>
      <c r="AW50" s="319" t="n">
        <f aca="false">AH50*AN50</f>
        <v>0</v>
      </c>
      <c r="AX50" s="320" t="n">
        <f aca="false">1.25*AJ50*AM50</f>
        <v>0</v>
      </c>
      <c r="AY50" s="322" t="n">
        <f aca="false">1.25*AK50*AN50</f>
        <v>0</v>
      </c>
      <c r="AZ50" s="323" t="n">
        <f aca="false">AG50*AP50</f>
        <v>0</v>
      </c>
      <c r="BA50" s="319" t="n">
        <f aca="false">AH50*AQ50</f>
        <v>0</v>
      </c>
      <c r="BB50" s="320" t="n">
        <f aca="false">1.25*AJ50*AP50</f>
        <v>0</v>
      </c>
      <c r="BC50" s="320" t="n">
        <f aca="false">1.25*AK50*AQ50</f>
        <v>0</v>
      </c>
      <c r="BD50" s="321" t="n">
        <f aca="false">AG50*AS50</f>
        <v>0</v>
      </c>
      <c r="BE50" s="319" t="n">
        <f aca="false">AH50*AT50</f>
        <v>0</v>
      </c>
      <c r="BF50" s="320" t="n">
        <f aca="false">AJ50*AS50</f>
        <v>0</v>
      </c>
      <c r="BG50" s="322" t="n">
        <f aca="false">AK50*AT50</f>
        <v>0</v>
      </c>
      <c r="BH50" s="324" t="n">
        <f aca="false">IF(BH$24=$AA50,($AG50*$AM50)+($AJ50*$AM50*1.25)+($AH50*$AN50)+($AK50*$AN50*1.25),"")</f>
        <v>0</v>
      </c>
      <c r="BI50" s="325" t="str">
        <f aca="false">IF(BI$24=$AA50,($AG50*$AM50)+($AJ50*$AM50*1.25)+($AH50*$AN50)+($AK50*$AN50*1.25),"")</f>
        <v/>
      </c>
      <c r="BJ50" s="325" t="str">
        <f aca="false">IF(BJ$24=$AA50,($AG50*$AM50)+($AJ50*$AM50*1.25)+($AH50*$AN50)+($AK50*$AN50*1.25),"")</f>
        <v/>
      </c>
      <c r="BK50" s="325" t="str">
        <f aca="false">IF(BK$24=$AA50,($AG50*$AM50)+($AJ50*$AM50*1.25)+($AH50*$AN50)+($AK50*$AN50*1.25),"")</f>
        <v/>
      </c>
      <c r="BL50" s="326" t="str">
        <f aca="false">IF(BL$24=$AA50,($AG50*$AM50)+($AJ50*$AM50*1.25)+($AH50*$AN50)+($AK50*$AN50*1.25),"")</f>
        <v/>
      </c>
      <c r="BM50" s="327" t="str">
        <f aca="false">IF(CONCATENATE(BH50,BI50,BJ50,BK50,BL50)="",1,"")</f>
        <v/>
      </c>
      <c r="BN50" s="328"/>
      <c r="BO50" s="328"/>
      <c r="BP50" s="328"/>
      <c r="BQ50" s="328"/>
      <c r="BR50" s="47"/>
      <c r="BS50" s="127" t="n">
        <f aca="false">(AG50*AM50)+(AH50*AN50)+((AJ50*AM50)+(AK50*AN50)*1.25)</f>
        <v>0</v>
      </c>
      <c r="BT50" s="127" t="n">
        <f aca="false">(AG50*AP50)+(AH50*AQ50)+((AJ50*AP50)+(AK50*AQ50)*1.25)</f>
        <v>0</v>
      </c>
      <c r="BU50" s="329"/>
      <c r="BV50" s="129"/>
    </row>
    <row r="51" customFormat="false" ht="15" hidden="false" customHeight="false" outlineLevel="0" collapsed="false">
      <c r="A51" s="219"/>
      <c r="B51" s="220"/>
      <c r="C51" s="221"/>
      <c r="D51" s="222"/>
      <c r="E51" s="223" t="str">
        <f aca="false">IF(SUM(A51:D51)&gt;0,SUM(A51:D51),"")</f>
        <v/>
      </c>
      <c r="F51" s="224" t="str">
        <f aca="false">AD64</f>
        <v>POA</v>
      </c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3"/>
      <c r="S51" s="3"/>
      <c r="T51" s="3"/>
      <c r="U51" s="3"/>
      <c r="V51" s="3"/>
      <c r="W51" s="3"/>
      <c r="X51" s="3"/>
      <c r="Y51" s="3"/>
      <c r="Z51" s="316" t="str">
        <f aca="false">IF(AF51&gt;0,RANK(AF51,AF$6:AF$422),"")</f>
        <v/>
      </c>
      <c r="AA51" s="134" t="n">
        <f aca="false">'O_MN, PE_UTA_UGM 2024'!N28</f>
        <v>1</v>
      </c>
      <c r="AB51" s="135" t="n">
        <f aca="false">'O_MN, PE_UTA_UGM 2024'!O28</f>
        <v>0</v>
      </c>
      <c r="AC51" s="317" t="n">
        <f aca="false">'O_MN, PE_UTA_UGM 2024'!C28</f>
        <v>50</v>
      </c>
      <c r="AD51" s="293" t="str">
        <f aca="false">IF(AB51=0,'O_MN, PE_UTA_UGM 2024'!F28,CONCATENATE('O_MN, PE_UTA_UGM 2024'!F28," ","INVERNADERO"))</f>
        <v>GARBANZO</v>
      </c>
      <c r="AE51" s="89"/>
      <c r="AF51" s="123" t="n">
        <f aca="false">SUM(AG51:AH51)+SUM(AJ51:AK51)</f>
        <v>0</v>
      </c>
      <c r="AG51" s="318" t="n">
        <f aca="false">A38</f>
        <v>0</v>
      </c>
      <c r="AH51" s="319" t="n">
        <f aca="false">B38</f>
        <v>0</v>
      </c>
      <c r="AI51" s="6"/>
      <c r="AJ51" s="320" t="n">
        <f aca="false">C38</f>
        <v>0</v>
      </c>
      <c r="AK51" s="320" t="n">
        <f aca="false">D38</f>
        <v>0</v>
      </c>
      <c r="AL51" s="237" t="s">
        <v>177</v>
      </c>
      <c r="AM51" s="299" t="n">
        <f aca="false">'O_MN, PE_UTA_UGM 2024'!J28</f>
        <v>350</v>
      </c>
      <c r="AN51" s="299" t="n">
        <f aca="false">'O_MN, PE_UTA_UGM 2024'!K28</f>
        <v>1000</v>
      </c>
      <c r="AO51" s="300"/>
      <c r="AP51" s="299" t="n">
        <f aca="false">'O_MN, PE_UTA_UGM 2024'!H28</f>
        <v>114.19</v>
      </c>
      <c r="AQ51" s="299" t="n">
        <f aca="false">'O_MN, PE_UTA_UGM 2024'!I28</f>
        <v>240.4</v>
      </c>
      <c r="AR51" s="301"/>
      <c r="AS51" s="302" t="n">
        <f aca="false">'O_MN, PE_UTA_UGM 2024'!L28</f>
        <v>0.00465</v>
      </c>
      <c r="AT51" s="302" t="n">
        <f aca="false">'O_MN, PE_UTA_UGM 2024'!M28</f>
        <v>0.0098</v>
      </c>
      <c r="AU51" s="45"/>
      <c r="AV51" s="321" t="n">
        <f aca="false">AG51*AM51</f>
        <v>0</v>
      </c>
      <c r="AW51" s="319" t="n">
        <f aca="false">AH51*AN51</f>
        <v>0</v>
      </c>
      <c r="AX51" s="320" t="n">
        <f aca="false">1.25*AJ51*AM51</f>
        <v>0</v>
      </c>
      <c r="AY51" s="322" t="n">
        <f aca="false">1.25*AK51*AN51</f>
        <v>0</v>
      </c>
      <c r="AZ51" s="323" t="n">
        <f aca="false">AG51*AP51</f>
        <v>0</v>
      </c>
      <c r="BA51" s="319" t="n">
        <f aca="false">AH51*AQ51</f>
        <v>0</v>
      </c>
      <c r="BB51" s="320" t="n">
        <f aca="false">1.25*AJ51*AP51</f>
        <v>0</v>
      </c>
      <c r="BC51" s="320" t="n">
        <f aca="false">1.25*AK51*AQ51</f>
        <v>0</v>
      </c>
      <c r="BD51" s="321" t="n">
        <f aca="false">AG51*AS51</f>
        <v>0</v>
      </c>
      <c r="BE51" s="319" t="n">
        <f aca="false">AH51*AT51</f>
        <v>0</v>
      </c>
      <c r="BF51" s="320" t="n">
        <f aca="false">AJ51*AS51</f>
        <v>0</v>
      </c>
      <c r="BG51" s="322" t="n">
        <f aca="false">AK51*AT51</f>
        <v>0</v>
      </c>
      <c r="BH51" s="324" t="n">
        <f aca="false">IF(BH$24=$AA51,($AG51*$AM51)+($AJ51*$AM51*1.25)+($AH51*$AN51)+($AK51*$AN51*1.25),"")</f>
        <v>0</v>
      </c>
      <c r="BI51" s="325" t="str">
        <f aca="false">IF(BI$24=$AA51,($AG51*$AM51)+($AJ51*$AM51*1.25)+($AH51*$AN51)+($AK51*$AN51*1.25),"")</f>
        <v/>
      </c>
      <c r="BJ51" s="325" t="str">
        <f aca="false">IF(BJ$24=$AA51,($AG51*$AM51)+($AJ51*$AM51*1.25)+($AH51*$AN51)+($AK51*$AN51*1.25),"")</f>
        <v/>
      </c>
      <c r="BK51" s="325" t="str">
        <f aca="false">IF(BK$24=$AA51,($AG51*$AM51)+($AJ51*$AM51*1.25)+($AH51*$AN51)+($AK51*$AN51*1.25),"")</f>
        <v/>
      </c>
      <c r="BL51" s="326" t="str">
        <f aca="false">IF(BL$24=$AA51,($AG51*$AM51)+($AJ51*$AM51*1.25)+($AH51*$AN51)+($AK51*$AN51*1.25),"")</f>
        <v/>
      </c>
      <c r="BM51" s="327" t="str">
        <f aca="false">IF(CONCATENATE(BH51,BI51,BJ51,BK51,BL51)="",1,"")</f>
        <v/>
      </c>
      <c r="BN51" s="328"/>
      <c r="BO51" s="328"/>
      <c r="BP51" s="328"/>
      <c r="BQ51" s="328"/>
      <c r="BR51" s="47"/>
      <c r="BS51" s="127" t="n">
        <f aca="false">(AG51*AM51)+(AH51*AN51)+((AJ51*AM51)+(AK51*AN51)*1.25)</f>
        <v>0</v>
      </c>
      <c r="BT51" s="127" t="n">
        <f aca="false">(AG51*AP51)+(AH51*AQ51)+((AJ51*AP51)+(AK51*AQ51)*1.25)</f>
        <v>0</v>
      </c>
      <c r="BU51" s="329"/>
      <c r="BV51" s="129"/>
    </row>
    <row r="52" customFormat="false" ht="15" hidden="false" customHeight="false" outlineLevel="0" collapsed="false">
      <c r="A52" s="228"/>
      <c r="B52" s="229"/>
      <c r="C52" s="230"/>
      <c r="D52" s="231"/>
      <c r="E52" s="223" t="str">
        <f aca="false">IF(SUM(A52:D52)&gt;0,SUM(A52:D52),"")</f>
        <v/>
      </c>
      <c r="F52" s="224" t="str">
        <f aca="false">AD65</f>
        <v>ZULLA</v>
      </c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3"/>
      <c r="S52" s="3"/>
      <c r="T52" s="3"/>
      <c r="U52" s="3"/>
      <c r="V52" s="3"/>
      <c r="W52" s="3"/>
      <c r="X52" s="3"/>
      <c r="Y52" s="3"/>
      <c r="Z52" s="316" t="str">
        <f aca="false">IF(AF52&gt;0,RANK(AF52,AF$6:AF$422),"")</f>
        <v/>
      </c>
      <c r="AA52" s="134" t="n">
        <f aca="false">'O_MN, PE_UTA_UGM 2024'!N29</f>
        <v>1</v>
      </c>
      <c r="AB52" s="135" t="n">
        <f aca="false">'O_MN, PE_UTA_UGM 2024'!O29</f>
        <v>0</v>
      </c>
      <c r="AC52" s="317" t="n">
        <f aca="false">'O_MN, PE_UTA_UGM 2024'!C29</f>
        <v>51</v>
      </c>
      <c r="AD52" s="293" t="str">
        <f aca="false">IF(AB52=0,'O_MN, PE_UTA_UGM 2024'!F29,CONCATENATE('O_MN, PE_UTA_UGM 2024'!F29," ","INVERNADERO"))</f>
        <v>LENTEJA</v>
      </c>
      <c r="AE52" s="89"/>
      <c r="AF52" s="123" t="n">
        <f aca="false">SUM(AG52:AH52)+SUM(AJ52:AK52)</f>
        <v>0</v>
      </c>
      <c r="AG52" s="318" t="n">
        <f aca="false">A39</f>
        <v>0</v>
      </c>
      <c r="AH52" s="319" t="n">
        <f aca="false">B39</f>
        <v>0</v>
      </c>
      <c r="AI52" s="6"/>
      <c r="AJ52" s="320" t="n">
        <f aca="false">C39</f>
        <v>0</v>
      </c>
      <c r="AK52" s="320" t="n">
        <f aca="false">D39</f>
        <v>0</v>
      </c>
      <c r="AL52" s="237" t="s">
        <v>178</v>
      </c>
      <c r="AM52" s="299" t="n">
        <f aca="false">'O_MN, PE_UTA_UGM 2024'!J29</f>
        <v>350</v>
      </c>
      <c r="AN52" s="299" t="n">
        <f aca="false">'O_MN, PE_UTA_UGM 2024'!K29</f>
        <v>750</v>
      </c>
      <c r="AO52" s="300"/>
      <c r="AP52" s="299" t="n">
        <f aca="false">'O_MN, PE_UTA_UGM 2024'!H29</f>
        <v>114.19</v>
      </c>
      <c r="AQ52" s="299" t="n">
        <f aca="false">'O_MN, PE_UTA_UGM 2024'!I29</f>
        <v>240.4</v>
      </c>
      <c r="AR52" s="301"/>
      <c r="AS52" s="302" t="n">
        <f aca="false">'O_MN, PE_UTA_UGM 2024'!L29</f>
        <v>0.00465</v>
      </c>
      <c r="AT52" s="302" t="n">
        <f aca="false">'O_MN, PE_UTA_UGM 2024'!M29</f>
        <v>0.0098</v>
      </c>
      <c r="AU52" s="45"/>
      <c r="AV52" s="321" t="n">
        <f aca="false">AG52*AM52</f>
        <v>0</v>
      </c>
      <c r="AW52" s="319" t="n">
        <f aca="false">AH52*AN52</f>
        <v>0</v>
      </c>
      <c r="AX52" s="320" t="n">
        <f aca="false">1.25*AJ52*AM52</f>
        <v>0</v>
      </c>
      <c r="AY52" s="322" t="n">
        <f aca="false">1.25*AK52*AN52</f>
        <v>0</v>
      </c>
      <c r="AZ52" s="323" t="n">
        <f aca="false">AG52*AP52</f>
        <v>0</v>
      </c>
      <c r="BA52" s="319" t="n">
        <f aca="false">AH52*AQ52</f>
        <v>0</v>
      </c>
      <c r="BB52" s="320" t="n">
        <f aca="false">1.25*AJ52*AP52</f>
        <v>0</v>
      </c>
      <c r="BC52" s="320" t="n">
        <f aca="false">1.25*AK52*AQ52</f>
        <v>0</v>
      </c>
      <c r="BD52" s="321" t="n">
        <f aca="false">AG52*AS52</f>
        <v>0</v>
      </c>
      <c r="BE52" s="319" t="n">
        <f aca="false">AH52*AT52</f>
        <v>0</v>
      </c>
      <c r="BF52" s="320" t="n">
        <f aca="false">AJ52*AS52</f>
        <v>0</v>
      </c>
      <c r="BG52" s="322" t="n">
        <f aca="false">AK52*AT52</f>
        <v>0</v>
      </c>
      <c r="BH52" s="324" t="n">
        <f aca="false">IF(BH$24=$AA52,($AG52*$AM52)+($AJ52*$AM52*1.25)+($AH52*$AN52)+($AK52*$AN52*1.25),"")</f>
        <v>0</v>
      </c>
      <c r="BI52" s="325" t="str">
        <f aca="false">IF(BI$24=$AA52,($AG52*$AM52)+($AJ52*$AM52*1.25)+($AH52*$AN52)+($AK52*$AN52*1.25),"")</f>
        <v/>
      </c>
      <c r="BJ52" s="325" t="str">
        <f aca="false">IF(BJ$24=$AA52,($AG52*$AM52)+($AJ52*$AM52*1.25)+($AH52*$AN52)+($AK52*$AN52*1.25),"")</f>
        <v/>
      </c>
      <c r="BK52" s="325" t="str">
        <f aca="false">IF(BK$24=$AA52,($AG52*$AM52)+($AJ52*$AM52*1.25)+($AH52*$AN52)+($AK52*$AN52*1.25),"")</f>
        <v/>
      </c>
      <c r="BL52" s="326" t="str">
        <f aca="false">IF(BL$24=$AA52,($AG52*$AM52)+($AJ52*$AM52*1.25)+($AH52*$AN52)+($AK52*$AN52*1.25),"")</f>
        <v/>
      </c>
      <c r="BM52" s="327" t="str">
        <f aca="false">IF(CONCATENATE(BH52,BI52,BJ52,BK52,BL52)="",1,"")</f>
        <v/>
      </c>
      <c r="BN52" s="328"/>
      <c r="BO52" s="328"/>
      <c r="BP52" s="328"/>
      <c r="BQ52" s="328"/>
      <c r="BR52" s="47"/>
      <c r="BS52" s="127" t="n">
        <f aca="false">(AG52*AM52)+(AH52*AN52)+((AJ52*AM52)+(AK52*AN52)*1.25)</f>
        <v>0</v>
      </c>
      <c r="BT52" s="127" t="n">
        <f aca="false">(AG52*AP52)+(AH52*AQ52)+((AJ52*AP52)+(AK52*AQ52)*1.25)</f>
        <v>0</v>
      </c>
      <c r="BU52" s="329"/>
      <c r="BV52" s="129"/>
    </row>
    <row r="53" customFormat="false" ht="15" hidden="false" customHeight="false" outlineLevel="0" collapsed="false">
      <c r="A53" s="228"/>
      <c r="B53" s="229"/>
      <c r="C53" s="230"/>
      <c r="D53" s="231"/>
      <c r="E53" s="223" t="str">
        <f aca="false">IF(SUM(A53:D53)&gt;0,SUM(A53:D53),"")</f>
        <v/>
      </c>
      <c r="F53" s="224" t="str">
        <f aca="false">AD66</f>
        <v>TRÉBOL</v>
      </c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3"/>
      <c r="S53" s="3"/>
      <c r="T53" s="3"/>
      <c r="U53" s="3"/>
      <c r="V53" s="3"/>
      <c r="W53" s="3"/>
      <c r="X53" s="3"/>
      <c r="Y53" s="3"/>
      <c r="Z53" s="316" t="str">
        <f aca="false">IF(AF53&gt;0,RANK(AF53,AF$6:AF$422),"")</f>
        <v/>
      </c>
      <c r="AA53" s="134" t="n">
        <f aca="false">'O_MN, PE_UTA_UGM 2024'!N30</f>
        <v>1</v>
      </c>
      <c r="AB53" s="135" t="n">
        <f aca="false">'O_MN, PE_UTA_UGM 2024'!O30</f>
        <v>0</v>
      </c>
      <c r="AC53" s="317" t="n">
        <f aca="false">'O_MN, PE_UTA_UGM 2024'!C30</f>
        <v>52</v>
      </c>
      <c r="AD53" s="293" t="str">
        <f aca="false">IF(AB53=0,'O_MN, PE_UTA_UGM 2024'!F30,CONCATENATE('O_MN, PE_UTA_UGM 2024'!F30," ","INVERNADERO"))</f>
        <v>VEZA</v>
      </c>
      <c r="AE53" s="89"/>
      <c r="AF53" s="123" t="n">
        <f aca="false">SUM(AG53:AH53)+SUM(AJ53:AK53)</f>
        <v>0</v>
      </c>
      <c r="AG53" s="318" t="n">
        <f aca="false">A40</f>
        <v>0</v>
      </c>
      <c r="AH53" s="319" t="n">
        <f aca="false">B40</f>
        <v>0</v>
      </c>
      <c r="AI53" s="6"/>
      <c r="AJ53" s="320" t="n">
        <f aca="false">C40</f>
        <v>0</v>
      </c>
      <c r="AK53" s="320" t="n">
        <f aca="false">D40</f>
        <v>0</v>
      </c>
      <c r="AL53" s="237" t="s">
        <v>179</v>
      </c>
      <c r="AM53" s="299" t="n">
        <f aca="false">'O_MN, PE_UTA_UGM 2024'!J30</f>
        <v>350</v>
      </c>
      <c r="AN53" s="299" t="n">
        <f aca="false">'O_MN, PE_UTA_UGM 2024'!K30</f>
        <v>750</v>
      </c>
      <c r="AO53" s="300"/>
      <c r="AP53" s="299" t="n">
        <f aca="false">'O_MN, PE_UTA_UGM 2024'!H30</f>
        <v>114.19</v>
      </c>
      <c r="AQ53" s="299" t="n">
        <f aca="false">'O_MN, PE_UTA_UGM 2024'!I30</f>
        <v>240.4</v>
      </c>
      <c r="AR53" s="301"/>
      <c r="AS53" s="302" t="n">
        <f aca="false">'O_MN, PE_UTA_UGM 2024'!L30</f>
        <v>0.00465</v>
      </c>
      <c r="AT53" s="302" t="n">
        <f aca="false">'O_MN, PE_UTA_UGM 2024'!M30</f>
        <v>0.0098</v>
      </c>
      <c r="AU53" s="45"/>
      <c r="AV53" s="321" t="n">
        <f aca="false">AG53*AM53</f>
        <v>0</v>
      </c>
      <c r="AW53" s="319" t="n">
        <f aca="false">AH53*AN53</f>
        <v>0</v>
      </c>
      <c r="AX53" s="320" t="n">
        <f aca="false">1.25*AJ53*AM53</f>
        <v>0</v>
      </c>
      <c r="AY53" s="322" t="n">
        <f aca="false">1.25*AK53*AN53</f>
        <v>0</v>
      </c>
      <c r="AZ53" s="323" t="n">
        <f aca="false">AG53*AP53</f>
        <v>0</v>
      </c>
      <c r="BA53" s="319" t="n">
        <f aca="false">AH53*AQ53</f>
        <v>0</v>
      </c>
      <c r="BB53" s="320" t="n">
        <f aca="false">1.25*AJ53*AP53</f>
        <v>0</v>
      </c>
      <c r="BC53" s="320" t="n">
        <f aca="false">1.25*AK53*AQ53</f>
        <v>0</v>
      </c>
      <c r="BD53" s="321" t="n">
        <f aca="false">AG53*AS53</f>
        <v>0</v>
      </c>
      <c r="BE53" s="319" t="n">
        <f aca="false">AH53*AT53</f>
        <v>0</v>
      </c>
      <c r="BF53" s="320" t="n">
        <f aca="false">AJ53*AS53</f>
        <v>0</v>
      </c>
      <c r="BG53" s="322" t="n">
        <f aca="false">AK53*AT53</f>
        <v>0</v>
      </c>
      <c r="BH53" s="324" t="n">
        <f aca="false">IF(BH$24=$AA53,($AG53*$AM53)+($AJ53*$AM53*1.25)+($AH53*$AN53)+($AK53*$AN53*1.25),"")</f>
        <v>0</v>
      </c>
      <c r="BI53" s="325" t="str">
        <f aca="false">IF(BI$24=$AA53,($AG53*$AM53)+($AJ53*$AM53*1.25)+($AH53*$AN53)+($AK53*$AN53*1.25),"")</f>
        <v/>
      </c>
      <c r="BJ53" s="325" t="str">
        <f aca="false">IF(BJ$24=$AA53,($AG53*$AM53)+($AJ53*$AM53*1.25)+($AH53*$AN53)+($AK53*$AN53*1.25),"")</f>
        <v/>
      </c>
      <c r="BK53" s="325" t="str">
        <f aca="false">IF(BK$24=$AA53,($AG53*$AM53)+($AJ53*$AM53*1.25)+($AH53*$AN53)+($AK53*$AN53*1.25),"")</f>
        <v/>
      </c>
      <c r="BL53" s="326" t="str">
        <f aca="false">IF(BL$24=$AA53,($AG53*$AM53)+($AJ53*$AM53*1.25)+($AH53*$AN53)+($AK53*$AN53*1.25),"")</f>
        <v/>
      </c>
      <c r="BM53" s="327" t="str">
        <f aca="false">IF(CONCATENATE(BH53,BI53,BJ53,BK53,BL53)="",1,"")</f>
        <v/>
      </c>
      <c r="BN53" s="328"/>
      <c r="BO53" s="328"/>
      <c r="BP53" s="328"/>
      <c r="BQ53" s="328"/>
      <c r="BR53" s="47"/>
      <c r="BS53" s="127" t="n">
        <f aca="false">(AG53*AM53)+(AH53*AN53)+((AJ53*AM53)+(AK53*AN53)*1.25)</f>
        <v>0</v>
      </c>
      <c r="BT53" s="127" t="n">
        <f aca="false">(AG53*AP53)+(AH53*AQ53)+((AJ53*AP53)+(AK53*AQ53)*1.25)</f>
        <v>0</v>
      </c>
      <c r="BU53" s="329"/>
      <c r="BV53" s="129"/>
    </row>
    <row r="54" customFormat="false" ht="15" hidden="false" customHeight="false" outlineLevel="0" collapsed="false">
      <c r="A54" s="228"/>
      <c r="B54" s="229"/>
      <c r="C54" s="230"/>
      <c r="D54" s="231"/>
      <c r="E54" s="223" t="str">
        <f aca="false">IF(SUM(A54:D54)&gt;0,SUM(A54:D54),"")</f>
        <v/>
      </c>
      <c r="F54" s="224" t="str">
        <f aca="false">AD67</f>
        <v>RAYGRASS ANUAL</v>
      </c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3"/>
      <c r="S54" s="3"/>
      <c r="T54" s="3"/>
      <c r="U54" s="3"/>
      <c r="V54" s="3"/>
      <c r="W54" s="3"/>
      <c r="X54" s="3"/>
      <c r="Y54" s="3"/>
      <c r="Z54" s="316" t="str">
        <f aca="false">IF(AF54&gt;0,RANK(AF54,AF$6:AF$422),"")</f>
        <v/>
      </c>
      <c r="AA54" s="134" t="n">
        <f aca="false">'O_MN, PE_UTA_UGM 2024'!N31</f>
        <v>1</v>
      </c>
      <c r="AB54" s="135" t="n">
        <f aca="false">'O_MN, PE_UTA_UGM 2024'!O31</f>
        <v>0</v>
      </c>
      <c r="AC54" s="317" t="n">
        <f aca="false">'O_MN, PE_UTA_UGM 2024'!C31</f>
        <v>53</v>
      </c>
      <c r="AD54" s="293" t="str">
        <f aca="false">IF(AB54=0,'O_MN, PE_UTA_UGM 2024'!F31,CONCATENATE('O_MN, PE_UTA_UGM 2024'!F31," ","INVERNADERO"))</f>
        <v>YEROS</v>
      </c>
      <c r="AE54" s="89"/>
      <c r="AF54" s="123" t="n">
        <f aca="false">SUM(AG54:AH54)+SUM(AJ54:AK54)</f>
        <v>0</v>
      </c>
      <c r="AG54" s="318" t="n">
        <f aca="false">A41</f>
        <v>0</v>
      </c>
      <c r="AH54" s="319" t="n">
        <f aca="false">B41</f>
        <v>0</v>
      </c>
      <c r="AI54" s="6"/>
      <c r="AJ54" s="320" t="n">
        <f aca="false">C41</f>
        <v>0</v>
      </c>
      <c r="AK54" s="320" t="n">
        <f aca="false">D41</f>
        <v>0</v>
      </c>
      <c r="AL54" s="237" t="s">
        <v>180</v>
      </c>
      <c r="AM54" s="299" t="n">
        <f aca="false">'O_MN, PE_UTA_UGM 2024'!J31</f>
        <v>350</v>
      </c>
      <c r="AN54" s="299" t="n">
        <f aca="false">'O_MN, PE_UTA_UGM 2024'!K31</f>
        <v>750</v>
      </c>
      <c r="AO54" s="300"/>
      <c r="AP54" s="299" t="n">
        <f aca="false">'O_MN, PE_UTA_UGM 2024'!H31</f>
        <v>114.19</v>
      </c>
      <c r="AQ54" s="299" t="n">
        <f aca="false">'O_MN, PE_UTA_UGM 2024'!I31</f>
        <v>240.4</v>
      </c>
      <c r="AR54" s="301"/>
      <c r="AS54" s="302" t="n">
        <f aca="false">'O_MN, PE_UTA_UGM 2024'!L31</f>
        <v>0.00465</v>
      </c>
      <c r="AT54" s="302" t="n">
        <f aca="false">'O_MN, PE_UTA_UGM 2024'!M31</f>
        <v>0.0098</v>
      </c>
      <c r="AU54" s="45"/>
      <c r="AV54" s="321" t="n">
        <f aca="false">AG54*AM54</f>
        <v>0</v>
      </c>
      <c r="AW54" s="319" t="n">
        <f aca="false">AH54*AN54</f>
        <v>0</v>
      </c>
      <c r="AX54" s="320" t="n">
        <f aca="false">1.25*AJ54*AM54</f>
        <v>0</v>
      </c>
      <c r="AY54" s="322" t="n">
        <f aca="false">1.25*AK54*AN54</f>
        <v>0</v>
      </c>
      <c r="AZ54" s="323" t="n">
        <f aca="false">AG54*AP54</f>
        <v>0</v>
      </c>
      <c r="BA54" s="319" t="n">
        <f aca="false">AH54*AQ54</f>
        <v>0</v>
      </c>
      <c r="BB54" s="320" t="n">
        <f aca="false">1.25*AJ54*AP54</f>
        <v>0</v>
      </c>
      <c r="BC54" s="320" t="n">
        <f aca="false">1.25*AK54*AQ54</f>
        <v>0</v>
      </c>
      <c r="BD54" s="321" t="n">
        <f aca="false">AG54*AS54</f>
        <v>0</v>
      </c>
      <c r="BE54" s="319" t="n">
        <f aca="false">AH54*AT54</f>
        <v>0</v>
      </c>
      <c r="BF54" s="320" t="n">
        <f aca="false">AJ54*AS54</f>
        <v>0</v>
      </c>
      <c r="BG54" s="322" t="n">
        <f aca="false">AK54*AT54</f>
        <v>0</v>
      </c>
      <c r="BH54" s="324" t="n">
        <f aca="false">IF(BH$24=$AA54,($AG54*$AM54)+($AJ54*$AM54*1.25)+($AH54*$AN54)+($AK54*$AN54*1.25),"")</f>
        <v>0</v>
      </c>
      <c r="BI54" s="325" t="str">
        <f aca="false">IF(BI$24=$AA54,($AG54*$AM54)+($AJ54*$AM54*1.25)+($AH54*$AN54)+($AK54*$AN54*1.25),"")</f>
        <v/>
      </c>
      <c r="BJ54" s="325" t="str">
        <f aca="false">IF(BJ$24=$AA54,($AG54*$AM54)+($AJ54*$AM54*1.25)+($AH54*$AN54)+($AK54*$AN54*1.25),"")</f>
        <v/>
      </c>
      <c r="BK54" s="325" t="str">
        <f aca="false">IF(BK$24=$AA54,($AG54*$AM54)+($AJ54*$AM54*1.25)+($AH54*$AN54)+($AK54*$AN54*1.25),"")</f>
        <v/>
      </c>
      <c r="BL54" s="326" t="str">
        <f aca="false">IF(BL$24=$AA54,($AG54*$AM54)+($AJ54*$AM54*1.25)+($AH54*$AN54)+($AK54*$AN54*1.25),"")</f>
        <v/>
      </c>
      <c r="BM54" s="327" t="str">
        <f aca="false">IF(CONCATENATE(BH54,BI54,BJ54,BK54,BL54)="",1,"")</f>
        <v/>
      </c>
      <c r="BN54" s="328"/>
      <c r="BO54" s="328"/>
      <c r="BP54" s="328"/>
      <c r="BQ54" s="328"/>
      <c r="BR54" s="47"/>
      <c r="BS54" s="127" t="n">
        <f aca="false">(AG54*AM54)+(AH54*AN54)+((AJ54*AM54)+(AK54*AN54)*1.25)</f>
        <v>0</v>
      </c>
      <c r="BT54" s="127" t="n">
        <f aca="false">(AG54*AP54)+(AH54*AQ54)+((AJ54*AP54)+(AK54*AQ54)*1.25)</f>
        <v>0</v>
      </c>
      <c r="BU54" s="329"/>
      <c r="BV54" s="129"/>
    </row>
    <row r="55" customFormat="false" ht="15" hidden="false" customHeight="false" outlineLevel="0" collapsed="false">
      <c r="A55" s="228"/>
      <c r="B55" s="229"/>
      <c r="C55" s="230"/>
      <c r="D55" s="231"/>
      <c r="E55" s="223" t="str">
        <f aca="false">IF(SUM(A55:D55)&gt;0,SUM(A55:D55),"")</f>
        <v/>
      </c>
      <c r="F55" s="224" t="str">
        <f aca="false">AD68</f>
        <v>ARROZ</v>
      </c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3"/>
      <c r="S55" s="3"/>
      <c r="T55" s="3"/>
      <c r="U55" s="3"/>
      <c r="V55" s="3"/>
      <c r="W55" s="3"/>
      <c r="X55" s="3"/>
      <c r="Y55" s="3"/>
      <c r="Z55" s="316" t="str">
        <f aca="false">IF(AF55&gt;0,RANK(AF55,AF$6:AF$422),"")</f>
        <v/>
      </c>
      <c r="AA55" s="134" t="n">
        <f aca="false">'O_MN, PE_UTA_UGM 2024'!N32</f>
        <v>1</v>
      </c>
      <c r="AB55" s="135" t="n">
        <f aca="false">'O_MN, PE_UTA_UGM 2024'!O32</f>
        <v>0</v>
      </c>
      <c r="AC55" s="317" t="n">
        <f aca="false">'O_MN, PE_UTA_UGM 2024'!C32</f>
        <v>60</v>
      </c>
      <c r="AD55" s="293" t="str">
        <f aca="false">IF(AB55=0,'O_MN, PE_UTA_UGM 2024'!F32,CONCATENATE('O_MN, PE_UTA_UGM 2024'!F32," ","INVERNADERO"))</f>
        <v>ALFALFA</v>
      </c>
      <c r="AE55" s="89"/>
      <c r="AF55" s="123" t="n">
        <f aca="false">SUM(AG55:AH55)+SUM(AJ55:AK55)</f>
        <v>0</v>
      </c>
      <c r="AG55" s="318" t="n">
        <f aca="false">A42</f>
        <v>0</v>
      </c>
      <c r="AH55" s="319" t="n">
        <f aca="false">B42</f>
        <v>0</v>
      </c>
      <c r="AI55" s="6"/>
      <c r="AJ55" s="320" t="n">
        <f aca="false">C42</f>
        <v>0</v>
      </c>
      <c r="AK55" s="320" t="n">
        <f aca="false">D42</f>
        <v>0</v>
      </c>
      <c r="AL55" s="237" t="s">
        <v>181</v>
      </c>
      <c r="AM55" s="299" t="n">
        <f aca="false">'O_MN, PE_UTA_UGM 2024'!J32</f>
        <v>800</v>
      </c>
      <c r="AN55" s="299" t="n">
        <f aca="false">'O_MN, PE_UTA_UGM 2024'!K32</f>
        <v>2000</v>
      </c>
      <c r="AO55" s="300"/>
      <c r="AP55" s="299" t="n">
        <f aca="false">'O_MN, PE_UTA_UGM 2024'!H32</f>
        <v>114.19</v>
      </c>
      <c r="AQ55" s="299" t="n">
        <f aca="false">'O_MN, PE_UTA_UGM 2024'!I32</f>
        <v>480.81</v>
      </c>
      <c r="AR55" s="301"/>
      <c r="AS55" s="302" t="n">
        <f aca="false">'O_MN, PE_UTA_UGM 2024'!L32</f>
        <v>0.00465</v>
      </c>
      <c r="AT55" s="302" t="n">
        <f aca="false">'O_MN, PE_UTA_UGM 2024'!M32</f>
        <v>0.0196</v>
      </c>
      <c r="AU55" s="45"/>
      <c r="AV55" s="321" t="n">
        <f aca="false">AG55*AM55</f>
        <v>0</v>
      </c>
      <c r="AW55" s="319" t="n">
        <f aca="false">AH55*AN55</f>
        <v>0</v>
      </c>
      <c r="AX55" s="320" t="n">
        <f aca="false">1.25*AJ55*AM55</f>
        <v>0</v>
      </c>
      <c r="AY55" s="322" t="n">
        <f aca="false">1.25*AK55*AN55</f>
        <v>0</v>
      </c>
      <c r="AZ55" s="323" t="n">
        <f aca="false">AG55*AP55</f>
        <v>0</v>
      </c>
      <c r="BA55" s="319" t="n">
        <f aca="false">AH55*AQ55</f>
        <v>0</v>
      </c>
      <c r="BB55" s="320" t="n">
        <f aca="false">1.25*AJ55*AP55</f>
        <v>0</v>
      </c>
      <c r="BC55" s="320" t="n">
        <f aca="false">1.25*AK55*AQ55</f>
        <v>0</v>
      </c>
      <c r="BD55" s="321" t="n">
        <f aca="false">AG55*AS55</f>
        <v>0</v>
      </c>
      <c r="BE55" s="319" t="n">
        <f aca="false">AH55*AT55</f>
        <v>0</v>
      </c>
      <c r="BF55" s="320" t="n">
        <f aca="false">AJ55*AS55</f>
        <v>0</v>
      </c>
      <c r="BG55" s="322" t="n">
        <f aca="false">AK55*AT55</f>
        <v>0</v>
      </c>
      <c r="BH55" s="324" t="n">
        <f aca="false">IF(BH$24=$AA55,($AG55*$AM55)+($AJ55*$AM55*1.25)+($AH55*$AN55)+($AK55*$AN55*1.25),"")</f>
        <v>0</v>
      </c>
      <c r="BI55" s="325" t="str">
        <f aca="false">IF(BI$24=$AA55,($AG55*$AM55)+($AJ55*$AM55*1.25)+($AH55*$AN55)+($AK55*$AN55*1.25),"")</f>
        <v/>
      </c>
      <c r="BJ55" s="325" t="str">
        <f aca="false">IF(BJ$24=$AA55,($AG55*$AM55)+($AJ55*$AM55*1.25)+($AH55*$AN55)+($AK55*$AN55*1.25),"")</f>
        <v/>
      </c>
      <c r="BK55" s="325" t="str">
        <f aca="false">IF(BK$24=$AA55,($AG55*$AM55)+($AJ55*$AM55*1.25)+($AH55*$AN55)+($AK55*$AN55*1.25),"")</f>
        <v/>
      </c>
      <c r="BL55" s="326" t="str">
        <f aca="false">IF(BL$24=$AA55,($AG55*$AM55)+($AJ55*$AM55*1.25)+($AH55*$AN55)+($AK55*$AN55*1.25),"")</f>
        <v/>
      </c>
      <c r="BM55" s="327" t="str">
        <f aca="false">IF(CONCATENATE(BH55,BI55,BJ55,BK55,BL55)="",1,"")</f>
        <v/>
      </c>
      <c r="BN55" s="328"/>
      <c r="BO55" s="328"/>
      <c r="BP55" s="328"/>
      <c r="BQ55" s="328"/>
      <c r="BR55" s="47"/>
      <c r="BS55" s="127" t="n">
        <f aca="false">(AG55*AM55)+(AH55*AN55)+((AJ55*AM55)+(AK55*AN55)*1.25)</f>
        <v>0</v>
      </c>
      <c r="BT55" s="127" t="n">
        <f aca="false">(AG55*AP55)+(AH55*AQ55)+((AJ55*AP55)+(AK55*AQ55)*1.25)</f>
        <v>0</v>
      </c>
      <c r="BU55" s="329"/>
      <c r="BV55" s="129"/>
    </row>
    <row r="56" customFormat="false" ht="15" hidden="false" customHeight="false" outlineLevel="0" collapsed="false">
      <c r="A56" s="219"/>
      <c r="B56" s="220"/>
      <c r="C56" s="221"/>
      <c r="D56" s="222"/>
      <c r="E56" s="223" t="str">
        <f aca="false">IF(SUM(A56:D56)&gt;0,SUM(A56:D56),"")</f>
        <v/>
      </c>
      <c r="F56" s="224" t="str">
        <f aca="false">AD69</f>
        <v>REMOLACHA</v>
      </c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3"/>
      <c r="S56" s="3"/>
      <c r="T56" s="3"/>
      <c r="U56" s="3"/>
      <c r="V56" s="3"/>
      <c r="W56" s="3"/>
      <c r="X56" s="3"/>
      <c r="Y56" s="3"/>
      <c r="Z56" s="316" t="str">
        <f aca="false">IF(AF56&gt;0,RANK(AF56,AF$6:AF$422),"")</f>
        <v/>
      </c>
      <c r="AA56" s="134" t="n">
        <f aca="false">'O_MN, PE_UTA_UGM 2024'!N33</f>
        <v>1</v>
      </c>
      <c r="AB56" s="135" t="n">
        <f aca="false">'O_MN, PE_UTA_UGM 2024'!O33</f>
        <v>0</v>
      </c>
      <c r="AC56" s="317" t="n">
        <f aca="false">'O_MN, PE_UTA_UGM 2024'!C33</f>
        <v>61</v>
      </c>
      <c r="AD56" s="293" t="str">
        <f aca="false">IF(AB56=0,'O_MN, PE_UTA_UGM 2024'!F33,CONCATENATE('O_MN, PE_UTA_UGM 2024'!F33," ","INVERNADERO"))</f>
        <v>ALHOLVA</v>
      </c>
      <c r="AE56" s="89"/>
      <c r="AF56" s="123" t="n">
        <f aca="false">SUM(AG56:AH56)+SUM(AJ56:AK56)</f>
        <v>0</v>
      </c>
      <c r="AG56" s="318" t="n">
        <f aca="false">A43</f>
        <v>0</v>
      </c>
      <c r="AH56" s="319" t="n">
        <f aca="false">B43</f>
        <v>0</v>
      </c>
      <c r="AI56" s="6"/>
      <c r="AJ56" s="320" t="n">
        <f aca="false">C43</f>
        <v>0</v>
      </c>
      <c r="AK56" s="320" t="n">
        <f aca="false">D43</f>
        <v>0</v>
      </c>
      <c r="AL56" s="237" t="s">
        <v>182</v>
      </c>
      <c r="AM56" s="299" t="n">
        <f aca="false">'O_MN, PE_UTA_UGM 2024'!J33</f>
        <v>700</v>
      </c>
      <c r="AN56" s="299" t="n">
        <f aca="false">'O_MN, PE_UTA_UGM 2024'!K33</f>
        <v>1800</v>
      </c>
      <c r="AO56" s="300"/>
      <c r="AP56" s="299" t="n">
        <f aca="false">'O_MN, PE_UTA_UGM 2024'!H33</f>
        <v>114.19</v>
      </c>
      <c r="AQ56" s="299" t="n">
        <f aca="false">'O_MN, PE_UTA_UGM 2024'!I33</f>
        <v>240.4</v>
      </c>
      <c r="AR56" s="301"/>
      <c r="AS56" s="302" t="n">
        <f aca="false">'O_MN, PE_UTA_UGM 2024'!L33</f>
        <v>0.00465</v>
      </c>
      <c r="AT56" s="302" t="n">
        <f aca="false">'O_MN, PE_UTA_UGM 2024'!M33</f>
        <v>0.0098</v>
      </c>
      <c r="AU56" s="45"/>
      <c r="AV56" s="321" t="n">
        <f aca="false">AG56*AM56</f>
        <v>0</v>
      </c>
      <c r="AW56" s="319" t="n">
        <f aca="false">AH56*AN56</f>
        <v>0</v>
      </c>
      <c r="AX56" s="320" t="n">
        <f aca="false">1.25*AJ56*AM56</f>
        <v>0</v>
      </c>
      <c r="AY56" s="322" t="n">
        <f aca="false">1.25*AK56*AN56</f>
        <v>0</v>
      </c>
      <c r="AZ56" s="323" t="n">
        <f aca="false">AG56*AP56</f>
        <v>0</v>
      </c>
      <c r="BA56" s="319" t="n">
        <f aca="false">AH56*AQ56</f>
        <v>0</v>
      </c>
      <c r="BB56" s="320" t="n">
        <f aca="false">1.25*AJ56*AP56</f>
        <v>0</v>
      </c>
      <c r="BC56" s="320" t="n">
        <f aca="false">1.25*AK56*AQ56</f>
        <v>0</v>
      </c>
      <c r="BD56" s="321" t="n">
        <f aca="false">AG56*AS56</f>
        <v>0</v>
      </c>
      <c r="BE56" s="319" t="n">
        <f aca="false">AH56*AT56</f>
        <v>0</v>
      </c>
      <c r="BF56" s="320" t="n">
        <f aca="false">AJ56*AS56</f>
        <v>0</v>
      </c>
      <c r="BG56" s="322" t="n">
        <f aca="false">AK56*AT56</f>
        <v>0</v>
      </c>
      <c r="BH56" s="324" t="n">
        <f aca="false">IF(BH$24=$AA56,($AG56*$AM56)+($AJ56*$AM56*1.25)+($AH56*$AN56)+($AK56*$AN56*1.25),"")</f>
        <v>0</v>
      </c>
      <c r="BI56" s="325" t="str">
        <f aca="false">IF(BI$24=$AA56,($AG56*$AM56)+($AJ56*$AM56*1.25)+($AH56*$AN56)+($AK56*$AN56*1.25),"")</f>
        <v/>
      </c>
      <c r="BJ56" s="325" t="str">
        <f aca="false">IF(BJ$24=$AA56,($AG56*$AM56)+($AJ56*$AM56*1.25)+($AH56*$AN56)+($AK56*$AN56*1.25),"")</f>
        <v/>
      </c>
      <c r="BK56" s="325" t="str">
        <f aca="false">IF(BK$24=$AA56,($AG56*$AM56)+($AJ56*$AM56*1.25)+($AH56*$AN56)+($AK56*$AN56*1.25),"")</f>
        <v/>
      </c>
      <c r="BL56" s="326" t="str">
        <f aca="false">IF(BL$24=$AA56,($AG56*$AM56)+($AJ56*$AM56*1.25)+($AH56*$AN56)+($AK56*$AN56*1.25),"")</f>
        <v/>
      </c>
      <c r="BM56" s="327" t="str">
        <f aca="false">IF(CONCATENATE(BH56,BI56,BJ56,BK56,BL56)="",1,"")</f>
        <v/>
      </c>
      <c r="BN56" s="328"/>
      <c r="BO56" s="328"/>
      <c r="BP56" s="328"/>
      <c r="BQ56" s="328"/>
      <c r="BR56" s="47"/>
      <c r="BS56" s="127" t="n">
        <f aca="false">(AG56*AM56)+(AH56*AN56)+((AJ56*AM56)+(AK56*AN56)*1.25)</f>
        <v>0</v>
      </c>
      <c r="BT56" s="127" t="n">
        <f aca="false">(AG56*AP56)+(AH56*AQ56)+((AJ56*AP56)+(AK56*AQ56)*1.25)</f>
        <v>0</v>
      </c>
      <c r="BU56" s="329"/>
      <c r="BV56" s="129"/>
    </row>
    <row r="57" customFormat="false" ht="15" hidden="false" customHeight="false" outlineLevel="0" collapsed="false">
      <c r="A57" s="219"/>
      <c r="B57" s="220"/>
      <c r="C57" s="221"/>
      <c r="D57" s="222"/>
      <c r="E57" s="223" t="str">
        <f aca="false">IF(SUM(A57:D57)&gt;0,SUM(A57:D57),"")</f>
        <v/>
      </c>
      <c r="F57" s="224" t="str">
        <f aca="false">AD70</f>
        <v>LÚPULO</v>
      </c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3"/>
      <c r="S57" s="3"/>
      <c r="T57" s="3"/>
      <c r="U57" s="3"/>
      <c r="V57" s="3"/>
      <c r="W57" s="3"/>
      <c r="X57" s="3"/>
      <c r="Y57" s="3"/>
      <c r="Z57" s="316" t="str">
        <f aca="false">IF(AF57&gt;0,RANK(AF57,AF$6:AF$422),"")</f>
        <v/>
      </c>
      <c r="AA57" s="134" t="n">
        <f aca="false">'O_MN, PE_UTA_UGM 2024'!N34</f>
        <v>1</v>
      </c>
      <c r="AB57" s="135" t="n">
        <f aca="false">'O_MN, PE_UTA_UGM 2024'!O34</f>
        <v>0</v>
      </c>
      <c r="AC57" s="317" t="n">
        <f aca="false">'O_MN, PE_UTA_UGM 2024'!C34</f>
        <v>67</v>
      </c>
      <c r="AD57" s="293" t="str">
        <f aca="false">IF(AB57=0,'O_MN, PE_UTA_UGM 2024'!F34,CONCATENATE('O_MN, PE_UTA_UGM 2024'!F34," ","INVERNADERO"))</f>
        <v>ESPARCETA</v>
      </c>
      <c r="AE57" s="89"/>
      <c r="AF57" s="123" t="n">
        <f aca="false">SUM(AG57:AH57)+SUM(AJ57:AK57)</f>
        <v>0</v>
      </c>
      <c r="AG57" s="318" t="n">
        <f aca="false">A44</f>
        <v>0</v>
      </c>
      <c r="AH57" s="319" t="n">
        <f aca="false">B44</f>
        <v>0</v>
      </c>
      <c r="AI57" s="6"/>
      <c r="AJ57" s="320" t="n">
        <f aca="false">C44</f>
        <v>0</v>
      </c>
      <c r="AK57" s="320" t="n">
        <f aca="false">D44</f>
        <v>0</v>
      </c>
      <c r="AL57" s="237" t="s">
        <v>183</v>
      </c>
      <c r="AM57" s="299" t="n">
        <f aca="false">'O_MN, PE_UTA_UGM 2024'!J34</f>
        <v>700</v>
      </c>
      <c r="AN57" s="299" t="n">
        <f aca="false">'O_MN, PE_UTA_UGM 2024'!K34</f>
        <v>1800</v>
      </c>
      <c r="AO57" s="300"/>
      <c r="AP57" s="299" t="n">
        <f aca="false">'O_MN, PE_UTA_UGM 2024'!H34</f>
        <v>114.19</v>
      </c>
      <c r="AQ57" s="299" t="n">
        <f aca="false">'O_MN, PE_UTA_UGM 2024'!I34</f>
        <v>240.4</v>
      </c>
      <c r="AR57" s="301"/>
      <c r="AS57" s="302" t="n">
        <f aca="false">'O_MN, PE_UTA_UGM 2024'!L34</f>
        <v>0.00465</v>
      </c>
      <c r="AT57" s="302" t="n">
        <f aca="false">'O_MN, PE_UTA_UGM 2024'!M34</f>
        <v>0.0098</v>
      </c>
      <c r="AU57" s="45"/>
      <c r="AV57" s="321" t="n">
        <f aca="false">AG57*AM57</f>
        <v>0</v>
      </c>
      <c r="AW57" s="319" t="n">
        <f aca="false">AH57*AN57</f>
        <v>0</v>
      </c>
      <c r="AX57" s="320" t="n">
        <f aca="false">1.25*AJ57*AM57</f>
        <v>0</v>
      </c>
      <c r="AY57" s="322" t="n">
        <f aca="false">1.25*AK57*AN57</f>
        <v>0</v>
      </c>
      <c r="AZ57" s="323" t="n">
        <f aca="false">AG57*AP57</f>
        <v>0</v>
      </c>
      <c r="BA57" s="319" t="n">
        <f aca="false">AH57*AQ57</f>
        <v>0</v>
      </c>
      <c r="BB57" s="320" t="n">
        <f aca="false">1.25*AJ57*AP57</f>
        <v>0</v>
      </c>
      <c r="BC57" s="320" t="n">
        <f aca="false">1.25*AK57*AQ57</f>
        <v>0</v>
      </c>
      <c r="BD57" s="321" t="n">
        <f aca="false">AG57*AS57</f>
        <v>0</v>
      </c>
      <c r="BE57" s="319" t="n">
        <f aca="false">AH57*AT57</f>
        <v>0</v>
      </c>
      <c r="BF57" s="320" t="n">
        <f aca="false">AJ57*AS57</f>
        <v>0</v>
      </c>
      <c r="BG57" s="322" t="n">
        <f aca="false">AK57*AT57</f>
        <v>0</v>
      </c>
      <c r="BH57" s="324" t="n">
        <f aca="false">IF(BH$24=$AA57,($AG57*$AM57)+($AJ57*$AM57*1.25)+($AH57*$AN57)+($AK57*$AN57*1.25),"")</f>
        <v>0</v>
      </c>
      <c r="BI57" s="325" t="str">
        <f aca="false">IF(BI$24=$AA57,($AG57*$AM57)+($AJ57*$AM57*1.25)+($AH57*$AN57)+($AK57*$AN57*1.25),"")</f>
        <v/>
      </c>
      <c r="BJ57" s="325" t="str">
        <f aca="false">IF(BJ$24=$AA57,($AG57*$AM57)+($AJ57*$AM57*1.25)+($AH57*$AN57)+($AK57*$AN57*1.25),"")</f>
        <v/>
      </c>
      <c r="BK57" s="325" t="str">
        <f aca="false">IF(BK$24=$AA57,($AG57*$AM57)+($AJ57*$AM57*1.25)+($AH57*$AN57)+($AK57*$AN57*1.25),"")</f>
        <v/>
      </c>
      <c r="BL57" s="326" t="str">
        <f aca="false">IF(BL$24=$AA57,($AG57*$AM57)+($AJ57*$AM57*1.25)+($AH57*$AN57)+($AK57*$AN57*1.25),"")</f>
        <v/>
      </c>
      <c r="BM57" s="327" t="str">
        <f aca="false">IF(CONCATENATE(BH57,BI57,BJ57,BK57,BL57)="",1,"")</f>
        <v/>
      </c>
      <c r="BN57" s="328"/>
      <c r="BO57" s="328"/>
      <c r="BP57" s="328"/>
      <c r="BQ57" s="328"/>
      <c r="BR57" s="47"/>
      <c r="BS57" s="127" t="n">
        <f aca="false">(AG57*AM57)+(AH57*AN57)+((AJ57*AM57)+(AK57*AN57)*1.25)</f>
        <v>0</v>
      </c>
      <c r="BT57" s="127" t="n">
        <f aca="false">(AG57*AP57)+(AH57*AQ57)+((AJ57*AP57)+(AK57*AQ57)*1.25)</f>
        <v>0</v>
      </c>
      <c r="BU57" s="329"/>
      <c r="BV57" s="129"/>
    </row>
    <row r="58" customFormat="false" ht="15" hidden="false" customHeight="false" outlineLevel="0" collapsed="false">
      <c r="A58" s="228"/>
      <c r="B58" s="229"/>
      <c r="C58" s="230"/>
      <c r="D58" s="231"/>
      <c r="E58" s="223" t="str">
        <f aca="false">IF(SUM(A58:D58)&gt;0,SUM(A58:D58),"")</f>
        <v/>
      </c>
      <c r="F58" s="224" t="str">
        <f aca="false">AD71</f>
        <v>LINO</v>
      </c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3"/>
      <c r="S58" s="3"/>
      <c r="T58" s="3"/>
      <c r="U58" s="3"/>
      <c r="V58" s="3"/>
      <c r="W58" s="3"/>
      <c r="X58" s="3"/>
      <c r="Y58" s="3"/>
      <c r="Z58" s="316" t="str">
        <f aca="false">IF(AF58&gt;0,RANK(AF58,AF$6:AF$422),"")</f>
        <v/>
      </c>
      <c r="AA58" s="134" t="n">
        <f aca="false">'O_MN, PE_UTA_UGM 2024'!N35</f>
        <v>1</v>
      </c>
      <c r="AB58" s="135" t="n">
        <f aca="false">'O_MN, PE_UTA_UGM 2024'!O35</f>
        <v>0</v>
      </c>
      <c r="AC58" s="317" t="n">
        <f aca="false">'O_MN, PE_UTA_UGM 2024'!C35</f>
        <v>68</v>
      </c>
      <c r="AD58" s="293" t="str">
        <f aca="false">IF(AB58=0,'O_MN, PE_UTA_UGM 2024'!F35,CONCATENATE('O_MN, PE_UTA_UGM 2024'!F35," ","INVERNADERO"))</f>
        <v>FESTUCA</v>
      </c>
      <c r="AE58" s="89"/>
      <c r="AF58" s="123" t="n">
        <f aca="false">SUM(AG58:AH58)+SUM(AJ58:AK58)</f>
        <v>0</v>
      </c>
      <c r="AG58" s="318" t="n">
        <f aca="false">A45</f>
        <v>0</v>
      </c>
      <c r="AH58" s="319" t="n">
        <f aca="false">B45</f>
        <v>0</v>
      </c>
      <c r="AI58" s="6"/>
      <c r="AJ58" s="320" t="n">
        <f aca="false">C45</f>
        <v>0</v>
      </c>
      <c r="AK58" s="320" t="n">
        <f aca="false">D45</f>
        <v>0</v>
      </c>
      <c r="AL58" s="237" t="s">
        <v>184</v>
      </c>
      <c r="AM58" s="299" t="n">
        <f aca="false">'O_MN, PE_UTA_UGM 2024'!J35</f>
        <v>450</v>
      </c>
      <c r="AN58" s="299" t="n">
        <f aca="false">'O_MN, PE_UTA_UGM 2024'!K35</f>
        <v>1000</v>
      </c>
      <c r="AO58" s="300"/>
      <c r="AP58" s="299" t="n">
        <f aca="false">'O_MN, PE_UTA_UGM 2024'!H35</f>
        <v>114.19</v>
      </c>
      <c r="AQ58" s="299" t="n">
        <f aca="false">'O_MN, PE_UTA_UGM 2024'!I35</f>
        <v>270.46</v>
      </c>
      <c r="AR58" s="301"/>
      <c r="AS58" s="302" t="n">
        <f aca="false">'O_MN, PE_UTA_UGM 2024'!L35</f>
        <v>0.00465</v>
      </c>
      <c r="AT58" s="302" t="n">
        <f aca="false">'O_MN, PE_UTA_UGM 2024'!M35</f>
        <v>0.01102</v>
      </c>
      <c r="AU58" s="45"/>
      <c r="AV58" s="321" t="n">
        <f aca="false">AG58*AM58</f>
        <v>0</v>
      </c>
      <c r="AW58" s="319" t="n">
        <f aca="false">AH58*AN58</f>
        <v>0</v>
      </c>
      <c r="AX58" s="320" t="n">
        <f aca="false">1.25*AJ58*AM58</f>
        <v>0</v>
      </c>
      <c r="AY58" s="322" t="n">
        <f aca="false">1.25*AK58*AN58</f>
        <v>0</v>
      </c>
      <c r="AZ58" s="323" t="n">
        <f aca="false">AG58*AP58</f>
        <v>0</v>
      </c>
      <c r="BA58" s="319" t="n">
        <f aca="false">AH58*AQ58</f>
        <v>0</v>
      </c>
      <c r="BB58" s="320" t="n">
        <f aca="false">1.25*AJ58*AP58</f>
        <v>0</v>
      </c>
      <c r="BC58" s="320" t="n">
        <f aca="false">1.25*AK58*AQ58</f>
        <v>0</v>
      </c>
      <c r="BD58" s="321" t="n">
        <f aca="false">AG58*AS58</f>
        <v>0</v>
      </c>
      <c r="BE58" s="319" t="n">
        <f aca="false">AH58*AT58</f>
        <v>0</v>
      </c>
      <c r="BF58" s="320" t="n">
        <f aca="false">AJ58*AS58</f>
        <v>0</v>
      </c>
      <c r="BG58" s="322" t="n">
        <f aca="false">AK58*AT58</f>
        <v>0</v>
      </c>
      <c r="BH58" s="324" t="n">
        <f aca="false">IF(BH$24=$AA58,($AG58*$AM58)+($AJ58*$AM58*1.25)+($AH58*$AN58)+($AK58*$AN58*1.25),"")</f>
        <v>0</v>
      </c>
      <c r="BI58" s="325" t="str">
        <f aca="false">IF(BI$24=$AA58,($AG58*$AM58)+($AJ58*$AM58*1.25)+($AH58*$AN58)+($AK58*$AN58*1.25),"")</f>
        <v/>
      </c>
      <c r="BJ58" s="325" t="str">
        <f aca="false">IF(BJ$24=$AA58,($AG58*$AM58)+($AJ58*$AM58*1.25)+($AH58*$AN58)+($AK58*$AN58*1.25),"")</f>
        <v/>
      </c>
      <c r="BK58" s="325" t="str">
        <f aca="false">IF(BK$24=$AA58,($AG58*$AM58)+($AJ58*$AM58*1.25)+($AH58*$AN58)+($AK58*$AN58*1.25),"")</f>
        <v/>
      </c>
      <c r="BL58" s="326" t="str">
        <f aca="false">IF(BL$24=$AA58,($AG58*$AM58)+($AJ58*$AM58*1.25)+($AH58*$AN58)+($AK58*$AN58*1.25),"")</f>
        <v/>
      </c>
      <c r="BM58" s="327" t="str">
        <f aca="false">IF(CONCATENATE(BH58,BI58,BJ58,BK58,BL58)="",1,"")</f>
        <v/>
      </c>
      <c r="BN58" s="328"/>
      <c r="BO58" s="328"/>
      <c r="BP58" s="328"/>
      <c r="BQ58" s="328"/>
      <c r="BR58" s="47"/>
      <c r="BS58" s="127" t="n">
        <f aca="false">(AG58*AM58)+(AH58*AN58)+((AJ58*AM58)+(AK58*AN58)*1.25)</f>
        <v>0</v>
      </c>
      <c r="BT58" s="127" t="n">
        <f aca="false">(AG58*AP58)+(AH58*AQ58)+((AJ58*AP58)+(AK58*AQ58)*1.25)</f>
        <v>0</v>
      </c>
      <c r="BU58" s="329"/>
      <c r="BV58" s="129"/>
    </row>
    <row r="59" customFormat="false" ht="15" hidden="false" customHeight="false" outlineLevel="0" collapsed="false">
      <c r="A59" s="228"/>
      <c r="B59" s="229"/>
      <c r="C59" s="230"/>
      <c r="D59" s="231"/>
      <c r="E59" s="223" t="str">
        <f aca="false">IF(SUM(A59:D59)&gt;0,SUM(A59:D59),"")</f>
        <v/>
      </c>
      <c r="F59" s="224" t="str">
        <f aca="false">AD72</f>
        <v>CÁÑAMO</v>
      </c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3"/>
      <c r="S59" s="3"/>
      <c r="T59" s="3"/>
      <c r="U59" s="3"/>
      <c r="V59" s="3"/>
      <c r="W59" s="3"/>
      <c r="X59" s="3"/>
      <c r="Y59" s="3"/>
      <c r="Z59" s="316" t="str">
        <f aca="false">IF(AF59&gt;0,RANK(AF59,AF$6:AF$422),"")</f>
        <v/>
      </c>
      <c r="AA59" s="134" t="n">
        <f aca="false">'O_MN, PE_UTA_UGM 2024'!N36</f>
        <v>1</v>
      </c>
      <c r="AB59" s="135" t="n">
        <f aca="false">'O_MN, PE_UTA_UGM 2024'!O36</f>
        <v>0</v>
      </c>
      <c r="AC59" s="317" t="n">
        <f aca="false">'O_MN, PE_UTA_UGM 2024'!C36</f>
        <v>69</v>
      </c>
      <c r="AD59" s="293" t="str">
        <f aca="false">IF(AB59=0,'O_MN, PE_UTA_UGM 2024'!F36,CONCATENATE('O_MN, PE_UTA_UGM 2024'!F36," ","INVERNADERO"))</f>
        <v>RAYGRASS PERENNE</v>
      </c>
      <c r="AE59" s="89"/>
      <c r="AF59" s="123" t="n">
        <f aca="false">SUM(AG59:AH59)+SUM(AJ59:AK59)</f>
        <v>0</v>
      </c>
      <c r="AG59" s="318" t="n">
        <f aca="false">A46</f>
        <v>0</v>
      </c>
      <c r="AH59" s="319" t="n">
        <f aca="false">B46</f>
        <v>0</v>
      </c>
      <c r="AI59" s="6"/>
      <c r="AJ59" s="320" t="n">
        <f aca="false">C46</f>
        <v>0</v>
      </c>
      <c r="AK59" s="320" t="n">
        <f aca="false">D46</f>
        <v>0</v>
      </c>
      <c r="AL59" s="237" t="s">
        <v>185</v>
      </c>
      <c r="AM59" s="299" t="n">
        <f aca="false">'O_MN, PE_UTA_UGM 2024'!J36</f>
        <v>700</v>
      </c>
      <c r="AN59" s="299" t="n">
        <f aca="false">'O_MN, PE_UTA_UGM 2024'!K36</f>
        <v>2000</v>
      </c>
      <c r="AO59" s="300"/>
      <c r="AP59" s="299" t="n">
        <f aca="false">'O_MN, PE_UTA_UGM 2024'!H36</f>
        <v>114.19</v>
      </c>
      <c r="AQ59" s="299" t="n">
        <f aca="false">'O_MN, PE_UTA_UGM 2024'!I36</f>
        <v>270.46</v>
      </c>
      <c r="AR59" s="301"/>
      <c r="AS59" s="302" t="n">
        <f aca="false">'O_MN, PE_UTA_UGM 2024'!L36</f>
        <v>0.00465</v>
      </c>
      <c r="AT59" s="302" t="n">
        <f aca="false">'O_MN, PE_UTA_UGM 2024'!M36</f>
        <v>0.01102</v>
      </c>
      <c r="AU59" s="45"/>
      <c r="AV59" s="321" t="n">
        <f aca="false">AG59*AM59</f>
        <v>0</v>
      </c>
      <c r="AW59" s="319" t="n">
        <f aca="false">AH59*AN59</f>
        <v>0</v>
      </c>
      <c r="AX59" s="320" t="n">
        <f aca="false">1.25*AJ59*AM59</f>
        <v>0</v>
      </c>
      <c r="AY59" s="322" t="n">
        <f aca="false">1.25*AK59*AN59</f>
        <v>0</v>
      </c>
      <c r="AZ59" s="323" t="n">
        <f aca="false">AG59*AP59</f>
        <v>0</v>
      </c>
      <c r="BA59" s="319" t="n">
        <f aca="false">AH59*AQ59</f>
        <v>0</v>
      </c>
      <c r="BB59" s="320" t="n">
        <f aca="false">1.25*AJ59*AP59</f>
        <v>0</v>
      </c>
      <c r="BC59" s="320" t="n">
        <f aca="false">1.25*AK59*AQ59</f>
        <v>0</v>
      </c>
      <c r="BD59" s="321" t="n">
        <f aca="false">AG59*AS59</f>
        <v>0</v>
      </c>
      <c r="BE59" s="319" t="n">
        <f aca="false">AH59*AT59</f>
        <v>0</v>
      </c>
      <c r="BF59" s="320" t="n">
        <f aca="false">AJ59*AS59</f>
        <v>0</v>
      </c>
      <c r="BG59" s="322" t="n">
        <f aca="false">AK59*AT59</f>
        <v>0</v>
      </c>
      <c r="BH59" s="324" t="n">
        <f aca="false">IF(BH$24=$AA59,($AG59*$AM59)+($AJ59*$AM59*1.25)+($AH59*$AN59)+($AK59*$AN59*1.25),"")</f>
        <v>0</v>
      </c>
      <c r="BI59" s="325" t="str">
        <f aca="false">IF(BI$24=$AA59,($AG59*$AM59)+($AJ59*$AM59*1.25)+($AH59*$AN59)+($AK59*$AN59*1.25),"")</f>
        <v/>
      </c>
      <c r="BJ59" s="325" t="str">
        <f aca="false">IF(BJ$24=$AA59,($AG59*$AM59)+($AJ59*$AM59*1.25)+($AH59*$AN59)+($AK59*$AN59*1.25),"")</f>
        <v/>
      </c>
      <c r="BK59" s="325" t="str">
        <f aca="false">IF(BK$24=$AA59,($AG59*$AM59)+($AJ59*$AM59*1.25)+($AH59*$AN59)+($AK59*$AN59*1.25),"")</f>
        <v/>
      </c>
      <c r="BL59" s="326" t="str">
        <f aca="false">IF(BL$24=$AA59,($AG59*$AM59)+($AJ59*$AM59*1.25)+($AH59*$AN59)+($AK59*$AN59*1.25),"")</f>
        <v/>
      </c>
      <c r="BM59" s="327" t="str">
        <f aca="false">IF(CONCATENATE(BH59,BI59,BJ59,BK59,BL59)="",1,"")</f>
        <v/>
      </c>
      <c r="BN59" s="328"/>
      <c r="BO59" s="328"/>
      <c r="BP59" s="328"/>
      <c r="BQ59" s="328"/>
      <c r="BR59" s="47"/>
      <c r="BS59" s="127" t="n">
        <f aca="false">(AG59*AM59)+(AH59*AN59)+((AJ59*AM59)+(AK59*AN59)*1.25)</f>
        <v>0</v>
      </c>
      <c r="BT59" s="127" t="n">
        <f aca="false">(AG59*AP59)+(AH59*AQ59)+((AJ59*AP59)+(AK59*AQ59)*1.25)</f>
        <v>0</v>
      </c>
      <c r="BU59" s="329"/>
      <c r="BV59" s="129"/>
    </row>
    <row r="60" customFormat="false" ht="15" hidden="false" customHeight="false" outlineLevel="0" collapsed="false">
      <c r="A60" s="228"/>
      <c r="B60" s="229"/>
      <c r="C60" s="230"/>
      <c r="D60" s="231"/>
      <c r="E60" s="223" t="str">
        <f aca="false">IF(SUM(A60:D60)&gt;0,SUM(A60:D60),"")</f>
        <v/>
      </c>
      <c r="F60" s="224" t="str">
        <f aca="false">AD73</f>
        <v>CACAHUETE</v>
      </c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3"/>
      <c r="S60" s="3"/>
      <c r="T60" s="3"/>
      <c r="U60" s="3"/>
      <c r="V60" s="3"/>
      <c r="W60" s="3"/>
      <c r="X60" s="3"/>
      <c r="Y60" s="3"/>
      <c r="Z60" s="316" t="str">
        <f aca="false">IF(AF60&gt;0,RANK(AF60,AF$6:AF$422),"")</f>
        <v/>
      </c>
      <c r="AA60" s="134" t="n">
        <f aca="false">'O_MN, PE_UTA_UGM 2024'!N37</f>
        <v>1</v>
      </c>
      <c r="AB60" s="135" t="n">
        <f aca="false">'O_MN, PE_UTA_UGM 2024'!O37</f>
        <v>0</v>
      </c>
      <c r="AC60" s="317" t="n">
        <f aca="false">'O_MN, PE_UTA_UGM 2024'!C37</f>
        <v>70</v>
      </c>
      <c r="AD60" s="293" t="str">
        <f aca="false">IF(AB60=0,'O_MN, PE_UTA_UGM 2024'!F37,CONCATENATE('O_MN, PE_UTA_UGM 2024'!F37," ","INVERNADERO"))</f>
        <v>AGROSTIS</v>
      </c>
      <c r="AE60" s="89"/>
      <c r="AF60" s="123" t="n">
        <f aca="false">SUM(AG60:AH60)+SUM(AJ60:AK60)</f>
        <v>0</v>
      </c>
      <c r="AG60" s="318" t="n">
        <f aca="false">A47</f>
        <v>0</v>
      </c>
      <c r="AH60" s="319" t="n">
        <f aca="false">B47</f>
        <v>0</v>
      </c>
      <c r="AI60" s="6"/>
      <c r="AJ60" s="320" t="n">
        <f aca="false">C47</f>
        <v>0</v>
      </c>
      <c r="AK60" s="320" t="n">
        <f aca="false">D47</f>
        <v>0</v>
      </c>
      <c r="AL60" s="237" t="s">
        <v>186</v>
      </c>
      <c r="AM60" s="299" t="n">
        <f aca="false">'O_MN, PE_UTA_UGM 2024'!J37</f>
        <v>769.21</v>
      </c>
      <c r="AN60" s="299" t="n">
        <f aca="false">'O_MN, PE_UTA_UGM 2024'!K37</f>
        <v>2400</v>
      </c>
      <c r="AO60" s="300"/>
      <c r="AP60" s="299" t="n">
        <f aca="false">'O_MN, PE_UTA_UGM 2024'!H37</f>
        <v>114.19</v>
      </c>
      <c r="AQ60" s="299" t="n">
        <f aca="false">'O_MN, PE_UTA_UGM 2024'!I37</f>
        <v>270.46</v>
      </c>
      <c r="AR60" s="301"/>
      <c r="AS60" s="302" t="n">
        <f aca="false">'O_MN, PE_UTA_UGM 2024'!L37</f>
        <v>0.00465</v>
      </c>
      <c r="AT60" s="302" t="n">
        <f aca="false">'O_MN, PE_UTA_UGM 2024'!M37</f>
        <v>0.01102</v>
      </c>
      <c r="AU60" s="45"/>
      <c r="AV60" s="321" t="n">
        <f aca="false">AG60*AM60</f>
        <v>0</v>
      </c>
      <c r="AW60" s="319" t="n">
        <f aca="false">AH60*AN60</f>
        <v>0</v>
      </c>
      <c r="AX60" s="320" t="n">
        <f aca="false">1.25*AJ60*AM60</f>
        <v>0</v>
      </c>
      <c r="AY60" s="322" t="n">
        <f aca="false">1.25*AK60*AN60</f>
        <v>0</v>
      </c>
      <c r="AZ60" s="323" t="n">
        <f aca="false">AG60*AP60</f>
        <v>0</v>
      </c>
      <c r="BA60" s="319" t="n">
        <f aca="false">AH60*AQ60</f>
        <v>0</v>
      </c>
      <c r="BB60" s="320" t="n">
        <f aca="false">1.25*AJ60*AP60</f>
        <v>0</v>
      </c>
      <c r="BC60" s="320" t="n">
        <f aca="false">1.25*AK60*AQ60</f>
        <v>0</v>
      </c>
      <c r="BD60" s="321" t="n">
        <f aca="false">AG60*AS60</f>
        <v>0</v>
      </c>
      <c r="BE60" s="319" t="n">
        <f aca="false">AH60*AT60</f>
        <v>0</v>
      </c>
      <c r="BF60" s="320" t="n">
        <f aca="false">AJ60*AS60</f>
        <v>0</v>
      </c>
      <c r="BG60" s="322" t="n">
        <f aca="false">AK60*AT60</f>
        <v>0</v>
      </c>
      <c r="BH60" s="324" t="n">
        <f aca="false">IF(BH$24=$AA60,($AG60*$AM60)+($AJ60*$AM60*1.25)+($AH60*$AN60)+($AK60*$AN60*1.25),"")</f>
        <v>0</v>
      </c>
      <c r="BI60" s="325" t="str">
        <f aca="false">IF(BI$24=$AA60,($AG60*$AM60)+($AJ60*$AM60*1.25)+($AH60*$AN60)+($AK60*$AN60*1.25),"")</f>
        <v/>
      </c>
      <c r="BJ60" s="325" t="str">
        <f aca="false">IF(BJ$24=$AA60,($AG60*$AM60)+($AJ60*$AM60*1.25)+($AH60*$AN60)+($AK60*$AN60*1.25),"")</f>
        <v/>
      </c>
      <c r="BK60" s="325" t="str">
        <f aca="false">IF(BK$24=$AA60,($AG60*$AM60)+($AJ60*$AM60*1.25)+($AH60*$AN60)+($AK60*$AN60*1.25),"")</f>
        <v/>
      </c>
      <c r="BL60" s="326" t="str">
        <f aca="false">IF(BL$24=$AA60,($AG60*$AM60)+($AJ60*$AM60*1.25)+($AH60*$AN60)+($AK60*$AN60*1.25),"")</f>
        <v/>
      </c>
      <c r="BM60" s="327" t="str">
        <f aca="false">IF(CONCATENATE(BH60,BI60,BJ60,BK60,BL60)="",1,"")</f>
        <v/>
      </c>
      <c r="BN60" s="328"/>
      <c r="BO60" s="328"/>
      <c r="BP60" s="328"/>
      <c r="BQ60" s="328"/>
      <c r="BR60" s="47"/>
      <c r="BS60" s="127" t="n">
        <f aca="false">(AG60*AM60)+(AH60*AN60)+((AJ60*AM60)+(AK60*AN60)*1.25)</f>
        <v>0</v>
      </c>
      <c r="BT60" s="127" t="n">
        <f aca="false">(AG60*AP60)+(AH60*AQ60)+((AJ60*AP60)+(AK60*AQ60)*1.25)</f>
        <v>0</v>
      </c>
      <c r="BU60" s="329"/>
      <c r="BV60" s="129"/>
    </row>
    <row r="61" customFormat="false" ht="15" hidden="false" customHeight="false" outlineLevel="0" collapsed="false">
      <c r="A61" s="228"/>
      <c r="B61" s="229"/>
      <c r="C61" s="230"/>
      <c r="D61" s="231"/>
      <c r="E61" s="223" t="str">
        <f aca="false">IF(SUM(A61:D61)&gt;0,SUM(A61:D61),"")</f>
        <v/>
      </c>
      <c r="F61" s="224" t="str">
        <f aca="false">AD74</f>
        <v>CÁRTAMO</v>
      </c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3"/>
      <c r="S61" s="3"/>
      <c r="T61" s="3"/>
      <c r="U61" s="3"/>
      <c r="V61" s="3"/>
      <c r="W61" s="3"/>
      <c r="X61" s="3"/>
      <c r="Y61" s="3"/>
      <c r="Z61" s="316" t="str">
        <f aca="false">IF(AF61&gt;0,RANK(AF61,AF$6:AF$422),"")</f>
        <v/>
      </c>
      <c r="AA61" s="134" t="n">
        <f aca="false">'O_MN, PE_UTA_UGM 2024'!N38</f>
        <v>1</v>
      </c>
      <c r="AB61" s="135" t="n">
        <f aca="false">'O_MN, PE_UTA_UGM 2024'!O38</f>
        <v>0</v>
      </c>
      <c r="AC61" s="317" t="n">
        <f aca="false">'O_MN, PE_UTA_UGM 2024'!C38</f>
        <v>71</v>
      </c>
      <c r="AD61" s="293" t="str">
        <f aca="false">IF(AB61=0,'O_MN, PE_UTA_UGM 2024'!F38,CONCATENATE('O_MN, PE_UTA_UGM 2024'!F38," ","INVERNADERO"))</f>
        <v>ARRHENATHERUM</v>
      </c>
      <c r="AE61" s="89"/>
      <c r="AF61" s="123" t="n">
        <f aca="false">SUM(AG61:AH61)+SUM(AJ61:AK61)</f>
        <v>0</v>
      </c>
      <c r="AG61" s="318" t="n">
        <f aca="false">A48</f>
        <v>0</v>
      </c>
      <c r="AH61" s="319" t="n">
        <f aca="false">B48</f>
        <v>0</v>
      </c>
      <c r="AI61" s="6"/>
      <c r="AJ61" s="320" t="n">
        <f aca="false">C48</f>
        <v>0</v>
      </c>
      <c r="AK61" s="320" t="n">
        <f aca="false">D48</f>
        <v>0</v>
      </c>
      <c r="AL61" s="237" t="s">
        <v>187</v>
      </c>
      <c r="AM61" s="299" t="n">
        <f aca="false">'O_MN, PE_UTA_UGM 2024'!J38</f>
        <v>700</v>
      </c>
      <c r="AN61" s="299" t="n">
        <f aca="false">'O_MN, PE_UTA_UGM 2024'!K38</f>
        <v>1800</v>
      </c>
      <c r="AO61" s="300"/>
      <c r="AP61" s="299" t="n">
        <f aca="false">'O_MN, PE_UTA_UGM 2024'!H38</f>
        <v>114.19</v>
      </c>
      <c r="AQ61" s="299" t="n">
        <f aca="false">'O_MN, PE_UTA_UGM 2024'!I38</f>
        <v>240.4</v>
      </c>
      <c r="AR61" s="301"/>
      <c r="AS61" s="302" t="n">
        <f aca="false">'O_MN, PE_UTA_UGM 2024'!L38</f>
        <v>0.00465</v>
      </c>
      <c r="AT61" s="302" t="n">
        <f aca="false">'O_MN, PE_UTA_UGM 2024'!M38</f>
        <v>0.0098</v>
      </c>
      <c r="AU61" s="45"/>
      <c r="AV61" s="321" t="n">
        <f aca="false">AG61*AM61</f>
        <v>0</v>
      </c>
      <c r="AW61" s="319" t="n">
        <f aca="false">AH61*AN61</f>
        <v>0</v>
      </c>
      <c r="AX61" s="320" t="n">
        <f aca="false">1.25*AJ61*AM61</f>
        <v>0</v>
      </c>
      <c r="AY61" s="322" t="n">
        <f aca="false">1.25*AK61*AN61</f>
        <v>0</v>
      </c>
      <c r="AZ61" s="323" t="n">
        <f aca="false">AG61*AP61</f>
        <v>0</v>
      </c>
      <c r="BA61" s="319" t="n">
        <f aca="false">AH61*AQ61</f>
        <v>0</v>
      </c>
      <c r="BB61" s="320" t="n">
        <f aca="false">1.25*AJ61*AP61</f>
        <v>0</v>
      </c>
      <c r="BC61" s="320" t="n">
        <f aca="false">1.25*AK61*AQ61</f>
        <v>0</v>
      </c>
      <c r="BD61" s="321" t="n">
        <f aca="false">AG61*AS61</f>
        <v>0</v>
      </c>
      <c r="BE61" s="319" t="n">
        <f aca="false">AH61*AT61</f>
        <v>0</v>
      </c>
      <c r="BF61" s="320" t="n">
        <f aca="false">AJ61*AS61</f>
        <v>0</v>
      </c>
      <c r="BG61" s="322" t="n">
        <f aca="false">AK61*AT61</f>
        <v>0</v>
      </c>
      <c r="BH61" s="324" t="n">
        <f aca="false">IF(BH$24=$AA61,($AG61*$AM61)+($AJ61*$AM61*1.25)+($AH61*$AN61)+($AK61*$AN61*1.25),"")</f>
        <v>0</v>
      </c>
      <c r="BI61" s="325" t="str">
        <f aca="false">IF(BI$24=$AA61,($AG61*$AM61)+($AJ61*$AM61*1.25)+($AH61*$AN61)+($AK61*$AN61*1.25),"")</f>
        <v/>
      </c>
      <c r="BJ61" s="325" t="str">
        <f aca="false">IF(BJ$24=$AA61,($AG61*$AM61)+($AJ61*$AM61*1.25)+($AH61*$AN61)+($AK61*$AN61*1.25),"")</f>
        <v/>
      </c>
      <c r="BK61" s="325" t="str">
        <f aca="false">IF(BK$24=$AA61,($AG61*$AM61)+($AJ61*$AM61*1.25)+($AH61*$AN61)+($AK61*$AN61*1.25),"")</f>
        <v/>
      </c>
      <c r="BL61" s="326" t="str">
        <f aca="false">IF(BL$24=$AA61,($AG61*$AM61)+($AJ61*$AM61*1.25)+($AH61*$AN61)+($AK61*$AN61*1.25),"")</f>
        <v/>
      </c>
      <c r="BM61" s="327" t="str">
        <f aca="false">IF(CONCATENATE(BH61,BI61,BJ61,BK61,BL61)="",1,"")</f>
        <v/>
      </c>
      <c r="BN61" s="328"/>
      <c r="BO61" s="328"/>
      <c r="BP61" s="328"/>
      <c r="BQ61" s="328"/>
      <c r="BR61" s="47"/>
      <c r="BS61" s="127" t="n">
        <f aca="false">(AG61*AM61)+(AH61*AN61)+((AJ61*AM61)+(AK61*AN61)*1.25)</f>
        <v>0</v>
      </c>
      <c r="BT61" s="127" t="n">
        <f aca="false">(AG61*AP61)+(AH61*AQ61)+((AJ61*AP61)+(AK61*AQ61)*1.25)</f>
        <v>0</v>
      </c>
      <c r="BU61" s="329"/>
      <c r="BV61" s="129"/>
    </row>
    <row r="62" customFormat="false" ht="15" hidden="false" customHeight="false" outlineLevel="0" collapsed="false">
      <c r="A62" s="219"/>
      <c r="B62" s="220"/>
      <c r="C62" s="221"/>
      <c r="D62" s="222"/>
      <c r="E62" s="223" t="str">
        <f aca="false">IF(SUM(A62:D62)&gt;0,SUM(A62:D62),"")</f>
        <v/>
      </c>
      <c r="F62" s="224" t="str">
        <f aca="false">AD75</f>
        <v>REGALIZ</v>
      </c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3"/>
      <c r="S62" s="3"/>
      <c r="T62" s="3"/>
      <c r="U62" s="3"/>
      <c r="V62" s="3"/>
      <c r="W62" s="3"/>
      <c r="X62" s="3"/>
      <c r="Y62" s="3"/>
      <c r="Z62" s="316" t="str">
        <f aca="false">IF(AF62&gt;0,RANK(AF62,AF$6:AF$422),"")</f>
        <v/>
      </c>
      <c r="AA62" s="134" t="n">
        <f aca="false">'O_MN, PE_UTA_UGM 2024'!N39</f>
        <v>1</v>
      </c>
      <c r="AB62" s="135" t="n">
        <f aca="false">'O_MN, PE_UTA_UGM 2024'!O39</f>
        <v>0</v>
      </c>
      <c r="AC62" s="317" t="n">
        <f aca="false">'O_MN, PE_UTA_UGM 2024'!C39</f>
        <v>72</v>
      </c>
      <c r="AD62" s="293" t="str">
        <f aca="false">IF(AB62=0,'O_MN, PE_UTA_UGM 2024'!F39,CONCATENATE('O_MN, PE_UTA_UGM 2024'!F39," ","INVERNADERO"))</f>
        <v>DACTILO</v>
      </c>
      <c r="AE62" s="89"/>
      <c r="AF62" s="123" t="n">
        <f aca="false">SUM(AG62:AH62)+SUM(AJ62:AK62)</f>
        <v>0</v>
      </c>
      <c r="AG62" s="318" t="n">
        <f aca="false">A49</f>
        <v>0</v>
      </c>
      <c r="AH62" s="319" t="n">
        <f aca="false">B49</f>
        <v>0</v>
      </c>
      <c r="AI62" s="6"/>
      <c r="AJ62" s="320" t="n">
        <f aca="false">C49</f>
        <v>0</v>
      </c>
      <c r="AK62" s="320" t="n">
        <f aca="false">D49</f>
        <v>0</v>
      </c>
      <c r="AL62" s="237" t="s">
        <v>188</v>
      </c>
      <c r="AM62" s="299" t="n">
        <f aca="false">'O_MN, PE_UTA_UGM 2024'!J39</f>
        <v>700</v>
      </c>
      <c r="AN62" s="299" t="n">
        <f aca="false">'O_MN, PE_UTA_UGM 2024'!K39</f>
        <v>1800</v>
      </c>
      <c r="AO62" s="300"/>
      <c r="AP62" s="299" t="n">
        <f aca="false">'O_MN, PE_UTA_UGM 2024'!H39</f>
        <v>114.19</v>
      </c>
      <c r="AQ62" s="299" t="n">
        <f aca="false">'O_MN, PE_UTA_UGM 2024'!I39</f>
        <v>270.46</v>
      </c>
      <c r="AR62" s="301"/>
      <c r="AS62" s="302" t="n">
        <f aca="false">'O_MN, PE_UTA_UGM 2024'!L39</f>
        <v>0.00465</v>
      </c>
      <c r="AT62" s="302" t="n">
        <f aca="false">'O_MN, PE_UTA_UGM 2024'!M39</f>
        <v>0.01102</v>
      </c>
      <c r="AU62" s="45"/>
      <c r="AV62" s="321" t="n">
        <f aca="false">AG62*AM62</f>
        <v>0</v>
      </c>
      <c r="AW62" s="319" t="n">
        <f aca="false">AH62*AN62</f>
        <v>0</v>
      </c>
      <c r="AX62" s="320" t="n">
        <f aca="false">1.25*AJ62*AM62</f>
        <v>0</v>
      </c>
      <c r="AY62" s="322" t="n">
        <f aca="false">1.25*AK62*AN62</f>
        <v>0</v>
      </c>
      <c r="AZ62" s="323" t="n">
        <f aca="false">AG62*AP62</f>
        <v>0</v>
      </c>
      <c r="BA62" s="319" t="n">
        <f aca="false">AH62*AQ62</f>
        <v>0</v>
      </c>
      <c r="BB62" s="320" t="n">
        <f aca="false">1.25*AJ62*AP62</f>
        <v>0</v>
      </c>
      <c r="BC62" s="320" t="n">
        <f aca="false">1.25*AK62*AQ62</f>
        <v>0</v>
      </c>
      <c r="BD62" s="321" t="n">
        <f aca="false">AG62*AS62</f>
        <v>0</v>
      </c>
      <c r="BE62" s="319" t="n">
        <f aca="false">AH62*AT62</f>
        <v>0</v>
      </c>
      <c r="BF62" s="320" t="n">
        <f aca="false">AJ62*AS62</f>
        <v>0</v>
      </c>
      <c r="BG62" s="322" t="n">
        <f aca="false">AK62*AT62</f>
        <v>0</v>
      </c>
      <c r="BH62" s="324" t="n">
        <f aca="false">IF(BH$24=$AA62,($AG62*$AM62)+($AJ62*$AM62*1.25)+($AH62*$AN62)+($AK62*$AN62*1.25),"")</f>
        <v>0</v>
      </c>
      <c r="BI62" s="325" t="str">
        <f aca="false">IF(BI$24=$AA62,($AG62*$AM62)+($AJ62*$AM62*1.25)+($AH62*$AN62)+($AK62*$AN62*1.25),"")</f>
        <v/>
      </c>
      <c r="BJ62" s="325" t="str">
        <f aca="false">IF(BJ$24=$AA62,($AG62*$AM62)+($AJ62*$AM62*1.25)+($AH62*$AN62)+($AK62*$AN62*1.25),"")</f>
        <v/>
      </c>
      <c r="BK62" s="325" t="str">
        <f aca="false">IF(BK$24=$AA62,($AG62*$AM62)+($AJ62*$AM62*1.25)+($AH62*$AN62)+($AK62*$AN62*1.25),"")</f>
        <v/>
      </c>
      <c r="BL62" s="326" t="str">
        <f aca="false">IF(BL$24=$AA62,($AG62*$AM62)+($AJ62*$AM62*1.25)+($AH62*$AN62)+($AK62*$AN62*1.25),"")</f>
        <v/>
      </c>
      <c r="BM62" s="327" t="str">
        <f aca="false">IF(CONCATENATE(BH62,BI62,BJ62,BK62,BL62)="",1,"")</f>
        <v/>
      </c>
      <c r="BN62" s="328"/>
      <c r="BO62" s="328"/>
      <c r="BP62" s="328"/>
      <c r="BQ62" s="328"/>
      <c r="BR62" s="47"/>
      <c r="BS62" s="127" t="n">
        <f aca="false">(AG62*AM62)+(AH62*AN62)+((AJ62*AM62)+(AK62*AN62)*1.25)</f>
        <v>0</v>
      </c>
      <c r="BT62" s="127" t="n">
        <f aca="false">(AG62*AP62)+(AH62*AQ62)+((AJ62*AP62)+(AK62*AQ62)*1.25)</f>
        <v>0</v>
      </c>
      <c r="BU62" s="329"/>
      <c r="BV62" s="129"/>
    </row>
    <row r="63" customFormat="false" ht="15" hidden="false" customHeight="false" outlineLevel="0" collapsed="false">
      <c r="A63" s="228"/>
      <c r="B63" s="229"/>
      <c r="C63" s="230"/>
      <c r="D63" s="231"/>
      <c r="E63" s="223" t="str">
        <f aca="false">IF(SUM(A63:D63)&gt;0,SUM(A63:D63),"")</f>
        <v/>
      </c>
      <c r="F63" s="224" t="str">
        <f aca="false">AD76</f>
        <v>ROMANESCU</v>
      </c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3"/>
      <c r="S63" s="3"/>
      <c r="T63" s="3"/>
      <c r="U63" s="3"/>
      <c r="V63" s="3"/>
      <c r="W63" s="3"/>
      <c r="X63" s="3"/>
      <c r="Y63" s="3"/>
      <c r="Z63" s="316" t="str">
        <f aca="false">IF(AF63&gt;0,RANK(AF63,AF$6:AF$422),"")</f>
        <v/>
      </c>
      <c r="AA63" s="134" t="n">
        <f aca="false">'O_MN, PE_UTA_UGM 2024'!N40</f>
        <v>1</v>
      </c>
      <c r="AB63" s="135" t="n">
        <f aca="false">'O_MN, PE_UTA_UGM 2024'!O40</f>
        <v>0</v>
      </c>
      <c r="AC63" s="317" t="n">
        <f aca="false">'O_MN, PE_UTA_UGM 2024'!C40</f>
        <v>73</v>
      </c>
      <c r="AD63" s="293" t="str">
        <f aca="false">IF(AB63=0,'O_MN, PE_UTA_UGM 2024'!F40,CONCATENATE('O_MN, PE_UTA_UGM 2024'!F40," ","INVERNADERO"))</f>
        <v>FLEO</v>
      </c>
      <c r="AE63" s="89"/>
      <c r="AF63" s="123" t="n">
        <f aca="false">SUM(AG63:AH63)+SUM(AJ63:AK63)</f>
        <v>0</v>
      </c>
      <c r="AG63" s="318" t="n">
        <f aca="false">A50</f>
        <v>0</v>
      </c>
      <c r="AH63" s="319" t="n">
        <f aca="false">B50</f>
        <v>0</v>
      </c>
      <c r="AI63" s="6"/>
      <c r="AJ63" s="320" t="n">
        <f aca="false">C50</f>
        <v>0</v>
      </c>
      <c r="AK63" s="320" t="n">
        <f aca="false">D50</f>
        <v>0</v>
      </c>
      <c r="AL63" s="237" t="s">
        <v>189</v>
      </c>
      <c r="AM63" s="299" t="n">
        <f aca="false">'O_MN, PE_UTA_UGM 2024'!J40</f>
        <v>700</v>
      </c>
      <c r="AN63" s="299" t="n">
        <f aca="false">'O_MN, PE_UTA_UGM 2024'!K40</f>
        <v>1800</v>
      </c>
      <c r="AO63" s="300"/>
      <c r="AP63" s="299" t="n">
        <f aca="false">'O_MN, PE_UTA_UGM 2024'!H40</f>
        <v>114.19</v>
      </c>
      <c r="AQ63" s="299" t="n">
        <f aca="false">'O_MN, PE_UTA_UGM 2024'!I40</f>
        <v>240.4</v>
      </c>
      <c r="AR63" s="301"/>
      <c r="AS63" s="302" t="n">
        <f aca="false">'O_MN, PE_UTA_UGM 2024'!L40</f>
        <v>0.00465</v>
      </c>
      <c r="AT63" s="302" t="n">
        <f aca="false">'O_MN, PE_UTA_UGM 2024'!M40</f>
        <v>0.0098</v>
      </c>
      <c r="AU63" s="45"/>
      <c r="AV63" s="321" t="n">
        <f aca="false">AG63*AM63</f>
        <v>0</v>
      </c>
      <c r="AW63" s="319" t="n">
        <f aca="false">AH63*AN63</f>
        <v>0</v>
      </c>
      <c r="AX63" s="320" t="n">
        <f aca="false">1.25*AJ63*AM63</f>
        <v>0</v>
      </c>
      <c r="AY63" s="322" t="n">
        <f aca="false">1.25*AK63*AN63</f>
        <v>0</v>
      </c>
      <c r="AZ63" s="323" t="n">
        <f aca="false">AG63*AP63</f>
        <v>0</v>
      </c>
      <c r="BA63" s="319" t="n">
        <f aca="false">AH63*AQ63</f>
        <v>0</v>
      </c>
      <c r="BB63" s="320" t="n">
        <f aca="false">1.25*AJ63*AP63</f>
        <v>0</v>
      </c>
      <c r="BC63" s="320" t="n">
        <f aca="false">1.25*AK63*AQ63</f>
        <v>0</v>
      </c>
      <c r="BD63" s="321" t="n">
        <f aca="false">AG63*AS63</f>
        <v>0</v>
      </c>
      <c r="BE63" s="319" t="n">
        <f aca="false">AH63*AT63</f>
        <v>0</v>
      </c>
      <c r="BF63" s="320" t="n">
        <f aca="false">AJ63*AS63</f>
        <v>0</v>
      </c>
      <c r="BG63" s="322" t="n">
        <f aca="false">AK63*AT63</f>
        <v>0</v>
      </c>
      <c r="BH63" s="324" t="n">
        <f aca="false">IF(BH$24=$AA63,($AG63*$AM63)+($AJ63*$AM63*1.25)+($AH63*$AN63)+($AK63*$AN63*1.25),"")</f>
        <v>0</v>
      </c>
      <c r="BI63" s="325" t="str">
        <f aca="false">IF(BI$24=$AA63,($AG63*$AM63)+($AJ63*$AM63*1.25)+($AH63*$AN63)+($AK63*$AN63*1.25),"")</f>
        <v/>
      </c>
      <c r="BJ63" s="325" t="str">
        <f aca="false">IF(BJ$24=$AA63,($AG63*$AM63)+($AJ63*$AM63*1.25)+($AH63*$AN63)+($AK63*$AN63*1.25),"")</f>
        <v/>
      </c>
      <c r="BK63" s="325" t="str">
        <f aca="false">IF(BK$24=$AA63,($AG63*$AM63)+($AJ63*$AM63*1.25)+($AH63*$AN63)+($AK63*$AN63*1.25),"")</f>
        <v/>
      </c>
      <c r="BL63" s="326" t="str">
        <f aca="false">IF(BL$24=$AA63,($AG63*$AM63)+($AJ63*$AM63*1.25)+($AH63*$AN63)+($AK63*$AN63*1.25),"")</f>
        <v/>
      </c>
      <c r="BM63" s="327" t="str">
        <f aca="false">IF(CONCATENATE(BH63,BI63,BJ63,BK63,BL63)="",1,"")</f>
        <v/>
      </c>
      <c r="BN63" s="328"/>
      <c r="BO63" s="328"/>
      <c r="BP63" s="328"/>
      <c r="BQ63" s="328"/>
      <c r="BR63" s="47"/>
      <c r="BS63" s="127" t="n">
        <f aca="false">(AG63*AM63)+(AH63*AN63)+((AJ63*AM63)+(AK63*AN63)*1.25)</f>
        <v>0</v>
      </c>
      <c r="BT63" s="127" t="n">
        <f aca="false">(AG63*AP63)+(AH63*AQ63)+((AJ63*AP63)+(AK63*AQ63)*1.25)</f>
        <v>0</v>
      </c>
      <c r="BU63" s="329"/>
      <c r="BV63" s="129"/>
    </row>
    <row r="64" customFormat="false" ht="15" hidden="false" customHeight="false" outlineLevel="0" collapsed="false">
      <c r="A64" s="228"/>
      <c r="B64" s="229"/>
      <c r="C64" s="230"/>
      <c r="D64" s="231"/>
      <c r="E64" s="223" t="str">
        <f aca="false">IF(SUM(A64:D64)&gt;0,SUM(A64:D64),"")</f>
        <v/>
      </c>
      <c r="F64" s="224" t="str">
        <f aca="false">AD77</f>
        <v>ESPECIES AROMÁTICAS HERBÁCEAS</v>
      </c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3"/>
      <c r="S64" s="3"/>
      <c r="T64" s="3"/>
      <c r="U64" s="3"/>
      <c r="V64" s="3"/>
      <c r="W64" s="3"/>
      <c r="X64" s="3"/>
      <c r="Y64" s="3"/>
      <c r="Z64" s="316" t="str">
        <f aca="false">IF(AF64&gt;0,RANK(AF64,AF$6:AF$422),"")</f>
        <v/>
      </c>
      <c r="AA64" s="134" t="n">
        <f aca="false">'O_MN, PE_UTA_UGM 2024'!N41</f>
        <v>1</v>
      </c>
      <c r="AB64" s="135" t="n">
        <f aca="false">'O_MN, PE_UTA_UGM 2024'!O41</f>
        <v>0</v>
      </c>
      <c r="AC64" s="317" t="n">
        <f aca="false">'O_MN, PE_UTA_UGM 2024'!C41</f>
        <v>74</v>
      </c>
      <c r="AD64" s="293" t="str">
        <f aca="false">IF(AB64=0,'O_MN, PE_UTA_UGM 2024'!F41,CONCATENATE('O_MN, PE_UTA_UGM 2024'!F41," ","INVERNADERO"))</f>
        <v>POA</v>
      </c>
      <c r="AE64" s="89"/>
      <c r="AF64" s="123" t="n">
        <f aca="false">SUM(AG64:AH64)+SUM(AJ64:AK64)</f>
        <v>0</v>
      </c>
      <c r="AG64" s="318" t="n">
        <f aca="false">A51</f>
        <v>0</v>
      </c>
      <c r="AH64" s="319" t="n">
        <f aca="false">B51</f>
        <v>0</v>
      </c>
      <c r="AI64" s="6"/>
      <c r="AJ64" s="320" t="n">
        <f aca="false">C51</f>
        <v>0</v>
      </c>
      <c r="AK64" s="320" t="n">
        <f aca="false">D51</f>
        <v>0</v>
      </c>
      <c r="AL64" s="237" t="s">
        <v>190</v>
      </c>
      <c r="AM64" s="299" t="n">
        <f aca="false">'O_MN, PE_UTA_UGM 2024'!J41</f>
        <v>700</v>
      </c>
      <c r="AN64" s="299" t="n">
        <f aca="false">'O_MN, PE_UTA_UGM 2024'!K41</f>
        <v>1800</v>
      </c>
      <c r="AO64" s="300"/>
      <c r="AP64" s="299" t="n">
        <f aca="false">'O_MN, PE_UTA_UGM 2024'!H41</f>
        <v>114.19</v>
      </c>
      <c r="AQ64" s="299" t="n">
        <f aca="false">'O_MN, PE_UTA_UGM 2024'!I41</f>
        <v>270.46</v>
      </c>
      <c r="AR64" s="301"/>
      <c r="AS64" s="302" t="n">
        <f aca="false">'O_MN, PE_UTA_UGM 2024'!L41</f>
        <v>0.00465</v>
      </c>
      <c r="AT64" s="302" t="n">
        <f aca="false">'O_MN, PE_UTA_UGM 2024'!M41</f>
        <v>0.01102</v>
      </c>
      <c r="AU64" s="45"/>
      <c r="AV64" s="321" t="n">
        <f aca="false">AG64*AM64</f>
        <v>0</v>
      </c>
      <c r="AW64" s="319" t="n">
        <f aca="false">AH64*AN64</f>
        <v>0</v>
      </c>
      <c r="AX64" s="320" t="n">
        <f aca="false">1.25*AJ64*AM64</f>
        <v>0</v>
      </c>
      <c r="AY64" s="322" t="n">
        <f aca="false">1.25*AK64*AN64</f>
        <v>0</v>
      </c>
      <c r="AZ64" s="323" t="n">
        <f aca="false">AG64*AP64</f>
        <v>0</v>
      </c>
      <c r="BA64" s="319" t="n">
        <f aca="false">AH64*AQ64</f>
        <v>0</v>
      </c>
      <c r="BB64" s="320" t="n">
        <f aca="false">1.25*AJ64*AP64</f>
        <v>0</v>
      </c>
      <c r="BC64" s="320" t="n">
        <f aca="false">1.25*AK64*AQ64</f>
        <v>0</v>
      </c>
      <c r="BD64" s="321" t="n">
        <f aca="false">AG64*AS64</f>
        <v>0</v>
      </c>
      <c r="BE64" s="319" t="n">
        <f aca="false">AH64*AT64</f>
        <v>0</v>
      </c>
      <c r="BF64" s="320" t="n">
        <f aca="false">AJ64*AS64</f>
        <v>0</v>
      </c>
      <c r="BG64" s="322" t="n">
        <f aca="false">AK64*AT64</f>
        <v>0</v>
      </c>
      <c r="BH64" s="324" t="n">
        <f aca="false">IF(BH$24=$AA64,($AG64*$AM64)+($AJ64*$AM64*1.25)+($AH64*$AN64)+($AK64*$AN64*1.25),"")</f>
        <v>0</v>
      </c>
      <c r="BI64" s="325" t="str">
        <f aca="false">IF(BI$24=$AA64,($AG64*$AM64)+($AJ64*$AM64*1.25)+($AH64*$AN64)+($AK64*$AN64*1.25),"")</f>
        <v/>
      </c>
      <c r="BJ64" s="325" t="str">
        <f aca="false">IF(BJ$24=$AA64,($AG64*$AM64)+($AJ64*$AM64*1.25)+($AH64*$AN64)+($AK64*$AN64*1.25),"")</f>
        <v/>
      </c>
      <c r="BK64" s="325" t="str">
        <f aca="false">IF(BK$24=$AA64,($AG64*$AM64)+($AJ64*$AM64*1.25)+($AH64*$AN64)+($AK64*$AN64*1.25),"")</f>
        <v/>
      </c>
      <c r="BL64" s="326" t="str">
        <f aca="false">IF(BL$24=$AA64,($AG64*$AM64)+($AJ64*$AM64*1.25)+($AH64*$AN64)+($AK64*$AN64*1.25),"")</f>
        <v/>
      </c>
      <c r="BM64" s="327" t="str">
        <f aca="false">IF(CONCATENATE(BH64,BI64,BJ64,BK64,BL64)="",1,"")</f>
        <v/>
      </c>
      <c r="BN64" s="328"/>
      <c r="BO64" s="328"/>
      <c r="BP64" s="328"/>
      <c r="BQ64" s="328"/>
      <c r="BR64" s="47"/>
      <c r="BS64" s="127" t="n">
        <f aca="false">(AG64*AM64)+(AH64*AN64)+((AJ64*AM64)+(AK64*AN64)*1.25)</f>
        <v>0</v>
      </c>
      <c r="BT64" s="127" t="n">
        <f aca="false">(AG64*AP64)+(AH64*AQ64)+((AJ64*AP64)+(AK64*AQ64)*1.25)</f>
        <v>0</v>
      </c>
      <c r="BU64" s="329"/>
      <c r="BV64" s="129"/>
    </row>
    <row r="65" customFormat="false" ht="15" hidden="false" customHeight="false" outlineLevel="0" collapsed="false">
      <c r="A65" s="228"/>
      <c r="B65" s="229"/>
      <c r="C65" s="230"/>
      <c r="D65" s="231"/>
      <c r="E65" s="223" t="str">
        <f aca="false">IF(SUM(A65:D65)&gt;0,SUM(A65:D65),"")</f>
        <v/>
      </c>
      <c r="F65" s="224" t="str">
        <f aca="false">AD78</f>
        <v>PATATA</v>
      </c>
      <c r="G65" s="169"/>
      <c r="H65" s="169"/>
      <c r="I65" s="169"/>
      <c r="J65" s="169"/>
      <c r="K65" s="169"/>
      <c r="L65" s="169"/>
      <c r="M65" s="169"/>
      <c r="N65" s="169"/>
      <c r="O65" s="169"/>
      <c r="P65" s="169"/>
      <c r="Q65" s="169"/>
      <c r="R65" s="3"/>
      <c r="S65" s="3"/>
      <c r="T65" s="3"/>
      <c r="U65" s="3"/>
      <c r="V65" s="3"/>
      <c r="W65" s="3"/>
      <c r="X65" s="3"/>
      <c r="Y65" s="3"/>
      <c r="Z65" s="316" t="str">
        <f aca="false">IF(AF65&gt;0,RANK(AF65,AF$6:AF$422),"")</f>
        <v/>
      </c>
      <c r="AA65" s="134" t="n">
        <f aca="false">'O_MN, PE_UTA_UGM 2024'!N42</f>
        <v>1</v>
      </c>
      <c r="AB65" s="135" t="n">
        <f aca="false">'O_MN, PE_UTA_UGM 2024'!O42</f>
        <v>0</v>
      </c>
      <c r="AC65" s="317" t="n">
        <f aca="false">'O_MN, PE_UTA_UGM 2024'!C42</f>
        <v>76</v>
      </c>
      <c r="AD65" s="293" t="str">
        <f aca="false">IF(AB65=0,'O_MN, PE_UTA_UGM 2024'!F42,CONCATENATE('O_MN, PE_UTA_UGM 2024'!F42," ","INVERNADERO"))</f>
        <v>ZULLA</v>
      </c>
      <c r="AE65" s="89"/>
      <c r="AF65" s="123" t="n">
        <f aca="false">SUM(AG65:AH65)+SUM(AJ65:AK65)</f>
        <v>0</v>
      </c>
      <c r="AG65" s="318" t="n">
        <f aca="false">A52</f>
        <v>0</v>
      </c>
      <c r="AH65" s="319" t="n">
        <f aca="false">B52</f>
        <v>0</v>
      </c>
      <c r="AI65" s="6"/>
      <c r="AJ65" s="320" t="n">
        <f aca="false">C52</f>
        <v>0</v>
      </c>
      <c r="AK65" s="320" t="n">
        <f aca="false">D52</f>
        <v>0</v>
      </c>
      <c r="AL65" s="237" t="s">
        <v>191</v>
      </c>
      <c r="AM65" s="299" t="n">
        <f aca="false">'O_MN, PE_UTA_UGM 2024'!J42</f>
        <v>700</v>
      </c>
      <c r="AN65" s="299" t="n">
        <f aca="false">'O_MN, PE_UTA_UGM 2024'!K42</f>
        <v>1800</v>
      </c>
      <c r="AO65" s="300"/>
      <c r="AP65" s="299" t="n">
        <f aca="false">'O_MN, PE_UTA_UGM 2024'!H42</f>
        <v>114.19</v>
      </c>
      <c r="AQ65" s="299" t="n">
        <f aca="false">'O_MN, PE_UTA_UGM 2024'!I42</f>
        <v>240.4</v>
      </c>
      <c r="AR65" s="301"/>
      <c r="AS65" s="302" t="n">
        <f aca="false">'O_MN, PE_UTA_UGM 2024'!L42</f>
        <v>0.00465</v>
      </c>
      <c r="AT65" s="302" t="n">
        <f aca="false">'O_MN, PE_UTA_UGM 2024'!M42</f>
        <v>0.0098</v>
      </c>
      <c r="AU65" s="45"/>
      <c r="AV65" s="321" t="n">
        <f aca="false">AG65*AM65</f>
        <v>0</v>
      </c>
      <c r="AW65" s="319" t="n">
        <f aca="false">AH65*AN65</f>
        <v>0</v>
      </c>
      <c r="AX65" s="320" t="n">
        <f aca="false">1.25*AJ65*AM65</f>
        <v>0</v>
      </c>
      <c r="AY65" s="322" t="n">
        <f aca="false">1.25*AK65*AN65</f>
        <v>0</v>
      </c>
      <c r="AZ65" s="323" t="n">
        <f aca="false">AG65*AP65</f>
        <v>0</v>
      </c>
      <c r="BA65" s="319" t="n">
        <f aca="false">AH65*AQ65</f>
        <v>0</v>
      </c>
      <c r="BB65" s="320" t="n">
        <f aca="false">1.25*AJ65*AP65</f>
        <v>0</v>
      </c>
      <c r="BC65" s="320" t="n">
        <f aca="false">1.25*AK65*AQ65</f>
        <v>0</v>
      </c>
      <c r="BD65" s="321" t="n">
        <f aca="false">AG65*AS65</f>
        <v>0</v>
      </c>
      <c r="BE65" s="319" t="n">
        <f aca="false">AH65*AT65</f>
        <v>0</v>
      </c>
      <c r="BF65" s="320" t="n">
        <f aca="false">AJ65*AS65</f>
        <v>0</v>
      </c>
      <c r="BG65" s="322" t="n">
        <f aca="false">AK65*AT65</f>
        <v>0</v>
      </c>
      <c r="BH65" s="324" t="n">
        <f aca="false">IF(BH$24=$AA65,($AG65*$AM65)+($AJ65*$AM65*1.25)+($AH65*$AN65)+($AK65*$AN65*1.25),"")</f>
        <v>0</v>
      </c>
      <c r="BI65" s="325" t="str">
        <f aca="false">IF(BI$24=$AA65,($AG65*$AM65)+($AJ65*$AM65*1.25)+($AH65*$AN65)+($AK65*$AN65*1.25),"")</f>
        <v/>
      </c>
      <c r="BJ65" s="325" t="str">
        <f aca="false">IF(BJ$24=$AA65,($AG65*$AM65)+($AJ65*$AM65*1.25)+($AH65*$AN65)+($AK65*$AN65*1.25),"")</f>
        <v/>
      </c>
      <c r="BK65" s="325" t="str">
        <f aca="false">IF(BK$24=$AA65,($AG65*$AM65)+($AJ65*$AM65*1.25)+($AH65*$AN65)+($AK65*$AN65*1.25),"")</f>
        <v/>
      </c>
      <c r="BL65" s="326" t="str">
        <f aca="false">IF(BL$24=$AA65,($AG65*$AM65)+($AJ65*$AM65*1.25)+($AH65*$AN65)+($AK65*$AN65*1.25),"")</f>
        <v/>
      </c>
      <c r="BM65" s="327" t="str">
        <f aca="false">IF(CONCATENATE(BH65,BI65,BJ65,BK65,BL65)="",1,"")</f>
        <v/>
      </c>
      <c r="BN65" s="328"/>
      <c r="BO65" s="328"/>
      <c r="BP65" s="328"/>
      <c r="BQ65" s="328"/>
      <c r="BR65" s="47"/>
      <c r="BS65" s="127" t="n">
        <f aca="false">(AG65*AM65)+(AH65*AN65)+((AJ65*AM65)+(AK65*AN65)*1.25)</f>
        <v>0</v>
      </c>
      <c r="BT65" s="127" t="n">
        <f aca="false">(AG65*AP65)+(AH65*AQ65)+((AJ65*AP65)+(AK65*AQ65)*1.25)</f>
        <v>0</v>
      </c>
      <c r="BU65" s="329"/>
      <c r="BV65" s="129"/>
    </row>
    <row r="66" customFormat="false" ht="15" hidden="false" customHeight="false" outlineLevel="0" collapsed="false">
      <c r="A66" s="228"/>
      <c r="B66" s="229"/>
      <c r="C66" s="230"/>
      <c r="D66" s="231"/>
      <c r="E66" s="223" t="str">
        <f aca="false">IF(SUM(A66:D66)&gt;0,SUM(A66:D66),"")</f>
        <v/>
      </c>
      <c r="F66" s="224" t="str">
        <f aca="false">AD79</f>
        <v>OLIVO</v>
      </c>
      <c r="G66" s="169"/>
      <c r="H66" s="169"/>
      <c r="I66" s="169"/>
      <c r="J66" s="169"/>
      <c r="K66" s="169"/>
      <c r="L66" s="169"/>
      <c r="M66" s="169"/>
      <c r="N66" s="169"/>
      <c r="O66" s="169"/>
      <c r="P66" s="169"/>
      <c r="Q66" s="169"/>
      <c r="R66" s="3"/>
      <c r="S66" s="3"/>
      <c r="T66" s="3"/>
      <c r="U66" s="3"/>
      <c r="V66" s="3"/>
      <c r="W66" s="3"/>
      <c r="X66" s="3"/>
      <c r="Y66" s="3"/>
      <c r="Z66" s="316" t="str">
        <f aca="false">IF(AF66&gt;0,RANK(AF66,AF$6:AF$422),"")</f>
        <v/>
      </c>
      <c r="AA66" s="134" t="n">
        <f aca="false">'O_MN, PE_UTA_UGM 2024'!N43</f>
        <v>1</v>
      </c>
      <c r="AB66" s="135" t="n">
        <f aca="false">'O_MN, PE_UTA_UGM 2024'!O43</f>
        <v>0</v>
      </c>
      <c r="AC66" s="317" t="n">
        <f aca="false">'O_MN, PE_UTA_UGM 2024'!C43</f>
        <v>77</v>
      </c>
      <c r="AD66" s="293" t="str">
        <f aca="false">IF(AB66=0,'O_MN, PE_UTA_UGM 2024'!F43,CONCATENATE('O_MN, PE_UTA_UGM 2024'!F43," ","INVERNADERO"))</f>
        <v>TRÉBOL</v>
      </c>
      <c r="AE66" s="89"/>
      <c r="AF66" s="123" t="n">
        <f aca="false">SUM(AG66:AH66)+SUM(AJ66:AK66)</f>
        <v>0</v>
      </c>
      <c r="AG66" s="318" t="n">
        <f aca="false">A53</f>
        <v>0</v>
      </c>
      <c r="AH66" s="319" t="n">
        <f aca="false">B53</f>
        <v>0</v>
      </c>
      <c r="AI66" s="6"/>
      <c r="AJ66" s="320" t="n">
        <f aca="false">C53</f>
        <v>0</v>
      </c>
      <c r="AK66" s="320" t="n">
        <f aca="false">D53</f>
        <v>0</v>
      </c>
      <c r="AL66" s="237" t="s">
        <v>192</v>
      </c>
      <c r="AM66" s="299" t="n">
        <f aca="false">'O_MN, PE_UTA_UGM 2024'!J43</f>
        <v>500</v>
      </c>
      <c r="AN66" s="299" t="n">
        <f aca="false">'O_MN, PE_UTA_UGM 2024'!K43</f>
        <v>1000</v>
      </c>
      <c r="AO66" s="300"/>
      <c r="AP66" s="299" t="n">
        <f aca="false">'O_MN, PE_UTA_UGM 2024'!H43</f>
        <v>114.19</v>
      </c>
      <c r="AQ66" s="299" t="n">
        <f aca="false">'O_MN, PE_UTA_UGM 2024'!I43</f>
        <v>270.46</v>
      </c>
      <c r="AR66" s="301"/>
      <c r="AS66" s="302" t="n">
        <f aca="false">'O_MN, PE_UTA_UGM 2024'!L43</f>
        <v>0.00465</v>
      </c>
      <c r="AT66" s="302" t="n">
        <f aca="false">'O_MN, PE_UTA_UGM 2024'!M43</f>
        <v>0.01102</v>
      </c>
      <c r="AU66" s="45"/>
      <c r="AV66" s="321" t="n">
        <f aca="false">AG66*AM66</f>
        <v>0</v>
      </c>
      <c r="AW66" s="319" t="n">
        <f aca="false">AH66*AN66</f>
        <v>0</v>
      </c>
      <c r="AX66" s="320" t="n">
        <f aca="false">1.25*AJ66*AM66</f>
        <v>0</v>
      </c>
      <c r="AY66" s="322" t="n">
        <f aca="false">1.25*AK66*AN66</f>
        <v>0</v>
      </c>
      <c r="AZ66" s="323" t="n">
        <f aca="false">AG66*AP66</f>
        <v>0</v>
      </c>
      <c r="BA66" s="319" t="n">
        <f aca="false">AH66*AQ66</f>
        <v>0</v>
      </c>
      <c r="BB66" s="320" t="n">
        <f aca="false">1.25*AJ66*AP66</f>
        <v>0</v>
      </c>
      <c r="BC66" s="320" t="n">
        <f aca="false">1.25*AK66*AQ66</f>
        <v>0</v>
      </c>
      <c r="BD66" s="321" t="n">
        <f aca="false">AG66*AS66</f>
        <v>0</v>
      </c>
      <c r="BE66" s="319" t="n">
        <f aca="false">AH66*AT66</f>
        <v>0</v>
      </c>
      <c r="BF66" s="320" t="n">
        <f aca="false">AJ66*AS66</f>
        <v>0</v>
      </c>
      <c r="BG66" s="322" t="n">
        <f aca="false">AK66*AT66</f>
        <v>0</v>
      </c>
      <c r="BH66" s="324" t="n">
        <f aca="false">IF(BH$24=$AA66,($AG66*$AM66)+($AJ66*$AM66*1.25)+($AH66*$AN66)+($AK66*$AN66*1.25),"")</f>
        <v>0</v>
      </c>
      <c r="BI66" s="325" t="str">
        <f aca="false">IF(BI$24=$AA66,($AG66*$AM66)+($AJ66*$AM66*1.25)+($AH66*$AN66)+($AK66*$AN66*1.25),"")</f>
        <v/>
      </c>
      <c r="BJ66" s="325" t="str">
        <f aca="false">IF(BJ$24=$AA66,($AG66*$AM66)+($AJ66*$AM66*1.25)+($AH66*$AN66)+($AK66*$AN66*1.25),"")</f>
        <v/>
      </c>
      <c r="BK66" s="325" t="str">
        <f aca="false">IF(BK$24=$AA66,($AG66*$AM66)+($AJ66*$AM66*1.25)+($AH66*$AN66)+($AK66*$AN66*1.25),"")</f>
        <v/>
      </c>
      <c r="BL66" s="326" t="str">
        <f aca="false">IF(BL$24=$AA66,($AG66*$AM66)+($AJ66*$AM66*1.25)+($AH66*$AN66)+($AK66*$AN66*1.25),"")</f>
        <v/>
      </c>
      <c r="BM66" s="327" t="str">
        <f aca="false">IF(CONCATENATE(BH66,BI66,BJ66,BK66,BL66)="",1,"")</f>
        <v/>
      </c>
      <c r="BN66" s="328"/>
      <c r="BO66" s="328"/>
      <c r="BP66" s="328"/>
      <c r="BQ66" s="328"/>
      <c r="BR66" s="47"/>
      <c r="BS66" s="127" t="n">
        <f aca="false">(AG66*AM66)+(AH66*AN66)+((AJ66*AM66)+(AK66*AN66)*1.25)</f>
        <v>0</v>
      </c>
      <c r="BT66" s="127" t="n">
        <f aca="false">(AG66*AP66)+(AH66*AQ66)+((AJ66*AP66)+(AK66*AQ66)*1.25)</f>
        <v>0</v>
      </c>
      <c r="BU66" s="329"/>
      <c r="BV66" s="129"/>
    </row>
    <row r="67" customFormat="false" ht="15" hidden="false" customHeight="false" outlineLevel="0" collapsed="false">
      <c r="A67" s="219"/>
      <c r="B67" s="220"/>
      <c r="C67" s="221"/>
      <c r="D67" s="222"/>
      <c r="E67" s="223" t="str">
        <f aca="false">IF(SUM(A67:D67)&gt;0,SUM(A67:D67),"")</f>
        <v/>
      </c>
      <c r="F67" s="224" t="str">
        <f aca="false">AD80</f>
        <v>VIÑA</v>
      </c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3"/>
      <c r="S67" s="3"/>
      <c r="T67" s="3"/>
      <c r="U67" s="3"/>
      <c r="V67" s="3"/>
      <c r="W67" s="3"/>
      <c r="X67" s="3"/>
      <c r="Y67" s="3"/>
      <c r="Z67" s="316" t="str">
        <f aca="false">IF(AF67&gt;0,RANK(AF67,AF$6:AF$422),"")</f>
        <v/>
      </c>
      <c r="AA67" s="134" t="n">
        <f aca="false">'O_MN, PE_UTA_UGM 2024'!N44</f>
        <v>1</v>
      </c>
      <c r="AB67" s="135" t="n">
        <f aca="false">'O_MN, PE_UTA_UGM 2024'!O44</f>
        <v>0</v>
      </c>
      <c r="AC67" s="317" t="n">
        <f aca="false">'O_MN, PE_UTA_UGM 2024'!C44</f>
        <v>78</v>
      </c>
      <c r="AD67" s="293" t="str">
        <f aca="false">IF(AB67=0,'O_MN, PE_UTA_UGM 2024'!F44,CONCATENATE('O_MN, PE_UTA_UGM 2024'!F44," ","INVERNADERO"))</f>
        <v>RAYGRASS ANUAL</v>
      </c>
      <c r="AE67" s="89"/>
      <c r="AF67" s="123" t="n">
        <f aca="false">SUM(AG67:AH67)+SUM(AJ67:AK67)</f>
        <v>0</v>
      </c>
      <c r="AG67" s="318" t="n">
        <f aca="false">A54</f>
        <v>0</v>
      </c>
      <c r="AH67" s="319" t="n">
        <f aca="false">B54</f>
        <v>0</v>
      </c>
      <c r="AI67" s="6"/>
      <c r="AJ67" s="320" t="n">
        <f aca="false">C54</f>
        <v>0</v>
      </c>
      <c r="AK67" s="320" t="n">
        <f aca="false">D54</f>
        <v>0</v>
      </c>
      <c r="AL67" s="237" t="s">
        <v>193</v>
      </c>
      <c r="AM67" s="299" t="n">
        <f aca="false">'O_MN, PE_UTA_UGM 2024'!J44</f>
        <v>500</v>
      </c>
      <c r="AN67" s="299" t="n">
        <f aca="false">'O_MN, PE_UTA_UGM 2024'!K44</f>
        <v>1000</v>
      </c>
      <c r="AO67" s="300"/>
      <c r="AP67" s="299" t="n">
        <f aca="false">'O_MN, PE_UTA_UGM 2024'!H44</f>
        <v>114.19</v>
      </c>
      <c r="AQ67" s="299" t="n">
        <f aca="false">'O_MN, PE_UTA_UGM 2024'!I44</f>
        <v>270.46</v>
      </c>
      <c r="AR67" s="301"/>
      <c r="AS67" s="302" t="n">
        <f aca="false">'O_MN, PE_UTA_UGM 2024'!L44</f>
        <v>0.00465</v>
      </c>
      <c r="AT67" s="302" t="n">
        <f aca="false">'O_MN, PE_UTA_UGM 2024'!M44</f>
        <v>0.01102</v>
      </c>
      <c r="AU67" s="45"/>
      <c r="AV67" s="321" t="n">
        <f aca="false">AG67*AM67</f>
        <v>0</v>
      </c>
      <c r="AW67" s="319" t="n">
        <f aca="false">AH67*AN67</f>
        <v>0</v>
      </c>
      <c r="AX67" s="320" t="n">
        <f aca="false">1.25*AJ67*AM67</f>
        <v>0</v>
      </c>
      <c r="AY67" s="322" t="n">
        <f aca="false">1.25*AK67*AN67</f>
        <v>0</v>
      </c>
      <c r="AZ67" s="323" t="n">
        <f aca="false">AG67*AP67</f>
        <v>0</v>
      </c>
      <c r="BA67" s="319" t="n">
        <f aca="false">AH67*AQ67</f>
        <v>0</v>
      </c>
      <c r="BB67" s="320" t="n">
        <f aca="false">1.25*AJ67*AP67</f>
        <v>0</v>
      </c>
      <c r="BC67" s="320" t="n">
        <f aca="false">1.25*AK67*AQ67</f>
        <v>0</v>
      </c>
      <c r="BD67" s="321" t="n">
        <f aca="false">AG67*AS67</f>
        <v>0</v>
      </c>
      <c r="BE67" s="319" t="n">
        <f aca="false">AH67*AT67</f>
        <v>0</v>
      </c>
      <c r="BF67" s="320" t="n">
        <f aca="false">AJ67*AS67</f>
        <v>0</v>
      </c>
      <c r="BG67" s="322" t="n">
        <f aca="false">AK67*AT67</f>
        <v>0</v>
      </c>
      <c r="BH67" s="324" t="n">
        <f aca="false">IF(BH$24=$AA67,($AG67*$AM67)+($AJ67*$AM67*1.25)+($AH67*$AN67)+($AK67*$AN67*1.25),"")</f>
        <v>0</v>
      </c>
      <c r="BI67" s="325" t="str">
        <f aca="false">IF(BI$24=$AA67,($AG67*$AM67)+($AJ67*$AM67*1.25)+($AH67*$AN67)+($AK67*$AN67*1.25),"")</f>
        <v/>
      </c>
      <c r="BJ67" s="325" t="str">
        <f aca="false">IF(BJ$24=$AA67,($AG67*$AM67)+($AJ67*$AM67*1.25)+($AH67*$AN67)+($AK67*$AN67*1.25),"")</f>
        <v/>
      </c>
      <c r="BK67" s="325" t="str">
        <f aca="false">IF(BK$24=$AA67,($AG67*$AM67)+($AJ67*$AM67*1.25)+($AH67*$AN67)+($AK67*$AN67*1.25),"")</f>
        <v/>
      </c>
      <c r="BL67" s="326" t="str">
        <f aca="false">IF(BL$24=$AA67,($AG67*$AM67)+($AJ67*$AM67*1.25)+($AH67*$AN67)+($AK67*$AN67*1.25),"")</f>
        <v/>
      </c>
      <c r="BM67" s="327" t="str">
        <f aca="false">IF(CONCATENATE(BH67,BI67,BJ67,BK67,BL67)="",1,"")</f>
        <v/>
      </c>
      <c r="BN67" s="328"/>
      <c r="BO67" s="328"/>
      <c r="BP67" s="328"/>
      <c r="BQ67" s="328"/>
      <c r="BR67" s="47"/>
      <c r="BS67" s="127" t="n">
        <f aca="false">(AG67*AM67)+(AH67*AN67)+((AJ67*AM67)+(AK67*AN67)*1.25)</f>
        <v>0</v>
      </c>
      <c r="BT67" s="127" t="n">
        <f aca="false">(AG67*AP67)+(AH67*AQ67)+((AJ67*AP67)+(AK67*AQ67)*1.25)</f>
        <v>0</v>
      </c>
      <c r="BU67" s="329"/>
      <c r="BV67" s="129"/>
    </row>
    <row r="68" customFormat="false" ht="15" hidden="false" customHeight="false" outlineLevel="0" collapsed="false">
      <c r="A68" s="219"/>
      <c r="B68" s="220"/>
      <c r="C68" s="221"/>
      <c r="D68" s="222"/>
      <c r="E68" s="223" t="str">
        <f aca="false">IF(SUM(A68:D68)&gt;0,SUM(A68:D68),"")</f>
        <v/>
      </c>
      <c r="F68" s="224" t="str">
        <f aca="false">AD81</f>
        <v>ALMENDRO</v>
      </c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3"/>
      <c r="S68" s="3"/>
      <c r="T68" s="3"/>
      <c r="U68" s="3"/>
      <c r="V68" s="3"/>
      <c r="W68" s="3"/>
      <c r="X68" s="3"/>
      <c r="Y68" s="3"/>
      <c r="Z68" s="316" t="str">
        <f aca="false">IF(AF68&gt;0,RANK(AF68,AF$6:AF$422),"")</f>
        <v/>
      </c>
      <c r="AA68" s="134" t="n">
        <f aca="false">'O_MN, PE_UTA_UGM 2024'!N45</f>
        <v>1</v>
      </c>
      <c r="AB68" s="135" t="n">
        <f aca="false">'O_MN, PE_UTA_UGM 2024'!O45</f>
        <v>0</v>
      </c>
      <c r="AC68" s="317" t="n">
        <f aca="false">'O_MN, PE_UTA_UGM 2024'!C45</f>
        <v>80</v>
      </c>
      <c r="AD68" s="293" t="str">
        <f aca="false">IF(AB68=0,'O_MN, PE_UTA_UGM 2024'!F45,CONCATENATE('O_MN, PE_UTA_UGM 2024'!F45," ","INVERNADERO"))</f>
        <v>ARROZ</v>
      </c>
      <c r="AE68" s="89"/>
      <c r="AF68" s="123" t="n">
        <f aca="false">SUM(AG68:AH68)+SUM(AJ68:AK68)</f>
        <v>0</v>
      </c>
      <c r="AG68" s="318" t="n">
        <f aca="false">A55</f>
        <v>0</v>
      </c>
      <c r="AH68" s="319" t="n">
        <f aca="false">B55</f>
        <v>0</v>
      </c>
      <c r="AI68" s="6"/>
      <c r="AJ68" s="320" t="n">
        <f aca="false">C55</f>
        <v>0</v>
      </c>
      <c r="AK68" s="320" t="n">
        <f aca="false">D55</f>
        <v>0</v>
      </c>
      <c r="AL68" s="237" t="s">
        <v>194</v>
      </c>
      <c r="AM68" s="299" t="n">
        <f aca="false">'O_MN, PE_UTA_UGM 2024'!J45</f>
        <v>0</v>
      </c>
      <c r="AN68" s="299" t="n">
        <f aca="false">'O_MN, PE_UTA_UGM 2024'!K45</f>
        <v>1500</v>
      </c>
      <c r="AO68" s="300"/>
      <c r="AP68" s="299" t="n">
        <f aca="false">'O_MN, PE_UTA_UGM 2024'!H45</f>
        <v>0</v>
      </c>
      <c r="AQ68" s="299" t="n">
        <f aca="false">'O_MN, PE_UTA_UGM 2024'!I45</f>
        <v>450.76</v>
      </c>
      <c r="AR68" s="301"/>
      <c r="AS68" s="302" t="n">
        <f aca="false">'O_MN, PE_UTA_UGM 2024'!L45</f>
        <v>0</v>
      </c>
      <c r="AT68" s="302" t="n">
        <f aca="false">'O_MN, PE_UTA_UGM 2024'!M45</f>
        <v>0.01837</v>
      </c>
      <c r="AU68" s="45"/>
      <c r="AV68" s="321" t="n">
        <f aca="false">AG68*AM68</f>
        <v>0</v>
      </c>
      <c r="AW68" s="319" t="n">
        <f aca="false">AH68*AN68</f>
        <v>0</v>
      </c>
      <c r="AX68" s="320" t="n">
        <f aca="false">1.25*AJ68*AM68</f>
        <v>0</v>
      </c>
      <c r="AY68" s="322" t="n">
        <f aca="false">1.25*AK68*AN68</f>
        <v>0</v>
      </c>
      <c r="AZ68" s="323" t="n">
        <f aca="false">AG68*AP68</f>
        <v>0</v>
      </c>
      <c r="BA68" s="319" t="n">
        <f aca="false">AH68*AQ68</f>
        <v>0</v>
      </c>
      <c r="BB68" s="320" t="n">
        <f aca="false">1.25*AJ68*AP68</f>
        <v>0</v>
      </c>
      <c r="BC68" s="320" t="n">
        <f aca="false">1.25*AK68*AQ68</f>
        <v>0</v>
      </c>
      <c r="BD68" s="321" t="n">
        <f aca="false">AG68*AS68</f>
        <v>0</v>
      </c>
      <c r="BE68" s="319" t="n">
        <f aca="false">AH68*AT68</f>
        <v>0</v>
      </c>
      <c r="BF68" s="320" t="n">
        <f aca="false">AJ68*AS68</f>
        <v>0</v>
      </c>
      <c r="BG68" s="322" t="n">
        <f aca="false">AK68*AT68</f>
        <v>0</v>
      </c>
      <c r="BH68" s="324" t="n">
        <f aca="false">IF(BH$24=$AA68,($AG68*$AM68)+($AJ68*$AM68*1.25)+($AH68*$AN68)+($AK68*$AN68*1.25),"")</f>
        <v>0</v>
      </c>
      <c r="BI68" s="325" t="str">
        <f aca="false">IF(BI$24=$AA68,($AG68*$AM68)+($AJ68*$AM68*1.25)+($AH68*$AN68)+($AK68*$AN68*1.25),"")</f>
        <v/>
      </c>
      <c r="BJ68" s="325" t="str">
        <f aca="false">IF(BJ$24=$AA68,($AG68*$AM68)+($AJ68*$AM68*1.25)+($AH68*$AN68)+($AK68*$AN68*1.25),"")</f>
        <v/>
      </c>
      <c r="BK68" s="325" t="str">
        <f aca="false">IF(BK$24=$AA68,($AG68*$AM68)+($AJ68*$AM68*1.25)+($AH68*$AN68)+($AK68*$AN68*1.25),"")</f>
        <v/>
      </c>
      <c r="BL68" s="326" t="str">
        <f aca="false">IF(BL$24=$AA68,($AG68*$AM68)+($AJ68*$AM68*1.25)+($AH68*$AN68)+($AK68*$AN68*1.25),"")</f>
        <v/>
      </c>
      <c r="BM68" s="327" t="str">
        <f aca="false">IF(CONCATENATE(BH68,BI68,BJ68,BK68,BL68)="",1,"")</f>
        <v/>
      </c>
      <c r="BN68" s="328"/>
      <c r="BO68" s="328"/>
      <c r="BP68" s="328"/>
      <c r="BQ68" s="328"/>
      <c r="BR68" s="47"/>
      <c r="BS68" s="127" t="n">
        <f aca="false">(AG68*AM68)+(AH68*AN68)+((AJ68*AM68)+(AK68*AN68)*1.25)</f>
        <v>0</v>
      </c>
      <c r="BT68" s="127" t="n">
        <f aca="false">(AG68*AP68)+(AH68*AQ68)+((AJ68*AP68)+(AK68*AQ68)*1.25)</f>
        <v>0</v>
      </c>
      <c r="BU68" s="329"/>
      <c r="BV68" s="129"/>
    </row>
    <row r="69" customFormat="false" ht="15" hidden="false" customHeight="false" outlineLevel="0" collapsed="false">
      <c r="A69" s="228"/>
      <c r="B69" s="229"/>
      <c r="C69" s="230"/>
      <c r="D69" s="231"/>
      <c r="E69" s="223" t="str">
        <f aca="false">IF(SUM(A69:D69)&gt;0,SUM(A69:D69),"")</f>
        <v/>
      </c>
      <c r="F69" s="224" t="str">
        <f aca="false">AD82</f>
        <v>MELOCOTONERO</v>
      </c>
      <c r="G69" s="169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3"/>
      <c r="S69" s="3"/>
      <c r="T69" s="3"/>
      <c r="U69" s="3"/>
      <c r="V69" s="3"/>
      <c r="W69" s="3"/>
      <c r="X69" s="3"/>
      <c r="Y69" s="3"/>
      <c r="Z69" s="316" t="str">
        <f aca="false">IF(AF69&gt;0,RANK(AF69,AF$6:AF$422),"")</f>
        <v/>
      </c>
      <c r="AA69" s="134" t="n">
        <f aca="false">'O_MN, PE_UTA_UGM 2024'!N46</f>
        <v>1</v>
      </c>
      <c r="AB69" s="135" t="n">
        <f aca="false">'O_MN, PE_UTA_UGM 2024'!O46</f>
        <v>0</v>
      </c>
      <c r="AC69" s="317" t="n">
        <f aca="false">'O_MN, PE_UTA_UGM 2024'!C46</f>
        <v>82</v>
      </c>
      <c r="AD69" s="293" t="str">
        <f aca="false">IF(AB69=0,'O_MN, PE_UTA_UGM 2024'!F46,CONCATENATE('O_MN, PE_UTA_UGM 2024'!F46," ","INVERNADERO"))</f>
        <v>REMOLACHA</v>
      </c>
      <c r="AE69" s="89"/>
      <c r="AF69" s="123" t="n">
        <f aca="false">SUM(AG69:AH69)+SUM(AJ69:AK69)</f>
        <v>0</v>
      </c>
      <c r="AG69" s="318" t="n">
        <f aca="false">A56</f>
        <v>0</v>
      </c>
      <c r="AH69" s="319" t="n">
        <f aca="false">B56</f>
        <v>0</v>
      </c>
      <c r="AI69" s="6"/>
      <c r="AJ69" s="320" t="n">
        <f aca="false">C56</f>
        <v>0</v>
      </c>
      <c r="AK69" s="320" t="n">
        <f aca="false">D56</f>
        <v>0</v>
      </c>
      <c r="AL69" s="237" t="s">
        <v>195</v>
      </c>
      <c r="AM69" s="299" t="n">
        <f aca="false">'O_MN, PE_UTA_UGM 2024'!J46</f>
        <v>500</v>
      </c>
      <c r="AN69" s="299" t="n">
        <f aca="false">'O_MN, PE_UTA_UGM 2024'!K46</f>
        <v>1300</v>
      </c>
      <c r="AO69" s="300"/>
      <c r="AP69" s="299" t="n">
        <f aca="false">'O_MN, PE_UTA_UGM 2024'!H46</f>
        <v>300.51</v>
      </c>
      <c r="AQ69" s="299" t="n">
        <f aca="false">'O_MN, PE_UTA_UGM 2024'!I46</f>
        <v>901.52</v>
      </c>
      <c r="AR69" s="301"/>
      <c r="AS69" s="302" t="n">
        <f aca="false">'O_MN, PE_UTA_UGM 2024'!L46</f>
        <v>0.01225</v>
      </c>
      <c r="AT69" s="302" t="n">
        <f aca="false">'O_MN, PE_UTA_UGM 2024'!M46</f>
        <v>0.03674</v>
      </c>
      <c r="AU69" s="45"/>
      <c r="AV69" s="321" t="n">
        <f aca="false">AG69*AM69</f>
        <v>0</v>
      </c>
      <c r="AW69" s="319" t="n">
        <f aca="false">AH69*AN69</f>
        <v>0</v>
      </c>
      <c r="AX69" s="320" t="n">
        <f aca="false">1.25*AJ69*AM69</f>
        <v>0</v>
      </c>
      <c r="AY69" s="322" t="n">
        <f aca="false">1.25*AK69*AN69</f>
        <v>0</v>
      </c>
      <c r="AZ69" s="323" t="n">
        <f aca="false">AG69*AP69</f>
        <v>0</v>
      </c>
      <c r="BA69" s="319" t="n">
        <f aca="false">AH69*AQ69</f>
        <v>0</v>
      </c>
      <c r="BB69" s="320" t="n">
        <f aca="false">1.25*AJ69*AP69</f>
        <v>0</v>
      </c>
      <c r="BC69" s="320" t="n">
        <f aca="false">1.25*AK69*AQ69</f>
        <v>0</v>
      </c>
      <c r="BD69" s="321" t="n">
        <f aca="false">AG69*AS69</f>
        <v>0</v>
      </c>
      <c r="BE69" s="319" t="n">
        <f aca="false">AH69*AT69</f>
        <v>0</v>
      </c>
      <c r="BF69" s="320" t="n">
        <f aca="false">AJ69*AS69</f>
        <v>0</v>
      </c>
      <c r="BG69" s="322" t="n">
        <f aca="false">AK69*AT69</f>
        <v>0</v>
      </c>
      <c r="BH69" s="324" t="n">
        <f aca="false">IF(BH$24=$AA69,($AG69*$AM69)+($AJ69*$AM69*1.25)+($AH69*$AN69)+($AK69*$AN69*1.25),"")</f>
        <v>0</v>
      </c>
      <c r="BI69" s="325" t="str">
        <f aca="false">IF(BI$24=$AA69,($AG69*$AM69)+($AJ69*$AM69*1.25)+($AH69*$AN69)+($AK69*$AN69*1.25),"")</f>
        <v/>
      </c>
      <c r="BJ69" s="325" t="str">
        <f aca="false">IF(BJ$24=$AA69,($AG69*$AM69)+($AJ69*$AM69*1.25)+($AH69*$AN69)+($AK69*$AN69*1.25),"")</f>
        <v/>
      </c>
      <c r="BK69" s="325" t="str">
        <f aca="false">IF(BK$24=$AA69,($AG69*$AM69)+($AJ69*$AM69*1.25)+($AH69*$AN69)+($AK69*$AN69*1.25),"")</f>
        <v/>
      </c>
      <c r="BL69" s="326" t="str">
        <f aca="false">IF(BL$24=$AA69,($AG69*$AM69)+($AJ69*$AM69*1.25)+($AH69*$AN69)+($AK69*$AN69*1.25),"")</f>
        <v/>
      </c>
      <c r="BM69" s="327" t="str">
        <f aca="false">IF(CONCATENATE(BH69,BI69,BJ69,BK69,BL69)="",1,"")</f>
        <v/>
      </c>
      <c r="BN69" s="328"/>
      <c r="BO69" s="328"/>
      <c r="BP69" s="328"/>
      <c r="BQ69" s="328"/>
      <c r="BR69" s="47"/>
      <c r="BS69" s="127" t="n">
        <f aca="false">(AG69*AM69)+(AH69*AN69)+((AJ69*AM69)+(AK69*AN69)*1.25)</f>
        <v>0</v>
      </c>
      <c r="BT69" s="127" t="n">
        <f aca="false">(AG69*AP69)+(AH69*AQ69)+((AJ69*AP69)+(AK69*AQ69)*1.25)</f>
        <v>0</v>
      </c>
      <c r="BU69" s="329"/>
      <c r="BV69" s="129"/>
    </row>
    <row r="70" customFormat="false" ht="15" hidden="false" customHeight="false" outlineLevel="0" collapsed="false">
      <c r="A70" s="228"/>
      <c r="B70" s="229"/>
      <c r="C70" s="230"/>
      <c r="D70" s="231"/>
      <c r="E70" s="223" t="str">
        <f aca="false">IF(SUM(A70:D70)&gt;0,SUM(A70:D70),"")</f>
        <v/>
      </c>
      <c r="F70" s="224" t="str">
        <f aca="false">AD83</f>
        <v>NECTARINO</v>
      </c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3"/>
      <c r="S70" s="3"/>
      <c r="T70" s="3"/>
      <c r="U70" s="3"/>
      <c r="V70" s="3"/>
      <c r="W70" s="3"/>
      <c r="X70" s="3"/>
      <c r="Y70" s="3"/>
      <c r="Z70" s="316" t="str">
        <f aca="false">IF(AF70&gt;0,RANK(AF70,AF$6:AF$422),"")</f>
        <v/>
      </c>
      <c r="AA70" s="134" t="n">
        <f aca="false">'O_MN, PE_UTA_UGM 2024'!N47</f>
        <v>1</v>
      </c>
      <c r="AB70" s="135" t="n">
        <f aca="false">'O_MN, PE_UTA_UGM 2024'!O47</f>
        <v>0</v>
      </c>
      <c r="AC70" s="317" t="n">
        <f aca="false">'O_MN, PE_UTA_UGM 2024'!C47</f>
        <v>84</v>
      </c>
      <c r="AD70" s="293" t="str">
        <f aca="false">IF(AB70=0,'O_MN, PE_UTA_UGM 2024'!F47,CONCATENATE('O_MN, PE_UTA_UGM 2024'!F47," ","INVERNADERO"))</f>
        <v>LÚPULO</v>
      </c>
      <c r="AE70" s="89"/>
      <c r="AF70" s="123" t="n">
        <f aca="false">SUM(AG70:AH70)+SUM(AJ70:AK70)</f>
        <v>0</v>
      </c>
      <c r="AG70" s="318" t="n">
        <f aca="false">A57</f>
        <v>0</v>
      </c>
      <c r="AH70" s="319" t="n">
        <f aca="false">B57</f>
        <v>0</v>
      </c>
      <c r="AI70" s="6"/>
      <c r="AJ70" s="320" t="n">
        <f aca="false">C57</f>
        <v>0</v>
      </c>
      <c r="AK70" s="320" t="n">
        <f aca="false">D57</f>
        <v>0</v>
      </c>
      <c r="AL70" s="237" t="s">
        <v>196</v>
      </c>
      <c r="AM70" s="299" t="n">
        <f aca="false">'O_MN, PE_UTA_UGM 2024'!J47</f>
        <v>186.91</v>
      </c>
      <c r="AN70" s="299" t="n">
        <f aca="false">'O_MN, PE_UTA_UGM 2024'!K47</f>
        <v>540.36</v>
      </c>
      <c r="AO70" s="300"/>
      <c r="AP70" s="299" t="n">
        <f aca="false">'O_MN, PE_UTA_UGM 2024'!H47</f>
        <v>114.19</v>
      </c>
      <c r="AQ70" s="299" t="n">
        <f aca="false">'O_MN, PE_UTA_UGM 2024'!I47</f>
        <v>240.4</v>
      </c>
      <c r="AR70" s="301"/>
      <c r="AS70" s="302" t="n">
        <f aca="false">'O_MN, PE_UTA_UGM 2024'!L47</f>
        <v>0.00465</v>
      </c>
      <c r="AT70" s="302" t="n">
        <f aca="false">'O_MN, PE_UTA_UGM 2024'!M47</f>
        <v>0.0098</v>
      </c>
      <c r="AU70" s="45"/>
      <c r="AV70" s="321" t="n">
        <f aca="false">AG70*AM70</f>
        <v>0</v>
      </c>
      <c r="AW70" s="319" t="n">
        <f aca="false">AH70*AN70</f>
        <v>0</v>
      </c>
      <c r="AX70" s="320" t="n">
        <f aca="false">1.25*AJ70*AM70</f>
        <v>0</v>
      </c>
      <c r="AY70" s="322" t="n">
        <f aca="false">1.25*AK70*AN70</f>
        <v>0</v>
      </c>
      <c r="AZ70" s="323" t="n">
        <f aca="false">AG70*AP70</f>
        <v>0</v>
      </c>
      <c r="BA70" s="319" t="n">
        <f aca="false">AH70*AQ70</f>
        <v>0</v>
      </c>
      <c r="BB70" s="320" t="n">
        <f aca="false">1.25*AJ70*AP70</f>
        <v>0</v>
      </c>
      <c r="BC70" s="320" t="n">
        <f aca="false">1.25*AK70*AQ70</f>
        <v>0</v>
      </c>
      <c r="BD70" s="321" t="n">
        <f aca="false">AG70*AS70</f>
        <v>0</v>
      </c>
      <c r="BE70" s="319" t="n">
        <f aca="false">AH70*AT70</f>
        <v>0</v>
      </c>
      <c r="BF70" s="320" t="n">
        <f aca="false">AJ70*AS70</f>
        <v>0</v>
      </c>
      <c r="BG70" s="322" t="n">
        <f aca="false">AK70*AT70</f>
        <v>0</v>
      </c>
      <c r="BH70" s="324" t="n">
        <f aca="false">IF(BH$24=$AA70,($AG70*$AM70)+($AJ70*$AM70*1.25)+($AH70*$AN70)+($AK70*$AN70*1.25),"")</f>
        <v>0</v>
      </c>
      <c r="BI70" s="325" t="str">
        <f aca="false">IF(BI$24=$AA70,($AG70*$AM70)+($AJ70*$AM70*1.25)+($AH70*$AN70)+($AK70*$AN70*1.25),"")</f>
        <v/>
      </c>
      <c r="BJ70" s="325" t="str">
        <f aca="false">IF(BJ$24=$AA70,($AG70*$AM70)+($AJ70*$AM70*1.25)+($AH70*$AN70)+($AK70*$AN70*1.25),"")</f>
        <v/>
      </c>
      <c r="BK70" s="325" t="str">
        <f aca="false">IF(BK$24=$AA70,($AG70*$AM70)+($AJ70*$AM70*1.25)+($AH70*$AN70)+($AK70*$AN70*1.25),"")</f>
        <v/>
      </c>
      <c r="BL70" s="326" t="str">
        <f aca="false">IF(BL$24=$AA70,($AG70*$AM70)+($AJ70*$AM70*1.25)+($AH70*$AN70)+($AK70*$AN70*1.25),"")</f>
        <v/>
      </c>
      <c r="BM70" s="327" t="str">
        <f aca="false">IF(CONCATENATE(BH70,BI70,BJ70,BK70,BL70)="",1,"")</f>
        <v/>
      </c>
      <c r="BN70" s="328"/>
      <c r="BO70" s="328"/>
      <c r="BP70" s="328"/>
      <c r="BQ70" s="328"/>
      <c r="BR70" s="47"/>
      <c r="BS70" s="127" t="n">
        <f aca="false">(AG70*AM70)+(AH70*AN70)+((AJ70*AM70)+(AK70*AN70)*1.25)</f>
        <v>0</v>
      </c>
      <c r="BT70" s="127" t="n">
        <f aca="false">(AG70*AP70)+(AH70*AQ70)+((AJ70*AP70)+(AK70*AQ70)*1.25)</f>
        <v>0</v>
      </c>
      <c r="BU70" s="329"/>
      <c r="BV70" s="129"/>
    </row>
    <row r="71" customFormat="false" ht="15" hidden="false" customHeight="false" outlineLevel="0" collapsed="false">
      <c r="A71" s="228"/>
      <c r="B71" s="229"/>
      <c r="C71" s="230"/>
      <c r="D71" s="231"/>
      <c r="E71" s="223" t="str">
        <f aca="false">IF(SUM(A71:D71)&gt;0,SUM(A71:D71),"")</f>
        <v/>
      </c>
      <c r="F71" s="224" t="str">
        <f aca="false">AD84</f>
        <v>ALBARICOQUERO</v>
      </c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3"/>
      <c r="S71" s="3"/>
      <c r="T71" s="3"/>
      <c r="U71" s="3"/>
      <c r="V71" s="3"/>
      <c r="W71" s="3"/>
      <c r="X71" s="3"/>
      <c r="Y71" s="3"/>
      <c r="Z71" s="316" t="str">
        <f aca="false">IF(AF71&gt;0,RANK(AF71,AF$6:AF$422),"")</f>
        <v/>
      </c>
      <c r="AA71" s="134" t="n">
        <f aca="false">'O_MN, PE_UTA_UGM 2024'!N48</f>
        <v>1</v>
      </c>
      <c r="AB71" s="135" t="n">
        <f aca="false">'O_MN, PE_UTA_UGM 2024'!O48</f>
        <v>0</v>
      </c>
      <c r="AC71" s="317" t="n">
        <f aca="false">'O_MN, PE_UTA_UGM 2024'!C48</f>
        <v>85</v>
      </c>
      <c r="AD71" s="293" t="str">
        <f aca="false">IF(AB71=0,'O_MN, PE_UTA_UGM 2024'!F48,CONCATENATE('O_MN, PE_UTA_UGM 2024'!F48," ","INVERNADERO"))</f>
        <v>LINO</v>
      </c>
      <c r="AE71" s="89"/>
      <c r="AF71" s="123" t="n">
        <f aca="false">SUM(AG71:AH71)+SUM(AJ71:AK71)</f>
        <v>0</v>
      </c>
      <c r="AG71" s="318" t="n">
        <f aca="false">A58</f>
        <v>0</v>
      </c>
      <c r="AH71" s="319" t="n">
        <f aca="false">B58</f>
        <v>0</v>
      </c>
      <c r="AI71" s="6"/>
      <c r="AJ71" s="320" t="n">
        <f aca="false">C58</f>
        <v>0</v>
      </c>
      <c r="AK71" s="320" t="n">
        <f aca="false">D58</f>
        <v>0</v>
      </c>
      <c r="AL71" s="237" t="s">
        <v>197</v>
      </c>
      <c r="AM71" s="299" t="n">
        <f aca="false">'O_MN, PE_UTA_UGM 2024'!J48</f>
        <v>186.91</v>
      </c>
      <c r="AN71" s="299" t="n">
        <f aca="false">'O_MN, PE_UTA_UGM 2024'!K48</f>
        <v>540.36</v>
      </c>
      <c r="AO71" s="300"/>
      <c r="AP71" s="299" t="n">
        <f aca="false">'O_MN, PE_UTA_UGM 2024'!H48</f>
        <v>114.19</v>
      </c>
      <c r="AQ71" s="299" t="n">
        <f aca="false">'O_MN, PE_UTA_UGM 2024'!I48</f>
        <v>240.4</v>
      </c>
      <c r="AR71" s="301"/>
      <c r="AS71" s="302" t="n">
        <f aca="false">'O_MN, PE_UTA_UGM 2024'!L48</f>
        <v>0.00465</v>
      </c>
      <c r="AT71" s="302" t="n">
        <f aca="false">'O_MN, PE_UTA_UGM 2024'!M48</f>
        <v>0.0098</v>
      </c>
      <c r="AU71" s="45"/>
      <c r="AV71" s="321" t="n">
        <f aca="false">AG71*AM71</f>
        <v>0</v>
      </c>
      <c r="AW71" s="319" t="n">
        <f aca="false">AH71*AN71</f>
        <v>0</v>
      </c>
      <c r="AX71" s="320" t="n">
        <f aca="false">1.25*AJ71*AM71</f>
        <v>0</v>
      </c>
      <c r="AY71" s="322" t="n">
        <f aca="false">1.25*AK71*AN71</f>
        <v>0</v>
      </c>
      <c r="AZ71" s="323" t="n">
        <f aca="false">AG71*AP71</f>
        <v>0</v>
      </c>
      <c r="BA71" s="319" t="n">
        <f aca="false">AH71*AQ71</f>
        <v>0</v>
      </c>
      <c r="BB71" s="320" t="n">
        <f aca="false">1.25*AJ71*AP71</f>
        <v>0</v>
      </c>
      <c r="BC71" s="320" t="n">
        <f aca="false">1.25*AK71*AQ71</f>
        <v>0</v>
      </c>
      <c r="BD71" s="321" t="n">
        <f aca="false">AG71*AS71</f>
        <v>0</v>
      </c>
      <c r="BE71" s="319" t="n">
        <f aca="false">AH71*AT71</f>
        <v>0</v>
      </c>
      <c r="BF71" s="320" t="n">
        <f aca="false">AJ71*AS71</f>
        <v>0</v>
      </c>
      <c r="BG71" s="322" t="n">
        <f aca="false">AK71*AT71</f>
        <v>0</v>
      </c>
      <c r="BH71" s="324" t="n">
        <f aca="false">IF(BH$24=$AA71,($AG71*$AM71)+($AJ71*$AM71*1.25)+($AH71*$AN71)+($AK71*$AN71*1.25),"")</f>
        <v>0</v>
      </c>
      <c r="BI71" s="325" t="str">
        <f aca="false">IF(BI$24=$AA71,($AG71*$AM71)+($AJ71*$AM71*1.25)+($AH71*$AN71)+($AK71*$AN71*1.25),"")</f>
        <v/>
      </c>
      <c r="BJ71" s="325" t="str">
        <f aca="false">IF(BJ$24=$AA71,($AG71*$AM71)+($AJ71*$AM71*1.25)+($AH71*$AN71)+($AK71*$AN71*1.25),"")</f>
        <v/>
      </c>
      <c r="BK71" s="325" t="str">
        <f aca="false">IF(BK$24=$AA71,($AG71*$AM71)+($AJ71*$AM71*1.25)+($AH71*$AN71)+($AK71*$AN71*1.25),"")</f>
        <v/>
      </c>
      <c r="BL71" s="326" t="str">
        <f aca="false">IF(BL$24=$AA71,($AG71*$AM71)+($AJ71*$AM71*1.25)+($AH71*$AN71)+($AK71*$AN71*1.25),"")</f>
        <v/>
      </c>
      <c r="BM71" s="327" t="str">
        <f aca="false">IF(CONCATENATE(BH71,BI71,BJ71,BK71,BL71)="",1,"")</f>
        <v/>
      </c>
      <c r="BN71" s="328"/>
      <c r="BO71" s="328"/>
      <c r="BP71" s="328"/>
      <c r="BQ71" s="328"/>
      <c r="BR71" s="47"/>
      <c r="BS71" s="127" t="n">
        <f aca="false">(AG71*AM71)+(AH71*AN71)+((AJ71*AM71)+(AK71*AN71)*1.25)</f>
        <v>0</v>
      </c>
      <c r="BT71" s="127" t="n">
        <f aca="false">(AG71*AP71)+(AH71*AQ71)+((AJ71*AP71)+(AK71*AQ71)*1.25)</f>
        <v>0</v>
      </c>
      <c r="BU71" s="329"/>
      <c r="BV71" s="129"/>
    </row>
    <row r="72" customFormat="false" ht="15" hidden="false" customHeight="false" outlineLevel="0" collapsed="false">
      <c r="A72" s="228"/>
      <c r="B72" s="229"/>
      <c r="C72" s="230"/>
      <c r="D72" s="231"/>
      <c r="E72" s="223" t="str">
        <f aca="false">IF(SUM(A72:D72)&gt;0,SUM(A72:D72),"")</f>
        <v/>
      </c>
      <c r="F72" s="224" t="str">
        <f aca="false">AD85</f>
        <v>PERAL</v>
      </c>
      <c r="G72" s="169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3"/>
      <c r="S72" s="3"/>
      <c r="T72" s="3"/>
      <c r="U72" s="3"/>
      <c r="V72" s="3"/>
      <c r="W72" s="3"/>
      <c r="X72" s="3"/>
      <c r="Y72" s="3"/>
      <c r="Z72" s="316" t="str">
        <f aca="false">IF(AF72&gt;0,RANK(AF72,AF$6:AF$422),"")</f>
        <v/>
      </c>
      <c r="AA72" s="134" t="n">
        <f aca="false">'O_MN, PE_UTA_UGM 2024'!N49</f>
        <v>1</v>
      </c>
      <c r="AB72" s="135" t="n">
        <f aca="false">'O_MN, PE_UTA_UGM 2024'!O49</f>
        <v>0</v>
      </c>
      <c r="AC72" s="317" t="n">
        <f aca="false">'O_MN, PE_UTA_UGM 2024'!C49</f>
        <v>86</v>
      </c>
      <c r="AD72" s="293" t="str">
        <f aca="false">IF(AB72=0,'O_MN, PE_UTA_UGM 2024'!F49,CONCATENATE('O_MN, PE_UTA_UGM 2024'!F49," ","INVERNADERO"))</f>
        <v>CÁÑAMO</v>
      </c>
      <c r="AE72" s="89"/>
      <c r="AF72" s="123" t="n">
        <f aca="false">SUM(AG72:AH72)+SUM(AJ72:AK72)</f>
        <v>0</v>
      </c>
      <c r="AG72" s="318" t="n">
        <f aca="false">A59</f>
        <v>0</v>
      </c>
      <c r="AH72" s="319" t="n">
        <f aca="false">B59</f>
        <v>0</v>
      </c>
      <c r="AI72" s="6"/>
      <c r="AJ72" s="320" t="n">
        <f aca="false">C59</f>
        <v>0</v>
      </c>
      <c r="AK72" s="320" t="n">
        <f aca="false">D59</f>
        <v>0</v>
      </c>
      <c r="AL72" s="237" t="s">
        <v>198</v>
      </c>
      <c r="AM72" s="299" t="n">
        <f aca="false">'O_MN, PE_UTA_UGM 2024'!J49</f>
        <v>186.91</v>
      </c>
      <c r="AN72" s="299" t="n">
        <f aca="false">'O_MN, PE_UTA_UGM 2024'!K49</f>
        <v>540.36</v>
      </c>
      <c r="AO72" s="300"/>
      <c r="AP72" s="299" t="n">
        <f aca="false">'O_MN, PE_UTA_UGM 2024'!H49</f>
        <v>114.19</v>
      </c>
      <c r="AQ72" s="299" t="n">
        <f aca="false">'O_MN, PE_UTA_UGM 2024'!I49</f>
        <v>240.4</v>
      </c>
      <c r="AR72" s="301"/>
      <c r="AS72" s="302" t="n">
        <f aca="false">'O_MN, PE_UTA_UGM 2024'!L49</f>
        <v>0.00465</v>
      </c>
      <c r="AT72" s="302" t="n">
        <f aca="false">'O_MN, PE_UTA_UGM 2024'!M49</f>
        <v>0.0098</v>
      </c>
      <c r="AU72" s="45"/>
      <c r="AV72" s="321" t="n">
        <f aca="false">AG72*AM72</f>
        <v>0</v>
      </c>
      <c r="AW72" s="319" t="n">
        <f aca="false">AH72*AN72</f>
        <v>0</v>
      </c>
      <c r="AX72" s="320" t="n">
        <f aca="false">1.25*AJ72*AM72</f>
        <v>0</v>
      </c>
      <c r="AY72" s="322" t="n">
        <f aca="false">1.25*AK72*AN72</f>
        <v>0</v>
      </c>
      <c r="AZ72" s="323" t="n">
        <f aca="false">AG72*AP72</f>
        <v>0</v>
      </c>
      <c r="BA72" s="319" t="n">
        <f aca="false">AH72*AQ72</f>
        <v>0</v>
      </c>
      <c r="BB72" s="320" t="n">
        <f aca="false">1.25*AJ72*AP72</f>
        <v>0</v>
      </c>
      <c r="BC72" s="320" t="n">
        <f aca="false">1.25*AK72*AQ72</f>
        <v>0</v>
      </c>
      <c r="BD72" s="321" t="n">
        <f aca="false">AG72*AS72</f>
        <v>0</v>
      </c>
      <c r="BE72" s="319" t="n">
        <f aca="false">AH72*AT72</f>
        <v>0</v>
      </c>
      <c r="BF72" s="320" t="n">
        <f aca="false">AJ72*AS72</f>
        <v>0</v>
      </c>
      <c r="BG72" s="322" t="n">
        <f aca="false">AK72*AT72</f>
        <v>0</v>
      </c>
      <c r="BH72" s="324" t="n">
        <f aca="false">IF(BH$24=$AA72,($AG72*$AM72)+($AJ72*$AM72*1.25)+($AH72*$AN72)+($AK72*$AN72*1.25),"")</f>
        <v>0</v>
      </c>
      <c r="BI72" s="325" t="str">
        <f aca="false">IF(BI$24=$AA72,($AG72*$AM72)+($AJ72*$AM72*1.25)+($AH72*$AN72)+($AK72*$AN72*1.25),"")</f>
        <v/>
      </c>
      <c r="BJ72" s="325" t="str">
        <f aca="false">IF(BJ$24=$AA72,($AG72*$AM72)+($AJ72*$AM72*1.25)+($AH72*$AN72)+($AK72*$AN72*1.25),"")</f>
        <v/>
      </c>
      <c r="BK72" s="325" t="str">
        <f aca="false">IF(BK$24=$AA72,($AG72*$AM72)+($AJ72*$AM72*1.25)+($AH72*$AN72)+($AK72*$AN72*1.25),"")</f>
        <v/>
      </c>
      <c r="BL72" s="326" t="str">
        <f aca="false">IF(BL$24=$AA72,($AG72*$AM72)+($AJ72*$AM72*1.25)+($AH72*$AN72)+($AK72*$AN72*1.25),"")</f>
        <v/>
      </c>
      <c r="BM72" s="327" t="str">
        <f aca="false">IF(CONCATENATE(BH72,BI72,BJ72,BK72,BL72)="",1,"")</f>
        <v/>
      </c>
      <c r="BN72" s="328"/>
      <c r="BO72" s="328"/>
      <c r="BP72" s="328"/>
      <c r="BQ72" s="328"/>
      <c r="BR72" s="47"/>
      <c r="BS72" s="127" t="n">
        <f aca="false">(AG72*AM72)+(AH72*AN72)+((AJ72*AM72)+(AK72*AN72)*1.25)</f>
        <v>0</v>
      </c>
      <c r="BT72" s="127" t="n">
        <f aca="false">(AG72*AP72)+(AH72*AQ72)+((AJ72*AP72)+(AK72*AQ72)*1.25)</f>
        <v>0</v>
      </c>
      <c r="BU72" s="329"/>
      <c r="BV72" s="129"/>
    </row>
    <row r="73" customFormat="false" ht="15" hidden="false" customHeight="false" outlineLevel="0" collapsed="false">
      <c r="A73" s="219"/>
      <c r="B73" s="220"/>
      <c r="C73" s="221"/>
      <c r="D73" s="222"/>
      <c r="E73" s="223" t="str">
        <f aca="false">IF(SUM(A73:D73)&gt;0,SUM(A73:D73),"")</f>
        <v/>
      </c>
      <c r="F73" s="224" t="str">
        <f aca="false">AD86</f>
        <v>MANZANO</v>
      </c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3"/>
      <c r="S73" s="3"/>
      <c r="T73" s="3"/>
      <c r="U73" s="3"/>
      <c r="V73" s="3"/>
      <c r="W73" s="3"/>
      <c r="X73" s="3"/>
      <c r="Y73" s="3"/>
      <c r="Z73" s="316" t="str">
        <f aca="false">IF(AF73&gt;0,RANK(AF73,AF$6:AF$422),"")</f>
        <v/>
      </c>
      <c r="AA73" s="134" t="n">
        <f aca="false">'O_MN, PE_UTA_UGM 2024'!N50</f>
        <v>1</v>
      </c>
      <c r="AB73" s="135" t="n">
        <f aca="false">'O_MN, PE_UTA_UGM 2024'!O50</f>
        <v>0</v>
      </c>
      <c r="AC73" s="317" t="n">
        <f aca="false">'O_MN, PE_UTA_UGM 2024'!C50</f>
        <v>87</v>
      </c>
      <c r="AD73" s="293" t="str">
        <f aca="false">IF(AB73=0,'O_MN, PE_UTA_UGM 2024'!F50,CONCATENATE('O_MN, PE_UTA_UGM 2024'!F50," ","INVERNADERO"))</f>
        <v>CACAHUETE</v>
      </c>
      <c r="AE73" s="89"/>
      <c r="AF73" s="123" t="n">
        <f aca="false">SUM(AG73:AH73)+SUM(AJ73:AK73)</f>
        <v>0</v>
      </c>
      <c r="AG73" s="318" t="n">
        <f aca="false">A60</f>
        <v>0</v>
      </c>
      <c r="AH73" s="319" t="n">
        <f aca="false">B60</f>
        <v>0</v>
      </c>
      <c r="AI73" s="6"/>
      <c r="AJ73" s="320" t="n">
        <f aca="false">C60</f>
        <v>0</v>
      </c>
      <c r="AK73" s="320" t="n">
        <f aca="false">D60</f>
        <v>0</v>
      </c>
      <c r="AL73" s="237" t="s">
        <v>199</v>
      </c>
      <c r="AM73" s="299" t="n">
        <f aca="false">'O_MN, PE_UTA_UGM 2024'!J50</f>
        <v>186.91</v>
      </c>
      <c r="AN73" s="299" t="n">
        <f aca="false">'O_MN, PE_UTA_UGM 2024'!K50</f>
        <v>540.36</v>
      </c>
      <c r="AO73" s="300"/>
      <c r="AP73" s="299" t="n">
        <f aca="false">'O_MN, PE_UTA_UGM 2024'!H50</f>
        <v>114.19</v>
      </c>
      <c r="AQ73" s="299" t="n">
        <f aca="false">'O_MN, PE_UTA_UGM 2024'!I50</f>
        <v>240.4</v>
      </c>
      <c r="AR73" s="301"/>
      <c r="AS73" s="302" t="n">
        <f aca="false">'O_MN, PE_UTA_UGM 2024'!L50</f>
        <v>0.00465</v>
      </c>
      <c r="AT73" s="302" t="n">
        <f aca="false">'O_MN, PE_UTA_UGM 2024'!M50</f>
        <v>0.0098</v>
      </c>
      <c r="AU73" s="45"/>
      <c r="AV73" s="321" t="n">
        <f aca="false">AG73*AM73</f>
        <v>0</v>
      </c>
      <c r="AW73" s="319" t="n">
        <f aca="false">AH73*AN73</f>
        <v>0</v>
      </c>
      <c r="AX73" s="320" t="n">
        <f aca="false">1.25*AJ73*AM73</f>
        <v>0</v>
      </c>
      <c r="AY73" s="322" t="n">
        <f aca="false">1.25*AK73*AN73</f>
        <v>0</v>
      </c>
      <c r="AZ73" s="323" t="n">
        <f aca="false">AG73*AP73</f>
        <v>0</v>
      </c>
      <c r="BA73" s="319" t="n">
        <f aca="false">AH73*AQ73</f>
        <v>0</v>
      </c>
      <c r="BB73" s="320" t="n">
        <f aca="false">1.25*AJ73*AP73</f>
        <v>0</v>
      </c>
      <c r="BC73" s="320" t="n">
        <f aca="false">1.25*AK73*AQ73</f>
        <v>0</v>
      </c>
      <c r="BD73" s="321" t="n">
        <f aca="false">AG73*AS73</f>
        <v>0</v>
      </c>
      <c r="BE73" s="319" t="n">
        <f aca="false">AH73*AT73</f>
        <v>0</v>
      </c>
      <c r="BF73" s="320" t="n">
        <f aca="false">AJ73*AS73</f>
        <v>0</v>
      </c>
      <c r="BG73" s="322" t="n">
        <f aca="false">AK73*AT73</f>
        <v>0</v>
      </c>
      <c r="BH73" s="324" t="n">
        <f aca="false">IF(BH$24=$AA73,($AG73*$AM73)+($AJ73*$AM73*1.25)+($AH73*$AN73)+($AK73*$AN73*1.25),"")</f>
        <v>0</v>
      </c>
      <c r="BI73" s="325" t="str">
        <f aca="false">IF(BI$24=$AA73,($AG73*$AM73)+($AJ73*$AM73*1.25)+($AH73*$AN73)+($AK73*$AN73*1.25),"")</f>
        <v/>
      </c>
      <c r="BJ73" s="325" t="str">
        <f aca="false">IF(BJ$24=$AA73,($AG73*$AM73)+($AJ73*$AM73*1.25)+($AH73*$AN73)+($AK73*$AN73*1.25),"")</f>
        <v/>
      </c>
      <c r="BK73" s="325" t="str">
        <f aca="false">IF(BK$24=$AA73,($AG73*$AM73)+($AJ73*$AM73*1.25)+($AH73*$AN73)+($AK73*$AN73*1.25),"")</f>
        <v/>
      </c>
      <c r="BL73" s="326" t="str">
        <f aca="false">IF(BL$24=$AA73,($AG73*$AM73)+($AJ73*$AM73*1.25)+($AH73*$AN73)+($AK73*$AN73*1.25),"")</f>
        <v/>
      </c>
      <c r="BM73" s="327" t="str">
        <f aca="false">IF(CONCATENATE(BH73,BI73,BJ73,BK73,BL73)="",1,"")</f>
        <v/>
      </c>
      <c r="BN73" s="328"/>
      <c r="BO73" s="328"/>
      <c r="BP73" s="328"/>
      <c r="BQ73" s="328"/>
      <c r="BR73" s="47"/>
      <c r="BS73" s="127" t="n">
        <f aca="false">(AG73*AM73)+(AH73*AN73)+((AJ73*AM73)+(AK73*AN73)*1.25)</f>
        <v>0</v>
      </c>
      <c r="BT73" s="127" t="n">
        <f aca="false">(AG73*AP73)+(AH73*AQ73)+((AJ73*AP73)+(AK73*AQ73)*1.25)</f>
        <v>0</v>
      </c>
      <c r="BU73" s="329"/>
      <c r="BV73" s="129"/>
    </row>
    <row r="74" customFormat="false" ht="15" hidden="false" customHeight="false" outlineLevel="0" collapsed="false">
      <c r="A74" s="228"/>
      <c r="B74" s="229"/>
      <c r="C74" s="230"/>
      <c r="D74" s="231"/>
      <c r="E74" s="223" t="str">
        <f aca="false">IF(SUM(A74:D74)&gt;0,SUM(A74:D74),"")</f>
        <v/>
      </c>
      <c r="F74" s="224" t="str">
        <f aca="false">AD87</f>
        <v>CEREZO</v>
      </c>
      <c r="G74" s="169"/>
      <c r="H74" s="169"/>
      <c r="I74" s="169"/>
      <c r="J74" s="169"/>
      <c r="K74" s="169"/>
      <c r="L74" s="169"/>
      <c r="M74" s="169"/>
      <c r="N74" s="169"/>
      <c r="O74" s="169"/>
      <c r="P74" s="169"/>
      <c r="Q74" s="169"/>
      <c r="R74" s="3"/>
      <c r="S74" s="3"/>
      <c r="T74" s="3"/>
      <c r="U74" s="3"/>
      <c r="V74" s="3"/>
      <c r="W74" s="3"/>
      <c r="X74" s="3"/>
      <c r="Y74" s="3"/>
      <c r="Z74" s="316" t="str">
        <f aca="false">IF(AF74&gt;0,RANK(AF74,AF$6:AF$422),"")</f>
        <v/>
      </c>
      <c r="AA74" s="134" t="n">
        <f aca="false">'O_MN, PE_UTA_UGM 2024'!N51</f>
        <v>1</v>
      </c>
      <c r="AB74" s="135" t="n">
        <f aca="false">'O_MN, PE_UTA_UGM 2024'!O51</f>
        <v>0</v>
      </c>
      <c r="AC74" s="317" t="n">
        <f aca="false">'O_MN, PE_UTA_UGM 2024'!C51</f>
        <v>88</v>
      </c>
      <c r="AD74" s="293" t="str">
        <f aca="false">IF(AB74=0,'O_MN, PE_UTA_UGM 2024'!F51,CONCATENATE('O_MN, PE_UTA_UGM 2024'!F51," ","INVERNADERO"))</f>
        <v>CÁRTAMO</v>
      </c>
      <c r="AE74" s="89"/>
      <c r="AF74" s="123" t="n">
        <f aca="false">SUM(AG74:AH74)+SUM(AJ74:AK74)</f>
        <v>0</v>
      </c>
      <c r="AG74" s="318" t="n">
        <f aca="false">A61</f>
        <v>0</v>
      </c>
      <c r="AH74" s="319" t="n">
        <f aca="false">B61</f>
        <v>0</v>
      </c>
      <c r="AI74" s="6"/>
      <c r="AJ74" s="320" t="n">
        <f aca="false">C61</f>
        <v>0</v>
      </c>
      <c r="AK74" s="320" t="n">
        <f aca="false">D61</f>
        <v>0</v>
      </c>
      <c r="AL74" s="237" t="s">
        <v>200</v>
      </c>
      <c r="AM74" s="299" t="n">
        <f aca="false">'O_MN, PE_UTA_UGM 2024'!J51</f>
        <v>186.91</v>
      </c>
      <c r="AN74" s="299" t="n">
        <f aca="false">'O_MN, PE_UTA_UGM 2024'!K51</f>
        <v>540.36</v>
      </c>
      <c r="AO74" s="300"/>
      <c r="AP74" s="299" t="n">
        <f aca="false">'O_MN, PE_UTA_UGM 2024'!H51</f>
        <v>114.19</v>
      </c>
      <c r="AQ74" s="299" t="n">
        <f aca="false">'O_MN, PE_UTA_UGM 2024'!I51</f>
        <v>240.4</v>
      </c>
      <c r="AR74" s="301"/>
      <c r="AS74" s="302" t="n">
        <f aca="false">'O_MN, PE_UTA_UGM 2024'!L51</f>
        <v>0.00465</v>
      </c>
      <c r="AT74" s="302" t="n">
        <f aca="false">'O_MN, PE_UTA_UGM 2024'!M51</f>
        <v>0.0098</v>
      </c>
      <c r="AU74" s="45"/>
      <c r="AV74" s="321" t="n">
        <f aca="false">AG74*AM74</f>
        <v>0</v>
      </c>
      <c r="AW74" s="319" t="n">
        <f aca="false">AH74*AN74</f>
        <v>0</v>
      </c>
      <c r="AX74" s="320" t="n">
        <f aca="false">1.25*AJ74*AM74</f>
        <v>0</v>
      </c>
      <c r="AY74" s="322" t="n">
        <f aca="false">1.25*AK74*AN74</f>
        <v>0</v>
      </c>
      <c r="AZ74" s="323" t="n">
        <f aca="false">AG74*AP74</f>
        <v>0</v>
      </c>
      <c r="BA74" s="319" t="n">
        <f aca="false">AH74*AQ74</f>
        <v>0</v>
      </c>
      <c r="BB74" s="320" t="n">
        <f aca="false">1.25*AJ74*AP74</f>
        <v>0</v>
      </c>
      <c r="BC74" s="320" t="n">
        <f aca="false">1.25*AK74*AQ74</f>
        <v>0</v>
      </c>
      <c r="BD74" s="321" t="n">
        <f aca="false">AG74*AS74</f>
        <v>0</v>
      </c>
      <c r="BE74" s="319" t="n">
        <f aca="false">AH74*AT74</f>
        <v>0</v>
      </c>
      <c r="BF74" s="320" t="n">
        <f aca="false">AJ74*AS74</f>
        <v>0</v>
      </c>
      <c r="BG74" s="322" t="n">
        <f aca="false">AK74*AT74</f>
        <v>0</v>
      </c>
      <c r="BH74" s="324" t="n">
        <f aca="false">IF(BH$24=$AA74,($AG74*$AM74)+($AJ74*$AM74*1.25)+($AH74*$AN74)+($AK74*$AN74*1.25),"")</f>
        <v>0</v>
      </c>
      <c r="BI74" s="325" t="str">
        <f aca="false">IF(BI$24=$AA74,($AG74*$AM74)+($AJ74*$AM74*1.25)+($AH74*$AN74)+($AK74*$AN74*1.25),"")</f>
        <v/>
      </c>
      <c r="BJ74" s="325" t="str">
        <f aca="false">IF(BJ$24=$AA74,($AG74*$AM74)+($AJ74*$AM74*1.25)+($AH74*$AN74)+($AK74*$AN74*1.25),"")</f>
        <v/>
      </c>
      <c r="BK74" s="325" t="str">
        <f aca="false">IF(BK$24=$AA74,($AG74*$AM74)+($AJ74*$AM74*1.25)+($AH74*$AN74)+($AK74*$AN74*1.25),"")</f>
        <v/>
      </c>
      <c r="BL74" s="326" t="str">
        <f aca="false">IF(BL$24=$AA74,($AG74*$AM74)+($AJ74*$AM74*1.25)+($AH74*$AN74)+($AK74*$AN74*1.25),"")</f>
        <v/>
      </c>
      <c r="BM74" s="327" t="str">
        <f aca="false">IF(CONCATENATE(BH74,BI74,BJ74,BK74,BL74)="",1,"")</f>
        <v/>
      </c>
      <c r="BN74" s="328"/>
      <c r="BO74" s="328"/>
      <c r="BP74" s="328"/>
      <c r="BQ74" s="328"/>
      <c r="BR74" s="47"/>
      <c r="BS74" s="127" t="n">
        <f aca="false">(AG74*AM74)+(AH74*AN74)+((AJ74*AM74)+(AK74*AN74)*1.25)</f>
        <v>0</v>
      </c>
      <c r="BT74" s="127" t="n">
        <f aca="false">(AG74*AP74)+(AH74*AQ74)+((AJ74*AP74)+(AK74*AQ74)*1.25)</f>
        <v>0</v>
      </c>
      <c r="BU74" s="329"/>
      <c r="BV74" s="129"/>
    </row>
    <row r="75" customFormat="false" ht="15" hidden="false" customHeight="false" outlineLevel="0" collapsed="false">
      <c r="A75" s="228"/>
      <c r="B75" s="229"/>
      <c r="C75" s="230"/>
      <c r="D75" s="231"/>
      <c r="E75" s="223" t="str">
        <f aca="false">IF(SUM(A75:D75)&gt;0,SUM(A75:D75),"")</f>
        <v/>
      </c>
      <c r="F75" s="224" t="str">
        <f aca="false">AD88</f>
        <v>CIRUELO</v>
      </c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3"/>
      <c r="S75" s="3"/>
      <c r="T75" s="3"/>
      <c r="U75" s="3"/>
      <c r="V75" s="3"/>
      <c r="W75" s="3"/>
      <c r="X75" s="3"/>
      <c r="Y75" s="3"/>
      <c r="Z75" s="316" t="str">
        <f aca="false">IF(AF75&gt;0,RANK(AF75,AF$6:AF$422),"")</f>
        <v/>
      </c>
      <c r="AA75" s="134" t="n">
        <f aca="false">'O_MN, PE_UTA_UGM 2024'!N52</f>
        <v>1</v>
      </c>
      <c r="AB75" s="135" t="n">
        <f aca="false">'O_MN, PE_UTA_UGM 2024'!O52</f>
        <v>0</v>
      </c>
      <c r="AC75" s="317" t="n">
        <f aca="false">'O_MN, PE_UTA_UGM 2024'!C52</f>
        <v>90</v>
      </c>
      <c r="AD75" s="293" t="str">
        <f aca="false">IF(AB75=0,'O_MN, PE_UTA_UGM 2024'!F52,CONCATENATE('O_MN, PE_UTA_UGM 2024'!F52," ","INVERNADERO"))</f>
        <v>REGALIZ</v>
      </c>
      <c r="AE75" s="89"/>
      <c r="AF75" s="123" t="n">
        <f aca="false">SUM(AG75:AH75)+SUM(AJ75:AK75)</f>
        <v>0</v>
      </c>
      <c r="AG75" s="318" t="n">
        <f aca="false">A62</f>
        <v>0</v>
      </c>
      <c r="AH75" s="319" t="n">
        <f aca="false">B62</f>
        <v>0</v>
      </c>
      <c r="AI75" s="6"/>
      <c r="AJ75" s="320" t="n">
        <f aca="false">C62</f>
        <v>0</v>
      </c>
      <c r="AK75" s="320" t="n">
        <f aca="false">D62</f>
        <v>0</v>
      </c>
      <c r="AL75" s="237" t="s">
        <v>201</v>
      </c>
      <c r="AM75" s="299" t="n">
        <f aca="false">'O_MN, PE_UTA_UGM 2024'!J52</f>
        <v>186.91</v>
      </c>
      <c r="AN75" s="299" t="n">
        <f aca="false">'O_MN, PE_UTA_UGM 2024'!K52</f>
        <v>540.36</v>
      </c>
      <c r="AO75" s="300"/>
      <c r="AP75" s="299" t="n">
        <f aca="false">'O_MN, PE_UTA_UGM 2024'!H52</f>
        <v>114.19</v>
      </c>
      <c r="AQ75" s="299" t="n">
        <f aca="false">'O_MN, PE_UTA_UGM 2024'!I52</f>
        <v>240.4</v>
      </c>
      <c r="AR75" s="301"/>
      <c r="AS75" s="302" t="n">
        <f aca="false">'O_MN, PE_UTA_UGM 2024'!L52</f>
        <v>0.00465</v>
      </c>
      <c r="AT75" s="302" t="n">
        <f aca="false">'O_MN, PE_UTA_UGM 2024'!M52</f>
        <v>0.0098</v>
      </c>
      <c r="AU75" s="45"/>
      <c r="AV75" s="321" t="n">
        <f aca="false">AG75*AM75</f>
        <v>0</v>
      </c>
      <c r="AW75" s="319" t="n">
        <f aca="false">AH75*AN75</f>
        <v>0</v>
      </c>
      <c r="AX75" s="320" t="n">
        <f aca="false">1.25*AJ75*AM75</f>
        <v>0</v>
      </c>
      <c r="AY75" s="322" t="n">
        <f aca="false">1.25*AK75*AN75</f>
        <v>0</v>
      </c>
      <c r="AZ75" s="323" t="n">
        <f aca="false">AG75*AP75</f>
        <v>0</v>
      </c>
      <c r="BA75" s="319" t="n">
        <f aca="false">AH75*AQ75</f>
        <v>0</v>
      </c>
      <c r="BB75" s="320" t="n">
        <f aca="false">1.25*AJ75*AP75</f>
        <v>0</v>
      </c>
      <c r="BC75" s="320" t="n">
        <f aca="false">1.25*AK75*AQ75</f>
        <v>0</v>
      </c>
      <c r="BD75" s="321" t="n">
        <f aca="false">AG75*AS75</f>
        <v>0</v>
      </c>
      <c r="BE75" s="319" t="n">
        <f aca="false">AH75*AT75</f>
        <v>0</v>
      </c>
      <c r="BF75" s="320" t="n">
        <f aca="false">AJ75*AS75</f>
        <v>0</v>
      </c>
      <c r="BG75" s="322" t="n">
        <f aca="false">AK75*AT75</f>
        <v>0</v>
      </c>
      <c r="BH75" s="324" t="n">
        <f aca="false">IF(BH$24=$AA75,($AG75*$AM75)+($AJ75*$AM75*1.25)+($AH75*$AN75)+($AK75*$AN75*1.25),"")</f>
        <v>0</v>
      </c>
      <c r="BI75" s="325" t="str">
        <f aca="false">IF(BI$24=$AA75,($AG75*$AM75)+($AJ75*$AM75*1.25)+($AH75*$AN75)+($AK75*$AN75*1.25),"")</f>
        <v/>
      </c>
      <c r="BJ75" s="325" t="str">
        <f aca="false">IF(BJ$24=$AA75,($AG75*$AM75)+($AJ75*$AM75*1.25)+($AH75*$AN75)+($AK75*$AN75*1.25),"")</f>
        <v/>
      </c>
      <c r="BK75" s="325" t="str">
        <f aca="false">IF(BK$24=$AA75,($AG75*$AM75)+($AJ75*$AM75*1.25)+($AH75*$AN75)+($AK75*$AN75*1.25),"")</f>
        <v/>
      </c>
      <c r="BL75" s="326" t="str">
        <f aca="false">IF(BL$24=$AA75,($AG75*$AM75)+($AJ75*$AM75*1.25)+($AH75*$AN75)+($AK75*$AN75*1.25),"")</f>
        <v/>
      </c>
      <c r="BM75" s="327" t="str">
        <f aca="false">IF(CONCATENATE(BH75,BI75,BJ75,BK75,BL75)="",1,"")</f>
        <v/>
      </c>
      <c r="BN75" s="328"/>
      <c r="BO75" s="328"/>
      <c r="BP75" s="328"/>
      <c r="BQ75" s="328"/>
      <c r="BR75" s="47"/>
      <c r="BS75" s="127" t="n">
        <f aca="false">(AG75*AM75)+(AH75*AN75)+((AJ75*AM75)+(AK75*AN75)*1.25)</f>
        <v>0</v>
      </c>
      <c r="BT75" s="127" t="n">
        <f aca="false">(AG75*AP75)+(AH75*AQ75)+((AJ75*AP75)+(AK75*AQ75)*1.25)</f>
        <v>0</v>
      </c>
      <c r="BU75" s="329"/>
      <c r="BV75" s="129"/>
    </row>
    <row r="76" customFormat="false" ht="15" hidden="false" customHeight="false" outlineLevel="0" collapsed="false">
      <c r="A76" s="228"/>
      <c r="B76" s="229"/>
      <c r="C76" s="230"/>
      <c r="D76" s="231"/>
      <c r="E76" s="223" t="str">
        <f aca="false">IF(SUM(A76:D76)&gt;0,SUM(A76:D76),"")</f>
        <v/>
      </c>
      <c r="F76" s="224" t="str">
        <f aca="false">AD89</f>
        <v>NOGAL INVERNADERO</v>
      </c>
      <c r="G76" s="169"/>
      <c r="H76" s="169"/>
      <c r="I76" s="169"/>
      <c r="J76" s="169"/>
      <c r="K76" s="169"/>
      <c r="L76" s="169"/>
      <c r="M76" s="169"/>
      <c r="N76" s="169"/>
      <c r="O76" s="169"/>
      <c r="P76" s="169"/>
      <c r="Q76" s="169"/>
      <c r="R76" s="3"/>
      <c r="S76" s="3"/>
      <c r="T76" s="3"/>
      <c r="U76" s="3"/>
      <c r="V76" s="3"/>
      <c r="W76" s="3"/>
      <c r="X76" s="3"/>
      <c r="Y76" s="3"/>
      <c r="Z76" s="316" t="str">
        <f aca="false">IF(AF76&gt;0,RANK(AF76,AF$6:AF$422),"")</f>
        <v/>
      </c>
      <c r="AA76" s="134" t="n">
        <f aca="false">'O_MN, PE_UTA_UGM 2024'!N53</f>
        <v>1</v>
      </c>
      <c r="AB76" s="135" t="n">
        <f aca="false">'O_MN, PE_UTA_UGM 2024'!O53</f>
        <v>0</v>
      </c>
      <c r="AC76" s="317" t="n">
        <f aca="false">'O_MN, PE_UTA_UGM 2024'!C53</f>
        <v>92</v>
      </c>
      <c r="AD76" s="293" t="str">
        <f aca="false">IF(AB76=0,'O_MN, PE_UTA_UGM 2024'!F53,CONCATENATE('O_MN, PE_UTA_UGM 2024'!F53," ","INVERNADERO"))</f>
        <v>ROMANESCU</v>
      </c>
      <c r="AE76" s="89"/>
      <c r="AF76" s="123" t="n">
        <f aca="false">SUM(AG76:AH76)+SUM(AJ76:AK76)</f>
        <v>0</v>
      </c>
      <c r="AG76" s="318" t="n">
        <f aca="false">A63</f>
        <v>0</v>
      </c>
      <c r="AH76" s="319" t="n">
        <f aca="false">B63</f>
        <v>0</v>
      </c>
      <c r="AI76" s="6"/>
      <c r="AJ76" s="320" t="n">
        <f aca="false">C63</f>
        <v>0</v>
      </c>
      <c r="AK76" s="320" t="n">
        <f aca="false">D63</f>
        <v>0</v>
      </c>
      <c r="AL76" s="237" t="s">
        <v>202</v>
      </c>
      <c r="AM76" s="299" t="n">
        <f aca="false">'O_MN, PE_UTA_UGM 2024'!J53</f>
        <v>0</v>
      </c>
      <c r="AN76" s="299" t="n">
        <f aca="false">'O_MN, PE_UTA_UGM 2024'!K53</f>
        <v>5200</v>
      </c>
      <c r="AO76" s="300"/>
      <c r="AP76" s="299" t="n">
        <f aca="false">'O_MN, PE_UTA_UGM 2024'!H53</f>
        <v>0</v>
      </c>
      <c r="AQ76" s="299" t="n">
        <f aca="false">'O_MN, PE_UTA_UGM 2024'!I53</f>
        <v>1352.28</v>
      </c>
      <c r="AR76" s="301"/>
      <c r="AS76" s="302" t="n">
        <f aca="false">'O_MN, PE_UTA_UGM 2024'!L53</f>
        <v>0</v>
      </c>
      <c r="AT76" s="302" t="n">
        <f aca="false">'O_MN, PE_UTA_UGM 2024'!M53</f>
        <v>0.05512</v>
      </c>
      <c r="AU76" s="45"/>
      <c r="AV76" s="321" t="n">
        <f aca="false">AG76*AM76</f>
        <v>0</v>
      </c>
      <c r="AW76" s="319" t="n">
        <f aca="false">AH76*AN76</f>
        <v>0</v>
      </c>
      <c r="AX76" s="320" t="n">
        <f aca="false">1.25*AJ76*AM76</f>
        <v>0</v>
      </c>
      <c r="AY76" s="322" t="n">
        <f aca="false">1.25*AK76*AN76</f>
        <v>0</v>
      </c>
      <c r="AZ76" s="323" t="n">
        <f aca="false">AG76*AP76</f>
        <v>0</v>
      </c>
      <c r="BA76" s="319" t="n">
        <f aca="false">AH76*AQ76</f>
        <v>0</v>
      </c>
      <c r="BB76" s="320" t="n">
        <f aca="false">1.25*AJ76*AP76</f>
        <v>0</v>
      </c>
      <c r="BC76" s="320" t="n">
        <f aca="false">1.25*AK76*AQ76</f>
        <v>0</v>
      </c>
      <c r="BD76" s="321" t="n">
        <f aca="false">AG76*AS76</f>
        <v>0</v>
      </c>
      <c r="BE76" s="319" t="n">
        <f aca="false">AH76*AT76</f>
        <v>0</v>
      </c>
      <c r="BF76" s="320" t="n">
        <f aca="false">AJ76*AS76</f>
        <v>0</v>
      </c>
      <c r="BG76" s="322" t="n">
        <f aca="false">AK76*AT76</f>
        <v>0</v>
      </c>
      <c r="BH76" s="324" t="n">
        <f aca="false">IF(BH$24=$AA76,($AG76*$AM76)+($AJ76*$AM76*1.25)+($AH76*$AN76)+($AK76*$AN76*1.25),"")</f>
        <v>0</v>
      </c>
      <c r="BI76" s="325" t="str">
        <f aca="false">IF(BI$24=$AA76,($AG76*$AM76)+($AJ76*$AM76*1.25)+($AH76*$AN76)+($AK76*$AN76*1.25),"")</f>
        <v/>
      </c>
      <c r="BJ76" s="325" t="str">
        <f aca="false">IF(BJ$24=$AA76,($AG76*$AM76)+($AJ76*$AM76*1.25)+($AH76*$AN76)+($AK76*$AN76*1.25),"")</f>
        <v/>
      </c>
      <c r="BK76" s="325" t="str">
        <f aca="false">IF(BK$24=$AA76,($AG76*$AM76)+($AJ76*$AM76*1.25)+($AH76*$AN76)+($AK76*$AN76*1.25),"")</f>
        <v/>
      </c>
      <c r="BL76" s="326" t="str">
        <f aca="false">IF(BL$24=$AA76,($AG76*$AM76)+($AJ76*$AM76*1.25)+($AH76*$AN76)+($AK76*$AN76*1.25),"")</f>
        <v/>
      </c>
      <c r="BM76" s="327" t="str">
        <f aca="false">IF(CONCATENATE(BH76,BI76,BJ76,BK76,BL76)="",1,"")</f>
        <v/>
      </c>
      <c r="BN76" s="328"/>
      <c r="BO76" s="328"/>
      <c r="BP76" s="328"/>
      <c r="BQ76" s="328"/>
      <c r="BR76" s="47"/>
      <c r="BS76" s="127" t="n">
        <f aca="false">(AG76*AM76)+(AH76*AN76)+((AJ76*AM76)+(AK76*AN76)*1.25)</f>
        <v>0</v>
      </c>
      <c r="BT76" s="127" t="n">
        <f aca="false">(AG76*AP76)+(AH76*AQ76)+((AJ76*AP76)+(AK76*AQ76)*1.25)</f>
        <v>0</v>
      </c>
      <c r="BU76" s="329"/>
      <c r="BV76" s="129"/>
    </row>
    <row r="77" customFormat="false" ht="15" hidden="false" customHeight="false" outlineLevel="0" collapsed="false">
      <c r="A77" s="219"/>
      <c r="B77" s="220"/>
      <c r="C77" s="221"/>
      <c r="D77" s="222"/>
      <c r="E77" s="223" t="str">
        <f aca="false">IF(SUM(A77:D77)&gt;0,SUM(A77:D77),"")</f>
        <v/>
      </c>
      <c r="F77" s="224" t="str">
        <f aca="false">AD90</f>
        <v>OTROS FRUTALES</v>
      </c>
      <c r="G77" s="169"/>
      <c r="H77" s="169"/>
      <c r="I77" s="169"/>
      <c r="J77" s="169"/>
      <c r="K77" s="169"/>
      <c r="L77" s="169"/>
      <c r="M77" s="169"/>
      <c r="N77" s="169"/>
      <c r="O77" s="169"/>
      <c r="P77" s="169"/>
      <c r="Q77" s="169"/>
      <c r="R77" s="3"/>
      <c r="S77" s="3"/>
      <c r="T77" s="3"/>
      <c r="U77" s="3"/>
      <c r="V77" s="3"/>
      <c r="W77" s="3"/>
      <c r="X77" s="3"/>
      <c r="Y77" s="3"/>
      <c r="Z77" s="316" t="str">
        <f aca="false">IF(AF77&gt;0,RANK(AF77,AF$6:AF$422),"")</f>
        <v/>
      </c>
      <c r="AA77" s="134" t="n">
        <f aca="false">'O_MN, PE_UTA_UGM 2024'!N54</f>
        <v>5</v>
      </c>
      <c r="AB77" s="135" t="n">
        <f aca="false">'O_MN, PE_UTA_UGM 2024'!O54</f>
        <v>0</v>
      </c>
      <c r="AC77" s="317" t="n">
        <f aca="false">'O_MN, PE_UTA_UGM 2024'!C54</f>
        <v>96</v>
      </c>
      <c r="AD77" s="293" t="str">
        <f aca="false">IF(AB77=0,'O_MN, PE_UTA_UGM 2024'!F54,CONCATENATE('O_MN, PE_UTA_UGM 2024'!F54," ","INVERNADERO"))</f>
        <v>ESPECIES AROMÁTICAS HERBÁCEAS</v>
      </c>
      <c r="AE77" s="89"/>
      <c r="AF77" s="123" t="n">
        <f aca="false">SUM(AG77:AH77)+SUM(AJ77:AK77)</f>
        <v>0</v>
      </c>
      <c r="AG77" s="318" t="n">
        <f aca="false">A64</f>
        <v>0</v>
      </c>
      <c r="AH77" s="319" t="n">
        <f aca="false">B64</f>
        <v>0</v>
      </c>
      <c r="AI77" s="6"/>
      <c r="AJ77" s="320" t="n">
        <f aca="false">C64</f>
        <v>0</v>
      </c>
      <c r="AK77" s="320" t="n">
        <f aca="false">D64</f>
        <v>0</v>
      </c>
      <c r="AL77" s="237" t="s">
        <v>203</v>
      </c>
      <c r="AM77" s="299" t="n">
        <f aca="false">'O_MN, PE_UTA_UGM 2024'!J54</f>
        <v>1000</v>
      </c>
      <c r="AN77" s="299" t="n">
        <f aca="false">'O_MN, PE_UTA_UGM 2024'!K54</f>
        <v>3800</v>
      </c>
      <c r="AO77" s="300"/>
      <c r="AP77" s="299" t="n">
        <f aca="false">'O_MN, PE_UTA_UGM 2024'!H54</f>
        <v>114.19</v>
      </c>
      <c r="AQ77" s="299" t="n">
        <f aca="false">'O_MN, PE_UTA_UGM 2024'!I54</f>
        <v>240.4</v>
      </c>
      <c r="AR77" s="301"/>
      <c r="AS77" s="302" t="n">
        <f aca="false">'O_MN, PE_UTA_UGM 2024'!L54</f>
        <v>0.00465</v>
      </c>
      <c r="AT77" s="302" t="n">
        <f aca="false">'O_MN, PE_UTA_UGM 2024'!M54</f>
        <v>0.0098</v>
      </c>
      <c r="AU77" s="45"/>
      <c r="AV77" s="321" t="n">
        <f aca="false">AG77*AM77</f>
        <v>0</v>
      </c>
      <c r="AW77" s="319" t="n">
        <f aca="false">AH77*AN77</f>
        <v>0</v>
      </c>
      <c r="AX77" s="320" t="n">
        <f aca="false">1.25*AJ77*AM77</f>
        <v>0</v>
      </c>
      <c r="AY77" s="322" t="n">
        <f aca="false">1.25*AK77*AN77</f>
        <v>0</v>
      </c>
      <c r="AZ77" s="323" t="n">
        <f aca="false">AG77*AP77</f>
        <v>0</v>
      </c>
      <c r="BA77" s="319" t="n">
        <f aca="false">AH77*AQ77</f>
        <v>0</v>
      </c>
      <c r="BB77" s="320" t="n">
        <f aca="false">1.25*AJ77*AP77</f>
        <v>0</v>
      </c>
      <c r="BC77" s="320" t="n">
        <f aca="false">1.25*AK77*AQ77</f>
        <v>0</v>
      </c>
      <c r="BD77" s="321" t="n">
        <f aca="false">AG77*AS77</f>
        <v>0</v>
      </c>
      <c r="BE77" s="319" t="n">
        <f aca="false">AH77*AT77</f>
        <v>0</v>
      </c>
      <c r="BF77" s="320" t="n">
        <f aca="false">AJ77*AS77</f>
        <v>0</v>
      </c>
      <c r="BG77" s="322" t="n">
        <f aca="false">AK77*AT77</f>
        <v>0</v>
      </c>
      <c r="BH77" s="324" t="str">
        <f aca="false">IF(BH$24=$AA77,($AG77*$AM77)+($AJ77*$AM77*1.25)+($AH77*$AN77)+($AK77*$AN77*1.25),"")</f>
        <v/>
      </c>
      <c r="BI77" s="325" t="str">
        <f aca="false">IF(BI$24=$AA77,($AG77*$AM77)+($AJ77*$AM77*1.25)+($AH77*$AN77)+($AK77*$AN77*1.25),"")</f>
        <v/>
      </c>
      <c r="BJ77" s="325" t="str">
        <f aca="false">IF(BJ$24=$AA77,($AG77*$AM77)+($AJ77*$AM77*1.25)+($AH77*$AN77)+($AK77*$AN77*1.25),"")</f>
        <v/>
      </c>
      <c r="BK77" s="325" t="str">
        <f aca="false">IF(BK$24=$AA77,($AG77*$AM77)+($AJ77*$AM77*1.25)+($AH77*$AN77)+($AK77*$AN77*1.25),"")</f>
        <v/>
      </c>
      <c r="BL77" s="326" t="n">
        <f aca="false">IF(BL$24=$AA77,($AG77*$AM77)+($AJ77*$AM77*1.25)+($AH77*$AN77)+($AK77*$AN77*1.25),"")</f>
        <v>0</v>
      </c>
      <c r="BM77" s="327" t="str">
        <f aca="false">IF(CONCATENATE(BH77,BI77,BJ77,BK77,BL77)="",1,"")</f>
        <v/>
      </c>
      <c r="BN77" s="328"/>
      <c r="BO77" s="328"/>
      <c r="BP77" s="328"/>
      <c r="BQ77" s="328"/>
      <c r="BR77" s="47"/>
      <c r="BS77" s="127" t="n">
        <f aca="false">(AG77*AM77)+(AH77*AN77)+((AJ77*AM77)+(AK77*AN77)*1.25)</f>
        <v>0</v>
      </c>
      <c r="BT77" s="127" t="n">
        <f aca="false">(AG77*AP77)+(AH77*AQ77)+((AJ77*AP77)+(AK77*AQ77)*1.25)</f>
        <v>0</v>
      </c>
      <c r="BU77" s="329"/>
      <c r="BV77" s="129"/>
    </row>
    <row r="78" customFormat="false" ht="15" hidden="false" customHeight="false" outlineLevel="0" collapsed="false">
      <c r="A78" s="228"/>
      <c r="B78" s="229"/>
      <c r="C78" s="230"/>
      <c r="D78" s="231"/>
      <c r="E78" s="223" t="str">
        <f aca="false">IF(SUM(A78:D78)&gt;0,SUM(A78:D78),"")</f>
        <v/>
      </c>
      <c r="F78" s="224" t="str">
        <f aca="false">AD91</f>
        <v>CASTAÑO</v>
      </c>
      <c r="G78" s="169"/>
      <c r="H78" s="169"/>
      <c r="I78" s="169"/>
      <c r="J78" s="169"/>
      <c r="K78" s="169"/>
      <c r="L78" s="169"/>
      <c r="M78" s="169"/>
      <c r="N78" s="169"/>
      <c r="O78" s="169"/>
      <c r="P78" s="169"/>
      <c r="Q78" s="169"/>
      <c r="R78" s="3"/>
      <c r="S78" s="3"/>
      <c r="T78" s="3"/>
      <c r="U78" s="3"/>
      <c r="V78" s="3"/>
      <c r="W78" s="3"/>
      <c r="X78" s="3"/>
      <c r="Y78" s="3"/>
      <c r="Z78" s="316" t="str">
        <f aca="false">IF(AF78&gt;0,RANK(AF78,AF$6:AF$422),"")</f>
        <v/>
      </c>
      <c r="AA78" s="134" t="n">
        <f aca="false">'O_MN, PE_UTA_UGM 2024'!N55</f>
        <v>4</v>
      </c>
      <c r="AB78" s="135" t="n">
        <f aca="false">'O_MN, PE_UTA_UGM 2024'!O55</f>
        <v>0</v>
      </c>
      <c r="AC78" s="317" t="n">
        <f aca="false">'O_MN, PE_UTA_UGM 2024'!C55</f>
        <v>99</v>
      </c>
      <c r="AD78" s="293" t="str">
        <f aca="false">IF(AB78=0,'O_MN, PE_UTA_UGM 2024'!F55,CONCATENATE('O_MN, PE_UTA_UGM 2024'!F55," ","INVERNADERO"))</f>
        <v>PATATA</v>
      </c>
      <c r="AE78" s="89"/>
      <c r="AF78" s="123" t="n">
        <f aca="false">SUM(AG78:AH78)+SUM(AJ78:AK78)</f>
        <v>0</v>
      </c>
      <c r="AG78" s="318" t="n">
        <f aca="false">A65</f>
        <v>0</v>
      </c>
      <c r="AH78" s="319" t="n">
        <f aca="false">B65</f>
        <v>0</v>
      </c>
      <c r="AI78" s="6"/>
      <c r="AJ78" s="320" t="n">
        <f aca="false">C65</f>
        <v>0</v>
      </c>
      <c r="AK78" s="320" t="n">
        <f aca="false">D65</f>
        <v>0</v>
      </c>
      <c r="AL78" s="237" t="s">
        <v>204</v>
      </c>
      <c r="AM78" s="299" t="n">
        <f aca="false">'O_MN, PE_UTA_UGM 2024'!J55</f>
        <v>1739.31</v>
      </c>
      <c r="AN78" s="299" t="n">
        <f aca="false">'O_MN, PE_UTA_UGM 2024'!K55</f>
        <v>7000</v>
      </c>
      <c r="AO78" s="300"/>
      <c r="AP78" s="299" t="n">
        <f aca="false">'O_MN, PE_UTA_UGM 2024'!H55</f>
        <v>450.76</v>
      </c>
      <c r="AQ78" s="299" t="n">
        <f aca="false">'O_MN, PE_UTA_UGM 2024'!I55</f>
        <v>1202.02</v>
      </c>
      <c r="AR78" s="301"/>
      <c r="AS78" s="302" t="n">
        <f aca="false">'O_MN, PE_UTA_UGM 2024'!L55</f>
        <v>0.01837</v>
      </c>
      <c r="AT78" s="302" t="n">
        <f aca="false">'O_MN, PE_UTA_UGM 2024'!M55</f>
        <v>0.04899</v>
      </c>
      <c r="AU78" s="45"/>
      <c r="AV78" s="321" t="n">
        <f aca="false">AG78*AM78</f>
        <v>0</v>
      </c>
      <c r="AW78" s="319" t="n">
        <f aca="false">AH78*AN78</f>
        <v>0</v>
      </c>
      <c r="AX78" s="320" t="n">
        <f aca="false">1.25*AJ78*AM78</f>
        <v>0</v>
      </c>
      <c r="AY78" s="322" t="n">
        <f aca="false">1.25*AK78*AN78</f>
        <v>0</v>
      </c>
      <c r="AZ78" s="323" t="n">
        <f aca="false">AG78*AP78</f>
        <v>0</v>
      </c>
      <c r="BA78" s="319" t="n">
        <f aca="false">AH78*AQ78</f>
        <v>0</v>
      </c>
      <c r="BB78" s="320" t="n">
        <f aca="false">1.25*AJ78*AP78</f>
        <v>0</v>
      </c>
      <c r="BC78" s="320" t="n">
        <f aca="false">1.25*AK78*AQ78</f>
        <v>0</v>
      </c>
      <c r="BD78" s="321" t="n">
        <f aca="false">AG78*AS78</f>
        <v>0</v>
      </c>
      <c r="BE78" s="319" t="n">
        <f aca="false">AH78*AT78</f>
        <v>0</v>
      </c>
      <c r="BF78" s="320" t="n">
        <f aca="false">AJ78*AS78</f>
        <v>0</v>
      </c>
      <c r="BG78" s="322" t="n">
        <f aca="false">AK78*AT78</f>
        <v>0</v>
      </c>
      <c r="BH78" s="324" t="str">
        <f aca="false">IF(BH$24=$AA78,($AG78*$AM78)+($AJ78*$AM78*1.25)+($AH78*$AN78)+($AK78*$AN78*1.25),"")</f>
        <v/>
      </c>
      <c r="BI78" s="325" t="str">
        <f aca="false">IF(BI$24=$AA78,($AG78*$AM78)+($AJ78*$AM78*1.25)+($AH78*$AN78)+($AK78*$AN78*1.25),"")</f>
        <v/>
      </c>
      <c r="BJ78" s="325" t="str">
        <f aca="false">IF(BJ$24=$AA78,($AG78*$AM78)+($AJ78*$AM78*1.25)+($AH78*$AN78)+($AK78*$AN78*1.25),"")</f>
        <v/>
      </c>
      <c r="BK78" s="325" t="n">
        <f aca="false">IF(BK$24=$AA78,($AG78*$AM78)+($AJ78*$AM78*1.25)+($AH78*$AN78)+($AK78*$AN78*1.25),"")</f>
        <v>0</v>
      </c>
      <c r="BL78" s="326" t="str">
        <f aca="false">IF(BL$24=$AA78,($AG78*$AM78)+($AJ78*$AM78*1.25)+($AH78*$AN78)+($AK78*$AN78*1.25),"")</f>
        <v/>
      </c>
      <c r="BM78" s="327" t="str">
        <f aca="false">IF(CONCATENATE(BH78,BI78,BJ78,BK78,BL78)="",1,"")</f>
        <v/>
      </c>
      <c r="BN78" s="328"/>
      <c r="BO78" s="328"/>
      <c r="BP78" s="328"/>
      <c r="BQ78" s="328"/>
      <c r="BR78" s="47"/>
      <c r="BS78" s="127" t="n">
        <f aca="false">(AG78*AM78)+(AH78*AN78)+((AJ78*AM78)+(AK78*AN78)*1.25)</f>
        <v>0</v>
      </c>
      <c r="BT78" s="127" t="n">
        <f aca="false">(AG78*AP78)+(AH78*AQ78)+((AJ78*AP78)+(AK78*AQ78)*1.25)</f>
        <v>0</v>
      </c>
      <c r="BU78" s="329"/>
      <c r="BV78" s="129"/>
    </row>
    <row r="79" customFormat="false" ht="15" hidden="false" customHeight="false" outlineLevel="0" collapsed="false">
      <c r="A79" s="228"/>
      <c r="B79" s="229"/>
      <c r="C79" s="230"/>
      <c r="D79" s="231"/>
      <c r="E79" s="223" t="str">
        <f aca="false">IF(SUM(A79:D79)&gt;0,SUM(A79:D79),"")</f>
        <v/>
      </c>
      <c r="F79" s="224" t="str">
        <f aca="false">AD92</f>
        <v>ESPECIES AROMÁTICAS LEÑOSAS</v>
      </c>
      <c r="G79" s="169"/>
      <c r="H79" s="169"/>
      <c r="I79" s="169"/>
      <c r="J79" s="169"/>
      <c r="K79" s="169"/>
      <c r="L79" s="169"/>
      <c r="M79" s="169"/>
      <c r="N79" s="169"/>
      <c r="O79" s="169"/>
      <c r="P79" s="169"/>
      <c r="Q79" s="169"/>
      <c r="R79" s="3"/>
      <c r="S79" s="3"/>
      <c r="T79" s="3"/>
      <c r="U79" s="3"/>
      <c r="V79" s="3"/>
      <c r="W79" s="3"/>
      <c r="X79" s="3"/>
      <c r="Y79" s="3"/>
      <c r="Z79" s="316" t="str">
        <f aca="false">IF(AF79&gt;0,RANK(AF79,AF$6:AF$422),"")</f>
        <v/>
      </c>
      <c r="AA79" s="134" t="n">
        <f aca="false">'O_MN, PE_UTA_UGM 2024'!N56</f>
        <v>3</v>
      </c>
      <c r="AB79" s="135" t="n">
        <f aca="false">'O_MN, PE_UTA_UGM 2024'!O56</f>
        <v>0</v>
      </c>
      <c r="AC79" s="317" t="n">
        <f aca="false">'O_MN, PE_UTA_UGM 2024'!C56</f>
        <v>101</v>
      </c>
      <c r="AD79" s="293" t="str">
        <f aca="false">IF(AB79=0,'O_MN, PE_UTA_UGM 2024'!F56,CONCATENATE('O_MN, PE_UTA_UGM 2024'!F56," ","INVERNADERO"))</f>
        <v>OLIVO</v>
      </c>
      <c r="AE79" s="89"/>
      <c r="AF79" s="123" t="n">
        <f aca="false">SUM(AG79:AH79)+SUM(AJ79:AK79)</f>
        <v>0</v>
      </c>
      <c r="AG79" s="318" t="n">
        <f aca="false">A66</f>
        <v>0</v>
      </c>
      <c r="AH79" s="319" t="n">
        <f aca="false">B66</f>
        <v>0</v>
      </c>
      <c r="AI79" s="6"/>
      <c r="AJ79" s="320" t="n">
        <f aca="false">C66</f>
        <v>0</v>
      </c>
      <c r="AK79" s="320" t="n">
        <f aca="false">D66</f>
        <v>0</v>
      </c>
      <c r="AL79" s="237" t="s">
        <v>205</v>
      </c>
      <c r="AM79" s="299" t="n">
        <f aca="false">'O_MN, PE_UTA_UGM 2024'!J56</f>
        <v>600</v>
      </c>
      <c r="AN79" s="299" t="n">
        <f aca="false">'O_MN, PE_UTA_UGM 2024'!K56</f>
        <v>1800</v>
      </c>
      <c r="AO79" s="300"/>
      <c r="AP79" s="299" t="n">
        <f aca="false">'O_MN, PE_UTA_UGM 2024'!H56</f>
        <v>405.68</v>
      </c>
      <c r="AQ79" s="299" t="n">
        <f aca="false">'O_MN, PE_UTA_UGM 2024'!I56</f>
        <v>649.09</v>
      </c>
      <c r="AR79" s="301"/>
      <c r="AS79" s="302" t="n">
        <f aca="false">'O_MN, PE_UTA_UGM 2024'!L56</f>
        <v>0.01653</v>
      </c>
      <c r="AT79" s="302" t="n">
        <f aca="false">'O_MN, PE_UTA_UGM 2024'!M56</f>
        <v>0.02646</v>
      </c>
      <c r="AU79" s="45"/>
      <c r="AV79" s="321" t="n">
        <f aca="false">AG79*AM79</f>
        <v>0</v>
      </c>
      <c r="AW79" s="319" t="n">
        <f aca="false">AH79*AN79</f>
        <v>0</v>
      </c>
      <c r="AX79" s="320" t="n">
        <f aca="false">1.25*AJ79*AM79</f>
        <v>0</v>
      </c>
      <c r="AY79" s="322" t="n">
        <f aca="false">1.25*AK79*AN79</f>
        <v>0</v>
      </c>
      <c r="AZ79" s="323" t="n">
        <f aca="false">AG79*AP79</f>
        <v>0</v>
      </c>
      <c r="BA79" s="319" t="n">
        <f aca="false">AH79*AQ79</f>
        <v>0</v>
      </c>
      <c r="BB79" s="320" t="n">
        <f aca="false">1.25*AJ79*AP79</f>
        <v>0</v>
      </c>
      <c r="BC79" s="320" t="n">
        <f aca="false">1.25*AK79*AQ79</f>
        <v>0</v>
      </c>
      <c r="BD79" s="321" t="n">
        <f aca="false">AG79*AS79</f>
        <v>0</v>
      </c>
      <c r="BE79" s="319" t="n">
        <f aca="false">AH79*AT79</f>
        <v>0</v>
      </c>
      <c r="BF79" s="320" t="n">
        <f aca="false">AJ79*AS79</f>
        <v>0</v>
      </c>
      <c r="BG79" s="322" t="n">
        <f aca="false">AK79*AT79</f>
        <v>0</v>
      </c>
      <c r="BH79" s="324" t="str">
        <f aca="false">IF(BH$24=$AA79,($AG79*$AM79)+($AJ79*$AM79*1.25)+($AH79*$AN79)+($AK79*$AN79*1.25),"")</f>
        <v/>
      </c>
      <c r="BI79" s="325" t="str">
        <f aca="false">IF(BI$24=$AA79,($AG79*$AM79)+($AJ79*$AM79*1.25)+($AH79*$AN79)+($AK79*$AN79*1.25),"")</f>
        <v/>
      </c>
      <c r="BJ79" s="325" t="n">
        <f aca="false">IF(BJ$24=$AA79,($AG79*$AM79)+($AJ79*$AM79*1.25)+($AH79*$AN79)+($AK79*$AN79*1.25),"")</f>
        <v>0</v>
      </c>
      <c r="BK79" s="325" t="str">
        <f aca="false">IF(BK$24=$AA79,($AG79*$AM79)+($AJ79*$AM79*1.25)+($AH79*$AN79)+($AK79*$AN79*1.25),"")</f>
        <v/>
      </c>
      <c r="BL79" s="326" t="str">
        <f aca="false">IF(BL$24=$AA79,($AG79*$AM79)+($AJ79*$AM79*1.25)+($AH79*$AN79)+($AK79*$AN79*1.25),"")</f>
        <v/>
      </c>
      <c r="BM79" s="327" t="str">
        <f aca="false">IF(CONCATENATE(BH79,BI79,BJ79,BK79,BL79)="",1,"")</f>
        <v/>
      </c>
      <c r="BN79" s="328"/>
      <c r="BO79" s="328"/>
      <c r="BP79" s="328"/>
      <c r="BQ79" s="328"/>
      <c r="BR79" s="47"/>
      <c r="BS79" s="127" t="n">
        <f aca="false">(AG79*AM79)+(AH79*AN79)+((AJ79*AM79)+(AK79*AN79)*1.25)</f>
        <v>0</v>
      </c>
      <c r="BT79" s="127" t="n">
        <f aca="false">(AG79*AP79)+(AH79*AQ79)+((AJ79*AP79)+(AK79*AQ79)*1.25)</f>
        <v>0</v>
      </c>
      <c r="BU79" s="329"/>
      <c r="BV79" s="129"/>
    </row>
    <row r="80" customFormat="false" ht="15" hidden="false" customHeight="false" outlineLevel="0" collapsed="false">
      <c r="A80" s="228"/>
      <c r="B80" s="229"/>
      <c r="C80" s="230"/>
      <c r="D80" s="231"/>
      <c r="E80" s="223" t="str">
        <f aca="false">IF(SUM(A80:D80)&gt;0,SUM(A80:D80),"")</f>
        <v/>
      </c>
      <c r="F80" s="224" t="str">
        <f aca="false">AD93</f>
        <v>VIÑA - OLIVAR</v>
      </c>
      <c r="G80" s="169"/>
      <c r="H80" s="169"/>
      <c r="I80" s="169"/>
      <c r="J80" s="169"/>
      <c r="K80" s="169"/>
      <c r="L80" s="169"/>
      <c r="M80" s="169"/>
      <c r="N80" s="169"/>
      <c r="O80" s="169"/>
      <c r="P80" s="169"/>
      <c r="Q80" s="169"/>
      <c r="R80" s="3"/>
      <c r="S80" s="3"/>
      <c r="T80" s="3"/>
      <c r="U80" s="3"/>
      <c r="V80" s="3"/>
      <c r="W80" s="3"/>
      <c r="X80" s="3"/>
      <c r="Y80" s="3"/>
      <c r="Z80" s="316" t="str">
        <f aca="false">IF(AF80&gt;0,RANK(AF80,AF$6:AF$422),"")</f>
        <v/>
      </c>
      <c r="AA80" s="134" t="n">
        <f aca="false">'O_MN, PE_UTA_UGM 2024'!N57</f>
        <v>3</v>
      </c>
      <c r="AB80" s="135" t="n">
        <f aca="false">'O_MN, PE_UTA_UGM 2024'!O57</f>
        <v>0</v>
      </c>
      <c r="AC80" s="317" t="n">
        <f aca="false">'O_MN, PE_UTA_UGM 2024'!C57</f>
        <v>102</v>
      </c>
      <c r="AD80" s="293" t="str">
        <f aca="false">IF(AB80=0,'O_MN, PE_UTA_UGM 2024'!F57,CONCATENATE('O_MN, PE_UTA_UGM 2024'!F57," ","INVERNADERO"))</f>
        <v>VIÑA</v>
      </c>
      <c r="AE80" s="89"/>
      <c r="AF80" s="123" t="n">
        <f aca="false">SUM(AG80:AH80)+SUM(AJ80:AK80)</f>
        <v>0</v>
      </c>
      <c r="AG80" s="318" t="n">
        <f aca="false">A67</f>
        <v>0</v>
      </c>
      <c r="AH80" s="319" t="n">
        <f aca="false">B67</f>
        <v>0</v>
      </c>
      <c r="AI80" s="6"/>
      <c r="AJ80" s="320" t="n">
        <f aca="false">C67</f>
        <v>0</v>
      </c>
      <c r="AK80" s="320" t="n">
        <f aca="false">D67</f>
        <v>0</v>
      </c>
      <c r="AL80" s="237" t="s">
        <v>206</v>
      </c>
      <c r="AM80" s="299" t="n">
        <f aca="false">'O_MN, PE_UTA_UGM 2024'!J57</f>
        <v>800</v>
      </c>
      <c r="AN80" s="299" t="n">
        <f aca="false">'O_MN, PE_UTA_UGM 2024'!K57</f>
        <v>1800</v>
      </c>
      <c r="AO80" s="300"/>
      <c r="AP80" s="299" t="n">
        <f aca="false">'O_MN, PE_UTA_UGM 2024'!H57</f>
        <v>450.76</v>
      </c>
      <c r="AQ80" s="299" t="n">
        <f aca="false">'O_MN, PE_UTA_UGM 2024'!I57</f>
        <v>721.21</v>
      </c>
      <c r="AR80" s="301"/>
      <c r="AS80" s="302" t="n">
        <f aca="false">'O_MN, PE_UTA_UGM 2024'!L57</f>
        <v>0.01837</v>
      </c>
      <c r="AT80" s="302" t="n">
        <f aca="false">'O_MN, PE_UTA_UGM 2024'!M57</f>
        <v>0.0294</v>
      </c>
      <c r="AU80" s="45"/>
      <c r="AV80" s="321" t="n">
        <f aca="false">AG80*AM80</f>
        <v>0</v>
      </c>
      <c r="AW80" s="319" t="n">
        <f aca="false">AH80*AN80</f>
        <v>0</v>
      </c>
      <c r="AX80" s="320" t="n">
        <f aca="false">1.25*AJ80*AM80</f>
        <v>0</v>
      </c>
      <c r="AY80" s="322" t="n">
        <f aca="false">1.25*AK80*AN80</f>
        <v>0</v>
      </c>
      <c r="AZ80" s="323" t="n">
        <f aca="false">AG80*AP80</f>
        <v>0</v>
      </c>
      <c r="BA80" s="319" t="n">
        <f aca="false">AH80*AQ80</f>
        <v>0</v>
      </c>
      <c r="BB80" s="320" t="n">
        <f aca="false">1.25*AJ80*AP80</f>
        <v>0</v>
      </c>
      <c r="BC80" s="320" t="n">
        <f aca="false">1.25*AK80*AQ80</f>
        <v>0</v>
      </c>
      <c r="BD80" s="321" t="n">
        <f aca="false">AG80*AS80</f>
        <v>0</v>
      </c>
      <c r="BE80" s="319" t="n">
        <f aca="false">AH80*AT80</f>
        <v>0</v>
      </c>
      <c r="BF80" s="320" t="n">
        <f aca="false">AJ80*AS80</f>
        <v>0</v>
      </c>
      <c r="BG80" s="322" t="n">
        <f aca="false">AK80*AT80</f>
        <v>0</v>
      </c>
      <c r="BH80" s="324" t="str">
        <f aca="false">IF(BH$24=$AA80,($AG80*$AM80)+($AJ80*$AM80*1.25)+($AH80*$AN80)+($AK80*$AN80*1.25),"")</f>
        <v/>
      </c>
      <c r="BI80" s="325" t="str">
        <f aca="false">IF(BI$24=$AA80,($AG80*$AM80)+($AJ80*$AM80*1.25)+($AH80*$AN80)+($AK80*$AN80*1.25),"")</f>
        <v/>
      </c>
      <c r="BJ80" s="325" t="n">
        <f aca="false">IF(BJ$24=$AA80,($AG80*$AM80)+($AJ80*$AM80*1.25)+($AH80*$AN80)+($AK80*$AN80*1.25),"")</f>
        <v>0</v>
      </c>
      <c r="BK80" s="325" t="str">
        <f aca="false">IF(BK$24=$AA80,($AG80*$AM80)+($AJ80*$AM80*1.25)+($AH80*$AN80)+($AK80*$AN80*1.25),"")</f>
        <v/>
      </c>
      <c r="BL80" s="326" t="str">
        <f aca="false">IF(BL$24=$AA80,($AG80*$AM80)+($AJ80*$AM80*1.25)+($AH80*$AN80)+($AK80*$AN80*1.25),"")</f>
        <v/>
      </c>
      <c r="BM80" s="327" t="str">
        <f aca="false">IF(CONCATENATE(BH80,BI80,BJ80,BK80,BL80)="",1,"")</f>
        <v/>
      </c>
      <c r="BN80" s="328"/>
      <c r="BO80" s="328"/>
      <c r="BP80" s="328"/>
      <c r="BQ80" s="328"/>
      <c r="BR80" s="47"/>
      <c r="BS80" s="127" t="n">
        <f aca="false">(AG80*AM80)+(AH80*AN80)+((AJ80*AM80)+(AK80*AN80)*1.25)</f>
        <v>0</v>
      </c>
      <c r="BT80" s="127" t="n">
        <f aca="false">(AG80*AP80)+(AH80*AQ80)+((AJ80*AP80)+(AK80*AQ80)*1.25)</f>
        <v>0</v>
      </c>
      <c r="BU80" s="329"/>
      <c r="BV80" s="129"/>
    </row>
    <row r="81" customFormat="false" ht="15" hidden="false" customHeight="false" outlineLevel="0" collapsed="false">
      <c r="A81" s="228"/>
      <c r="B81" s="229"/>
      <c r="C81" s="230"/>
      <c r="D81" s="231"/>
      <c r="E81" s="223" t="str">
        <f aca="false">IF(SUM(A81:D81)&gt;0,SUM(A81:D81),"")</f>
        <v/>
      </c>
      <c r="F81" s="224" t="str">
        <f aca="false">AD94</f>
        <v>BONIATO</v>
      </c>
      <c r="G81" s="169"/>
      <c r="H81" s="169"/>
      <c r="I81" s="169"/>
      <c r="J81" s="169"/>
      <c r="K81" s="169"/>
      <c r="L81" s="169"/>
      <c r="M81" s="169"/>
      <c r="N81" s="169"/>
      <c r="O81" s="169"/>
      <c r="P81" s="169"/>
      <c r="Q81" s="169"/>
      <c r="R81" s="3"/>
      <c r="S81" s="3"/>
      <c r="T81" s="3"/>
      <c r="U81" s="3"/>
      <c r="V81" s="3"/>
      <c r="W81" s="3"/>
      <c r="X81" s="3"/>
      <c r="Y81" s="3"/>
      <c r="Z81" s="316" t="str">
        <f aca="false">IF(AF81&gt;0,RANK(AF81,AF$6:AF$422),"")</f>
        <v/>
      </c>
      <c r="AA81" s="134" t="n">
        <f aca="false">'O_MN, PE_UTA_UGM 2024'!N58</f>
        <v>3</v>
      </c>
      <c r="AB81" s="135" t="n">
        <f aca="false">'O_MN, PE_UTA_UGM 2024'!O58</f>
        <v>0</v>
      </c>
      <c r="AC81" s="317" t="n">
        <f aca="false">'O_MN, PE_UTA_UGM 2024'!C58</f>
        <v>104</v>
      </c>
      <c r="AD81" s="293" t="str">
        <f aca="false">IF(AB81=0,'O_MN, PE_UTA_UGM 2024'!F58,CONCATENATE('O_MN, PE_UTA_UGM 2024'!F58," ","INVERNADERO"))</f>
        <v>ALMENDRO</v>
      </c>
      <c r="AE81" s="89"/>
      <c r="AF81" s="123" t="n">
        <f aca="false">SUM(AG81:AH81)+SUM(AJ81:AK81)</f>
        <v>0</v>
      </c>
      <c r="AG81" s="318" t="n">
        <f aca="false">A68</f>
        <v>0</v>
      </c>
      <c r="AH81" s="319" t="n">
        <f aca="false">B68</f>
        <v>0</v>
      </c>
      <c r="AI81" s="6"/>
      <c r="AJ81" s="320" t="n">
        <f aca="false">C68</f>
        <v>0</v>
      </c>
      <c r="AK81" s="320" t="n">
        <f aca="false">D68</f>
        <v>0</v>
      </c>
      <c r="AL81" s="237" t="s">
        <v>207</v>
      </c>
      <c r="AM81" s="299" t="n">
        <f aca="false">'O_MN, PE_UTA_UGM 2024'!J58</f>
        <v>678.7</v>
      </c>
      <c r="AN81" s="299" t="n">
        <f aca="false">'O_MN, PE_UTA_UGM 2024'!K58</f>
        <v>5000</v>
      </c>
      <c r="AO81" s="300"/>
      <c r="AP81" s="299" t="n">
        <f aca="false">'O_MN, PE_UTA_UGM 2024'!H58</f>
        <v>405.68</v>
      </c>
      <c r="AQ81" s="299" t="n">
        <f aca="false">'O_MN, PE_UTA_UGM 2024'!I58</f>
        <v>1352.28</v>
      </c>
      <c r="AR81" s="301"/>
      <c r="AS81" s="302" t="n">
        <f aca="false">'O_MN, PE_UTA_UGM 2024'!L58</f>
        <v>0.01653</v>
      </c>
      <c r="AT81" s="302" t="n">
        <f aca="false">'O_MN, PE_UTA_UGM 2024'!M58</f>
        <v>0.05512</v>
      </c>
      <c r="AU81" s="45"/>
      <c r="AV81" s="321" t="n">
        <f aca="false">AG81*AM81</f>
        <v>0</v>
      </c>
      <c r="AW81" s="319" t="n">
        <f aca="false">AH81*AN81</f>
        <v>0</v>
      </c>
      <c r="AX81" s="320" t="n">
        <f aca="false">1.25*AJ81*AM81</f>
        <v>0</v>
      </c>
      <c r="AY81" s="322" t="n">
        <f aca="false">1.25*AK81*AN81</f>
        <v>0</v>
      </c>
      <c r="AZ81" s="323" t="n">
        <f aca="false">AG81*AP81</f>
        <v>0</v>
      </c>
      <c r="BA81" s="319" t="n">
        <f aca="false">AH81*AQ81</f>
        <v>0</v>
      </c>
      <c r="BB81" s="320" t="n">
        <f aca="false">1.25*AJ81*AP81</f>
        <v>0</v>
      </c>
      <c r="BC81" s="320" t="n">
        <f aca="false">1.25*AK81*AQ81</f>
        <v>0</v>
      </c>
      <c r="BD81" s="321" t="n">
        <f aca="false">AG81*AS81</f>
        <v>0</v>
      </c>
      <c r="BE81" s="319" t="n">
        <f aca="false">AH81*AT81</f>
        <v>0</v>
      </c>
      <c r="BF81" s="320" t="n">
        <f aca="false">AJ81*AS81</f>
        <v>0</v>
      </c>
      <c r="BG81" s="322" t="n">
        <f aca="false">AK81*AT81</f>
        <v>0</v>
      </c>
      <c r="BH81" s="324" t="str">
        <f aca="false">IF(BH$24=$AA81,($AG81*$AM81)+($AJ81*$AM81*1.25)+($AH81*$AN81)+($AK81*$AN81*1.25),"")</f>
        <v/>
      </c>
      <c r="BI81" s="325" t="str">
        <f aca="false">IF(BI$24=$AA81,($AG81*$AM81)+($AJ81*$AM81*1.25)+($AH81*$AN81)+($AK81*$AN81*1.25),"")</f>
        <v/>
      </c>
      <c r="BJ81" s="325" t="n">
        <f aca="false">IF(BJ$24=$AA81,($AG81*$AM81)+($AJ81*$AM81*1.25)+($AH81*$AN81)+($AK81*$AN81*1.25),"")</f>
        <v>0</v>
      </c>
      <c r="BK81" s="325" t="str">
        <f aca="false">IF(BK$24=$AA81,($AG81*$AM81)+($AJ81*$AM81*1.25)+($AH81*$AN81)+($AK81*$AN81*1.25),"")</f>
        <v/>
      </c>
      <c r="BL81" s="326" t="str">
        <f aca="false">IF(BL$24=$AA81,($AG81*$AM81)+($AJ81*$AM81*1.25)+($AH81*$AN81)+($AK81*$AN81*1.25),"")</f>
        <v/>
      </c>
      <c r="BM81" s="327" t="str">
        <f aca="false">IF(CONCATENATE(BH81,BI81,BJ81,BK81,BL81)="",1,"")</f>
        <v/>
      </c>
      <c r="BN81" s="328"/>
      <c r="BO81" s="328"/>
      <c r="BP81" s="328"/>
      <c r="BQ81" s="328"/>
      <c r="BR81" s="47"/>
      <c r="BS81" s="127" t="n">
        <f aca="false">(AG81*AM81)+(AH81*AN81)+((AJ81*AM81)+(AK81*AN81)*1.25)</f>
        <v>0</v>
      </c>
      <c r="BT81" s="127" t="n">
        <f aca="false">(AG81*AP81)+(AH81*AQ81)+((AJ81*AP81)+(AK81*AQ81)*1.25)</f>
        <v>0</v>
      </c>
      <c r="BU81" s="329"/>
      <c r="BV81" s="129"/>
    </row>
    <row r="82" customFormat="false" ht="15" hidden="false" customHeight="false" outlineLevel="0" collapsed="false">
      <c r="A82" s="219"/>
      <c r="B82" s="220"/>
      <c r="C82" s="221"/>
      <c r="D82" s="222"/>
      <c r="E82" s="223" t="str">
        <f aca="false">IF(SUM(A82:D82)&gt;0,SUM(A82:D82),"")</f>
        <v/>
      </c>
      <c r="F82" s="224" t="str">
        <f aca="false">AD95</f>
        <v>BONIATO INVERNADERO</v>
      </c>
      <c r="G82" s="169"/>
      <c r="H82" s="169"/>
      <c r="I82" s="169"/>
      <c r="J82" s="169"/>
      <c r="K82" s="169"/>
      <c r="L82" s="169"/>
      <c r="M82" s="169"/>
      <c r="N82" s="169"/>
      <c r="O82" s="169"/>
      <c r="P82" s="169"/>
      <c r="Q82" s="169"/>
      <c r="R82" s="3"/>
      <c r="S82" s="3"/>
      <c r="T82" s="3"/>
      <c r="U82" s="3"/>
      <c r="V82" s="3"/>
      <c r="W82" s="3"/>
      <c r="X82" s="3"/>
      <c r="Y82" s="3"/>
      <c r="Z82" s="316" t="str">
        <f aca="false">IF(AF82&gt;0,RANK(AF82,AF$6:AF$422),"")</f>
        <v/>
      </c>
      <c r="AA82" s="134" t="n">
        <f aca="false">'O_MN, PE_UTA_UGM 2024'!N59</f>
        <v>2</v>
      </c>
      <c r="AB82" s="135" t="n">
        <f aca="false">'O_MN, PE_UTA_UGM 2024'!O59</f>
        <v>0</v>
      </c>
      <c r="AC82" s="317" t="n">
        <f aca="false">'O_MN, PE_UTA_UGM 2024'!C59</f>
        <v>105</v>
      </c>
      <c r="AD82" s="293" t="str">
        <f aca="false">IF(AB82=0,'O_MN, PE_UTA_UGM 2024'!F59,CONCATENATE('O_MN, PE_UTA_UGM 2024'!F59," ","INVERNADERO"))</f>
        <v>MELOCOTONERO</v>
      </c>
      <c r="AE82" s="89"/>
      <c r="AF82" s="123" t="n">
        <f aca="false">SUM(AG82:AH82)+SUM(AJ82:AK82)</f>
        <v>0</v>
      </c>
      <c r="AG82" s="318" t="n">
        <f aca="false">A69</f>
        <v>0</v>
      </c>
      <c r="AH82" s="319" t="n">
        <f aca="false">B69</f>
        <v>0</v>
      </c>
      <c r="AI82" s="6"/>
      <c r="AJ82" s="320" t="n">
        <f aca="false">C69</f>
        <v>0</v>
      </c>
      <c r="AK82" s="320" t="n">
        <f aca="false">D69</f>
        <v>0</v>
      </c>
      <c r="AL82" s="237" t="s">
        <v>208</v>
      </c>
      <c r="AM82" s="299" t="n">
        <f aca="false">'O_MN, PE_UTA_UGM 2024'!J59</f>
        <v>1939.8</v>
      </c>
      <c r="AN82" s="299" t="n">
        <f aca="false">'O_MN, PE_UTA_UGM 2024'!K59</f>
        <v>9500</v>
      </c>
      <c r="AO82" s="300"/>
      <c r="AP82" s="299" t="n">
        <f aca="false">'O_MN, PE_UTA_UGM 2024'!H59</f>
        <v>480.81</v>
      </c>
      <c r="AQ82" s="299" t="n">
        <f aca="false">'O_MN, PE_UTA_UGM 2024'!I59</f>
        <v>1442.43</v>
      </c>
      <c r="AR82" s="301"/>
      <c r="AS82" s="302" t="n">
        <f aca="false">'O_MN, PE_UTA_UGM 2024'!L59</f>
        <v>0.0196</v>
      </c>
      <c r="AT82" s="302" t="n">
        <f aca="false">'O_MN, PE_UTA_UGM 2024'!M59</f>
        <v>0.05879</v>
      </c>
      <c r="AU82" s="45"/>
      <c r="AV82" s="321" t="n">
        <f aca="false">AG82*AM82</f>
        <v>0</v>
      </c>
      <c r="AW82" s="319" t="n">
        <f aca="false">AH82*AN82</f>
        <v>0</v>
      </c>
      <c r="AX82" s="320" t="n">
        <f aca="false">1.25*AJ82*AM82</f>
        <v>0</v>
      </c>
      <c r="AY82" s="322" t="n">
        <f aca="false">1.25*AK82*AN82</f>
        <v>0</v>
      </c>
      <c r="AZ82" s="323" t="n">
        <f aca="false">AG82*AP82</f>
        <v>0</v>
      </c>
      <c r="BA82" s="319" t="n">
        <f aca="false">AH82*AQ82</f>
        <v>0</v>
      </c>
      <c r="BB82" s="320" t="n">
        <f aca="false">1.25*AJ82*AP82</f>
        <v>0</v>
      </c>
      <c r="BC82" s="320" t="n">
        <f aca="false">1.25*AK82*AQ82</f>
        <v>0</v>
      </c>
      <c r="BD82" s="321" t="n">
        <f aca="false">AG82*AS82</f>
        <v>0</v>
      </c>
      <c r="BE82" s="319" t="n">
        <f aca="false">AH82*AT82</f>
        <v>0</v>
      </c>
      <c r="BF82" s="320" t="n">
        <f aca="false">AJ82*AS82</f>
        <v>0</v>
      </c>
      <c r="BG82" s="322" t="n">
        <f aca="false">AK82*AT82</f>
        <v>0</v>
      </c>
      <c r="BH82" s="324" t="str">
        <f aca="false">IF(BH$24=$AA82,($AG82*$AM82)+($AJ82*$AM82*1.25)+($AH82*$AN82)+($AK82*$AN82*1.25),"")</f>
        <v/>
      </c>
      <c r="BI82" s="325" t="n">
        <f aca="false">IF(BI$24=$AA82,($AG82*$AM82)+($AJ82*$AM82*1.25)+($AH82*$AN82)+($AK82*$AN82*1.25),"")</f>
        <v>0</v>
      </c>
      <c r="BJ82" s="325" t="str">
        <f aca="false">IF(BJ$24=$AA82,($AG82*$AM82)+($AJ82*$AM82*1.25)+($AH82*$AN82)+($AK82*$AN82*1.25),"")</f>
        <v/>
      </c>
      <c r="BK82" s="325" t="str">
        <f aca="false">IF(BK$24=$AA82,($AG82*$AM82)+($AJ82*$AM82*1.25)+($AH82*$AN82)+($AK82*$AN82*1.25),"")</f>
        <v/>
      </c>
      <c r="BL82" s="326" t="str">
        <f aca="false">IF(BL$24=$AA82,($AG82*$AM82)+($AJ82*$AM82*1.25)+($AH82*$AN82)+($AK82*$AN82*1.25),"")</f>
        <v/>
      </c>
      <c r="BM82" s="327" t="str">
        <f aca="false">IF(CONCATENATE(BH82,BI82,BJ82,BK82,BL82)="",1,"")</f>
        <v/>
      </c>
      <c r="BN82" s="328"/>
      <c r="BO82" s="328"/>
      <c r="BP82" s="328"/>
      <c r="BQ82" s="328"/>
      <c r="BR82" s="47"/>
      <c r="BS82" s="127" t="n">
        <f aca="false">(AG82*AM82)+(AH82*AN82)+((AJ82*AM82)+(AK82*AN82)*1.25)</f>
        <v>0</v>
      </c>
      <c r="BT82" s="127" t="n">
        <f aca="false">(AG82*AP82)+(AH82*AQ82)+((AJ82*AP82)+(AK82*AQ82)*1.25)</f>
        <v>0</v>
      </c>
      <c r="BU82" s="329"/>
      <c r="BV82" s="129"/>
    </row>
    <row r="83" customFormat="false" ht="15" hidden="false" customHeight="false" outlineLevel="0" collapsed="false">
      <c r="A83" s="228"/>
      <c r="B83" s="229"/>
      <c r="C83" s="230"/>
      <c r="D83" s="231"/>
      <c r="E83" s="223" t="str">
        <f aca="false">IF(SUM(A83:D83)&gt;0,SUM(A83:D83),"")</f>
        <v/>
      </c>
      <c r="F83" s="224" t="str">
        <f aca="false">AD96</f>
        <v>BONIATO INVERNADERO</v>
      </c>
      <c r="G83" s="169"/>
      <c r="H83" s="169"/>
      <c r="I83" s="169"/>
      <c r="J83" s="169"/>
      <c r="K83" s="169"/>
      <c r="L83" s="169"/>
      <c r="M83" s="169"/>
      <c r="N83" s="169"/>
      <c r="O83" s="169"/>
      <c r="P83" s="169"/>
      <c r="Q83" s="169"/>
      <c r="R83" s="3"/>
      <c r="S83" s="3"/>
      <c r="T83" s="3"/>
      <c r="U83" s="3"/>
      <c r="V83" s="3"/>
      <c r="W83" s="3"/>
      <c r="X83" s="3"/>
      <c r="Y83" s="3"/>
      <c r="Z83" s="316" t="str">
        <f aca="false">IF(AF83&gt;0,RANK(AF83,AF$6:AF$422),"")</f>
        <v/>
      </c>
      <c r="AA83" s="134" t="n">
        <f aca="false">'O_MN, PE_UTA_UGM 2024'!N60</f>
        <v>2</v>
      </c>
      <c r="AB83" s="135" t="n">
        <f aca="false">'O_MN, PE_UTA_UGM 2024'!O60</f>
        <v>0</v>
      </c>
      <c r="AC83" s="317" t="n">
        <f aca="false">'O_MN, PE_UTA_UGM 2024'!C60</f>
        <v>106</v>
      </c>
      <c r="AD83" s="293" t="str">
        <f aca="false">IF(AB83=0,'O_MN, PE_UTA_UGM 2024'!F60,CONCATENATE('O_MN, PE_UTA_UGM 2024'!F60," ","INVERNADERO"))</f>
        <v>NECTARINO</v>
      </c>
      <c r="AE83" s="89"/>
      <c r="AF83" s="123" t="n">
        <f aca="false">SUM(AG83:AH83)+SUM(AJ83:AK83)</f>
        <v>0</v>
      </c>
      <c r="AG83" s="318" t="n">
        <f aca="false">A70</f>
        <v>0</v>
      </c>
      <c r="AH83" s="319" t="n">
        <f aca="false">B70</f>
        <v>0</v>
      </c>
      <c r="AI83" s="6"/>
      <c r="AJ83" s="320" t="n">
        <f aca="false">C70</f>
        <v>0</v>
      </c>
      <c r="AK83" s="320" t="n">
        <f aca="false">D70</f>
        <v>0</v>
      </c>
      <c r="AL83" s="237" t="s">
        <v>209</v>
      </c>
      <c r="AM83" s="299" t="n">
        <f aca="false">'O_MN, PE_UTA_UGM 2024'!J60</f>
        <v>1939.72</v>
      </c>
      <c r="AN83" s="299" t="n">
        <f aca="false">'O_MN, PE_UTA_UGM 2024'!K60</f>
        <v>9500</v>
      </c>
      <c r="AO83" s="300"/>
      <c r="AP83" s="299" t="n">
        <f aca="false">'O_MN, PE_UTA_UGM 2024'!H60</f>
        <v>480.81</v>
      </c>
      <c r="AQ83" s="299" t="n">
        <f aca="false">'O_MN, PE_UTA_UGM 2024'!I60</f>
        <v>1442.43</v>
      </c>
      <c r="AR83" s="301"/>
      <c r="AS83" s="302" t="n">
        <f aca="false">'O_MN, PE_UTA_UGM 2024'!L60</f>
        <v>0.0196</v>
      </c>
      <c r="AT83" s="302" t="n">
        <f aca="false">'O_MN, PE_UTA_UGM 2024'!M60</f>
        <v>0.05879</v>
      </c>
      <c r="AU83" s="45"/>
      <c r="AV83" s="321" t="n">
        <f aca="false">AG83*AM83</f>
        <v>0</v>
      </c>
      <c r="AW83" s="319" t="n">
        <f aca="false">AH83*AN83</f>
        <v>0</v>
      </c>
      <c r="AX83" s="320" t="n">
        <f aca="false">1.25*AJ83*AM83</f>
        <v>0</v>
      </c>
      <c r="AY83" s="322" t="n">
        <f aca="false">1.25*AK83*AN83</f>
        <v>0</v>
      </c>
      <c r="AZ83" s="323" t="n">
        <f aca="false">AG83*AP83</f>
        <v>0</v>
      </c>
      <c r="BA83" s="319" t="n">
        <f aca="false">AH83*AQ83</f>
        <v>0</v>
      </c>
      <c r="BB83" s="320" t="n">
        <f aca="false">1.25*AJ83*AP83</f>
        <v>0</v>
      </c>
      <c r="BC83" s="320" t="n">
        <f aca="false">1.25*AK83*AQ83</f>
        <v>0</v>
      </c>
      <c r="BD83" s="321" t="n">
        <f aca="false">AG83*AS83</f>
        <v>0</v>
      </c>
      <c r="BE83" s="319" t="n">
        <f aca="false">AH83*AT83</f>
        <v>0</v>
      </c>
      <c r="BF83" s="320" t="n">
        <f aca="false">AJ83*AS83</f>
        <v>0</v>
      </c>
      <c r="BG83" s="322" t="n">
        <f aca="false">AK83*AT83</f>
        <v>0</v>
      </c>
      <c r="BH83" s="324" t="str">
        <f aca="false">IF(BH$24=$AA83,($AG83*$AM83)+($AJ83*$AM83*1.25)+($AH83*$AN83)+($AK83*$AN83*1.25),"")</f>
        <v/>
      </c>
      <c r="BI83" s="325" t="n">
        <f aca="false">IF(BI$24=$AA83,($AG83*$AM83)+($AJ83*$AM83*1.25)+($AH83*$AN83)+($AK83*$AN83*1.25),"")</f>
        <v>0</v>
      </c>
      <c r="BJ83" s="325" t="str">
        <f aca="false">IF(BJ$24=$AA83,($AG83*$AM83)+($AJ83*$AM83*1.25)+($AH83*$AN83)+($AK83*$AN83*1.25),"")</f>
        <v/>
      </c>
      <c r="BK83" s="325" t="str">
        <f aca="false">IF(BK$24=$AA83,($AG83*$AM83)+($AJ83*$AM83*1.25)+($AH83*$AN83)+($AK83*$AN83*1.25),"")</f>
        <v/>
      </c>
      <c r="BL83" s="326" t="str">
        <f aca="false">IF(BL$24=$AA83,($AG83*$AM83)+($AJ83*$AM83*1.25)+($AH83*$AN83)+($AK83*$AN83*1.25),"")</f>
        <v/>
      </c>
      <c r="BM83" s="327" t="str">
        <f aca="false">IF(CONCATENATE(BH83,BI83,BJ83,BK83,BL83)="",1,"")</f>
        <v/>
      </c>
      <c r="BN83" s="328"/>
      <c r="BO83" s="328"/>
      <c r="BP83" s="328"/>
      <c r="BQ83" s="328"/>
      <c r="BR83" s="47"/>
      <c r="BS83" s="127" t="n">
        <f aca="false">(AG83*AM83)+(AH83*AN83)+((AJ83*AM83)+(AK83*AN83)*1.25)</f>
        <v>0</v>
      </c>
      <c r="BT83" s="127" t="n">
        <f aca="false">(AG83*AP83)+(AH83*AQ83)+((AJ83*AP83)+(AK83*AQ83)*1.25)</f>
        <v>0</v>
      </c>
      <c r="BU83" s="329"/>
      <c r="BV83" s="129"/>
    </row>
    <row r="84" customFormat="false" ht="15" hidden="false" customHeight="false" outlineLevel="0" collapsed="false">
      <c r="A84" s="228"/>
      <c r="B84" s="229"/>
      <c r="C84" s="230"/>
      <c r="D84" s="231"/>
      <c r="E84" s="223" t="str">
        <f aca="false">IF(SUM(A84:D84)&gt;0,SUM(A84:D84),"")</f>
        <v/>
      </c>
      <c r="F84" s="224" t="str">
        <f aca="false">AD97</f>
        <v>ALGARROBO</v>
      </c>
      <c r="G84" s="169"/>
      <c r="H84" s="169"/>
      <c r="I84" s="169"/>
      <c r="J84" s="169"/>
      <c r="K84" s="169"/>
      <c r="L84" s="169"/>
      <c r="M84" s="169"/>
      <c r="N84" s="169"/>
      <c r="O84" s="169"/>
      <c r="P84" s="169"/>
      <c r="Q84" s="169"/>
      <c r="R84" s="3"/>
      <c r="S84" s="3"/>
      <c r="T84" s="3"/>
      <c r="U84" s="3"/>
      <c r="V84" s="3"/>
      <c r="W84" s="3"/>
      <c r="X84" s="3"/>
      <c r="Y84" s="3"/>
      <c r="Z84" s="316" t="str">
        <f aca="false">IF(AF84&gt;0,RANK(AF84,AF$6:AF$422),"")</f>
        <v/>
      </c>
      <c r="AA84" s="134" t="n">
        <f aca="false">'O_MN, PE_UTA_UGM 2024'!N61</f>
        <v>2</v>
      </c>
      <c r="AB84" s="135" t="n">
        <f aca="false">'O_MN, PE_UTA_UGM 2024'!O61</f>
        <v>0</v>
      </c>
      <c r="AC84" s="317" t="n">
        <f aca="false">'O_MN, PE_UTA_UGM 2024'!C61</f>
        <v>107</v>
      </c>
      <c r="AD84" s="293" t="str">
        <f aca="false">IF(AB84=0,'O_MN, PE_UTA_UGM 2024'!F61,CONCATENATE('O_MN, PE_UTA_UGM 2024'!F61," ","INVERNADERO"))</f>
        <v>ALBARICOQUERO</v>
      </c>
      <c r="AE84" s="89"/>
      <c r="AF84" s="123" t="n">
        <f aca="false">SUM(AG84:AH84)+SUM(AJ84:AK84)</f>
        <v>0</v>
      </c>
      <c r="AG84" s="318" t="n">
        <f aca="false">A71</f>
        <v>0</v>
      </c>
      <c r="AH84" s="319" t="n">
        <f aca="false">B71</f>
        <v>0</v>
      </c>
      <c r="AI84" s="6"/>
      <c r="AJ84" s="320" t="n">
        <f aca="false">C71</f>
        <v>0</v>
      </c>
      <c r="AK84" s="320" t="n">
        <f aca="false">D71</f>
        <v>0</v>
      </c>
      <c r="AL84" s="237" t="s">
        <v>210</v>
      </c>
      <c r="AM84" s="299" t="n">
        <f aca="false">'O_MN, PE_UTA_UGM 2024'!J61</f>
        <v>3000</v>
      </c>
      <c r="AN84" s="299" t="n">
        <f aca="false">'O_MN, PE_UTA_UGM 2024'!K61</f>
        <v>8000</v>
      </c>
      <c r="AO84" s="300"/>
      <c r="AP84" s="299" t="n">
        <f aca="false">'O_MN, PE_UTA_UGM 2024'!H61</f>
        <v>480.81</v>
      </c>
      <c r="AQ84" s="299" t="n">
        <f aca="false">'O_MN, PE_UTA_UGM 2024'!I61</f>
        <v>1442.43</v>
      </c>
      <c r="AR84" s="301"/>
      <c r="AS84" s="302" t="n">
        <f aca="false">'O_MN, PE_UTA_UGM 2024'!L61</f>
        <v>0.0196</v>
      </c>
      <c r="AT84" s="302" t="n">
        <f aca="false">'O_MN, PE_UTA_UGM 2024'!M61</f>
        <v>0.05879</v>
      </c>
      <c r="AU84" s="45"/>
      <c r="AV84" s="321" t="n">
        <f aca="false">AG84*AM84</f>
        <v>0</v>
      </c>
      <c r="AW84" s="319" t="n">
        <f aca="false">AH84*AN84</f>
        <v>0</v>
      </c>
      <c r="AX84" s="320" t="n">
        <f aca="false">1.25*AJ84*AM84</f>
        <v>0</v>
      </c>
      <c r="AY84" s="322" t="n">
        <f aca="false">1.25*AK84*AN84</f>
        <v>0</v>
      </c>
      <c r="AZ84" s="323" t="n">
        <f aca="false">AG84*AP84</f>
        <v>0</v>
      </c>
      <c r="BA84" s="319" t="n">
        <f aca="false">AH84*AQ84</f>
        <v>0</v>
      </c>
      <c r="BB84" s="320" t="n">
        <f aca="false">1.25*AJ84*AP84</f>
        <v>0</v>
      </c>
      <c r="BC84" s="320" t="n">
        <f aca="false">1.25*AK84*AQ84</f>
        <v>0</v>
      </c>
      <c r="BD84" s="321" t="n">
        <f aca="false">AG84*AS84</f>
        <v>0</v>
      </c>
      <c r="BE84" s="319" t="n">
        <f aca="false">AH84*AT84</f>
        <v>0</v>
      </c>
      <c r="BF84" s="320" t="n">
        <f aca="false">AJ84*AS84</f>
        <v>0</v>
      </c>
      <c r="BG84" s="322" t="n">
        <f aca="false">AK84*AT84</f>
        <v>0</v>
      </c>
      <c r="BH84" s="324" t="str">
        <f aca="false">IF(BH$24=$AA84,($AG84*$AM84)+($AJ84*$AM84*1.25)+($AH84*$AN84)+($AK84*$AN84*1.25),"")</f>
        <v/>
      </c>
      <c r="BI84" s="325" t="n">
        <f aca="false">IF(BI$24=$AA84,($AG84*$AM84)+($AJ84*$AM84*1.25)+($AH84*$AN84)+($AK84*$AN84*1.25),"")</f>
        <v>0</v>
      </c>
      <c r="BJ84" s="325" t="str">
        <f aca="false">IF(BJ$24=$AA84,($AG84*$AM84)+($AJ84*$AM84*1.25)+($AH84*$AN84)+($AK84*$AN84*1.25),"")</f>
        <v/>
      </c>
      <c r="BK84" s="325" t="str">
        <f aca="false">IF(BK$24=$AA84,($AG84*$AM84)+($AJ84*$AM84*1.25)+($AH84*$AN84)+($AK84*$AN84*1.25),"")</f>
        <v/>
      </c>
      <c r="BL84" s="326" t="str">
        <f aca="false">IF(BL$24=$AA84,($AG84*$AM84)+($AJ84*$AM84*1.25)+($AH84*$AN84)+($AK84*$AN84*1.25),"")</f>
        <v/>
      </c>
      <c r="BM84" s="327" t="str">
        <f aca="false">IF(CONCATENATE(BH84,BI84,BJ84,BK84,BL84)="",1,"")</f>
        <v/>
      </c>
      <c r="BN84" s="328"/>
      <c r="BO84" s="328"/>
      <c r="BP84" s="328"/>
      <c r="BQ84" s="328"/>
      <c r="BR84" s="47"/>
      <c r="BS84" s="127" t="n">
        <f aca="false">(AG84*AM84)+(AH84*AN84)+((AJ84*AM84)+(AK84*AN84)*1.25)</f>
        <v>0</v>
      </c>
      <c r="BT84" s="127" t="n">
        <f aca="false">(AG84*AP84)+(AH84*AQ84)+((AJ84*AP84)+(AK84*AQ84)*1.25)</f>
        <v>0</v>
      </c>
      <c r="BU84" s="329"/>
      <c r="BV84" s="129"/>
    </row>
    <row r="85" customFormat="false" ht="15" hidden="false" customHeight="false" outlineLevel="0" collapsed="false">
      <c r="A85" s="228"/>
      <c r="B85" s="229"/>
      <c r="C85" s="230"/>
      <c r="D85" s="231"/>
      <c r="E85" s="223" t="str">
        <f aca="false">IF(SUM(A85:D85)&gt;0,SUM(A85:D85),"")</f>
        <v/>
      </c>
      <c r="F85" s="224" t="str">
        <f aca="false">AD98</f>
        <v>AVELLANO INVERNADERO</v>
      </c>
      <c r="G85" s="169"/>
      <c r="H85" s="169"/>
      <c r="I85" s="169"/>
      <c r="J85" s="169"/>
      <c r="K85" s="169"/>
      <c r="L85" s="169"/>
      <c r="M85" s="169"/>
      <c r="N85" s="169"/>
      <c r="O85" s="169"/>
      <c r="P85" s="169"/>
      <c r="Q85" s="169"/>
      <c r="R85" s="3"/>
      <c r="S85" s="3"/>
      <c r="T85" s="3"/>
      <c r="U85" s="3"/>
      <c r="V85" s="3"/>
      <c r="W85" s="3"/>
      <c r="X85" s="3"/>
      <c r="Y85" s="3"/>
      <c r="Z85" s="316" t="str">
        <f aca="false">IF(AF85&gt;0,RANK(AF85,AF$6:AF$422),"")</f>
        <v/>
      </c>
      <c r="AA85" s="134" t="n">
        <f aca="false">'O_MN, PE_UTA_UGM 2024'!N62</f>
        <v>2</v>
      </c>
      <c r="AB85" s="135" t="n">
        <f aca="false">'O_MN, PE_UTA_UGM 2024'!O62</f>
        <v>0</v>
      </c>
      <c r="AC85" s="317" t="n">
        <f aca="false">'O_MN, PE_UTA_UGM 2024'!C62</f>
        <v>108</v>
      </c>
      <c r="AD85" s="293" t="str">
        <f aca="false">IF(AB85=0,'O_MN, PE_UTA_UGM 2024'!F62,CONCATENATE('O_MN, PE_UTA_UGM 2024'!F62," ","INVERNADERO"))</f>
        <v>PERAL</v>
      </c>
      <c r="AE85" s="89"/>
      <c r="AF85" s="123" t="n">
        <f aca="false">SUM(AG85:AH85)+SUM(AJ85:AK85)</f>
        <v>0</v>
      </c>
      <c r="AG85" s="318" t="n">
        <f aca="false">A72</f>
        <v>0</v>
      </c>
      <c r="AH85" s="319" t="n">
        <f aca="false">B72</f>
        <v>0</v>
      </c>
      <c r="AI85" s="6"/>
      <c r="AJ85" s="320" t="n">
        <f aca="false">C72</f>
        <v>0</v>
      </c>
      <c r="AK85" s="320" t="n">
        <f aca="false">D72</f>
        <v>0</v>
      </c>
      <c r="AL85" s="237" t="s">
        <v>211</v>
      </c>
      <c r="AM85" s="299" t="n">
        <f aca="false">'O_MN, PE_UTA_UGM 2024'!J62</f>
        <v>1939.72</v>
      </c>
      <c r="AN85" s="299" t="n">
        <f aca="false">'O_MN, PE_UTA_UGM 2024'!K62</f>
        <v>8500</v>
      </c>
      <c r="AO85" s="300"/>
      <c r="AP85" s="299" t="n">
        <f aca="false">'O_MN, PE_UTA_UGM 2024'!H62</f>
        <v>480.81</v>
      </c>
      <c r="AQ85" s="299" t="n">
        <f aca="false">'O_MN, PE_UTA_UGM 2024'!I62</f>
        <v>1442.43</v>
      </c>
      <c r="AR85" s="301"/>
      <c r="AS85" s="302" t="n">
        <f aca="false">'O_MN, PE_UTA_UGM 2024'!L62</f>
        <v>0.0196</v>
      </c>
      <c r="AT85" s="302" t="n">
        <f aca="false">'O_MN, PE_UTA_UGM 2024'!M62</f>
        <v>0.05879</v>
      </c>
      <c r="AU85" s="45"/>
      <c r="AV85" s="321" t="n">
        <f aca="false">AG85*AM85</f>
        <v>0</v>
      </c>
      <c r="AW85" s="319" t="n">
        <f aca="false">AH85*AN85</f>
        <v>0</v>
      </c>
      <c r="AX85" s="320" t="n">
        <f aca="false">1.25*AJ85*AM85</f>
        <v>0</v>
      </c>
      <c r="AY85" s="322" t="n">
        <f aca="false">1.25*AK85*AN85</f>
        <v>0</v>
      </c>
      <c r="AZ85" s="323" t="n">
        <f aca="false">AG85*AP85</f>
        <v>0</v>
      </c>
      <c r="BA85" s="319" t="n">
        <f aca="false">AH85*AQ85</f>
        <v>0</v>
      </c>
      <c r="BB85" s="320" t="n">
        <f aca="false">1.25*AJ85*AP85</f>
        <v>0</v>
      </c>
      <c r="BC85" s="320" t="n">
        <f aca="false">1.25*AK85*AQ85</f>
        <v>0</v>
      </c>
      <c r="BD85" s="321" t="n">
        <f aca="false">AG85*AS85</f>
        <v>0</v>
      </c>
      <c r="BE85" s="319" t="n">
        <f aca="false">AH85*AT85</f>
        <v>0</v>
      </c>
      <c r="BF85" s="320" t="n">
        <f aca="false">AJ85*AS85</f>
        <v>0</v>
      </c>
      <c r="BG85" s="322" t="n">
        <f aca="false">AK85*AT85</f>
        <v>0</v>
      </c>
      <c r="BH85" s="324" t="str">
        <f aca="false">IF(BH$24=$AA85,($AG85*$AM85)+($AJ85*$AM85*1.25)+($AH85*$AN85)+($AK85*$AN85*1.25),"")</f>
        <v/>
      </c>
      <c r="BI85" s="325" t="n">
        <f aca="false">IF(BI$24=$AA85,($AG85*$AM85)+($AJ85*$AM85*1.25)+($AH85*$AN85)+($AK85*$AN85*1.25),"")</f>
        <v>0</v>
      </c>
      <c r="BJ85" s="325" t="str">
        <f aca="false">IF(BJ$24=$AA85,($AG85*$AM85)+($AJ85*$AM85*1.25)+($AH85*$AN85)+($AK85*$AN85*1.25),"")</f>
        <v/>
      </c>
      <c r="BK85" s="325" t="str">
        <f aca="false">IF(BK$24=$AA85,($AG85*$AM85)+($AJ85*$AM85*1.25)+($AH85*$AN85)+($AK85*$AN85*1.25),"")</f>
        <v/>
      </c>
      <c r="BL85" s="326" t="str">
        <f aca="false">IF(BL$24=$AA85,($AG85*$AM85)+($AJ85*$AM85*1.25)+($AH85*$AN85)+($AK85*$AN85*1.25),"")</f>
        <v/>
      </c>
      <c r="BM85" s="327" t="str">
        <f aca="false">IF(CONCATENATE(BH85,BI85,BJ85,BK85,BL85)="",1,"")</f>
        <v/>
      </c>
      <c r="BN85" s="328"/>
      <c r="BO85" s="328"/>
      <c r="BP85" s="328"/>
      <c r="BQ85" s="328"/>
      <c r="BR85" s="47"/>
      <c r="BS85" s="127" t="n">
        <f aca="false">(AG85*AM85)+(AH85*AN85)+((AJ85*AM85)+(AK85*AN85)*1.25)</f>
        <v>0</v>
      </c>
      <c r="BT85" s="127" t="n">
        <f aca="false">(AG85*AP85)+(AH85*AQ85)+((AJ85*AP85)+(AK85*AQ85)*1.25)</f>
        <v>0</v>
      </c>
      <c r="BU85" s="329"/>
      <c r="BV85" s="129"/>
    </row>
    <row r="86" customFormat="false" ht="15" hidden="false" customHeight="false" outlineLevel="0" collapsed="false">
      <c r="A86" s="219"/>
      <c r="B86" s="220"/>
      <c r="C86" s="221"/>
      <c r="D86" s="222"/>
      <c r="E86" s="223" t="str">
        <f aca="false">IF(SUM(A86:D86)&gt;0,SUM(A86:D86),"")</f>
        <v/>
      </c>
      <c r="F86" s="224" t="str">
        <f aca="false">AD99</f>
        <v>PISTACHO</v>
      </c>
      <c r="G86" s="169"/>
      <c r="H86" s="169"/>
      <c r="I86" s="169"/>
      <c r="J86" s="169"/>
      <c r="K86" s="169"/>
      <c r="L86" s="169"/>
      <c r="M86" s="169"/>
      <c r="N86" s="169"/>
      <c r="O86" s="169"/>
      <c r="P86" s="169"/>
      <c r="Q86" s="169"/>
      <c r="R86" s="3"/>
      <c r="S86" s="3"/>
      <c r="T86" s="3"/>
      <c r="U86" s="3"/>
      <c r="V86" s="3"/>
      <c r="W86" s="3"/>
      <c r="X86" s="3"/>
      <c r="Y86" s="3"/>
      <c r="Z86" s="316" t="str">
        <f aca="false">IF(AF86&gt;0,RANK(AF86,AF$6:AF$422),"")</f>
        <v/>
      </c>
      <c r="AA86" s="134" t="n">
        <f aca="false">'O_MN, PE_UTA_UGM 2024'!N63</f>
        <v>2</v>
      </c>
      <c r="AB86" s="135" t="n">
        <f aca="false">'O_MN, PE_UTA_UGM 2024'!O63</f>
        <v>0</v>
      </c>
      <c r="AC86" s="317" t="n">
        <f aca="false">'O_MN, PE_UTA_UGM 2024'!C63</f>
        <v>109</v>
      </c>
      <c r="AD86" s="293" t="str">
        <f aca="false">IF(AB86=0,'O_MN, PE_UTA_UGM 2024'!F63,CONCATENATE('O_MN, PE_UTA_UGM 2024'!F63," ","INVERNADERO"))</f>
        <v>MANZANO</v>
      </c>
      <c r="AE86" s="89"/>
      <c r="AF86" s="123" t="n">
        <f aca="false">SUM(AG86:AH86)+SUM(AJ86:AK86)</f>
        <v>0</v>
      </c>
      <c r="AG86" s="318" t="n">
        <f aca="false">A73</f>
        <v>0</v>
      </c>
      <c r="AH86" s="319" t="n">
        <f aca="false">B73</f>
        <v>0</v>
      </c>
      <c r="AI86" s="6"/>
      <c r="AJ86" s="320" t="n">
        <f aca="false">C73</f>
        <v>0</v>
      </c>
      <c r="AK86" s="320" t="n">
        <f aca="false">D73</f>
        <v>0</v>
      </c>
      <c r="AL86" s="237" t="s">
        <v>212</v>
      </c>
      <c r="AM86" s="299" t="n">
        <f aca="false">'O_MN, PE_UTA_UGM 2024'!J63</f>
        <v>1939.8</v>
      </c>
      <c r="AN86" s="299" t="n">
        <f aca="false">'O_MN, PE_UTA_UGM 2024'!K63</f>
        <v>8000</v>
      </c>
      <c r="AO86" s="300"/>
      <c r="AP86" s="299" t="n">
        <f aca="false">'O_MN, PE_UTA_UGM 2024'!H63</f>
        <v>480.81</v>
      </c>
      <c r="AQ86" s="299" t="n">
        <f aca="false">'O_MN, PE_UTA_UGM 2024'!I63</f>
        <v>1442.43</v>
      </c>
      <c r="AR86" s="301"/>
      <c r="AS86" s="302" t="n">
        <f aca="false">'O_MN, PE_UTA_UGM 2024'!L63</f>
        <v>0.0196</v>
      </c>
      <c r="AT86" s="302" t="n">
        <f aca="false">'O_MN, PE_UTA_UGM 2024'!M63</f>
        <v>0.05879</v>
      </c>
      <c r="AU86" s="45"/>
      <c r="AV86" s="321" t="n">
        <f aca="false">AG86*AM86</f>
        <v>0</v>
      </c>
      <c r="AW86" s="319" t="n">
        <f aca="false">AH86*AN86</f>
        <v>0</v>
      </c>
      <c r="AX86" s="320" t="n">
        <f aca="false">1.25*AJ86*AM86</f>
        <v>0</v>
      </c>
      <c r="AY86" s="322" t="n">
        <f aca="false">1.25*AK86*AN86</f>
        <v>0</v>
      </c>
      <c r="AZ86" s="323" t="n">
        <f aca="false">AG86*AP86</f>
        <v>0</v>
      </c>
      <c r="BA86" s="319" t="n">
        <f aca="false">AH86*AQ86</f>
        <v>0</v>
      </c>
      <c r="BB86" s="320" t="n">
        <f aca="false">1.25*AJ86*AP86</f>
        <v>0</v>
      </c>
      <c r="BC86" s="320" t="n">
        <f aca="false">1.25*AK86*AQ86</f>
        <v>0</v>
      </c>
      <c r="BD86" s="321" t="n">
        <f aca="false">AG86*AS86</f>
        <v>0</v>
      </c>
      <c r="BE86" s="319" t="n">
        <f aca="false">AH86*AT86</f>
        <v>0</v>
      </c>
      <c r="BF86" s="320" t="n">
        <f aca="false">AJ86*AS86</f>
        <v>0</v>
      </c>
      <c r="BG86" s="322" t="n">
        <f aca="false">AK86*AT86</f>
        <v>0</v>
      </c>
      <c r="BH86" s="324" t="str">
        <f aca="false">IF(BH$24=$AA86,($AG86*$AM86)+($AJ86*$AM86*1.25)+($AH86*$AN86)+($AK86*$AN86*1.25),"")</f>
        <v/>
      </c>
      <c r="BI86" s="325" t="n">
        <f aca="false">IF(BI$24=$AA86,($AG86*$AM86)+($AJ86*$AM86*1.25)+($AH86*$AN86)+($AK86*$AN86*1.25),"")</f>
        <v>0</v>
      </c>
      <c r="BJ86" s="325" t="str">
        <f aca="false">IF(BJ$24=$AA86,($AG86*$AM86)+($AJ86*$AM86*1.25)+($AH86*$AN86)+($AK86*$AN86*1.25),"")</f>
        <v/>
      </c>
      <c r="BK86" s="325" t="str">
        <f aca="false">IF(BK$24=$AA86,($AG86*$AM86)+($AJ86*$AM86*1.25)+($AH86*$AN86)+($AK86*$AN86*1.25),"")</f>
        <v/>
      </c>
      <c r="BL86" s="326" t="str">
        <f aca="false">IF(BL$24=$AA86,($AG86*$AM86)+($AJ86*$AM86*1.25)+($AH86*$AN86)+($AK86*$AN86*1.25),"")</f>
        <v/>
      </c>
      <c r="BM86" s="327" t="str">
        <f aca="false">IF(CONCATENATE(BH86,BI86,BJ86,BK86,BL86)="",1,"")</f>
        <v/>
      </c>
      <c r="BN86" s="328"/>
      <c r="BO86" s="328"/>
      <c r="BP86" s="328"/>
      <c r="BQ86" s="328"/>
      <c r="BR86" s="47"/>
      <c r="BS86" s="127" t="n">
        <f aca="false">(AG86*AM86)+(AH86*AN86)+((AJ86*AM86)+(AK86*AN86)*1.25)</f>
        <v>0</v>
      </c>
      <c r="BT86" s="127" t="n">
        <f aca="false">(AG86*AP86)+(AH86*AQ86)+((AJ86*AP86)+(AK86*AQ86)*1.25)</f>
        <v>0</v>
      </c>
      <c r="BU86" s="329"/>
      <c r="BV86" s="129"/>
    </row>
    <row r="87" customFormat="false" ht="15" hidden="false" customHeight="false" outlineLevel="0" collapsed="false">
      <c r="A87" s="228"/>
      <c r="B87" s="229"/>
      <c r="C87" s="230"/>
      <c r="D87" s="231"/>
      <c r="E87" s="223" t="str">
        <f aca="false">IF(SUM(A87:D87)&gt;0,SUM(A87:D87),"")</f>
        <v/>
      </c>
      <c r="F87" s="224" t="str">
        <f aca="false">AD100</f>
        <v>FRUTOS DE CÁSCARA</v>
      </c>
      <c r="G87" s="169"/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3"/>
      <c r="S87" s="3"/>
      <c r="T87" s="3"/>
      <c r="U87" s="3"/>
      <c r="V87" s="3"/>
      <c r="W87" s="3"/>
      <c r="X87" s="3"/>
      <c r="Y87" s="3"/>
      <c r="Z87" s="316" t="str">
        <f aca="false">IF(AF87&gt;0,RANK(AF87,AF$6:AF$422),"")</f>
        <v/>
      </c>
      <c r="AA87" s="134" t="n">
        <f aca="false">'O_MN, PE_UTA_UGM 2024'!N64</f>
        <v>2</v>
      </c>
      <c r="AB87" s="135" t="n">
        <f aca="false">'O_MN, PE_UTA_UGM 2024'!O64</f>
        <v>0</v>
      </c>
      <c r="AC87" s="317" t="n">
        <f aca="false">'O_MN, PE_UTA_UGM 2024'!C64</f>
        <v>110</v>
      </c>
      <c r="AD87" s="293" t="str">
        <f aca="false">IF(AB87=0,'O_MN, PE_UTA_UGM 2024'!F64,CONCATENATE('O_MN, PE_UTA_UGM 2024'!F64," ","INVERNADERO"))</f>
        <v>CEREZO</v>
      </c>
      <c r="AE87" s="89"/>
      <c r="AF87" s="123" t="n">
        <f aca="false">SUM(AG87:AH87)+SUM(AJ87:AK87)</f>
        <v>0</v>
      </c>
      <c r="AG87" s="318" t="n">
        <f aca="false">A74</f>
        <v>0</v>
      </c>
      <c r="AH87" s="319" t="n">
        <f aca="false">B74</f>
        <v>0</v>
      </c>
      <c r="AI87" s="6"/>
      <c r="AJ87" s="320" t="n">
        <f aca="false">C74</f>
        <v>0</v>
      </c>
      <c r="AK87" s="320" t="n">
        <f aca="false">D74</f>
        <v>0</v>
      </c>
      <c r="AL87" s="237" t="s">
        <v>213</v>
      </c>
      <c r="AM87" s="299" t="n">
        <f aca="false">'O_MN, PE_UTA_UGM 2024'!J64</f>
        <v>2439.65</v>
      </c>
      <c r="AN87" s="299" t="n">
        <f aca="false">'O_MN, PE_UTA_UGM 2024'!K64</f>
        <v>7000</v>
      </c>
      <c r="AO87" s="300"/>
      <c r="AP87" s="299" t="n">
        <f aca="false">'O_MN, PE_UTA_UGM 2024'!H64</f>
        <v>480.81</v>
      </c>
      <c r="AQ87" s="299" t="n">
        <f aca="false">'O_MN, PE_UTA_UGM 2024'!I64</f>
        <v>1442.43</v>
      </c>
      <c r="AR87" s="301"/>
      <c r="AS87" s="302" t="n">
        <f aca="false">'O_MN, PE_UTA_UGM 2024'!L64</f>
        <v>0.0196</v>
      </c>
      <c r="AT87" s="302" t="n">
        <f aca="false">'O_MN, PE_UTA_UGM 2024'!M64</f>
        <v>0.05879</v>
      </c>
      <c r="AU87" s="45"/>
      <c r="AV87" s="321" t="n">
        <f aca="false">AG87*AM87</f>
        <v>0</v>
      </c>
      <c r="AW87" s="319" t="n">
        <f aca="false">AH87*AN87</f>
        <v>0</v>
      </c>
      <c r="AX87" s="320" t="n">
        <f aca="false">1.25*AJ87*AM87</f>
        <v>0</v>
      </c>
      <c r="AY87" s="322" t="n">
        <f aca="false">1.25*AK87*AN87</f>
        <v>0</v>
      </c>
      <c r="AZ87" s="323" t="n">
        <f aca="false">AG87*AP87</f>
        <v>0</v>
      </c>
      <c r="BA87" s="319" t="n">
        <f aca="false">AH87*AQ87</f>
        <v>0</v>
      </c>
      <c r="BB87" s="320" t="n">
        <f aca="false">1.25*AJ87*AP87</f>
        <v>0</v>
      </c>
      <c r="BC87" s="320" t="n">
        <f aca="false">1.25*AK87*AQ87</f>
        <v>0</v>
      </c>
      <c r="BD87" s="321" t="n">
        <f aca="false">AG87*AS87</f>
        <v>0</v>
      </c>
      <c r="BE87" s="319" t="n">
        <f aca="false">AH87*AT87</f>
        <v>0</v>
      </c>
      <c r="BF87" s="320" t="n">
        <f aca="false">AJ87*AS87</f>
        <v>0</v>
      </c>
      <c r="BG87" s="322" t="n">
        <f aca="false">AK87*AT87</f>
        <v>0</v>
      </c>
      <c r="BH87" s="324" t="str">
        <f aca="false">IF(BH$24=$AA87,($AG87*$AM87)+($AJ87*$AM87*1.25)+($AH87*$AN87)+($AK87*$AN87*1.25),"")</f>
        <v/>
      </c>
      <c r="BI87" s="325" t="n">
        <f aca="false">IF(BI$24=$AA87,($AG87*$AM87)+($AJ87*$AM87*1.25)+($AH87*$AN87)+($AK87*$AN87*1.25),"")</f>
        <v>0</v>
      </c>
      <c r="BJ87" s="325" t="str">
        <f aca="false">IF(BJ$24=$AA87,($AG87*$AM87)+($AJ87*$AM87*1.25)+($AH87*$AN87)+($AK87*$AN87*1.25),"")</f>
        <v/>
      </c>
      <c r="BK87" s="325" t="str">
        <f aca="false">IF(BK$24=$AA87,($AG87*$AM87)+($AJ87*$AM87*1.25)+($AH87*$AN87)+($AK87*$AN87*1.25),"")</f>
        <v/>
      </c>
      <c r="BL87" s="326" t="str">
        <f aca="false">IF(BL$24=$AA87,($AG87*$AM87)+($AJ87*$AM87*1.25)+($AH87*$AN87)+($AK87*$AN87*1.25),"")</f>
        <v/>
      </c>
      <c r="BM87" s="327" t="str">
        <f aca="false">IF(CONCATENATE(BH87,BI87,BJ87,BK87,BL87)="",1,"")</f>
        <v/>
      </c>
      <c r="BN87" s="328"/>
      <c r="BO87" s="328"/>
      <c r="BP87" s="328"/>
      <c r="BQ87" s="328"/>
      <c r="BR87" s="47"/>
      <c r="BS87" s="127" t="n">
        <f aca="false">(AG87*AM87)+(AH87*AN87)+((AJ87*AM87)+(AK87*AN87)*1.25)</f>
        <v>0</v>
      </c>
      <c r="BT87" s="127" t="n">
        <f aca="false">(AG87*AP87)+(AH87*AQ87)+((AJ87*AP87)+(AK87*AQ87)*1.25)</f>
        <v>0</v>
      </c>
      <c r="BU87" s="329"/>
      <c r="BV87" s="129"/>
    </row>
    <row r="88" customFormat="false" ht="15" hidden="false" customHeight="false" outlineLevel="0" collapsed="false">
      <c r="A88" s="228"/>
      <c r="B88" s="229"/>
      <c r="C88" s="230"/>
      <c r="D88" s="231"/>
      <c r="E88" s="223" t="str">
        <f aca="false">IF(SUM(A88:D88)&gt;0,SUM(A88:D88),"")</f>
        <v/>
      </c>
      <c r="F88" s="224" t="str">
        <f aca="false">AD101</f>
        <v>ADORMIDERA</v>
      </c>
      <c r="G88" s="169"/>
      <c r="H88" s="169"/>
      <c r="I88" s="169"/>
      <c r="J88" s="169"/>
      <c r="K88" s="169"/>
      <c r="L88" s="169"/>
      <c r="M88" s="169"/>
      <c r="N88" s="169"/>
      <c r="O88" s="169"/>
      <c r="P88" s="169"/>
      <c r="Q88" s="169"/>
      <c r="R88" s="3"/>
      <c r="S88" s="3"/>
      <c r="T88" s="3"/>
      <c r="U88" s="3"/>
      <c r="V88" s="3"/>
      <c r="W88" s="3"/>
      <c r="X88" s="3"/>
      <c r="Y88" s="3"/>
      <c r="Z88" s="316" t="str">
        <f aca="false">IF(AF88&gt;0,RANK(AF88,AF$6:AF$422),"")</f>
        <v/>
      </c>
      <c r="AA88" s="134" t="n">
        <f aca="false">'O_MN, PE_UTA_UGM 2024'!N65</f>
        <v>2</v>
      </c>
      <c r="AB88" s="135" t="n">
        <f aca="false">'O_MN, PE_UTA_UGM 2024'!O65</f>
        <v>0</v>
      </c>
      <c r="AC88" s="317" t="n">
        <f aca="false">'O_MN, PE_UTA_UGM 2024'!C65</f>
        <v>111</v>
      </c>
      <c r="AD88" s="293" t="str">
        <f aca="false">IF(AB88=0,'O_MN, PE_UTA_UGM 2024'!F65,CONCATENATE('O_MN, PE_UTA_UGM 2024'!F65," ","INVERNADERO"))</f>
        <v>CIRUELO</v>
      </c>
      <c r="AE88" s="89"/>
      <c r="AF88" s="123" t="n">
        <f aca="false">SUM(AG88:AH88)+SUM(AJ88:AK88)</f>
        <v>0</v>
      </c>
      <c r="AG88" s="318" t="n">
        <f aca="false">A75</f>
        <v>0</v>
      </c>
      <c r="AH88" s="319" t="n">
        <f aca="false">B75</f>
        <v>0</v>
      </c>
      <c r="AI88" s="6"/>
      <c r="AJ88" s="320" t="n">
        <f aca="false">C75</f>
        <v>0</v>
      </c>
      <c r="AK88" s="320" t="n">
        <f aca="false">D75</f>
        <v>0</v>
      </c>
      <c r="AL88" s="237" t="s">
        <v>214</v>
      </c>
      <c r="AM88" s="299" t="n">
        <f aca="false">'O_MN, PE_UTA_UGM 2024'!J65</f>
        <v>2151.03</v>
      </c>
      <c r="AN88" s="299" t="n">
        <f aca="false">'O_MN, PE_UTA_UGM 2024'!K65</f>
        <v>7000</v>
      </c>
      <c r="AO88" s="300"/>
      <c r="AP88" s="299" t="n">
        <f aca="false">'O_MN, PE_UTA_UGM 2024'!H65</f>
        <v>480.81</v>
      </c>
      <c r="AQ88" s="299" t="n">
        <f aca="false">'O_MN, PE_UTA_UGM 2024'!I65</f>
        <v>1442.43</v>
      </c>
      <c r="AR88" s="301"/>
      <c r="AS88" s="302" t="n">
        <f aca="false">'O_MN, PE_UTA_UGM 2024'!L65</f>
        <v>0.0196</v>
      </c>
      <c r="AT88" s="302" t="n">
        <f aca="false">'O_MN, PE_UTA_UGM 2024'!M65</f>
        <v>0.05879</v>
      </c>
      <c r="AU88" s="45"/>
      <c r="AV88" s="321" t="n">
        <f aca="false">AG88*AM88</f>
        <v>0</v>
      </c>
      <c r="AW88" s="319" t="n">
        <f aca="false">AH88*AN88</f>
        <v>0</v>
      </c>
      <c r="AX88" s="320" t="n">
        <f aca="false">1.25*AJ88*AM88</f>
        <v>0</v>
      </c>
      <c r="AY88" s="322" t="n">
        <f aca="false">1.25*AK88*AN88</f>
        <v>0</v>
      </c>
      <c r="AZ88" s="323" t="n">
        <f aca="false">AG88*AP88</f>
        <v>0</v>
      </c>
      <c r="BA88" s="319" t="n">
        <f aca="false">AH88*AQ88</f>
        <v>0</v>
      </c>
      <c r="BB88" s="320" t="n">
        <f aca="false">1.25*AJ88*AP88</f>
        <v>0</v>
      </c>
      <c r="BC88" s="320" t="n">
        <f aca="false">1.25*AK88*AQ88</f>
        <v>0</v>
      </c>
      <c r="BD88" s="321" t="n">
        <f aca="false">AG88*AS88</f>
        <v>0</v>
      </c>
      <c r="BE88" s="319" t="n">
        <f aca="false">AH88*AT88</f>
        <v>0</v>
      </c>
      <c r="BF88" s="320" t="n">
        <f aca="false">AJ88*AS88</f>
        <v>0</v>
      </c>
      <c r="BG88" s="322" t="n">
        <f aca="false">AK88*AT88</f>
        <v>0</v>
      </c>
      <c r="BH88" s="324" t="str">
        <f aca="false">IF(BH$24=$AA88,($AG88*$AM88)+($AJ88*$AM88*1.25)+($AH88*$AN88)+($AK88*$AN88*1.25),"")</f>
        <v/>
      </c>
      <c r="BI88" s="325" t="n">
        <f aca="false">IF(BI$24=$AA88,($AG88*$AM88)+($AJ88*$AM88*1.25)+($AH88*$AN88)+($AK88*$AN88*1.25),"")</f>
        <v>0</v>
      </c>
      <c r="BJ88" s="325" t="str">
        <f aca="false">IF(BJ$24=$AA88,($AG88*$AM88)+($AJ88*$AM88*1.25)+($AH88*$AN88)+($AK88*$AN88*1.25),"")</f>
        <v/>
      </c>
      <c r="BK88" s="325" t="str">
        <f aca="false">IF(BK$24=$AA88,($AG88*$AM88)+($AJ88*$AM88*1.25)+($AH88*$AN88)+($AK88*$AN88*1.25),"")</f>
        <v/>
      </c>
      <c r="BL88" s="326" t="str">
        <f aca="false">IF(BL$24=$AA88,($AG88*$AM88)+($AJ88*$AM88*1.25)+($AH88*$AN88)+($AK88*$AN88*1.25),"")</f>
        <v/>
      </c>
      <c r="BM88" s="327" t="str">
        <f aca="false">IF(CONCATENATE(BH88,BI88,BJ88,BK88,BL88)="",1,"")</f>
        <v/>
      </c>
      <c r="BN88" s="328"/>
      <c r="BO88" s="328"/>
      <c r="BP88" s="328"/>
      <c r="BQ88" s="328"/>
      <c r="BR88" s="47"/>
      <c r="BS88" s="127" t="n">
        <f aca="false">(AG88*AM88)+(AH88*AN88)+((AJ88*AM88)+(AK88*AN88)*1.25)</f>
        <v>0</v>
      </c>
      <c r="BT88" s="127" t="n">
        <f aca="false">(AG88*AP88)+(AH88*AQ88)+((AJ88*AP88)+(AK88*AQ88)*1.25)</f>
        <v>0</v>
      </c>
      <c r="BU88" s="329"/>
      <c r="BV88" s="129"/>
    </row>
    <row r="89" customFormat="false" ht="15" hidden="false" customHeight="false" outlineLevel="0" collapsed="false">
      <c r="A89" s="228"/>
      <c r="B89" s="229"/>
      <c r="C89" s="230"/>
      <c r="D89" s="231"/>
      <c r="E89" s="223" t="str">
        <f aca="false">IF(SUM(A89:D89)&gt;0,SUM(A89:D89),"")</f>
        <v/>
      </c>
      <c r="F89" s="224" t="str">
        <f aca="false">AD102</f>
        <v>HIERBA CINTA</v>
      </c>
      <c r="G89" s="169"/>
      <c r="H89" s="169"/>
      <c r="I89" s="169"/>
      <c r="J89" s="169"/>
      <c r="K89" s="169"/>
      <c r="L89" s="169"/>
      <c r="M89" s="169"/>
      <c r="N89" s="169"/>
      <c r="O89" s="169"/>
      <c r="P89" s="169"/>
      <c r="Q89" s="169"/>
      <c r="R89" s="3"/>
      <c r="S89" s="3"/>
      <c r="T89" s="3"/>
      <c r="U89" s="3"/>
      <c r="V89" s="3"/>
      <c r="W89" s="3"/>
      <c r="X89" s="3"/>
      <c r="Y89" s="3"/>
      <c r="Z89" s="316" t="str">
        <f aca="false">IF(AF89&gt;0,RANK(AF89,AF$6:AF$422),"")</f>
        <v/>
      </c>
      <c r="AA89" s="134" t="n">
        <f aca="false">'O_MN, PE_UTA_UGM 2024'!N66</f>
        <v>3</v>
      </c>
      <c r="AB89" s="135" t="n">
        <f aca="false">'O_MN, PE_UTA_UGM 2024'!O66</f>
        <v>6</v>
      </c>
      <c r="AC89" s="317" t="n">
        <f aca="false">'O_MN, PE_UTA_UGM 2024'!C66</f>
        <v>112</v>
      </c>
      <c r="AD89" s="293" t="str">
        <f aca="false">IF(AB89=0,'O_MN, PE_UTA_UGM 2024'!F66,CONCATENATE('O_MN, PE_UTA_UGM 2024'!F66," ","INVERNADERO"))</f>
        <v>NOGAL INVERNADERO</v>
      </c>
      <c r="AE89" s="89"/>
      <c r="AF89" s="123" t="n">
        <f aca="false">SUM(AG89:AH89)+SUM(AJ89:AK89)</f>
        <v>0</v>
      </c>
      <c r="AG89" s="318" t="n">
        <f aca="false">A76</f>
        <v>0</v>
      </c>
      <c r="AH89" s="319" t="n">
        <f aca="false">B76</f>
        <v>0</v>
      </c>
      <c r="AI89" s="6"/>
      <c r="AJ89" s="320" t="n">
        <f aca="false">C76</f>
        <v>0</v>
      </c>
      <c r="AK89" s="320" t="n">
        <f aca="false">D76</f>
        <v>0</v>
      </c>
      <c r="AL89" s="237" t="s">
        <v>215</v>
      </c>
      <c r="AM89" s="299" t="n">
        <f aca="false">'O_MN, PE_UTA_UGM 2024'!J66</f>
        <v>1000</v>
      </c>
      <c r="AN89" s="299" t="n">
        <f aca="false">'O_MN, PE_UTA_UGM 2024'!K66</f>
        <v>5500</v>
      </c>
      <c r="AO89" s="300"/>
      <c r="AP89" s="299" t="n">
        <f aca="false">'O_MN, PE_UTA_UGM 2024'!H66</f>
        <v>450.76</v>
      </c>
      <c r="AQ89" s="299" t="n">
        <f aca="false">'O_MN, PE_UTA_UGM 2024'!I66</f>
        <v>721.21</v>
      </c>
      <c r="AR89" s="301"/>
      <c r="AS89" s="302" t="n">
        <f aca="false">'O_MN, PE_UTA_UGM 2024'!L66</f>
        <v>0.01837</v>
      </c>
      <c r="AT89" s="302" t="n">
        <f aca="false">'O_MN, PE_UTA_UGM 2024'!M66</f>
        <v>0.0294</v>
      </c>
      <c r="AU89" s="45"/>
      <c r="AV89" s="321" t="n">
        <f aca="false">AG89*AM89</f>
        <v>0</v>
      </c>
      <c r="AW89" s="319" t="n">
        <f aca="false">AH89*AN89</f>
        <v>0</v>
      </c>
      <c r="AX89" s="320" t="n">
        <f aca="false">1.25*AJ89*AM89</f>
        <v>0</v>
      </c>
      <c r="AY89" s="322" t="n">
        <f aca="false">1.25*AK89*AN89</f>
        <v>0</v>
      </c>
      <c r="AZ89" s="323" t="n">
        <f aca="false">AG89*AP89</f>
        <v>0</v>
      </c>
      <c r="BA89" s="319" t="n">
        <f aca="false">AH89*AQ89</f>
        <v>0</v>
      </c>
      <c r="BB89" s="320" t="n">
        <f aca="false">1.25*AJ89*AP89</f>
        <v>0</v>
      </c>
      <c r="BC89" s="320" t="n">
        <f aca="false">1.25*AK89*AQ89</f>
        <v>0</v>
      </c>
      <c r="BD89" s="321" t="n">
        <f aca="false">AG89*AS89</f>
        <v>0</v>
      </c>
      <c r="BE89" s="319" t="n">
        <f aca="false">AH89*AT89</f>
        <v>0</v>
      </c>
      <c r="BF89" s="320" t="n">
        <f aca="false">AJ89*AS89</f>
        <v>0</v>
      </c>
      <c r="BG89" s="322" t="n">
        <f aca="false">AK89*AT89</f>
        <v>0</v>
      </c>
      <c r="BH89" s="324" t="str">
        <f aca="false">IF(BH$24=$AA89,($AG89*$AM89)+($AJ89*$AM89*1.25)+($AH89*$AN89)+($AK89*$AN89*1.25),"")</f>
        <v/>
      </c>
      <c r="BI89" s="325" t="str">
        <f aca="false">IF(BI$24=$AA89,($AG89*$AM89)+($AJ89*$AM89*1.25)+($AH89*$AN89)+($AK89*$AN89*1.25),"")</f>
        <v/>
      </c>
      <c r="BJ89" s="325" t="n">
        <f aca="false">IF(BJ$24=$AA89,($AG89*$AM89)+($AJ89*$AM89*1.25)+($AH89*$AN89)+($AK89*$AN89*1.25),"")</f>
        <v>0</v>
      </c>
      <c r="BK89" s="325" t="str">
        <f aca="false">IF(BK$24=$AA89,($AG89*$AM89)+($AJ89*$AM89*1.25)+($AH89*$AN89)+($AK89*$AN89*1.25),"")</f>
        <v/>
      </c>
      <c r="BL89" s="326" t="str">
        <f aca="false">IF(BL$24=$AA89,($AG89*$AM89)+($AJ89*$AM89*1.25)+($AH89*$AN89)+($AK89*$AN89*1.25),"")</f>
        <v/>
      </c>
      <c r="BM89" s="327" t="str">
        <f aca="false">IF(CONCATENATE(BH89,BI89,BJ89,BK89,BL89)="",1,"")</f>
        <v/>
      </c>
      <c r="BN89" s="328"/>
      <c r="BO89" s="328"/>
      <c r="BP89" s="328"/>
      <c r="BQ89" s="328"/>
      <c r="BR89" s="47"/>
      <c r="BS89" s="127" t="n">
        <f aca="false">(AG89*AM89)+(AH89*AN89)+((AJ89*AM89)+(AK89*AN89)*1.25)</f>
        <v>0</v>
      </c>
      <c r="BT89" s="127" t="n">
        <f aca="false">(AG89*AP89)+(AH89*AQ89)+((AJ89*AP89)+(AK89*AQ89)*1.25)</f>
        <v>0</v>
      </c>
      <c r="BU89" s="329"/>
      <c r="BV89" s="129"/>
    </row>
    <row r="90" customFormat="false" ht="15" hidden="false" customHeight="false" outlineLevel="0" collapsed="false">
      <c r="A90" s="228"/>
      <c r="B90" s="229"/>
      <c r="C90" s="230"/>
      <c r="D90" s="231"/>
      <c r="E90" s="223" t="str">
        <f aca="false">IF(SUM(A90:D90)&gt;0,SUM(A90:D90),"")</f>
        <v/>
      </c>
      <c r="F90" s="224" t="str">
        <f aca="false">AD103</f>
        <v>ABACA ALIAS MANILA</v>
      </c>
      <c r="G90" s="169"/>
      <c r="H90" s="169"/>
      <c r="I90" s="169"/>
      <c r="J90" s="169"/>
      <c r="K90" s="169"/>
      <c r="L90" s="169"/>
      <c r="M90" s="169"/>
      <c r="N90" s="169"/>
      <c r="O90" s="169"/>
      <c r="P90" s="169"/>
      <c r="Q90" s="169"/>
      <c r="R90" s="3"/>
      <c r="S90" s="3"/>
      <c r="T90" s="3"/>
      <c r="U90" s="3"/>
      <c r="V90" s="3"/>
      <c r="W90" s="3"/>
      <c r="X90" s="3"/>
      <c r="Y90" s="3"/>
      <c r="Z90" s="316" t="str">
        <f aca="false">IF(AF90&gt;0,RANK(AF90,AF$6:AF$422),"")</f>
        <v/>
      </c>
      <c r="AA90" s="134" t="n">
        <f aca="false">'O_MN, PE_UTA_UGM 2024'!N67</f>
        <v>2</v>
      </c>
      <c r="AB90" s="135" t="n">
        <f aca="false">'O_MN, PE_UTA_UGM 2024'!O67</f>
        <v>0</v>
      </c>
      <c r="AC90" s="317" t="n">
        <f aca="false">'O_MN, PE_UTA_UGM 2024'!C67</f>
        <v>113</v>
      </c>
      <c r="AD90" s="293" t="str">
        <f aca="false">IF(AB90=0,'O_MN, PE_UTA_UGM 2024'!F67,CONCATENATE('O_MN, PE_UTA_UGM 2024'!F67," ","INVERNADERO"))</f>
        <v>OTROS FRUTALES</v>
      </c>
      <c r="AE90" s="89"/>
      <c r="AF90" s="123" t="n">
        <f aca="false">SUM(AG90:AH90)+SUM(AJ90:AK90)</f>
        <v>0</v>
      </c>
      <c r="AG90" s="318" t="n">
        <f aca="false">A77</f>
        <v>0</v>
      </c>
      <c r="AH90" s="319" t="n">
        <f aca="false">B77</f>
        <v>0</v>
      </c>
      <c r="AI90" s="6"/>
      <c r="AJ90" s="320" t="n">
        <f aca="false">C77</f>
        <v>0</v>
      </c>
      <c r="AK90" s="320" t="n">
        <f aca="false">D77</f>
        <v>0</v>
      </c>
      <c r="AL90" s="237" t="s">
        <v>216</v>
      </c>
      <c r="AM90" s="299" t="n">
        <f aca="false">'O_MN, PE_UTA_UGM 2024'!J67</f>
        <v>2151.03</v>
      </c>
      <c r="AN90" s="299" t="n">
        <f aca="false">'O_MN, PE_UTA_UGM 2024'!K67</f>
        <v>7000</v>
      </c>
      <c r="AO90" s="300"/>
      <c r="AP90" s="299" t="n">
        <f aca="false">'O_MN, PE_UTA_UGM 2024'!H67</f>
        <v>480.81</v>
      </c>
      <c r="AQ90" s="299" t="n">
        <f aca="false">'O_MN, PE_UTA_UGM 2024'!I67</f>
        <v>1442.43</v>
      </c>
      <c r="AR90" s="301"/>
      <c r="AS90" s="302" t="n">
        <f aca="false">'O_MN, PE_UTA_UGM 2024'!L67</f>
        <v>0.0196</v>
      </c>
      <c r="AT90" s="302" t="n">
        <f aca="false">'O_MN, PE_UTA_UGM 2024'!M67</f>
        <v>0.05879</v>
      </c>
      <c r="AU90" s="45"/>
      <c r="AV90" s="321" t="n">
        <f aca="false">AG90*AM90</f>
        <v>0</v>
      </c>
      <c r="AW90" s="319" t="n">
        <f aca="false">AH90*AN90</f>
        <v>0</v>
      </c>
      <c r="AX90" s="320" t="n">
        <f aca="false">1.25*AJ90*AM90</f>
        <v>0</v>
      </c>
      <c r="AY90" s="322" t="n">
        <f aca="false">1.25*AK90*AN90</f>
        <v>0</v>
      </c>
      <c r="AZ90" s="323" t="n">
        <f aca="false">AG90*AP90</f>
        <v>0</v>
      </c>
      <c r="BA90" s="319" t="n">
        <f aca="false">AH90*AQ90</f>
        <v>0</v>
      </c>
      <c r="BB90" s="320" t="n">
        <f aca="false">1.25*AJ90*AP90</f>
        <v>0</v>
      </c>
      <c r="BC90" s="320" t="n">
        <f aca="false">1.25*AK90*AQ90</f>
        <v>0</v>
      </c>
      <c r="BD90" s="321" t="n">
        <f aca="false">AG90*AS90</f>
        <v>0</v>
      </c>
      <c r="BE90" s="319" t="n">
        <f aca="false">AH90*AT90</f>
        <v>0</v>
      </c>
      <c r="BF90" s="320" t="n">
        <f aca="false">AJ90*AS90</f>
        <v>0</v>
      </c>
      <c r="BG90" s="322" t="n">
        <f aca="false">AK90*AT90</f>
        <v>0</v>
      </c>
      <c r="BH90" s="324" t="str">
        <f aca="false">IF(BH$24=$AA90,($AG90*$AM90)+($AJ90*$AM90*1.25)+($AH90*$AN90)+($AK90*$AN90*1.25),"")</f>
        <v/>
      </c>
      <c r="BI90" s="325" t="n">
        <f aca="false">IF(BI$24=$AA90,($AG90*$AM90)+($AJ90*$AM90*1.25)+($AH90*$AN90)+($AK90*$AN90*1.25),"")</f>
        <v>0</v>
      </c>
      <c r="BJ90" s="325" t="str">
        <f aca="false">IF(BJ$24=$AA90,($AG90*$AM90)+($AJ90*$AM90*1.25)+($AH90*$AN90)+($AK90*$AN90*1.25),"")</f>
        <v/>
      </c>
      <c r="BK90" s="325" t="str">
        <f aca="false">IF(BK$24=$AA90,($AG90*$AM90)+($AJ90*$AM90*1.25)+($AH90*$AN90)+($AK90*$AN90*1.25),"")</f>
        <v/>
      </c>
      <c r="BL90" s="326" t="str">
        <f aca="false">IF(BL$24=$AA90,($AG90*$AM90)+($AJ90*$AM90*1.25)+($AH90*$AN90)+($AK90*$AN90*1.25),"")</f>
        <v/>
      </c>
      <c r="BM90" s="327" t="str">
        <f aca="false">IF(CONCATENATE(BH90,BI90,BJ90,BK90,BL90)="",1,"")</f>
        <v/>
      </c>
      <c r="BN90" s="328"/>
      <c r="BO90" s="328"/>
      <c r="BP90" s="328"/>
      <c r="BQ90" s="328"/>
      <c r="BR90" s="47"/>
      <c r="BS90" s="127" t="n">
        <f aca="false">(AG90*AM90)+(AH90*AN90)+((AJ90*AM90)+(AK90*AN90)*1.25)</f>
        <v>0</v>
      </c>
      <c r="BT90" s="127" t="n">
        <f aca="false">(AG90*AP90)+(AH90*AQ90)+((AJ90*AP90)+(AK90*AQ90)*1.25)</f>
        <v>0</v>
      </c>
      <c r="BU90" s="329"/>
      <c r="BV90" s="129"/>
    </row>
    <row r="91" customFormat="false" ht="15" hidden="false" customHeight="false" outlineLevel="0" collapsed="false">
      <c r="A91" s="228"/>
      <c r="B91" s="229"/>
      <c r="C91" s="230"/>
      <c r="D91" s="231"/>
      <c r="E91" s="223" t="str">
        <f aca="false">IF(SUM(A91:D91)&gt;0,SUM(A91:D91),"")</f>
        <v/>
      </c>
      <c r="F91" s="224" t="str">
        <f aca="false">AD104</f>
        <v>KENAF</v>
      </c>
      <c r="G91" s="169"/>
      <c r="H91" s="169"/>
      <c r="I91" s="169"/>
      <c r="J91" s="169"/>
      <c r="K91" s="169"/>
      <c r="L91" s="169"/>
      <c r="M91" s="169"/>
      <c r="N91" s="169"/>
      <c r="O91" s="169"/>
      <c r="P91" s="169"/>
      <c r="Q91" s="169"/>
      <c r="R91" s="3"/>
      <c r="S91" s="3"/>
      <c r="T91" s="3"/>
      <c r="U91" s="3"/>
      <c r="V91" s="3"/>
      <c r="W91" s="3"/>
      <c r="X91" s="3"/>
      <c r="Y91" s="3"/>
      <c r="Z91" s="316" t="str">
        <f aca="false">IF(AF91&gt;0,RANK(AF91,AF$6:AF$422),"")</f>
        <v/>
      </c>
      <c r="AA91" s="134" t="n">
        <f aca="false">'O_MN, PE_UTA_UGM 2024'!N68</f>
        <v>3</v>
      </c>
      <c r="AB91" s="135" t="n">
        <f aca="false">'O_MN, PE_UTA_UGM 2024'!O68</f>
        <v>0</v>
      </c>
      <c r="AC91" s="317" t="n">
        <f aca="false">'O_MN, PE_UTA_UGM 2024'!C68</f>
        <v>117</v>
      </c>
      <c r="AD91" s="293" t="str">
        <f aca="false">IF(AB91=0,'O_MN, PE_UTA_UGM 2024'!F68,CONCATENATE('O_MN, PE_UTA_UGM 2024'!F68," ","INVERNADERO"))</f>
        <v>CASTAÑO</v>
      </c>
      <c r="AE91" s="89"/>
      <c r="AF91" s="123" t="n">
        <f aca="false">SUM(AG91:AH91)+SUM(AJ91:AK91)</f>
        <v>0</v>
      </c>
      <c r="AG91" s="318" t="n">
        <f aca="false">A78</f>
        <v>0</v>
      </c>
      <c r="AH91" s="319" t="n">
        <f aca="false">B78</f>
        <v>0</v>
      </c>
      <c r="AI91" s="6"/>
      <c r="AJ91" s="320" t="n">
        <f aca="false">C78</f>
        <v>0</v>
      </c>
      <c r="AK91" s="320" t="n">
        <f aca="false">D78</f>
        <v>0</v>
      </c>
      <c r="AL91" s="237" t="s">
        <v>217</v>
      </c>
      <c r="AM91" s="299" t="n">
        <f aca="false">'O_MN, PE_UTA_UGM 2024'!J68</f>
        <v>500</v>
      </c>
      <c r="AN91" s="299" t="n">
        <f aca="false">'O_MN, PE_UTA_UGM 2024'!K68</f>
        <v>1500</v>
      </c>
      <c r="AO91" s="300"/>
      <c r="AP91" s="299" t="n">
        <f aca="false">'O_MN, PE_UTA_UGM 2024'!H68</f>
        <v>450.76</v>
      </c>
      <c r="AQ91" s="299" t="n">
        <f aca="false">'O_MN, PE_UTA_UGM 2024'!I68</f>
        <v>721.71</v>
      </c>
      <c r="AR91" s="301"/>
      <c r="AS91" s="302" t="n">
        <f aca="false">'O_MN, PE_UTA_UGM 2024'!L68</f>
        <v>0.01837</v>
      </c>
      <c r="AT91" s="302" t="n">
        <f aca="false">'O_MN, PE_UTA_UGM 2024'!M68</f>
        <v>0.02942</v>
      </c>
      <c r="AU91" s="45"/>
      <c r="AV91" s="321" t="n">
        <f aca="false">AG91*AM91</f>
        <v>0</v>
      </c>
      <c r="AW91" s="319" t="n">
        <f aca="false">AH91*AN91</f>
        <v>0</v>
      </c>
      <c r="AX91" s="320" t="n">
        <f aca="false">1.25*AJ91*AM91</f>
        <v>0</v>
      </c>
      <c r="AY91" s="322" t="n">
        <f aca="false">1.25*AK91*AN91</f>
        <v>0</v>
      </c>
      <c r="AZ91" s="323" t="n">
        <f aca="false">AG91*AP91</f>
        <v>0</v>
      </c>
      <c r="BA91" s="319" t="n">
        <f aca="false">AH91*AQ91</f>
        <v>0</v>
      </c>
      <c r="BB91" s="320" t="n">
        <f aca="false">1.25*AJ91*AP91</f>
        <v>0</v>
      </c>
      <c r="BC91" s="320" t="n">
        <f aca="false">1.25*AK91*AQ91</f>
        <v>0</v>
      </c>
      <c r="BD91" s="321" t="n">
        <f aca="false">AG91*AS91</f>
        <v>0</v>
      </c>
      <c r="BE91" s="319" t="n">
        <f aca="false">AH91*AT91</f>
        <v>0</v>
      </c>
      <c r="BF91" s="320" t="n">
        <f aca="false">AJ91*AS91</f>
        <v>0</v>
      </c>
      <c r="BG91" s="322" t="n">
        <f aca="false">AK91*AT91</f>
        <v>0</v>
      </c>
      <c r="BH91" s="324" t="str">
        <f aca="false">IF(BH$24=$AA91,($AG91*$AM91)+($AJ91*$AM91*1.25)+($AH91*$AN91)+($AK91*$AN91*1.25),"")</f>
        <v/>
      </c>
      <c r="BI91" s="325" t="str">
        <f aca="false">IF(BI$24=$AA91,($AG91*$AM91)+($AJ91*$AM91*1.25)+($AH91*$AN91)+($AK91*$AN91*1.25),"")</f>
        <v/>
      </c>
      <c r="BJ91" s="325" t="n">
        <f aca="false">IF(BJ$24=$AA91,($AG91*$AM91)+($AJ91*$AM91*1.25)+($AH91*$AN91)+($AK91*$AN91*1.25),"")</f>
        <v>0</v>
      </c>
      <c r="BK91" s="325" t="str">
        <f aca="false">IF(BK$24=$AA91,($AG91*$AM91)+($AJ91*$AM91*1.25)+($AH91*$AN91)+($AK91*$AN91*1.25),"")</f>
        <v/>
      </c>
      <c r="BL91" s="326" t="str">
        <f aca="false">IF(BL$24=$AA91,($AG91*$AM91)+($AJ91*$AM91*1.25)+($AH91*$AN91)+($AK91*$AN91*1.25),"")</f>
        <v/>
      </c>
      <c r="BM91" s="327" t="str">
        <f aca="false">IF(CONCATENATE(BH91,BI91,BJ91,BK91,BL91)="",1,"")</f>
        <v/>
      </c>
      <c r="BN91" s="328"/>
      <c r="BO91" s="328"/>
      <c r="BP91" s="328"/>
      <c r="BQ91" s="328"/>
      <c r="BR91" s="47"/>
      <c r="BS91" s="127" t="n">
        <f aca="false">(AG91*AM91)+(AH91*AN91)+((AJ91*AM91)+(AK91*AN91)*1.25)</f>
        <v>0</v>
      </c>
      <c r="BT91" s="127" t="n">
        <f aca="false">(AG91*AP91)+(AH91*AQ91)+((AJ91*AP91)+(AK91*AQ91)*1.25)</f>
        <v>0</v>
      </c>
      <c r="BU91" s="329"/>
      <c r="BV91" s="129"/>
    </row>
    <row r="92" customFormat="false" ht="15" hidden="false" customHeight="false" outlineLevel="0" collapsed="false">
      <c r="A92" s="228"/>
      <c r="B92" s="229"/>
      <c r="C92" s="230"/>
      <c r="D92" s="231"/>
      <c r="E92" s="223" t="str">
        <f aca="false">IF(SUM(A92:D92)&gt;0,SUM(A92:D92),"")</f>
        <v/>
      </c>
      <c r="F92" s="224" t="str">
        <f aca="false">AD105</f>
        <v>YUTE</v>
      </c>
      <c r="G92" s="169"/>
      <c r="H92" s="169"/>
      <c r="I92" s="169"/>
      <c r="J92" s="169"/>
      <c r="K92" s="169"/>
      <c r="L92" s="169"/>
      <c r="M92" s="169"/>
      <c r="N92" s="169"/>
      <c r="O92" s="169"/>
      <c r="P92" s="169"/>
      <c r="Q92" s="169"/>
      <c r="R92" s="3"/>
      <c r="S92" s="3"/>
      <c r="T92" s="3"/>
      <c r="U92" s="3"/>
      <c r="V92" s="3"/>
      <c r="W92" s="3"/>
      <c r="X92" s="3"/>
      <c r="Y92" s="3"/>
      <c r="Z92" s="316" t="str">
        <f aca="false">IF(AF92&gt;0,RANK(AF92,AF$6:AF$422),"")</f>
        <v/>
      </c>
      <c r="AA92" s="134" t="n">
        <f aca="false">'O_MN, PE_UTA_UGM 2024'!N69</f>
        <v>5</v>
      </c>
      <c r="AB92" s="135" t="n">
        <f aca="false">'O_MN, PE_UTA_UGM 2024'!O69</f>
        <v>0</v>
      </c>
      <c r="AC92" s="317" t="n">
        <f aca="false">'O_MN, PE_UTA_UGM 2024'!C69</f>
        <v>118</v>
      </c>
      <c r="AD92" s="293" t="str">
        <f aca="false">IF(AB92=0,'O_MN, PE_UTA_UGM 2024'!F69,CONCATENATE('O_MN, PE_UTA_UGM 2024'!F69," ","INVERNADERO"))</f>
        <v>ESPECIES AROMÁTICAS LEÑOSAS</v>
      </c>
      <c r="AE92" s="89"/>
      <c r="AF92" s="123" t="n">
        <f aca="false">SUM(AG92:AH92)+SUM(AJ92:AK92)</f>
        <v>0</v>
      </c>
      <c r="AG92" s="318" t="n">
        <f aca="false">A79</f>
        <v>0</v>
      </c>
      <c r="AH92" s="319" t="n">
        <f aca="false">B79</f>
        <v>0</v>
      </c>
      <c r="AI92" s="6"/>
      <c r="AJ92" s="320" t="n">
        <f aca="false">C79</f>
        <v>0</v>
      </c>
      <c r="AK92" s="320" t="n">
        <f aca="false">D79</f>
        <v>0</v>
      </c>
      <c r="AL92" s="237" t="s">
        <v>218</v>
      </c>
      <c r="AM92" s="299" t="n">
        <f aca="false">'O_MN, PE_UTA_UGM 2024'!J69</f>
        <v>1000</v>
      </c>
      <c r="AN92" s="299" t="n">
        <f aca="false">'O_MN, PE_UTA_UGM 2024'!K69</f>
        <v>3800</v>
      </c>
      <c r="AO92" s="300"/>
      <c r="AP92" s="299" t="n">
        <f aca="false">'O_MN, PE_UTA_UGM 2024'!H69</f>
        <v>114.19</v>
      </c>
      <c r="AQ92" s="299" t="n">
        <f aca="false">'O_MN, PE_UTA_UGM 2024'!I69</f>
        <v>240.4</v>
      </c>
      <c r="AR92" s="301"/>
      <c r="AS92" s="302" t="n">
        <f aca="false">'O_MN, PE_UTA_UGM 2024'!L69</f>
        <v>0.00465</v>
      </c>
      <c r="AT92" s="302" t="n">
        <f aca="false">'O_MN, PE_UTA_UGM 2024'!M69</f>
        <v>0.0098</v>
      </c>
      <c r="AU92" s="45"/>
      <c r="AV92" s="321" t="n">
        <f aca="false">AG92*AM92</f>
        <v>0</v>
      </c>
      <c r="AW92" s="319" t="n">
        <f aca="false">AH92*AN92</f>
        <v>0</v>
      </c>
      <c r="AX92" s="320" t="n">
        <f aca="false">1.25*AJ92*AM92</f>
        <v>0</v>
      </c>
      <c r="AY92" s="322" t="n">
        <f aca="false">1.25*AK92*AN92</f>
        <v>0</v>
      </c>
      <c r="AZ92" s="323" t="n">
        <f aca="false">AG92*AP92</f>
        <v>0</v>
      </c>
      <c r="BA92" s="319" t="n">
        <f aca="false">AH92*AQ92</f>
        <v>0</v>
      </c>
      <c r="BB92" s="320" t="n">
        <f aca="false">1.25*AJ92*AP92</f>
        <v>0</v>
      </c>
      <c r="BC92" s="320" t="n">
        <f aca="false">1.25*AK92*AQ92</f>
        <v>0</v>
      </c>
      <c r="BD92" s="321" t="n">
        <f aca="false">AG92*AS92</f>
        <v>0</v>
      </c>
      <c r="BE92" s="319" t="n">
        <f aca="false">AH92*AT92</f>
        <v>0</v>
      </c>
      <c r="BF92" s="320" t="n">
        <f aca="false">AJ92*AS92</f>
        <v>0</v>
      </c>
      <c r="BG92" s="322" t="n">
        <f aca="false">AK92*AT92</f>
        <v>0</v>
      </c>
      <c r="BH92" s="324" t="str">
        <f aca="false">IF(BH$24=$AA92,($AG92*$AM92)+($AJ92*$AM92*1.25)+($AH92*$AN92)+($AK92*$AN92*1.25),"")</f>
        <v/>
      </c>
      <c r="BI92" s="325" t="str">
        <f aca="false">IF(BI$24=$AA92,($AG92*$AM92)+($AJ92*$AM92*1.25)+($AH92*$AN92)+($AK92*$AN92*1.25),"")</f>
        <v/>
      </c>
      <c r="BJ92" s="325" t="str">
        <f aca="false">IF(BJ$24=$AA92,($AG92*$AM92)+($AJ92*$AM92*1.25)+($AH92*$AN92)+($AK92*$AN92*1.25),"")</f>
        <v/>
      </c>
      <c r="BK92" s="325" t="str">
        <f aca="false">IF(BK$24=$AA92,($AG92*$AM92)+($AJ92*$AM92*1.25)+($AH92*$AN92)+($AK92*$AN92*1.25),"")</f>
        <v/>
      </c>
      <c r="BL92" s="326" t="n">
        <f aca="false">IF(BL$24=$AA92,($AG92*$AM92)+($AJ92*$AM92*1.25)+($AH92*$AN92)+($AK92*$AN92*1.25),"")</f>
        <v>0</v>
      </c>
      <c r="BM92" s="327" t="str">
        <f aca="false">IF(CONCATENATE(BH92,BI92,BJ92,BK92,BL92)="",1,"")</f>
        <v/>
      </c>
      <c r="BN92" s="328"/>
      <c r="BO92" s="328"/>
      <c r="BP92" s="328"/>
      <c r="BQ92" s="328"/>
      <c r="BR92" s="47"/>
      <c r="BS92" s="127" t="n">
        <f aca="false">(AG92*AM92)+(AH92*AN92)+((AJ92*AM92)+(AK92*AN92)*1.25)</f>
        <v>0</v>
      </c>
      <c r="BT92" s="127" t="n">
        <f aca="false">(AG92*AP92)+(AH92*AQ92)+((AJ92*AP92)+(AK92*AQ92)*1.25)</f>
        <v>0</v>
      </c>
      <c r="BU92" s="329"/>
      <c r="BV92" s="129"/>
    </row>
    <row r="93" customFormat="false" ht="15" hidden="false" customHeight="false" outlineLevel="0" collapsed="false">
      <c r="A93" s="219"/>
      <c r="B93" s="220"/>
      <c r="C93" s="221"/>
      <c r="D93" s="222"/>
      <c r="E93" s="223" t="str">
        <f aca="false">IF(SUM(A93:D93)&gt;0,SUM(A93:D93),"")</f>
        <v/>
      </c>
      <c r="F93" s="224" t="str">
        <f aca="false">AD106</f>
        <v>SISAL</v>
      </c>
      <c r="G93" s="169"/>
      <c r="H93" s="169"/>
      <c r="I93" s="169"/>
      <c r="J93" s="169"/>
      <c r="K93" s="169"/>
      <c r="L93" s="169"/>
      <c r="M93" s="169"/>
      <c r="N93" s="169"/>
      <c r="O93" s="169"/>
      <c r="P93" s="169"/>
      <c r="Q93" s="169"/>
      <c r="R93" s="3"/>
      <c r="S93" s="3"/>
      <c r="T93" s="3"/>
      <c r="U93" s="3"/>
      <c r="V93" s="3"/>
      <c r="W93" s="3"/>
      <c r="X93" s="3"/>
      <c r="Y93" s="3"/>
      <c r="Z93" s="316" t="str">
        <f aca="false">IF(AF93&gt;0,RANK(AF93,AF$6:AF$422),"")</f>
        <v/>
      </c>
      <c r="AA93" s="134" t="n">
        <f aca="false">'O_MN, PE_UTA_UGM 2024'!N70</f>
        <v>3</v>
      </c>
      <c r="AB93" s="135" t="n">
        <f aca="false">'O_MN, PE_UTA_UGM 2024'!O70</f>
        <v>0</v>
      </c>
      <c r="AC93" s="317" t="n">
        <f aca="false">'O_MN, PE_UTA_UGM 2024'!C70</f>
        <v>120</v>
      </c>
      <c r="AD93" s="293" t="str">
        <f aca="false">IF(AB93=0,'O_MN, PE_UTA_UGM 2024'!F70,CONCATENATE('O_MN, PE_UTA_UGM 2024'!F70," ","INVERNADERO"))</f>
        <v>VIÑA - OLIVAR</v>
      </c>
      <c r="AE93" s="89"/>
      <c r="AF93" s="123" t="n">
        <f aca="false">SUM(AG93:AH93)+SUM(AJ93:AK93)</f>
        <v>0</v>
      </c>
      <c r="AG93" s="318" t="n">
        <f aca="false">A80</f>
        <v>0</v>
      </c>
      <c r="AH93" s="319" t="n">
        <f aca="false">B80</f>
        <v>0</v>
      </c>
      <c r="AI93" s="6"/>
      <c r="AJ93" s="320" t="n">
        <f aca="false">C80</f>
        <v>0</v>
      </c>
      <c r="AK93" s="320" t="n">
        <f aca="false">D80</f>
        <v>0</v>
      </c>
      <c r="AL93" s="237" t="s">
        <v>219</v>
      </c>
      <c r="AM93" s="299" t="n">
        <f aca="false">'O_MN, PE_UTA_UGM 2024'!J70</f>
        <v>500</v>
      </c>
      <c r="AN93" s="299" t="n">
        <f aca="false">'O_MN, PE_UTA_UGM 2024'!K70</f>
        <v>1500</v>
      </c>
      <c r="AO93" s="300"/>
      <c r="AP93" s="299" t="n">
        <f aca="false">'O_MN, PE_UTA_UGM 2024'!H70</f>
        <v>450.76</v>
      </c>
      <c r="AQ93" s="299" t="n">
        <f aca="false">'O_MN, PE_UTA_UGM 2024'!I70</f>
        <v>721.21</v>
      </c>
      <c r="AR93" s="301"/>
      <c r="AS93" s="302" t="n">
        <f aca="false">'O_MN, PE_UTA_UGM 2024'!L70</f>
        <v>0.01837</v>
      </c>
      <c r="AT93" s="302" t="n">
        <f aca="false">'O_MN, PE_UTA_UGM 2024'!M70</f>
        <v>0.0294</v>
      </c>
      <c r="AU93" s="45"/>
      <c r="AV93" s="321" t="n">
        <f aca="false">AG93*AM93</f>
        <v>0</v>
      </c>
      <c r="AW93" s="319" t="n">
        <f aca="false">AH93*AN93</f>
        <v>0</v>
      </c>
      <c r="AX93" s="320" t="n">
        <f aca="false">1.25*AJ93*AM93</f>
        <v>0</v>
      </c>
      <c r="AY93" s="322" t="n">
        <f aca="false">1.25*AK93*AN93</f>
        <v>0</v>
      </c>
      <c r="AZ93" s="323" t="n">
        <f aca="false">AG93*AP93</f>
        <v>0</v>
      </c>
      <c r="BA93" s="319" t="n">
        <f aca="false">AH93*AQ93</f>
        <v>0</v>
      </c>
      <c r="BB93" s="320" t="n">
        <f aca="false">1.25*AJ93*AP93</f>
        <v>0</v>
      </c>
      <c r="BC93" s="320" t="n">
        <f aca="false">1.25*AK93*AQ93</f>
        <v>0</v>
      </c>
      <c r="BD93" s="321" t="n">
        <f aca="false">AG93*AS93</f>
        <v>0</v>
      </c>
      <c r="BE93" s="319" t="n">
        <f aca="false">AH93*AT93</f>
        <v>0</v>
      </c>
      <c r="BF93" s="320" t="n">
        <f aca="false">AJ93*AS93</f>
        <v>0</v>
      </c>
      <c r="BG93" s="322" t="n">
        <f aca="false">AK93*AT93</f>
        <v>0</v>
      </c>
      <c r="BH93" s="324" t="str">
        <f aca="false">IF(BH$24=$AA93,($AG93*$AM93)+($AJ93*$AM93*1.25)+($AH93*$AN93)+($AK93*$AN93*1.25),"")</f>
        <v/>
      </c>
      <c r="BI93" s="325" t="str">
        <f aca="false">IF(BI$24=$AA93,($AG93*$AM93)+($AJ93*$AM93*1.25)+($AH93*$AN93)+($AK93*$AN93*1.25),"")</f>
        <v/>
      </c>
      <c r="BJ93" s="325" t="n">
        <f aca="false">IF(BJ$24=$AA93,($AG93*$AM93)+($AJ93*$AM93*1.25)+($AH93*$AN93)+($AK93*$AN93*1.25),"")</f>
        <v>0</v>
      </c>
      <c r="BK93" s="325" t="str">
        <f aca="false">IF(BK$24=$AA93,($AG93*$AM93)+($AJ93*$AM93*1.25)+($AH93*$AN93)+($AK93*$AN93*1.25),"")</f>
        <v/>
      </c>
      <c r="BL93" s="326" t="str">
        <f aca="false">IF(BL$24=$AA93,($AG93*$AM93)+($AJ93*$AM93*1.25)+($AH93*$AN93)+($AK93*$AN93*1.25),"")</f>
        <v/>
      </c>
      <c r="BM93" s="327" t="str">
        <f aca="false">IF(CONCATENATE(BH93,BI93,BJ93,BK93,BL93)="",1,"")</f>
        <v/>
      </c>
      <c r="BN93" s="328"/>
      <c r="BO93" s="328"/>
      <c r="BP93" s="328"/>
      <c r="BQ93" s="328"/>
      <c r="BR93" s="47"/>
      <c r="BS93" s="127" t="n">
        <f aca="false">(AG93*AM93)+(AH93*AN93)+((AJ93*AM93)+(AK93*AN93)*1.25)</f>
        <v>0</v>
      </c>
      <c r="BT93" s="127" t="n">
        <f aca="false">(AG93*AP93)+(AH93*AQ93)+((AJ93*AP93)+(AK93*AQ93)*1.25)</f>
        <v>0</v>
      </c>
      <c r="BU93" s="329"/>
      <c r="BV93" s="129"/>
    </row>
    <row r="94" customFormat="false" ht="15" hidden="false" customHeight="false" outlineLevel="0" collapsed="false">
      <c r="A94" s="228"/>
      <c r="B94" s="229"/>
      <c r="C94" s="230"/>
      <c r="D94" s="231"/>
      <c r="E94" s="223" t="str">
        <f aca="false">IF(SUM(A94:D94)&gt;0,SUM(A94:D94),"")</f>
        <v/>
      </c>
      <c r="F94" s="224" t="str">
        <f aca="false">AD107</f>
        <v>ENCINA INVERNADERO</v>
      </c>
      <c r="G94" s="169"/>
      <c r="H94" s="169"/>
      <c r="I94" s="169"/>
      <c r="J94" s="169"/>
      <c r="K94" s="169"/>
      <c r="L94" s="169"/>
      <c r="M94" s="169"/>
      <c r="N94" s="169"/>
      <c r="O94" s="169"/>
      <c r="P94" s="169"/>
      <c r="Q94" s="169"/>
      <c r="R94" s="3"/>
      <c r="S94" s="3"/>
      <c r="T94" s="3"/>
      <c r="U94" s="3"/>
      <c r="V94" s="3"/>
      <c r="W94" s="3"/>
      <c r="X94" s="3"/>
      <c r="Y94" s="3"/>
      <c r="Z94" s="316" t="str">
        <f aca="false">IF(AF94&gt;0,RANK(AF94,AF$6:AF$422),"")</f>
        <v/>
      </c>
      <c r="AA94" s="134" t="n">
        <f aca="false">'O_MN, PE_UTA_UGM 2024'!N71</f>
        <v>4</v>
      </c>
      <c r="AB94" s="135" t="n">
        <f aca="false">'O_MN, PE_UTA_UGM 2024'!O71</f>
        <v>0</v>
      </c>
      <c r="AC94" s="317" t="n">
        <f aca="false">'O_MN, PE_UTA_UGM 2024'!C71</f>
        <v>121</v>
      </c>
      <c r="AD94" s="293" t="str">
        <f aca="false">IF(AB94=0,'O_MN, PE_UTA_UGM 2024'!F71,CONCATENATE('O_MN, PE_UTA_UGM 2024'!F71," ","INVERNADERO"))</f>
        <v>BONIATO</v>
      </c>
      <c r="AE94" s="89"/>
      <c r="AF94" s="123" t="n">
        <f aca="false">SUM(AG94:AH94)+SUM(AJ94:AK94)</f>
        <v>0</v>
      </c>
      <c r="AG94" s="318" t="n">
        <f aca="false">A81</f>
        <v>0</v>
      </c>
      <c r="AH94" s="319" t="n">
        <f aca="false">B81</f>
        <v>0</v>
      </c>
      <c r="AI94" s="6"/>
      <c r="AJ94" s="320" t="n">
        <f aca="false">C81</f>
        <v>0</v>
      </c>
      <c r="AK94" s="320" t="n">
        <f aca="false">D81</f>
        <v>0</v>
      </c>
      <c r="AL94" s="237" t="s">
        <v>220</v>
      </c>
      <c r="AM94" s="299" t="n">
        <f aca="false">'O_MN, PE_UTA_UGM 2024'!J71</f>
        <v>1739.31</v>
      </c>
      <c r="AN94" s="299" t="n">
        <f aca="false">'O_MN, PE_UTA_UGM 2024'!K71</f>
        <v>5200</v>
      </c>
      <c r="AO94" s="300"/>
      <c r="AP94" s="299" t="n">
        <f aca="false">'O_MN, PE_UTA_UGM 2024'!H71</f>
        <v>450.76</v>
      </c>
      <c r="AQ94" s="299" t="n">
        <f aca="false">'O_MN, PE_UTA_UGM 2024'!I71</f>
        <v>1202.02</v>
      </c>
      <c r="AR94" s="301"/>
      <c r="AS94" s="302" t="n">
        <f aca="false">'O_MN, PE_UTA_UGM 2024'!L71</f>
        <v>0.01837</v>
      </c>
      <c r="AT94" s="302" t="n">
        <f aca="false">'O_MN, PE_UTA_UGM 2024'!M71</f>
        <v>0.04899</v>
      </c>
      <c r="AU94" s="45"/>
      <c r="AV94" s="321" t="n">
        <f aca="false">AG94*AM94</f>
        <v>0</v>
      </c>
      <c r="AW94" s="319" t="n">
        <f aca="false">AH94*AN94</f>
        <v>0</v>
      </c>
      <c r="AX94" s="320" t="n">
        <f aca="false">1.25*AJ94*AM94</f>
        <v>0</v>
      </c>
      <c r="AY94" s="322" t="n">
        <f aca="false">1.25*AK94*AN94</f>
        <v>0</v>
      </c>
      <c r="AZ94" s="323" t="n">
        <f aca="false">AG94*AP94</f>
        <v>0</v>
      </c>
      <c r="BA94" s="319" t="n">
        <f aca="false">AH94*AQ94</f>
        <v>0</v>
      </c>
      <c r="BB94" s="320" t="n">
        <f aca="false">1.25*AJ94*AP94</f>
        <v>0</v>
      </c>
      <c r="BC94" s="320" t="n">
        <f aca="false">1.25*AK94*AQ94</f>
        <v>0</v>
      </c>
      <c r="BD94" s="321" t="n">
        <f aca="false">AG94*AS94</f>
        <v>0</v>
      </c>
      <c r="BE94" s="319" t="n">
        <f aca="false">AH94*AT94</f>
        <v>0</v>
      </c>
      <c r="BF94" s="320" t="n">
        <f aca="false">AJ94*AS94</f>
        <v>0</v>
      </c>
      <c r="BG94" s="322" t="n">
        <f aca="false">AK94*AT94</f>
        <v>0</v>
      </c>
      <c r="BH94" s="324" t="str">
        <f aca="false">IF(BH$24=$AA94,($AG94*$AM94)+($AJ94*$AM94*1.25)+($AH94*$AN94)+($AK94*$AN94*1.25),"")</f>
        <v/>
      </c>
      <c r="BI94" s="325" t="str">
        <f aca="false">IF(BI$24=$AA94,($AG94*$AM94)+($AJ94*$AM94*1.25)+($AH94*$AN94)+($AK94*$AN94*1.25),"")</f>
        <v/>
      </c>
      <c r="BJ94" s="325" t="str">
        <f aca="false">IF(BJ$24=$AA94,($AG94*$AM94)+($AJ94*$AM94*1.25)+($AH94*$AN94)+($AK94*$AN94*1.25),"")</f>
        <v/>
      </c>
      <c r="BK94" s="325" t="n">
        <f aca="false">IF(BK$24=$AA94,($AG94*$AM94)+($AJ94*$AM94*1.25)+($AH94*$AN94)+($AK94*$AN94*1.25),"")</f>
        <v>0</v>
      </c>
      <c r="BL94" s="326" t="str">
        <f aca="false">IF(BL$24=$AA94,($AG94*$AM94)+($AJ94*$AM94*1.25)+($AH94*$AN94)+($AK94*$AN94*1.25),"")</f>
        <v/>
      </c>
      <c r="BM94" s="327" t="str">
        <f aca="false">IF(CONCATENATE(BH94,BI94,BJ94,BK94,BL94)="",1,"")</f>
        <v/>
      </c>
      <c r="BN94" s="328"/>
      <c r="BO94" s="328"/>
      <c r="BP94" s="328"/>
      <c r="BQ94" s="328"/>
      <c r="BR94" s="47"/>
      <c r="BS94" s="127" t="n">
        <f aca="false">(AG94*AM94)+(AH94*AN94)+((AJ94*AM94)+(AK94*AN94)*1.25)</f>
        <v>0</v>
      </c>
      <c r="BT94" s="127" t="n">
        <f aca="false">(AG94*AP94)+(AH94*AQ94)+((AJ94*AP94)+(AK94*AQ94)*1.25)</f>
        <v>0</v>
      </c>
      <c r="BU94" s="329"/>
      <c r="BV94" s="129"/>
    </row>
    <row r="95" customFormat="false" ht="15" hidden="false" customHeight="false" outlineLevel="0" collapsed="false">
      <c r="A95" s="228"/>
      <c r="B95" s="229"/>
      <c r="C95" s="230"/>
      <c r="D95" s="231"/>
      <c r="E95" s="223" t="str">
        <f aca="false">IF(SUM(A95:D95)&gt;0,SUM(A95:D95),"")</f>
        <v/>
      </c>
      <c r="F95" s="224" t="str">
        <f aca="false">AD108</f>
        <v>PUERRO</v>
      </c>
      <c r="G95" s="169"/>
      <c r="H95" s="169"/>
      <c r="I95" s="169"/>
      <c r="J95" s="169"/>
      <c r="K95" s="169"/>
      <c r="L95" s="169"/>
      <c r="M95" s="169"/>
      <c r="N95" s="169"/>
      <c r="O95" s="169"/>
      <c r="P95" s="169"/>
      <c r="Q95" s="169"/>
      <c r="R95" s="3"/>
      <c r="S95" s="3"/>
      <c r="T95" s="3"/>
      <c r="U95" s="3"/>
      <c r="V95" s="3"/>
      <c r="W95" s="3"/>
      <c r="X95" s="3"/>
      <c r="Y95" s="3"/>
      <c r="Z95" s="316" t="str">
        <f aca="false">IF(AF95&gt;0,RANK(AF95,AF$6:AF$422),"")</f>
        <v/>
      </c>
      <c r="AA95" s="134" t="n">
        <f aca="false">'O_MN, PE_UTA_UGM 2024'!N72</f>
        <v>4</v>
      </c>
      <c r="AB95" s="135" t="n">
        <f aca="false">'O_MN, PE_UTA_UGM 2024'!O72</f>
        <v>4</v>
      </c>
      <c r="AC95" s="317" t="n">
        <f aca="false">'O_MN, PE_UTA_UGM 2024'!C72</f>
        <v>121</v>
      </c>
      <c r="AD95" s="293" t="str">
        <f aca="false">IF(AB95=0,'O_MN, PE_UTA_UGM 2024'!F72,CONCATENATE('O_MN, PE_UTA_UGM 2024'!F72," ","INVERNADERO"))</f>
        <v>BONIATO INVERNADERO</v>
      </c>
      <c r="AE95" s="89"/>
      <c r="AF95" s="123" t="n">
        <f aca="false">SUM(AG95:AH95)+SUM(AJ95:AK95)</f>
        <v>0</v>
      </c>
      <c r="AG95" s="318" t="n">
        <f aca="false">A82</f>
        <v>0</v>
      </c>
      <c r="AH95" s="319" t="n">
        <f aca="false">B82</f>
        <v>0</v>
      </c>
      <c r="AI95" s="6"/>
      <c r="AJ95" s="320" t="n">
        <f aca="false">C82</f>
        <v>0</v>
      </c>
      <c r="AK95" s="320" t="n">
        <f aca="false">D82</f>
        <v>0</v>
      </c>
      <c r="AL95" s="237" t="s">
        <v>221</v>
      </c>
      <c r="AM95" s="299" t="n">
        <f aca="false">'O_MN, PE_UTA_UGM 2024'!J72</f>
        <v>0</v>
      </c>
      <c r="AN95" s="299" t="n">
        <f aca="false">'O_MN, PE_UTA_UGM 2024'!K72</f>
        <v>80000</v>
      </c>
      <c r="AO95" s="300"/>
      <c r="AP95" s="299" t="n">
        <f aca="false">'O_MN, PE_UTA_UGM 2024'!H72</f>
        <v>0</v>
      </c>
      <c r="AQ95" s="299" t="n">
        <f aca="false">'O_MN, PE_UTA_UGM 2024'!I72</f>
        <v>36060.73</v>
      </c>
      <c r="AR95" s="301"/>
      <c r="AS95" s="302" t="n">
        <f aca="false">'O_MN, PE_UTA_UGM 2024'!L72</f>
        <v>0</v>
      </c>
      <c r="AT95" s="302" t="n">
        <f aca="false">'O_MN, PE_UTA_UGM 2024'!M72</f>
        <v>1.46978</v>
      </c>
      <c r="AU95" s="45"/>
      <c r="AV95" s="321" t="n">
        <f aca="false">AG95*AM95</f>
        <v>0</v>
      </c>
      <c r="AW95" s="319" t="n">
        <f aca="false">AH95*AN95</f>
        <v>0</v>
      </c>
      <c r="AX95" s="320" t="n">
        <f aca="false">1.25*AJ95*AM95</f>
        <v>0</v>
      </c>
      <c r="AY95" s="322" t="n">
        <f aca="false">1.25*AK95*AN95</f>
        <v>0</v>
      </c>
      <c r="AZ95" s="323" t="n">
        <f aca="false">AG95*AP95</f>
        <v>0</v>
      </c>
      <c r="BA95" s="319" t="n">
        <f aca="false">AH95*AQ95</f>
        <v>0</v>
      </c>
      <c r="BB95" s="320" t="n">
        <f aca="false">1.25*AJ95*AP95</f>
        <v>0</v>
      </c>
      <c r="BC95" s="320" t="n">
        <f aca="false">1.25*AK95*AQ95</f>
        <v>0</v>
      </c>
      <c r="BD95" s="321" t="n">
        <f aca="false">AG95*AS95</f>
        <v>0</v>
      </c>
      <c r="BE95" s="319" t="n">
        <f aca="false">AH95*AT95</f>
        <v>0</v>
      </c>
      <c r="BF95" s="320" t="n">
        <f aca="false">AJ95*AS95</f>
        <v>0</v>
      </c>
      <c r="BG95" s="322" t="n">
        <f aca="false">AK95*AT95</f>
        <v>0</v>
      </c>
      <c r="BH95" s="324" t="str">
        <f aca="false">IF(BH$24=$AA95,($AG95*$AM95)+($AJ95*$AM95*1.25)+($AH95*$AN95)+($AK95*$AN95*1.25),"")</f>
        <v/>
      </c>
      <c r="BI95" s="325" t="str">
        <f aca="false">IF(BI$24=$AA95,($AG95*$AM95)+($AJ95*$AM95*1.25)+($AH95*$AN95)+($AK95*$AN95*1.25),"")</f>
        <v/>
      </c>
      <c r="BJ95" s="325" t="str">
        <f aca="false">IF(BJ$24=$AA95,($AG95*$AM95)+($AJ95*$AM95*1.25)+($AH95*$AN95)+($AK95*$AN95*1.25),"")</f>
        <v/>
      </c>
      <c r="BK95" s="325" t="n">
        <f aca="false">IF(BK$24=$AA95,($AG95*$AM95)+($AJ95*$AM95*1.25)+($AH95*$AN95)+($AK95*$AN95*1.25),"")</f>
        <v>0</v>
      </c>
      <c r="BL95" s="326" t="str">
        <f aca="false">IF(BL$24=$AA95,($AG95*$AM95)+($AJ95*$AM95*1.25)+($AH95*$AN95)+($AK95*$AN95*1.25),"")</f>
        <v/>
      </c>
      <c r="BM95" s="327" t="str">
        <f aca="false">IF(CONCATENATE(BH95,BI95,BJ95,BK95,BL95)="",1,"")</f>
        <v/>
      </c>
      <c r="BN95" s="328"/>
      <c r="BO95" s="328"/>
      <c r="BP95" s="328"/>
      <c r="BQ95" s="328"/>
      <c r="BR95" s="47"/>
      <c r="BS95" s="127" t="n">
        <f aca="false">(AG95*AM95)+(AH95*AN95)+((AJ95*AM95)+(AK95*AN95)*1.25)</f>
        <v>0</v>
      </c>
      <c r="BT95" s="127" t="n">
        <f aca="false">(AG95*AP95)+(AH95*AQ95)+((AJ95*AP95)+(AK95*AQ95)*1.25)</f>
        <v>0</v>
      </c>
      <c r="BU95" s="329"/>
      <c r="BV95" s="129"/>
    </row>
    <row r="96" customFormat="false" ht="15" hidden="false" customHeight="false" outlineLevel="0" collapsed="false">
      <c r="A96" s="228"/>
      <c r="B96" s="229"/>
      <c r="C96" s="230"/>
      <c r="D96" s="231"/>
      <c r="E96" s="223" t="str">
        <f aca="false">IF(SUM(A96:D96)&gt;0,SUM(A96:D96),"")</f>
        <v/>
      </c>
      <c r="F96" s="224" t="str">
        <f aca="false">AD109</f>
        <v>PUERRO INVERNADERO</v>
      </c>
      <c r="G96" s="169"/>
      <c r="H96" s="169"/>
      <c r="I96" s="169"/>
      <c r="J96" s="169"/>
      <c r="K96" s="169"/>
      <c r="L96" s="169"/>
      <c r="M96" s="169"/>
      <c r="N96" s="169"/>
      <c r="O96" s="169"/>
      <c r="P96" s="169"/>
      <c r="Q96" s="169"/>
      <c r="R96" s="3"/>
      <c r="S96" s="3"/>
      <c r="T96" s="3"/>
      <c r="U96" s="3"/>
      <c r="V96" s="3"/>
      <c r="W96" s="3"/>
      <c r="X96" s="3"/>
      <c r="Y96" s="3"/>
      <c r="Z96" s="316" t="str">
        <f aca="false">IF(AF96&gt;0,RANK(AF96,AF$6:AF$422),"")</f>
        <v/>
      </c>
      <c r="AA96" s="134" t="n">
        <f aca="false">'O_MN, PE_UTA_UGM 2024'!N73</f>
        <v>4</v>
      </c>
      <c r="AB96" s="135" t="n">
        <f aca="false">'O_MN, PE_UTA_UGM 2024'!O73</f>
        <v>19</v>
      </c>
      <c r="AC96" s="317" t="n">
        <f aca="false">'O_MN, PE_UTA_UGM 2024'!C73</f>
        <v>121</v>
      </c>
      <c r="AD96" s="293" t="str">
        <f aca="false">IF(AB96=0,'O_MN, PE_UTA_UGM 2024'!F73,CONCATENATE('O_MN, PE_UTA_UGM 2024'!F73," ","INVERNADERO"))</f>
        <v>BONIATO INVERNADERO</v>
      </c>
      <c r="AE96" s="89"/>
      <c r="AF96" s="123" t="n">
        <f aca="false">SUM(AG96:AH96)+SUM(AJ96:AK96)</f>
        <v>0</v>
      </c>
      <c r="AG96" s="318" t="n">
        <f aca="false">A83</f>
        <v>0</v>
      </c>
      <c r="AH96" s="319" t="n">
        <f aca="false">B83</f>
        <v>0</v>
      </c>
      <c r="AI96" s="6"/>
      <c r="AJ96" s="320" t="n">
        <f aca="false">C83</f>
        <v>0</v>
      </c>
      <c r="AK96" s="320" t="n">
        <f aca="false">D83</f>
        <v>0</v>
      </c>
      <c r="AL96" s="237" t="s">
        <v>222</v>
      </c>
      <c r="AM96" s="299" t="n">
        <f aca="false">'O_MN, PE_UTA_UGM 2024'!J73</f>
        <v>0</v>
      </c>
      <c r="AN96" s="299" t="n">
        <f aca="false">'O_MN, PE_UTA_UGM 2024'!K73</f>
        <v>80000</v>
      </c>
      <c r="AO96" s="300"/>
      <c r="AP96" s="299" t="n">
        <f aca="false">'O_MN, PE_UTA_UGM 2024'!H73</f>
        <v>0</v>
      </c>
      <c r="AQ96" s="299" t="n">
        <f aca="false">'O_MN, PE_UTA_UGM 2024'!I73</f>
        <v>36060.73</v>
      </c>
      <c r="AR96" s="301"/>
      <c r="AS96" s="302" t="n">
        <f aca="false">'O_MN, PE_UTA_UGM 2024'!L73</f>
        <v>0</v>
      </c>
      <c r="AT96" s="302" t="n">
        <f aca="false">'O_MN, PE_UTA_UGM 2024'!M73</f>
        <v>1.46978</v>
      </c>
      <c r="AU96" s="45"/>
      <c r="AV96" s="321" t="n">
        <f aca="false">AG96*AM96</f>
        <v>0</v>
      </c>
      <c r="AW96" s="319" t="n">
        <f aca="false">AH96*AN96</f>
        <v>0</v>
      </c>
      <c r="AX96" s="320" t="n">
        <f aca="false">1.25*AJ96*AM96</f>
        <v>0</v>
      </c>
      <c r="AY96" s="322" t="n">
        <f aca="false">1.25*AK96*AN96</f>
        <v>0</v>
      </c>
      <c r="AZ96" s="323" t="n">
        <f aca="false">AG96*AP96</f>
        <v>0</v>
      </c>
      <c r="BA96" s="319" t="n">
        <f aca="false">AH96*AQ96</f>
        <v>0</v>
      </c>
      <c r="BB96" s="320" t="n">
        <f aca="false">1.25*AJ96*AP96</f>
        <v>0</v>
      </c>
      <c r="BC96" s="320" t="n">
        <f aca="false">1.25*AK96*AQ96</f>
        <v>0</v>
      </c>
      <c r="BD96" s="321" t="n">
        <f aca="false">AG96*AS96</f>
        <v>0</v>
      </c>
      <c r="BE96" s="319" t="n">
        <f aca="false">AH96*AT96</f>
        <v>0</v>
      </c>
      <c r="BF96" s="320" t="n">
        <f aca="false">AJ96*AS96</f>
        <v>0</v>
      </c>
      <c r="BG96" s="322" t="n">
        <f aca="false">AK96*AT96</f>
        <v>0</v>
      </c>
      <c r="BH96" s="324" t="str">
        <f aca="false">IF(BH$24=$AA96,($AG96*$AM96)+($AJ96*$AM96*1.25)+($AH96*$AN96)+($AK96*$AN96*1.25),"")</f>
        <v/>
      </c>
      <c r="BI96" s="325" t="str">
        <f aca="false">IF(BI$24=$AA96,($AG96*$AM96)+($AJ96*$AM96*1.25)+($AH96*$AN96)+($AK96*$AN96*1.25),"")</f>
        <v/>
      </c>
      <c r="BJ96" s="325" t="str">
        <f aca="false">IF(BJ$24=$AA96,($AG96*$AM96)+($AJ96*$AM96*1.25)+($AH96*$AN96)+($AK96*$AN96*1.25),"")</f>
        <v/>
      </c>
      <c r="BK96" s="325" t="n">
        <f aca="false">IF(BK$24=$AA96,($AG96*$AM96)+($AJ96*$AM96*1.25)+($AH96*$AN96)+($AK96*$AN96*1.25),"")</f>
        <v>0</v>
      </c>
      <c r="BL96" s="326" t="str">
        <f aca="false">IF(BL$24=$AA96,($AG96*$AM96)+($AJ96*$AM96*1.25)+($AH96*$AN96)+($AK96*$AN96*1.25),"")</f>
        <v/>
      </c>
      <c r="BM96" s="327" t="str">
        <f aca="false">IF(CONCATENATE(BH96,BI96,BJ96,BK96,BL96)="",1,"")</f>
        <v/>
      </c>
      <c r="BN96" s="328"/>
      <c r="BO96" s="328"/>
      <c r="BP96" s="328"/>
      <c r="BQ96" s="328"/>
      <c r="BR96" s="47"/>
      <c r="BS96" s="127" t="n">
        <f aca="false">(AG96*AM96)+(AH96*AN96)+((AJ96*AM96)+(AK96*AN96)*1.25)</f>
        <v>0</v>
      </c>
      <c r="BT96" s="127" t="n">
        <f aca="false">(AG96*AP96)+(AH96*AQ96)+((AJ96*AP96)+(AK96*AQ96)*1.25)</f>
        <v>0</v>
      </c>
      <c r="BU96" s="329"/>
      <c r="BV96" s="129"/>
    </row>
    <row r="97" customFormat="false" ht="15" hidden="false" customHeight="false" outlineLevel="0" collapsed="false">
      <c r="A97" s="228"/>
      <c r="B97" s="229"/>
      <c r="C97" s="230"/>
      <c r="D97" s="231"/>
      <c r="E97" s="223" t="str">
        <f aca="false">IF(SUM(A97:D97)&gt;0,SUM(A97:D97),"")</f>
        <v/>
      </c>
      <c r="F97" s="224" t="str">
        <f aca="false">AD110</f>
        <v>PUERRO INVERNADERO</v>
      </c>
      <c r="G97" s="169"/>
      <c r="H97" s="169"/>
      <c r="I97" s="169"/>
      <c r="J97" s="169"/>
      <c r="K97" s="169"/>
      <c r="L97" s="169"/>
      <c r="M97" s="169"/>
      <c r="N97" s="169"/>
      <c r="O97" s="169"/>
      <c r="P97" s="169"/>
      <c r="Q97" s="169"/>
      <c r="R97" s="3"/>
      <c r="S97" s="3"/>
      <c r="T97" s="3"/>
      <c r="U97" s="3"/>
      <c r="V97" s="3"/>
      <c r="W97" s="3"/>
      <c r="X97" s="3"/>
      <c r="Y97" s="3"/>
      <c r="Z97" s="316" t="str">
        <f aca="false">IF(AF97&gt;0,RANK(AF97,AF$6:AF$422),"")</f>
        <v/>
      </c>
      <c r="AA97" s="134" t="n">
        <f aca="false">'O_MN, PE_UTA_UGM 2024'!N74</f>
        <v>1</v>
      </c>
      <c r="AB97" s="135" t="n">
        <f aca="false">'O_MN, PE_UTA_UGM 2024'!O74</f>
        <v>0</v>
      </c>
      <c r="AC97" s="317" t="n">
        <f aca="false">'O_MN, PE_UTA_UGM 2024'!C74</f>
        <v>122</v>
      </c>
      <c r="AD97" s="293" t="str">
        <f aca="false">IF(AB97=0,'O_MN, PE_UTA_UGM 2024'!F74,CONCATENATE('O_MN, PE_UTA_UGM 2024'!F74," ","INVERNADERO"))</f>
        <v>ALGARROBO</v>
      </c>
      <c r="AE97" s="89"/>
      <c r="AF97" s="123" t="n">
        <f aca="false">SUM(AG97:AH97)+SUM(AJ97:AK97)</f>
        <v>0</v>
      </c>
      <c r="AG97" s="318" t="n">
        <f aca="false">A84</f>
        <v>0</v>
      </c>
      <c r="AH97" s="319" t="n">
        <f aca="false">B84</f>
        <v>0</v>
      </c>
      <c r="AI97" s="6"/>
      <c r="AJ97" s="320" t="n">
        <f aca="false">C84</f>
        <v>0</v>
      </c>
      <c r="AK97" s="320" t="n">
        <f aca="false">D84</f>
        <v>0</v>
      </c>
      <c r="AL97" s="237" t="s">
        <v>223</v>
      </c>
      <c r="AM97" s="299" t="n">
        <f aca="false">'O_MN, PE_UTA_UGM 2024'!J74</f>
        <v>500</v>
      </c>
      <c r="AN97" s="299" t="n">
        <f aca="false">'O_MN, PE_UTA_UGM 2024'!K74</f>
        <v>1500</v>
      </c>
      <c r="AO97" s="300"/>
      <c r="AP97" s="299" t="n">
        <f aca="false">'O_MN, PE_UTA_UGM 2024'!H74</f>
        <v>450.76</v>
      </c>
      <c r="AQ97" s="299" t="n">
        <f aca="false">'O_MN, PE_UTA_UGM 2024'!I74</f>
        <v>721.21</v>
      </c>
      <c r="AR97" s="301"/>
      <c r="AS97" s="302" t="n">
        <f aca="false">'O_MN, PE_UTA_UGM 2024'!L74</f>
        <v>0.01837</v>
      </c>
      <c r="AT97" s="302" t="n">
        <f aca="false">'O_MN, PE_UTA_UGM 2024'!M74</f>
        <v>0.0294</v>
      </c>
      <c r="AU97" s="45"/>
      <c r="AV97" s="321" t="n">
        <f aca="false">AG97*AM97</f>
        <v>0</v>
      </c>
      <c r="AW97" s="319" t="n">
        <f aca="false">AH97*AN97</f>
        <v>0</v>
      </c>
      <c r="AX97" s="320" t="n">
        <f aca="false">1.25*AJ97*AM97</f>
        <v>0</v>
      </c>
      <c r="AY97" s="322" t="n">
        <f aca="false">1.25*AK97*AN97</f>
        <v>0</v>
      </c>
      <c r="AZ97" s="323" t="n">
        <f aca="false">AG97*AP97</f>
        <v>0</v>
      </c>
      <c r="BA97" s="319" t="n">
        <f aca="false">AH97*AQ97</f>
        <v>0</v>
      </c>
      <c r="BB97" s="320" t="n">
        <f aca="false">1.25*AJ97*AP97</f>
        <v>0</v>
      </c>
      <c r="BC97" s="320" t="n">
        <f aca="false">1.25*AK97*AQ97</f>
        <v>0</v>
      </c>
      <c r="BD97" s="321" t="n">
        <f aca="false">AG97*AS97</f>
        <v>0</v>
      </c>
      <c r="BE97" s="319" t="n">
        <f aca="false">AH97*AT97</f>
        <v>0</v>
      </c>
      <c r="BF97" s="320" t="n">
        <f aca="false">AJ97*AS97</f>
        <v>0</v>
      </c>
      <c r="BG97" s="322" t="n">
        <f aca="false">AK97*AT97</f>
        <v>0</v>
      </c>
      <c r="BH97" s="324" t="n">
        <f aca="false">IF(BH$24=$AA97,($AG97*$AM97)+($AJ97*$AM97*1.25)+($AH97*$AN97)+($AK97*$AN97*1.25),"")</f>
        <v>0</v>
      </c>
      <c r="BI97" s="325" t="str">
        <f aca="false">IF(BI$24=$AA97,($AG97*$AM97)+($AJ97*$AM97*1.25)+($AH97*$AN97)+($AK97*$AN97*1.25),"")</f>
        <v/>
      </c>
      <c r="BJ97" s="325" t="str">
        <f aca="false">IF(BJ$24=$AA97,($AG97*$AM97)+($AJ97*$AM97*1.25)+($AH97*$AN97)+($AK97*$AN97*1.25),"")</f>
        <v/>
      </c>
      <c r="BK97" s="325" t="str">
        <f aca="false">IF(BK$24=$AA97,($AG97*$AM97)+($AJ97*$AM97*1.25)+($AH97*$AN97)+($AK97*$AN97*1.25),"")</f>
        <v/>
      </c>
      <c r="BL97" s="326" t="str">
        <f aca="false">IF(BL$24=$AA97,($AG97*$AM97)+($AJ97*$AM97*1.25)+($AH97*$AN97)+($AK97*$AN97*1.25),"")</f>
        <v/>
      </c>
      <c r="BM97" s="327" t="str">
        <f aca="false">IF(CONCATENATE(BH97,BI97,BJ97,BK97,BL97)="",1,"")</f>
        <v/>
      </c>
      <c r="BN97" s="328"/>
      <c r="BO97" s="328"/>
      <c r="BP97" s="328"/>
      <c r="BQ97" s="328"/>
      <c r="BR97" s="47"/>
      <c r="BS97" s="127" t="n">
        <f aca="false">(AG97*AM97)+(AH97*AN97)+((AJ97*AM97)+(AK97*AN97)*1.25)</f>
        <v>0</v>
      </c>
      <c r="BT97" s="127" t="n">
        <f aca="false">(AG97*AP97)+(AH97*AQ97)+((AJ97*AP97)+(AK97*AQ97)*1.25)</f>
        <v>0</v>
      </c>
      <c r="BU97" s="329"/>
      <c r="BV97" s="129"/>
    </row>
    <row r="98" customFormat="false" ht="15" hidden="false" customHeight="false" outlineLevel="0" collapsed="false">
      <c r="A98" s="219"/>
      <c r="B98" s="220"/>
      <c r="C98" s="221"/>
      <c r="D98" s="222"/>
      <c r="E98" s="223" t="str">
        <f aca="false">IF(SUM(A98:D98)&gt;0,SUM(A98:D98),"")</f>
        <v/>
      </c>
      <c r="F98" s="224" t="str">
        <f aca="false">AD111</f>
        <v>PIMIENTO</v>
      </c>
      <c r="G98" s="169"/>
      <c r="H98" s="169"/>
      <c r="I98" s="169"/>
      <c r="J98" s="169"/>
      <c r="K98" s="169"/>
      <c r="L98" s="169"/>
      <c r="M98" s="169"/>
      <c r="N98" s="169"/>
      <c r="O98" s="169"/>
      <c r="P98" s="169"/>
      <c r="Q98" s="169"/>
      <c r="R98" s="3"/>
      <c r="S98" s="3"/>
      <c r="T98" s="3"/>
      <c r="U98" s="3"/>
      <c r="V98" s="3"/>
      <c r="W98" s="3"/>
      <c r="X98" s="3"/>
      <c r="Y98" s="3"/>
      <c r="Z98" s="316" t="str">
        <f aca="false">IF(AF98&gt;0,RANK(AF98,AF$6:AF$422),"")</f>
        <v/>
      </c>
      <c r="AA98" s="134" t="n">
        <f aca="false">'O_MN, PE_UTA_UGM 2024'!N75</f>
        <v>3</v>
      </c>
      <c r="AB98" s="135" t="n">
        <f aca="false">'O_MN, PE_UTA_UGM 2024'!O75</f>
        <v>6</v>
      </c>
      <c r="AC98" s="317" t="n">
        <f aca="false">'O_MN, PE_UTA_UGM 2024'!C75</f>
        <v>123</v>
      </c>
      <c r="AD98" s="293" t="str">
        <f aca="false">IF(AB98=0,'O_MN, PE_UTA_UGM 2024'!F75,CONCATENATE('O_MN, PE_UTA_UGM 2024'!F75," ","INVERNADERO"))</f>
        <v>AVELLANO INVERNADERO</v>
      </c>
      <c r="AE98" s="89"/>
      <c r="AF98" s="123" t="n">
        <f aca="false">SUM(AG98:AH98)+SUM(AJ98:AK98)</f>
        <v>0</v>
      </c>
      <c r="AG98" s="318" t="n">
        <f aca="false">A85</f>
        <v>0</v>
      </c>
      <c r="AH98" s="319" t="n">
        <f aca="false">B85</f>
        <v>0</v>
      </c>
      <c r="AI98" s="6"/>
      <c r="AJ98" s="320" t="n">
        <f aca="false">C85</f>
        <v>0</v>
      </c>
      <c r="AK98" s="320" t="n">
        <f aca="false">D85</f>
        <v>0</v>
      </c>
      <c r="AL98" s="237" t="s">
        <v>224</v>
      </c>
      <c r="AM98" s="299" t="n">
        <f aca="false">'O_MN, PE_UTA_UGM 2024'!J75</f>
        <v>500</v>
      </c>
      <c r="AN98" s="299" t="n">
        <f aca="false">'O_MN, PE_UTA_UGM 2024'!K75</f>
        <v>1500</v>
      </c>
      <c r="AO98" s="300"/>
      <c r="AP98" s="299" t="n">
        <f aca="false">'O_MN, PE_UTA_UGM 2024'!H75</f>
        <v>450.76</v>
      </c>
      <c r="AQ98" s="299" t="n">
        <f aca="false">'O_MN, PE_UTA_UGM 2024'!I75</f>
        <v>721.21</v>
      </c>
      <c r="AR98" s="301"/>
      <c r="AS98" s="302" t="n">
        <f aca="false">'O_MN, PE_UTA_UGM 2024'!L75</f>
        <v>0.01837</v>
      </c>
      <c r="AT98" s="302" t="n">
        <f aca="false">'O_MN, PE_UTA_UGM 2024'!M75</f>
        <v>0.0294</v>
      </c>
      <c r="AU98" s="45"/>
      <c r="AV98" s="321" t="n">
        <f aca="false">AG98*AM98</f>
        <v>0</v>
      </c>
      <c r="AW98" s="319" t="n">
        <f aca="false">AH98*AN98</f>
        <v>0</v>
      </c>
      <c r="AX98" s="320" t="n">
        <f aca="false">1.25*AJ98*AM98</f>
        <v>0</v>
      </c>
      <c r="AY98" s="322" t="n">
        <f aca="false">1.25*AK98*AN98</f>
        <v>0</v>
      </c>
      <c r="AZ98" s="323" t="n">
        <f aca="false">AG98*AP98</f>
        <v>0</v>
      </c>
      <c r="BA98" s="319" t="n">
        <f aca="false">AH98*AQ98</f>
        <v>0</v>
      </c>
      <c r="BB98" s="320" t="n">
        <f aca="false">1.25*AJ98*AP98</f>
        <v>0</v>
      </c>
      <c r="BC98" s="320" t="n">
        <f aca="false">1.25*AK98*AQ98</f>
        <v>0</v>
      </c>
      <c r="BD98" s="321" t="n">
        <f aca="false">AG98*AS98</f>
        <v>0</v>
      </c>
      <c r="BE98" s="319" t="n">
        <f aca="false">AH98*AT98</f>
        <v>0</v>
      </c>
      <c r="BF98" s="320" t="n">
        <f aca="false">AJ98*AS98</f>
        <v>0</v>
      </c>
      <c r="BG98" s="322" t="n">
        <f aca="false">AK98*AT98</f>
        <v>0</v>
      </c>
      <c r="BH98" s="324" t="str">
        <f aca="false">IF(BH$24=$AA98,($AG98*$AM98)+($AJ98*$AM98*1.25)+($AH98*$AN98)+($AK98*$AN98*1.25),"")</f>
        <v/>
      </c>
      <c r="BI98" s="325" t="str">
        <f aca="false">IF(BI$24=$AA98,($AG98*$AM98)+($AJ98*$AM98*1.25)+($AH98*$AN98)+($AK98*$AN98*1.25),"")</f>
        <v/>
      </c>
      <c r="BJ98" s="325" t="n">
        <f aca="false">IF(BJ$24=$AA98,($AG98*$AM98)+($AJ98*$AM98*1.25)+($AH98*$AN98)+($AK98*$AN98*1.25),"")</f>
        <v>0</v>
      </c>
      <c r="BK98" s="325" t="str">
        <f aca="false">IF(BK$24=$AA98,($AG98*$AM98)+($AJ98*$AM98*1.25)+($AH98*$AN98)+($AK98*$AN98*1.25),"")</f>
        <v/>
      </c>
      <c r="BL98" s="326" t="str">
        <f aca="false">IF(BL$24=$AA98,($AG98*$AM98)+($AJ98*$AM98*1.25)+($AH98*$AN98)+($AK98*$AN98*1.25),"")</f>
        <v/>
      </c>
      <c r="BM98" s="327" t="str">
        <f aca="false">IF(CONCATENATE(BH98,BI98,BJ98,BK98,BL98)="",1,"")</f>
        <v/>
      </c>
      <c r="BN98" s="328"/>
      <c r="BO98" s="328"/>
      <c r="BP98" s="328"/>
      <c r="BQ98" s="328"/>
      <c r="BR98" s="47"/>
      <c r="BS98" s="127" t="n">
        <f aca="false">(AG98*AM98)+(AH98*AN98)+((AJ98*AM98)+(AK98*AN98)*1.25)</f>
        <v>0</v>
      </c>
      <c r="BT98" s="127" t="n">
        <f aca="false">(AG98*AP98)+(AH98*AQ98)+((AJ98*AP98)+(AK98*AQ98)*1.25)</f>
        <v>0</v>
      </c>
      <c r="BU98" s="329"/>
      <c r="BV98" s="129"/>
    </row>
    <row r="99" customFormat="false" ht="15" hidden="false" customHeight="false" outlineLevel="0" collapsed="false">
      <c r="A99" s="219"/>
      <c r="B99" s="220"/>
      <c r="C99" s="221"/>
      <c r="D99" s="222"/>
      <c r="E99" s="223" t="str">
        <f aca="false">IF(SUM(A99:D99)&gt;0,SUM(A99:D99),"")</f>
        <v/>
      </c>
      <c r="F99" s="224" t="str">
        <f aca="false">AD112</f>
        <v>PIMIENTO INVERNADERO</v>
      </c>
      <c r="G99" s="169"/>
      <c r="H99" s="169"/>
      <c r="I99" s="169"/>
      <c r="J99" s="169"/>
      <c r="K99" s="169"/>
      <c r="L99" s="169"/>
      <c r="M99" s="169"/>
      <c r="N99" s="169"/>
      <c r="O99" s="169"/>
      <c r="P99" s="169"/>
      <c r="Q99" s="169"/>
      <c r="R99" s="3"/>
      <c r="S99" s="3"/>
      <c r="T99" s="3"/>
      <c r="U99" s="3"/>
      <c r="V99" s="3"/>
      <c r="W99" s="3"/>
      <c r="X99" s="3"/>
      <c r="Y99" s="3"/>
      <c r="Z99" s="316" t="str">
        <f aca="false">IF(AF99&gt;0,RANK(AF99,AF$6:AF$422),"")</f>
        <v/>
      </c>
      <c r="AA99" s="134" t="n">
        <f aca="false">'O_MN, PE_UTA_UGM 2024'!N76</f>
        <v>3</v>
      </c>
      <c r="AB99" s="135" t="n">
        <f aca="false">'O_MN, PE_UTA_UGM 2024'!O76</f>
        <v>0</v>
      </c>
      <c r="AC99" s="317" t="n">
        <f aca="false">'O_MN, PE_UTA_UGM 2024'!C76</f>
        <v>124</v>
      </c>
      <c r="AD99" s="293" t="str">
        <f aca="false">IF(AB99=0,'O_MN, PE_UTA_UGM 2024'!F76,CONCATENATE('O_MN, PE_UTA_UGM 2024'!F76," ","INVERNADERO"))</f>
        <v>PISTACHO</v>
      </c>
      <c r="AE99" s="89"/>
      <c r="AF99" s="123" t="n">
        <f aca="false">SUM(AG99:AH99)+SUM(AJ99:AK99)</f>
        <v>0</v>
      </c>
      <c r="AG99" s="318" t="n">
        <f aca="false">A86</f>
        <v>0</v>
      </c>
      <c r="AH99" s="319" t="n">
        <f aca="false">B86</f>
        <v>0</v>
      </c>
      <c r="AI99" s="6"/>
      <c r="AJ99" s="320" t="n">
        <f aca="false">C86</f>
        <v>0</v>
      </c>
      <c r="AK99" s="320" t="n">
        <f aca="false">D86</f>
        <v>0</v>
      </c>
      <c r="AL99" s="237" t="s">
        <v>225</v>
      </c>
      <c r="AM99" s="299" t="n">
        <f aca="false">'O_MN, PE_UTA_UGM 2024'!J76</f>
        <v>500</v>
      </c>
      <c r="AN99" s="299" t="n">
        <f aca="false">'O_MN, PE_UTA_UGM 2024'!K76</f>
        <v>1500</v>
      </c>
      <c r="AO99" s="300"/>
      <c r="AP99" s="299" t="n">
        <f aca="false">'O_MN, PE_UTA_UGM 2024'!H76</f>
        <v>450.76</v>
      </c>
      <c r="AQ99" s="299" t="n">
        <f aca="false">'O_MN, PE_UTA_UGM 2024'!I76</f>
        <v>721.21</v>
      </c>
      <c r="AR99" s="301"/>
      <c r="AS99" s="302" t="n">
        <f aca="false">'O_MN, PE_UTA_UGM 2024'!L76</f>
        <v>0.01837</v>
      </c>
      <c r="AT99" s="302" t="n">
        <f aca="false">'O_MN, PE_UTA_UGM 2024'!M76</f>
        <v>0.0294</v>
      </c>
      <c r="AU99" s="45"/>
      <c r="AV99" s="321" t="n">
        <f aca="false">AG99*AM99</f>
        <v>0</v>
      </c>
      <c r="AW99" s="319" t="n">
        <f aca="false">AH99*AN99</f>
        <v>0</v>
      </c>
      <c r="AX99" s="320" t="n">
        <f aca="false">1.25*AJ99*AM99</f>
        <v>0</v>
      </c>
      <c r="AY99" s="322" t="n">
        <f aca="false">1.25*AK99*AN99</f>
        <v>0</v>
      </c>
      <c r="AZ99" s="323" t="n">
        <f aca="false">AG99*AP99</f>
        <v>0</v>
      </c>
      <c r="BA99" s="319" t="n">
        <f aca="false">AH99*AQ99</f>
        <v>0</v>
      </c>
      <c r="BB99" s="320" t="n">
        <f aca="false">1.25*AJ99*AP99</f>
        <v>0</v>
      </c>
      <c r="BC99" s="320" t="n">
        <f aca="false">1.25*AK99*AQ99</f>
        <v>0</v>
      </c>
      <c r="BD99" s="321" t="n">
        <f aca="false">AG99*AS99</f>
        <v>0</v>
      </c>
      <c r="BE99" s="319" t="n">
        <f aca="false">AH99*AT99</f>
        <v>0</v>
      </c>
      <c r="BF99" s="320" t="n">
        <f aca="false">AJ99*AS99</f>
        <v>0</v>
      </c>
      <c r="BG99" s="322" t="n">
        <f aca="false">AK99*AT99</f>
        <v>0</v>
      </c>
      <c r="BH99" s="324" t="str">
        <f aca="false">IF(BH$24=$AA99,($AG99*$AM99)+($AJ99*$AM99*1.25)+($AH99*$AN99)+($AK99*$AN99*1.25),"")</f>
        <v/>
      </c>
      <c r="BI99" s="325" t="str">
        <f aca="false">IF(BI$24=$AA99,($AG99*$AM99)+($AJ99*$AM99*1.25)+($AH99*$AN99)+($AK99*$AN99*1.25),"")</f>
        <v/>
      </c>
      <c r="BJ99" s="325" t="n">
        <f aca="false">IF(BJ$24=$AA99,($AG99*$AM99)+($AJ99*$AM99*1.25)+($AH99*$AN99)+($AK99*$AN99*1.25),"")</f>
        <v>0</v>
      </c>
      <c r="BK99" s="325" t="str">
        <f aca="false">IF(BK$24=$AA99,($AG99*$AM99)+($AJ99*$AM99*1.25)+($AH99*$AN99)+($AK99*$AN99*1.25),"")</f>
        <v/>
      </c>
      <c r="BL99" s="326" t="str">
        <f aca="false">IF(BL$24=$AA99,($AG99*$AM99)+($AJ99*$AM99*1.25)+($AH99*$AN99)+($AK99*$AN99*1.25),"")</f>
        <v/>
      </c>
      <c r="BM99" s="327" t="str">
        <f aca="false">IF(CONCATENATE(BH99,BI99,BJ99,BK99,BL99)="",1,"")</f>
        <v/>
      </c>
      <c r="BN99" s="328"/>
      <c r="BO99" s="328"/>
      <c r="BP99" s="328"/>
      <c r="BQ99" s="328"/>
      <c r="BR99" s="47"/>
      <c r="BS99" s="127" t="n">
        <f aca="false">(AG99*AM99)+(AH99*AN99)+((AJ99*AM99)+(AK99*AN99)*1.25)</f>
        <v>0</v>
      </c>
      <c r="BT99" s="127" t="n">
        <f aca="false">(AG99*AP99)+(AH99*AQ99)+((AJ99*AP99)+(AK99*AQ99)*1.25)</f>
        <v>0</v>
      </c>
      <c r="BU99" s="329"/>
      <c r="BV99" s="129"/>
    </row>
    <row r="100" customFormat="false" ht="15" hidden="false" customHeight="false" outlineLevel="0" collapsed="false">
      <c r="A100" s="228"/>
      <c r="B100" s="229"/>
      <c r="C100" s="230"/>
      <c r="D100" s="231"/>
      <c r="E100" s="223" t="str">
        <f aca="false">IF(SUM(A100:D100)&gt;0,SUM(A100:D100),"")</f>
        <v/>
      </c>
      <c r="F100" s="224" t="str">
        <f aca="false">AD113</f>
        <v>PIMIENTO INVERNADERO</v>
      </c>
      <c r="G100" s="169"/>
      <c r="H100" s="169"/>
      <c r="I100" s="169"/>
      <c r="J100" s="169"/>
      <c r="K100" s="169"/>
      <c r="L100" s="169"/>
      <c r="M100" s="169"/>
      <c r="N100" s="169"/>
      <c r="O100" s="169"/>
      <c r="P100" s="169"/>
      <c r="Q100" s="169"/>
      <c r="R100" s="3"/>
      <c r="S100" s="3"/>
      <c r="T100" s="3"/>
      <c r="U100" s="3"/>
      <c r="V100" s="3"/>
      <c r="W100" s="3"/>
      <c r="X100" s="3"/>
      <c r="Y100" s="3"/>
      <c r="Z100" s="316" t="str">
        <f aca="false">IF(AF100&gt;0,RANK(AF100,AF$6:AF$422),"")</f>
        <v/>
      </c>
      <c r="AA100" s="134" t="n">
        <f aca="false">'O_MN, PE_UTA_UGM 2024'!N77</f>
        <v>3</v>
      </c>
      <c r="AB100" s="135" t="n">
        <f aca="false">'O_MN, PE_UTA_UGM 2024'!O77</f>
        <v>0</v>
      </c>
      <c r="AC100" s="317" t="n">
        <f aca="false">'O_MN, PE_UTA_UGM 2024'!C77</f>
        <v>125</v>
      </c>
      <c r="AD100" s="293" t="str">
        <f aca="false">IF(AB100=0,'O_MN, PE_UTA_UGM 2024'!F77,CONCATENATE('O_MN, PE_UTA_UGM 2024'!F77," ","INVERNADERO"))</f>
        <v>FRUTOS DE CÁSCARA</v>
      </c>
      <c r="AE100" s="89"/>
      <c r="AF100" s="123" t="n">
        <f aca="false">SUM(AG100:AH100)+SUM(AJ100:AK100)</f>
        <v>0</v>
      </c>
      <c r="AG100" s="318" t="n">
        <f aca="false">A87</f>
        <v>0</v>
      </c>
      <c r="AH100" s="319" t="n">
        <f aca="false">B87</f>
        <v>0</v>
      </c>
      <c r="AI100" s="6"/>
      <c r="AJ100" s="320" t="n">
        <f aca="false">C87</f>
        <v>0</v>
      </c>
      <c r="AK100" s="320" t="n">
        <f aca="false">D87</f>
        <v>0</v>
      </c>
      <c r="AL100" s="237" t="s">
        <v>226</v>
      </c>
      <c r="AM100" s="299" t="n">
        <f aca="false">'O_MN, PE_UTA_UGM 2024'!J77</f>
        <v>500</v>
      </c>
      <c r="AN100" s="299" t="n">
        <f aca="false">'O_MN, PE_UTA_UGM 2024'!K77</f>
        <v>1500</v>
      </c>
      <c r="AO100" s="300"/>
      <c r="AP100" s="299" t="n">
        <f aca="false">'O_MN, PE_UTA_UGM 2024'!H77</f>
        <v>450.76</v>
      </c>
      <c r="AQ100" s="299" t="n">
        <f aca="false">'O_MN, PE_UTA_UGM 2024'!I77</f>
        <v>721.21</v>
      </c>
      <c r="AR100" s="301"/>
      <c r="AS100" s="302" t="n">
        <f aca="false">'O_MN, PE_UTA_UGM 2024'!L77</f>
        <v>0.01837</v>
      </c>
      <c r="AT100" s="302" t="n">
        <f aca="false">'O_MN, PE_UTA_UGM 2024'!M77</f>
        <v>0.0294</v>
      </c>
      <c r="AU100" s="45"/>
      <c r="AV100" s="321" t="n">
        <f aca="false">AG100*AM100</f>
        <v>0</v>
      </c>
      <c r="AW100" s="319" t="n">
        <f aca="false">AH100*AN100</f>
        <v>0</v>
      </c>
      <c r="AX100" s="320" t="n">
        <f aca="false">1.25*AJ100*AM100</f>
        <v>0</v>
      </c>
      <c r="AY100" s="322" t="n">
        <f aca="false">1.25*AK100*AN100</f>
        <v>0</v>
      </c>
      <c r="AZ100" s="323" t="n">
        <f aca="false">AG100*AP100</f>
        <v>0</v>
      </c>
      <c r="BA100" s="319" t="n">
        <f aca="false">AH100*AQ100</f>
        <v>0</v>
      </c>
      <c r="BB100" s="320" t="n">
        <f aca="false">1.25*AJ100*AP100</f>
        <v>0</v>
      </c>
      <c r="BC100" s="320" t="n">
        <f aca="false">1.25*AK100*AQ100</f>
        <v>0</v>
      </c>
      <c r="BD100" s="321" t="n">
        <f aca="false">AG100*AS100</f>
        <v>0</v>
      </c>
      <c r="BE100" s="319" t="n">
        <f aca="false">AH100*AT100</f>
        <v>0</v>
      </c>
      <c r="BF100" s="320" t="n">
        <f aca="false">AJ100*AS100</f>
        <v>0</v>
      </c>
      <c r="BG100" s="322" t="n">
        <f aca="false">AK100*AT100</f>
        <v>0</v>
      </c>
      <c r="BH100" s="324" t="str">
        <f aca="false">IF(BH$24=$AA100,($AG100*$AM100)+($AJ100*$AM100*1.25)+($AH100*$AN100)+($AK100*$AN100*1.25),"")</f>
        <v/>
      </c>
      <c r="BI100" s="325" t="str">
        <f aca="false">IF(BI$24=$AA100,($AG100*$AM100)+($AJ100*$AM100*1.25)+($AH100*$AN100)+($AK100*$AN100*1.25),"")</f>
        <v/>
      </c>
      <c r="BJ100" s="325" t="n">
        <f aca="false">IF(BJ$24=$AA100,($AG100*$AM100)+($AJ100*$AM100*1.25)+($AH100*$AN100)+($AK100*$AN100*1.25),"")</f>
        <v>0</v>
      </c>
      <c r="BK100" s="325" t="str">
        <f aca="false">IF(BK$24=$AA100,($AG100*$AM100)+($AJ100*$AM100*1.25)+($AH100*$AN100)+($AK100*$AN100*1.25),"")</f>
        <v/>
      </c>
      <c r="BL100" s="326" t="str">
        <f aca="false">IF(BL$24=$AA100,($AG100*$AM100)+($AJ100*$AM100*1.25)+($AH100*$AN100)+($AK100*$AN100*1.25),"")</f>
        <v/>
      </c>
      <c r="BM100" s="327" t="str">
        <f aca="false">IF(CONCATENATE(BH100,BI100,BJ100,BK100,BL100)="",1,"")</f>
        <v/>
      </c>
      <c r="BN100" s="328"/>
      <c r="BO100" s="328"/>
      <c r="BP100" s="328"/>
      <c r="BQ100" s="328"/>
      <c r="BR100" s="47"/>
      <c r="BS100" s="127" t="n">
        <f aca="false">(AG100*AM100)+(AH100*AN100)+((AJ100*AM100)+(AK100*AN100)*1.25)</f>
        <v>0</v>
      </c>
      <c r="BT100" s="127" t="n">
        <f aca="false">(AG100*AP100)+(AH100*AQ100)+((AJ100*AP100)+(AK100*AQ100)*1.25)</f>
        <v>0</v>
      </c>
      <c r="BU100" s="329"/>
      <c r="BV100" s="129"/>
    </row>
    <row r="101" customFormat="false" ht="15" hidden="false" customHeight="false" outlineLevel="0" collapsed="false">
      <c r="A101" s="228"/>
      <c r="B101" s="229"/>
      <c r="C101" s="230"/>
      <c r="D101" s="231"/>
      <c r="E101" s="223" t="str">
        <f aca="false">IF(SUM(A101:D101)&gt;0,SUM(A101:D101),"")</f>
        <v/>
      </c>
      <c r="F101" s="224" t="str">
        <f aca="false">AD114</f>
        <v>MELÓN</v>
      </c>
      <c r="G101" s="169"/>
      <c r="H101" s="169"/>
      <c r="I101" s="169"/>
      <c r="J101" s="169"/>
      <c r="K101" s="169"/>
      <c r="L101" s="169"/>
      <c r="M101" s="169"/>
      <c r="N101" s="169"/>
      <c r="O101" s="169"/>
      <c r="P101" s="169"/>
      <c r="Q101" s="169"/>
      <c r="R101" s="3"/>
      <c r="S101" s="3"/>
      <c r="T101" s="3"/>
      <c r="U101" s="3"/>
      <c r="V101" s="3"/>
      <c r="W101" s="3"/>
      <c r="X101" s="3"/>
      <c r="Y101" s="3"/>
      <c r="Z101" s="316" t="str">
        <f aca="false">IF(AF101&gt;0,RANK(AF101,AF$6:AF$422),"")</f>
        <v/>
      </c>
      <c r="AA101" s="134" t="n">
        <f aca="false">'O_MN, PE_UTA_UGM 2024'!N78</f>
        <v>1</v>
      </c>
      <c r="AB101" s="135" t="n">
        <f aca="false">'O_MN, PE_UTA_UGM 2024'!O78</f>
        <v>0</v>
      </c>
      <c r="AC101" s="317" t="n">
        <f aca="false">'O_MN, PE_UTA_UGM 2024'!C78</f>
        <v>138</v>
      </c>
      <c r="AD101" s="293" t="str">
        <f aca="false">IF(AB101=0,'O_MN, PE_UTA_UGM 2024'!F78,CONCATENATE('O_MN, PE_UTA_UGM 2024'!F78," ","INVERNADERO"))</f>
        <v>ADORMIDERA</v>
      </c>
      <c r="AE101" s="89"/>
      <c r="AF101" s="123" t="n">
        <f aca="false">SUM(AG101:AH101)+SUM(AJ101:AK101)</f>
        <v>0</v>
      </c>
      <c r="AG101" s="318" t="n">
        <f aca="false">A88</f>
        <v>0</v>
      </c>
      <c r="AH101" s="319" t="n">
        <f aca="false">B88</f>
        <v>0</v>
      </c>
      <c r="AI101" s="6"/>
      <c r="AJ101" s="320" t="n">
        <f aca="false">C88</f>
        <v>0</v>
      </c>
      <c r="AK101" s="320" t="n">
        <f aca="false">D88</f>
        <v>0</v>
      </c>
      <c r="AL101" s="237" t="s">
        <v>227</v>
      </c>
      <c r="AM101" s="299" t="n">
        <f aca="false">'O_MN, PE_UTA_UGM 2024'!J78</f>
        <v>0</v>
      </c>
      <c r="AN101" s="299" t="n">
        <f aca="false">'O_MN, PE_UTA_UGM 2024'!K78</f>
        <v>5200</v>
      </c>
      <c r="AO101" s="300"/>
      <c r="AP101" s="299" t="n">
        <f aca="false">'O_MN, PE_UTA_UGM 2024'!H78</f>
        <v>0</v>
      </c>
      <c r="AQ101" s="299" t="n">
        <f aca="false">'O_MN, PE_UTA_UGM 2024'!I78</f>
        <v>240.4</v>
      </c>
      <c r="AR101" s="301"/>
      <c r="AS101" s="302" t="n">
        <f aca="false">'O_MN, PE_UTA_UGM 2024'!L78</f>
        <v>0</v>
      </c>
      <c r="AT101" s="302" t="n">
        <f aca="false">'O_MN, PE_UTA_UGM 2024'!M78</f>
        <v>0.0098</v>
      </c>
      <c r="AU101" s="45"/>
      <c r="AV101" s="321" t="n">
        <f aca="false">AG101*AM101</f>
        <v>0</v>
      </c>
      <c r="AW101" s="319" t="n">
        <f aca="false">AH101*AN101</f>
        <v>0</v>
      </c>
      <c r="AX101" s="320" t="n">
        <f aca="false">1.25*AJ101*AM101</f>
        <v>0</v>
      </c>
      <c r="AY101" s="322" t="n">
        <f aca="false">1.25*AK101*AN101</f>
        <v>0</v>
      </c>
      <c r="AZ101" s="323" t="n">
        <f aca="false">AG101*AP101</f>
        <v>0</v>
      </c>
      <c r="BA101" s="319" t="n">
        <f aca="false">AH101*AQ101</f>
        <v>0</v>
      </c>
      <c r="BB101" s="320" t="n">
        <f aca="false">1.25*AJ101*AP101</f>
        <v>0</v>
      </c>
      <c r="BC101" s="320" t="n">
        <f aca="false">1.25*AK101*AQ101</f>
        <v>0</v>
      </c>
      <c r="BD101" s="321" t="n">
        <f aca="false">AG101*AS101</f>
        <v>0</v>
      </c>
      <c r="BE101" s="319" t="n">
        <f aca="false">AH101*AT101</f>
        <v>0</v>
      </c>
      <c r="BF101" s="320" t="n">
        <f aca="false">AJ101*AS101</f>
        <v>0</v>
      </c>
      <c r="BG101" s="322" t="n">
        <f aca="false">AK101*AT101</f>
        <v>0</v>
      </c>
      <c r="BH101" s="324" t="n">
        <f aca="false">IF(BH$24=$AA101,($AG101*$AM101)+($AJ101*$AM101*1.25)+($AH101*$AN101)+($AK101*$AN101*1.25),"")</f>
        <v>0</v>
      </c>
      <c r="BI101" s="325" t="str">
        <f aca="false">IF(BI$24=$AA101,($AG101*$AM101)+($AJ101*$AM101*1.25)+($AH101*$AN101)+($AK101*$AN101*1.25),"")</f>
        <v/>
      </c>
      <c r="BJ101" s="325" t="str">
        <f aca="false">IF(BJ$24=$AA101,($AG101*$AM101)+($AJ101*$AM101*1.25)+($AH101*$AN101)+($AK101*$AN101*1.25),"")</f>
        <v/>
      </c>
      <c r="BK101" s="325" t="str">
        <f aca="false">IF(BK$24=$AA101,($AG101*$AM101)+($AJ101*$AM101*1.25)+($AH101*$AN101)+($AK101*$AN101*1.25),"")</f>
        <v/>
      </c>
      <c r="BL101" s="326" t="str">
        <f aca="false">IF(BL$24=$AA101,($AG101*$AM101)+($AJ101*$AM101*1.25)+($AH101*$AN101)+($AK101*$AN101*1.25),"")</f>
        <v/>
      </c>
      <c r="BM101" s="327" t="str">
        <f aca="false">IF(CONCATENATE(BH101,BI101,BJ101,BK101,BL101)="",1,"")</f>
        <v/>
      </c>
      <c r="BN101" s="328"/>
      <c r="BO101" s="328"/>
      <c r="BP101" s="328"/>
      <c r="BQ101" s="328"/>
      <c r="BR101" s="47"/>
      <c r="BS101" s="127" t="n">
        <f aca="false">(AG101*AM101)+(AH101*AN101)+((AJ101*AM101)+(AK101*AN101)*1.25)</f>
        <v>0</v>
      </c>
      <c r="BT101" s="127" t="n">
        <f aca="false">(AG101*AP101)+(AH101*AQ101)+((AJ101*AP101)+(AK101*AQ101)*1.25)</f>
        <v>0</v>
      </c>
      <c r="BU101" s="329"/>
      <c r="BV101" s="129"/>
    </row>
    <row r="102" customFormat="false" ht="15" hidden="false" customHeight="false" outlineLevel="0" collapsed="false">
      <c r="A102" s="228"/>
      <c r="B102" s="229"/>
      <c r="C102" s="230"/>
      <c r="D102" s="231"/>
      <c r="E102" s="223" t="str">
        <f aca="false">IF(SUM(A102:D102)&gt;0,SUM(A102:D102),"")</f>
        <v/>
      </c>
      <c r="F102" s="224" t="str">
        <f aca="false">AD115</f>
        <v>MELÓN INVERNADERO</v>
      </c>
      <c r="G102" s="169"/>
      <c r="H102" s="169"/>
      <c r="I102" s="169"/>
      <c r="J102" s="169"/>
      <c r="K102" s="169"/>
      <c r="L102" s="169"/>
      <c r="M102" s="169"/>
      <c r="N102" s="169"/>
      <c r="O102" s="169"/>
      <c r="P102" s="169"/>
      <c r="Q102" s="169"/>
      <c r="R102" s="3"/>
      <c r="S102" s="3"/>
      <c r="T102" s="3"/>
      <c r="U102" s="3"/>
      <c r="V102" s="3"/>
      <c r="W102" s="3"/>
      <c r="X102" s="3"/>
      <c r="Y102" s="3"/>
      <c r="Z102" s="316" t="str">
        <f aca="false">IF(AF102&gt;0,RANK(AF102,AF$6:AF$422),"")</f>
        <v/>
      </c>
      <c r="AA102" s="134" t="n">
        <f aca="false">'O_MN, PE_UTA_UGM 2024'!N79</f>
        <v>1</v>
      </c>
      <c r="AB102" s="135" t="n">
        <f aca="false">'O_MN, PE_UTA_UGM 2024'!O79</f>
        <v>0</v>
      </c>
      <c r="AC102" s="317" t="n">
        <f aca="false">'O_MN, PE_UTA_UGM 2024'!C79</f>
        <v>139</v>
      </c>
      <c r="AD102" s="293" t="str">
        <f aca="false">IF(AB102=0,'O_MN, PE_UTA_UGM 2024'!F79,CONCATENATE('O_MN, PE_UTA_UGM 2024'!F79," ","INVERNADERO"))</f>
        <v>HIERBA CINTA</v>
      </c>
      <c r="AE102" s="89"/>
      <c r="AF102" s="123" t="n">
        <f aca="false">SUM(AG102:AH102)+SUM(AJ102:AK102)</f>
        <v>0</v>
      </c>
      <c r="AG102" s="318" t="n">
        <f aca="false">A89</f>
        <v>0</v>
      </c>
      <c r="AH102" s="319" t="n">
        <f aca="false">B89</f>
        <v>0</v>
      </c>
      <c r="AI102" s="6"/>
      <c r="AJ102" s="320" t="n">
        <f aca="false">C89</f>
        <v>0</v>
      </c>
      <c r="AK102" s="320" t="n">
        <f aca="false">D89</f>
        <v>0</v>
      </c>
      <c r="AL102" s="237" t="s">
        <v>228</v>
      </c>
      <c r="AM102" s="299" t="n">
        <f aca="false">'O_MN, PE_UTA_UGM 2024'!J79</f>
        <v>0</v>
      </c>
      <c r="AN102" s="299" t="n">
        <f aca="false">'O_MN, PE_UTA_UGM 2024'!K79</f>
        <v>5200</v>
      </c>
      <c r="AO102" s="300"/>
      <c r="AP102" s="299" t="n">
        <f aca="false">'O_MN, PE_UTA_UGM 2024'!H79</f>
        <v>0</v>
      </c>
      <c r="AQ102" s="299" t="n">
        <f aca="false">'O_MN, PE_UTA_UGM 2024'!I79</f>
        <v>240.4</v>
      </c>
      <c r="AR102" s="301"/>
      <c r="AS102" s="302" t="n">
        <f aca="false">'O_MN, PE_UTA_UGM 2024'!L79</f>
        <v>0</v>
      </c>
      <c r="AT102" s="302" t="n">
        <f aca="false">'O_MN, PE_UTA_UGM 2024'!M79</f>
        <v>0.0098</v>
      </c>
      <c r="AU102" s="45"/>
      <c r="AV102" s="321" t="n">
        <f aca="false">AG102*AM102</f>
        <v>0</v>
      </c>
      <c r="AW102" s="319" t="n">
        <f aca="false">AH102*AN102</f>
        <v>0</v>
      </c>
      <c r="AX102" s="320" t="n">
        <f aca="false">1.25*AJ102*AM102</f>
        <v>0</v>
      </c>
      <c r="AY102" s="322" t="n">
        <f aca="false">1.25*AK102*AN102</f>
        <v>0</v>
      </c>
      <c r="AZ102" s="323" t="n">
        <f aca="false">AG102*AP102</f>
        <v>0</v>
      </c>
      <c r="BA102" s="319" t="n">
        <f aca="false">AH102*AQ102</f>
        <v>0</v>
      </c>
      <c r="BB102" s="320" t="n">
        <f aca="false">1.25*AJ102*AP102</f>
        <v>0</v>
      </c>
      <c r="BC102" s="320" t="n">
        <f aca="false">1.25*AK102*AQ102</f>
        <v>0</v>
      </c>
      <c r="BD102" s="321" t="n">
        <f aca="false">AG102*AS102</f>
        <v>0</v>
      </c>
      <c r="BE102" s="319" t="n">
        <f aca="false">AH102*AT102</f>
        <v>0</v>
      </c>
      <c r="BF102" s="320" t="n">
        <f aca="false">AJ102*AS102</f>
        <v>0</v>
      </c>
      <c r="BG102" s="322" t="n">
        <f aca="false">AK102*AT102</f>
        <v>0</v>
      </c>
      <c r="BH102" s="324" t="n">
        <f aca="false">IF(BH$24=$AA102,($AG102*$AM102)+($AJ102*$AM102*1.25)+($AH102*$AN102)+($AK102*$AN102*1.25),"")</f>
        <v>0</v>
      </c>
      <c r="BI102" s="325" t="str">
        <f aca="false">IF(BI$24=$AA102,($AG102*$AM102)+($AJ102*$AM102*1.25)+($AH102*$AN102)+($AK102*$AN102*1.25),"")</f>
        <v/>
      </c>
      <c r="BJ102" s="325" t="str">
        <f aca="false">IF(BJ$24=$AA102,($AG102*$AM102)+($AJ102*$AM102*1.25)+($AH102*$AN102)+($AK102*$AN102*1.25),"")</f>
        <v/>
      </c>
      <c r="BK102" s="325" t="str">
        <f aca="false">IF(BK$24=$AA102,($AG102*$AM102)+($AJ102*$AM102*1.25)+($AH102*$AN102)+($AK102*$AN102*1.25),"")</f>
        <v/>
      </c>
      <c r="BL102" s="326" t="str">
        <f aca="false">IF(BL$24=$AA102,($AG102*$AM102)+($AJ102*$AM102*1.25)+($AH102*$AN102)+($AK102*$AN102*1.25),"")</f>
        <v/>
      </c>
      <c r="BM102" s="327" t="str">
        <f aca="false">IF(CONCATENATE(BH102,BI102,BJ102,BK102,BL102)="",1,"")</f>
        <v/>
      </c>
      <c r="BN102" s="328"/>
      <c r="BO102" s="328"/>
      <c r="BP102" s="328"/>
      <c r="BQ102" s="328"/>
      <c r="BR102" s="47"/>
      <c r="BS102" s="127" t="n">
        <f aca="false">(AG102*AM102)+(AH102*AN102)+((AJ102*AM102)+(AK102*AN102)*1.25)</f>
        <v>0</v>
      </c>
      <c r="BT102" s="127" t="n">
        <f aca="false">(AG102*AP102)+(AH102*AQ102)+((AJ102*AP102)+(AK102*AQ102)*1.25)</f>
        <v>0</v>
      </c>
      <c r="BU102" s="329"/>
      <c r="BV102" s="129"/>
    </row>
    <row r="103" customFormat="false" ht="15" hidden="false" customHeight="false" outlineLevel="0" collapsed="false">
      <c r="A103" s="228"/>
      <c r="B103" s="229"/>
      <c r="C103" s="230"/>
      <c r="D103" s="231"/>
      <c r="E103" s="223" t="str">
        <f aca="false">IF(SUM(A103:D103)&gt;0,SUM(A103:D103),"")</f>
        <v/>
      </c>
      <c r="F103" s="224" t="str">
        <f aca="false">AD116</f>
        <v>MELÓN INVERNADERO</v>
      </c>
      <c r="G103" s="169"/>
      <c r="H103" s="169"/>
      <c r="I103" s="169"/>
      <c r="J103" s="169"/>
      <c r="K103" s="169"/>
      <c r="L103" s="169"/>
      <c r="M103" s="169"/>
      <c r="N103" s="169"/>
      <c r="O103" s="169"/>
      <c r="P103" s="169"/>
      <c r="Q103" s="169"/>
      <c r="R103" s="3"/>
      <c r="S103" s="3"/>
      <c r="T103" s="3"/>
      <c r="U103" s="3"/>
      <c r="V103" s="3"/>
      <c r="W103" s="3"/>
      <c r="X103" s="3"/>
      <c r="Y103" s="3"/>
      <c r="Z103" s="316" t="str">
        <f aca="false">IF(AF103&gt;0,RANK(AF103,AF$6:AF$422),"")</f>
        <v/>
      </c>
      <c r="AA103" s="134" t="n">
        <f aca="false">'O_MN, PE_UTA_UGM 2024'!N80</f>
        <v>1</v>
      </c>
      <c r="AB103" s="135" t="n">
        <f aca="false">'O_MN, PE_UTA_UGM 2024'!O80</f>
        <v>0</v>
      </c>
      <c r="AC103" s="317" t="n">
        <f aca="false">'O_MN, PE_UTA_UGM 2024'!C80</f>
        <v>140</v>
      </c>
      <c r="AD103" s="293" t="str">
        <f aca="false">IF(AB103=0,'O_MN, PE_UTA_UGM 2024'!F80,CONCATENATE('O_MN, PE_UTA_UGM 2024'!F80," ","INVERNADERO"))</f>
        <v>ABACA ALIAS MANILA</v>
      </c>
      <c r="AE103" s="89"/>
      <c r="AF103" s="123" t="n">
        <f aca="false">SUM(AG103:AH103)+SUM(AJ103:AK103)</f>
        <v>0</v>
      </c>
      <c r="AG103" s="318" t="n">
        <f aca="false">A90</f>
        <v>0</v>
      </c>
      <c r="AH103" s="319" t="n">
        <f aca="false">B90</f>
        <v>0</v>
      </c>
      <c r="AI103" s="6"/>
      <c r="AJ103" s="320" t="n">
        <f aca="false">C90</f>
        <v>0</v>
      </c>
      <c r="AK103" s="320" t="n">
        <f aca="false">D90</f>
        <v>0</v>
      </c>
      <c r="AL103" s="237" t="s">
        <v>229</v>
      </c>
      <c r="AM103" s="299" t="n">
        <f aca="false">'O_MN, PE_UTA_UGM 2024'!J80</f>
        <v>0</v>
      </c>
      <c r="AN103" s="299" t="n">
        <f aca="false">'O_MN, PE_UTA_UGM 2024'!K80</f>
        <v>5200</v>
      </c>
      <c r="AO103" s="300"/>
      <c r="AP103" s="299" t="n">
        <f aca="false">'O_MN, PE_UTA_UGM 2024'!H80</f>
        <v>0</v>
      </c>
      <c r="AQ103" s="299" t="n">
        <f aca="false">'O_MN, PE_UTA_UGM 2024'!I80</f>
        <v>240.4</v>
      </c>
      <c r="AR103" s="301"/>
      <c r="AS103" s="302" t="n">
        <f aca="false">'O_MN, PE_UTA_UGM 2024'!L80</f>
        <v>0</v>
      </c>
      <c r="AT103" s="302" t="n">
        <f aca="false">'O_MN, PE_UTA_UGM 2024'!M80</f>
        <v>0.0098</v>
      </c>
      <c r="AU103" s="45"/>
      <c r="AV103" s="321" t="n">
        <f aca="false">AG103*AM103</f>
        <v>0</v>
      </c>
      <c r="AW103" s="319" t="n">
        <f aca="false">AH103*AN103</f>
        <v>0</v>
      </c>
      <c r="AX103" s="320" t="n">
        <f aca="false">1.25*AJ103*AM103</f>
        <v>0</v>
      </c>
      <c r="AY103" s="322" t="n">
        <f aca="false">1.25*AK103*AN103</f>
        <v>0</v>
      </c>
      <c r="AZ103" s="323" t="n">
        <f aca="false">AG103*AP103</f>
        <v>0</v>
      </c>
      <c r="BA103" s="319" t="n">
        <f aca="false">AH103*AQ103</f>
        <v>0</v>
      </c>
      <c r="BB103" s="320" t="n">
        <f aca="false">1.25*AJ103*AP103</f>
        <v>0</v>
      </c>
      <c r="BC103" s="320" t="n">
        <f aca="false">1.25*AK103*AQ103</f>
        <v>0</v>
      </c>
      <c r="BD103" s="321" t="n">
        <f aca="false">AG103*AS103</f>
        <v>0</v>
      </c>
      <c r="BE103" s="319" t="n">
        <f aca="false">AH103*AT103</f>
        <v>0</v>
      </c>
      <c r="BF103" s="320" t="n">
        <f aca="false">AJ103*AS103</f>
        <v>0</v>
      </c>
      <c r="BG103" s="322" t="n">
        <f aca="false">AK103*AT103</f>
        <v>0</v>
      </c>
      <c r="BH103" s="324" t="n">
        <f aca="false">IF(BH$24=$AA103,($AG103*$AM103)+($AJ103*$AM103*1.25)+($AH103*$AN103)+($AK103*$AN103*1.25),"")</f>
        <v>0</v>
      </c>
      <c r="BI103" s="325" t="str">
        <f aca="false">IF(BI$24=$AA103,($AG103*$AM103)+($AJ103*$AM103*1.25)+($AH103*$AN103)+($AK103*$AN103*1.25),"")</f>
        <v/>
      </c>
      <c r="BJ103" s="325" t="str">
        <f aca="false">IF(BJ$24=$AA103,($AG103*$AM103)+($AJ103*$AM103*1.25)+($AH103*$AN103)+($AK103*$AN103*1.25),"")</f>
        <v/>
      </c>
      <c r="BK103" s="325" t="str">
        <f aca="false">IF(BK$24=$AA103,($AG103*$AM103)+($AJ103*$AM103*1.25)+($AH103*$AN103)+($AK103*$AN103*1.25),"")</f>
        <v/>
      </c>
      <c r="BL103" s="326" t="str">
        <f aca="false">IF(BL$24=$AA103,($AG103*$AM103)+($AJ103*$AM103*1.25)+($AH103*$AN103)+($AK103*$AN103*1.25),"")</f>
        <v/>
      </c>
      <c r="BM103" s="327" t="str">
        <f aca="false">IF(CONCATENATE(BH103,BI103,BJ103,BK103,BL103)="",1,"")</f>
        <v/>
      </c>
      <c r="BN103" s="328"/>
      <c r="BO103" s="328"/>
      <c r="BP103" s="328"/>
      <c r="BQ103" s="328"/>
      <c r="BR103" s="47"/>
      <c r="BS103" s="127" t="n">
        <f aca="false">(AG103*AM103)+(AH103*AN103)+((AJ103*AM103)+(AK103*AN103)*1.25)</f>
        <v>0</v>
      </c>
      <c r="BT103" s="127" t="n">
        <f aca="false">(AG103*AP103)+(AH103*AQ103)+((AJ103*AP103)+(AK103*AQ103)*1.25)</f>
        <v>0</v>
      </c>
      <c r="BU103" s="329"/>
      <c r="BV103" s="129"/>
    </row>
    <row r="104" customFormat="false" ht="15" hidden="false" customHeight="false" outlineLevel="0" collapsed="false">
      <c r="A104" s="228"/>
      <c r="B104" s="229"/>
      <c r="C104" s="230"/>
      <c r="D104" s="231"/>
      <c r="E104" s="223" t="str">
        <f aca="false">IF(SUM(A104:D104)&gt;0,SUM(A104:D104),"")</f>
        <v/>
      </c>
      <c r="F104" s="224" t="str">
        <f aca="false">AD117</f>
        <v>BRÓCOLI</v>
      </c>
      <c r="G104" s="169"/>
      <c r="H104" s="169"/>
      <c r="I104" s="169"/>
      <c r="J104" s="169"/>
      <c r="K104" s="169"/>
      <c r="L104" s="169"/>
      <c r="M104" s="169"/>
      <c r="N104" s="169"/>
      <c r="O104" s="169"/>
      <c r="P104" s="169"/>
      <c r="Q104" s="169"/>
      <c r="R104" s="3"/>
      <c r="S104" s="3"/>
      <c r="T104" s="3"/>
      <c r="U104" s="3"/>
      <c r="V104" s="3"/>
      <c r="W104" s="3"/>
      <c r="X104" s="3"/>
      <c r="Y104" s="3"/>
      <c r="Z104" s="316" t="str">
        <f aca="false">IF(AF104&gt;0,RANK(AF104,AF$6:AF$422),"")</f>
        <v/>
      </c>
      <c r="AA104" s="134" t="n">
        <f aca="false">'O_MN, PE_UTA_UGM 2024'!N81</f>
        <v>1</v>
      </c>
      <c r="AB104" s="135" t="n">
        <f aca="false">'O_MN, PE_UTA_UGM 2024'!O81</f>
        <v>0</v>
      </c>
      <c r="AC104" s="317" t="n">
        <f aca="false">'O_MN, PE_UTA_UGM 2024'!C81</f>
        <v>141</v>
      </c>
      <c r="AD104" s="293" t="str">
        <f aca="false">IF(AB104=0,'O_MN, PE_UTA_UGM 2024'!F81,CONCATENATE('O_MN, PE_UTA_UGM 2024'!F81," ","INVERNADERO"))</f>
        <v>KENAF</v>
      </c>
      <c r="AE104" s="89"/>
      <c r="AF104" s="123" t="n">
        <f aca="false">SUM(AG104:AH104)+SUM(AJ104:AK104)</f>
        <v>0</v>
      </c>
      <c r="AG104" s="318" t="n">
        <f aca="false">A91</f>
        <v>0</v>
      </c>
      <c r="AH104" s="319" t="n">
        <f aca="false">B91</f>
        <v>0</v>
      </c>
      <c r="AI104" s="6"/>
      <c r="AJ104" s="320" t="n">
        <f aca="false">C91</f>
        <v>0</v>
      </c>
      <c r="AK104" s="320" t="n">
        <f aca="false">D91</f>
        <v>0</v>
      </c>
      <c r="AL104" s="237" t="s">
        <v>230</v>
      </c>
      <c r="AM104" s="299" t="n">
        <f aca="false">'O_MN, PE_UTA_UGM 2024'!J81</f>
        <v>0</v>
      </c>
      <c r="AN104" s="299" t="n">
        <f aca="false">'O_MN, PE_UTA_UGM 2024'!K81</f>
        <v>5200</v>
      </c>
      <c r="AO104" s="300"/>
      <c r="AP104" s="299" t="n">
        <f aca="false">'O_MN, PE_UTA_UGM 2024'!H81</f>
        <v>0</v>
      </c>
      <c r="AQ104" s="299" t="n">
        <f aca="false">'O_MN, PE_UTA_UGM 2024'!I81</f>
        <v>240.4</v>
      </c>
      <c r="AR104" s="301"/>
      <c r="AS104" s="302" t="n">
        <f aca="false">'O_MN, PE_UTA_UGM 2024'!L81</f>
        <v>0</v>
      </c>
      <c r="AT104" s="302" t="n">
        <f aca="false">'O_MN, PE_UTA_UGM 2024'!M81</f>
        <v>0.0098</v>
      </c>
      <c r="AU104" s="45"/>
      <c r="AV104" s="321" t="n">
        <f aca="false">AG104*AM104</f>
        <v>0</v>
      </c>
      <c r="AW104" s="319" t="n">
        <f aca="false">AH104*AN104</f>
        <v>0</v>
      </c>
      <c r="AX104" s="320" t="n">
        <f aca="false">1.25*AJ104*AM104</f>
        <v>0</v>
      </c>
      <c r="AY104" s="322" t="n">
        <f aca="false">1.25*AK104*AN104</f>
        <v>0</v>
      </c>
      <c r="AZ104" s="323" t="n">
        <f aca="false">AG104*AP104</f>
        <v>0</v>
      </c>
      <c r="BA104" s="319" t="n">
        <f aca="false">AH104*AQ104</f>
        <v>0</v>
      </c>
      <c r="BB104" s="320" t="n">
        <f aca="false">1.25*AJ104*AP104</f>
        <v>0</v>
      </c>
      <c r="BC104" s="320" t="n">
        <f aca="false">1.25*AK104*AQ104</f>
        <v>0</v>
      </c>
      <c r="BD104" s="321" t="n">
        <f aca="false">AG104*AS104</f>
        <v>0</v>
      </c>
      <c r="BE104" s="319" t="n">
        <f aca="false">AH104*AT104</f>
        <v>0</v>
      </c>
      <c r="BF104" s="320" t="n">
        <f aca="false">AJ104*AS104</f>
        <v>0</v>
      </c>
      <c r="BG104" s="322" t="n">
        <f aca="false">AK104*AT104</f>
        <v>0</v>
      </c>
      <c r="BH104" s="324" t="n">
        <f aca="false">IF(BH$24=$AA104,($AG104*$AM104)+($AJ104*$AM104*1.25)+($AH104*$AN104)+($AK104*$AN104*1.25),"")</f>
        <v>0</v>
      </c>
      <c r="BI104" s="325" t="str">
        <f aca="false">IF(BI$24=$AA104,($AG104*$AM104)+($AJ104*$AM104*1.25)+($AH104*$AN104)+($AK104*$AN104*1.25),"")</f>
        <v/>
      </c>
      <c r="BJ104" s="325" t="str">
        <f aca="false">IF(BJ$24=$AA104,($AG104*$AM104)+($AJ104*$AM104*1.25)+($AH104*$AN104)+($AK104*$AN104*1.25),"")</f>
        <v/>
      </c>
      <c r="BK104" s="325" t="str">
        <f aca="false">IF(BK$24=$AA104,($AG104*$AM104)+($AJ104*$AM104*1.25)+($AH104*$AN104)+($AK104*$AN104*1.25),"")</f>
        <v/>
      </c>
      <c r="BL104" s="326" t="str">
        <f aca="false">IF(BL$24=$AA104,($AG104*$AM104)+($AJ104*$AM104*1.25)+($AH104*$AN104)+($AK104*$AN104*1.25),"")</f>
        <v/>
      </c>
      <c r="BM104" s="327" t="str">
        <f aca="false">IF(CONCATENATE(BH104,BI104,BJ104,BK104,BL104)="",1,"")</f>
        <v/>
      </c>
      <c r="BN104" s="328"/>
      <c r="BO104" s="328"/>
      <c r="BP104" s="328"/>
      <c r="BQ104" s="328"/>
      <c r="BR104" s="47"/>
      <c r="BS104" s="127" t="n">
        <f aca="false">(AG104*AM104)+(AH104*AN104)+((AJ104*AM104)+(AK104*AN104)*1.25)</f>
        <v>0</v>
      </c>
      <c r="BT104" s="127" t="n">
        <f aca="false">(AG104*AP104)+(AH104*AQ104)+((AJ104*AP104)+(AK104*AQ104)*1.25)</f>
        <v>0</v>
      </c>
      <c r="BU104" s="329"/>
      <c r="BV104" s="129"/>
    </row>
    <row r="105" customFormat="false" ht="15" hidden="false" customHeight="false" outlineLevel="0" collapsed="false">
      <c r="A105" s="228"/>
      <c r="B105" s="229"/>
      <c r="C105" s="230"/>
      <c r="D105" s="231"/>
      <c r="E105" s="223" t="str">
        <f aca="false">IF(SUM(A105:D105)&gt;0,SUM(A105:D105),"")</f>
        <v/>
      </c>
      <c r="F105" s="224" t="str">
        <f aca="false">AD118</f>
        <v>BRÓCOLI INVERNADERO</v>
      </c>
      <c r="G105" s="169"/>
      <c r="H105" s="169"/>
      <c r="I105" s="169"/>
      <c r="J105" s="169"/>
      <c r="K105" s="169"/>
      <c r="L105" s="169"/>
      <c r="M105" s="169"/>
      <c r="N105" s="169"/>
      <c r="O105" s="169"/>
      <c r="P105" s="169"/>
      <c r="Q105" s="169"/>
      <c r="R105" s="3"/>
      <c r="S105" s="3"/>
      <c r="T105" s="3"/>
      <c r="U105" s="3"/>
      <c r="V105" s="3"/>
      <c r="W105" s="3"/>
      <c r="X105" s="3"/>
      <c r="Y105" s="3"/>
      <c r="Z105" s="316" t="str">
        <f aca="false">IF(AF105&gt;0,RANK(AF105,AF$6:AF$422),"")</f>
        <v/>
      </c>
      <c r="AA105" s="134" t="n">
        <f aca="false">'O_MN, PE_UTA_UGM 2024'!N82</f>
        <v>1</v>
      </c>
      <c r="AB105" s="135" t="n">
        <f aca="false">'O_MN, PE_UTA_UGM 2024'!O82</f>
        <v>0</v>
      </c>
      <c r="AC105" s="317" t="n">
        <f aca="false">'O_MN, PE_UTA_UGM 2024'!C82</f>
        <v>142</v>
      </c>
      <c r="AD105" s="293" t="str">
        <f aca="false">IF(AB105=0,'O_MN, PE_UTA_UGM 2024'!F82,CONCATENATE('O_MN, PE_UTA_UGM 2024'!F82," ","INVERNADERO"))</f>
        <v>YUTE</v>
      </c>
      <c r="AE105" s="89"/>
      <c r="AF105" s="123" t="n">
        <f aca="false">SUM(AG105:AH105)+SUM(AJ105:AK105)</f>
        <v>0</v>
      </c>
      <c r="AG105" s="318" t="n">
        <f aca="false">A92</f>
        <v>0</v>
      </c>
      <c r="AH105" s="319" t="n">
        <f aca="false">B92</f>
        <v>0</v>
      </c>
      <c r="AI105" s="6"/>
      <c r="AJ105" s="320" t="n">
        <f aca="false">C92</f>
        <v>0</v>
      </c>
      <c r="AK105" s="320" t="n">
        <f aca="false">D92</f>
        <v>0</v>
      </c>
      <c r="AL105" s="237" t="s">
        <v>231</v>
      </c>
      <c r="AM105" s="299" t="n">
        <f aca="false">'O_MN, PE_UTA_UGM 2024'!J82</f>
        <v>0</v>
      </c>
      <c r="AN105" s="299" t="n">
        <f aca="false">'O_MN, PE_UTA_UGM 2024'!K82</f>
        <v>5200</v>
      </c>
      <c r="AO105" s="300"/>
      <c r="AP105" s="299" t="n">
        <f aca="false">'O_MN, PE_UTA_UGM 2024'!H82</f>
        <v>0</v>
      </c>
      <c r="AQ105" s="299" t="n">
        <f aca="false">'O_MN, PE_UTA_UGM 2024'!I82</f>
        <v>240.4</v>
      </c>
      <c r="AR105" s="301"/>
      <c r="AS105" s="302" t="n">
        <f aca="false">'O_MN, PE_UTA_UGM 2024'!L82</f>
        <v>0</v>
      </c>
      <c r="AT105" s="302" t="n">
        <f aca="false">'O_MN, PE_UTA_UGM 2024'!M82</f>
        <v>0.0098</v>
      </c>
      <c r="AU105" s="45"/>
      <c r="AV105" s="321" t="n">
        <f aca="false">AG105*AM105</f>
        <v>0</v>
      </c>
      <c r="AW105" s="319" t="n">
        <f aca="false">AH105*AN105</f>
        <v>0</v>
      </c>
      <c r="AX105" s="320" t="n">
        <f aca="false">1.25*AJ105*AM105</f>
        <v>0</v>
      </c>
      <c r="AY105" s="322" t="n">
        <f aca="false">1.25*AK105*AN105</f>
        <v>0</v>
      </c>
      <c r="AZ105" s="323" t="n">
        <f aca="false">AG105*AP105</f>
        <v>0</v>
      </c>
      <c r="BA105" s="319" t="n">
        <f aca="false">AH105*AQ105</f>
        <v>0</v>
      </c>
      <c r="BB105" s="320" t="n">
        <f aca="false">1.25*AJ105*AP105</f>
        <v>0</v>
      </c>
      <c r="BC105" s="320" t="n">
        <f aca="false">1.25*AK105*AQ105</f>
        <v>0</v>
      </c>
      <c r="BD105" s="321" t="n">
        <f aca="false">AG105*AS105</f>
        <v>0</v>
      </c>
      <c r="BE105" s="319" t="n">
        <f aca="false">AH105*AT105</f>
        <v>0</v>
      </c>
      <c r="BF105" s="320" t="n">
        <f aca="false">AJ105*AS105</f>
        <v>0</v>
      </c>
      <c r="BG105" s="322" t="n">
        <f aca="false">AK105*AT105</f>
        <v>0</v>
      </c>
      <c r="BH105" s="324" t="n">
        <f aca="false">IF(BH$24=$AA105,($AG105*$AM105)+($AJ105*$AM105*1.25)+($AH105*$AN105)+($AK105*$AN105*1.25),"")</f>
        <v>0</v>
      </c>
      <c r="BI105" s="325" t="str">
        <f aca="false">IF(BI$24=$AA105,($AG105*$AM105)+($AJ105*$AM105*1.25)+($AH105*$AN105)+($AK105*$AN105*1.25),"")</f>
        <v/>
      </c>
      <c r="BJ105" s="325" t="str">
        <f aca="false">IF(BJ$24=$AA105,($AG105*$AM105)+($AJ105*$AM105*1.25)+($AH105*$AN105)+($AK105*$AN105*1.25),"")</f>
        <v/>
      </c>
      <c r="BK105" s="325" t="str">
        <f aca="false">IF(BK$24=$AA105,($AG105*$AM105)+($AJ105*$AM105*1.25)+($AH105*$AN105)+($AK105*$AN105*1.25),"")</f>
        <v/>
      </c>
      <c r="BL105" s="326" t="str">
        <f aca="false">IF(BL$24=$AA105,($AG105*$AM105)+($AJ105*$AM105*1.25)+($AH105*$AN105)+($AK105*$AN105*1.25),"")</f>
        <v/>
      </c>
      <c r="BM105" s="327" t="str">
        <f aca="false">IF(CONCATENATE(BH105,BI105,BJ105,BK105,BL105)="",1,"")</f>
        <v/>
      </c>
      <c r="BN105" s="328"/>
      <c r="BO105" s="328"/>
      <c r="BP105" s="328"/>
      <c r="BQ105" s="328"/>
      <c r="BR105" s="47"/>
      <c r="BS105" s="127" t="n">
        <f aca="false">(AG105*AM105)+(AH105*AN105)+((AJ105*AM105)+(AK105*AN105)*1.25)</f>
        <v>0</v>
      </c>
      <c r="BT105" s="127" t="n">
        <f aca="false">(AG105*AP105)+(AH105*AQ105)+((AJ105*AP105)+(AK105*AQ105)*1.25)</f>
        <v>0</v>
      </c>
      <c r="BU105" s="329"/>
      <c r="BV105" s="129"/>
    </row>
    <row r="106" customFormat="false" ht="15" hidden="false" customHeight="false" outlineLevel="0" collapsed="false">
      <c r="A106" s="228"/>
      <c r="B106" s="229"/>
      <c r="C106" s="230"/>
      <c r="D106" s="231"/>
      <c r="E106" s="223" t="str">
        <f aca="false">IF(SUM(A106:D106)&gt;0,SUM(A106:D106),"")</f>
        <v/>
      </c>
      <c r="F106" s="224" t="str">
        <f aca="false">AD119</f>
        <v>BRÓCOLI INVERNADERO</v>
      </c>
      <c r="G106" s="169"/>
      <c r="H106" s="169"/>
      <c r="I106" s="169"/>
      <c r="J106" s="169"/>
      <c r="K106" s="169"/>
      <c r="L106" s="169"/>
      <c r="M106" s="169"/>
      <c r="N106" s="169"/>
      <c r="O106" s="169"/>
      <c r="P106" s="169"/>
      <c r="Q106" s="169"/>
      <c r="R106" s="3"/>
      <c r="S106" s="3"/>
      <c r="T106" s="3"/>
      <c r="U106" s="3"/>
      <c r="V106" s="3"/>
      <c r="W106" s="3"/>
      <c r="X106" s="3"/>
      <c r="Y106" s="3"/>
      <c r="Z106" s="316" t="str">
        <f aca="false">IF(AF106&gt;0,RANK(AF106,AF$6:AF$422),"")</f>
        <v/>
      </c>
      <c r="AA106" s="134" t="n">
        <f aca="false">'O_MN, PE_UTA_UGM 2024'!N83</f>
        <v>1</v>
      </c>
      <c r="AB106" s="135" t="n">
        <f aca="false">'O_MN, PE_UTA_UGM 2024'!O83</f>
        <v>0</v>
      </c>
      <c r="AC106" s="317" t="n">
        <f aca="false">'O_MN, PE_UTA_UGM 2024'!C83</f>
        <v>143</v>
      </c>
      <c r="AD106" s="293" t="str">
        <f aca="false">IF(AB106=0,'O_MN, PE_UTA_UGM 2024'!F83,CONCATENATE('O_MN, PE_UTA_UGM 2024'!F83," ","INVERNADERO"))</f>
        <v>SISAL</v>
      </c>
      <c r="AE106" s="89"/>
      <c r="AF106" s="123" t="n">
        <f aca="false">SUM(AG106:AH106)+SUM(AJ106:AK106)</f>
        <v>0</v>
      </c>
      <c r="AG106" s="318" t="n">
        <f aca="false">A93</f>
        <v>0</v>
      </c>
      <c r="AH106" s="319" t="n">
        <f aca="false">B93</f>
        <v>0</v>
      </c>
      <c r="AI106" s="6"/>
      <c r="AJ106" s="320" t="n">
        <f aca="false">C93</f>
        <v>0</v>
      </c>
      <c r="AK106" s="320" t="n">
        <f aca="false">D93</f>
        <v>0</v>
      </c>
      <c r="AL106" s="237" t="s">
        <v>232</v>
      </c>
      <c r="AM106" s="299" t="n">
        <f aca="false">'O_MN, PE_UTA_UGM 2024'!J83</f>
        <v>0</v>
      </c>
      <c r="AN106" s="299" t="n">
        <f aca="false">'O_MN, PE_UTA_UGM 2024'!K83</f>
        <v>5200</v>
      </c>
      <c r="AO106" s="300"/>
      <c r="AP106" s="299" t="n">
        <f aca="false">'O_MN, PE_UTA_UGM 2024'!H83</f>
        <v>0</v>
      </c>
      <c r="AQ106" s="299" t="n">
        <f aca="false">'O_MN, PE_UTA_UGM 2024'!I83</f>
        <v>240.4</v>
      </c>
      <c r="AR106" s="301"/>
      <c r="AS106" s="302" t="n">
        <f aca="false">'O_MN, PE_UTA_UGM 2024'!L83</f>
        <v>0</v>
      </c>
      <c r="AT106" s="302" t="n">
        <f aca="false">'O_MN, PE_UTA_UGM 2024'!M83</f>
        <v>0.0098</v>
      </c>
      <c r="AU106" s="45"/>
      <c r="AV106" s="321" t="n">
        <f aca="false">AG106*AM106</f>
        <v>0</v>
      </c>
      <c r="AW106" s="319" t="n">
        <f aca="false">AH106*AN106</f>
        <v>0</v>
      </c>
      <c r="AX106" s="320" t="n">
        <f aca="false">1.25*AJ106*AM106</f>
        <v>0</v>
      </c>
      <c r="AY106" s="322" t="n">
        <f aca="false">1.25*AK106*AN106</f>
        <v>0</v>
      </c>
      <c r="AZ106" s="323" t="n">
        <f aca="false">AG106*AP106</f>
        <v>0</v>
      </c>
      <c r="BA106" s="319" t="n">
        <f aca="false">AH106*AQ106</f>
        <v>0</v>
      </c>
      <c r="BB106" s="320" t="n">
        <f aca="false">1.25*AJ106*AP106</f>
        <v>0</v>
      </c>
      <c r="BC106" s="320" t="n">
        <f aca="false">1.25*AK106*AQ106</f>
        <v>0</v>
      </c>
      <c r="BD106" s="321" t="n">
        <f aca="false">AG106*AS106</f>
        <v>0</v>
      </c>
      <c r="BE106" s="319" t="n">
        <f aca="false">AH106*AT106</f>
        <v>0</v>
      </c>
      <c r="BF106" s="320" t="n">
        <f aca="false">AJ106*AS106</f>
        <v>0</v>
      </c>
      <c r="BG106" s="322" t="n">
        <f aca="false">AK106*AT106</f>
        <v>0</v>
      </c>
      <c r="BH106" s="324" t="n">
        <f aca="false">IF(BH$24=$AA106,($AG106*$AM106)+($AJ106*$AM106*1.25)+($AH106*$AN106)+($AK106*$AN106*1.25),"")</f>
        <v>0</v>
      </c>
      <c r="BI106" s="325" t="str">
        <f aca="false">IF(BI$24=$AA106,($AG106*$AM106)+($AJ106*$AM106*1.25)+($AH106*$AN106)+($AK106*$AN106*1.25),"")</f>
        <v/>
      </c>
      <c r="BJ106" s="325" t="str">
        <f aca="false">IF(BJ$24=$AA106,($AG106*$AM106)+($AJ106*$AM106*1.25)+($AH106*$AN106)+($AK106*$AN106*1.25),"")</f>
        <v/>
      </c>
      <c r="BK106" s="325" t="str">
        <f aca="false">IF(BK$24=$AA106,($AG106*$AM106)+($AJ106*$AM106*1.25)+($AH106*$AN106)+($AK106*$AN106*1.25),"")</f>
        <v/>
      </c>
      <c r="BL106" s="326" t="str">
        <f aca="false">IF(BL$24=$AA106,($AG106*$AM106)+($AJ106*$AM106*1.25)+($AH106*$AN106)+($AK106*$AN106*1.25),"")</f>
        <v/>
      </c>
      <c r="BM106" s="327" t="str">
        <f aca="false">IF(CONCATENATE(BH106,BI106,BJ106,BK106,BL106)="",1,"")</f>
        <v/>
      </c>
      <c r="BN106" s="328"/>
      <c r="BO106" s="328"/>
      <c r="BP106" s="328"/>
      <c r="BQ106" s="328"/>
      <c r="BR106" s="47"/>
      <c r="BS106" s="127" t="n">
        <f aca="false">(AG106*AM106)+(AH106*AN106)+((AJ106*AM106)+(AK106*AN106)*1.25)</f>
        <v>0</v>
      </c>
      <c r="BT106" s="127" t="n">
        <f aca="false">(AG106*AP106)+(AH106*AQ106)+((AJ106*AP106)+(AK106*AQ106)*1.25)</f>
        <v>0</v>
      </c>
      <c r="BU106" s="329"/>
      <c r="BV106" s="129"/>
    </row>
    <row r="107" customFormat="false" ht="15" hidden="false" customHeight="false" outlineLevel="0" collapsed="false">
      <c r="A107" s="228"/>
      <c r="B107" s="229"/>
      <c r="C107" s="230"/>
      <c r="D107" s="231"/>
      <c r="E107" s="223" t="str">
        <f aca="false">IF(SUM(A107:D107)&gt;0,SUM(A107:D107),"")</f>
        <v/>
      </c>
      <c r="F107" s="224" t="str">
        <f aca="false">AD120</f>
        <v>LECHUGA</v>
      </c>
      <c r="G107" s="169"/>
      <c r="H107" s="169"/>
      <c r="I107" s="169"/>
      <c r="J107" s="169"/>
      <c r="K107" s="169"/>
      <c r="L107" s="169"/>
      <c r="M107" s="169"/>
      <c r="N107" s="169"/>
      <c r="O107" s="169"/>
      <c r="P107" s="169"/>
      <c r="Q107" s="169"/>
      <c r="R107" s="3"/>
      <c r="S107" s="3"/>
      <c r="T107" s="3"/>
      <c r="U107" s="3"/>
      <c r="V107" s="3"/>
      <c r="W107" s="3"/>
      <c r="X107" s="3"/>
      <c r="Y107" s="3"/>
      <c r="Z107" s="316" t="str">
        <f aca="false">IF(AF107&gt;0,RANK(AF107,AF$6:AF$422),"")</f>
        <v/>
      </c>
      <c r="AA107" s="134" t="n">
        <f aca="false">'O_MN, PE_UTA_UGM 2024'!N84</f>
        <v>3</v>
      </c>
      <c r="AB107" s="135" t="n">
        <f aca="false">'O_MN, PE_UTA_UGM 2024'!O84</f>
        <v>6</v>
      </c>
      <c r="AC107" s="317" t="n">
        <f aca="false">'O_MN, PE_UTA_UGM 2024'!C84</f>
        <v>147</v>
      </c>
      <c r="AD107" s="293" t="str">
        <f aca="false">IF(AB107=0,'O_MN, PE_UTA_UGM 2024'!F84,CONCATENATE('O_MN, PE_UTA_UGM 2024'!F84," ","INVERNADERO"))</f>
        <v>ENCINA INVERNADERO</v>
      </c>
      <c r="AE107" s="89"/>
      <c r="AF107" s="123" t="n">
        <f aca="false">SUM(AG107:AH107)+SUM(AJ107:AK107)</f>
        <v>0</v>
      </c>
      <c r="AG107" s="318" t="n">
        <f aca="false">A94</f>
        <v>0</v>
      </c>
      <c r="AH107" s="319" t="n">
        <f aca="false">B94</f>
        <v>0</v>
      </c>
      <c r="AI107" s="6"/>
      <c r="AJ107" s="320" t="n">
        <f aca="false">C94</f>
        <v>0</v>
      </c>
      <c r="AK107" s="320" t="n">
        <f aca="false">D94</f>
        <v>0</v>
      </c>
      <c r="AL107" s="237" t="s">
        <v>233</v>
      </c>
      <c r="AM107" s="299" t="n">
        <f aca="false">'O_MN, PE_UTA_UGM 2024'!J84</f>
        <v>2000</v>
      </c>
      <c r="AN107" s="299" t="n">
        <f aca="false">'O_MN, PE_UTA_UGM 2024'!K84</f>
        <v>6000</v>
      </c>
      <c r="AO107" s="300"/>
      <c r="AP107" s="299" t="n">
        <f aca="false">'O_MN, PE_UTA_UGM 2024'!H84</f>
        <v>450.76</v>
      </c>
      <c r="AQ107" s="299" t="n">
        <f aca="false">'O_MN, PE_UTA_UGM 2024'!I84</f>
        <v>721.21</v>
      </c>
      <c r="AR107" s="301"/>
      <c r="AS107" s="302" t="n">
        <f aca="false">'O_MN, PE_UTA_UGM 2024'!L84</f>
        <v>0.01837</v>
      </c>
      <c r="AT107" s="302" t="n">
        <f aca="false">'O_MN, PE_UTA_UGM 2024'!M84</f>
        <v>0.0294</v>
      </c>
      <c r="AU107" s="45"/>
      <c r="AV107" s="321" t="n">
        <f aca="false">AG107*AM107</f>
        <v>0</v>
      </c>
      <c r="AW107" s="319" t="n">
        <f aca="false">AH107*AN107</f>
        <v>0</v>
      </c>
      <c r="AX107" s="320" t="n">
        <f aca="false">1.25*AJ107*AM107</f>
        <v>0</v>
      </c>
      <c r="AY107" s="322" t="n">
        <f aca="false">1.25*AK107*AN107</f>
        <v>0</v>
      </c>
      <c r="AZ107" s="323" t="n">
        <f aca="false">AG107*AP107</f>
        <v>0</v>
      </c>
      <c r="BA107" s="319" t="n">
        <f aca="false">AH107*AQ107</f>
        <v>0</v>
      </c>
      <c r="BB107" s="320" t="n">
        <f aca="false">1.25*AJ107*AP107</f>
        <v>0</v>
      </c>
      <c r="BC107" s="320" t="n">
        <f aca="false">1.25*AK107*AQ107</f>
        <v>0</v>
      </c>
      <c r="BD107" s="321" t="n">
        <f aca="false">AG107*AS107</f>
        <v>0</v>
      </c>
      <c r="BE107" s="319" t="n">
        <f aca="false">AH107*AT107</f>
        <v>0</v>
      </c>
      <c r="BF107" s="320" t="n">
        <f aca="false">AJ107*AS107</f>
        <v>0</v>
      </c>
      <c r="BG107" s="322" t="n">
        <f aca="false">AK107*AT107</f>
        <v>0</v>
      </c>
      <c r="BH107" s="324" t="str">
        <f aca="false">IF(BH$24=$AA107,($AG107*$AM107)+($AJ107*$AM107*1.25)+($AH107*$AN107)+($AK107*$AN107*1.25),"")</f>
        <v/>
      </c>
      <c r="BI107" s="325" t="str">
        <f aca="false">IF(BI$24=$AA107,($AG107*$AM107)+($AJ107*$AM107*1.25)+($AH107*$AN107)+($AK107*$AN107*1.25),"")</f>
        <v/>
      </c>
      <c r="BJ107" s="325" t="n">
        <f aca="false">IF(BJ$24=$AA107,($AG107*$AM107)+($AJ107*$AM107*1.25)+($AH107*$AN107)+($AK107*$AN107*1.25),"")</f>
        <v>0</v>
      </c>
      <c r="BK107" s="325" t="str">
        <f aca="false">IF(BK$24=$AA107,($AG107*$AM107)+($AJ107*$AM107*1.25)+($AH107*$AN107)+($AK107*$AN107*1.25),"")</f>
        <v/>
      </c>
      <c r="BL107" s="326" t="str">
        <f aca="false">IF(BL$24=$AA107,($AG107*$AM107)+($AJ107*$AM107*1.25)+($AH107*$AN107)+($AK107*$AN107*1.25),"")</f>
        <v/>
      </c>
      <c r="BM107" s="327" t="str">
        <f aca="false">IF(CONCATENATE(BH107,BI107,BJ107,BK107,BL107)="",1,"")</f>
        <v/>
      </c>
      <c r="BN107" s="328"/>
      <c r="BO107" s="328"/>
      <c r="BP107" s="328"/>
      <c r="BQ107" s="328"/>
      <c r="BR107" s="47"/>
      <c r="BS107" s="127" t="n">
        <f aca="false">(AG107*AM107)+(AH107*AN107)+((AJ107*AM107)+(AK107*AN107)*1.25)</f>
        <v>0</v>
      </c>
      <c r="BT107" s="127" t="n">
        <f aca="false">(AG107*AP107)+(AH107*AQ107)+((AJ107*AP107)+(AK107*AQ107)*1.25)</f>
        <v>0</v>
      </c>
      <c r="BU107" s="329"/>
      <c r="BV107" s="129"/>
    </row>
    <row r="108" customFormat="false" ht="15" hidden="false" customHeight="false" outlineLevel="0" collapsed="false">
      <c r="A108" s="228"/>
      <c r="B108" s="229"/>
      <c r="C108" s="230"/>
      <c r="D108" s="231"/>
      <c r="E108" s="223" t="str">
        <f aca="false">IF(SUM(A108:D108)&gt;0,SUM(A108:D108),"")</f>
        <v/>
      </c>
      <c r="F108" s="224" t="str">
        <f aca="false">AD121</f>
        <v>LECHUGA INVERNADERO</v>
      </c>
      <c r="G108" s="169"/>
      <c r="H108" s="169"/>
      <c r="I108" s="169"/>
      <c r="J108" s="169"/>
      <c r="K108" s="169"/>
      <c r="L108" s="169"/>
      <c r="M108" s="169"/>
      <c r="N108" s="169"/>
      <c r="O108" s="169"/>
      <c r="P108" s="169"/>
      <c r="Q108" s="169"/>
      <c r="R108" s="3"/>
      <c r="S108" s="3"/>
      <c r="T108" s="3"/>
      <c r="U108" s="3"/>
      <c r="V108" s="3"/>
      <c r="W108" s="3"/>
      <c r="X108" s="3"/>
      <c r="Y108" s="3"/>
      <c r="Z108" s="316" t="str">
        <f aca="false">IF(AF108&gt;0,RANK(AF108,AF$6:AF$422),"")</f>
        <v/>
      </c>
      <c r="AA108" s="134" t="n">
        <f aca="false">'O_MN, PE_UTA_UGM 2024'!N85</f>
        <v>4</v>
      </c>
      <c r="AB108" s="135" t="n">
        <f aca="false">'O_MN, PE_UTA_UGM 2024'!O85</f>
        <v>0</v>
      </c>
      <c r="AC108" s="317" t="n">
        <f aca="false">'O_MN, PE_UTA_UGM 2024'!C85</f>
        <v>151</v>
      </c>
      <c r="AD108" s="293" t="str">
        <f aca="false">IF(AB108=0,'O_MN, PE_UTA_UGM 2024'!F85,CONCATENATE('O_MN, PE_UTA_UGM 2024'!F85," ","INVERNADERO"))</f>
        <v>PUERRO</v>
      </c>
      <c r="AE108" s="89"/>
      <c r="AF108" s="123" t="n">
        <f aca="false">SUM(AG108:AH108)+SUM(AJ108:AK108)</f>
        <v>0</v>
      </c>
      <c r="AG108" s="318" t="n">
        <f aca="false">A95</f>
        <v>0</v>
      </c>
      <c r="AH108" s="319" t="n">
        <f aca="false">B95</f>
        <v>0</v>
      </c>
      <c r="AI108" s="6"/>
      <c r="AJ108" s="320" t="n">
        <f aca="false">C95</f>
        <v>0</v>
      </c>
      <c r="AK108" s="320" t="n">
        <f aca="false">D95</f>
        <v>0</v>
      </c>
      <c r="AL108" s="237" t="s">
        <v>234</v>
      </c>
      <c r="AM108" s="299" t="n">
        <f aca="false">'O_MN, PE_UTA_UGM 2024'!J85</f>
        <v>575</v>
      </c>
      <c r="AN108" s="299" t="n">
        <f aca="false">'O_MN, PE_UTA_UGM 2024'!K85</f>
        <v>8500</v>
      </c>
      <c r="AO108" s="300"/>
      <c r="AP108" s="299" t="n">
        <f aca="false">'O_MN, PE_UTA_UGM 2024'!H85</f>
        <v>360.61</v>
      </c>
      <c r="AQ108" s="299" t="n">
        <f aca="false">'O_MN, PE_UTA_UGM 2024'!I85</f>
        <v>1352.28</v>
      </c>
      <c r="AR108" s="301"/>
      <c r="AS108" s="302" t="n">
        <f aca="false">'O_MN, PE_UTA_UGM 2024'!L85</f>
        <v>0.0147</v>
      </c>
      <c r="AT108" s="302" t="n">
        <f aca="false">'O_MN, PE_UTA_UGM 2024'!M85</f>
        <v>0.05512</v>
      </c>
      <c r="AU108" s="45"/>
      <c r="AV108" s="321" t="n">
        <f aca="false">AG108*AM108</f>
        <v>0</v>
      </c>
      <c r="AW108" s="319" t="n">
        <f aca="false">AH108*AN108</f>
        <v>0</v>
      </c>
      <c r="AX108" s="320" t="n">
        <f aca="false">1.25*AJ108*AM108</f>
        <v>0</v>
      </c>
      <c r="AY108" s="322" t="n">
        <f aca="false">1.25*AK108*AN108</f>
        <v>0</v>
      </c>
      <c r="AZ108" s="323" t="n">
        <f aca="false">AG108*AP108</f>
        <v>0</v>
      </c>
      <c r="BA108" s="319" t="n">
        <f aca="false">AH108*AQ108</f>
        <v>0</v>
      </c>
      <c r="BB108" s="320" t="n">
        <f aca="false">1.25*AJ108*AP108</f>
        <v>0</v>
      </c>
      <c r="BC108" s="320" t="n">
        <f aca="false">1.25*AK108*AQ108</f>
        <v>0</v>
      </c>
      <c r="BD108" s="321" t="n">
        <f aca="false">AG108*AS108</f>
        <v>0</v>
      </c>
      <c r="BE108" s="319" t="n">
        <f aca="false">AH108*AT108</f>
        <v>0</v>
      </c>
      <c r="BF108" s="320" t="n">
        <f aca="false">AJ108*AS108</f>
        <v>0</v>
      </c>
      <c r="BG108" s="322" t="n">
        <f aca="false">AK108*AT108</f>
        <v>0</v>
      </c>
      <c r="BH108" s="324" t="str">
        <f aca="false">IF(BH$24=$AA108,($AG108*$AM108)+($AJ108*$AM108*1.25)+($AH108*$AN108)+($AK108*$AN108*1.25),"")</f>
        <v/>
      </c>
      <c r="BI108" s="325" t="str">
        <f aca="false">IF(BI$24=$AA108,($AG108*$AM108)+($AJ108*$AM108*1.25)+($AH108*$AN108)+($AK108*$AN108*1.25),"")</f>
        <v/>
      </c>
      <c r="BJ108" s="325" t="str">
        <f aca="false">IF(BJ$24=$AA108,($AG108*$AM108)+($AJ108*$AM108*1.25)+($AH108*$AN108)+($AK108*$AN108*1.25),"")</f>
        <v/>
      </c>
      <c r="BK108" s="325" t="n">
        <f aca="false">IF(BK$24=$AA108,($AG108*$AM108)+($AJ108*$AM108*1.25)+($AH108*$AN108)+($AK108*$AN108*1.25),"")</f>
        <v>0</v>
      </c>
      <c r="BL108" s="326" t="str">
        <f aca="false">IF(BL$24=$AA108,($AG108*$AM108)+($AJ108*$AM108*1.25)+($AH108*$AN108)+($AK108*$AN108*1.25),"")</f>
        <v/>
      </c>
      <c r="BM108" s="327" t="str">
        <f aca="false">IF(CONCATENATE(BH108,BI108,BJ108,BK108,BL108)="",1,"")</f>
        <v/>
      </c>
      <c r="BN108" s="328"/>
      <c r="BO108" s="328"/>
      <c r="BP108" s="328"/>
      <c r="BQ108" s="328"/>
      <c r="BR108" s="47"/>
      <c r="BS108" s="127" t="n">
        <f aca="false">(AG108*AM108)+(AH108*AN108)+((AJ108*AM108)+(AK108*AN108)*1.25)</f>
        <v>0</v>
      </c>
      <c r="BT108" s="127" t="n">
        <f aca="false">(AG108*AP108)+(AH108*AQ108)+((AJ108*AP108)+(AK108*AQ108)*1.25)</f>
        <v>0</v>
      </c>
      <c r="BU108" s="329"/>
      <c r="BV108" s="129"/>
    </row>
    <row r="109" customFormat="false" ht="15" hidden="false" customHeight="false" outlineLevel="0" collapsed="false">
      <c r="A109" s="228"/>
      <c r="B109" s="229"/>
      <c r="C109" s="230"/>
      <c r="D109" s="231"/>
      <c r="E109" s="223" t="str">
        <f aca="false">IF(SUM(A109:D109)&gt;0,SUM(A109:D109),"")</f>
        <v/>
      </c>
      <c r="F109" s="224" t="str">
        <f aca="false">AD122</f>
        <v>LECHUGA INVERNADERO</v>
      </c>
      <c r="G109" s="169"/>
      <c r="H109" s="169"/>
      <c r="I109" s="169"/>
      <c r="J109" s="169"/>
      <c r="K109" s="169"/>
      <c r="L109" s="169"/>
      <c r="M109" s="169"/>
      <c r="N109" s="169"/>
      <c r="O109" s="169"/>
      <c r="P109" s="169"/>
      <c r="Q109" s="169"/>
      <c r="R109" s="3"/>
      <c r="S109" s="3"/>
      <c r="T109" s="3"/>
      <c r="U109" s="3"/>
      <c r="V109" s="3"/>
      <c r="W109" s="3"/>
      <c r="X109" s="3"/>
      <c r="Y109" s="3"/>
      <c r="Z109" s="316" t="str">
        <f aca="false">IF(AF109&gt;0,RANK(AF109,AF$6:AF$422),"")</f>
        <v/>
      </c>
      <c r="AA109" s="134" t="n">
        <f aca="false">'O_MN, PE_UTA_UGM 2024'!N86</f>
        <v>4</v>
      </c>
      <c r="AB109" s="135" t="n">
        <f aca="false">'O_MN, PE_UTA_UGM 2024'!O86</f>
        <v>4</v>
      </c>
      <c r="AC109" s="317" t="n">
        <f aca="false">'O_MN, PE_UTA_UGM 2024'!C86</f>
        <v>151</v>
      </c>
      <c r="AD109" s="293" t="str">
        <f aca="false">IF(AB109=0,'O_MN, PE_UTA_UGM 2024'!F86,CONCATENATE('O_MN, PE_UTA_UGM 2024'!F86," ","INVERNADERO"))</f>
        <v>PUERRO INVERNADERO</v>
      </c>
      <c r="AE109" s="89"/>
      <c r="AF109" s="123" t="n">
        <f aca="false">SUM(AG109:AH109)+SUM(AJ109:AK109)</f>
        <v>0</v>
      </c>
      <c r="AG109" s="318" t="n">
        <f aca="false">A96</f>
        <v>0</v>
      </c>
      <c r="AH109" s="319" t="n">
        <f aca="false">B96</f>
        <v>0</v>
      </c>
      <c r="AI109" s="6"/>
      <c r="AJ109" s="320" t="n">
        <f aca="false">C96</f>
        <v>0</v>
      </c>
      <c r="AK109" s="320" t="n">
        <f aca="false">D96</f>
        <v>0</v>
      </c>
      <c r="AL109" s="237" t="s">
        <v>235</v>
      </c>
      <c r="AM109" s="299" t="n">
        <f aca="false">'O_MN, PE_UTA_UGM 2024'!J86</f>
        <v>0</v>
      </c>
      <c r="AN109" s="299" t="n">
        <f aca="false">'O_MN, PE_UTA_UGM 2024'!K86</f>
        <v>80000</v>
      </c>
      <c r="AO109" s="300"/>
      <c r="AP109" s="299" t="n">
        <f aca="false">'O_MN, PE_UTA_UGM 2024'!H86</f>
        <v>0</v>
      </c>
      <c r="AQ109" s="299" t="n">
        <f aca="false">'O_MN, PE_UTA_UGM 2024'!I86</f>
        <v>36060.73</v>
      </c>
      <c r="AR109" s="301"/>
      <c r="AS109" s="302" t="n">
        <f aca="false">'O_MN, PE_UTA_UGM 2024'!L86</f>
        <v>0</v>
      </c>
      <c r="AT109" s="302" t="n">
        <f aca="false">'O_MN, PE_UTA_UGM 2024'!M86</f>
        <v>1.46978</v>
      </c>
      <c r="AU109" s="45"/>
      <c r="AV109" s="321" t="n">
        <f aca="false">AG109*AM109</f>
        <v>0</v>
      </c>
      <c r="AW109" s="319" t="n">
        <f aca="false">AH109*AN109</f>
        <v>0</v>
      </c>
      <c r="AX109" s="320" t="n">
        <f aca="false">1.25*AJ109*AM109</f>
        <v>0</v>
      </c>
      <c r="AY109" s="322" t="n">
        <f aca="false">1.25*AK109*AN109</f>
        <v>0</v>
      </c>
      <c r="AZ109" s="323" t="n">
        <f aca="false">AG109*AP109</f>
        <v>0</v>
      </c>
      <c r="BA109" s="319" t="n">
        <f aca="false">AH109*AQ109</f>
        <v>0</v>
      </c>
      <c r="BB109" s="320" t="n">
        <f aca="false">1.25*AJ109*AP109</f>
        <v>0</v>
      </c>
      <c r="BC109" s="320" t="n">
        <f aca="false">1.25*AK109*AQ109</f>
        <v>0</v>
      </c>
      <c r="BD109" s="321" t="n">
        <f aca="false">AG109*AS109</f>
        <v>0</v>
      </c>
      <c r="BE109" s="319" t="n">
        <f aca="false">AH109*AT109</f>
        <v>0</v>
      </c>
      <c r="BF109" s="320" t="n">
        <f aca="false">AJ109*AS109</f>
        <v>0</v>
      </c>
      <c r="BG109" s="322" t="n">
        <f aca="false">AK109*AT109</f>
        <v>0</v>
      </c>
      <c r="BH109" s="324" t="str">
        <f aca="false">IF(BH$24=$AA109,($AG109*$AM109)+($AJ109*$AM109*1.25)+($AH109*$AN109)+($AK109*$AN109*1.25),"")</f>
        <v/>
      </c>
      <c r="BI109" s="325" t="str">
        <f aca="false">IF(BI$24=$AA109,($AG109*$AM109)+($AJ109*$AM109*1.25)+($AH109*$AN109)+($AK109*$AN109*1.25),"")</f>
        <v/>
      </c>
      <c r="BJ109" s="325" t="str">
        <f aca="false">IF(BJ$24=$AA109,($AG109*$AM109)+($AJ109*$AM109*1.25)+($AH109*$AN109)+($AK109*$AN109*1.25),"")</f>
        <v/>
      </c>
      <c r="BK109" s="325" t="n">
        <f aca="false">IF(BK$24=$AA109,($AG109*$AM109)+($AJ109*$AM109*1.25)+($AH109*$AN109)+($AK109*$AN109*1.25),"")</f>
        <v>0</v>
      </c>
      <c r="BL109" s="326" t="str">
        <f aca="false">IF(BL$24=$AA109,($AG109*$AM109)+($AJ109*$AM109*1.25)+($AH109*$AN109)+($AK109*$AN109*1.25),"")</f>
        <v/>
      </c>
      <c r="BM109" s="327" t="str">
        <f aca="false">IF(CONCATENATE(BH109,BI109,BJ109,BK109,BL109)="",1,"")</f>
        <v/>
      </c>
      <c r="BN109" s="328"/>
      <c r="BO109" s="328"/>
      <c r="BP109" s="328"/>
      <c r="BQ109" s="328"/>
      <c r="BR109" s="47"/>
      <c r="BS109" s="127" t="n">
        <f aca="false">(AG109*AM109)+(AH109*AN109)+((AJ109*AM109)+(AK109*AN109)*1.25)</f>
        <v>0</v>
      </c>
      <c r="BT109" s="127" t="n">
        <f aca="false">(AG109*AP109)+(AH109*AQ109)+((AJ109*AP109)+(AK109*AQ109)*1.25)</f>
        <v>0</v>
      </c>
      <c r="BU109" s="329"/>
      <c r="BV109" s="129"/>
    </row>
    <row r="110" customFormat="false" ht="15" hidden="false" customHeight="false" outlineLevel="0" collapsed="false">
      <c r="A110" s="228"/>
      <c r="B110" s="229"/>
      <c r="C110" s="230"/>
      <c r="D110" s="231"/>
      <c r="E110" s="223" t="str">
        <f aca="false">IF(SUM(A110:D110)&gt;0,SUM(A110:D110),"")</f>
        <v/>
      </c>
      <c r="F110" s="224" t="str">
        <f aca="false">AD123</f>
        <v>SANDÍA</v>
      </c>
      <c r="G110" s="169"/>
      <c r="H110" s="169"/>
      <c r="I110" s="169"/>
      <c r="J110" s="169"/>
      <c r="K110" s="169"/>
      <c r="L110" s="169"/>
      <c r="M110" s="169"/>
      <c r="N110" s="169"/>
      <c r="O110" s="169"/>
      <c r="P110" s="169"/>
      <c r="Q110" s="169"/>
      <c r="R110" s="3"/>
      <c r="S110" s="3"/>
      <c r="T110" s="3"/>
      <c r="U110" s="3"/>
      <c r="V110" s="3"/>
      <c r="W110" s="3"/>
      <c r="X110" s="3"/>
      <c r="Y110" s="3"/>
      <c r="Z110" s="316" t="str">
        <f aca="false">IF(AF110&gt;0,RANK(AF110,AF$6:AF$422),"")</f>
        <v/>
      </c>
      <c r="AA110" s="134" t="n">
        <f aca="false">'O_MN, PE_UTA_UGM 2024'!N87</f>
        <v>4</v>
      </c>
      <c r="AB110" s="135" t="n">
        <f aca="false">'O_MN, PE_UTA_UGM 2024'!O87</f>
        <v>19</v>
      </c>
      <c r="AC110" s="317" t="n">
        <f aca="false">'O_MN, PE_UTA_UGM 2024'!C87</f>
        <v>151</v>
      </c>
      <c r="AD110" s="293" t="str">
        <f aca="false">IF(AB110=0,'O_MN, PE_UTA_UGM 2024'!F87,CONCATENATE('O_MN, PE_UTA_UGM 2024'!F87," ","INVERNADERO"))</f>
        <v>PUERRO INVERNADERO</v>
      </c>
      <c r="AE110" s="89"/>
      <c r="AF110" s="123" t="n">
        <f aca="false">SUM(AG110:AH110)+SUM(AJ110:AK110)</f>
        <v>0</v>
      </c>
      <c r="AG110" s="318" t="n">
        <f aca="false">A97</f>
        <v>0</v>
      </c>
      <c r="AH110" s="319" t="n">
        <f aca="false">B97</f>
        <v>0</v>
      </c>
      <c r="AI110" s="6"/>
      <c r="AJ110" s="320" t="n">
        <f aca="false">C97</f>
        <v>0</v>
      </c>
      <c r="AK110" s="320" t="n">
        <f aca="false">D97</f>
        <v>0</v>
      </c>
      <c r="AL110" s="237" t="s">
        <v>236</v>
      </c>
      <c r="AM110" s="299" t="n">
        <f aca="false">'O_MN, PE_UTA_UGM 2024'!J87</f>
        <v>0</v>
      </c>
      <c r="AN110" s="299" t="n">
        <f aca="false">'O_MN, PE_UTA_UGM 2024'!K87</f>
        <v>80000</v>
      </c>
      <c r="AO110" s="300"/>
      <c r="AP110" s="299" t="n">
        <f aca="false">'O_MN, PE_UTA_UGM 2024'!H87</f>
        <v>0</v>
      </c>
      <c r="AQ110" s="299" t="n">
        <f aca="false">'O_MN, PE_UTA_UGM 2024'!I87</f>
        <v>36060.73</v>
      </c>
      <c r="AR110" s="301"/>
      <c r="AS110" s="302" t="n">
        <f aca="false">'O_MN, PE_UTA_UGM 2024'!L87</f>
        <v>0</v>
      </c>
      <c r="AT110" s="302" t="n">
        <f aca="false">'O_MN, PE_UTA_UGM 2024'!M87</f>
        <v>1.46978</v>
      </c>
      <c r="AU110" s="45"/>
      <c r="AV110" s="321" t="n">
        <f aca="false">AG110*AM110</f>
        <v>0</v>
      </c>
      <c r="AW110" s="319" t="n">
        <f aca="false">AH110*AN110</f>
        <v>0</v>
      </c>
      <c r="AX110" s="320" t="n">
        <f aca="false">1.25*AJ110*AM110</f>
        <v>0</v>
      </c>
      <c r="AY110" s="322" t="n">
        <f aca="false">1.25*AK110*AN110</f>
        <v>0</v>
      </c>
      <c r="AZ110" s="323" t="n">
        <f aca="false">AG110*AP110</f>
        <v>0</v>
      </c>
      <c r="BA110" s="319" t="n">
        <f aca="false">AH110*AQ110</f>
        <v>0</v>
      </c>
      <c r="BB110" s="320" t="n">
        <f aca="false">1.25*AJ110*AP110</f>
        <v>0</v>
      </c>
      <c r="BC110" s="320" t="n">
        <f aca="false">1.25*AK110*AQ110</f>
        <v>0</v>
      </c>
      <c r="BD110" s="321" t="n">
        <f aca="false">AG110*AS110</f>
        <v>0</v>
      </c>
      <c r="BE110" s="319" t="n">
        <f aca="false">AH110*AT110</f>
        <v>0</v>
      </c>
      <c r="BF110" s="320" t="n">
        <f aca="false">AJ110*AS110</f>
        <v>0</v>
      </c>
      <c r="BG110" s="322" t="n">
        <f aca="false">AK110*AT110</f>
        <v>0</v>
      </c>
      <c r="BH110" s="324" t="str">
        <f aca="false">IF(BH$24=$AA110,($AG110*$AM110)+($AJ110*$AM110*1.25)+($AH110*$AN110)+($AK110*$AN110*1.25),"")</f>
        <v/>
      </c>
      <c r="BI110" s="325" t="str">
        <f aca="false">IF(BI$24=$AA110,($AG110*$AM110)+($AJ110*$AM110*1.25)+($AH110*$AN110)+($AK110*$AN110*1.25),"")</f>
        <v/>
      </c>
      <c r="BJ110" s="325" t="str">
        <f aca="false">IF(BJ$24=$AA110,($AG110*$AM110)+($AJ110*$AM110*1.25)+($AH110*$AN110)+($AK110*$AN110*1.25),"")</f>
        <v/>
      </c>
      <c r="BK110" s="325" t="n">
        <f aca="false">IF(BK$24=$AA110,($AG110*$AM110)+($AJ110*$AM110*1.25)+($AH110*$AN110)+($AK110*$AN110*1.25),"")</f>
        <v>0</v>
      </c>
      <c r="BL110" s="326" t="str">
        <f aca="false">IF(BL$24=$AA110,($AG110*$AM110)+($AJ110*$AM110*1.25)+($AH110*$AN110)+($AK110*$AN110*1.25),"")</f>
        <v/>
      </c>
      <c r="BM110" s="327" t="str">
        <f aca="false">IF(CONCATENATE(BH110,BI110,BJ110,BK110,BL110)="",1,"")</f>
        <v/>
      </c>
      <c r="BN110" s="328"/>
      <c r="BO110" s="328"/>
      <c r="BP110" s="328"/>
      <c r="BQ110" s="328"/>
      <c r="BR110" s="47"/>
      <c r="BS110" s="127" t="n">
        <f aca="false">(AG110*AM110)+(AH110*AN110)+((AJ110*AM110)+(AK110*AN110)*1.25)</f>
        <v>0</v>
      </c>
      <c r="BT110" s="127" t="n">
        <f aca="false">(AG110*AP110)+(AH110*AQ110)+((AJ110*AP110)+(AK110*AQ110)*1.25)</f>
        <v>0</v>
      </c>
      <c r="BU110" s="329"/>
      <c r="BV110" s="129"/>
    </row>
    <row r="111" customFormat="false" ht="15" hidden="false" customHeight="false" outlineLevel="0" collapsed="false">
      <c r="A111" s="228"/>
      <c r="B111" s="229"/>
      <c r="C111" s="230"/>
      <c r="D111" s="231"/>
      <c r="E111" s="223" t="str">
        <f aca="false">IF(SUM(A111:D111)&gt;0,SUM(A111:D111),"")</f>
        <v/>
      </c>
      <c r="F111" s="224" t="str">
        <f aca="false">AD124</f>
        <v>SANDÍA INVERNADERO</v>
      </c>
      <c r="G111" s="169"/>
      <c r="H111" s="169"/>
      <c r="I111" s="169"/>
      <c r="J111" s="169"/>
      <c r="K111" s="169"/>
      <c r="L111" s="169"/>
      <c r="M111" s="169"/>
      <c r="N111" s="169"/>
      <c r="O111" s="169"/>
      <c r="P111" s="169"/>
      <c r="Q111" s="169"/>
      <c r="R111" s="3"/>
      <c r="S111" s="3"/>
      <c r="T111" s="3"/>
      <c r="U111" s="3"/>
      <c r="V111" s="3"/>
      <c r="W111" s="3"/>
      <c r="X111" s="3"/>
      <c r="Y111" s="3"/>
      <c r="Z111" s="316" t="str">
        <f aca="false">IF(AF111&gt;0,RANK(AF111,AF$6:AF$422),"")</f>
        <v/>
      </c>
      <c r="AA111" s="134" t="n">
        <f aca="false">'O_MN, PE_UTA_UGM 2024'!N88</f>
        <v>4</v>
      </c>
      <c r="AB111" s="135" t="n">
        <f aca="false">'O_MN, PE_UTA_UGM 2024'!O88</f>
        <v>0</v>
      </c>
      <c r="AC111" s="317" t="n">
        <f aca="false">'O_MN, PE_UTA_UGM 2024'!C88</f>
        <v>152</v>
      </c>
      <c r="AD111" s="293" t="str">
        <f aca="false">IF(AB111=0,'O_MN, PE_UTA_UGM 2024'!F88,CONCATENATE('O_MN, PE_UTA_UGM 2024'!F88," ","INVERNADERO"))</f>
        <v>PIMIENTO</v>
      </c>
      <c r="AE111" s="89"/>
      <c r="AF111" s="123" t="n">
        <f aca="false">SUM(AG111:AH111)+SUM(AJ111:AK111)</f>
        <v>0</v>
      </c>
      <c r="AG111" s="318" t="n">
        <f aca="false">A98</f>
        <v>0</v>
      </c>
      <c r="AH111" s="319" t="n">
        <f aca="false">B98</f>
        <v>0</v>
      </c>
      <c r="AI111" s="6"/>
      <c r="AJ111" s="320" t="n">
        <f aca="false">C98</f>
        <v>0</v>
      </c>
      <c r="AK111" s="320" t="n">
        <f aca="false">D98</f>
        <v>0</v>
      </c>
      <c r="AL111" s="237" t="s">
        <v>237</v>
      </c>
      <c r="AM111" s="299" t="n">
        <f aca="false">'O_MN, PE_UTA_UGM 2024'!J88</f>
        <v>575</v>
      </c>
      <c r="AN111" s="299" t="n">
        <f aca="false">'O_MN, PE_UTA_UGM 2024'!K88</f>
        <v>8000</v>
      </c>
      <c r="AO111" s="300"/>
      <c r="AP111" s="299" t="n">
        <f aca="false">'O_MN, PE_UTA_UGM 2024'!H88</f>
        <v>360.61</v>
      </c>
      <c r="AQ111" s="299" t="n">
        <f aca="false">'O_MN, PE_UTA_UGM 2024'!I88</f>
        <v>1352.2</v>
      </c>
      <c r="AR111" s="301"/>
      <c r="AS111" s="302" t="n">
        <f aca="false">'O_MN, PE_UTA_UGM 2024'!L88</f>
        <v>0.0147</v>
      </c>
      <c r="AT111" s="302" t="n">
        <f aca="false">'O_MN, PE_UTA_UGM 2024'!M88</f>
        <v>0.05511</v>
      </c>
      <c r="AU111" s="45"/>
      <c r="AV111" s="321" t="n">
        <f aca="false">AG111*AM111</f>
        <v>0</v>
      </c>
      <c r="AW111" s="319" t="n">
        <f aca="false">AH111*AN111</f>
        <v>0</v>
      </c>
      <c r="AX111" s="320" t="n">
        <f aca="false">1.25*AJ111*AM111</f>
        <v>0</v>
      </c>
      <c r="AY111" s="322" t="n">
        <f aca="false">1.25*AK111*AN111</f>
        <v>0</v>
      </c>
      <c r="AZ111" s="323" t="n">
        <f aca="false">AG111*AP111</f>
        <v>0</v>
      </c>
      <c r="BA111" s="319" t="n">
        <f aca="false">AH111*AQ111</f>
        <v>0</v>
      </c>
      <c r="BB111" s="320" t="n">
        <f aca="false">1.25*AJ111*AP111</f>
        <v>0</v>
      </c>
      <c r="BC111" s="320" t="n">
        <f aca="false">1.25*AK111*AQ111</f>
        <v>0</v>
      </c>
      <c r="BD111" s="321" t="n">
        <f aca="false">AG111*AS111</f>
        <v>0</v>
      </c>
      <c r="BE111" s="319" t="n">
        <f aca="false">AH111*AT111</f>
        <v>0</v>
      </c>
      <c r="BF111" s="320" t="n">
        <f aca="false">AJ111*AS111</f>
        <v>0</v>
      </c>
      <c r="BG111" s="322" t="n">
        <f aca="false">AK111*AT111</f>
        <v>0</v>
      </c>
      <c r="BH111" s="324" t="str">
        <f aca="false">IF(BH$24=$AA111,($AG111*$AM111)+($AJ111*$AM111*1.25)+($AH111*$AN111)+($AK111*$AN111*1.25),"")</f>
        <v/>
      </c>
      <c r="BI111" s="325" t="str">
        <f aca="false">IF(BI$24=$AA111,($AG111*$AM111)+($AJ111*$AM111*1.25)+($AH111*$AN111)+($AK111*$AN111*1.25),"")</f>
        <v/>
      </c>
      <c r="BJ111" s="325" t="str">
        <f aca="false">IF(BJ$24=$AA111,($AG111*$AM111)+($AJ111*$AM111*1.25)+($AH111*$AN111)+($AK111*$AN111*1.25),"")</f>
        <v/>
      </c>
      <c r="BK111" s="325" t="n">
        <f aca="false">IF(BK$24=$AA111,($AG111*$AM111)+($AJ111*$AM111*1.25)+($AH111*$AN111)+($AK111*$AN111*1.25),"")</f>
        <v>0</v>
      </c>
      <c r="BL111" s="326" t="str">
        <f aca="false">IF(BL$24=$AA111,($AG111*$AM111)+($AJ111*$AM111*1.25)+($AH111*$AN111)+($AK111*$AN111*1.25),"")</f>
        <v/>
      </c>
      <c r="BM111" s="327" t="str">
        <f aca="false">IF(CONCATENATE(BH111,BI111,BJ111,BK111,BL111)="",1,"")</f>
        <v/>
      </c>
      <c r="BN111" s="328"/>
      <c r="BO111" s="328"/>
      <c r="BP111" s="328"/>
      <c r="BQ111" s="328"/>
      <c r="BR111" s="47"/>
      <c r="BS111" s="127" t="n">
        <f aca="false">(AG111*AM111)+(AH111*AN111)+((AJ111*AM111)+(AK111*AN111)*1.25)</f>
        <v>0</v>
      </c>
      <c r="BT111" s="127" t="n">
        <f aca="false">(AG111*AP111)+(AH111*AQ111)+((AJ111*AP111)+(AK111*AQ111)*1.25)</f>
        <v>0</v>
      </c>
      <c r="BU111" s="329"/>
      <c r="BV111" s="129"/>
    </row>
    <row r="112" customFormat="false" ht="15" hidden="false" customHeight="false" outlineLevel="0" collapsed="false">
      <c r="A112" s="228"/>
      <c r="B112" s="229"/>
      <c r="C112" s="230"/>
      <c r="D112" s="231"/>
      <c r="E112" s="223" t="str">
        <f aca="false">IF(SUM(A112:D112)&gt;0,SUM(A112:D112),"")</f>
        <v/>
      </c>
      <c r="F112" s="224" t="str">
        <f aca="false">AD125</f>
        <v>SANDÍA INVERNADERO</v>
      </c>
      <c r="G112" s="169"/>
      <c r="H112" s="169"/>
      <c r="I112" s="169"/>
      <c r="J112" s="169"/>
      <c r="K112" s="169"/>
      <c r="L112" s="169"/>
      <c r="M112" s="169"/>
      <c r="N112" s="169"/>
      <c r="O112" s="169"/>
      <c r="P112" s="169"/>
      <c r="Q112" s="169"/>
      <c r="R112" s="3"/>
      <c r="S112" s="3"/>
      <c r="T112" s="3"/>
      <c r="U112" s="3"/>
      <c r="V112" s="3"/>
      <c r="W112" s="3"/>
      <c r="X112" s="3"/>
      <c r="Y112" s="3"/>
      <c r="Z112" s="316" t="str">
        <f aca="false">IF(AF112&gt;0,RANK(AF112,AF$6:AF$422),"")</f>
        <v/>
      </c>
      <c r="AA112" s="134" t="n">
        <f aca="false">'O_MN, PE_UTA_UGM 2024'!N89</f>
        <v>4</v>
      </c>
      <c r="AB112" s="135" t="n">
        <f aca="false">'O_MN, PE_UTA_UGM 2024'!O89</f>
        <v>4</v>
      </c>
      <c r="AC112" s="317" t="n">
        <f aca="false">'O_MN, PE_UTA_UGM 2024'!C89</f>
        <v>152</v>
      </c>
      <c r="AD112" s="293" t="str">
        <f aca="false">IF(AB112=0,'O_MN, PE_UTA_UGM 2024'!F89,CONCATENATE('O_MN, PE_UTA_UGM 2024'!F89," ","INVERNADERO"))</f>
        <v>PIMIENTO INVERNADERO</v>
      </c>
      <c r="AE112" s="89"/>
      <c r="AF112" s="123" t="n">
        <f aca="false">SUM(AG112:AH112)+SUM(AJ112:AK112)</f>
        <v>0</v>
      </c>
      <c r="AG112" s="318" t="n">
        <f aca="false">A99</f>
        <v>0</v>
      </c>
      <c r="AH112" s="319" t="n">
        <f aca="false">B99</f>
        <v>0</v>
      </c>
      <c r="AI112" s="6"/>
      <c r="AJ112" s="320" t="n">
        <f aca="false">C99</f>
        <v>0</v>
      </c>
      <c r="AK112" s="320" t="n">
        <f aca="false">D99</f>
        <v>0</v>
      </c>
      <c r="AL112" s="237" t="s">
        <v>238</v>
      </c>
      <c r="AM112" s="299" t="n">
        <f aca="false">'O_MN, PE_UTA_UGM 2024'!J89</f>
        <v>0</v>
      </c>
      <c r="AN112" s="299" t="n">
        <f aca="false">'O_MN, PE_UTA_UGM 2024'!K89</f>
        <v>80000</v>
      </c>
      <c r="AO112" s="300"/>
      <c r="AP112" s="299" t="n">
        <f aca="false">'O_MN, PE_UTA_UGM 2024'!H89</f>
        <v>0</v>
      </c>
      <c r="AQ112" s="299" t="n">
        <f aca="false">'O_MN, PE_UTA_UGM 2024'!I89</f>
        <v>36060.73</v>
      </c>
      <c r="AR112" s="301"/>
      <c r="AS112" s="302" t="n">
        <f aca="false">'O_MN, PE_UTA_UGM 2024'!L89</f>
        <v>0</v>
      </c>
      <c r="AT112" s="302" t="n">
        <f aca="false">'O_MN, PE_UTA_UGM 2024'!M89</f>
        <v>1.46978</v>
      </c>
      <c r="AU112" s="45"/>
      <c r="AV112" s="321" t="n">
        <f aca="false">AG112*AM112</f>
        <v>0</v>
      </c>
      <c r="AW112" s="319" t="n">
        <f aca="false">AH112*AN112</f>
        <v>0</v>
      </c>
      <c r="AX112" s="320" t="n">
        <f aca="false">1.25*AJ112*AM112</f>
        <v>0</v>
      </c>
      <c r="AY112" s="322" t="n">
        <f aca="false">1.25*AK112*AN112</f>
        <v>0</v>
      </c>
      <c r="AZ112" s="323" t="n">
        <f aca="false">AG112*AP112</f>
        <v>0</v>
      </c>
      <c r="BA112" s="319" t="n">
        <f aca="false">AH112*AQ112</f>
        <v>0</v>
      </c>
      <c r="BB112" s="320" t="n">
        <f aca="false">1.25*AJ112*AP112</f>
        <v>0</v>
      </c>
      <c r="BC112" s="320" t="n">
        <f aca="false">1.25*AK112*AQ112</f>
        <v>0</v>
      </c>
      <c r="BD112" s="321" t="n">
        <f aca="false">AG112*AS112</f>
        <v>0</v>
      </c>
      <c r="BE112" s="319" t="n">
        <f aca="false">AH112*AT112</f>
        <v>0</v>
      </c>
      <c r="BF112" s="320" t="n">
        <f aca="false">AJ112*AS112</f>
        <v>0</v>
      </c>
      <c r="BG112" s="322" t="n">
        <f aca="false">AK112*AT112</f>
        <v>0</v>
      </c>
      <c r="BH112" s="324" t="str">
        <f aca="false">IF(BH$24=$AA112,($AG112*$AM112)+($AJ112*$AM112*1.25)+($AH112*$AN112)+($AK112*$AN112*1.25),"")</f>
        <v/>
      </c>
      <c r="BI112" s="325" t="str">
        <f aca="false">IF(BI$24=$AA112,($AG112*$AM112)+($AJ112*$AM112*1.25)+($AH112*$AN112)+($AK112*$AN112*1.25),"")</f>
        <v/>
      </c>
      <c r="BJ112" s="325" t="str">
        <f aca="false">IF(BJ$24=$AA112,($AG112*$AM112)+($AJ112*$AM112*1.25)+($AH112*$AN112)+($AK112*$AN112*1.25),"")</f>
        <v/>
      </c>
      <c r="BK112" s="325" t="n">
        <f aca="false">IF(BK$24=$AA112,($AG112*$AM112)+($AJ112*$AM112*1.25)+($AH112*$AN112)+($AK112*$AN112*1.25),"")</f>
        <v>0</v>
      </c>
      <c r="BL112" s="326" t="str">
        <f aca="false">IF(BL$24=$AA112,($AG112*$AM112)+($AJ112*$AM112*1.25)+($AH112*$AN112)+($AK112*$AN112*1.25),"")</f>
        <v/>
      </c>
      <c r="BM112" s="327" t="str">
        <f aca="false">IF(CONCATENATE(BH112,BI112,BJ112,BK112,BL112)="",1,"")</f>
        <v/>
      </c>
      <c r="BN112" s="328"/>
      <c r="BO112" s="328"/>
      <c r="BP112" s="328"/>
      <c r="BQ112" s="328"/>
      <c r="BR112" s="47"/>
      <c r="BS112" s="127" t="n">
        <f aca="false">(AG112*AM112)+(AH112*AN112)+((AJ112*AM112)+(AK112*AN112)*1.25)</f>
        <v>0</v>
      </c>
      <c r="BT112" s="127" t="n">
        <f aca="false">(AG112*AP112)+(AH112*AQ112)+((AJ112*AP112)+(AK112*AQ112)*1.25)</f>
        <v>0</v>
      </c>
      <c r="BU112" s="329"/>
      <c r="BV112" s="129"/>
    </row>
    <row r="113" customFormat="false" ht="15" hidden="false" customHeight="false" outlineLevel="0" collapsed="false">
      <c r="A113" s="228"/>
      <c r="B113" s="229"/>
      <c r="C113" s="230"/>
      <c r="D113" s="231"/>
      <c r="E113" s="223" t="str">
        <f aca="false">IF(SUM(A113:D113)&gt;0,SUM(A113:D113),"")</f>
        <v/>
      </c>
      <c r="F113" s="224" t="str">
        <f aca="false">AD126</f>
        <v>CEBOLLA</v>
      </c>
      <c r="G113" s="169"/>
      <c r="H113" s="169"/>
      <c r="I113" s="169"/>
      <c r="J113" s="169"/>
      <c r="K113" s="169"/>
      <c r="L113" s="169"/>
      <c r="M113" s="169"/>
      <c r="N113" s="169"/>
      <c r="O113" s="169"/>
      <c r="P113" s="169"/>
      <c r="Q113" s="169"/>
      <c r="R113" s="3"/>
      <c r="S113" s="3"/>
      <c r="T113" s="3"/>
      <c r="U113" s="3"/>
      <c r="V113" s="3"/>
      <c r="W113" s="3"/>
      <c r="X113" s="3"/>
      <c r="Y113" s="3"/>
      <c r="Z113" s="316" t="str">
        <f aca="false">IF(AF113&gt;0,RANK(AF113,AF$6:AF$422),"")</f>
        <v/>
      </c>
      <c r="AA113" s="134" t="n">
        <f aca="false">'O_MN, PE_UTA_UGM 2024'!N90</f>
        <v>4</v>
      </c>
      <c r="AB113" s="135" t="n">
        <f aca="false">'O_MN, PE_UTA_UGM 2024'!O90</f>
        <v>19</v>
      </c>
      <c r="AC113" s="317" t="n">
        <f aca="false">'O_MN, PE_UTA_UGM 2024'!C90</f>
        <v>152</v>
      </c>
      <c r="AD113" s="293" t="str">
        <f aca="false">IF(AB113=0,'O_MN, PE_UTA_UGM 2024'!F90,CONCATENATE('O_MN, PE_UTA_UGM 2024'!F90," ","INVERNADERO"))</f>
        <v>PIMIENTO INVERNADERO</v>
      </c>
      <c r="AE113" s="89"/>
      <c r="AF113" s="123" t="n">
        <f aca="false">SUM(AG113:AH113)+SUM(AJ113:AK113)</f>
        <v>0</v>
      </c>
      <c r="AG113" s="318" t="n">
        <f aca="false">A100</f>
        <v>0</v>
      </c>
      <c r="AH113" s="319" t="n">
        <f aca="false">B100</f>
        <v>0</v>
      </c>
      <c r="AI113" s="6"/>
      <c r="AJ113" s="320" t="n">
        <f aca="false">C100</f>
        <v>0</v>
      </c>
      <c r="AK113" s="320" t="n">
        <f aca="false">D100</f>
        <v>0</v>
      </c>
      <c r="AL113" s="237" t="s">
        <v>239</v>
      </c>
      <c r="AM113" s="299" t="n">
        <f aca="false">'O_MN, PE_UTA_UGM 2024'!J90</f>
        <v>0</v>
      </c>
      <c r="AN113" s="299" t="n">
        <f aca="false">'O_MN, PE_UTA_UGM 2024'!K90</f>
        <v>80000</v>
      </c>
      <c r="AO113" s="300"/>
      <c r="AP113" s="299" t="n">
        <f aca="false">'O_MN, PE_UTA_UGM 2024'!H90</f>
        <v>0</v>
      </c>
      <c r="AQ113" s="299" t="n">
        <f aca="false">'O_MN, PE_UTA_UGM 2024'!I90</f>
        <v>36060.73</v>
      </c>
      <c r="AR113" s="301"/>
      <c r="AS113" s="302" t="n">
        <f aca="false">'O_MN, PE_UTA_UGM 2024'!L90</f>
        <v>0</v>
      </c>
      <c r="AT113" s="302" t="n">
        <f aca="false">'O_MN, PE_UTA_UGM 2024'!M90</f>
        <v>1.46978</v>
      </c>
      <c r="AU113" s="45"/>
      <c r="AV113" s="321" t="n">
        <f aca="false">AG113*AM113</f>
        <v>0</v>
      </c>
      <c r="AW113" s="319" t="n">
        <f aca="false">AH113*AN113</f>
        <v>0</v>
      </c>
      <c r="AX113" s="320" t="n">
        <f aca="false">1.25*AJ113*AM113</f>
        <v>0</v>
      </c>
      <c r="AY113" s="322" t="n">
        <f aca="false">1.25*AK113*AN113</f>
        <v>0</v>
      </c>
      <c r="AZ113" s="323" t="n">
        <f aca="false">AG113*AP113</f>
        <v>0</v>
      </c>
      <c r="BA113" s="319" t="n">
        <f aca="false">AH113*AQ113</f>
        <v>0</v>
      </c>
      <c r="BB113" s="320" t="n">
        <f aca="false">1.25*AJ113*AP113</f>
        <v>0</v>
      </c>
      <c r="BC113" s="320" t="n">
        <f aca="false">1.25*AK113*AQ113</f>
        <v>0</v>
      </c>
      <c r="BD113" s="321" t="n">
        <f aca="false">AG113*AS113</f>
        <v>0</v>
      </c>
      <c r="BE113" s="319" t="n">
        <f aca="false">AH113*AT113</f>
        <v>0</v>
      </c>
      <c r="BF113" s="320" t="n">
        <f aca="false">AJ113*AS113</f>
        <v>0</v>
      </c>
      <c r="BG113" s="322" t="n">
        <f aca="false">AK113*AT113</f>
        <v>0</v>
      </c>
      <c r="BH113" s="324" t="str">
        <f aca="false">IF(BH$24=$AA113,($AG113*$AM113)+($AJ113*$AM113*1.25)+($AH113*$AN113)+($AK113*$AN113*1.25),"")</f>
        <v/>
      </c>
      <c r="BI113" s="325" t="str">
        <f aca="false">IF(BI$24=$AA113,($AG113*$AM113)+($AJ113*$AM113*1.25)+($AH113*$AN113)+($AK113*$AN113*1.25),"")</f>
        <v/>
      </c>
      <c r="BJ113" s="325" t="str">
        <f aca="false">IF(BJ$24=$AA113,($AG113*$AM113)+($AJ113*$AM113*1.25)+($AH113*$AN113)+($AK113*$AN113*1.25),"")</f>
        <v/>
      </c>
      <c r="BK113" s="325" t="n">
        <f aca="false">IF(BK$24=$AA113,($AG113*$AM113)+($AJ113*$AM113*1.25)+($AH113*$AN113)+($AK113*$AN113*1.25),"")</f>
        <v>0</v>
      </c>
      <c r="BL113" s="326" t="str">
        <f aca="false">IF(BL$24=$AA113,($AG113*$AM113)+($AJ113*$AM113*1.25)+($AH113*$AN113)+($AK113*$AN113*1.25),"")</f>
        <v/>
      </c>
      <c r="BM113" s="327" t="str">
        <f aca="false">IF(CONCATENATE(BH113,BI113,BJ113,BK113,BL113)="",1,"")</f>
        <v/>
      </c>
      <c r="BN113" s="328"/>
      <c r="BO113" s="328"/>
      <c r="BP113" s="328"/>
      <c r="BQ113" s="328"/>
      <c r="BR113" s="47"/>
      <c r="BS113" s="127" t="n">
        <f aca="false">(AG113*AM113)+(AH113*AN113)+((AJ113*AM113)+(AK113*AN113)*1.25)</f>
        <v>0</v>
      </c>
      <c r="BT113" s="127" t="n">
        <f aca="false">(AG113*AP113)+(AH113*AQ113)+((AJ113*AP113)+(AK113*AQ113)*1.25)</f>
        <v>0</v>
      </c>
      <c r="BU113" s="329"/>
      <c r="BV113" s="129"/>
    </row>
    <row r="114" customFormat="false" ht="15" hidden="false" customHeight="false" outlineLevel="0" collapsed="false">
      <c r="A114" s="228"/>
      <c r="B114" s="229"/>
      <c r="C114" s="230"/>
      <c r="D114" s="231"/>
      <c r="E114" s="223" t="str">
        <f aca="false">IF(SUM(A114:D114)&gt;0,SUM(A114:D114),"")</f>
        <v/>
      </c>
      <c r="F114" s="224" t="str">
        <f aca="false">AD127</f>
        <v>CEBOLLA INVERNADERO</v>
      </c>
      <c r="G114" s="169"/>
      <c r="H114" s="169"/>
      <c r="I114" s="169"/>
      <c r="J114" s="169"/>
      <c r="K114" s="169"/>
      <c r="L114" s="169"/>
      <c r="M114" s="169"/>
      <c r="N114" s="169"/>
      <c r="O114" s="169"/>
      <c r="P114" s="169"/>
      <c r="Q114" s="169"/>
      <c r="R114" s="3"/>
      <c r="S114" s="3"/>
      <c r="T114" s="3"/>
      <c r="U114" s="3"/>
      <c r="V114" s="3"/>
      <c r="W114" s="3"/>
      <c r="X114" s="3"/>
      <c r="Y114" s="3"/>
      <c r="Z114" s="316" t="str">
        <f aca="false">IF(AF114&gt;0,RANK(AF114,AF$6:AF$422),"")</f>
        <v/>
      </c>
      <c r="AA114" s="134" t="n">
        <f aca="false">'O_MN, PE_UTA_UGM 2024'!N91</f>
        <v>4</v>
      </c>
      <c r="AB114" s="135" t="n">
        <f aca="false">'O_MN, PE_UTA_UGM 2024'!O91</f>
        <v>0</v>
      </c>
      <c r="AC114" s="317" t="n">
        <f aca="false">'O_MN, PE_UTA_UGM 2024'!C91</f>
        <v>153</v>
      </c>
      <c r="AD114" s="293" t="str">
        <f aca="false">IF(AB114=0,'O_MN, PE_UTA_UGM 2024'!F91,CONCATENATE('O_MN, PE_UTA_UGM 2024'!F91," ","INVERNADERO"))</f>
        <v>MELÓN</v>
      </c>
      <c r="AE114" s="89"/>
      <c r="AF114" s="123" t="n">
        <f aca="false">SUM(AG114:AH114)+SUM(AJ114:AK114)</f>
        <v>0</v>
      </c>
      <c r="AG114" s="318" t="n">
        <f aca="false">A101</f>
        <v>0</v>
      </c>
      <c r="AH114" s="319" t="n">
        <f aca="false">B101</f>
        <v>0</v>
      </c>
      <c r="AI114" s="6"/>
      <c r="AJ114" s="320" t="n">
        <f aca="false">C101</f>
        <v>0</v>
      </c>
      <c r="AK114" s="320" t="n">
        <f aca="false">D101</f>
        <v>0</v>
      </c>
      <c r="AL114" s="237" t="s">
        <v>240</v>
      </c>
      <c r="AM114" s="299" t="n">
        <f aca="false">'O_MN, PE_UTA_UGM 2024'!J91</f>
        <v>575</v>
      </c>
      <c r="AN114" s="299" t="n">
        <f aca="false">'O_MN, PE_UTA_UGM 2024'!K91</f>
        <v>5200</v>
      </c>
      <c r="AO114" s="300"/>
      <c r="AP114" s="299" t="n">
        <f aca="false">'O_MN, PE_UTA_UGM 2024'!H91</f>
        <v>360.61</v>
      </c>
      <c r="AQ114" s="299" t="n">
        <f aca="false">'O_MN, PE_UTA_UGM 2024'!I91</f>
        <v>1352.28</v>
      </c>
      <c r="AR114" s="301"/>
      <c r="AS114" s="302" t="n">
        <f aca="false">'O_MN, PE_UTA_UGM 2024'!L91</f>
        <v>0.0147</v>
      </c>
      <c r="AT114" s="302" t="n">
        <f aca="false">'O_MN, PE_UTA_UGM 2024'!M91</f>
        <v>0.05512</v>
      </c>
      <c r="AU114" s="45"/>
      <c r="AV114" s="321" t="n">
        <f aca="false">AG114*AM114</f>
        <v>0</v>
      </c>
      <c r="AW114" s="319" t="n">
        <f aca="false">AH114*AN114</f>
        <v>0</v>
      </c>
      <c r="AX114" s="320" t="n">
        <f aca="false">1.25*AJ114*AM114</f>
        <v>0</v>
      </c>
      <c r="AY114" s="322" t="n">
        <f aca="false">1.25*AK114*AN114</f>
        <v>0</v>
      </c>
      <c r="AZ114" s="323" t="n">
        <f aca="false">AG114*AP114</f>
        <v>0</v>
      </c>
      <c r="BA114" s="319" t="n">
        <f aca="false">AH114*AQ114</f>
        <v>0</v>
      </c>
      <c r="BB114" s="320" t="n">
        <f aca="false">1.25*AJ114*AP114</f>
        <v>0</v>
      </c>
      <c r="BC114" s="320" t="n">
        <f aca="false">1.25*AK114*AQ114</f>
        <v>0</v>
      </c>
      <c r="BD114" s="321" t="n">
        <f aca="false">AG114*AS114</f>
        <v>0</v>
      </c>
      <c r="BE114" s="319" t="n">
        <f aca="false">AH114*AT114</f>
        <v>0</v>
      </c>
      <c r="BF114" s="320" t="n">
        <f aca="false">AJ114*AS114</f>
        <v>0</v>
      </c>
      <c r="BG114" s="322" t="n">
        <f aca="false">AK114*AT114</f>
        <v>0</v>
      </c>
      <c r="BH114" s="324" t="str">
        <f aca="false">IF(BH$24=$AA114,($AG114*$AM114)+($AJ114*$AM114*1.25)+($AH114*$AN114)+($AK114*$AN114*1.25),"")</f>
        <v/>
      </c>
      <c r="BI114" s="325" t="str">
        <f aca="false">IF(BI$24=$AA114,($AG114*$AM114)+($AJ114*$AM114*1.25)+($AH114*$AN114)+($AK114*$AN114*1.25),"")</f>
        <v/>
      </c>
      <c r="BJ114" s="325" t="str">
        <f aca="false">IF(BJ$24=$AA114,($AG114*$AM114)+($AJ114*$AM114*1.25)+($AH114*$AN114)+($AK114*$AN114*1.25),"")</f>
        <v/>
      </c>
      <c r="BK114" s="325" t="n">
        <f aca="false">IF(BK$24=$AA114,($AG114*$AM114)+($AJ114*$AM114*1.25)+($AH114*$AN114)+($AK114*$AN114*1.25),"")</f>
        <v>0</v>
      </c>
      <c r="BL114" s="326" t="str">
        <f aca="false">IF(BL$24=$AA114,($AG114*$AM114)+($AJ114*$AM114*1.25)+($AH114*$AN114)+($AK114*$AN114*1.25),"")</f>
        <v/>
      </c>
      <c r="BM114" s="327" t="str">
        <f aca="false">IF(CONCATENATE(BH114,BI114,BJ114,BK114,BL114)="",1,"")</f>
        <v/>
      </c>
      <c r="BN114" s="328"/>
      <c r="BO114" s="328"/>
      <c r="BP114" s="328"/>
      <c r="BQ114" s="328"/>
      <c r="BR114" s="47"/>
      <c r="BS114" s="127" t="n">
        <f aca="false">(AG114*AM114)+(AH114*AN114)+((AJ114*AM114)+(AK114*AN114)*1.25)</f>
        <v>0</v>
      </c>
      <c r="BT114" s="127" t="n">
        <f aca="false">(AG114*AP114)+(AH114*AQ114)+((AJ114*AP114)+(AK114*AQ114)*1.25)</f>
        <v>0</v>
      </c>
      <c r="BU114" s="329"/>
      <c r="BV114" s="129"/>
    </row>
    <row r="115" customFormat="false" ht="15" hidden="false" customHeight="false" outlineLevel="0" collapsed="false">
      <c r="A115" s="228"/>
      <c r="B115" s="229"/>
      <c r="C115" s="230"/>
      <c r="D115" s="231"/>
      <c r="E115" s="223" t="str">
        <f aca="false">IF(SUM(A115:D115)&gt;0,SUM(A115:D115),"")</f>
        <v/>
      </c>
      <c r="F115" s="224" t="str">
        <f aca="false">AD128</f>
        <v>CEBOLLA INVERNADERO</v>
      </c>
      <c r="G115" s="169"/>
      <c r="H115" s="169"/>
      <c r="I115" s="169"/>
      <c r="J115" s="169"/>
      <c r="K115" s="169"/>
      <c r="L115" s="169"/>
      <c r="M115" s="169"/>
      <c r="N115" s="169"/>
      <c r="O115" s="169"/>
      <c r="P115" s="169"/>
      <c r="Q115" s="169"/>
      <c r="R115" s="3"/>
      <c r="S115" s="3"/>
      <c r="T115" s="3"/>
      <c r="U115" s="3"/>
      <c r="V115" s="3"/>
      <c r="W115" s="3"/>
      <c r="X115" s="3"/>
      <c r="Y115" s="3"/>
      <c r="Z115" s="316" t="str">
        <f aca="false">IF(AF115&gt;0,RANK(AF115,AF$6:AF$422),"")</f>
        <v/>
      </c>
      <c r="AA115" s="134" t="n">
        <f aca="false">'O_MN, PE_UTA_UGM 2024'!N92</f>
        <v>4</v>
      </c>
      <c r="AB115" s="135" t="n">
        <f aca="false">'O_MN, PE_UTA_UGM 2024'!O92</f>
        <v>4</v>
      </c>
      <c r="AC115" s="317" t="n">
        <f aca="false">'O_MN, PE_UTA_UGM 2024'!C92</f>
        <v>153</v>
      </c>
      <c r="AD115" s="293" t="str">
        <f aca="false">IF(AB115=0,'O_MN, PE_UTA_UGM 2024'!F92,CONCATENATE('O_MN, PE_UTA_UGM 2024'!F92," ","INVERNADERO"))</f>
        <v>MELÓN INVERNADERO</v>
      </c>
      <c r="AE115" s="89"/>
      <c r="AF115" s="123" t="n">
        <f aca="false">SUM(AG115:AH115)+SUM(AJ115:AK115)</f>
        <v>0</v>
      </c>
      <c r="AG115" s="318" t="n">
        <f aca="false">A102</f>
        <v>0</v>
      </c>
      <c r="AH115" s="319" t="n">
        <f aca="false">B102</f>
        <v>0</v>
      </c>
      <c r="AI115" s="6"/>
      <c r="AJ115" s="320" t="n">
        <f aca="false">C102</f>
        <v>0</v>
      </c>
      <c r="AK115" s="320" t="n">
        <f aca="false">D102</f>
        <v>0</v>
      </c>
      <c r="AL115" s="237" t="s">
        <v>241</v>
      </c>
      <c r="AM115" s="299" t="n">
        <f aca="false">'O_MN, PE_UTA_UGM 2024'!J92</f>
        <v>0</v>
      </c>
      <c r="AN115" s="299" t="n">
        <f aca="false">'O_MN, PE_UTA_UGM 2024'!K92</f>
        <v>80000</v>
      </c>
      <c r="AO115" s="300"/>
      <c r="AP115" s="299" t="n">
        <f aca="false">'O_MN, PE_UTA_UGM 2024'!H92</f>
        <v>0</v>
      </c>
      <c r="AQ115" s="299" t="n">
        <f aca="false">'O_MN, PE_UTA_UGM 2024'!I92</f>
        <v>36060.73</v>
      </c>
      <c r="AR115" s="301"/>
      <c r="AS115" s="302" t="n">
        <f aca="false">'O_MN, PE_UTA_UGM 2024'!L92</f>
        <v>0</v>
      </c>
      <c r="AT115" s="302" t="n">
        <f aca="false">'O_MN, PE_UTA_UGM 2024'!M92</f>
        <v>1.46978</v>
      </c>
      <c r="AU115" s="45"/>
      <c r="AV115" s="321" t="n">
        <f aca="false">AG115*AM115</f>
        <v>0</v>
      </c>
      <c r="AW115" s="319" t="n">
        <f aca="false">AH115*AN115</f>
        <v>0</v>
      </c>
      <c r="AX115" s="320" t="n">
        <f aca="false">1.25*AJ115*AM115</f>
        <v>0</v>
      </c>
      <c r="AY115" s="322" t="n">
        <f aca="false">1.25*AK115*AN115</f>
        <v>0</v>
      </c>
      <c r="AZ115" s="323" t="n">
        <f aca="false">AG115*AP115</f>
        <v>0</v>
      </c>
      <c r="BA115" s="319" t="n">
        <f aca="false">AH115*AQ115</f>
        <v>0</v>
      </c>
      <c r="BB115" s="320" t="n">
        <f aca="false">1.25*AJ115*AP115</f>
        <v>0</v>
      </c>
      <c r="BC115" s="320" t="n">
        <f aca="false">1.25*AK115*AQ115</f>
        <v>0</v>
      </c>
      <c r="BD115" s="321" t="n">
        <f aca="false">AG115*AS115</f>
        <v>0</v>
      </c>
      <c r="BE115" s="319" t="n">
        <f aca="false">AH115*AT115</f>
        <v>0</v>
      </c>
      <c r="BF115" s="320" t="n">
        <f aca="false">AJ115*AS115</f>
        <v>0</v>
      </c>
      <c r="BG115" s="322" t="n">
        <f aca="false">AK115*AT115</f>
        <v>0</v>
      </c>
      <c r="BH115" s="324" t="str">
        <f aca="false">IF(BH$24=$AA115,($AG115*$AM115)+($AJ115*$AM115*1.25)+($AH115*$AN115)+($AK115*$AN115*1.25),"")</f>
        <v/>
      </c>
      <c r="BI115" s="325" t="str">
        <f aca="false">IF(BI$24=$AA115,($AG115*$AM115)+($AJ115*$AM115*1.25)+($AH115*$AN115)+($AK115*$AN115*1.25),"")</f>
        <v/>
      </c>
      <c r="BJ115" s="325" t="str">
        <f aca="false">IF(BJ$24=$AA115,($AG115*$AM115)+($AJ115*$AM115*1.25)+($AH115*$AN115)+($AK115*$AN115*1.25),"")</f>
        <v/>
      </c>
      <c r="BK115" s="325" t="n">
        <f aca="false">IF(BK$24=$AA115,($AG115*$AM115)+($AJ115*$AM115*1.25)+($AH115*$AN115)+($AK115*$AN115*1.25),"")</f>
        <v>0</v>
      </c>
      <c r="BL115" s="326" t="str">
        <f aca="false">IF(BL$24=$AA115,($AG115*$AM115)+($AJ115*$AM115*1.25)+($AH115*$AN115)+($AK115*$AN115*1.25),"")</f>
        <v/>
      </c>
      <c r="BM115" s="327" t="str">
        <f aca="false">IF(CONCATENATE(BH115,BI115,BJ115,BK115,BL115)="",1,"")</f>
        <v/>
      </c>
      <c r="BN115" s="328"/>
      <c r="BO115" s="328"/>
      <c r="BP115" s="328"/>
      <c r="BQ115" s="328"/>
      <c r="BR115" s="47"/>
      <c r="BS115" s="127" t="n">
        <f aca="false">(AG115*AM115)+(AH115*AN115)+((AJ115*AM115)+(AK115*AN115)*1.25)</f>
        <v>0</v>
      </c>
      <c r="BT115" s="127" t="n">
        <f aca="false">(AG115*AP115)+(AH115*AQ115)+((AJ115*AP115)+(AK115*AQ115)*1.25)</f>
        <v>0</v>
      </c>
      <c r="BU115" s="329"/>
      <c r="BV115" s="129"/>
    </row>
    <row r="116" customFormat="false" ht="15" hidden="false" customHeight="false" outlineLevel="0" collapsed="false">
      <c r="A116" s="228"/>
      <c r="B116" s="229"/>
      <c r="C116" s="230"/>
      <c r="D116" s="231"/>
      <c r="E116" s="223" t="str">
        <f aca="false">IF(SUM(A116:D116)&gt;0,SUM(A116:D116),"")</f>
        <v/>
      </c>
      <c r="F116" s="224" t="str">
        <f aca="false">AD129</f>
        <v>APIO</v>
      </c>
      <c r="G116" s="169"/>
      <c r="H116" s="169"/>
      <c r="I116" s="169"/>
      <c r="J116" s="169"/>
      <c r="K116" s="169"/>
      <c r="L116" s="169"/>
      <c r="M116" s="169"/>
      <c r="N116" s="169"/>
      <c r="O116" s="169"/>
      <c r="P116" s="169"/>
      <c r="Q116" s="169"/>
      <c r="R116" s="3"/>
      <c r="S116" s="3"/>
      <c r="T116" s="3"/>
      <c r="U116" s="3"/>
      <c r="V116" s="3"/>
      <c r="W116" s="3"/>
      <c r="X116" s="3"/>
      <c r="Y116" s="3"/>
      <c r="Z116" s="316" t="str">
        <f aca="false">IF(AF116&gt;0,RANK(AF116,AF$6:AF$422),"")</f>
        <v/>
      </c>
      <c r="AA116" s="134" t="n">
        <f aca="false">'O_MN, PE_UTA_UGM 2024'!N93</f>
        <v>4</v>
      </c>
      <c r="AB116" s="135" t="n">
        <f aca="false">'O_MN, PE_UTA_UGM 2024'!O93</f>
        <v>19</v>
      </c>
      <c r="AC116" s="317" t="n">
        <f aca="false">'O_MN, PE_UTA_UGM 2024'!C93</f>
        <v>153</v>
      </c>
      <c r="AD116" s="293" t="str">
        <f aca="false">IF(AB116=0,'O_MN, PE_UTA_UGM 2024'!F93,CONCATENATE('O_MN, PE_UTA_UGM 2024'!F93," ","INVERNADERO"))</f>
        <v>MELÓN INVERNADERO</v>
      </c>
      <c r="AE116" s="89"/>
      <c r="AF116" s="123" t="n">
        <f aca="false">SUM(AG116:AH116)+SUM(AJ116:AK116)</f>
        <v>0</v>
      </c>
      <c r="AG116" s="318" t="n">
        <f aca="false">A103</f>
        <v>0</v>
      </c>
      <c r="AH116" s="319" t="n">
        <f aca="false">B103</f>
        <v>0</v>
      </c>
      <c r="AI116" s="6"/>
      <c r="AJ116" s="320" t="n">
        <f aca="false">C103</f>
        <v>0</v>
      </c>
      <c r="AK116" s="320" t="n">
        <f aca="false">D103</f>
        <v>0</v>
      </c>
      <c r="AL116" s="237" t="s">
        <v>242</v>
      </c>
      <c r="AM116" s="299" t="n">
        <f aca="false">'O_MN, PE_UTA_UGM 2024'!J93</f>
        <v>0</v>
      </c>
      <c r="AN116" s="299" t="n">
        <f aca="false">'O_MN, PE_UTA_UGM 2024'!K93</f>
        <v>80000</v>
      </c>
      <c r="AO116" s="300"/>
      <c r="AP116" s="299" t="n">
        <f aca="false">'O_MN, PE_UTA_UGM 2024'!H93</f>
        <v>0</v>
      </c>
      <c r="AQ116" s="299" t="n">
        <f aca="false">'O_MN, PE_UTA_UGM 2024'!I93</f>
        <v>36060.73</v>
      </c>
      <c r="AR116" s="301"/>
      <c r="AS116" s="302" t="n">
        <f aca="false">'O_MN, PE_UTA_UGM 2024'!L93</f>
        <v>0</v>
      </c>
      <c r="AT116" s="302" t="n">
        <f aca="false">'O_MN, PE_UTA_UGM 2024'!M93</f>
        <v>1.46978</v>
      </c>
      <c r="AU116" s="45"/>
      <c r="AV116" s="321" t="n">
        <f aca="false">AG116*AM116</f>
        <v>0</v>
      </c>
      <c r="AW116" s="319" t="n">
        <f aca="false">AH116*AN116</f>
        <v>0</v>
      </c>
      <c r="AX116" s="320" t="n">
        <f aca="false">1.25*AJ116*AM116</f>
        <v>0</v>
      </c>
      <c r="AY116" s="322" t="n">
        <f aca="false">1.25*AK116*AN116</f>
        <v>0</v>
      </c>
      <c r="AZ116" s="323" t="n">
        <f aca="false">AG116*AP116</f>
        <v>0</v>
      </c>
      <c r="BA116" s="319" t="n">
        <f aca="false">AH116*AQ116</f>
        <v>0</v>
      </c>
      <c r="BB116" s="320" t="n">
        <f aca="false">1.25*AJ116*AP116</f>
        <v>0</v>
      </c>
      <c r="BC116" s="320" t="n">
        <f aca="false">1.25*AK116*AQ116</f>
        <v>0</v>
      </c>
      <c r="BD116" s="321" t="n">
        <f aca="false">AG116*AS116</f>
        <v>0</v>
      </c>
      <c r="BE116" s="319" t="n">
        <f aca="false">AH116*AT116</f>
        <v>0</v>
      </c>
      <c r="BF116" s="320" t="n">
        <f aca="false">AJ116*AS116</f>
        <v>0</v>
      </c>
      <c r="BG116" s="322" t="n">
        <f aca="false">AK116*AT116</f>
        <v>0</v>
      </c>
      <c r="BH116" s="324" t="str">
        <f aca="false">IF(BH$24=$AA116,($AG116*$AM116)+($AJ116*$AM116*1.25)+($AH116*$AN116)+($AK116*$AN116*1.25),"")</f>
        <v/>
      </c>
      <c r="BI116" s="325" t="str">
        <f aca="false">IF(BI$24=$AA116,($AG116*$AM116)+($AJ116*$AM116*1.25)+($AH116*$AN116)+($AK116*$AN116*1.25),"")</f>
        <v/>
      </c>
      <c r="BJ116" s="325" t="str">
        <f aca="false">IF(BJ$24=$AA116,($AG116*$AM116)+($AJ116*$AM116*1.25)+($AH116*$AN116)+($AK116*$AN116*1.25),"")</f>
        <v/>
      </c>
      <c r="BK116" s="325" t="n">
        <f aca="false">IF(BK$24=$AA116,($AG116*$AM116)+($AJ116*$AM116*1.25)+($AH116*$AN116)+($AK116*$AN116*1.25),"")</f>
        <v>0</v>
      </c>
      <c r="BL116" s="326" t="str">
        <f aca="false">IF(BL$24=$AA116,($AG116*$AM116)+($AJ116*$AM116*1.25)+($AH116*$AN116)+($AK116*$AN116*1.25),"")</f>
        <v/>
      </c>
      <c r="BM116" s="327" t="str">
        <f aca="false">IF(CONCATENATE(BH116,BI116,BJ116,BK116,BL116)="",1,"")</f>
        <v/>
      </c>
      <c r="BN116" s="328"/>
      <c r="BO116" s="328"/>
      <c r="BP116" s="328"/>
      <c r="BQ116" s="328"/>
      <c r="BR116" s="47"/>
      <c r="BS116" s="127" t="n">
        <f aca="false">(AG116*AM116)+(AH116*AN116)+((AJ116*AM116)+(AK116*AN116)*1.25)</f>
        <v>0</v>
      </c>
      <c r="BT116" s="127" t="n">
        <f aca="false">(AG116*AP116)+(AH116*AQ116)+((AJ116*AP116)+(AK116*AQ116)*1.25)</f>
        <v>0</v>
      </c>
      <c r="BU116" s="329"/>
      <c r="BV116" s="129"/>
    </row>
    <row r="117" customFormat="false" ht="15" hidden="false" customHeight="false" outlineLevel="0" collapsed="false">
      <c r="A117" s="228"/>
      <c r="B117" s="229"/>
      <c r="C117" s="230"/>
      <c r="D117" s="231"/>
      <c r="E117" s="223" t="str">
        <f aca="false">IF(SUM(A117:D117)&gt;0,SUM(A117:D117),"")</f>
        <v/>
      </c>
      <c r="F117" s="224" t="str">
        <f aca="false">AD130</f>
        <v>APIO INVERNADERO</v>
      </c>
      <c r="G117" s="169"/>
      <c r="H117" s="169"/>
      <c r="I117" s="169"/>
      <c r="J117" s="169"/>
      <c r="K117" s="169"/>
      <c r="L117" s="169"/>
      <c r="M117" s="169"/>
      <c r="N117" s="169"/>
      <c r="O117" s="169"/>
      <c r="P117" s="169"/>
      <c r="Q117" s="169"/>
      <c r="R117" s="3"/>
      <c r="S117" s="3"/>
      <c r="T117" s="3"/>
      <c r="U117" s="3"/>
      <c r="V117" s="3"/>
      <c r="W117" s="3"/>
      <c r="X117" s="3"/>
      <c r="Y117" s="3"/>
      <c r="Z117" s="316" t="str">
        <f aca="false">IF(AF117&gt;0,RANK(AF117,AF$6:AF$422),"")</f>
        <v/>
      </c>
      <c r="AA117" s="134" t="n">
        <f aca="false">'O_MN, PE_UTA_UGM 2024'!N94</f>
        <v>4</v>
      </c>
      <c r="AB117" s="135" t="n">
        <f aca="false">'O_MN, PE_UTA_UGM 2024'!O94</f>
        <v>0</v>
      </c>
      <c r="AC117" s="317" t="n">
        <f aca="false">'O_MN, PE_UTA_UGM 2024'!C94</f>
        <v>154</v>
      </c>
      <c r="AD117" s="293" t="str">
        <f aca="false">IF(AB117=0,'O_MN, PE_UTA_UGM 2024'!F94,CONCATENATE('O_MN, PE_UTA_UGM 2024'!F94," ","INVERNADERO"))</f>
        <v>BRÓCOLI</v>
      </c>
      <c r="AE117" s="89"/>
      <c r="AF117" s="123" t="n">
        <f aca="false">SUM(AG117:AH117)+SUM(AJ117:AK117)</f>
        <v>0</v>
      </c>
      <c r="AG117" s="318" t="n">
        <f aca="false">A104</f>
        <v>0</v>
      </c>
      <c r="AH117" s="319" t="n">
        <f aca="false">B104</f>
        <v>0</v>
      </c>
      <c r="AI117" s="6"/>
      <c r="AJ117" s="320" t="n">
        <f aca="false">C104</f>
        <v>0</v>
      </c>
      <c r="AK117" s="320" t="n">
        <f aca="false">D104</f>
        <v>0</v>
      </c>
      <c r="AL117" s="237" t="s">
        <v>243</v>
      </c>
      <c r="AM117" s="299" t="n">
        <f aca="false">'O_MN, PE_UTA_UGM 2024'!J94</f>
        <v>575</v>
      </c>
      <c r="AN117" s="299" t="n">
        <f aca="false">'O_MN, PE_UTA_UGM 2024'!K94</f>
        <v>5200</v>
      </c>
      <c r="AO117" s="300"/>
      <c r="AP117" s="299" t="n">
        <f aca="false">'O_MN, PE_UTA_UGM 2024'!H94</f>
        <v>360.61</v>
      </c>
      <c r="AQ117" s="299" t="n">
        <f aca="false">'O_MN, PE_UTA_UGM 2024'!I94</f>
        <v>1352.28</v>
      </c>
      <c r="AR117" s="301"/>
      <c r="AS117" s="302" t="n">
        <f aca="false">'O_MN, PE_UTA_UGM 2024'!L94</f>
        <v>0.0147</v>
      </c>
      <c r="AT117" s="302" t="n">
        <f aca="false">'O_MN, PE_UTA_UGM 2024'!M94</f>
        <v>0.05512</v>
      </c>
      <c r="AU117" s="45"/>
      <c r="AV117" s="321" t="n">
        <f aca="false">AG117*AM117</f>
        <v>0</v>
      </c>
      <c r="AW117" s="319" t="n">
        <f aca="false">AH117*AN117</f>
        <v>0</v>
      </c>
      <c r="AX117" s="320" t="n">
        <f aca="false">1.25*AJ117*AM117</f>
        <v>0</v>
      </c>
      <c r="AY117" s="322" t="n">
        <f aca="false">1.25*AK117*AN117</f>
        <v>0</v>
      </c>
      <c r="AZ117" s="323" t="n">
        <f aca="false">AG117*AP117</f>
        <v>0</v>
      </c>
      <c r="BA117" s="319" t="n">
        <f aca="false">AH117*AQ117</f>
        <v>0</v>
      </c>
      <c r="BB117" s="320" t="n">
        <f aca="false">1.25*AJ117*AP117</f>
        <v>0</v>
      </c>
      <c r="BC117" s="320" t="n">
        <f aca="false">1.25*AK117*AQ117</f>
        <v>0</v>
      </c>
      <c r="BD117" s="321" t="n">
        <f aca="false">AG117*AS117</f>
        <v>0</v>
      </c>
      <c r="BE117" s="319" t="n">
        <f aca="false">AH117*AT117</f>
        <v>0</v>
      </c>
      <c r="BF117" s="320" t="n">
        <f aca="false">AJ117*AS117</f>
        <v>0</v>
      </c>
      <c r="BG117" s="322" t="n">
        <f aca="false">AK117*AT117</f>
        <v>0</v>
      </c>
      <c r="BH117" s="324" t="str">
        <f aca="false">IF(BH$24=$AA117,($AG117*$AM117)+($AJ117*$AM117*1.25)+($AH117*$AN117)+($AK117*$AN117*1.25),"")</f>
        <v/>
      </c>
      <c r="BI117" s="325" t="str">
        <f aca="false">IF(BI$24=$AA117,($AG117*$AM117)+($AJ117*$AM117*1.25)+($AH117*$AN117)+($AK117*$AN117*1.25),"")</f>
        <v/>
      </c>
      <c r="BJ117" s="325" t="str">
        <f aca="false">IF(BJ$24=$AA117,($AG117*$AM117)+($AJ117*$AM117*1.25)+($AH117*$AN117)+($AK117*$AN117*1.25),"")</f>
        <v/>
      </c>
      <c r="BK117" s="325" t="n">
        <f aca="false">IF(BK$24=$AA117,($AG117*$AM117)+($AJ117*$AM117*1.25)+($AH117*$AN117)+($AK117*$AN117*1.25),"")</f>
        <v>0</v>
      </c>
      <c r="BL117" s="326" t="str">
        <f aca="false">IF(BL$24=$AA117,($AG117*$AM117)+($AJ117*$AM117*1.25)+($AH117*$AN117)+($AK117*$AN117*1.25),"")</f>
        <v/>
      </c>
      <c r="BM117" s="327" t="str">
        <f aca="false">IF(CONCATENATE(BH117,BI117,BJ117,BK117,BL117)="",1,"")</f>
        <v/>
      </c>
      <c r="BN117" s="328"/>
      <c r="BO117" s="328"/>
      <c r="BP117" s="328"/>
      <c r="BQ117" s="328"/>
      <c r="BR117" s="47"/>
      <c r="BS117" s="127" t="n">
        <f aca="false">(AG117*AM117)+(AH117*AN117)+((AJ117*AM117)+(AK117*AN117)*1.25)</f>
        <v>0</v>
      </c>
      <c r="BT117" s="127" t="n">
        <f aca="false">(AG117*AP117)+(AH117*AQ117)+((AJ117*AP117)+(AK117*AQ117)*1.25)</f>
        <v>0</v>
      </c>
      <c r="BU117" s="329"/>
      <c r="BV117" s="129"/>
    </row>
    <row r="118" customFormat="false" ht="15" hidden="false" customHeight="false" outlineLevel="0" collapsed="false">
      <c r="A118" s="228"/>
      <c r="B118" s="229"/>
      <c r="C118" s="230"/>
      <c r="D118" s="231"/>
      <c r="E118" s="223" t="str">
        <f aca="false">IF(SUM(A118:D118)&gt;0,SUM(A118:D118),"")</f>
        <v/>
      </c>
      <c r="F118" s="224" t="str">
        <f aca="false">AD131</f>
        <v>APIO INVERNADERO</v>
      </c>
      <c r="G118" s="169"/>
      <c r="H118" s="169"/>
      <c r="I118" s="169"/>
      <c r="J118" s="169"/>
      <c r="K118" s="169"/>
      <c r="L118" s="169"/>
      <c r="M118" s="169"/>
      <c r="N118" s="169"/>
      <c r="O118" s="169"/>
      <c r="P118" s="169"/>
      <c r="Q118" s="169"/>
      <c r="R118" s="3"/>
      <c r="S118" s="3"/>
      <c r="T118" s="3"/>
      <c r="U118" s="3"/>
      <c r="V118" s="3"/>
      <c r="W118" s="3"/>
      <c r="X118" s="3"/>
      <c r="Y118" s="3"/>
      <c r="Z118" s="316" t="str">
        <f aca="false">IF(AF118&gt;0,RANK(AF118,AF$6:AF$422),"")</f>
        <v/>
      </c>
      <c r="AA118" s="134" t="n">
        <f aca="false">'O_MN, PE_UTA_UGM 2024'!N95</f>
        <v>4</v>
      </c>
      <c r="AB118" s="135" t="n">
        <f aca="false">'O_MN, PE_UTA_UGM 2024'!O95</f>
        <v>4</v>
      </c>
      <c r="AC118" s="317" t="n">
        <f aca="false">'O_MN, PE_UTA_UGM 2024'!C95</f>
        <v>154</v>
      </c>
      <c r="AD118" s="293" t="str">
        <f aca="false">IF(AB118=0,'O_MN, PE_UTA_UGM 2024'!F95,CONCATENATE('O_MN, PE_UTA_UGM 2024'!F95," ","INVERNADERO"))</f>
        <v>BRÓCOLI INVERNADERO</v>
      </c>
      <c r="AE118" s="89"/>
      <c r="AF118" s="123" t="n">
        <f aca="false">SUM(AG118:AH118)+SUM(AJ118:AK118)</f>
        <v>0</v>
      </c>
      <c r="AG118" s="318" t="n">
        <f aca="false">A105</f>
        <v>0</v>
      </c>
      <c r="AH118" s="319" t="n">
        <f aca="false">B105</f>
        <v>0</v>
      </c>
      <c r="AI118" s="6"/>
      <c r="AJ118" s="320" t="n">
        <f aca="false">C105</f>
        <v>0</v>
      </c>
      <c r="AK118" s="320" t="n">
        <f aca="false">D105</f>
        <v>0</v>
      </c>
      <c r="AL118" s="237" t="s">
        <v>244</v>
      </c>
      <c r="AM118" s="299" t="n">
        <f aca="false">'O_MN, PE_UTA_UGM 2024'!J95</f>
        <v>0</v>
      </c>
      <c r="AN118" s="299" t="n">
        <f aca="false">'O_MN, PE_UTA_UGM 2024'!K95</f>
        <v>80000</v>
      </c>
      <c r="AO118" s="300"/>
      <c r="AP118" s="299" t="n">
        <f aca="false">'O_MN, PE_UTA_UGM 2024'!H95</f>
        <v>0</v>
      </c>
      <c r="AQ118" s="299" t="n">
        <f aca="false">'O_MN, PE_UTA_UGM 2024'!I95</f>
        <v>36060.73</v>
      </c>
      <c r="AR118" s="301"/>
      <c r="AS118" s="302" t="n">
        <f aca="false">'O_MN, PE_UTA_UGM 2024'!L95</f>
        <v>0</v>
      </c>
      <c r="AT118" s="302" t="n">
        <f aca="false">'O_MN, PE_UTA_UGM 2024'!M95</f>
        <v>1.46978</v>
      </c>
      <c r="AU118" s="45"/>
      <c r="AV118" s="321" t="n">
        <f aca="false">AG118*AM118</f>
        <v>0</v>
      </c>
      <c r="AW118" s="319" t="n">
        <f aca="false">AH118*AN118</f>
        <v>0</v>
      </c>
      <c r="AX118" s="320" t="n">
        <f aca="false">1.25*AJ118*AM118</f>
        <v>0</v>
      </c>
      <c r="AY118" s="322" t="n">
        <f aca="false">1.25*AK118*AN118</f>
        <v>0</v>
      </c>
      <c r="AZ118" s="323" t="n">
        <f aca="false">AG118*AP118</f>
        <v>0</v>
      </c>
      <c r="BA118" s="319" t="n">
        <f aca="false">AH118*AQ118</f>
        <v>0</v>
      </c>
      <c r="BB118" s="320" t="n">
        <f aca="false">1.25*AJ118*AP118</f>
        <v>0</v>
      </c>
      <c r="BC118" s="320" t="n">
        <f aca="false">1.25*AK118*AQ118</f>
        <v>0</v>
      </c>
      <c r="BD118" s="321" t="n">
        <f aca="false">AG118*AS118</f>
        <v>0</v>
      </c>
      <c r="BE118" s="319" t="n">
        <f aca="false">AH118*AT118</f>
        <v>0</v>
      </c>
      <c r="BF118" s="320" t="n">
        <f aca="false">AJ118*AS118</f>
        <v>0</v>
      </c>
      <c r="BG118" s="322" t="n">
        <f aca="false">AK118*AT118</f>
        <v>0</v>
      </c>
      <c r="BH118" s="324" t="str">
        <f aca="false">IF(BH$24=$AA118,($AG118*$AM118)+($AJ118*$AM118*1.25)+($AH118*$AN118)+($AK118*$AN118*1.25),"")</f>
        <v/>
      </c>
      <c r="BI118" s="325" t="str">
        <f aca="false">IF(BI$24=$AA118,($AG118*$AM118)+($AJ118*$AM118*1.25)+($AH118*$AN118)+($AK118*$AN118*1.25),"")</f>
        <v/>
      </c>
      <c r="BJ118" s="325" t="str">
        <f aca="false">IF(BJ$24=$AA118,($AG118*$AM118)+($AJ118*$AM118*1.25)+($AH118*$AN118)+($AK118*$AN118*1.25),"")</f>
        <v/>
      </c>
      <c r="BK118" s="325" t="n">
        <f aca="false">IF(BK$24=$AA118,($AG118*$AM118)+($AJ118*$AM118*1.25)+($AH118*$AN118)+($AK118*$AN118*1.25),"")</f>
        <v>0</v>
      </c>
      <c r="BL118" s="326" t="str">
        <f aca="false">IF(BL$24=$AA118,($AG118*$AM118)+($AJ118*$AM118*1.25)+($AH118*$AN118)+($AK118*$AN118*1.25),"")</f>
        <v/>
      </c>
      <c r="BM118" s="327" t="str">
        <f aca="false">IF(CONCATENATE(BH118,BI118,BJ118,BK118,BL118)="",1,"")</f>
        <v/>
      </c>
      <c r="BN118" s="328"/>
      <c r="BO118" s="328"/>
      <c r="BP118" s="328"/>
      <c r="BQ118" s="328"/>
      <c r="BR118" s="47"/>
      <c r="BS118" s="127" t="n">
        <f aca="false">(AG118*AM118)+(AH118*AN118)+((AJ118*AM118)+(AK118*AN118)*1.25)</f>
        <v>0</v>
      </c>
      <c r="BT118" s="127" t="n">
        <f aca="false">(AG118*AP118)+(AH118*AQ118)+((AJ118*AP118)+(AK118*AQ118)*1.25)</f>
        <v>0</v>
      </c>
      <c r="BU118" s="329"/>
      <c r="BV118" s="129"/>
    </row>
    <row r="119" customFormat="false" ht="15" hidden="false" customHeight="false" outlineLevel="0" collapsed="false">
      <c r="A119" s="228"/>
      <c r="B119" s="229"/>
      <c r="C119" s="230"/>
      <c r="D119" s="231"/>
      <c r="E119" s="223" t="str">
        <f aca="false">IF(SUM(A119:D119)&gt;0,SUM(A119:D119),"")</f>
        <v/>
      </c>
      <c r="F119" s="224" t="str">
        <f aca="false">AD132</f>
        <v>COLIRRÁBANO</v>
      </c>
      <c r="G119" s="169"/>
      <c r="H119" s="169"/>
      <c r="I119" s="169"/>
      <c r="J119" s="169"/>
      <c r="K119" s="169"/>
      <c r="L119" s="169"/>
      <c r="M119" s="169"/>
      <c r="N119" s="169"/>
      <c r="O119" s="169"/>
      <c r="P119" s="169"/>
      <c r="Q119" s="169"/>
      <c r="R119" s="3"/>
      <c r="S119" s="3"/>
      <c r="T119" s="3"/>
      <c r="U119" s="3"/>
      <c r="V119" s="3"/>
      <c r="W119" s="3"/>
      <c r="X119" s="3"/>
      <c r="Y119" s="3"/>
      <c r="Z119" s="316" t="str">
        <f aca="false">IF(AF119&gt;0,RANK(AF119,AF$6:AF$422),"")</f>
        <v/>
      </c>
      <c r="AA119" s="134" t="n">
        <f aca="false">'O_MN, PE_UTA_UGM 2024'!N96</f>
        <v>4</v>
      </c>
      <c r="AB119" s="135" t="n">
        <f aca="false">'O_MN, PE_UTA_UGM 2024'!O96</f>
        <v>19</v>
      </c>
      <c r="AC119" s="317" t="n">
        <f aca="false">'O_MN, PE_UTA_UGM 2024'!C96</f>
        <v>154</v>
      </c>
      <c r="AD119" s="293" t="str">
        <f aca="false">IF(AB119=0,'O_MN, PE_UTA_UGM 2024'!F96,CONCATENATE('O_MN, PE_UTA_UGM 2024'!F96," ","INVERNADERO"))</f>
        <v>BRÓCOLI INVERNADERO</v>
      </c>
      <c r="AE119" s="89"/>
      <c r="AF119" s="123" t="n">
        <f aca="false">SUM(AG119:AH119)+SUM(AJ119:AK119)</f>
        <v>0</v>
      </c>
      <c r="AG119" s="318" t="n">
        <f aca="false">A106</f>
        <v>0</v>
      </c>
      <c r="AH119" s="319" t="n">
        <f aca="false">B106</f>
        <v>0</v>
      </c>
      <c r="AI119" s="6"/>
      <c r="AJ119" s="320" t="n">
        <f aca="false">C106</f>
        <v>0</v>
      </c>
      <c r="AK119" s="320" t="n">
        <f aca="false">D106</f>
        <v>0</v>
      </c>
      <c r="AL119" s="237" t="s">
        <v>245</v>
      </c>
      <c r="AM119" s="299" t="n">
        <f aca="false">'O_MN, PE_UTA_UGM 2024'!J96</f>
        <v>0</v>
      </c>
      <c r="AN119" s="299" t="n">
        <f aca="false">'O_MN, PE_UTA_UGM 2024'!K96</f>
        <v>80000</v>
      </c>
      <c r="AO119" s="300"/>
      <c r="AP119" s="299" t="n">
        <f aca="false">'O_MN, PE_UTA_UGM 2024'!H96</f>
        <v>0</v>
      </c>
      <c r="AQ119" s="299" t="n">
        <f aca="false">'O_MN, PE_UTA_UGM 2024'!I96</f>
        <v>36060.73</v>
      </c>
      <c r="AR119" s="301"/>
      <c r="AS119" s="302" t="n">
        <f aca="false">'O_MN, PE_UTA_UGM 2024'!L96</f>
        <v>0</v>
      </c>
      <c r="AT119" s="302" t="n">
        <f aca="false">'O_MN, PE_UTA_UGM 2024'!M96</f>
        <v>1.46978</v>
      </c>
      <c r="AU119" s="45"/>
      <c r="AV119" s="321" t="n">
        <f aca="false">AG119*AM119</f>
        <v>0</v>
      </c>
      <c r="AW119" s="319" t="n">
        <f aca="false">AH119*AN119</f>
        <v>0</v>
      </c>
      <c r="AX119" s="320" t="n">
        <f aca="false">1.25*AJ119*AM119</f>
        <v>0</v>
      </c>
      <c r="AY119" s="322" t="n">
        <f aca="false">1.25*AK119*AN119</f>
        <v>0</v>
      </c>
      <c r="AZ119" s="323" t="n">
        <f aca="false">AG119*AP119</f>
        <v>0</v>
      </c>
      <c r="BA119" s="319" t="n">
        <f aca="false">AH119*AQ119</f>
        <v>0</v>
      </c>
      <c r="BB119" s="320" t="n">
        <f aca="false">1.25*AJ119*AP119</f>
        <v>0</v>
      </c>
      <c r="BC119" s="320" t="n">
        <f aca="false">1.25*AK119*AQ119</f>
        <v>0</v>
      </c>
      <c r="BD119" s="321" t="n">
        <f aca="false">AG119*AS119</f>
        <v>0</v>
      </c>
      <c r="BE119" s="319" t="n">
        <f aca="false">AH119*AT119</f>
        <v>0</v>
      </c>
      <c r="BF119" s="320" t="n">
        <f aca="false">AJ119*AS119</f>
        <v>0</v>
      </c>
      <c r="BG119" s="322" t="n">
        <f aca="false">AK119*AT119</f>
        <v>0</v>
      </c>
      <c r="BH119" s="324" t="str">
        <f aca="false">IF(BH$24=$AA119,($AG119*$AM119)+($AJ119*$AM119*1.25)+($AH119*$AN119)+($AK119*$AN119*1.25),"")</f>
        <v/>
      </c>
      <c r="BI119" s="325" t="str">
        <f aca="false">IF(BI$24=$AA119,($AG119*$AM119)+($AJ119*$AM119*1.25)+($AH119*$AN119)+($AK119*$AN119*1.25),"")</f>
        <v/>
      </c>
      <c r="BJ119" s="325" t="str">
        <f aca="false">IF(BJ$24=$AA119,($AG119*$AM119)+($AJ119*$AM119*1.25)+($AH119*$AN119)+($AK119*$AN119*1.25),"")</f>
        <v/>
      </c>
      <c r="BK119" s="325" t="n">
        <f aca="false">IF(BK$24=$AA119,($AG119*$AM119)+($AJ119*$AM119*1.25)+($AH119*$AN119)+($AK119*$AN119*1.25),"")</f>
        <v>0</v>
      </c>
      <c r="BL119" s="326" t="str">
        <f aca="false">IF(BL$24=$AA119,($AG119*$AM119)+($AJ119*$AM119*1.25)+($AH119*$AN119)+($AK119*$AN119*1.25),"")</f>
        <v/>
      </c>
      <c r="BM119" s="327" t="str">
        <f aca="false">IF(CONCATENATE(BH119,BI119,BJ119,BK119,BL119)="",1,"")</f>
        <v/>
      </c>
      <c r="BN119" s="328"/>
      <c r="BO119" s="328"/>
      <c r="BP119" s="328"/>
      <c r="BQ119" s="328"/>
      <c r="BR119" s="47"/>
      <c r="BS119" s="127" t="n">
        <f aca="false">(AG119*AM119)+(AH119*AN119)+((AJ119*AM119)+(AK119*AN119)*1.25)</f>
        <v>0</v>
      </c>
      <c r="BT119" s="127" t="n">
        <f aca="false">(AG119*AP119)+(AH119*AQ119)+((AJ119*AP119)+(AK119*AQ119)*1.25)</f>
        <v>0</v>
      </c>
      <c r="BU119" s="329"/>
      <c r="BV119" s="129"/>
    </row>
    <row r="120" customFormat="false" ht="15" hidden="false" customHeight="false" outlineLevel="0" collapsed="false">
      <c r="A120" s="228"/>
      <c r="B120" s="229"/>
      <c r="C120" s="230"/>
      <c r="D120" s="231"/>
      <c r="E120" s="223" t="str">
        <f aca="false">IF(SUM(A120:D120)&gt;0,SUM(A120:D120),"")</f>
        <v/>
      </c>
      <c r="F120" s="224" t="str">
        <f aca="false">AD133</f>
        <v>COLIRRÁBANO INVERNADERO</v>
      </c>
      <c r="G120" s="169"/>
      <c r="H120" s="169"/>
      <c r="I120" s="169"/>
      <c r="J120" s="169"/>
      <c r="K120" s="169"/>
      <c r="L120" s="169"/>
      <c r="M120" s="169"/>
      <c r="N120" s="169"/>
      <c r="O120" s="169"/>
      <c r="P120" s="169"/>
      <c r="Q120" s="169"/>
      <c r="R120" s="3"/>
      <c r="S120" s="3"/>
      <c r="T120" s="3"/>
      <c r="U120" s="3"/>
      <c r="V120" s="3"/>
      <c r="W120" s="3"/>
      <c r="X120" s="3"/>
      <c r="Y120" s="3"/>
      <c r="Z120" s="316" t="str">
        <f aca="false">IF(AF120&gt;0,RANK(AF120,AF$6:AF$422),"")</f>
        <v/>
      </c>
      <c r="AA120" s="134" t="n">
        <f aca="false">'O_MN, PE_UTA_UGM 2024'!N97</f>
        <v>4</v>
      </c>
      <c r="AB120" s="135" t="n">
        <f aca="false">'O_MN, PE_UTA_UGM 2024'!O97</f>
        <v>0</v>
      </c>
      <c r="AC120" s="317" t="n">
        <f aca="false">'O_MN, PE_UTA_UGM 2024'!C97</f>
        <v>155</v>
      </c>
      <c r="AD120" s="293" t="str">
        <f aca="false">IF(AB120=0,'O_MN, PE_UTA_UGM 2024'!F97,CONCATENATE('O_MN, PE_UTA_UGM 2024'!F97," ","INVERNADERO"))</f>
        <v>LECHUGA</v>
      </c>
      <c r="AE120" s="89"/>
      <c r="AF120" s="123" t="n">
        <f aca="false">SUM(AG120:AH120)+SUM(AJ120:AK120)</f>
        <v>0</v>
      </c>
      <c r="AG120" s="318" t="n">
        <f aca="false">A107</f>
        <v>0</v>
      </c>
      <c r="AH120" s="319" t="n">
        <f aca="false">B107</f>
        <v>0</v>
      </c>
      <c r="AI120" s="6"/>
      <c r="AJ120" s="320" t="n">
        <f aca="false">C107</f>
        <v>0</v>
      </c>
      <c r="AK120" s="320" t="n">
        <f aca="false">D107</f>
        <v>0</v>
      </c>
      <c r="AL120" s="237" t="s">
        <v>246</v>
      </c>
      <c r="AM120" s="299" t="n">
        <f aca="false">'O_MN, PE_UTA_UGM 2024'!J97</f>
        <v>575</v>
      </c>
      <c r="AN120" s="299" t="n">
        <f aca="false">'O_MN, PE_UTA_UGM 2024'!K97</f>
        <v>7000</v>
      </c>
      <c r="AO120" s="300"/>
      <c r="AP120" s="299" t="n">
        <f aca="false">'O_MN, PE_UTA_UGM 2024'!H97</f>
        <v>360.61</v>
      </c>
      <c r="AQ120" s="299" t="n">
        <f aca="false">'O_MN, PE_UTA_UGM 2024'!I97</f>
        <v>1352.28</v>
      </c>
      <c r="AR120" s="301"/>
      <c r="AS120" s="302" t="n">
        <f aca="false">'O_MN, PE_UTA_UGM 2024'!L97</f>
        <v>0.0147</v>
      </c>
      <c r="AT120" s="302" t="n">
        <f aca="false">'O_MN, PE_UTA_UGM 2024'!M97</f>
        <v>0.05512</v>
      </c>
      <c r="AU120" s="45"/>
      <c r="AV120" s="321" t="n">
        <f aca="false">AG120*AM120</f>
        <v>0</v>
      </c>
      <c r="AW120" s="319" t="n">
        <f aca="false">AH120*AN120</f>
        <v>0</v>
      </c>
      <c r="AX120" s="320" t="n">
        <f aca="false">1.25*AJ120*AM120</f>
        <v>0</v>
      </c>
      <c r="AY120" s="322" t="n">
        <f aca="false">1.25*AK120*AN120</f>
        <v>0</v>
      </c>
      <c r="AZ120" s="323" t="n">
        <f aca="false">AG120*AP120</f>
        <v>0</v>
      </c>
      <c r="BA120" s="319" t="n">
        <f aca="false">AH120*AQ120</f>
        <v>0</v>
      </c>
      <c r="BB120" s="320" t="n">
        <f aca="false">1.25*AJ120*AP120</f>
        <v>0</v>
      </c>
      <c r="BC120" s="320" t="n">
        <f aca="false">1.25*AK120*AQ120</f>
        <v>0</v>
      </c>
      <c r="BD120" s="321" t="n">
        <f aca="false">AG120*AS120</f>
        <v>0</v>
      </c>
      <c r="BE120" s="319" t="n">
        <f aca="false">AH120*AT120</f>
        <v>0</v>
      </c>
      <c r="BF120" s="320" t="n">
        <f aca="false">AJ120*AS120</f>
        <v>0</v>
      </c>
      <c r="BG120" s="322" t="n">
        <f aca="false">AK120*AT120</f>
        <v>0</v>
      </c>
      <c r="BH120" s="324" t="str">
        <f aca="false">IF(BH$24=$AA120,($AG120*$AM120)+($AJ120*$AM120*1.25)+($AH120*$AN120)+($AK120*$AN120*1.25),"")</f>
        <v/>
      </c>
      <c r="BI120" s="325" t="str">
        <f aca="false">IF(BI$24=$AA120,($AG120*$AM120)+($AJ120*$AM120*1.25)+($AH120*$AN120)+($AK120*$AN120*1.25),"")</f>
        <v/>
      </c>
      <c r="BJ120" s="325" t="str">
        <f aca="false">IF(BJ$24=$AA120,($AG120*$AM120)+($AJ120*$AM120*1.25)+($AH120*$AN120)+($AK120*$AN120*1.25),"")</f>
        <v/>
      </c>
      <c r="BK120" s="325" t="n">
        <f aca="false">IF(BK$24=$AA120,($AG120*$AM120)+($AJ120*$AM120*1.25)+($AH120*$AN120)+($AK120*$AN120*1.25),"")</f>
        <v>0</v>
      </c>
      <c r="BL120" s="326" t="str">
        <f aca="false">IF(BL$24=$AA120,($AG120*$AM120)+($AJ120*$AM120*1.25)+($AH120*$AN120)+($AK120*$AN120*1.25),"")</f>
        <v/>
      </c>
      <c r="BM120" s="327" t="str">
        <f aca="false">IF(CONCATENATE(BH120,BI120,BJ120,BK120,BL120)="",1,"")</f>
        <v/>
      </c>
      <c r="BN120" s="328"/>
      <c r="BO120" s="328"/>
      <c r="BP120" s="328"/>
      <c r="BQ120" s="328"/>
      <c r="BR120" s="47"/>
      <c r="BS120" s="127" t="n">
        <f aca="false">(AG120*AM120)+(AH120*AN120)+((AJ120*AM120)+(AK120*AN120)*1.25)</f>
        <v>0</v>
      </c>
      <c r="BT120" s="127" t="n">
        <f aca="false">(AG120*AP120)+(AH120*AQ120)+((AJ120*AP120)+(AK120*AQ120)*1.25)</f>
        <v>0</v>
      </c>
      <c r="BU120" s="329"/>
      <c r="BV120" s="129"/>
    </row>
    <row r="121" customFormat="false" ht="15" hidden="false" customHeight="false" outlineLevel="0" collapsed="false">
      <c r="A121" s="228"/>
      <c r="B121" s="229"/>
      <c r="C121" s="230"/>
      <c r="D121" s="231"/>
      <c r="E121" s="223" t="str">
        <f aca="false">IF(SUM(A121:D121)&gt;0,SUM(A121:D121),"")</f>
        <v/>
      </c>
      <c r="F121" s="224" t="str">
        <f aca="false">AD134</f>
        <v>COLIRRÁBANO INVERNADERO</v>
      </c>
      <c r="G121" s="169"/>
      <c r="H121" s="169"/>
      <c r="I121" s="169"/>
      <c r="J121" s="169"/>
      <c r="K121" s="169"/>
      <c r="L121" s="169"/>
      <c r="M121" s="169"/>
      <c r="N121" s="169"/>
      <c r="O121" s="169"/>
      <c r="P121" s="169"/>
      <c r="Q121" s="169"/>
      <c r="R121" s="3"/>
      <c r="S121" s="3"/>
      <c r="T121" s="3"/>
      <c r="U121" s="3"/>
      <c r="V121" s="3"/>
      <c r="W121" s="3"/>
      <c r="X121" s="3"/>
      <c r="Y121" s="3"/>
      <c r="Z121" s="316" t="str">
        <f aca="false">IF(AF121&gt;0,RANK(AF121,AF$6:AF$422),"")</f>
        <v/>
      </c>
      <c r="AA121" s="134" t="n">
        <f aca="false">'O_MN, PE_UTA_UGM 2024'!N98</f>
        <v>4</v>
      </c>
      <c r="AB121" s="135" t="n">
        <f aca="false">'O_MN, PE_UTA_UGM 2024'!O98</f>
        <v>4</v>
      </c>
      <c r="AC121" s="317" t="n">
        <f aca="false">'O_MN, PE_UTA_UGM 2024'!C98</f>
        <v>155</v>
      </c>
      <c r="AD121" s="293" t="str">
        <f aca="false">IF(AB121=0,'O_MN, PE_UTA_UGM 2024'!F98,CONCATENATE('O_MN, PE_UTA_UGM 2024'!F98," ","INVERNADERO"))</f>
        <v>LECHUGA INVERNADERO</v>
      </c>
      <c r="AE121" s="89"/>
      <c r="AF121" s="123" t="n">
        <f aca="false">SUM(AG121:AH121)+SUM(AJ121:AK121)</f>
        <v>0</v>
      </c>
      <c r="AG121" s="318" t="n">
        <f aca="false">A108</f>
        <v>0</v>
      </c>
      <c r="AH121" s="319" t="n">
        <f aca="false">B108</f>
        <v>0</v>
      </c>
      <c r="AI121" s="6"/>
      <c r="AJ121" s="320" t="n">
        <f aca="false">C108</f>
        <v>0</v>
      </c>
      <c r="AK121" s="320" t="n">
        <f aca="false">D108</f>
        <v>0</v>
      </c>
      <c r="AL121" s="237" t="s">
        <v>247</v>
      </c>
      <c r="AM121" s="299" t="n">
        <f aca="false">'O_MN, PE_UTA_UGM 2024'!J98</f>
        <v>0</v>
      </c>
      <c r="AN121" s="299" t="n">
        <f aca="false">'O_MN, PE_UTA_UGM 2024'!K98</f>
        <v>80000</v>
      </c>
      <c r="AO121" s="300"/>
      <c r="AP121" s="299" t="n">
        <f aca="false">'O_MN, PE_UTA_UGM 2024'!H98</f>
        <v>0</v>
      </c>
      <c r="AQ121" s="299" t="n">
        <f aca="false">'O_MN, PE_UTA_UGM 2024'!I98</f>
        <v>36060.73</v>
      </c>
      <c r="AR121" s="301"/>
      <c r="AS121" s="302" t="n">
        <f aca="false">'O_MN, PE_UTA_UGM 2024'!L98</f>
        <v>0</v>
      </c>
      <c r="AT121" s="302" t="n">
        <f aca="false">'O_MN, PE_UTA_UGM 2024'!M98</f>
        <v>1.46978</v>
      </c>
      <c r="AU121" s="45"/>
      <c r="AV121" s="321" t="n">
        <f aca="false">AG121*AM121</f>
        <v>0</v>
      </c>
      <c r="AW121" s="319" t="n">
        <f aca="false">AH121*AN121</f>
        <v>0</v>
      </c>
      <c r="AX121" s="320" t="n">
        <f aca="false">1.25*AJ121*AM121</f>
        <v>0</v>
      </c>
      <c r="AY121" s="322" t="n">
        <f aca="false">1.25*AK121*AN121</f>
        <v>0</v>
      </c>
      <c r="AZ121" s="323" t="n">
        <f aca="false">AG121*AP121</f>
        <v>0</v>
      </c>
      <c r="BA121" s="319" t="n">
        <f aca="false">AH121*AQ121</f>
        <v>0</v>
      </c>
      <c r="BB121" s="320" t="n">
        <f aca="false">1.25*AJ121*AP121</f>
        <v>0</v>
      </c>
      <c r="BC121" s="320" t="n">
        <f aca="false">1.25*AK121*AQ121</f>
        <v>0</v>
      </c>
      <c r="BD121" s="321" t="n">
        <f aca="false">AG121*AS121</f>
        <v>0</v>
      </c>
      <c r="BE121" s="319" t="n">
        <f aca="false">AH121*AT121</f>
        <v>0</v>
      </c>
      <c r="BF121" s="320" t="n">
        <f aca="false">AJ121*AS121</f>
        <v>0</v>
      </c>
      <c r="BG121" s="322" t="n">
        <f aca="false">AK121*AT121</f>
        <v>0</v>
      </c>
      <c r="BH121" s="324" t="str">
        <f aca="false">IF(BH$24=$AA121,($AG121*$AM121)+($AJ121*$AM121*1.25)+($AH121*$AN121)+($AK121*$AN121*1.25),"")</f>
        <v/>
      </c>
      <c r="BI121" s="325" t="str">
        <f aca="false">IF(BI$24=$AA121,($AG121*$AM121)+($AJ121*$AM121*1.25)+($AH121*$AN121)+($AK121*$AN121*1.25),"")</f>
        <v/>
      </c>
      <c r="BJ121" s="325" t="str">
        <f aca="false">IF(BJ$24=$AA121,($AG121*$AM121)+($AJ121*$AM121*1.25)+($AH121*$AN121)+($AK121*$AN121*1.25),"")</f>
        <v/>
      </c>
      <c r="BK121" s="325" t="n">
        <f aca="false">IF(BK$24=$AA121,($AG121*$AM121)+($AJ121*$AM121*1.25)+($AH121*$AN121)+($AK121*$AN121*1.25),"")</f>
        <v>0</v>
      </c>
      <c r="BL121" s="326" t="str">
        <f aca="false">IF(BL$24=$AA121,($AG121*$AM121)+($AJ121*$AM121*1.25)+($AH121*$AN121)+($AK121*$AN121*1.25),"")</f>
        <v/>
      </c>
      <c r="BM121" s="327" t="str">
        <f aca="false">IF(CONCATENATE(BH121,BI121,BJ121,BK121,BL121)="",1,"")</f>
        <v/>
      </c>
      <c r="BN121" s="328"/>
      <c r="BO121" s="328"/>
      <c r="BP121" s="328"/>
      <c r="BQ121" s="328"/>
      <c r="BR121" s="47"/>
      <c r="BS121" s="127" t="n">
        <f aca="false">(AG121*AM121)+(AH121*AN121)+((AJ121*AM121)+(AK121*AN121)*1.25)</f>
        <v>0</v>
      </c>
      <c r="BT121" s="127" t="n">
        <f aca="false">(AG121*AP121)+(AH121*AQ121)+((AJ121*AP121)+(AK121*AQ121)*1.25)</f>
        <v>0</v>
      </c>
      <c r="BU121" s="329"/>
      <c r="BV121" s="129"/>
    </row>
    <row r="122" customFormat="false" ht="15" hidden="false" customHeight="false" outlineLevel="0" collapsed="false">
      <c r="A122" s="228"/>
      <c r="B122" s="229"/>
      <c r="C122" s="230"/>
      <c r="D122" s="231"/>
      <c r="E122" s="223" t="str">
        <f aca="false">IF(SUM(A122:D122)&gt;0,SUM(A122:D122),"")</f>
        <v/>
      </c>
      <c r="F122" s="224" t="str">
        <f aca="false">AD135</f>
        <v>COLIFLOR</v>
      </c>
      <c r="G122" s="169"/>
      <c r="H122" s="169"/>
      <c r="I122" s="169"/>
      <c r="J122" s="169"/>
      <c r="K122" s="169"/>
      <c r="L122" s="169"/>
      <c r="M122" s="169"/>
      <c r="N122" s="169"/>
      <c r="O122" s="169"/>
      <c r="P122" s="169"/>
      <c r="Q122" s="169"/>
      <c r="R122" s="3"/>
      <c r="S122" s="3"/>
      <c r="T122" s="3"/>
      <c r="U122" s="3"/>
      <c r="V122" s="3"/>
      <c r="W122" s="3"/>
      <c r="X122" s="3"/>
      <c r="Y122" s="3"/>
      <c r="Z122" s="316" t="str">
        <f aca="false">IF(AF122&gt;0,RANK(AF122,AF$6:AF$422),"")</f>
        <v/>
      </c>
      <c r="AA122" s="134" t="n">
        <f aca="false">'O_MN, PE_UTA_UGM 2024'!N99</f>
        <v>4</v>
      </c>
      <c r="AB122" s="135" t="n">
        <f aca="false">'O_MN, PE_UTA_UGM 2024'!O99</f>
        <v>19</v>
      </c>
      <c r="AC122" s="317" t="n">
        <f aca="false">'O_MN, PE_UTA_UGM 2024'!C99</f>
        <v>155</v>
      </c>
      <c r="AD122" s="293" t="str">
        <f aca="false">IF(AB122=0,'O_MN, PE_UTA_UGM 2024'!F99,CONCATENATE('O_MN, PE_UTA_UGM 2024'!F99," ","INVERNADERO"))</f>
        <v>LECHUGA INVERNADERO</v>
      </c>
      <c r="AE122" s="89"/>
      <c r="AF122" s="123" t="n">
        <f aca="false">SUM(AG122:AH122)+SUM(AJ122:AK122)</f>
        <v>0</v>
      </c>
      <c r="AG122" s="318" t="n">
        <f aca="false">A109</f>
        <v>0</v>
      </c>
      <c r="AH122" s="319" t="n">
        <f aca="false">B109</f>
        <v>0</v>
      </c>
      <c r="AI122" s="6"/>
      <c r="AJ122" s="320" t="n">
        <f aca="false">C109</f>
        <v>0</v>
      </c>
      <c r="AK122" s="320" t="n">
        <f aca="false">D109</f>
        <v>0</v>
      </c>
      <c r="AL122" s="237" t="s">
        <v>248</v>
      </c>
      <c r="AM122" s="299" t="n">
        <f aca="false">'O_MN, PE_UTA_UGM 2024'!J99</f>
        <v>0</v>
      </c>
      <c r="AN122" s="299" t="n">
        <f aca="false">'O_MN, PE_UTA_UGM 2024'!K99</f>
        <v>80000</v>
      </c>
      <c r="AO122" s="300"/>
      <c r="AP122" s="299" t="n">
        <f aca="false">'O_MN, PE_UTA_UGM 2024'!H99</f>
        <v>0</v>
      </c>
      <c r="AQ122" s="299" t="n">
        <f aca="false">'O_MN, PE_UTA_UGM 2024'!I99</f>
        <v>36060.73</v>
      </c>
      <c r="AR122" s="301"/>
      <c r="AS122" s="302" t="n">
        <f aca="false">'O_MN, PE_UTA_UGM 2024'!L99</f>
        <v>0</v>
      </c>
      <c r="AT122" s="302" t="n">
        <f aca="false">'O_MN, PE_UTA_UGM 2024'!M99</f>
        <v>1.46978</v>
      </c>
      <c r="AU122" s="45"/>
      <c r="AV122" s="321" t="n">
        <f aca="false">AG122*AM122</f>
        <v>0</v>
      </c>
      <c r="AW122" s="319" t="n">
        <f aca="false">AH122*AN122</f>
        <v>0</v>
      </c>
      <c r="AX122" s="320" t="n">
        <f aca="false">1.25*AJ122*AM122</f>
        <v>0</v>
      </c>
      <c r="AY122" s="322" t="n">
        <f aca="false">1.25*AK122*AN122</f>
        <v>0</v>
      </c>
      <c r="AZ122" s="323" t="n">
        <f aca="false">AG122*AP122</f>
        <v>0</v>
      </c>
      <c r="BA122" s="319" t="n">
        <f aca="false">AH122*AQ122</f>
        <v>0</v>
      </c>
      <c r="BB122" s="320" t="n">
        <f aca="false">1.25*AJ122*AP122</f>
        <v>0</v>
      </c>
      <c r="BC122" s="320" t="n">
        <f aca="false">1.25*AK122*AQ122</f>
        <v>0</v>
      </c>
      <c r="BD122" s="321" t="n">
        <f aca="false">AG122*AS122</f>
        <v>0</v>
      </c>
      <c r="BE122" s="319" t="n">
        <f aca="false">AH122*AT122</f>
        <v>0</v>
      </c>
      <c r="BF122" s="320" t="n">
        <f aca="false">AJ122*AS122</f>
        <v>0</v>
      </c>
      <c r="BG122" s="322" t="n">
        <f aca="false">AK122*AT122</f>
        <v>0</v>
      </c>
      <c r="BH122" s="324" t="str">
        <f aca="false">IF(BH$24=$AA122,($AG122*$AM122)+($AJ122*$AM122*1.25)+($AH122*$AN122)+($AK122*$AN122*1.25),"")</f>
        <v/>
      </c>
      <c r="BI122" s="325" t="str">
        <f aca="false">IF(BI$24=$AA122,($AG122*$AM122)+($AJ122*$AM122*1.25)+($AH122*$AN122)+($AK122*$AN122*1.25),"")</f>
        <v/>
      </c>
      <c r="BJ122" s="325" t="str">
        <f aca="false">IF(BJ$24=$AA122,($AG122*$AM122)+($AJ122*$AM122*1.25)+($AH122*$AN122)+($AK122*$AN122*1.25),"")</f>
        <v/>
      </c>
      <c r="BK122" s="325" t="n">
        <f aca="false">IF(BK$24=$AA122,($AG122*$AM122)+($AJ122*$AM122*1.25)+($AH122*$AN122)+($AK122*$AN122*1.25),"")</f>
        <v>0</v>
      </c>
      <c r="BL122" s="326" t="str">
        <f aca="false">IF(BL$24=$AA122,($AG122*$AM122)+($AJ122*$AM122*1.25)+($AH122*$AN122)+($AK122*$AN122*1.25),"")</f>
        <v/>
      </c>
      <c r="BM122" s="327" t="str">
        <f aca="false">IF(CONCATENATE(BH122,BI122,BJ122,BK122,BL122)="",1,"")</f>
        <v/>
      </c>
      <c r="BN122" s="328"/>
      <c r="BO122" s="328"/>
      <c r="BP122" s="328"/>
      <c r="BQ122" s="328"/>
      <c r="BR122" s="47"/>
      <c r="BS122" s="127" t="n">
        <f aca="false">(AG122*AM122)+(AH122*AN122)+((AJ122*AM122)+(AK122*AN122)*1.25)</f>
        <v>0</v>
      </c>
      <c r="BT122" s="127" t="n">
        <f aca="false">(AG122*AP122)+(AH122*AQ122)+((AJ122*AP122)+(AK122*AQ122)*1.25)</f>
        <v>0</v>
      </c>
      <c r="BU122" s="329"/>
      <c r="BV122" s="129"/>
    </row>
    <row r="123" customFormat="false" ht="15" hidden="false" customHeight="false" outlineLevel="0" collapsed="false">
      <c r="A123" s="228"/>
      <c r="B123" s="229"/>
      <c r="C123" s="230"/>
      <c r="D123" s="231"/>
      <c r="E123" s="223" t="str">
        <f aca="false">IF(SUM(A123:D123)&gt;0,SUM(A123:D123),"")</f>
        <v/>
      </c>
      <c r="F123" s="224" t="str">
        <f aca="false">AD136</f>
        <v>COLIFLOR INVERNADERO</v>
      </c>
      <c r="G123" s="169"/>
      <c r="H123" s="169"/>
      <c r="I123" s="169"/>
      <c r="J123" s="169"/>
      <c r="K123" s="169"/>
      <c r="L123" s="169"/>
      <c r="M123" s="169"/>
      <c r="N123" s="169"/>
      <c r="O123" s="169"/>
      <c r="P123" s="169"/>
      <c r="Q123" s="169"/>
      <c r="R123" s="3"/>
      <c r="S123" s="3"/>
      <c r="T123" s="3"/>
      <c r="U123" s="3"/>
      <c r="V123" s="3"/>
      <c r="W123" s="3"/>
      <c r="X123" s="3"/>
      <c r="Y123" s="3"/>
      <c r="Z123" s="316" t="str">
        <f aca="false">IF(AF123&gt;0,RANK(AF123,AF$6:AF$422),"")</f>
        <v/>
      </c>
      <c r="AA123" s="134" t="n">
        <f aca="false">'O_MN, PE_UTA_UGM 2024'!N100</f>
        <v>4</v>
      </c>
      <c r="AB123" s="135" t="n">
        <f aca="false">'O_MN, PE_UTA_UGM 2024'!O100</f>
        <v>0</v>
      </c>
      <c r="AC123" s="317" t="n">
        <f aca="false">'O_MN, PE_UTA_UGM 2024'!C100</f>
        <v>156</v>
      </c>
      <c r="AD123" s="293" t="str">
        <f aca="false">IF(AB123=0,'O_MN, PE_UTA_UGM 2024'!F100,CONCATENATE('O_MN, PE_UTA_UGM 2024'!F100," ","INVERNADERO"))</f>
        <v>SANDÍA</v>
      </c>
      <c r="AE123" s="89"/>
      <c r="AF123" s="123" t="n">
        <f aca="false">SUM(AG123:AH123)+SUM(AJ123:AK123)</f>
        <v>0</v>
      </c>
      <c r="AG123" s="318" t="n">
        <f aca="false">A110</f>
        <v>0</v>
      </c>
      <c r="AH123" s="319" t="n">
        <f aca="false">B110</f>
        <v>0</v>
      </c>
      <c r="AI123" s="6"/>
      <c r="AJ123" s="320" t="n">
        <f aca="false">C110</f>
        <v>0</v>
      </c>
      <c r="AK123" s="320" t="n">
        <f aca="false">D110</f>
        <v>0</v>
      </c>
      <c r="AL123" s="237" t="s">
        <v>249</v>
      </c>
      <c r="AM123" s="299" t="n">
        <f aca="false">'O_MN, PE_UTA_UGM 2024'!J100</f>
        <v>575</v>
      </c>
      <c r="AN123" s="299" t="n">
        <f aca="false">'O_MN, PE_UTA_UGM 2024'!K100</f>
        <v>8500</v>
      </c>
      <c r="AO123" s="300"/>
      <c r="AP123" s="299" t="n">
        <f aca="false">'O_MN, PE_UTA_UGM 2024'!H100</f>
        <v>360.61</v>
      </c>
      <c r="AQ123" s="299" t="n">
        <f aca="false">'O_MN, PE_UTA_UGM 2024'!I100</f>
        <v>1352.28</v>
      </c>
      <c r="AR123" s="301"/>
      <c r="AS123" s="302" t="n">
        <f aca="false">'O_MN, PE_UTA_UGM 2024'!L100</f>
        <v>0.0147</v>
      </c>
      <c r="AT123" s="302" t="n">
        <f aca="false">'O_MN, PE_UTA_UGM 2024'!M100</f>
        <v>0.05512</v>
      </c>
      <c r="AU123" s="45"/>
      <c r="AV123" s="321" t="n">
        <f aca="false">AG123*AM123</f>
        <v>0</v>
      </c>
      <c r="AW123" s="319" t="n">
        <f aca="false">AH123*AN123</f>
        <v>0</v>
      </c>
      <c r="AX123" s="320" t="n">
        <f aca="false">1.25*AJ123*AM123</f>
        <v>0</v>
      </c>
      <c r="AY123" s="322" t="n">
        <f aca="false">1.25*AK123*AN123</f>
        <v>0</v>
      </c>
      <c r="AZ123" s="323" t="n">
        <f aca="false">AG123*AP123</f>
        <v>0</v>
      </c>
      <c r="BA123" s="319" t="n">
        <f aca="false">AH123*AQ123</f>
        <v>0</v>
      </c>
      <c r="BB123" s="320" t="n">
        <f aca="false">1.25*AJ123*AP123</f>
        <v>0</v>
      </c>
      <c r="BC123" s="320" t="n">
        <f aca="false">1.25*AK123*AQ123</f>
        <v>0</v>
      </c>
      <c r="BD123" s="321" t="n">
        <f aca="false">AG123*AS123</f>
        <v>0</v>
      </c>
      <c r="BE123" s="319" t="n">
        <f aca="false">AH123*AT123</f>
        <v>0</v>
      </c>
      <c r="BF123" s="320" t="n">
        <f aca="false">AJ123*AS123</f>
        <v>0</v>
      </c>
      <c r="BG123" s="322" t="n">
        <f aca="false">AK123*AT123</f>
        <v>0</v>
      </c>
      <c r="BH123" s="324" t="str">
        <f aca="false">IF(BH$24=$AA123,($AG123*$AM123)+($AJ123*$AM123*1.25)+($AH123*$AN123)+($AK123*$AN123*1.25),"")</f>
        <v/>
      </c>
      <c r="BI123" s="325" t="str">
        <f aca="false">IF(BI$24=$AA123,($AG123*$AM123)+($AJ123*$AM123*1.25)+($AH123*$AN123)+($AK123*$AN123*1.25),"")</f>
        <v/>
      </c>
      <c r="BJ123" s="325" t="str">
        <f aca="false">IF(BJ$24=$AA123,($AG123*$AM123)+($AJ123*$AM123*1.25)+($AH123*$AN123)+($AK123*$AN123*1.25),"")</f>
        <v/>
      </c>
      <c r="BK123" s="325" t="n">
        <f aca="false">IF(BK$24=$AA123,($AG123*$AM123)+($AJ123*$AM123*1.25)+($AH123*$AN123)+($AK123*$AN123*1.25),"")</f>
        <v>0</v>
      </c>
      <c r="BL123" s="326" t="str">
        <f aca="false">IF(BL$24=$AA123,($AG123*$AM123)+($AJ123*$AM123*1.25)+($AH123*$AN123)+($AK123*$AN123*1.25),"")</f>
        <v/>
      </c>
      <c r="BM123" s="327" t="str">
        <f aca="false">IF(CONCATENATE(BH123,BI123,BJ123,BK123,BL123)="",1,"")</f>
        <v/>
      </c>
      <c r="BN123" s="328"/>
      <c r="BO123" s="328"/>
      <c r="BP123" s="328"/>
      <c r="BQ123" s="328"/>
      <c r="BR123" s="47"/>
      <c r="BS123" s="127" t="n">
        <f aca="false">(AG123*AM123)+(AH123*AN123)+((AJ123*AM123)+(AK123*AN123)*1.25)</f>
        <v>0</v>
      </c>
      <c r="BT123" s="127" t="n">
        <f aca="false">(AG123*AP123)+(AH123*AQ123)+((AJ123*AP123)+(AK123*AQ123)*1.25)</f>
        <v>0</v>
      </c>
      <c r="BU123" s="329"/>
      <c r="BV123" s="129"/>
    </row>
    <row r="124" customFormat="false" ht="15" hidden="false" customHeight="false" outlineLevel="0" collapsed="false">
      <c r="A124" s="228"/>
      <c r="B124" s="229"/>
      <c r="C124" s="230"/>
      <c r="D124" s="231"/>
      <c r="E124" s="223" t="str">
        <f aca="false">IF(SUM(A124:D124)&gt;0,SUM(A124:D124),"")</f>
        <v/>
      </c>
      <c r="F124" s="224" t="str">
        <f aca="false">AD137</f>
        <v>COLIFLOR INVERNADERO</v>
      </c>
      <c r="G124" s="169"/>
      <c r="H124" s="169"/>
      <c r="I124" s="169"/>
      <c r="J124" s="169"/>
      <c r="K124" s="169"/>
      <c r="L124" s="169"/>
      <c r="M124" s="169"/>
      <c r="N124" s="169"/>
      <c r="O124" s="169"/>
      <c r="P124" s="169"/>
      <c r="Q124" s="169"/>
      <c r="R124" s="3"/>
      <c r="S124" s="3"/>
      <c r="T124" s="3"/>
      <c r="U124" s="3"/>
      <c r="V124" s="3"/>
      <c r="W124" s="3"/>
      <c r="X124" s="3"/>
      <c r="Y124" s="3"/>
      <c r="Z124" s="316" t="str">
        <f aca="false">IF(AF124&gt;0,RANK(AF124,AF$6:AF$422),"")</f>
        <v/>
      </c>
      <c r="AA124" s="134" t="n">
        <f aca="false">'O_MN, PE_UTA_UGM 2024'!N101</f>
        <v>4</v>
      </c>
      <c r="AB124" s="135" t="n">
        <f aca="false">'O_MN, PE_UTA_UGM 2024'!O101</f>
        <v>4</v>
      </c>
      <c r="AC124" s="317" t="n">
        <f aca="false">'O_MN, PE_UTA_UGM 2024'!C101</f>
        <v>156</v>
      </c>
      <c r="AD124" s="293" t="str">
        <f aca="false">IF(AB124=0,'O_MN, PE_UTA_UGM 2024'!F101,CONCATENATE('O_MN, PE_UTA_UGM 2024'!F101," ","INVERNADERO"))</f>
        <v>SANDÍA INVERNADERO</v>
      </c>
      <c r="AE124" s="89"/>
      <c r="AF124" s="123" t="n">
        <f aca="false">SUM(AG124:AH124)+SUM(AJ124:AK124)</f>
        <v>0</v>
      </c>
      <c r="AG124" s="318" t="n">
        <f aca="false">A111</f>
        <v>0</v>
      </c>
      <c r="AH124" s="319" t="n">
        <f aca="false">B111</f>
        <v>0</v>
      </c>
      <c r="AI124" s="6"/>
      <c r="AJ124" s="320" t="n">
        <f aca="false">C111</f>
        <v>0</v>
      </c>
      <c r="AK124" s="320" t="n">
        <f aca="false">D111</f>
        <v>0</v>
      </c>
      <c r="AL124" s="237" t="s">
        <v>250</v>
      </c>
      <c r="AM124" s="299" t="n">
        <f aca="false">'O_MN, PE_UTA_UGM 2024'!J101</f>
        <v>0</v>
      </c>
      <c r="AN124" s="299" t="n">
        <f aca="false">'O_MN, PE_UTA_UGM 2024'!K101</f>
        <v>80000</v>
      </c>
      <c r="AO124" s="300"/>
      <c r="AP124" s="299" t="n">
        <f aca="false">'O_MN, PE_UTA_UGM 2024'!H101</f>
        <v>0</v>
      </c>
      <c r="AQ124" s="299" t="n">
        <f aca="false">'O_MN, PE_UTA_UGM 2024'!I101</f>
        <v>36060.73</v>
      </c>
      <c r="AR124" s="301"/>
      <c r="AS124" s="302" t="n">
        <f aca="false">'O_MN, PE_UTA_UGM 2024'!L101</f>
        <v>0</v>
      </c>
      <c r="AT124" s="302" t="n">
        <f aca="false">'O_MN, PE_UTA_UGM 2024'!M101</f>
        <v>1.46978</v>
      </c>
      <c r="AU124" s="45"/>
      <c r="AV124" s="321" t="n">
        <f aca="false">AG124*AM124</f>
        <v>0</v>
      </c>
      <c r="AW124" s="319" t="n">
        <f aca="false">AH124*AN124</f>
        <v>0</v>
      </c>
      <c r="AX124" s="320" t="n">
        <f aca="false">1.25*AJ124*AM124</f>
        <v>0</v>
      </c>
      <c r="AY124" s="322" t="n">
        <f aca="false">1.25*AK124*AN124</f>
        <v>0</v>
      </c>
      <c r="AZ124" s="323" t="n">
        <f aca="false">AG124*AP124</f>
        <v>0</v>
      </c>
      <c r="BA124" s="319" t="n">
        <f aca="false">AH124*AQ124</f>
        <v>0</v>
      </c>
      <c r="BB124" s="320" t="n">
        <f aca="false">1.25*AJ124*AP124</f>
        <v>0</v>
      </c>
      <c r="BC124" s="320" t="n">
        <f aca="false">1.25*AK124*AQ124</f>
        <v>0</v>
      </c>
      <c r="BD124" s="321" t="n">
        <f aca="false">AG124*AS124</f>
        <v>0</v>
      </c>
      <c r="BE124" s="319" t="n">
        <f aca="false">AH124*AT124</f>
        <v>0</v>
      </c>
      <c r="BF124" s="320" t="n">
        <f aca="false">AJ124*AS124</f>
        <v>0</v>
      </c>
      <c r="BG124" s="322" t="n">
        <f aca="false">AK124*AT124</f>
        <v>0</v>
      </c>
      <c r="BH124" s="324" t="str">
        <f aca="false">IF(BH$24=$AA124,($AG124*$AM124)+($AJ124*$AM124*1.25)+($AH124*$AN124)+($AK124*$AN124*1.25),"")</f>
        <v/>
      </c>
      <c r="BI124" s="325" t="str">
        <f aca="false">IF(BI$24=$AA124,($AG124*$AM124)+($AJ124*$AM124*1.25)+($AH124*$AN124)+($AK124*$AN124*1.25),"")</f>
        <v/>
      </c>
      <c r="BJ124" s="325" t="str">
        <f aca="false">IF(BJ$24=$AA124,($AG124*$AM124)+($AJ124*$AM124*1.25)+($AH124*$AN124)+($AK124*$AN124*1.25),"")</f>
        <v/>
      </c>
      <c r="BK124" s="325" t="n">
        <f aca="false">IF(BK$24=$AA124,($AG124*$AM124)+($AJ124*$AM124*1.25)+($AH124*$AN124)+($AK124*$AN124*1.25),"")</f>
        <v>0</v>
      </c>
      <c r="BL124" s="326" t="str">
        <f aca="false">IF(BL$24=$AA124,($AG124*$AM124)+($AJ124*$AM124*1.25)+($AH124*$AN124)+($AK124*$AN124*1.25),"")</f>
        <v/>
      </c>
      <c r="BM124" s="327" t="str">
        <f aca="false">IF(CONCATENATE(BH124,BI124,BJ124,BK124,BL124)="",1,"")</f>
        <v/>
      </c>
      <c r="BN124" s="328"/>
      <c r="BO124" s="328"/>
      <c r="BP124" s="328"/>
      <c r="BQ124" s="328"/>
      <c r="BR124" s="47"/>
      <c r="BS124" s="127" t="n">
        <f aca="false">(AG124*AM124)+(AH124*AN124)+((AJ124*AM124)+(AK124*AN124)*1.25)</f>
        <v>0</v>
      </c>
      <c r="BT124" s="127" t="n">
        <f aca="false">(AG124*AP124)+(AH124*AQ124)+((AJ124*AP124)+(AK124*AQ124)*1.25)</f>
        <v>0</v>
      </c>
      <c r="BU124" s="329"/>
      <c r="BV124" s="129"/>
    </row>
    <row r="125" customFormat="false" ht="15" hidden="false" customHeight="false" outlineLevel="0" collapsed="false">
      <c r="A125" s="228"/>
      <c r="B125" s="229"/>
      <c r="C125" s="230"/>
      <c r="D125" s="231"/>
      <c r="E125" s="223" t="str">
        <f aca="false">IF(SUM(A125:D125)&gt;0,SUM(A125:D125),"")</f>
        <v/>
      </c>
      <c r="F125" s="224" t="str">
        <f aca="false">AD138</f>
        <v>BERENJENA</v>
      </c>
      <c r="G125" s="169"/>
      <c r="H125" s="169"/>
      <c r="I125" s="169"/>
      <c r="J125" s="169"/>
      <c r="K125" s="169"/>
      <c r="L125" s="169"/>
      <c r="M125" s="169"/>
      <c r="N125" s="169"/>
      <c r="O125" s="169"/>
      <c r="P125" s="169"/>
      <c r="Q125" s="169"/>
      <c r="R125" s="3"/>
      <c r="S125" s="3"/>
      <c r="T125" s="3"/>
      <c r="U125" s="3"/>
      <c r="V125" s="3"/>
      <c r="W125" s="3"/>
      <c r="X125" s="3"/>
      <c r="Y125" s="3"/>
      <c r="Z125" s="316" t="str">
        <f aca="false">IF(AF125&gt;0,RANK(AF125,AF$6:AF$422),"")</f>
        <v/>
      </c>
      <c r="AA125" s="134" t="n">
        <f aca="false">'O_MN, PE_UTA_UGM 2024'!N102</f>
        <v>4</v>
      </c>
      <c r="AB125" s="135" t="n">
        <f aca="false">'O_MN, PE_UTA_UGM 2024'!O102</f>
        <v>19</v>
      </c>
      <c r="AC125" s="317" t="n">
        <f aca="false">'O_MN, PE_UTA_UGM 2024'!C102</f>
        <v>156</v>
      </c>
      <c r="AD125" s="293" t="str">
        <f aca="false">IF(AB125=0,'O_MN, PE_UTA_UGM 2024'!F102,CONCATENATE('O_MN, PE_UTA_UGM 2024'!F102," ","INVERNADERO"))</f>
        <v>SANDÍA INVERNADERO</v>
      </c>
      <c r="AE125" s="89"/>
      <c r="AF125" s="123" t="n">
        <f aca="false">SUM(AG125:AH125)+SUM(AJ125:AK125)</f>
        <v>0</v>
      </c>
      <c r="AG125" s="318" t="n">
        <f aca="false">A112</f>
        <v>0</v>
      </c>
      <c r="AH125" s="319" t="n">
        <f aca="false">B112</f>
        <v>0</v>
      </c>
      <c r="AI125" s="6"/>
      <c r="AJ125" s="320" t="n">
        <f aca="false">C112</f>
        <v>0</v>
      </c>
      <c r="AK125" s="320" t="n">
        <f aca="false">D112</f>
        <v>0</v>
      </c>
      <c r="AL125" s="237" t="s">
        <v>251</v>
      </c>
      <c r="AM125" s="299" t="n">
        <f aca="false">'O_MN, PE_UTA_UGM 2024'!J102</f>
        <v>0</v>
      </c>
      <c r="AN125" s="299" t="n">
        <f aca="false">'O_MN, PE_UTA_UGM 2024'!K102</f>
        <v>80000</v>
      </c>
      <c r="AO125" s="300"/>
      <c r="AP125" s="299" t="n">
        <f aca="false">'O_MN, PE_UTA_UGM 2024'!H102</f>
        <v>0</v>
      </c>
      <c r="AQ125" s="299" t="n">
        <f aca="false">'O_MN, PE_UTA_UGM 2024'!I102</f>
        <v>36060.73</v>
      </c>
      <c r="AR125" s="301"/>
      <c r="AS125" s="302" t="n">
        <f aca="false">'O_MN, PE_UTA_UGM 2024'!L102</f>
        <v>0</v>
      </c>
      <c r="AT125" s="302" t="n">
        <f aca="false">'O_MN, PE_UTA_UGM 2024'!M102</f>
        <v>1.46978</v>
      </c>
      <c r="AU125" s="45"/>
      <c r="AV125" s="321" t="n">
        <f aca="false">AG125*AM125</f>
        <v>0</v>
      </c>
      <c r="AW125" s="319" t="n">
        <f aca="false">AH125*AN125</f>
        <v>0</v>
      </c>
      <c r="AX125" s="320" t="n">
        <f aca="false">1.25*AJ125*AM125</f>
        <v>0</v>
      </c>
      <c r="AY125" s="322" t="n">
        <f aca="false">1.25*AK125*AN125</f>
        <v>0</v>
      </c>
      <c r="AZ125" s="323" t="n">
        <f aca="false">AG125*AP125</f>
        <v>0</v>
      </c>
      <c r="BA125" s="319" t="n">
        <f aca="false">AH125*AQ125</f>
        <v>0</v>
      </c>
      <c r="BB125" s="320" t="n">
        <f aca="false">1.25*AJ125*AP125</f>
        <v>0</v>
      </c>
      <c r="BC125" s="320" t="n">
        <f aca="false">1.25*AK125*AQ125</f>
        <v>0</v>
      </c>
      <c r="BD125" s="321" t="n">
        <f aca="false">AG125*AS125</f>
        <v>0</v>
      </c>
      <c r="BE125" s="319" t="n">
        <f aca="false">AH125*AT125</f>
        <v>0</v>
      </c>
      <c r="BF125" s="320" t="n">
        <f aca="false">AJ125*AS125</f>
        <v>0</v>
      </c>
      <c r="BG125" s="322" t="n">
        <f aca="false">AK125*AT125</f>
        <v>0</v>
      </c>
      <c r="BH125" s="324" t="str">
        <f aca="false">IF(BH$24=$AA125,($AG125*$AM125)+($AJ125*$AM125*1.25)+($AH125*$AN125)+($AK125*$AN125*1.25),"")</f>
        <v/>
      </c>
      <c r="BI125" s="325" t="str">
        <f aca="false">IF(BI$24=$AA125,($AG125*$AM125)+($AJ125*$AM125*1.25)+($AH125*$AN125)+($AK125*$AN125*1.25),"")</f>
        <v/>
      </c>
      <c r="BJ125" s="325" t="str">
        <f aca="false">IF(BJ$24=$AA125,($AG125*$AM125)+($AJ125*$AM125*1.25)+($AH125*$AN125)+($AK125*$AN125*1.25),"")</f>
        <v/>
      </c>
      <c r="BK125" s="325" t="n">
        <f aca="false">IF(BK$24=$AA125,($AG125*$AM125)+($AJ125*$AM125*1.25)+($AH125*$AN125)+($AK125*$AN125*1.25),"")</f>
        <v>0</v>
      </c>
      <c r="BL125" s="326" t="str">
        <f aca="false">IF(BL$24=$AA125,($AG125*$AM125)+($AJ125*$AM125*1.25)+($AH125*$AN125)+($AK125*$AN125*1.25),"")</f>
        <v/>
      </c>
      <c r="BM125" s="327" t="str">
        <f aca="false">IF(CONCATENATE(BH125,BI125,BJ125,BK125,BL125)="",1,"")</f>
        <v/>
      </c>
      <c r="BN125" s="328"/>
      <c r="BO125" s="328"/>
      <c r="BP125" s="328"/>
      <c r="BQ125" s="328"/>
      <c r="BR125" s="47"/>
      <c r="BS125" s="127" t="n">
        <f aca="false">(AG125*AM125)+(AH125*AN125)+((AJ125*AM125)+(AK125*AN125)*1.25)</f>
        <v>0</v>
      </c>
      <c r="BT125" s="127" t="n">
        <f aca="false">(AG125*AP125)+(AH125*AQ125)+((AJ125*AP125)+(AK125*AQ125)*1.25)</f>
        <v>0</v>
      </c>
      <c r="BU125" s="329"/>
      <c r="BV125" s="129"/>
    </row>
    <row r="126" customFormat="false" ht="15" hidden="false" customHeight="false" outlineLevel="0" collapsed="false">
      <c r="A126" s="228"/>
      <c r="B126" s="229"/>
      <c r="C126" s="230"/>
      <c r="D126" s="231"/>
      <c r="E126" s="223" t="str">
        <f aca="false">IF(SUM(A126:D126)&gt;0,SUM(A126:D126),"")</f>
        <v/>
      </c>
      <c r="F126" s="224" t="str">
        <f aca="false">AD139</f>
        <v>BERENJENA INVERNADERO</v>
      </c>
      <c r="G126" s="169"/>
      <c r="H126" s="169"/>
      <c r="I126" s="169"/>
      <c r="J126" s="169"/>
      <c r="K126" s="169"/>
      <c r="L126" s="169"/>
      <c r="M126" s="169"/>
      <c r="N126" s="169"/>
      <c r="O126" s="169"/>
      <c r="P126" s="169"/>
      <c r="Q126" s="169"/>
      <c r="R126" s="3"/>
      <c r="S126" s="3"/>
      <c r="T126" s="3"/>
      <c r="U126" s="3"/>
      <c r="V126" s="3"/>
      <c r="W126" s="3"/>
      <c r="X126" s="3"/>
      <c r="Y126" s="3"/>
      <c r="Z126" s="316" t="str">
        <f aca="false">IF(AF126&gt;0,RANK(AF126,AF$6:AF$422),"")</f>
        <v/>
      </c>
      <c r="AA126" s="134" t="n">
        <f aca="false">'O_MN, PE_UTA_UGM 2024'!N103</f>
        <v>4</v>
      </c>
      <c r="AB126" s="135" t="n">
        <f aca="false">'O_MN, PE_UTA_UGM 2024'!O103</f>
        <v>0</v>
      </c>
      <c r="AC126" s="317" t="n">
        <f aca="false">'O_MN, PE_UTA_UGM 2024'!C103</f>
        <v>157</v>
      </c>
      <c r="AD126" s="293" t="str">
        <f aca="false">IF(AB126=0,'O_MN, PE_UTA_UGM 2024'!F103,CONCATENATE('O_MN, PE_UTA_UGM 2024'!F103," ","INVERNADERO"))</f>
        <v>CEBOLLA</v>
      </c>
      <c r="AE126" s="89"/>
      <c r="AF126" s="123" t="n">
        <f aca="false">SUM(AG126:AH126)+SUM(AJ126:AK126)</f>
        <v>0</v>
      </c>
      <c r="AG126" s="318" t="n">
        <f aca="false">A113</f>
        <v>0</v>
      </c>
      <c r="AH126" s="319" t="n">
        <f aca="false">B113</f>
        <v>0</v>
      </c>
      <c r="AI126" s="6"/>
      <c r="AJ126" s="320" t="n">
        <f aca="false">C113</f>
        <v>0</v>
      </c>
      <c r="AK126" s="320" t="n">
        <f aca="false">D113</f>
        <v>0</v>
      </c>
      <c r="AL126" s="237" t="s">
        <v>252</v>
      </c>
      <c r="AM126" s="299" t="n">
        <f aca="false">'O_MN, PE_UTA_UGM 2024'!J103</f>
        <v>575</v>
      </c>
      <c r="AN126" s="299" t="n">
        <f aca="false">'O_MN, PE_UTA_UGM 2024'!K103</f>
        <v>8500</v>
      </c>
      <c r="AO126" s="300"/>
      <c r="AP126" s="299" t="n">
        <f aca="false">'O_MN, PE_UTA_UGM 2024'!H103</f>
        <v>360.61</v>
      </c>
      <c r="AQ126" s="299" t="n">
        <f aca="false">'O_MN, PE_UTA_UGM 2024'!I103</f>
        <v>1352.28</v>
      </c>
      <c r="AR126" s="301"/>
      <c r="AS126" s="302" t="n">
        <f aca="false">'O_MN, PE_UTA_UGM 2024'!L103</f>
        <v>0.0147</v>
      </c>
      <c r="AT126" s="302" t="n">
        <f aca="false">'O_MN, PE_UTA_UGM 2024'!M103</f>
        <v>0.05512</v>
      </c>
      <c r="AU126" s="45"/>
      <c r="AV126" s="321" t="n">
        <f aca="false">AG126*AM126</f>
        <v>0</v>
      </c>
      <c r="AW126" s="319" t="n">
        <f aca="false">AH126*AN126</f>
        <v>0</v>
      </c>
      <c r="AX126" s="320" t="n">
        <f aca="false">1.25*AJ126*AM126</f>
        <v>0</v>
      </c>
      <c r="AY126" s="322" t="n">
        <f aca="false">1.25*AK126*AN126</f>
        <v>0</v>
      </c>
      <c r="AZ126" s="323" t="n">
        <f aca="false">AG126*AP126</f>
        <v>0</v>
      </c>
      <c r="BA126" s="319" t="n">
        <f aca="false">AH126*AQ126</f>
        <v>0</v>
      </c>
      <c r="BB126" s="320" t="n">
        <f aca="false">1.25*AJ126*AP126</f>
        <v>0</v>
      </c>
      <c r="BC126" s="320" t="n">
        <f aca="false">1.25*AK126*AQ126</f>
        <v>0</v>
      </c>
      <c r="BD126" s="321" t="n">
        <f aca="false">AG126*AS126</f>
        <v>0</v>
      </c>
      <c r="BE126" s="319" t="n">
        <f aca="false">AH126*AT126</f>
        <v>0</v>
      </c>
      <c r="BF126" s="320" t="n">
        <f aca="false">AJ126*AS126</f>
        <v>0</v>
      </c>
      <c r="BG126" s="322" t="n">
        <f aca="false">AK126*AT126</f>
        <v>0</v>
      </c>
      <c r="BH126" s="324" t="str">
        <f aca="false">IF(BH$24=$AA126,($AG126*$AM126)+($AJ126*$AM126*1.25)+($AH126*$AN126)+($AK126*$AN126*1.25),"")</f>
        <v/>
      </c>
      <c r="BI126" s="325" t="str">
        <f aca="false">IF(BI$24=$AA126,($AG126*$AM126)+($AJ126*$AM126*1.25)+($AH126*$AN126)+($AK126*$AN126*1.25),"")</f>
        <v/>
      </c>
      <c r="BJ126" s="325" t="str">
        <f aca="false">IF(BJ$24=$AA126,($AG126*$AM126)+($AJ126*$AM126*1.25)+($AH126*$AN126)+($AK126*$AN126*1.25),"")</f>
        <v/>
      </c>
      <c r="BK126" s="325" t="n">
        <f aca="false">IF(BK$24=$AA126,($AG126*$AM126)+($AJ126*$AM126*1.25)+($AH126*$AN126)+($AK126*$AN126*1.25),"")</f>
        <v>0</v>
      </c>
      <c r="BL126" s="326" t="str">
        <f aca="false">IF(BL$24=$AA126,($AG126*$AM126)+($AJ126*$AM126*1.25)+($AH126*$AN126)+($AK126*$AN126*1.25),"")</f>
        <v/>
      </c>
      <c r="BM126" s="327" t="str">
        <f aca="false">IF(CONCATENATE(BH126,BI126,BJ126,BK126,BL126)="",1,"")</f>
        <v/>
      </c>
      <c r="BN126" s="328"/>
      <c r="BO126" s="328"/>
      <c r="BP126" s="328"/>
      <c r="BQ126" s="328"/>
      <c r="BR126" s="47"/>
      <c r="BS126" s="127" t="n">
        <f aca="false">(AG126*AM126)+(AH126*AN126)+((AJ126*AM126)+(AK126*AN126)*1.25)</f>
        <v>0</v>
      </c>
      <c r="BT126" s="127" t="n">
        <f aca="false">(AG126*AP126)+(AH126*AQ126)+((AJ126*AP126)+(AK126*AQ126)*1.25)</f>
        <v>0</v>
      </c>
      <c r="BU126" s="329"/>
      <c r="BV126" s="129"/>
    </row>
    <row r="127" customFormat="false" ht="15" hidden="false" customHeight="false" outlineLevel="0" collapsed="false">
      <c r="A127" s="228"/>
      <c r="B127" s="229"/>
      <c r="C127" s="230"/>
      <c r="D127" s="231"/>
      <c r="E127" s="223" t="str">
        <f aca="false">IF(SUM(A127:D127)&gt;0,SUM(A127:D127),"")</f>
        <v/>
      </c>
      <c r="F127" s="224" t="str">
        <f aca="false">AD140</f>
        <v>BERENJENA INVERNADERO</v>
      </c>
      <c r="G127" s="169"/>
      <c r="H127" s="169"/>
      <c r="I127" s="169"/>
      <c r="J127" s="169"/>
      <c r="K127" s="169"/>
      <c r="L127" s="169"/>
      <c r="M127" s="169"/>
      <c r="N127" s="169"/>
      <c r="O127" s="169"/>
      <c r="P127" s="169"/>
      <c r="Q127" s="169"/>
      <c r="R127" s="3"/>
      <c r="S127" s="3"/>
      <c r="T127" s="3"/>
      <c r="U127" s="3"/>
      <c r="V127" s="3"/>
      <c r="W127" s="3"/>
      <c r="X127" s="3"/>
      <c r="Y127" s="3"/>
      <c r="Z127" s="316" t="str">
        <f aca="false">IF(AF127&gt;0,RANK(AF127,AF$6:AF$422),"")</f>
        <v/>
      </c>
      <c r="AA127" s="134" t="n">
        <f aca="false">'O_MN, PE_UTA_UGM 2024'!N104</f>
        <v>4</v>
      </c>
      <c r="AB127" s="135" t="n">
        <f aca="false">'O_MN, PE_UTA_UGM 2024'!O104</f>
        <v>4</v>
      </c>
      <c r="AC127" s="317" t="n">
        <f aca="false">'O_MN, PE_UTA_UGM 2024'!C104</f>
        <v>157</v>
      </c>
      <c r="AD127" s="293" t="str">
        <f aca="false">IF(AB127=0,'O_MN, PE_UTA_UGM 2024'!F104,CONCATENATE('O_MN, PE_UTA_UGM 2024'!F104," ","INVERNADERO"))</f>
        <v>CEBOLLA INVERNADERO</v>
      </c>
      <c r="AE127" s="89"/>
      <c r="AF127" s="123" t="n">
        <f aca="false">SUM(AG127:AH127)+SUM(AJ127:AK127)</f>
        <v>0</v>
      </c>
      <c r="AG127" s="318" t="n">
        <f aca="false">A114</f>
        <v>0</v>
      </c>
      <c r="AH127" s="319" t="n">
        <f aca="false">B114</f>
        <v>0</v>
      </c>
      <c r="AI127" s="6"/>
      <c r="AJ127" s="320" t="n">
        <f aca="false">C114</f>
        <v>0</v>
      </c>
      <c r="AK127" s="320" t="n">
        <f aca="false">D114</f>
        <v>0</v>
      </c>
      <c r="AL127" s="237" t="s">
        <v>253</v>
      </c>
      <c r="AM127" s="299" t="n">
        <f aca="false">'O_MN, PE_UTA_UGM 2024'!J104</f>
        <v>0</v>
      </c>
      <c r="AN127" s="299" t="n">
        <f aca="false">'O_MN, PE_UTA_UGM 2024'!K104</f>
        <v>80000</v>
      </c>
      <c r="AO127" s="300"/>
      <c r="AP127" s="299" t="n">
        <f aca="false">'O_MN, PE_UTA_UGM 2024'!H104</f>
        <v>0</v>
      </c>
      <c r="AQ127" s="299" t="n">
        <f aca="false">'O_MN, PE_UTA_UGM 2024'!I104</f>
        <v>36060.73</v>
      </c>
      <c r="AR127" s="301"/>
      <c r="AS127" s="302" t="n">
        <f aca="false">'O_MN, PE_UTA_UGM 2024'!L104</f>
        <v>0</v>
      </c>
      <c r="AT127" s="302" t="n">
        <f aca="false">'O_MN, PE_UTA_UGM 2024'!M104</f>
        <v>1.46978</v>
      </c>
      <c r="AU127" s="45"/>
      <c r="AV127" s="321" t="n">
        <f aca="false">AG127*AM127</f>
        <v>0</v>
      </c>
      <c r="AW127" s="319" t="n">
        <f aca="false">AH127*AN127</f>
        <v>0</v>
      </c>
      <c r="AX127" s="320" t="n">
        <f aca="false">1.25*AJ127*AM127</f>
        <v>0</v>
      </c>
      <c r="AY127" s="322" t="n">
        <f aca="false">1.25*AK127*AN127</f>
        <v>0</v>
      </c>
      <c r="AZ127" s="323" t="n">
        <f aca="false">AG127*AP127</f>
        <v>0</v>
      </c>
      <c r="BA127" s="319" t="n">
        <f aca="false">AH127*AQ127</f>
        <v>0</v>
      </c>
      <c r="BB127" s="320" t="n">
        <f aca="false">1.25*AJ127*AP127</f>
        <v>0</v>
      </c>
      <c r="BC127" s="320" t="n">
        <f aca="false">1.25*AK127*AQ127</f>
        <v>0</v>
      </c>
      <c r="BD127" s="321" t="n">
        <f aca="false">AG127*AS127</f>
        <v>0</v>
      </c>
      <c r="BE127" s="319" t="n">
        <f aca="false">AH127*AT127</f>
        <v>0</v>
      </c>
      <c r="BF127" s="320" t="n">
        <f aca="false">AJ127*AS127</f>
        <v>0</v>
      </c>
      <c r="BG127" s="322" t="n">
        <f aca="false">AK127*AT127</f>
        <v>0</v>
      </c>
      <c r="BH127" s="324" t="str">
        <f aca="false">IF(BH$24=$AA127,($AG127*$AM127)+($AJ127*$AM127*1.25)+($AH127*$AN127)+($AK127*$AN127*1.25),"")</f>
        <v/>
      </c>
      <c r="BI127" s="325" t="str">
        <f aca="false">IF(BI$24=$AA127,($AG127*$AM127)+($AJ127*$AM127*1.25)+($AH127*$AN127)+($AK127*$AN127*1.25),"")</f>
        <v/>
      </c>
      <c r="BJ127" s="325" t="str">
        <f aca="false">IF(BJ$24=$AA127,($AG127*$AM127)+($AJ127*$AM127*1.25)+($AH127*$AN127)+($AK127*$AN127*1.25),"")</f>
        <v/>
      </c>
      <c r="BK127" s="325" t="n">
        <f aca="false">IF(BK$24=$AA127,($AG127*$AM127)+($AJ127*$AM127*1.25)+($AH127*$AN127)+($AK127*$AN127*1.25),"")</f>
        <v>0</v>
      </c>
      <c r="BL127" s="326" t="str">
        <f aca="false">IF(BL$24=$AA127,($AG127*$AM127)+($AJ127*$AM127*1.25)+($AH127*$AN127)+($AK127*$AN127*1.25),"")</f>
        <v/>
      </c>
      <c r="BM127" s="327" t="str">
        <f aca="false">IF(CONCATENATE(BH127,BI127,BJ127,BK127,BL127)="",1,"")</f>
        <v/>
      </c>
      <c r="BN127" s="328"/>
      <c r="BO127" s="328"/>
      <c r="BP127" s="328"/>
      <c r="BQ127" s="328"/>
      <c r="BR127" s="47"/>
      <c r="BS127" s="127" t="n">
        <f aca="false">(AG127*AM127)+(AH127*AN127)+((AJ127*AM127)+(AK127*AN127)*1.25)</f>
        <v>0</v>
      </c>
      <c r="BT127" s="127" t="n">
        <f aca="false">(AG127*AP127)+(AH127*AQ127)+((AJ127*AP127)+(AK127*AQ127)*1.25)</f>
        <v>0</v>
      </c>
      <c r="BU127" s="329"/>
      <c r="BV127" s="129"/>
    </row>
    <row r="128" customFormat="false" ht="15" hidden="false" customHeight="false" outlineLevel="0" collapsed="false">
      <c r="A128" s="228"/>
      <c r="B128" s="229"/>
      <c r="C128" s="230"/>
      <c r="D128" s="231"/>
      <c r="E128" s="223" t="str">
        <f aca="false">IF(SUM(A128:D128)&gt;0,SUM(A128:D128),"")</f>
        <v/>
      </c>
      <c r="F128" s="224" t="str">
        <f aca="false">AD141</f>
        <v>CALABACÍN</v>
      </c>
      <c r="G128" s="169"/>
      <c r="H128" s="169"/>
      <c r="I128" s="169"/>
      <c r="J128" s="169"/>
      <c r="K128" s="169"/>
      <c r="L128" s="169"/>
      <c r="M128" s="169"/>
      <c r="N128" s="169"/>
      <c r="O128" s="169"/>
      <c r="P128" s="169"/>
      <c r="Q128" s="169"/>
      <c r="R128" s="3"/>
      <c r="S128" s="3"/>
      <c r="T128" s="3"/>
      <c r="U128" s="3"/>
      <c r="V128" s="3"/>
      <c r="W128" s="3"/>
      <c r="X128" s="3"/>
      <c r="Y128" s="3"/>
      <c r="Z128" s="316" t="str">
        <f aca="false">IF(AF128&gt;0,RANK(AF128,AF$6:AF$422),"")</f>
        <v/>
      </c>
      <c r="AA128" s="134" t="n">
        <f aca="false">'O_MN, PE_UTA_UGM 2024'!N105</f>
        <v>4</v>
      </c>
      <c r="AB128" s="135" t="n">
        <f aca="false">'O_MN, PE_UTA_UGM 2024'!O105</f>
        <v>19</v>
      </c>
      <c r="AC128" s="317" t="n">
        <f aca="false">'O_MN, PE_UTA_UGM 2024'!C105</f>
        <v>157</v>
      </c>
      <c r="AD128" s="293" t="str">
        <f aca="false">IF(AB128=0,'O_MN, PE_UTA_UGM 2024'!F105,CONCATENATE('O_MN, PE_UTA_UGM 2024'!F105," ","INVERNADERO"))</f>
        <v>CEBOLLA INVERNADERO</v>
      </c>
      <c r="AE128" s="89"/>
      <c r="AF128" s="123" t="n">
        <f aca="false">SUM(AG128:AH128)+SUM(AJ128:AK128)</f>
        <v>0</v>
      </c>
      <c r="AG128" s="318" t="n">
        <f aca="false">A115</f>
        <v>0</v>
      </c>
      <c r="AH128" s="319" t="n">
        <f aca="false">B115</f>
        <v>0</v>
      </c>
      <c r="AI128" s="6"/>
      <c r="AJ128" s="320" t="n">
        <f aca="false">C115</f>
        <v>0</v>
      </c>
      <c r="AK128" s="320" t="n">
        <f aca="false">D115</f>
        <v>0</v>
      </c>
      <c r="AL128" s="237" t="s">
        <v>254</v>
      </c>
      <c r="AM128" s="299" t="n">
        <f aca="false">'O_MN, PE_UTA_UGM 2024'!J105</f>
        <v>0</v>
      </c>
      <c r="AN128" s="299" t="n">
        <f aca="false">'O_MN, PE_UTA_UGM 2024'!K105</f>
        <v>80000</v>
      </c>
      <c r="AO128" s="300"/>
      <c r="AP128" s="299" t="n">
        <f aca="false">'O_MN, PE_UTA_UGM 2024'!H105</f>
        <v>0</v>
      </c>
      <c r="AQ128" s="299" t="n">
        <f aca="false">'O_MN, PE_UTA_UGM 2024'!I105</f>
        <v>36060.73</v>
      </c>
      <c r="AR128" s="301"/>
      <c r="AS128" s="302" t="n">
        <f aca="false">'O_MN, PE_UTA_UGM 2024'!L105</f>
        <v>0</v>
      </c>
      <c r="AT128" s="302" t="n">
        <f aca="false">'O_MN, PE_UTA_UGM 2024'!M105</f>
        <v>1.46978</v>
      </c>
      <c r="AU128" s="45"/>
      <c r="AV128" s="321" t="n">
        <f aca="false">AG128*AM128</f>
        <v>0</v>
      </c>
      <c r="AW128" s="319" t="n">
        <f aca="false">AH128*AN128</f>
        <v>0</v>
      </c>
      <c r="AX128" s="320" t="n">
        <f aca="false">1.25*AJ128*AM128</f>
        <v>0</v>
      </c>
      <c r="AY128" s="322" t="n">
        <f aca="false">1.25*AK128*AN128</f>
        <v>0</v>
      </c>
      <c r="AZ128" s="323" t="n">
        <f aca="false">AG128*AP128</f>
        <v>0</v>
      </c>
      <c r="BA128" s="319" t="n">
        <f aca="false">AH128*AQ128</f>
        <v>0</v>
      </c>
      <c r="BB128" s="320" t="n">
        <f aca="false">1.25*AJ128*AP128</f>
        <v>0</v>
      </c>
      <c r="BC128" s="320" t="n">
        <f aca="false">1.25*AK128*AQ128</f>
        <v>0</v>
      </c>
      <c r="BD128" s="321" t="n">
        <f aca="false">AG128*AS128</f>
        <v>0</v>
      </c>
      <c r="BE128" s="319" t="n">
        <f aca="false">AH128*AT128</f>
        <v>0</v>
      </c>
      <c r="BF128" s="320" t="n">
        <f aca="false">AJ128*AS128</f>
        <v>0</v>
      </c>
      <c r="BG128" s="322" t="n">
        <f aca="false">AK128*AT128</f>
        <v>0</v>
      </c>
      <c r="BH128" s="324" t="str">
        <f aca="false">IF(BH$24=$AA128,($AG128*$AM128)+($AJ128*$AM128*1.25)+($AH128*$AN128)+($AK128*$AN128*1.25),"")</f>
        <v/>
      </c>
      <c r="BI128" s="325" t="str">
        <f aca="false">IF(BI$24=$AA128,($AG128*$AM128)+($AJ128*$AM128*1.25)+($AH128*$AN128)+($AK128*$AN128*1.25),"")</f>
        <v/>
      </c>
      <c r="BJ128" s="325" t="str">
        <f aca="false">IF(BJ$24=$AA128,($AG128*$AM128)+($AJ128*$AM128*1.25)+($AH128*$AN128)+($AK128*$AN128*1.25),"")</f>
        <v/>
      </c>
      <c r="BK128" s="325" t="n">
        <f aca="false">IF(BK$24=$AA128,($AG128*$AM128)+($AJ128*$AM128*1.25)+($AH128*$AN128)+($AK128*$AN128*1.25),"")</f>
        <v>0</v>
      </c>
      <c r="BL128" s="326" t="str">
        <f aca="false">IF(BL$24=$AA128,($AG128*$AM128)+($AJ128*$AM128*1.25)+($AH128*$AN128)+($AK128*$AN128*1.25),"")</f>
        <v/>
      </c>
      <c r="BM128" s="327" t="str">
        <f aca="false">IF(CONCATENATE(BH128,BI128,BJ128,BK128,BL128)="",1,"")</f>
        <v/>
      </c>
      <c r="BN128" s="328"/>
      <c r="BO128" s="328"/>
      <c r="BP128" s="328"/>
      <c r="BQ128" s="328"/>
      <c r="BR128" s="47"/>
      <c r="BS128" s="127" t="n">
        <f aca="false">(AG128*AM128)+(AH128*AN128)+((AJ128*AM128)+(AK128*AN128)*1.25)</f>
        <v>0</v>
      </c>
      <c r="BT128" s="127" t="n">
        <f aca="false">(AG128*AP128)+(AH128*AQ128)+((AJ128*AP128)+(AK128*AQ128)*1.25)</f>
        <v>0</v>
      </c>
      <c r="BU128" s="329"/>
      <c r="BV128" s="129"/>
    </row>
    <row r="129" customFormat="false" ht="15" hidden="false" customHeight="false" outlineLevel="0" collapsed="false">
      <c r="A129" s="228"/>
      <c r="B129" s="229"/>
      <c r="C129" s="230"/>
      <c r="D129" s="231"/>
      <c r="E129" s="223" t="str">
        <f aca="false">IF(SUM(A129:D129)&gt;0,SUM(A129:D129),"")</f>
        <v/>
      </c>
      <c r="F129" s="224" t="str">
        <f aca="false">AD142</f>
        <v>CALABACÍN INVERNADERO</v>
      </c>
      <c r="G129" s="169"/>
      <c r="H129" s="169"/>
      <c r="I129" s="169"/>
      <c r="J129" s="169"/>
      <c r="K129" s="169"/>
      <c r="L129" s="169"/>
      <c r="M129" s="169"/>
      <c r="N129" s="169"/>
      <c r="O129" s="169"/>
      <c r="P129" s="169"/>
      <c r="Q129" s="169"/>
      <c r="R129" s="3"/>
      <c r="S129" s="3"/>
      <c r="T129" s="3"/>
      <c r="U129" s="3"/>
      <c r="V129" s="3"/>
      <c r="W129" s="3"/>
      <c r="X129" s="3"/>
      <c r="Y129" s="3"/>
      <c r="Z129" s="316" t="str">
        <f aca="false">IF(AF129&gt;0,RANK(AF129,AF$6:AF$422),"")</f>
        <v/>
      </c>
      <c r="AA129" s="134" t="n">
        <f aca="false">'O_MN, PE_UTA_UGM 2024'!N106</f>
        <v>4</v>
      </c>
      <c r="AB129" s="135" t="n">
        <f aca="false">'O_MN, PE_UTA_UGM 2024'!O106</f>
        <v>0</v>
      </c>
      <c r="AC129" s="317" t="n">
        <f aca="false">'O_MN, PE_UTA_UGM 2024'!C106</f>
        <v>158</v>
      </c>
      <c r="AD129" s="293" t="str">
        <f aca="false">IF(AB129=0,'O_MN, PE_UTA_UGM 2024'!F106,CONCATENATE('O_MN, PE_UTA_UGM 2024'!F106," ","INVERNADERO"))</f>
        <v>APIO</v>
      </c>
      <c r="AE129" s="89"/>
      <c r="AF129" s="123" t="n">
        <f aca="false">SUM(AG129:AH129)+SUM(AJ129:AK129)</f>
        <v>0</v>
      </c>
      <c r="AG129" s="318" t="n">
        <f aca="false">A116</f>
        <v>0</v>
      </c>
      <c r="AH129" s="319" t="n">
        <f aca="false">B116</f>
        <v>0</v>
      </c>
      <c r="AI129" s="6"/>
      <c r="AJ129" s="320" t="n">
        <f aca="false">C116</f>
        <v>0</v>
      </c>
      <c r="AK129" s="320" t="n">
        <f aca="false">D116</f>
        <v>0</v>
      </c>
      <c r="AL129" s="237" t="s">
        <v>255</v>
      </c>
      <c r="AM129" s="299" t="n">
        <f aca="false">'O_MN, PE_UTA_UGM 2024'!J106</f>
        <v>575</v>
      </c>
      <c r="AN129" s="299" t="n">
        <f aca="false">'O_MN, PE_UTA_UGM 2024'!K106</f>
        <v>5200</v>
      </c>
      <c r="AO129" s="300"/>
      <c r="AP129" s="299" t="n">
        <f aca="false">'O_MN, PE_UTA_UGM 2024'!H106</f>
        <v>360.61</v>
      </c>
      <c r="AQ129" s="299" t="n">
        <f aca="false">'O_MN, PE_UTA_UGM 2024'!I106</f>
        <v>1352.28</v>
      </c>
      <c r="AR129" s="301"/>
      <c r="AS129" s="302" t="n">
        <f aca="false">'O_MN, PE_UTA_UGM 2024'!L106</f>
        <v>0.0147</v>
      </c>
      <c r="AT129" s="302" t="n">
        <f aca="false">'O_MN, PE_UTA_UGM 2024'!M106</f>
        <v>0.05512</v>
      </c>
      <c r="AU129" s="45"/>
      <c r="AV129" s="321" t="n">
        <f aca="false">AG129*AM129</f>
        <v>0</v>
      </c>
      <c r="AW129" s="319" t="n">
        <f aca="false">AH129*AN129</f>
        <v>0</v>
      </c>
      <c r="AX129" s="320" t="n">
        <f aca="false">1.25*AJ129*AM129</f>
        <v>0</v>
      </c>
      <c r="AY129" s="322" t="n">
        <f aca="false">1.25*AK129*AN129</f>
        <v>0</v>
      </c>
      <c r="AZ129" s="323" t="n">
        <f aca="false">AG129*AP129</f>
        <v>0</v>
      </c>
      <c r="BA129" s="319" t="n">
        <f aca="false">AH129*AQ129</f>
        <v>0</v>
      </c>
      <c r="BB129" s="320" t="n">
        <f aca="false">1.25*AJ129*AP129</f>
        <v>0</v>
      </c>
      <c r="BC129" s="320" t="n">
        <f aca="false">1.25*AK129*AQ129</f>
        <v>0</v>
      </c>
      <c r="BD129" s="321" t="n">
        <f aca="false">AG129*AS129</f>
        <v>0</v>
      </c>
      <c r="BE129" s="319" t="n">
        <f aca="false">AH129*AT129</f>
        <v>0</v>
      </c>
      <c r="BF129" s="320" t="n">
        <f aca="false">AJ129*AS129</f>
        <v>0</v>
      </c>
      <c r="BG129" s="322" t="n">
        <f aca="false">AK129*AT129</f>
        <v>0</v>
      </c>
      <c r="BH129" s="324" t="str">
        <f aca="false">IF(BH$24=$AA129,($AG129*$AM129)+($AJ129*$AM129*1.25)+($AH129*$AN129)+($AK129*$AN129*1.25),"")</f>
        <v/>
      </c>
      <c r="BI129" s="325" t="str">
        <f aca="false">IF(BI$24=$AA129,($AG129*$AM129)+($AJ129*$AM129*1.25)+($AH129*$AN129)+($AK129*$AN129*1.25),"")</f>
        <v/>
      </c>
      <c r="BJ129" s="325" t="str">
        <f aca="false">IF(BJ$24=$AA129,($AG129*$AM129)+($AJ129*$AM129*1.25)+($AH129*$AN129)+($AK129*$AN129*1.25),"")</f>
        <v/>
      </c>
      <c r="BK129" s="325" t="n">
        <f aca="false">IF(BK$24=$AA129,($AG129*$AM129)+($AJ129*$AM129*1.25)+($AH129*$AN129)+($AK129*$AN129*1.25),"")</f>
        <v>0</v>
      </c>
      <c r="BL129" s="326" t="str">
        <f aca="false">IF(BL$24=$AA129,($AG129*$AM129)+($AJ129*$AM129*1.25)+($AH129*$AN129)+($AK129*$AN129*1.25),"")</f>
        <v/>
      </c>
      <c r="BM129" s="327" t="str">
        <f aca="false">IF(CONCATENATE(BH129,BI129,BJ129,BK129,BL129)="",1,"")</f>
        <v/>
      </c>
      <c r="BN129" s="328"/>
      <c r="BO129" s="328"/>
      <c r="BP129" s="328"/>
      <c r="BQ129" s="328"/>
      <c r="BR129" s="47"/>
      <c r="BS129" s="127" t="n">
        <f aca="false">(AG129*AM129)+(AH129*AN129)+((AJ129*AM129)+(AK129*AN129)*1.25)</f>
        <v>0</v>
      </c>
      <c r="BT129" s="127" t="n">
        <f aca="false">(AG129*AP129)+(AH129*AQ129)+((AJ129*AP129)+(AK129*AQ129)*1.25)</f>
        <v>0</v>
      </c>
      <c r="BU129" s="329"/>
      <c r="BV129" s="129"/>
    </row>
    <row r="130" customFormat="false" ht="15" hidden="false" customHeight="false" outlineLevel="0" collapsed="false">
      <c r="A130" s="228"/>
      <c r="B130" s="229"/>
      <c r="C130" s="230"/>
      <c r="D130" s="231"/>
      <c r="E130" s="223" t="str">
        <f aca="false">IF(SUM(A130:D130)&gt;0,SUM(A130:D130),"")</f>
        <v/>
      </c>
      <c r="F130" s="224" t="str">
        <f aca="false">AD143</f>
        <v>CALABACÍN INVERNADERO</v>
      </c>
      <c r="G130" s="169"/>
      <c r="H130" s="169"/>
      <c r="I130" s="169"/>
      <c r="J130" s="169"/>
      <c r="K130" s="169"/>
      <c r="L130" s="169"/>
      <c r="M130" s="169"/>
      <c r="N130" s="169"/>
      <c r="O130" s="169"/>
      <c r="P130" s="169"/>
      <c r="Q130" s="169"/>
      <c r="R130" s="3"/>
      <c r="S130" s="3"/>
      <c r="T130" s="3"/>
      <c r="U130" s="3"/>
      <c r="V130" s="3"/>
      <c r="W130" s="3"/>
      <c r="X130" s="3"/>
      <c r="Y130" s="3"/>
      <c r="Z130" s="316" t="str">
        <f aca="false">IF(AF130&gt;0,RANK(AF130,AF$6:AF$422),"")</f>
        <v/>
      </c>
      <c r="AA130" s="134" t="n">
        <f aca="false">'O_MN, PE_UTA_UGM 2024'!N107</f>
        <v>4</v>
      </c>
      <c r="AB130" s="135" t="n">
        <f aca="false">'O_MN, PE_UTA_UGM 2024'!O107</f>
        <v>4</v>
      </c>
      <c r="AC130" s="317" t="n">
        <f aca="false">'O_MN, PE_UTA_UGM 2024'!C107</f>
        <v>158</v>
      </c>
      <c r="AD130" s="293" t="str">
        <f aca="false">IF(AB130=0,'O_MN, PE_UTA_UGM 2024'!F107,CONCATENATE('O_MN, PE_UTA_UGM 2024'!F107," ","INVERNADERO"))</f>
        <v>APIO INVERNADERO</v>
      </c>
      <c r="AE130" s="89"/>
      <c r="AF130" s="123" t="n">
        <f aca="false">SUM(AG130:AH130)+SUM(AJ130:AK130)</f>
        <v>0</v>
      </c>
      <c r="AG130" s="318" t="n">
        <f aca="false">A117</f>
        <v>0</v>
      </c>
      <c r="AH130" s="319" t="n">
        <f aca="false">B117</f>
        <v>0</v>
      </c>
      <c r="AI130" s="6"/>
      <c r="AJ130" s="320" t="n">
        <f aca="false">C117</f>
        <v>0</v>
      </c>
      <c r="AK130" s="320" t="n">
        <f aca="false">D117</f>
        <v>0</v>
      </c>
      <c r="AL130" s="237" t="s">
        <v>256</v>
      </c>
      <c r="AM130" s="299" t="n">
        <f aca="false">'O_MN, PE_UTA_UGM 2024'!J107</f>
        <v>0</v>
      </c>
      <c r="AN130" s="299" t="n">
        <f aca="false">'O_MN, PE_UTA_UGM 2024'!K107</f>
        <v>80000</v>
      </c>
      <c r="AO130" s="300"/>
      <c r="AP130" s="299" t="n">
        <f aca="false">'O_MN, PE_UTA_UGM 2024'!H107</f>
        <v>0</v>
      </c>
      <c r="AQ130" s="299" t="n">
        <f aca="false">'O_MN, PE_UTA_UGM 2024'!I107</f>
        <v>36060.73</v>
      </c>
      <c r="AR130" s="301"/>
      <c r="AS130" s="302" t="n">
        <f aca="false">'O_MN, PE_UTA_UGM 2024'!L107</f>
        <v>0</v>
      </c>
      <c r="AT130" s="302" t="n">
        <f aca="false">'O_MN, PE_UTA_UGM 2024'!M107</f>
        <v>1.46978</v>
      </c>
      <c r="AU130" s="45"/>
      <c r="AV130" s="321" t="n">
        <f aca="false">AG130*AM130</f>
        <v>0</v>
      </c>
      <c r="AW130" s="319" t="n">
        <f aca="false">AH130*AN130</f>
        <v>0</v>
      </c>
      <c r="AX130" s="320" t="n">
        <f aca="false">1.25*AJ130*AM130</f>
        <v>0</v>
      </c>
      <c r="AY130" s="322" t="n">
        <f aca="false">1.25*AK130*AN130</f>
        <v>0</v>
      </c>
      <c r="AZ130" s="323" t="n">
        <f aca="false">AG130*AP130</f>
        <v>0</v>
      </c>
      <c r="BA130" s="319" t="n">
        <f aca="false">AH130*AQ130</f>
        <v>0</v>
      </c>
      <c r="BB130" s="320" t="n">
        <f aca="false">1.25*AJ130*AP130</f>
        <v>0</v>
      </c>
      <c r="BC130" s="320" t="n">
        <f aca="false">1.25*AK130*AQ130</f>
        <v>0</v>
      </c>
      <c r="BD130" s="321" t="n">
        <f aca="false">AG130*AS130</f>
        <v>0</v>
      </c>
      <c r="BE130" s="319" t="n">
        <f aca="false">AH130*AT130</f>
        <v>0</v>
      </c>
      <c r="BF130" s="320" t="n">
        <f aca="false">AJ130*AS130</f>
        <v>0</v>
      </c>
      <c r="BG130" s="322" t="n">
        <f aca="false">AK130*AT130</f>
        <v>0</v>
      </c>
      <c r="BH130" s="324" t="str">
        <f aca="false">IF(BH$24=$AA130,($AG130*$AM130)+($AJ130*$AM130*1.25)+($AH130*$AN130)+($AK130*$AN130*1.25),"")</f>
        <v/>
      </c>
      <c r="BI130" s="325" t="str">
        <f aca="false">IF(BI$24=$AA130,($AG130*$AM130)+($AJ130*$AM130*1.25)+($AH130*$AN130)+($AK130*$AN130*1.25),"")</f>
        <v/>
      </c>
      <c r="BJ130" s="325" t="str">
        <f aca="false">IF(BJ$24=$AA130,($AG130*$AM130)+($AJ130*$AM130*1.25)+($AH130*$AN130)+($AK130*$AN130*1.25),"")</f>
        <v/>
      </c>
      <c r="BK130" s="325" t="n">
        <f aca="false">IF(BK$24=$AA130,($AG130*$AM130)+($AJ130*$AM130*1.25)+($AH130*$AN130)+($AK130*$AN130*1.25),"")</f>
        <v>0</v>
      </c>
      <c r="BL130" s="326" t="str">
        <f aca="false">IF(BL$24=$AA130,($AG130*$AM130)+($AJ130*$AM130*1.25)+($AH130*$AN130)+($AK130*$AN130*1.25),"")</f>
        <v/>
      </c>
      <c r="BM130" s="327" t="str">
        <f aca="false">IF(CONCATENATE(BH130,BI130,BJ130,BK130,BL130)="",1,"")</f>
        <v/>
      </c>
      <c r="BN130" s="328"/>
      <c r="BO130" s="328"/>
      <c r="BP130" s="328"/>
      <c r="BQ130" s="328"/>
      <c r="BR130" s="47"/>
      <c r="BS130" s="127" t="n">
        <f aca="false">(AG130*AM130)+(AH130*AN130)+((AJ130*AM130)+(AK130*AN130)*1.25)</f>
        <v>0</v>
      </c>
      <c r="BT130" s="127" t="n">
        <f aca="false">(AG130*AP130)+(AH130*AQ130)+((AJ130*AP130)+(AK130*AQ130)*1.25)</f>
        <v>0</v>
      </c>
      <c r="BU130" s="329"/>
      <c r="BV130" s="129"/>
    </row>
    <row r="131" customFormat="false" ht="15" hidden="false" customHeight="false" outlineLevel="0" collapsed="false">
      <c r="A131" s="228"/>
      <c r="B131" s="229"/>
      <c r="C131" s="230"/>
      <c r="D131" s="231"/>
      <c r="E131" s="223" t="str">
        <f aca="false">IF(SUM(A131:D131)&gt;0,SUM(A131:D131),"")</f>
        <v/>
      </c>
      <c r="F131" s="224" t="str">
        <f aca="false">AD144</f>
        <v>ALCACHOFA</v>
      </c>
      <c r="G131" s="169"/>
      <c r="H131" s="169"/>
      <c r="I131" s="169"/>
      <c r="J131" s="169"/>
      <c r="K131" s="169"/>
      <c r="L131" s="169"/>
      <c r="M131" s="169"/>
      <c r="N131" s="169"/>
      <c r="O131" s="169"/>
      <c r="P131" s="169"/>
      <c r="Q131" s="169"/>
      <c r="R131" s="3"/>
      <c r="S131" s="3"/>
      <c r="T131" s="3"/>
      <c r="U131" s="3"/>
      <c r="V131" s="3"/>
      <c r="W131" s="3"/>
      <c r="X131" s="3"/>
      <c r="Y131" s="3"/>
      <c r="Z131" s="316" t="str">
        <f aca="false">IF(AF131&gt;0,RANK(AF131,AF$6:AF$422),"")</f>
        <v/>
      </c>
      <c r="AA131" s="134" t="n">
        <f aca="false">'O_MN, PE_UTA_UGM 2024'!N108</f>
        <v>4</v>
      </c>
      <c r="AB131" s="135" t="n">
        <f aca="false">'O_MN, PE_UTA_UGM 2024'!O108</f>
        <v>19</v>
      </c>
      <c r="AC131" s="317" t="n">
        <f aca="false">'O_MN, PE_UTA_UGM 2024'!C108</f>
        <v>158</v>
      </c>
      <c r="AD131" s="293" t="str">
        <f aca="false">IF(AB131=0,'O_MN, PE_UTA_UGM 2024'!F108,CONCATENATE('O_MN, PE_UTA_UGM 2024'!F108," ","INVERNADERO"))</f>
        <v>APIO INVERNADERO</v>
      </c>
      <c r="AE131" s="89"/>
      <c r="AF131" s="123" t="n">
        <f aca="false">SUM(AG131:AH131)+SUM(AJ131:AK131)</f>
        <v>0</v>
      </c>
      <c r="AG131" s="318" t="n">
        <f aca="false">A118</f>
        <v>0</v>
      </c>
      <c r="AH131" s="319" t="n">
        <f aca="false">B118</f>
        <v>0</v>
      </c>
      <c r="AI131" s="6"/>
      <c r="AJ131" s="320" t="n">
        <f aca="false">C118</f>
        <v>0</v>
      </c>
      <c r="AK131" s="320" t="n">
        <f aca="false">D118</f>
        <v>0</v>
      </c>
      <c r="AL131" s="237" t="s">
        <v>257</v>
      </c>
      <c r="AM131" s="299" t="n">
        <f aca="false">'O_MN, PE_UTA_UGM 2024'!J108</f>
        <v>0</v>
      </c>
      <c r="AN131" s="299" t="n">
        <f aca="false">'O_MN, PE_UTA_UGM 2024'!K108</f>
        <v>80000</v>
      </c>
      <c r="AO131" s="300"/>
      <c r="AP131" s="299" t="n">
        <f aca="false">'O_MN, PE_UTA_UGM 2024'!H108</f>
        <v>0</v>
      </c>
      <c r="AQ131" s="299" t="n">
        <f aca="false">'O_MN, PE_UTA_UGM 2024'!I108</f>
        <v>36060.73</v>
      </c>
      <c r="AR131" s="301"/>
      <c r="AS131" s="302" t="n">
        <f aca="false">'O_MN, PE_UTA_UGM 2024'!L108</f>
        <v>0</v>
      </c>
      <c r="AT131" s="302" t="n">
        <f aca="false">'O_MN, PE_UTA_UGM 2024'!M108</f>
        <v>1.46978</v>
      </c>
      <c r="AU131" s="45"/>
      <c r="AV131" s="321" t="n">
        <f aca="false">AG131*AM131</f>
        <v>0</v>
      </c>
      <c r="AW131" s="319" t="n">
        <f aca="false">AH131*AN131</f>
        <v>0</v>
      </c>
      <c r="AX131" s="320" t="n">
        <f aca="false">1.25*AJ131*AM131</f>
        <v>0</v>
      </c>
      <c r="AY131" s="322" t="n">
        <f aca="false">1.25*AK131*AN131</f>
        <v>0</v>
      </c>
      <c r="AZ131" s="323" t="n">
        <f aca="false">AG131*AP131</f>
        <v>0</v>
      </c>
      <c r="BA131" s="319" t="n">
        <f aca="false">AH131*AQ131</f>
        <v>0</v>
      </c>
      <c r="BB131" s="320" t="n">
        <f aca="false">1.25*AJ131*AP131</f>
        <v>0</v>
      </c>
      <c r="BC131" s="320" t="n">
        <f aca="false">1.25*AK131*AQ131</f>
        <v>0</v>
      </c>
      <c r="BD131" s="321" t="n">
        <f aca="false">AG131*AS131</f>
        <v>0</v>
      </c>
      <c r="BE131" s="319" t="n">
        <f aca="false">AH131*AT131</f>
        <v>0</v>
      </c>
      <c r="BF131" s="320" t="n">
        <f aca="false">AJ131*AS131</f>
        <v>0</v>
      </c>
      <c r="BG131" s="322" t="n">
        <f aca="false">AK131*AT131</f>
        <v>0</v>
      </c>
      <c r="BH131" s="324" t="str">
        <f aca="false">IF(BH$24=$AA131,($AG131*$AM131)+($AJ131*$AM131*1.25)+($AH131*$AN131)+($AK131*$AN131*1.25),"")</f>
        <v/>
      </c>
      <c r="BI131" s="325" t="str">
        <f aca="false">IF(BI$24=$AA131,($AG131*$AM131)+($AJ131*$AM131*1.25)+($AH131*$AN131)+($AK131*$AN131*1.25),"")</f>
        <v/>
      </c>
      <c r="BJ131" s="325" t="str">
        <f aca="false">IF(BJ$24=$AA131,($AG131*$AM131)+($AJ131*$AM131*1.25)+($AH131*$AN131)+($AK131*$AN131*1.25),"")</f>
        <v/>
      </c>
      <c r="BK131" s="325" t="n">
        <f aca="false">IF(BK$24=$AA131,($AG131*$AM131)+($AJ131*$AM131*1.25)+($AH131*$AN131)+($AK131*$AN131*1.25),"")</f>
        <v>0</v>
      </c>
      <c r="BL131" s="326" t="str">
        <f aca="false">IF(BL$24=$AA131,($AG131*$AM131)+($AJ131*$AM131*1.25)+($AH131*$AN131)+($AK131*$AN131*1.25),"")</f>
        <v/>
      </c>
      <c r="BM131" s="327" t="str">
        <f aca="false">IF(CONCATENATE(BH131,BI131,BJ131,BK131,BL131)="",1,"")</f>
        <v/>
      </c>
      <c r="BN131" s="328"/>
      <c r="BO131" s="328"/>
      <c r="BP131" s="328"/>
      <c r="BQ131" s="328"/>
      <c r="BR131" s="47"/>
      <c r="BS131" s="127" t="n">
        <f aca="false">(AG131*AM131)+(AH131*AN131)+((AJ131*AM131)+(AK131*AN131)*1.25)</f>
        <v>0</v>
      </c>
      <c r="BT131" s="127" t="n">
        <f aca="false">(AG131*AP131)+(AH131*AQ131)+((AJ131*AP131)+(AK131*AQ131)*1.25)</f>
        <v>0</v>
      </c>
      <c r="BU131" s="329"/>
      <c r="BV131" s="129"/>
    </row>
    <row r="132" customFormat="false" ht="15" hidden="false" customHeight="false" outlineLevel="0" collapsed="false">
      <c r="A132" s="228"/>
      <c r="B132" s="229"/>
      <c r="C132" s="230"/>
      <c r="D132" s="231"/>
      <c r="E132" s="223" t="str">
        <f aca="false">IF(SUM(A132:D132)&gt;0,SUM(A132:D132),"")</f>
        <v/>
      </c>
      <c r="F132" s="224" t="str">
        <f aca="false">AD145</f>
        <v>ALCACHOFA INVERNADERO</v>
      </c>
      <c r="G132" s="169"/>
      <c r="H132" s="169"/>
      <c r="I132" s="169"/>
      <c r="J132" s="169"/>
      <c r="K132" s="169"/>
      <c r="L132" s="169"/>
      <c r="M132" s="169"/>
      <c r="N132" s="169"/>
      <c r="O132" s="169"/>
      <c r="P132" s="169"/>
      <c r="Q132" s="169"/>
      <c r="R132" s="3"/>
      <c r="S132" s="3"/>
      <c r="T132" s="3"/>
      <c r="U132" s="3"/>
      <c r="V132" s="3"/>
      <c r="W132" s="3"/>
      <c r="X132" s="3"/>
      <c r="Y132" s="3"/>
      <c r="Z132" s="316" t="str">
        <f aca="false">IF(AF132&gt;0,RANK(AF132,AF$6:AF$422),"")</f>
        <v/>
      </c>
      <c r="AA132" s="134" t="n">
        <f aca="false">'O_MN, PE_UTA_UGM 2024'!N109</f>
        <v>4</v>
      </c>
      <c r="AB132" s="135" t="n">
        <f aca="false">'O_MN, PE_UTA_UGM 2024'!O109</f>
        <v>0</v>
      </c>
      <c r="AC132" s="317" t="n">
        <f aca="false">'O_MN, PE_UTA_UGM 2024'!C109</f>
        <v>159</v>
      </c>
      <c r="AD132" s="293" t="str">
        <f aca="false">IF(AB132=0,'O_MN, PE_UTA_UGM 2024'!F109,CONCATENATE('O_MN, PE_UTA_UGM 2024'!F109," ","INVERNADERO"))</f>
        <v>COLIRRÁBANO</v>
      </c>
      <c r="AE132" s="89"/>
      <c r="AF132" s="123" t="n">
        <f aca="false">SUM(AG132:AH132)+SUM(AJ132:AK132)</f>
        <v>0</v>
      </c>
      <c r="AG132" s="318" t="n">
        <f aca="false">A119</f>
        <v>0</v>
      </c>
      <c r="AH132" s="319" t="n">
        <f aca="false">B119</f>
        <v>0</v>
      </c>
      <c r="AI132" s="6"/>
      <c r="AJ132" s="320" t="n">
        <f aca="false">C119</f>
        <v>0</v>
      </c>
      <c r="AK132" s="320" t="n">
        <f aca="false">D119</f>
        <v>0</v>
      </c>
      <c r="AL132" s="237" t="s">
        <v>258</v>
      </c>
      <c r="AM132" s="299" t="n">
        <f aca="false">'O_MN, PE_UTA_UGM 2024'!J109</f>
        <v>575</v>
      </c>
      <c r="AN132" s="299" t="n">
        <f aca="false">'O_MN, PE_UTA_UGM 2024'!K109</f>
        <v>5200</v>
      </c>
      <c r="AO132" s="300"/>
      <c r="AP132" s="299" t="n">
        <f aca="false">'O_MN, PE_UTA_UGM 2024'!H109</f>
        <v>360.61</v>
      </c>
      <c r="AQ132" s="299" t="n">
        <f aca="false">'O_MN, PE_UTA_UGM 2024'!I109</f>
        <v>1352.28</v>
      </c>
      <c r="AR132" s="301"/>
      <c r="AS132" s="302" t="n">
        <f aca="false">'O_MN, PE_UTA_UGM 2024'!L109</f>
        <v>0.0147</v>
      </c>
      <c r="AT132" s="302" t="n">
        <f aca="false">'O_MN, PE_UTA_UGM 2024'!M109</f>
        <v>0.05512</v>
      </c>
      <c r="AU132" s="45"/>
      <c r="AV132" s="321" t="n">
        <f aca="false">AG132*AM132</f>
        <v>0</v>
      </c>
      <c r="AW132" s="319" t="n">
        <f aca="false">AH132*AN132</f>
        <v>0</v>
      </c>
      <c r="AX132" s="320" t="n">
        <f aca="false">1.25*AJ132*AM132</f>
        <v>0</v>
      </c>
      <c r="AY132" s="322" t="n">
        <f aca="false">1.25*AK132*AN132</f>
        <v>0</v>
      </c>
      <c r="AZ132" s="323" t="n">
        <f aca="false">AG132*AP132</f>
        <v>0</v>
      </c>
      <c r="BA132" s="319" t="n">
        <f aca="false">AH132*AQ132</f>
        <v>0</v>
      </c>
      <c r="BB132" s="320" t="n">
        <f aca="false">1.25*AJ132*AP132</f>
        <v>0</v>
      </c>
      <c r="BC132" s="320" t="n">
        <f aca="false">1.25*AK132*AQ132</f>
        <v>0</v>
      </c>
      <c r="BD132" s="321" t="n">
        <f aca="false">AG132*AS132</f>
        <v>0</v>
      </c>
      <c r="BE132" s="319" t="n">
        <f aca="false">AH132*AT132</f>
        <v>0</v>
      </c>
      <c r="BF132" s="320" t="n">
        <f aca="false">AJ132*AS132</f>
        <v>0</v>
      </c>
      <c r="BG132" s="322" t="n">
        <f aca="false">AK132*AT132</f>
        <v>0</v>
      </c>
      <c r="BH132" s="324" t="str">
        <f aca="false">IF(BH$24=$AA132,($AG132*$AM132)+($AJ132*$AM132*1.25)+($AH132*$AN132)+($AK132*$AN132*1.25),"")</f>
        <v/>
      </c>
      <c r="BI132" s="325" t="str">
        <f aca="false">IF(BI$24=$AA132,($AG132*$AM132)+($AJ132*$AM132*1.25)+($AH132*$AN132)+($AK132*$AN132*1.25),"")</f>
        <v/>
      </c>
      <c r="BJ132" s="325" t="str">
        <f aca="false">IF(BJ$24=$AA132,($AG132*$AM132)+($AJ132*$AM132*1.25)+($AH132*$AN132)+($AK132*$AN132*1.25),"")</f>
        <v/>
      </c>
      <c r="BK132" s="325" t="n">
        <f aca="false">IF(BK$24=$AA132,($AG132*$AM132)+($AJ132*$AM132*1.25)+($AH132*$AN132)+($AK132*$AN132*1.25),"")</f>
        <v>0</v>
      </c>
      <c r="BL132" s="326" t="str">
        <f aca="false">IF(BL$24=$AA132,($AG132*$AM132)+($AJ132*$AM132*1.25)+($AH132*$AN132)+($AK132*$AN132*1.25),"")</f>
        <v/>
      </c>
      <c r="BM132" s="327" t="str">
        <f aca="false">IF(CONCATENATE(BH132,BI132,BJ132,BK132,BL132)="",1,"")</f>
        <v/>
      </c>
      <c r="BN132" s="328"/>
      <c r="BO132" s="328"/>
      <c r="BP132" s="328"/>
      <c r="BQ132" s="328"/>
      <c r="BR132" s="47"/>
      <c r="BS132" s="127" t="n">
        <f aca="false">(AG132*AM132)+(AH132*AN132)+((AJ132*AM132)+(AK132*AN132)*1.25)</f>
        <v>0</v>
      </c>
      <c r="BT132" s="127" t="n">
        <f aca="false">(AG132*AP132)+(AH132*AQ132)+((AJ132*AP132)+(AK132*AQ132)*1.25)</f>
        <v>0</v>
      </c>
      <c r="BU132" s="329"/>
      <c r="BV132" s="129"/>
    </row>
    <row r="133" customFormat="false" ht="15" hidden="false" customHeight="false" outlineLevel="0" collapsed="false">
      <c r="A133" s="228"/>
      <c r="B133" s="229"/>
      <c r="C133" s="230"/>
      <c r="D133" s="231"/>
      <c r="E133" s="223" t="str">
        <f aca="false">IF(SUM(A133:D133)&gt;0,SUM(A133:D133),"")</f>
        <v/>
      </c>
      <c r="F133" s="224" t="str">
        <f aca="false">AD146</f>
        <v>ALCACHOFA INVERNADERO</v>
      </c>
      <c r="G133" s="169"/>
      <c r="H133" s="169"/>
      <c r="I133" s="169"/>
      <c r="J133" s="169"/>
      <c r="K133" s="169"/>
      <c r="L133" s="169"/>
      <c r="M133" s="169"/>
      <c r="N133" s="169"/>
      <c r="O133" s="169"/>
      <c r="P133" s="169"/>
      <c r="Q133" s="169"/>
      <c r="R133" s="3"/>
      <c r="S133" s="3"/>
      <c r="T133" s="3"/>
      <c r="U133" s="3"/>
      <c r="V133" s="3"/>
      <c r="W133" s="3"/>
      <c r="X133" s="3"/>
      <c r="Y133" s="3"/>
      <c r="Z133" s="316" t="str">
        <f aca="false">IF(AF133&gt;0,RANK(AF133,AF$6:AF$422),"")</f>
        <v/>
      </c>
      <c r="AA133" s="134" t="n">
        <f aca="false">'O_MN, PE_UTA_UGM 2024'!N110</f>
        <v>4</v>
      </c>
      <c r="AB133" s="135" t="n">
        <f aca="false">'O_MN, PE_UTA_UGM 2024'!O110</f>
        <v>4</v>
      </c>
      <c r="AC133" s="317" t="n">
        <f aca="false">'O_MN, PE_UTA_UGM 2024'!C110</f>
        <v>159</v>
      </c>
      <c r="AD133" s="293" t="str">
        <f aca="false">IF(AB133=0,'O_MN, PE_UTA_UGM 2024'!F110,CONCATENATE('O_MN, PE_UTA_UGM 2024'!F110," ","INVERNADERO"))</f>
        <v>COLIRRÁBANO INVERNADERO</v>
      </c>
      <c r="AE133" s="89"/>
      <c r="AF133" s="123" t="n">
        <f aca="false">SUM(AG133:AH133)+SUM(AJ133:AK133)</f>
        <v>0</v>
      </c>
      <c r="AG133" s="318" t="n">
        <f aca="false">A120</f>
        <v>0</v>
      </c>
      <c r="AH133" s="319" t="n">
        <f aca="false">B120</f>
        <v>0</v>
      </c>
      <c r="AI133" s="6"/>
      <c r="AJ133" s="320" t="n">
        <f aca="false">C120</f>
        <v>0</v>
      </c>
      <c r="AK133" s="320" t="n">
        <f aca="false">D120</f>
        <v>0</v>
      </c>
      <c r="AL133" s="237" t="s">
        <v>259</v>
      </c>
      <c r="AM133" s="299" t="n">
        <f aca="false">'O_MN, PE_UTA_UGM 2024'!J110</f>
        <v>0</v>
      </c>
      <c r="AN133" s="299" t="n">
        <f aca="false">'O_MN, PE_UTA_UGM 2024'!K110</f>
        <v>80000</v>
      </c>
      <c r="AO133" s="300"/>
      <c r="AP133" s="299" t="n">
        <f aca="false">'O_MN, PE_UTA_UGM 2024'!H110</f>
        <v>0</v>
      </c>
      <c r="AQ133" s="299" t="n">
        <f aca="false">'O_MN, PE_UTA_UGM 2024'!I110</f>
        <v>36060.73</v>
      </c>
      <c r="AR133" s="301"/>
      <c r="AS133" s="302" t="n">
        <f aca="false">'O_MN, PE_UTA_UGM 2024'!L110</f>
        <v>0</v>
      </c>
      <c r="AT133" s="302" t="n">
        <f aca="false">'O_MN, PE_UTA_UGM 2024'!M110</f>
        <v>1.46978</v>
      </c>
      <c r="AU133" s="45"/>
      <c r="AV133" s="321" t="n">
        <f aca="false">AG133*AM133</f>
        <v>0</v>
      </c>
      <c r="AW133" s="319" t="n">
        <f aca="false">AH133*AN133</f>
        <v>0</v>
      </c>
      <c r="AX133" s="320" t="n">
        <f aca="false">1.25*AJ133*AM133</f>
        <v>0</v>
      </c>
      <c r="AY133" s="322" t="n">
        <f aca="false">1.25*AK133*AN133</f>
        <v>0</v>
      </c>
      <c r="AZ133" s="323" t="n">
        <f aca="false">AG133*AP133</f>
        <v>0</v>
      </c>
      <c r="BA133" s="319" t="n">
        <f aca="false">AH133*AQ133</f>
        <v>0</v>
      </c>
      <c r="BB133" s="320" t="n">
        <f aca="false">1.25*AJ133*AP133</f>
        <v>0</v>
      </c>
      <c r="BC133" s="320" t="n">
        <f aca="false">1.25*AK133*AQ133</f>
        <v>0</v>
      </c>
      <c r="BD133" s="321" t="n">
        <f aca="false">AG133*AS133</f>
        <v>0</v>
      </c>
      <c r="BE133" s="319" t="n">
        <f aca="false">AH133*AT133</f>
        <v>0</v>
      </c>
      <c r="BF133" s="320" t="n">
        <f aca="false">AJ133*AS133</f>
        <v>0</v>
      </c>
      <c r="BG133" s="322" t="n">
        <f aca="false">AK133*AT133</f>
        <v>0</v>
      </c>
      <c r="BH133" s="324" t="str">
        <f aca="false">IF(BH$24=$AA133,($AG133*$AM133)+($AJ133*$AM133*1.25)+($AH133*$AN133)+($AK133*$AN133*1.25),"")</f>
        <v/>
      </c>
      <c r="BI133" s="325" t="str">
        <f aca="false">IF(BI$24=$AA133,($AG133*$AM133)+($AJ133*$AM133*1.25)+($AH133*$AN133)+($AK133*$AN133*1.25),"")</f>
        <v/>
      </c>
      <c r="BJ133" s="325" t="str">
        <f aca="false">IF(BJ$24=$AA133,($AG133*$AM133)+($AJ133*$AM133*1.25)+($AH133*$AN133)+($AK133*$AN133*1.25),"")</f>
        <v/>
      </c>
      <c r="BK133" s="325" t="n">
        <f aca="false">IF(BK$24=$AA133,($AG133*$AM133)+($AJ133*$AM133*1.25)+($AH133*$AN133)+($AK133*$AN133*1.25),"")</f>
        <v>0</v>
      </c>
      <c r="BL133" s="326" t="str">
        <f aca="false">IF(BL$24=$AA133,($AG133*$AM133)+($AJ133*$AM133*1.25)+($AH133*$AN133)+($AK133*$AN133*1.25),"")</f>
        <v/>
      </c>
      <c r="BM133" s="327" t="str">
        <f aca="false">IF(CONCATENATE(BH133,BI133,BJ133,BK133,BL133)="",1,"")</f>
        <v/>
      </c>
      <c r="BN133" s="328"/>
      <c r="BO133" s="328"/>
      <c r="BP133" s="328"/>
      <c r="BQ133" s="328"/>
      <c r="BR133" s="47"/>
      <c r="BS133" s="127" t="n">
        <f aca="false">(AG133*AM133)+(AH133*AN133)+((AJ133*AM133)+(AK133*AN133)*1.25)</f>
        <v>0</v>
      </c>
      <c r="BT133" s="127" t="n">
        <f aca="false">(AG133*AP133)+(AH133*AQ133)+((AJ133*AP133)+(AK133*AQ133)*1.25)</f>
        <v>0</v>
      </c>
      <c r="BU133" s="329"/>
      <c r="BV133" s="129"/>
    </row>
    <row r="134" customFormat="false" ht="15" hidden="false" customHeight="false" outlineLevel="0" collapsed="false">
      <c r="A134" s="228"/>
      <c r="B134" s="229"/>
      <c r="C134" s="230"/>
      <c r="D134" s="231"/>
      <c r="E134" s="223" t="str">
        <f aca="false">IF(SUM(A134:D134)&gt;0,SUM(A134:D134),"")</f>
        <v/>
      </c>
      <c r="F134" s="224" t="str">
        <f aca="false">AD147</f>
        <v>PEPINO</v>
      </c>
      <c r="G134" s="169"/>
      <c r="H134" s="169"/>
      <c r="I134" s="169"/>
      <c r="J134" s="169"/>
      <c r="K134" s="169"/>
      <c r="L134" s="169"/>
      <c r="M134" s="169"/>
      <c r="N134" s="169"/>
      <c r="O134" s="169"/>
      <c r="P134" s="169"/>
      <c r="Q134" s="169"/>
      <c r="R134" s="3"/>
      <c r="S134" s="3"/>
      <c r="T134" s="3"/>
      <c r="U134" s="3"/>
      <c r="V134" s="3"/>
      <c r="W134" s="3"/>
      <c r="X134" s="3"/>
      <c r="Y134" s="3"/>
      <c r="Z134" s="316" t="str">
        <f aca="false">IF(AF134&gt;0,RANK(AF134,AF$6:AF$422),"")</f>
        <v/>
      </c>
      <c r="AA134" s="134" t="n">
        <f aca="false">'O_MN, PE_UTA_UGM 2024'!N111</f>
        <v>4</v>
      </c>
      <c r="AB134" s="135" t="n">
        <f aca="false">'O_MN, PE_UTA_UGM 2024'!O111</f>
        <v>19</v>
      </c>
      <c r="AC134" s="317" t="n">
        <f aca="false">'O_MN, PE_UTA_UGM 2024'!C111</f>
        <v>159</v>
      </c>
      <c r="AD134" s="293" t="str">
        <f aca="false">IF(AB134=0,'O_MN, PE_UTA_UGM 2024'!F111,CONCATENATE('O_MN, PE_UTA_UGM 2024'!F111," ","INVERNADERO"))</f>
        <v>COLIRRÁBANO INVERNADERO</v>
      </c>
      <c r="AE134" s="89"/>
      <c r="AF134" s="123" t="n">
        <f aca="false">SUM(AG134:AH134)+SUM(AJ134:AK134)</f>
        <v>0</v>
      </c>
      <c r="AG134" s="318" t="n">
        <f aca="false">A121</f>
        <v>0</v>
      </c>
      <c r="AH134" s="319" t="n">
        <f aca="false">B121</f>
        <v>0</v>
      </c>
      <c r="AI134" s="6"/>
      <c r="AJ134" s="320" t="n">
        <f aca="false">C121</f>
        <v>0</v>
      </c>
      <c r="AK134" s="320" t="n">
        <f aca="false">D121</f>
        <v>0</v>
      </c>
      <c r="AL134" s="237" t="s">
        <v>260</v>
      </c>
      <c r="AM134" s="299" t="n">
        <f aca="false">'O_MN, PE_UTA_UGM 2024'!J111</f>
        <v>0</v>
      </c>
      <c r="AN134" s="299" t="n">
        <f aca="false">'O_MN, PE_UTA_UGM 2024'!K111</f>
        <v>80000</v>
      </c>
      <c r="AO134" s="300"/>
      <c r="AP134" s="299" t="n">
        <f aca="false">'O_MN, PE_UTA_UGM 2024'!H111</f>
        <v>0</v>
      </c>
      <c r="AQ134" s="299" t="n">
        <f aca="false">'O_MN, PE_UTA_UGM 2024'!I111</f>
        <v>36060.73</v>
      </c>
      <c r="AR134" s="301"/>
      <c r="AS134" s="302" t="n">
        <f aca="false">'O_MN, PE_UTA_UGM 2024'!L111</f>
        <v>0</v>
      </c>
      <c r="AT134" s="302" t="n">
        <f aca="false">'O_MN, PE_UTA_UGM 2024'!M111</f>
        <v>1.46978</v>
      </c>
      <c r="AU134" s="45"/>
      <c r="AV134" s="321" t="n">
        <f aca="false">AG134*AM134</f>
        <v>0</v>
      </c>
      <c r="AW134" s="319" t="n">
        <f aca="false">AH134*AN134</f>
        <v>0</v>
      </c>
      <c r="AX134" s="320" t="n">
        <f aca="false">1.25*AJ134*AM134</f>
        <v>0</v>
      </c>
      <c r="AY134" s="322" t="n">
        <f aca="false">1.25*AK134*AN134</f>
        <v>0</v>
      </c>
      <c r="AZ134" s="323" t="n">
        <f aca="false">AG134*AP134</f>
        <v>0</v>
      </c>
      <c r="BA134" s="319" t="n">
        <f aca="false">AH134*AQ134</f>
        <v>0</v>
      </c>
      <c r="BB134" s="320" t="n">
        <f aca="false">1.25*AJ134*AP134</f>
        <v>0</v>
      </c>
      <c r="BC134" s="320" t="n">
        <f aca="false">1.25*AK134*AQ134</f>
        <v>0</v>
      </c>
      <c r="BD134" s="321" t="n">
        <f aca="false">AG134*AS134</f>
        <v>0</v>
      </c>
      <c r="BE134" s="319" t="n">
        <f aca="false">AH134*AT134</f>
        <v>0</v>
      </c>
      <c r="BF134" s="320" t="n">
        <f aca="false">AJ134*AS134</f>
        <v>0</v>
      </c>
      <c r="BG134" s="322" t="n">
        <f aca="false">AK134*AT134</f>
        <v>0</v>
      </c>
      <c r="BH134" s="324" t="str">
        <f aca="false">IF(BH$24=$AA134,($AG134*$AM134)+($AJ134*$AM134*1.25)+($AH134*$AN134)+($AK134*$AN134*1.25),"")</f>
        <v/>
      </c>
      <c r="BI134" s="325" t="str">
        <f aca="false">IF(BI$24=$AA134,($AG134*$AM134)+($AJ134*$AM134*1.25)+($AH134*$AN134)+($AK134*$AN134*1.25),"")</f>
        <v/>
      </c>
      <c r="BJ134" s="325" t="str">
        <f aca="false">IF(BJ$24=$AA134,($AG134*$AM134)+($AJ134*$AM134*1.25)+($AH134*$AN134)+($AK134*$AN134*1.25),"")</f>
        <v/>
      </c>
      <c r="BK134" s="325" t="n">
        <f aca="false">IF(BK$24=$AA134,($AG134*$AM134)+($AJ134*$AM134*1.25)+($AH134*$AN134)+($AK134*$AN134*1.25),"")</f>
        <v>0</v>
      </c>
      <c r="BL134" s="326" t="str">
        <f aca="false">IF(BL$24=$AA134,($AG134*$AM134)+($AJ134*$AM134*1.25)+($AH134*$AN134)+($AK134*$AN134*1.25),"")</f>
        <v/>
      </c>
      <c r="BM134" s="327" t="str">
        <f aca="false">IF(CONCATENATE(BH134,BI134,BJ134,BK134,BL134)="",1,"")</f>
        <v/>
      </c>
      <c r="BN134" s="328"/>
      <c r="BO134" s="328"/>
      <c r="BP134" s="328"/>
      <c r="BQ134" s="328"/>
      <c r="BR134" s="47"/>
      <c r="BS134" s="127" t="n">
        <f aca="false">(AG134*AM134)+(AH134*AN134)+((AJ134*AM134)+(AK134*AN134)*1.25)</f>
        <v>0</v>
      </c>
      <c r="BT134" s="127" t="n">
        <f aca="false">(AG134*AP134)+(AH134*AQ134)+((AJ134*AP134)+(AK134*AQ134)*1.25)</f>
        <v>0</v>
      </c>
      <c r="BU134" s="329"/>
      <c r="BV134" s="129"/>
    </row>
    <row r="135" customFormat="false" ht="15" hidden="false" customHeight="false" outlineLevel="0" collapsed="false">
      <c r="A135" s="228"/>
      <c r="B135" s="229"/>
      <c r="C135" s="230"/>
      <c r="D135" s="231"/>
      <c r="E135" s="223" t="str">
        <f aca="false">IF(SUM(A135:D135)&gt;0,SUM(A135:D135),"")</f>
        <v/>
      </c>
      <c r="F135" s="224" t="str">
        <f aca="false">AD148</f>
        <v>PEPINO INVERNADERO</v>
      </c>
      <c r="G135" s="169"/>
      <c r="H135" s="169"/>
      <c r="I135" s="169"/>
      <c r="J135" s="169"/>
      <c r="K135" s="169"/>
      <c r="L135" s="169"/>
      <c r="M135" s="169"/>
      <c r="N135" s="169"/>
      <c r="O135" s="169"/>
      <c r="P135" s="169"/>
      <c r="Q135" s="169"/>
      <c r="R135" s="3"/>
      <c r="S135" s="3"/>
      <c r="T135" s="3"/>
      <c r="U135" s="3"/>
      <c r="V135" s="3"/>
      <c r="W135" s="3"/>
      <c r="X135" s="3"/>
      <c r="Y135" s="3"/>
      <c r="Z135" s="316" t="str">
        <f aca="false">IF(AF135&gt;0,RANK(AF135,AF$6:AF$422),"")</f>
        <v/>
      </c>
      <c r="AA135" s="134" t="n">
        <f aca="false">'O_MN, PE_UTA_UGM 2024'!N112</f>
        <v>4</v>
      </c>
      <c r="AB135" s="135" t="n">
        <f aca="false">'O_MN, PE_UTA_UGM 2024'!O112</f>
        <v>0</v>
      </c>
      <c r="AC135" s="317" t="n">
        <f aca="false">'O_MN, PE_UTA_UGM 2024'!C112</f>
        <v>160</v>
      </c>
      <c r="AD135" s="293" t="str">
        <f aca="false">IF(AB135=0,'O_MN, PE_UTA_UGM 2024'!F112,CONCATENATE('O_MN, PE_UTA_UGM 2024'!F112," ","INVERNADERO"))</f>
        <v>COLIFLOR</v>
      </c>
      <c r="AE135" s="89"/>
      <c r="AF135" s="123" t="n">
        <f aca="false">SUM(AG135:AH135)+SUM(AJ135:AK135)</f>
        <v>0</v>
      </c>
      <c r="AG135" s="318" t="n">
        <f aca="false">A122</f>
        <v>0</v>
      </c>
      <c r="AH135" s="319" t="n">
        <f aca="false">B122</f>
        <v>0</v>
      </c>
      <c r="AI135" s="6"/>
      <c r="AJ135" s="320" t="n">
        <f aca="false">C122</f>
        <v>0</v>
      </c>
      <c r="AK135" s="320" t="n">
        <f aca="false">D122</f>
        <v>0</v>
      </c>
      <c r="AL135" s="237" t="s">
        <v>261</v>
      </c>
      <c r="AM135" s="299" t="n">
        <f aca="false">'O_MN, PE_UTA_UGM 2024'!J112</f>
        <v>575</v>
      </c>
      <c r="AN135" s="299" t="n">
        <f aca="false">'O_MN, PE_UTA_UGM 2024'!K112</f>
        <v>5200</v>
      </c>
      <c r="AO135" s="300"/>
      <c r="AP135" s="299" t="n">
        <f aca="false">'O_MN, PE_UTA_UGM 2024'!H112</f>
        <v>360.61</v>
      </c>
      <c r="AQ135" s="299" t="n">
        <f aca="false">'O_MN, PE_UTA_UGM 2024'!I112</f>
        <v>1352.28</v>
      </c>
      <c r="AR135" s="301"/>
      <c r="AS135" s="302" t="n">
        <f aca="false">'O_MN, PE_UTA_UGM 2024'!L112</f>
        <v>0.0147</v>
      </c>
      <c r="AT135" s="302" t="n">
        <f aca="false">'O_MN, PE_UTA_UGM 2024'!M112</f>
        <v>0.05512</v>
      </c>
      <c r="AU135" s="45"/>
      <c r="AV135" s="321" t="n">
        <f aca="false">AG135*AM135</f>
        <v>0</v>
      </c>
      <c r="AW135" s="319" t="n">
        <f aca="false">AH135*AN135</f>
        <v>0</v>
      </c>
      <c r="AX135" s="320" t="n">
        <f aca="false">1.25*AJ135*AM135</f>
        <v>0</v>
      </c>
      <c r="AY135" s="322" t="n">
        <f aca="false">1.25*AK135*AN135</f>
        <v>0</v>
      </c>
      <c r="AZ135" s="323" t="n">
        <f aca="false">AG135*AP135</f>
        <v>0</v>
      </c>
      <c r="BA135" s="319" t="n">
        <f aca="false">AH135*AQ135</f>
        <v>0</v>
      </c>
      <c r="BB135" s="320" t="n">
        <f aca="false">1.25*AJ135*AP135</f>
        <v>0</v>
      </c>
      <c r="BC135" s="320" t="n">
        <f aca="false">1.25*AK135*AQ135</f>
        <v>0</v>
      </c>
      <c r="BD135" s="321" t="n">
        <f aca="false">AG135*AS135</f>
        <v>0</v>
      </c>
      <c r="BE135" s="319" t="n">
        <f aca="false">AH135*AT135</f>
        <v>0</v>
      </c>
      <c r="BF135" s="320" t="n">
        <f aca="false">AJ135*AS135</f>
        <v>0</v>
      </c>
      <c r="BG135" s="322" t="n">
        <f aca="false">AK135*AT135</f>
        <v>0</v>
      </c>
      <c r="BH135" s="324" t="str">
        <f aca="false">IF(BH$24=$AA135,($AG135*$AM135)+($AJ135*$AM135*1.25)+($AH135*$AN135)+($AK135*$AN135*1.25),"")</f>
        <v/>
      </c>
      <c r="BI135" s="325" t="str">
        <f aca="false">IF(BI$24=$AA135,($AG135*$AM135)+($AJ135*$AM135*1.25)+($AH135*$AN135)+($AK135*$AN135*1.25),"")</f>
        <v/>
      </c>
      <c r="BJ135" s="325" t="str">
        <f aca="false">IF(BJ$24=$AA135,($AG135*$AM135)+($AJ135*$AM135*1.25)+($AH135*$AN135)+($AK135*$AN135*1.25),"")</f>
        <v/>
      </c>
      <c r="BK135" s="325" t="n">
        <f aca="false">IF(BK$24=$AA135,($AG135*$AM135)+($AJ135*$AM135*1.25)+($AH135*$AN135)+($AK135*$AN135*1.25),"")</f>
        <v>0</v>
      </c>
      <c r="BL135" s="326" t="str">
        <f aca="false">IF(BL$24=$AA135,($AG135*$AM135)+($AJ135*$AM135*1.25)+($AH135*$AN135)+($AK135*$AN135*1.25),"")</f>
        <v/>
      </c>
      <c r="BM135" s="327" t="str">
        <f aca="false">IF(CONCATENATE(BH135,BI135,BJ135,BK135,BL135)="",1,"")</f>
        <v/>
      </c>
      <c r="BN135" s="328"/>
      <c r="BO135" s="328"/>
      <c r="BP135" s="328"/>
      <c r="BQ135" s="328"/>
      <c r="BR135" s="47"/>
      <c r="BS135" s="127" t="n">
        <f aca="false">(AG135*AM135)+(AH135*AN135)+((AJ135*AM135)+(AK135*AN135)*1.25)</f>
        <v>0</v>
      </c>
      <c r="BT135" s="127" t="n">
        <f aca="false">(AG135*AP135)+(AH135*AQ135)+((AJ135*AP135)+(AK135*AQ135)*1.25)</f>
        <v>0</v>
      </c>
      <c r="BU135" s="329"/>
      <c r="BV135" s="129"/>
    </row>
    <row r="136" customFormat="false" ht="15" hidden="false" customHeight="false" outlineLevel="0" collapsed="false">
      <c r="A136" s="228"/>
      <c r="B136" s="229"/>
      <c r="C136" s="230"/>
      <c r="D136" s="231"/>
      <c r="E136" s="223" t="str">
        <f aca="false">IF(SUM(A136:D136)&gt;0,SUM(A136:D136),"")</f>
        <v/>
      </c>
      <c r="F136" s="224" t="str">
        <f aca="false">AD149</f>
        <v>PEPINO INVERNADERO</v>
      </c>
      <c r="G136" s="169"/>
      <c r="H136" s="169"/>
      <c r="I136" s="169"/>
      <c r="J136" s="169"/>
      <c r="K136" s="169"/>
      <c r="L136" s="169"/>
      <c r="M136" s="169"/>
      <c r="N136" s="169"/>
      <c r="O136" s="169"/>
      <c r="P136" s="169"/>
      <c r="Q136" s="169"/>
      <c r="R136" s="3"/>
      <c r="S136" s="3"/>
      <c r="T136" s="3"/>
      <c r="U136" s="3"/>
      <c r="V136" s="3"/>
      <c r="W136" s="3"/>
      <c r="X136" s="3"/>
      <c r="Y136" s="3"/>
      <c r="Z136" s="316" t="str">
        <f aca="false">IF(AF136&gt;0,RANK(AF136,AF$6:AF$422),"")</f>
        <v/>
      </c>
      <c r="AA136" s="134" t="n">
        <f aca="false">'O_MN, PE_UTA_UGM 2024'!N113</f>
        <v>4</v>
      </c>
      <c r="AB136" s="135" t="n">
        <f aca="false">'O_MN, PE_UTA_UGM 2024'!O113</f>
        <v>4</v>
      </c>
      <c r="AC136" s="317" t="n">
        <f aca="false">'O_MN, PE_UTA_UGM 2024'!C113</f>
        <v>160</v>
      </c>
      <c r="AD136" s="293" t="str">
        <f aca="false">IF(AB136=0,'O_MN, PE_UTA_UGM 2024'!F113,CONCATENATE('O_MN, PE_UTA_UGM 2024'!F113," ","INVERNADERO"))</f>
        <v>COLIFLOR INVERNADERO</v>
      </c>
      <c r="AE136" s="89"/>
      <c r="AF136" s="123" t="n">
        <f aca="false">SUM(AG136:AH136)+SUM(AJ136:AK136)</f>
        <v>0</v>
      </c>
      <c r="AG136" s="318" t="n">
        <f aca="false">A123</f>
        <v>0</v>
      </c>
      <c r="AH136" s="319" t="n">
        <f aca="false">B123</f>
        <v>0</v>
      </c>
      <c r="AI136" s="6"/>
      <c r="AJ136" s="320" t="n">
        <f aca="false">C123</f>
        <v>0</v>
      </c>
      <c r="AK136" s="320" t="n">
        <f aca="false">D123</f>
        <v>0</v>
      </c>
      <c r="AL136" s="237" t="s">
        <v>262</v>
      </c>
      <c r="AM136" s="299" t="n">
        <f aca="false">'O_MN, PE_UTA_UGM 2024'!J113</f>
        <v>0</v>
      </c>
      <c r="AN136" s="299" t="n">
        <f aca="false">'O_MN, PE_UTA_UGM 2024'!K113</f>
        <v>80000</v>
      </c>
      <c r="AO136" s="300"/>
      <c r="AP136" s="299" t="n">
        <f aca="false">'O_MN, PE_UTA_UGM 2024'!H113</f>
        <v>0</v>
      </c>
      <c r="AQ136" s="299" t="n">
        <f aca="false">'O_MN, PE_UTA_UGM 2024'!I113</f>
        <v>36060.73</v>
      </c>
      <c r="AR136" s="301"/>
      <c r="AS136" s="302" t="n">
        <f aca="false">'O_MN, PE_UTA_UGM 2024'!L113</f>
        <v>0</v>
      </c>
      <c r="AT136" s="302" t="n">
        <f aca="false">'O_MN, PE_UTA_UGM 2024'!M113</f>
        <v>1.46978</v>
      </c>
      <c r="AU136" s="45"/>
      <c r="AV136" s="321" t="n">
        <f aca="false">AG136*AM136</f>
        <v>0</v>
      </c>
      <c r="AW136" s="319" t="n">
        <f aca="false">AH136*AN136</f>
        <v>0</v>
      </c>
      <c r="AX136" s="320" t="n">
        <f aca="false">1.25*AJ136*AM136</f>
        <v>0</v>
      </c>
      <c r="AY136" s="322" t="n">
        <f aca="false">1.25*AK136*AN136</f>
        <v>0</v>
      </c>
      <c r="AZ136" s="323" t="n">
        <f aca="false">AG136*AP136</f>
        <v>0</v>
      </c>
      <c r="BA136" s="319" t="n">
        <f aca="false">AH136*AQ136</f>
        <v>0</v>
      </c>
      <c r="BB136" s="320" t="n">
        <f aca="false">1.25*AJ136*AP136</f>
        <v>0</v>
      </c>
      <c r="BC136" s="320" t="n">
        <f aca="false">1.25*AK136*AQ136</f>
        <v>0</v>
      </c>
      <c r="BD136" s="321" t="n">
        <f aca="false">AG136*AS136</f>
        <v>0</v>
      </c>
      <c r="BE136" s="319" t="n">
        <f aca="false">AH136*AT136</f>
        <v>0</v>
      </c>
      <c r="BF136" s="320" t="n">
        <f aca="false">AJ136*AS136</f>
        <v>0</v>
      </c>
      <c r="BG136" s="322" t="n">
        <f aca="false">AK136*AT136</f>
        <v>0</v>
      </c>
      <c r="BH136" s="324" t="str">
        <f aca="false">IF(BH$24=$AA136,($AG136*$AM136)+($AJ136*$AM136*1.25)+($AH136*$AN136)+($AK136*$AN136*1.25),"")</f>
        <v/>
      </c>
      <c r="BI136" s="325" t="str">
        <f aca="false">IF(BI$24=$AA136,($AG136*$AM136)+($AJ136*$AM136*1.25)+($AH136*$AN136)+($AK136*$AN136*1.25),"")</f>
        <v/>
      </c>
      <c r="BJ136" s="325" t="str">
        <f aca="false">IF(BJ$24=$AA136,($AG136*$AM136)+($AJ136*$AM136*1.25)+($AH136*$AN136)+($AK136*$AN136*1.25),"")</f>
        <v/>
      </c>
      <c r="BK136" s="325" t="n">
        <f aca="false">IF(BK$24=$AA136,($AG136*$AM136)+($AJ136*$AM136*1.25)+($AH136*$AN136)+($AK136*$AN136*1.25),"")</f>
        <v>0</v>
      </c>
      <c r="BL136" s="326" t="str">
        <f aca="false">IF(BL$24=$AA136,($AG136*$AM136)+($AJ136*$AM136*1.25)+($AH136*$AN136)+($AK136*$AN136*1.25),"")</f>
        <v/>
      </c>
      <c r="BM136" s="327" t="str">
        <f aca="false">IF(CONCATENATE(BH136,BI136,BJ136,BK136,BL136)="",1,"")</f>
        <v/>
      </c>
      <c r="BN136" s="328"/>
      <c r="BO136" s="328"/>
      <c r="BP136" s="328"/>
      <c r="BQ136" s="328"/>
      <c r="BR136" s="47"/>
      <c r="BS136" s="127" t="n">
        <f aca="false">(AG136*AM136)+(AH136*AN136)+((AJ136*AM136)+(AK136*AN136)*1.25)</f>
        <v>0</v>
      </c>
      <c r="BT136" s="127" t="n">
        <f aca="false">(AG136*AP136)+(AH136*AQ136)+((AJ136*AP136)+(AK136*AQ136)*1.25)</f>
        <v>0</v>
      </c>
      <c r="BU136" s="329"/>
      <c r="BV136" s="129"/>
    </row>
    <row r="137" customFormat="false" ht="15" hidden="false" customHeight="false" outlineLevel="0" collapsed="false">
      <c r="A137" s="228"/>
      <c r="B137" s="229"/>
      <c r="C137" s="230"/>
      <c r="D137" s="231"/>
      <c r="E137" s="223" t="str">
        <f aca="false">IF(SUM(A137:D137)&gt;0,SUM(A137:D137),"")</f>
        <v/>
      </c>
      <c r="F137" s="224" t="str">
        <f aca="false">AD150</f>
        <v>ACELGA</v>
      </c>
      <c r="G137" s="169"/>
      <c r="H137" s="169"/>
      <c r="I137" s="169"/>
      <c r="J137" s="169"/>
      <c r="K137" s="169"/>
      <c r="L137" s="169"/>
      <c r="M137" s="169"/>
      <c r="N137" s="169"/>
      <c r="O137" s="169"/>
      <c r="P137" s="169"/>
      <c r="Q137" s="169"/>
      <c r="R137" s="3"/>
      <c r="S137" s="3"/>
      <c r="T137" s="3"/>
      <c r="U137" s="3"/>
      <c r="V137" s="3"/>
      <c r="W137" s="3"/>
      <c r="X137" s="3"/>
      <c r="Y137" s="3"/>
      <c r="Z137" s="316" t="str">
        <f aca="false">IF(AF137&gt;0,RANK(AF137,AF$6:AF$422),"")</f>
        <v/>
      </c>
      <c r="AA137" s="134" t="n">
        <f aca="false">'O_MN, PE_UTA_UGM 2024'!N114</f>
        <v>4</v>
      </c>
      <c r="AB137" s="135" t="n">
        <f aca="false">'O_MN, PE_UTA_UGM 2024'!O114</f>
        <v>19</v>
      </c>
      <c r="AC137" s="317" t="n">
        <f aca="false">'O_MN, PE_UTA_UGM 2024'!C114</f>
        <v>160</v>
      </c>
      <c r="AD137" s="293" t="str">
        <f aca="false">IF(AB137=0,'O_MN, PE_UTA_UGM 2024'!F114,CONCATENATE('O_MN, PE_UTA_UGM 2024'!F114," ","INVERNADERO"))</f>
        <v>COLIFLOR INVERNADERO</v>
      </c>
      <c r="AE137" s="89"/>
      <c r="AF137" s="123" t="n">
        <f aca="false">SUM(AG137:AH137)+SUM(AJ137:AK137)</f>
        <v>0</v>
      </c>
      <c r="AG137" s="318" t="n">
        <f aca="false">A124</f>
        <v>0</v>
      </c>
      <c r="AH137" s="319" t="n">
        <f aca="false">B124</f>
        <v>0</v>
      </c>
      <c r="AI137" s="6"/>
      <c r="AJ137" s="320" t="n">
        <f aca="false">C124</f>
        <v>0</v>
      </c>
      <c r="AK137" s="320" t="n">
        <f aca="false">D124</f>
        <v>0</v>
      </c>
      <c r="AL137" s="237" t="s">
        <v>263</v>
      </c>
      <c r="AM137" s="299" t="n">
        <f aca="false">'O_MN, PE_UTA_UGM 2024'!J114</f>
        <v>0</v>
      </c>
      <c r="AN137" s="299" t="n">
        <f aca="false">'O_MN, PE_UTA_UGM 2024'!K114</f>
        <v>80000</v>
      </c>
      <c r="AO137" s="300"/>
      <c r="AP137" s="299" t="n">
        <f aca="false">'O_MN, PE_UTA_UGM 2024'!H114</f>
        <v>0</v>
      </c>
      <c r="AQ137" s="299" t="n">
        <f aca="false">'O_MN, PE_UTA_UGM 2024'!I114</f>
        <v>36060.73</v>
      </c>
      <c r="AR137" s="301"/>
      <c r="AS137" s="302" t="n">
        <f aca="false">'O_MN, PE_UTA_UGM 2024'!L114</f>
        <v>0</v>
      </c>
      <c r="AT137" s="302" t="n">
        <f aca="false">'O_MN, PE_UTA_UGM 2024'!M114</f>
        <v>1.46978</v>
      </c>
      <c r="AU137" s="45"/>
      <c r="AV137" s="321" t="n">
        <f aca="false">AG137*AM137</f>
        <v>0</v>
      </c>
      <c r="AW137" s="319" t="n">
        <f aca="false">AH137*AN137</f>
        <v>0</v>
      </c>
      <c r="AX137" s="320" t="n">
        <f aca="false">1.25*AJ137*AM137</f>
        <v>0</v>
      </c>
      <c r="AY137" s="322" t="n">
        <f aca="false">1.25*AK137*AN137</f>
        <v>0</v>
      </c>
      <c r="AZ137" s="323" t="n">
        <f aca="false">AG137*AP137</f>
        <v>0</v>
      </c>
      <c r="BA137" s="319" t="n">
        <f aca="false">AH137*AQ137</f>
        <v>0</v>
      </c>
      <c r="BB137" s="320" t="n">
        <f aca="false">1.25*AJ137*AP137</f>
        <v>0</v>
      </c>
      <c r="BC137" s="320" t="n">
        <f aca="false">1.25*AK137*AQ137</f>
        <v>0</v>
      </c>
      <c r="BD137" s="321" t="n">
        <f aca="false">AG137*AS137</f>
        <v>0</v>
      </c>
      <c r="BE137" s="319" t="n">
        <f aca="false">AH137*AT137</f>
        <v>0</v>
      </c>
      <c r="BF137" s="320" t="n">
        <f aca="false">AJ137*AS137</f>
        <v>0</v>
      </c>
      <c r="BG137" s="322" t="n">
        <f aca="false">AK137*AT137</f>
        <v>0</v>
      </c>
      <c r="BH137" s="324" t="str">
        <f aca="false">IF(BH$24=$AA137,($AG137*$AM137)+($AJ137*$AM137*1.25)+($AH137*$AN137)+($AK137*$AN137*1.25),"")</f>
        <v/>
      </c>
      <c r="BI137" s="325" t="str">
        <f aca="false">IF(BI$24=$AA137,($AG137*$AM137)+($AJ137*$AM137*1.25)+($AH137*$AN137)+($AK137*$AN137*1.25),"")</f>
        <v/>
      </c>
      <c r="BJ137" s="325" t="str">
        <f aca="false">IF(BJ$24=$AA137,($AG137*$AM137)+($AJ137*$AM137*1.25)+($AH137*$AN137)+($AK137*$AN137*1.25),"")</f>
        <v/>
      </c>
      <c r="BK137" s="325" t="n">
        <f aca="false">IF(BK$24=$AA137,($AG137*$AM137)+($AJ137*$AM137*1.25)+($AH137*$AN137)+($AK137*$AN137*1.25),"")</f>
        <v>0</v>
      </c>
      <c r="BL137" s="326" t="str">
        <f aca="false">IF(BL$24=$AA137,($AG137*$AM137)+($AJ137*$AM137*1.25)+($AH137*$AN137)+($AK137*$AN137*1.25),"")</f>
        <v/>
      </c>
      <c r="BM137" s="327" t="str">
        <f aca="false">IF(CONCATENATE(BH137,BI137,BJ137,BK137,BL137)="",1,"")</f>
        <v/>
      </c>
      <c r="BN137" s="328"/>
      <c r="BO137" s="328"/>
      <c r="BP137" s="328"/>
      <c r="BQ137" s="328"/>
      <c r="BR137" s="47"/>
      <c r="BS137" s="127" t="n">
        <f aca="false">(AG137*AM137)+(AH137*AN137)+((AJ137*AM137)+(AK137*AN137)*1.25)</f>
        <v>0</v>
      </c>
      <c r="BT137" s="127" t="n">
        <f aca="false">(AG137*AP137)+(AH137*AQ137)+((AJ137*AP137)+(AK137*AQ137)*1.25)</f>
        <v>0</v>
      </c>
      <c r="BU137" s="329"/>
      <c r="BV137" s="129"/>
    </row>
    <row r="138" customFormat="false" ht="15" hidden="false" customHeight="false" outlineLevel="0" collapsed="false">
      <c r="A138" s="228"/>
      <c r="B138" s="229"/>
      <c r="C138" s="230"/>
      <c r="D138" s="231"/>
      <c r="E138" s="223" t="str">
        <f aca="false">IF(SUM(A138:D138)&gt;0,SUM(A138:D138),"")</f>
        <v/>
      </c>
      <c r="F138" s="224" t="str">
        <f aca="false">AD151</f>
        <v>ACELGA INVERNADERO</v>
      </c>
      <c r="G138" s="169"/>
      <c r="H138" s="169"/>
      <c r="I138" s="169"/>
      <c r="J138" s="169"/>
      <c r="K138" s="169"/>
      <c r="L138" s="169"/>
      <c r="M138" s="169"/>
      <c r="N138" s="169"/>
      <c r="O138" s="169"/>
      <c r="P138" s="169"/>
      <c r="Q138" s="169"/>
      <c r="R138" s="3"/>
      <c r="S138" s="3"/>
      <c r="T138" s="3"/>
      <c r="U138" s="3"/>
      <c r="V138" s="3"/>
      <c r="W138" s="3"/>
      <c r="X138" s="3"/>
      <c r="Y138" s="3"/>
      <c r="Z138" s="316" t="str">
        <f aca="false">IF(AF138&gt;0,RANK(AF138,AF$6:AF$422),"")</f>
        <v/>
      </c>
      <c r="AA138" s="134" t="n">
        <f aca="false">'O_MN, PE_UTA_UGM 2024'!N115</f>
        <v>4</v>
      </c>
      <c r="AB138" s="135" t="n">
        <f aca="false">'O_MN, PE_UTA_UGM 2024'!O115</f>
        <v>0</v>
      </c>
      <c r="AC138" s="317" t="n">
        <f aca="false">'O_MN, PE_UTA_UGM 2024'!C115</f>
        <v>162</v>
      </c>
      <c r="AD138" s="293" t="str">
        <f aca="false">IF(AB138=0,'O_MN, PE_UTA_UGM 2024'!F115,CONCATENATE('O_MN, PE_UTA_UGM 2024'!F115," ","INVERNADERO"))</f>
        <v>BERENJENA</v>
      </c>
      <c r="AE138" s="89"/>
      <c r="AF138" s="123" t="n">
        <f aca="false">SUM(AG138:AH138)+SUM(AJ138:AK138)</f>
        <v>0</v>
      </c>
      <c r="AG138" s="318" t="n">
        <f aca="false">A125</f>
        <v>0</v>
      </c>
      <c r="AH138" s="319" t="n">
        <f aca="false">B125</f>
        <v>0</v>
      </c>
      <c r="AI138" s="6"/>
      <c r="AJ138" s="320" t="n">
        <f aca="false">C125</f>
        <v>0</v>
      </c>
      <c r="AK138" s="320" t="n">
        <f aca="false">D125</f>
        <v>0</v>
      </c>
      <c r="AL138" s="237" t="s">
        <v>264</v>
      </c>
      <c r="AM138" s="299" t="n">
        <f aca="false">'O_MN, PE_UTA_UGM 2024'!J115</f>
        <v>575</v>
      </c>
      <c r="AN138" s="299" t="n">
        <f aca="false">'O_MN, PE_UTA_UGM 2024'!K115</f>
        <v>7200</v>
      </c>
      <c r="AO138" s="300"/>
      <c r="AP138" s="299" t="n">
        <f aca="false">'O_MN, PE_UTA_UGM 2024'!H115</f>
        <v>360.61</v>
      </c>
      <c r="AQ138" s="299" t="n">
        <f aca="false">'O_MN, PE_UTA_UGM 2024'!I115</f>
        <v>1352.28</v>
      </c>
      <c r="AR138" s="301"/>
      <c r="AS138" s="302" t="n">
        <f aca="false">'O_MN, PE_UTA_UGM 2024'!L115</f>
        <v>0.0147</v>
      </c>
      <c r="AT138" s="302" t="n">
        <f aca="false">'O_MN, PE_UTA_UGM 2024'!M115</f>
        <v>0.05512</v>
      </c>
      <c r="AU138" s="45"/>
      <c r="AV138" s="321" t="n">
        <f aca="false">AG138*AM138</f>
        <v>0</v>
      </c>
      <c r="AW138" s="319" t="n">
        <f aca="false">AH138*AN138</f>
        <v>0</v>
      </c>
      <c r="AX138" s="320" t="n">
        <f aca="false">1.25*AJ138*AM138</f>
        <v>0</v>
      </c>
      <c r="AY138" s="322" t="n">
        <f aca="false">1.25*AK138*AN138</f>
        <v>0</v>
      </c>
      <c r="AZ138" s="323" t="n">
        <f aca="false">AG138*AP138</f>
        <v>0</v>
      </c>
      <c r="BA138" s="319" t="n">
        <f aca="false">AH138*AQ138</f>
        <v>0</v>
      </c>
      <c r="BB138" s="320" t="n">
        <f aca="false">1.25*AJ138*AP138</f>
        <v>0</v>
      </c>
      <c r="BC138" s="320" t="n">
        <f aca="false">1.25*AK138*AQ138</f>
        <v>0</v>
      </c>
      <c r="BD138" s="321" t="n">
        <f aca="false">AG138*AS138</f>
        <v>0</v>
      </c>
      <c r="BE138" s="319" t="n">
        <f aca="false">AH138*AT138</f>
        <v>0</v>
      </c>
      <c r="BF138" s="320" t="n">
        <f aca="false">AJ138*AS138</f>
        <v>0</v>
      </c>
      <c r="BG138" s="322" t="n">
        <f aca="false">AK138*AT138</f>
        <v>0</v>
      </c>
      <c r="BH138" s="324" t="str">
        <f aca="false">IF(BH$24=$AA138,($AG138*$AM138)+($AJ138*$AM138*1.25)+($AH138*$AN138)+($AK138*$AN138*1.25),"")</f>
        <v/>
      </c>
      <c r="BI138" s="325" t="str">
        <f aca="false">IF(BI$24=$AA138,($AG138*$AM138)+($AJ138*$AM138*1.25)+($AH138*$AN138)+($AK138*$AN138*1.25),"")</f>
        <v/>
      </c>
      <c r="BJ138" s="325" t="str">
        <f aca="false">IF(BJ$24=$AA138,($AG138*$AM138)+($AJ138*$AM138*1.25)+($AH138*$AN138)+($AK138*$AN138*1.25),"")</f>
        <v/>
      </c>
      <c r="BK138" s="325" t="n">
        <f aca="false">IF(BK$24=$AA138,($AG138*$AM138)+($AJ138*$AM138*1.25)+($AH138*$AN138)+($AK138*$AN138*1.25),"")</f>
        <v>0</v>
      </c>
      <c r="BL138" s="326" t="str">
        <f aca="false">IF(BL$24=$AA138,($AG138*$AM138)+($AJ138*$AM138*1.25)+($AH138*$AN138)+($AK138*$AN138*1.25),"")</f>
        <v/>
      </c>
      <c r="BM138" s="327" t="str">
        <f aca="false">IF(CONCATENATE(BH138,BI138,BJ138,BK138,BL138)="",1,"")</f>
        <v/>
      </c>
      <c r="BN138" s="328"/>
      <c r="BO138" s="328"/>
      <c r="BP138" s="328"/>
      <c r="BQ138" s="328"/>
      <c r="BR138" s="47"/>
      <c r="BS138" s="127" t="n">
        <f aca="false">(AG138*AM138)+(AH138*AN138)+((AJ138*AM138)+(AK138*AN138)*1.25)</f>
        <v>0</v>
      </c>
      <c r="BT138" s="127" t="n">
        <f aca="false">(AG138*AP138)+(AH138*AQ138)+((AJ138*AP138)+(AK138*AQ138)*1.25)</f>
        <v>0</v>
      </c>
      <c r="BU138" s="329"/>
      <c r="BV138" s="129"/>
    </row>
    <row r="139" customFormat="false" ht="15" hidden="false" customHeight="false" outlineLevel="0" collapsed="false">
      <c r="A139" s="228"/>
      <c r="B139" s="229"/>
      <c r="C139" s="230"/>
      <c r="D139" s="231"/>
      <c r="E139" s="223" t="str">
        <f aca="false">IF(SUM(A139:D139)&gt;0,SUM(A139:D139),"")</f>
        <v/>
      </c>
      <c r="F139" s="224" t="str">
        <f aca="false">AD152</f>
        <v>ACELGA INVERNADERO</v>
      </c>
      <c r="G139" s="169"/>
      <c r="H139" s="169"/>
      <c r="I139" s="169"/>
      <c r="J139" s="169"/>
      <c r="K139" s="169"/>
      <c r="L139" s="169"/>
      <c r="M139" s="169"/>
      <c r="N139" s="169"/>
      <c r="O139" s="169"/>
      <c r="P139" s="169"/>
      <c r="Q139" s="169"/>
      <c r="R139" s="3"/>
      <c r="S139" s="3"/>
      <c r="T139" s="3"/>
      <c r="U139" s="3"/>
      <c r="V139" s="3"/>
      <c r="W139" s="3"/>
      <c r="X139" s="3"/>
      <c r="Y139" s="3"/>
      <c r="Z139" s="316" t="str">
        <f aca="false">IF(AF139&gt;0,RANK(AF139,AF$6:AF$422),"")</f>
        <v/>
      </c>
      <c r="AA139" s="134" t="n">
        <f aca="false">'O_MN, PE_UTA_UGM 2024'!N116</f>
        <v>4</v>
      </c>
      <c r="AB139" s="135" t="n">
        <f aca="false">'O_MN, PE_UTA_UGM 2024'!O116</f>
        <v>4</v>
      </c>
      <c r="AC139" s="317" t="n">
        <f aca="false">'O_MN, PE_UTA_UGM 2024'!C116</f>
        <v>162</v>
      </c>
      <c r="AD139" s="293" t="str">
        <f aca="false">IF(AB139=0,'O_MN, PE_UTA_UGM 2024'!F116,CONCATENATE('O_MN, PE_UTA_UGM 2024'!F116," ","INVERNADERO"))</f>
        <v>BERENJENA INVERNADERO</v>
      </c>
      <c r="AE139" s="89"/>
      <c r="AF139" s="123" t="n">
        <f aca="false">SUM(AG139:AH139)+SUM(AJ139:AK139)</f>
        <v>0</v>
      </c>
      <c r="AG139" s="318" t="n">
        <f aca="false">A126</f>
        <v>0</v>
      </c>
      <c r="AH139" s="319" t="n">
        <f aca="false">B126</f>
        <v>0</v>
      </c>
      <c r="AI139" s="6"/>
      <c r="AJ139" s="320" t="n">
        <f aca="false">C126</f>
        <v>0</v>
      </c>
      <c r="AK139" s="320" t="n">
        <f aca="false">D126</f>
        <v>0</v>
      </c>
      <c r="AL139" s="237" t="s">
        <v>265</v>
      </c>
      <c r="AM139" s="299" t="n">
        <f aca="false">'O_MN, PE_UTA_UGM 2024'!J116</f>
        <v>0</v>
      </c>
      <c r="AN139" s="299" t="n">
        <f aca="false">'O_MN, PE_UTA_UGM 2024'!K116</f>
        <v>80000</v>
      </c>
      <c r="AO139" s="300"/>
      <c r="AP139" s="299" t="n">
        <f aca="false">'O_MN, PE_UTA_UGM 2024'!H116</f>
        <v>0</v>
      </c>
      <c r="AQ139" s="299" t="n">
        <f aca="false">'O_MN, PE_UTA_UGM 2024'!I116</f>
        <v>36060.73</v>
      </c>
      <c r="AR139" s="301"/>
      <c r="AS139" s="302" t="n">
        <f aca="false">'O_MN, PE_UTA_UGM 2024'!L116</f>
        <v>0</v>
      </c>
      <c r="AT139" s="302" t="n">
        <f aca="false">'O_MN, PE_UTA_UGM 2024'!M116</f>
        <v>1.46978</v>
      </c>
      <c r="AU139" s="45"/>
      <c r="AV139" s="321" t="n">
        <f aca="false">AG139*AM139</f>
        <v>0</v>
      </c>
      <c r="AW139" s="319" t="n">
        <f aca="false">AH139*AN139</f>
        <v>0</v>
      </c>
      <c r="AX139" s="320" t="n">
        <f aca="false">1.25*AJ139*AM139</f>
        <v>0</v>
      </c>
      <c r="AY139" s="322" t="n">
        <f aca="false">1.25*AK139*AN139</f>
        <v>0</v>
      </c>
      <c r="AZ139" s="323" t="n">
        <f aca="false">AG139*AP139</f>
        <v>0</v>
      </c>
      <c r="BA139" s="319" t="n">
        <f aca="false">AH139*AQ139</f>
        <v>0</v>
      </c>
      <c r="BB139" s="320" t="n">
        <f aca="false">1.25*AJ139*AP139</f>
        <v>0</v>
      </c>
      <c r="BC139" s="320" t="n">
        <f aca="false">1.25*AK139*AQ139</f>
        <v>0</v>
      </c>
      <c r="BD139" s="321" t="n">
        <f aca="false">AG139*AS139</f>
        <v>0</v>
      </c>
      <c r="BE139" s="319" t="n">
        <f aca="false">AH139*AT139</f>
        <v>0</v>
      </c>
      <c r="BF139" s="320" t="n">
        <f aca="false">AJ139*AS139</f>
        <v>0</v>
      </c>
      <c r="BG139" s="322" t="n">
        <f aca="false">AK139*AT139</f>
        <v>0</v>
      </c>
      <c r="BH139" s="324" t="str">
        <f aca="false">IF(BH$24=$AA139,($AG139*$AM139)+($AJ139*$AM139*1.25)+($AH139*$AN139)+($AK139*$AN139*1.25),"")</f>
        <v/>
      </c>
      <c r="BI139" s="325" t="str">
        <f aca="false">IF(BI$24=$AA139,($AG139*$AM139)+($AJ139*$AM139*1.25)+($AH139*$AN139)+($AK139*$AN139*1.25),"")</f>
        <v/>
      </c>
      <c r="BJ139" s="325" t="str">
        <f aca="false">IF(BJ$24=$AA139,($AG139*$AM139)+($AJ139*$AM139*1.25)+($AH139*$AN139)+($AK139*$AN139*1.25),"")</f>
        <v/>
      </c>
      <c r="BK139" s="325" t="n">
        <f aca="false">IF(BK$24=$AA139,($AG139*$AM139)+($AJ139*$AM139*1.25)+($AH139*$AN139)+($AK139*$AN139*1.25),"")</f>
        <v>0</v>
      </c>
      <c r="BL139" s="326" t="str">
        <f aca="false">IF(BL$24=$AA139,($AG139*$AM139)+($AJ139*$AM139*1.25)+($AH139*$AN139)+($AK139*$AN139*1.25),"")</f>
        <v/>
      </c>
      <c r="BM139" s="327" t="str">
        <f aca="false">IF(CONCATENATE(BH139,BI139,BJ139,BK139,BL139)="",1,"")</f>
        <v/>
      </c>
      <c r="BN139" s="328"/>
      <c r="BO139" s="328"/>
      <c r="BP139" s="328"/>
      <c r="BQ139" s="328"/>
      <c r="BR139" s="47"/>
      <c r="BS139" s="127" t="n">
        <f aca="false">(AG139*AM139)+(AH139*AN139)+((AJ139*AM139)+(AK139*AN139)*1.25)</f>
        <v>0</v>
      </c>
      <c r="BT139" s="127" t="n">
        <f aca="false">(AG139*AP139)+(AH139*AQ139)+((AJ139*AP139)+(AK139*AQ139)*1.25)</f>
        <v>0</v>
      </c>
      <c r="BU139" s="329"/>
      <c r="BV139" s="129"/>
    </row>
    <row r="140" customFormat="false" ht="15" hidden="false" customHeight="false" outlineLevel="0" collapsed="false">
      <c r="A140" s="228"/>
      <c r="B140" s="229"/>
      <c r="C140" s="230"/>
      <c r="D140" s="231"/>
      <c r="E140" s="223" t="str">
        <f aca="false">IF(SUM(A140:D140)&gt;0,SUM(A140:D140),"")</f>
        <v/>
      </c>
      <c r="F140" s="224" t="str">
        <f aca="false">AD153</f>
        <v>CEBOLLETA</v>
      </c>
      <c r="G140" s="169"/>
      <c r="H140" s="169"/>
      <c r="I140" s="169"/>
      <c r="J140" s="169"/>
      <c r="K140" s="169"/>
      <c r="L140" s="169"/>
      <c r="M140" s="169"/>
      <c r="N140" s="169"/>
      <c r="O140" s="169"/>
      <c r="P140" s="169"/>
      <c r="Q140" s="169"/>
      <c r="R140" s="3"/>
      <c r="S140" s="3"/>
      <c r="T140" s="3"/>
      <c r="U140" s="3"/>
      <c r="V140" s="3"/>
      <c r="W140" s="3"/>
      <c r="X140" s="3"/>
      <c r="Y140" s="3"/>
      <c r="Z140" s="316" t="str">
        <f aca="false">IF(AF140&gt;0,RANK(AF140,AF$6:AF$422),"")</f>
        <v/>
      </c>
      <c r="AA140" s="134" t="n">
        <f aca="false">'O_MN, PE_UTA_UGM 2024'!N117</f>
        <v>4</v>
      </c>
      <c r="AB140" s="135" t="n">
        <f aca="false">'O_MN, PE_UTA_UGM 2024'!O117</f>
        <v>19</v>
      </c>
      <c r="AC140" s="317" t="n">
        <f aca="false">'O_MN, PE_UTA_UGM 2024'!C117</f>
        <v>162</v>
      </c>
      <c r="AD140" s="293" t="str">
        <f aca="false">IF(AB140=0,'O_MN, PE_UTA_UGM 2024'!F117,CONCATENATE('O_MN, PE_UTA_UGM 2024'!F117," ","INVERNADERO"))</f>
        <v>BERENJENA INVERNADERO</v>
      </c>
      <c r="AE140" s="89"/>
      <c r="AF140" s="123" t="n">
        <f aca="false">SUM(AG140:AH140)+SUM(AJ140:AK140)</f>
        <v>0</v>
      </c>
      <c r="AG140" s="318" t="n">
        <f aca="false">A127</f>
        <v>0</v>
      </c>
      <c r="AH140" s="319" t="n">
        <f aca="false">B127</f>
        <v>0</v>
      </c>
      <c r="AI140" s="6"/>
      <c r="AJ140" s="320" t="n">
        <f aca="false">C127</f>
        <v>0</v>
      </c>
      <c r="AK140" s="320" t="n">
        <f aca="false">D127</f>
        <v>0</v>
      </c>
      <c r="AL140" s="237" t="s">
        <v>266</v>
      </c>
      <c r="AM140" s="299" t="n">
        <f aca="false">'O_MN, PE_UTA_UGM 2024'!J117</f>
        <v>0</v>
      </c>
      <c r="AN140" s="299" t="n">
        <f aca="false">'O_MN, PE_UTA_UGM 2024'!K117</f>
        <v>80000</v>
      </c>
      <c r="AO140" s="300"/>
      <c r="AP140" s="299" t="n">
        <f aca="false">'O_MN, PE_UTA_UGM 2024'!H117</f>
        <v>0</v>
      </c>
      <c r="AQ140" s="299" t="n">
        <f aca="false">'O_MN, PE_UTA_UGM 2024'!I117</f>
        <v>36060.73</v>
      </c>
      <c r="AR140" s="301"/>
      <c r="AS140" s="302" t="n">
        <f aca="false">'O_MN, PE_UTA_UGM 2024'!L117</f>
        <v>0</v>
      </c>
      <c r="AT140" s="302" t="n">
        <f aca="false">'O_MN, PE_UTA_UGM 2024'!M117</f>
        <v>1.46978</v>
      </c>
      <c r="AU140" s="45"/>
      <c r="AV140" s="321" t="n">
        <f aca="false">AG140*AM140</f>
        <v>0</v>
      </c>
      <c r="AW140" s="319" t="n">
        <f aca="false">AH140*AN140</f>
        <v>0</v>
      </c>
      <c r="AX140" s="320" t="n">
        <f aca="false">1.25*AJ140*AM140</f>
        <v>0</v>
      </c>
      <c r="AY140" s="322" t="n">
        <f aca="false">1.25*AK140*AN140</f>
        <v>0</v>
      </c>
      <c r="AZ140" s="323" t="n">
        <f aca="false">AG140*AP140</f>
        <v>0</v>
      </c>
      <c r="BA140" s="319" t="n">
        <f aca="false">AH140*AQ140</f>
        <v>0</v>
      </c>
      <c r="BB140" s="320" t="n">
        <f aca="false">1.25*AJ140*AP140</f>
        <v>0</v>
      </c>
      <c r="BC140" s="320" t="n">
        <f aca="false">1.25*AK140*AQ140</f>
        <v>0</v>
      </c>
      <c r="BD140" s="321" t="n">
        <f aca="false">AG140*AS140</f>
        <v>0</v>
      </c>
      <c r="BE140" s="319" t="n">
        <f aca="false">AH140*AT140</f>
        <v>0</v>
      </c>
      <c r="BF140" s="320" t="n">
        <f aca="false">AJ140*AS140</f>
        <v>0</v>
      </c>
      <c r="BG140" s="322" t="n">
        <f aca="false">AK140*AT140</f>
        <v>0</v>
      </c>
      <c r="BH140" s="324" t="str">
        <f aca="false">IF(BH$24=$AA140,($AG140*$AM140)+($AJ140*$AM140*1.25)+($AH140*$AN140)+($AK140*$AN140*1.25),"")</f>
        <v/>
      </c>
      <c r="BI140" s="325" t="str">
        <f aca="false">IF(BI$24=$AA140,($AG140*$AM140)+($AJ140*$AM140*1.25)+($AH140*$AN140)+($AK140*$AN140*1.25),"")</f>
        <v/>
      </c>
      <c r="BJ140" s="325" t="str">
        <f aca="false">IF(BJ$24=$AA140,($AG140*$AM140)+($AJ140*$AM140*1.25)+($AH140*$AN140)+($AK140*$AN140*1.25),"")</f>
        <v/>
      </c>
      <c r="BK140" s="325" t="n">
        <f aca="false">IF(BK$24=$AA140,($AG140*$AM140)+($AJ140*$AM140*1.25)+($AH140*$AN140)+($AK140*$AN140*1.25),"")</f>
        <v>0</v>
      </c>
      <c r="BL140" s="326" t="str">
        <f aca="false">IF(BL$24=$AA140,($AG140*$AM140)+($AJ140*$AM140*1.25)+($AH140*$AN140)+($AK140*$AN140*1.25),"")</f>
        <v/>
      </c>
      <c r="BM140" s="327" t="str">
        <f aca="false">IF(CONCATENATE(BH140,BI140,BJ140,BK140,BL140)="",1,"")</f>
        <v/>
      </c>
      <c r="BN140" s="328"/>
      <c r="BO140" s="328"/>
      <c r="BP140" s="328"/>
      <c r="BQ140" s="328"/>
      <c r="BR140" s="47"/>
      <c r="BS140" s="127" t="n">
        <f aca="false">(AG140*AM140)+(AH140*AN140)+((AJ140*AM140)+(AK140*AN140)*1.25)</f>
        <v>0</v>
      </c>
      <c r="BT140" s="127" t="n">
        <f aca="false">(AG140*AP140)+(AH140*AQ140)+((AJ140*AP140)+(AK140*AQ140)*1.25)</f>
        <v>0</v>
      </c>
      <c r="BU140" s="329"/>
      <c r="BV140" s="129"/>
    </row>
    <row r="141" customFormat="false" ht="15" hidden="false" customHeight="false" outlineLevel="0" collapsed="false">
      <c r="A141" s="228"/>
      <c r="B141" s="229"/>
      <c r="C141" s="230"/>
      <c r="D141" s="231"/>
      <c r="E141" s="223" t="str">
        <f aca="false">IF(SUM(A141:D141)&gt;0,SUM(A141:D141),"")</f>
        <v/>
      </c>
      <c r="F141" s="224" t="str">
        <f aca="false">AD154</f>
        <v>CEBOLLETA INVERNADERO</v>
      </c>
      <c r="G141" s="169"/>
      <c r="H141" s="169"/>
      <c r="I141" s="169"/>
      <c r="J141" s="169"/>
      <c r="K141" s="169"/>
      <c r="L141" s="169"/>
      <c r="M141" s="169"/>
      <c r="N141" s="169"/>
      <c r="O141" s="169"/>
      <c r="P141" s="169"/>
      <c r="Q141" s="169"/>
      <c r="R141" s="3"/>
      <c r="S141" s="3"/>
      <c r="T141" s="3"/>
      <c r="U141" s="3"/>
      <c r="V141" s="3"/>
      <c r="W141" s="3"/>
      <c r="X141" s="3"/>
      <c r="Y141" s="3"/>
      <c r="Z141" s="316" t="str">
        <f aca="false">IF(AF141&gt;0,RANK(AF141,AF$6:AF$422),"")</f>
        <v/>
      </c>
      <c r="AA141" s="134" t="n">
        <f aca="false">'O_MN, PE_UTA_UGM 2024'!N118</f>
        <v>4</v>
      </c>
      <c r="AB141" s="135" t="n">
        <f aca="false">'O_MN, PE_UTA_UGM 2024'!O118</f>
        <v>0</v>
      </c>
      <c r="AC141" s="317" t="n">
        <f aca="false">'O_MN, PE_UTA_UGM 2024'!C118</f>
        <v>163</v>
      </c>
      <c r="AD141" s="293" t="str">
        <f aca="false">IF(AB141=0,'O_MN, PE_UTA_UGM 2024'!F118,CONCATENATE('O_MN, PE_UTA_UGM 2024'!F118," ","INVERNADERO"))</f>
        <v>CALABACÍN</v>
      </c>
      <c r="AE141" s="89"/>
      <c r="AF141" s="123" t="n">
        <f aca="false">SUM(AG141:AH141)+SUM(AJ141:AK141)</f>
        <v>0</v>
      </c>
      <c r="AG141" s="318" t="n">
        <f aca="false">A128</f>
        <v>0</v>
      </c>
      <c r="AH141" s="319" t="n">
        <f aca="false">B128</f>
        <v>0</v>
      </c>
      <c r="AI141" s="6"/>
      <c r="AJ141" s="320" t="n">
        <f aca="false">C128</f>
        <v>0</v>
      </c>
      <c r="AK141" s="320" t="n">
        <f aca="false">D128</f>
        <v>0</v>
      </c>
      <c r="AL141" s="237" t="s">
        <v>267</v>
      </c>
      <c r="AM141" s="299" t="n">
        <f aca="false">'O_MN, PE_UTA_UGM 2024'!J118</f>
        <v>575</v>
      </c>
      <c r="AN141" s="299" t="n">
        <f aca="false">'O_MN, PE_UTA_UGM 2024'!K118</f>
        <v>8200</v>
      </c>
      <c r="AO141" s="300"/>
      <c r="AP141" s="299" t="n">
        <f aca="false">'O_MN, PE_UTA_UGM 2024'!H118</f>
        <v>360.61</v>
      </c>
      <c r="AQ141" s="299" t="n">
        <f aca="false">'O_MN, PE_UTA_UGM 2024'!I118</f>
        <v>1352.28</v>
      </c>
      <c r="AR141" s="301"/>
      <c r="AS141" s="302" t="n">
        <f aca="false">'O_MN, PE_UTA_UGM 2024'!L118</f>
        <v>0.0147</v>
      </c>
      <c r="AT141" s="302" t="n">
        <f aca="false">'O_MN, PE_UTA_UGM 2024'!M118</f>
        <v>0.05512</v>
      </c>
      <c r="AU141" s="45"/>
      <c r="AV141" s="321" t="n">
        <f aca="false">AG141*AM141</f>
        <v>0</v>
      </c>
      <c r="AW141" s="319" t="n">
        <f aca="false">AH141*AN141</f>
        <v>0</v>
      </c>
      <c r="AX141" s="320" t="n">
        <f aca="false">1.25*AJ141*AM141</f>
        <v>0</v>
      </c>
      <c r="AY141" s="322" t="n">
        <f aca="false">1.25*AK141*AN141</f>
        <v>0</v>
      </c>
      <c r="AZ141" s="323" t="n">
        <f aca="false">AG141*AP141</f>
        <v>0</v>
      </c>
      <c r="BA141" s="319" t="n">
        <f aca="false">AH141*AQ141</f>
        <v>0</v>
      </c>
      <c r="BB141" s="320" t="n">
        <f aca="false">1.25*AJ141*AP141</f>
        <v>0</v>
      </c>
      <c r="BC141" s="320" t="n">
        <f aca="false">1.25*AK141*AQ141</f>
        <v>0</v>
      </c>
      <c r="BD141" s="321" t="n">
        <f aca="false">AG141*AS141</f>
        <v>0</v>
      </c>
      <c r="BE141" s="319" t="n">
        <f aca="false">AH141*AT141</f>
        <v>0</v>
      </c>
      <c r="BF141" s="320" t="n">
        <f aca="false">AJ141*AS141</f>
        <v>0</v>
      </c>
      <c r="BG141" s="322" t="n">
        <f aca="false">AK141*AT141</f>
        <v>0</v>
      </c>
      <c r="BH141" s="324" t="str">
        <f aca="false">IF(BH$24=$AA141,($AG141*$AM141)+($AJ141*$AM141*1.25)+($AH141*$AN141)+($AK141*$AN141*1.25),"")</f>
        <v/>
      </c>
      <c r="BI141" s="325" t="str">
        <f aca="false">IF(BI$24=$AA141,($AG141*$AM141)+($AJ141*$AM141*1.25)+($AH141*$AN141)+($AK141*$AN141*1.25),"")</f>
        <v/>
      </c>
      <c r="BJ141" s="325" t="str">
        <f aca="false">IF(BJ$24=$AA141,($AG141*$AM141)+($AJ141*$AM141*1.25)+($AH141*$AN141)+($AK141*$AN141*1.25),"")</f>
        <v/>
      </c>
      <c r="BK141" s="325" t="n">
        <f aca="false">IF(BK$24=$AA141,($AG141*$AM141)+($AJ141*$AM141*1.25)+($AH141*$AN141)+($AK141*$AN141*1.25),"")</f>
        <v>0</v>
      </c>
      <c r="BL141" s="326" t="str">
        <f aca="false">IF(BL$24=$AA141,($AG141*$AM141)+($AJ141*$AM141*1.25)+($AH141*$AN141)+($AK141*$AN141*1.25),"")</f>
        <v/>
      </c>
      <c r="BM141" s="327" t="str">
        <f aca="false">IF(CONCATENATE(BH141,BI141,BJ141,BK141,BL141)="",1,"")</f>
        <v/>
      </c>
      <c r="BN141" s="328"/>
      <c r="BO141" s="328"/>
      <c r="BP141" s="328"/>
      <c r="BQ141" s="328"/>
      <c r="BR141" s="47"/>
      <c r="BS141" s="127" t="n">
        <f aca="false">(AG141*AM141)+(AH141*AN141)+((AJ141*AM141)+(AK141*AN141)*1.25)</f>
        <v>0</v>
      </c>
      <c r="BT141" s="127" t="n">
        <f aca="false">(AG141*AP141)+(AH141*AQ141)+((AJ141*AP141)+(AK141*AQ141)*1.25)</f>
        <v>0</v>
      </c>
      <c r="BU141" s="329"/>
      <c r="BV141" s="129"/>
    </row>
    <row r="142" customFormat="false" ht="15" hidden="false" customHeight="false" outlineLevel="0" collapsed="false">
      <c r="A142" s="228"/>
      <c r="B142" s="229"/>
      <c r="C142" s="230"/>
      <c r="D142" s="231"/>
      <c r="E142" s="223" t="str">
        <f aca="false">IF(SUM(A142:D142)&gt;0,SUM(A142:D142),"")</f>
        <v/>
      </c>
      <c r="F142" s="224" t="str">
        <f aca="false">AD155</f>
        <v>CEBOLLETA INVERNADERO</v>
      </c>
      <c r="G142" s="169"/>
      <c r="H142" s="169"/>
      <c r="I142" s="169"/>
      <c r="J142" s="169"/>
      <c r="K142" s="169"/>
      <c r="L142" s="169"/>
      <c r="M142" s="169"/>
      <c r="N142" s="169"/>
      <c r="O142" s="169"/>
      <c r="P142" s="169"/>
      <c r="Q142" s="169"/>
      <c r="R142" s="3"/>
      <c r="S142" s="3"/>
      <c r="T142" s="3"/>
      <c r="U142" s="3"/>
      <c r="V142" s="3"/>
      <c r="W142" s="3"/>
      <c r="X142" s="3"/>
      <c r="Y142" s="3"/>
      <c r="Z142" s="316" t="str">
        <f aca="false">IF(AF142&gt;0,RANK(AF142,AF$6:AF$422),"")</f>
        <v/>
      </c>
      <c r="AA142" s="134" t="n">
        <f aca="false">'O_MN, PE_UTA_UGM 2024'!N119</f>
        <v>4</v>
      </c>
      <c r="AB142" s="135" t="n">
        <f aca="false">'O_MN, PE_UTA_UGM 2024'!O119</f>
        <v>4</v>
      </c>
      <c r="AC142" s="317" t="n">
        <f aca="false">'O_MN, PE_UTA_UGM 2024'!C119</f>
        <v>163</v>
      </c>
      <c r="AD142" s="293" t="str">
        <f aca="false">IF(AB142=0,'O_MN, PE_UTA_UGM 2024'!F119,CONCATENATE('O_MN, PE_UTA_UGM 2024'!F119," ","INVERNADERO"))</f>
        <v>CALABACÍN INVERNADERO</v>
      </c>
      <c r="AE142" s="89"/>
      <c r="AF142" s="123" t="n">
        <f aca="false">SUM(AG142:AH142)+SUM(AJ142:AK142)</f>
        <v>0</v>
      </c>
      <c r="AG142" s="318" t="n">
        <f aca="false">A129</f>
        <v>0</v>
      </c>
      <c r="AH142" s="319" t="n">
        <f aca="false">B129</f>
        <v>0</v>
      </c>
      <c r="AI142" s="6"/>
      <c r="AJ142" s="320" t="n">
        <f aca="false">C129</f>
        <v>0</v>
      </c>
      <c r="AK142" s="320" t="n">
        <f aca="false">D129</f>
        <v>0</v>
      </c>
      <c r="AL142" s="237" t="s">
        <v>268</v>
      </c>
      <c r="AM142" s="299" t="n">
        <f aca="false">'O_MN, PE_UTA_UGM 2024'!J119</f>
        <v>0</v>
      </c>
      <c r="AN142" s="299" t="n">
        <f aca="false">'O_MN, PE_UTA_UGM 2024'!K119</f>
        <v>80000</v>
      </c>
      <c r="AO142" s="300"/>
      <c r="AP142" s="299" t="n">
        <f aca="false">'O_MN, PE_UTA_UGM 2024'!H119</f>
        <v>0</v>
      </c>
      <c r="AQ142" s="299" t="n">
        <f aca="false">'O_MN, PE_UTA_UGM 2024'!I119</f>
        <v>36060.73</v>
      </c>
      <c r="AR142" s="301"/>
      <c r="AS142" s="302" t="n">
        <f aca="false">'O_MN, PE_UTA_UGM 2024'!L119</f>
        <v>0</v>
      </c>
      <c r="AT142" s="302" t="n">
        <f aca="false">'O_MN, PE_UTA_UGM 2024'!M119</f>
        <v>1.46978</v>
      </c>
      <c r="AU142" s="45"/>
      <c r="AV142" s="321" t="n">
        <f aca="false">AG142*AM142</f>
        <v>0</v>
      </c>
      <c r="AW142" s="319" t="n">
        <f aca="false">AH142*AN142</f>
        <v>0</v>
      </c>
      <c r="AX142" s="320" t="n">
        <f aca="false">1.25*AJ142*AM142</f>
        <v>0</v>
      </c>
      <c r="AY142" s="322" t="n">
        <f aca="false">1.25*AK142*AN142</f>
        <v>0</v>
      </c>
      <c r="AZ142" s="323" t="n">
        <f aca="false">AG142*AP142</f>
        <v>0</v>
      </c>
      <c r="BA142" s="319" t="n">
        <f aca="false">AH142*AQ142</f>
        <v>0</v>
      </c>
      <c r="BB142" s="320" t="n">
        <f aca="false">1.25*AJ142*AP142</f>
        <v>0</v>
      </c>
      <c r="BC142" s="320" t="n">
        <f aca="false">1.25*AK142*AQ142</f>
        <v>0</v>
      </c>
      <c r="BD142" s="321" t="n">
        <f aca="false">AG142*AS142</f>
        <v>0</v>
      </c>
      <c r="BE142" s="319" t="n">
        <f aca="false">AH142*AT142</f>
        <v>0</v>
      </c>
      <c r="BF142" s="320" t="n">
        <f aca="false">AJ142*AS142</f>
        <v>0</v>
      </c>
      <c r="BG142" s="322" t="n">
        <f aca="false">AK142*AT142</f>
        <v>0</v>
      </c>
      <c r="BH142" s="324" t="str">
        <f aca="false">IF(BH$24=$AA142,($AG142*$AM142)+($AJ142*$AM142*1.25)+($AH142*$AN142)+($AK142*$AN142*1.25),"")</f>
        <v/>
      </c>
      <c r="BI142" s="325" t="str">
        <f aca="false">IF(BI$24=$AA142,($AG142*$AM142)+($AJ142*$AM142*1.25)+($AH142*$AN142)+($AK142*$AN142*1.25),"")</f>
        <v/>
      </c>
      <c r="BJ142" s="325" t="str">
        <f aca="false">IF(BJ$24=$AA142,($AG142*$AM142)+($AJ142*$AM142*1.25)+($AH142*$AN142)+($AK142*$AN142*1.25),"")</f>
        <v/>
      </c>
      <c r="BK142" s="325" t="n">
        <f aca="false">IF(BK$24=$AA142,($AG142*$AM142)+($AJ142*$AM142*1.25)+($AH142*$AN142)+($AK142*$AN142*1.25),"")</f>
        <v>0</v>
      </c>
      <c r="BL142" s="326" t="str">
        <f aca="false">IF(BL$24=$AA142,($AG142*$AM142)+($AJ142*$AM142*1.25)+($AH142*$AN142)+($AK142*$AN142*1.25),"")</f>
        <v/>
      </c>
      <c r="BM142" s="327" t="str">
        <f aca="false">IF(CONCATENATE(BH142,BI142,BJ142,BK142,BL142)="",1,"")</f>
        <v/>
      </c>
      <c r="BN142" s="328"/>
      <c r="BO142" s="328"/>
      <c r="BP142" s="328"/>
      <c r="BQ142" s="328"/>
      <c r="BR142" s="47"/>
      <c r="BS142" s="127" t="n">
        <f aca="false">(AG142*AM142)+(AH142*AN142)+((AJ142*AM142)+(AK142*AN142)*1.25)</f>
        <v>0</v>
      </c>
      <c r="BT142" s="127" t="n">
        <f aca="false">(AG142*AP142)+(AH142*AQ142)+((AJ142*AP142)+(AK142*AQ142)*1.25)</f>
        <v>0</v>
      </c>
      <c r="BU142" s="329"/>
      <c r="BV142" s="129"/>
    </row>
    <row r="143" customFormat="false" ht="15" hidden="false" customHeight="false" outlineLevel="0" collapsed="false">
      <c r="A143" s="228"/>
      <c r="B143" s="229"/>
      <c r="C143" s="230"/>
      <c r="D143" s="231"/>
      <c r="E143" s="223" t="str">
        <f aca="false">IF(SUM(A143:D143)&gt;0,SUM(A143:D143),"")</f>
        <v/>
      </c>
      <c r="F143" s="224" t="str">
        <f aca="false">AD156</f>
        <v>CHALOTA</v>
      </c>
      <c r="G143" s="169"/>
      <c r="H143" s="169"/>
      <c r="I143" s="169"/>
      <c r="J143" s="169"/>
      <c r="K143" s="169"/>
      <c r="L143" s="169"/>
      <c r="M143" s="169"/>
      <c r="N143" s="169"/>
      <c r="O143" s="169"/>
      <c r="P143" s="169"/>
      <c r="Q143" s="169"/>
      <c r="R143" s="3"/>
      <c r="S143" s="3"/>
      <c r="T143" s="3"/>
      <c r="U143" s="3"/>
      <c r="V143" s="3"/>
      <c r="W143" s="3"/>
      <c r="X143" s="3"/>
      <c r="Y143" s="3"/>
      <c r="Z143" s="316" t="str">
        <f aca="false">IF(AF143&gt;0,RANK(AF143,AF$6:AF$422),"")</f>
        <v/>
      </c>
      <c r="AA143" s="134" t="n">
        <f aca="false">'O_MN, PE_UTA_UGM 2024'!N120</f>
        <v>4</v>
      </c>
      <c r="AB143" s="135" t="n">
        <f aca="false">'O_MN, PE_UTA_UGM 2024'!O120</f>
        <v>19</v>
      </c>
      <c r="AC143" s="317" t="n">
        <f aca="false">'O_MN, PE_UTA_UGM 2024'!C120</f>
        <v>163</v>
      </c>
      <c r="AD143" s="293" t="str">
        <f aca="false">IF(AB143=0,'O_MN, PE_UTA_UGM 2024'!F120,CONCATENATE('O_MN, PE_UTA_UGM 2024'!F120," ","INVERNADERO"))</f>
        <v>CALABACÍN INVERNADERO</v>
      </c>
      <c r="AE143" s="89"/>
      <c r="AF143" s="123" t="n">
        <f aca="false">SUM(AG143:AH143)+SUM(AJ143:AK143)</f>
        <v>0</v>
      </c>
      <c r="AG143" s="318" t="n">
        <f aca="false">A130</f>
        <v>0</v>
      </c>
      <c r="AH143" s="319" t="n">
        <f aca="false">B130</f>
        <v>0</v>
      </c>
      <c r="AI143" s="6"/>
      <c r="AJ143" s="320" t="n">
        <f aca="false">C130</f>
        <v>0</v>
      </c>
      <c r="AK143" s="320" t="n">
        <f aca="false">D130</f>
        <v>0</v>
      </c>
      <c r="AL143" s="237" t="s">
        <v>269</v>
      </c>
      <c r="AM143" s="299" t="n">
        <f aca="false">'O_MN, PE_UTA_UGM 2024'!J120</f>
        <v>0</v>
      </c>
      <c r="AN143" s="299" t="n">
        <f aca="false">'O_MN, PE_UTA_UGM 2024'!K120</f>
        <v>80000</v>
      </c>
      <c r="AO143" s="300"/>
      <c r="AP143" s="299" t="n">
        <f aca="false">'O_MN, PE_UTA_UGM 2024'!H120</f>
        <v>0</v>
      </c>
      <c r="AQ143" s="299" t="n">
        <f aca="false">'O_MN, PE_UTA_UGM 2024'!I120</f>
        <v>36060.73</v>
      </c>
      <c r="AR143" s="301"/>
      <c r="AS143" s="302" t="n">
        <f aca="false">'O_MN, PE_UTA_UGM 2024'!L120</f>
        <v>0</v>
      </c>
      <c r="AT143" s="302" t="n">
        <f aca="false">'O_MN, PE_UTA_UGM 2024'!M120</f>
        <v>1.46978</v>
      </c>
      <c r="AU143" s="45"/>
      <c r="AV143" s="321" t="n">
        <f aca="false">AG143*AM143</f>
        <v>0</v>
      </c>
      <c r="AW143" s="319" t="n">
        <f aca="false">AH143*AN143</f>
        <v>0</v>
      </c>
      <c r="AX143" s="320" t="n">
        <f aca="false">1.25*AJ143*AM143</f>
        <v>0</v>
      </c>
      <c r="AY143" s="322" t="n">
        <f aca="false">1.25*AK143*AN143</f>
        <v>0</v>
      </c>
      <c r="AZ143" s="323" t="n">
        <f aca="false">AG143*AP143</f>
        <v>0</v>
      </c>
      <c r="BA143" s="319" t="n">
        <f aca="false">AH143*AQ143</f>
        <v>0</v>
      </c>
      <c r="BB143" s="320" t="n">
        <f aca="false">1.25*AJ143*AP143</f>
        <v>0</v>
      </c>
      <c r="BC143" s="320" t="n">
        <f aca="false">1.25*AK143*AQ143</f>
        <v>0</v>
      </c>
      <c r="BD143" s="321" t="n">
        <f aca="false">AG143*AS143</f>
        <v>0</v>
      </c>
      <c r="BE143" s="319" t="n">
        <f aca="false">AH143*AT143</f>
        <v>0</v>
      </c>
      <c r="BF143" s="320" t="n">
        <f aca="false">AJ143*AS143</f>
        <v>0</v>
      </c>
      <c r="BG143" s="322" t="n">
        <f aca="false">AK143*AT143</f>
        <v>0</v>
      </c>
      <c r="BH143" s="324" t="str">
        <f aca="false">IF(BH$24=$AA143,($AG143*$AM143)+($AJ143*$AM143*1.25)+($AH143*$AN143)+($AK143*$AN143*1.25),"")</f>
        <v/>
      </c>
      <c r="BI143" s="325" t="str">
        <f aca="false">IF(BI$24=$AA143,($AG143*$AM143)+($AJ143*$AM143*1.25)+($AH143*$AN143)+($AK143*$AN143*1.25),"")</f>
        <v/>
      </c>
      <c r="BJ143" s="325" t="str">
        <f aca="false">IF(BJ$24=$AA143,($AG143*$AM143)+($AJ143*$AM143*1.25)+($AH143*$AN143)+($AK143*$AN143*1.25),"")</f>
        <v/>
      </c>
      <c r="BK143" s="325" t="n">
        <f aca="false">IF(BK$24=$AA143,($AG143*$AM143)+($AJ143*$AM143*1.25)+($AH143*$AN143)+($AK143*$AN143*1.25),"")</f>
        <v>0</v>
      </c>
      <c r="BL143" s="326" t="str">
        <f aca="false">IF(BL$24=$AA143,($AG143*$AM143)+($AJ143*$AM143*1.25)+($AH143*$AN143)+($AK143*$AN143*1.25),"")</f>
        <v/>
      </c>
      <c r="BM143" s="327" t="str">
        <f aca="false">IF(CONCATENATE(BH143,BI143,BJ143,BK143,BL143)="",1,"")</f>
        <v/>
      </c>
      <c r="BN143" s="328"/>
      <c r="BO143" s="328"/>
      <c r="BP143" s="328"/>
      <c r="BQ143" s="328"/>
      <c r="BR143" s="47"/>
      <c r="BS143" s="127" t="n">
        <f aca="false">(AG143*AM143)+(AH143*AN143)+((AJ143*AM143)+(AK143*AN143)*1.25)</f>
        <v>0</v>
      </c>
      <c r="BT143" s="127" t="n">
        <f aca="false">(AG143*AP143)+(AH143*AQ143)+((AJ143*AP143)+(AK143*AQ143)*1.25)</f>
        <v>0</v>
      </c>
      <c r="BU143" s="329"/>
      <c r="BV143" s="129"/>
    </row>
    <row r="144" customFormat="false" ht="15" hidden="false" customHeight="false" outlineLevel="0" collapsed="false">
      <c r="A144" s="228"/>
      <c r="B144" s="229"/>
      <c r="C144" s="230"/>
      <c r="D144" s="231"/>
      <c r="E144" s="223" t="str">
        <f aca="false">IF(SUM(A144:D144)&gt;0,SUM(A144:D144),"")</f>
        <v/>
      </c>
      <c r="F144" s="224" t="str">
        <f aca="false">AD157</f>
        <v>CHALOTA INVERNADERO</v>
      </c>
      <c r="G144" s="169"/>
      <c r="H144" s="169"/>
      <c r="I144" s="169"/>
      <c r="J144" s="169"/>
      <c r="K144" s="169"/>
      <c r="L144" s="169"/>
      <c r="M144" s="169"/>
      <c r="N144" s="169"/>
      <c r="O144" s="169"/>
      <c r="P144" s="169"/>
      <c r="Q144" s="169"/>
      <c r="R144" s="3"/>
      <c r="S144" s="3"/>
      <c r="T144" s="3"/>
      <c r="U144" s="3"/>
      <c r="V144" s="3"/>
      <c r="W144" s="3"/>
      <c r="X144" s="3"/>
      <c r="Y144" s="3"/>
      <c r="Z144" s="316" t="str">
        <f aca="false">IF(AF144&gt;0,RANK(AF144,AF$6:AF$422),"")</f>
        <v/>
      </c>
      <c r="AA144" s="134" t="n">
        <f aca="false">'O_MN, PE_UTA_UGM 2024'!N121</f>
        <v>4</v>
      </c>
      <c r="AB144" s="135" t="n">
        <f aca="false">'O_MN, PE_UTA_UGM 2024'!O121</f>
        <v>0</v>
      </c>
      <c r="AC144" s="317" t="n">
        <f aca="false">'O_MN, PE_UTA_UGM 2024'!C121</f>
        <v>164</v>
      </c>
      <c r="AD144" s="293" t="str">
        <f aca="false">IF(AB144=0,'O_MN, PE_UTA_UGM 2024'!F121,CONCATENATE('O_MN, PE_UTA_UGM 2024'!F121," ","INVERNADERO"))</f>
        <v>ALCACHOFA</v>
      </c>
      <c r="AE144" s="89"/>
      <c r="AF144" s="123" t="n">
        <f aca="false">SUM(AG144:AH144)+SUM(AJ144:AK144)</f>
        <v>0</v>
      </c>
      <c r="AG144" s="318" t="n">
        <f aca="false">A131</f>
        <v>0</v>
      </c>
      <c r="AH144" s="319" t="n">
        <f aca="false">B131</f>
        <v>0</v>
      </c>
      <c r="AI144" s="6"/>
      <c r="AJ144" s="320" t="n">
        <f aca="false">C131</f>
        <v>0</v>
      </c>
      <c r="AK144" s="320" t="n">
        <f aca="false">D131</f>
        <v>0</v>
      </c>
      <c r="AL144" s="237" t="s">
        <v>270</v>
      </c>
      <c r="AM144" s="299" t="n">
        <f aca="false">'O_MN, PE_UTA_UGM 2024'!J121</f>
        <v>575</v>
      </c>
      <c r="AN144" s="299" t="n">
        <f aca="false">'O_MN, PE_UTA_UGM 2024'!K121</f>
        <v>10500</v>
      </c>
      <c r="AO144" s="300"/>
      <c r="AP144" s="299" t="n">
        <f aca="false">'O_MN, PE_UTA_UGM 2024'!H121</f>
        <v>360.61</v>
      </c>
      <c r="AQ144" s="299" t="n">
        <f aca="false">'O_MN, PE_UTA_UGM 2024'!I121</f>
        <v>1352.28</v>
      </c>
      <c r="AR144" s="301"/>
      <c r="AS144" s="302" t="n">
        <f aca="false">'O_MN, PE_UTA_UGM 2024'!L121</f>
        <v>0.0147</v>
      </c>
      <c r="AT144" s="302" t="n">
        <f aca="false">'O_MN, PE_UTA_UGM 2024'!M121</f>
        <v>0.05512</v>
      </c>
      <c r="AU144" s="45"/>
      <c r="AV144" s="321" t="n">
        <f aca="false">AG144*AM144</f>
        <v>0</v>
      </c>
      <c r="AW144" s="319" t="n">
        <f aca="false">AH144*AN144</f>
        <v>0</v>
      </c>
      <c r="AX144" s="320" t="n">
        <f aca="false">1.25*AJ144*AM144</f>
        <v>0</v>
      </c>
      <c r="AY144" s="322" t="n">
        <f aca="false">1.25*AK144*AN144</f>
        <v>0</v>
      </c>
      <c r="AZ144" s="323" t="n">
        <f aca="false">AG144*AP144</f>
        <v>0</v>
      </c>
      <c r="BA144" s="319" t="n">
        <f aca="false">AH144*AQ144</f>
        <v>0</v>
      </c>
      <c r="BB144" s="320" t="n">
        <f aca="false">1.25*AJ144*AP144</f>
        <v>0</v>
      </c>
      <c r="BC144" s="320" t="n">
        <f aca="false">1.25*AK144*AQ144</f>
        <v>0</v>
      </c>
      <c r="BD144" s="321" t="n">
        <f aca="false">AG144*AS144</f>
        <v>0</v>
      </c>
      <c r="BE144" s="319" t="n">
        <f aca="false">AH144*AT144</f>
        <v>0</v>
      </c>
      <c r="BF144" s="320" t="n">
        <f aca="false">AJ144*AS144</f>
        <v>0</v>
      </c>
      <c r="BG144" s="322" t="n">
        <f aca="false">AK144*AT144</f>
        <v>0</v>
      </c>
      <c r="BH144" s="324" t="str">
        <f aca="false">IF(BH$24=$AA144,($AG144*$AM144)+($AJ144*$AM144*1.25)+($AH144*$AN144)+($AK144*$AN144*1.25),"")</f>
        <v/>
      </c>
      <c r="BI144" s="325" t="str">
        <f aca="false">IF(BI$24=$AA144,($AG144*$AM144)+($AJ144*$AM144*1.25)+($AH144*$AN144)+($AK144*$AN144*1.25),"")</f>
        <v/>
      </c>
      <c r="BJ144" s="325" t="str">
        <f aca="false">IF(BJ$24=$AA144,($AG144*$AM144)+($AJ144*$AM144*1.25)+($AH144*$AN144)+($AK144*$AN144*1.25),"")</f>
        <v/>
      </c>
      <c r="BK144" s="325" t="n">
        <f aca="false">IF(BK$24=$AA144,($AG144*$AM144)+($AJ144*$AM144*1.25)+($AH144*$AN144)+($AK144*$AN144*1.25),"")</f>
        <v>0</v>
      </c>
      <c r="BL144" s="326" t="str">
        <f aca="false">IF(BL$24=$AA144,($AG144*$AM144)+($AJ144*$AM144*1.25)+($AH144*$AN144)+($AK144*$AN144*1.25),"")</f>
        <v/>
      </c>
      <c r="BM144" s="327" t="str">
        <f aca="false">IF(CONCATENATE(BH144,BI144,BJ144,BK144,BL144)="",1,"")</f>
        <v/>
      </c>
      <c r="BN144" s="328"/>
      <c r="BO144" s="328"/>
      <c r="BP144" s="328"/>
      <c r="BQ144" s="328"/>
      <c r="BR144" s="47"/>
      <c r="BS144" s="127" t="n">
        <f aca="false">(AG144*AM144)+(AH144*AN144)+((AJ144*AM144)+(AK144*AN144)*1.25)</f>
        <v>0</v>
      </c>
      <c r="BT144" s="127" t="n">
        <f aca="false">(AG144*AP144)+(AH144*AQ144)+((AJ144*AP144)+(AK144*AQ144)*1.25)</f>
        <v>0</v>
      </c>
      <c r="BU144" s="329"/>
      <c r="BV144" s="129"/>
    </row>
    <row r="145" customFormat="false" ht="15" hidden="false" customHeight="false" outlineLevel="0" collapsed="false">
      <c r="A145" s="228"/>
      <c r="B145" s="229"/>
      <c r="C145" s="230"/>
      <c r="D145" s="231"/>
      <c r="E145" s="223" t="str">
        <f aca="false">IF(SUM(A145:D145)&gt;0,SUM(A145:D145),"")</f>
        <v/>
      </c>
      <c r="F145" s="224" t="str">
        <f aca="false">AD158</f>
        <v>CHALOTA INVERNADERO</v>
      </c>
      <c r="G145" s="169"/>
      <c r="H145" s="169"/>
      <c r="I145" s="169"/>
      <c r="J145" s="169"/>
      <c r="K145" s="169"/>
      <c r="L145" s="169"/>
      <c r="M145" s="169"/>
      <c r="N145" s="169"/>
      <c r="O145" s="169"/>
      <c r="P145" s="169"/>
      <c r="Q145" s="169"/>
      <c r="R145" s="3"/>
      <c r="S145" s="3"/>
      <c r="T145" s="3"/>
      <c r="U145" s="3"/>
      <c r="V145" s="3"/>
      <c r="W145" s="3"/>
      <c r="X145" s="3"/>
      <c r="Y145" s="3"/>
      <c r="Z145" s="316" t="str">
        <f aca="false">IF(AF145&gt;0,RANK(AF145,AF$6:AF$422),"")</f>
        <v/>
      </c>
      <c r="AA145" s="134" t="n">
        <f aca="false">'O_MN, PE_UTA_UGM 2024'!N122</f>
        <v>4</v>
      </c>
      <c r="AB145" s="135" t="n">
        <f aca="false">'O_MN, PE_UTA_UGM 2024'!O122</f>
        <v>4</v>
      </c>
      <c r="AC145" s="317" t="n">
        <f aca="false">'O_MN, PE_UTA_UGM 2024'!C122</f>
        <v>164</v>
      </c>
      <c r="AD145" s="293" t="str">
        <f aca="false">IF(AB145=0,'O_MN, PE_UTA_UGM 2024'!F122,CONCATENATE('O_MN, PE_UTA_UGM 2024'!F122," ","INVERNADERO"))</f>
        <v>ALCACHOFA INVERNADERO</v>
      </c>
      <c r="AE145" s="89"/>
      <c r="AF145" s="123" t="n">
        <f aca="false">SUM(AG145:AH145)+SUM(AJ145:AK145)</f>
        <v>0</v>
      </c>
      <c r="AG145" s="318" t="n">
        <f aca="false">A132</f>
        <v>0</v>
      </c>
      <c r="AH145" s="319" t="n">
        <f aca="false">B132</f>
        <v>0</v>
      </c>
      <c r="AI145" s="6"/>
      <c r="AJ145" s="320" t="n">
        <f aca="false">C132</f>
        <v>0</v>
      </c>
      <c r="AK145" s="320" t="n">
        <f aca="false">D132</f>
        <v>0</v>
      </c>
      <c r="AL145" s="237" t="s">
        <v>271</v>
      </c>
      <c r="AM145" s="299" t="n">
        <f aca="false">'O_MN, PE_UTA_UGM 2024'!J122</f>
        <v>0</v>
      </c>
      <c r="AN145" s="299" t="n">
        <f aca="false">'O_MN, PE_UTA_UGM 2024'!K122</f>
        <v>80000</v>
      </c>
      <c r="AO145" s="300"/>
      <c r="AP145" s="299" t="n">
        <f aca="false">'O_MN, PE_UTA_UGM 2024'!H122</f>
        <v>0</v>
      </c>
      <c r="AQ145" s="299" t="n">
        <f aca="false">'O_MN, PE_UTA_UGM 2024'!I122</f>
        <v>36060.73</v>
      </c>
      <c r="AR145" s="301"/>
      <c r="AS145" s="302" t="n">
        <f aca="false">'O_MN, PE_UTA_UGM 2024'!L122</f>
        <v>0</v>
      </c>
      <c r="AT145" s="302" t="n">
        <f aca="false">'O_MN, PE_UTA_UGM 2024'!M122</f>
        <v>1.46978</v>
      </c>
      <c r="AU145" s="45"/>
      <c r="AV145" s="321" t="n">
        <f aca="false">AG145*AM145</f>
        <v>0</v>
      </c>
      <c r="AW145" s="319" t="n">
        <f aca="false">AH145*AN145</f>
        <v>0</v>
      </c>
      <c r="AX145" s="320" t="n">
        <f aca="false">1.25*AJ145*AM145</f>
        <v>0</v>
      </c>
      <c r="AY145" s="322" t="n">
        <f aca="false">1.25*AK145*AN145</f>
        <v>0</v>
      </c>
      <c r="AZ145" s="323" t="n">
        <f aca="false">AG145*AP145</f>
        <v>0</v>
      </c>
      <c r="BA145" s="319" t="n">
        <f aca="false">AH145*AQ145</f>
        <v>0</v>
      </c>
      <c r="BB145" s="320" t="n">
        <f aca="false">1.25*AJ145*AP145</f>
        <v>0</v>
      </c>
      <c r="BC145" s="320" t="n">
        <f aca="false">1.25*AK145*AQ145</f>
        <v>0</v>
      </c>
      <c r="BD145" s="321" t="n">
        <f aca="false">AG145*AS145</f>
        <v>0</v>
      </c>
      <c r="BE145" s="319" t="n">
        <f aca="false">AH145*AT145</f>
        <v>0</v>
      </c>
      <c r="BF145" s="320" t="n">
        <f aca="false">AJ145*AS145</f>
        <v>0</v>
      </c>
      <c r="BG145" s="322" t="n">
        <f aca="false">AK145*AT145</f>
        <v>0</v>
      </c>
      <c r="BH145" s="324" t="str">
        <f aca="false">IF(BH$24=$AA145,($AG145*$AM145)+($AJ145*$AM145*1.25)+($AH145*$AN145)+($AK145*$AN145*1.25),"")</f>
        <v/>
      </c>
      <c r="BI145" s="325" t="str">
        <f aca="false">IF(BI$24=$AA145,($AG145*$AM145)+($AJ145*$AM145*1.25)+($AH145*$AN145)+($AK145*$AN145*1.25),"")</f>
        <v/>
      </c>
      <c r="BJ145" s="325" t="str">
        <f aca="false">IF(BJ$24=$AA145,($AG145*$AM145)+($AJ145*$AM145*1.25)+($AH145*$AN145)+($AK145*$AN145*1.25),"")</f>
        <v/>
      </c>
      <c r="BK145" s="325" t="n">
        <f aca="false">IF(BK$24=$AA145,($AG145*$AM145)+($AJ145*$AM145*1.25)+($AH145*$AN145)+($AK145*$AN145*1.25),"")</f>
        <v>0</v>
      </c>
      <c r="BL145" s="326" t="str">
        <f aca="false">IF(BL$24=$AA145,($AG145*$AM145)+($AJ145*$AM145*1.25)+($AH145*$AN145)+($AK145*$AN145*1.25),"")</f>
        <v/>
      </c>
      <c r="BM145" s="327" t="str">
        <f aca="false">IF(CONCATENATE(BH145,BI145,BJ145,BK145,BL145)="",1,"")</f>
        <v/>
      </c>
      <c r="BN145" s="328"/>
      <c r="BO145" s="328"/>
      <c r="BP145" s="328"/>
      <c r="BQ145" s="328"/>
      <c r="BR145" s="47"/>
      <c r="BS145" s="127" t="n">
        <f aca="false">(AG145*AM145)+(AH145*AN145)+((AJ145*AM145)+(AK145*AN145)*1.25)</f>
        <v>0</v>
      </c>
      <c r="BT145" s="127" t="n">
        <f aca="false">(AG145*AP145)+(AH145*AQ145)+((AJ145*AP145)+(AK145*AQ145)*1.25)</f>
        <v>0</v>
      </c>
      <c r="BU145" s="329"/>
      <c r="BV145" s="129"/>
    </row>
    <row r="146" customFormat="false" ht="15" hidden="false" customHeight="false" outlineLevel="0" collapsed="false">
      <c r="A146" s="228"/>
      <c r="B146" s="229"/>
      <c r="C146" s="230"/>
      <c r="D146" s="231"/>
      <c r="E146" s="223" t="str">
        <f aca="false">IF(SUM(A146:D146)&gt;0,SUM(A146:D146),"")</f>
        <v/>
      </c>
      <c r="F146" s="224" t="str">
        <f aca="false">AD159</f>
        <v>AJO</v>
      </c>
      <c r="G146" s="169"/>
      <c r="H146" s="169"/>
      <c r="I146" s="169"/>
      <c r="J146" s="169"/>
      <c r="K146" s="169"/>
      <c r="L146" s="169"/>
      <c r="M146" s="169"/>
      <c r="N146" s="169"/>
      <c r="O146" s="169"/>
      <c r="P146" s="169"/>
      <c r="Q146" s="169"/>
      <c r="R146" s="3"/>
      <c r="S146" s="3"/>
      <c r="T146" s="3"/>
      <c r="U146" s="3"/>
      <c r="V146" s="3"/>
      <c r="W146" s="3"/>
      <c r="X146" s="3"/>
      <c r="Y146" s="3"/>
      <c r="Z146" s="316" t="str">
        <f aca="false">IF(AF146&gt;0,RANK(AF146,AF$6:AF$422),"")</f>
        <v/>
      </c>
      <c r="AA146" s="134" t="n">
        <f aca="false">'O_MN, PE_UTA_UGM 2024'!N123</f>
        <v>4</v>
      </c>
      <c r="AB146" s="135" t="n">
        <f aca="false">'O_MN, PE_UTA_UGM 2024'!O123</f>
        <v>19</v>
      </c>
      <c r="AC146" s="317" t="n">
        <f aca="false">'O_MN, PE_UTA_UGM 2024'!C123</f>
        <v>164</v>
      </c>
      <c r="AD146" s="293" t="str">
        <f aca="false">IF(AB146=0,'O_MN, PE_UTA_UGM 2024'!F123,CONCATENATE('O_MN, PE_UTA_UGM 2024'!F123," ","INVERNADERO"))</f>
        <v>ALCACHOFA INVERNADERO</v>
      </c>
      <c r="AE146" s="89"/>
      <c r="AF146" s="123" t="n">
        <f aca="false">SUM(AG146:AH146)+SUM(AJ146:AK146)</f>
        <v>0</v>
      </c>
      <c r="AG146" s="318" t="n">
        <f aca="false">A133</f>
        <v>0</v>
      </c>
      <c r="AH146" s="319" t="n">
        <f aca="false">B133</f>
        <v>0</v>
      </c>
      <c r="AI146" s="6"/>
      <c r="AJ146" s="320" t="n">
        <f aca="false">C133</f>
        <v>0</v>
      </c>
      <c r="AK146" s="320" t="n">
        <f aca="false">D133</f>
        <v>0</v>
      </c>
      <c r="AL146" s="237" t="s">
        <v>272</v>
      </c>
      <c r="AM146" s="299" t="n">
        <f aca="false">'O_MN, PE_UTA_UGM 2024'!J123</f>
        <v>0</v>
      </c>
      <c r="AN146" s="299" t="n">
        <f aca="false">'O_MN, PE_UTA_UGM 2024'!K123</f>
        <v>80000</v>
      </c>
      <c r="AO146" s="300"/>
      <c r="AP146" s="299" t="n">
        <f aca="false">'O_MN, PE_UTA_UGM 2024'!H123</f>
        <v>0</v>
      </c>
      <c r="AQ146" s="299" t="n">
        <f aca="false">'O_MN, PE_UTA_UGM 2024'!I123</f>
        <v>36060.73</v>
      </c>
      <c r="AR146" s="301"/>
      <c r="AS146" s="302" t="n">
        <f aca="false">'O_MN, PE_UTA_UGM 2024'!L123</f>
        <v>0</v>
      </c>
      <c r="AT146" s="302" t="n">
        <f aca="false">'O_MN, PE_UTA_UGM 2024'!M123</f>
        <v>1.46978</v>
      </c>
      <c r="AU146" s="45"/>
      <c r="AV146" s="321" t="n">
        <f aca="false">AG146*AM146</f>
        <v>0</v>
      </c>
      <c r="AW146" s="319" t="n">
        <f aca="false">AH146*AN146</f>
        <v>0</v>
      </c>
      <c r="AX146" s="320" t="n">
        <f aca="false">1.25*AJ146*AM146</f>
        <v>0</v>
      </c>
      <c r="AY146" s="322" t="n">
        <f aca="false">1.25*AK146*AN146</f>
        <v>0</v>
      </c>
      <c r="AZ146" s="323" t="n">
        <f aca="false">AG146*AP146</f>
        <v>0</v>
      </c>
      <c r="BA146" s="319" t="n">
        <f aca="false">AH146*AQ146</f>
        <v>0</v>
      </c>
      <c r="BB146" s="320" t="n">
        <f aca="false">1.25*AJ146*AP146</f>
        <v>0</v>
      </c>
      <c r="BC146" s="320" t="n">
        <f aca="false">1.25*AK146*AQ146</f>
        <v>0</v>
      </c>
      <c r="BD146" s="321" t="n">
        <f aca="false">AG146*AS146</f>
        <v>0</v>
      </c>
      <c r="BE146" s="319" t="n">
        <f aca="false">AH146*AT146</f>
        <v>0</v>
      </c>
      <c r="BF146" s="320" t="n">
        <f aca="false">AJ146*AS146</f>
        <v>0</v>
      </c>
      <c r="BG146" s="322" t="n">
        <f aca="false">AK146*AT146</f>
        <v>0</v>
      </c>
      <c r="BH146" s="324" t="str">
        <f aca="false">IF(BH$24=$AA146,($AG146*$AM146)+($AJ146*$AM146*1.25)+($AH146*$AN146)+($AK146*$AN146*1.25),"")</f>
        <v/>
      </c>
      <c r="BI146" s="325" t="str">
        <f aca="false">IF(BI$24=$AA146,($AG146*$AM146)+($AJ146*$AM146*1.25)+($AH146*$AN146)+($AK146*$AN146*1.25),"")</f>
        <v/>
      </c>
      <c r="BJ146" s="325" t="str">
        <f aca="false">IF(BJ$24=$AA146,($AG146*$AM146)+($AJ146*$AM146*1.25)+($AH146*$AN146)+($AK146*$AN146*1.25),"")</f>
        <v/>
      </c>
      <c r="BK146" s="325" t="n">
        <f aca="false">IF(BK$24=$AA146,($AG146*$AM146)+($AJ146*$AM146*1.25)+($AH146*$AN146)+($AK146*$AN146*1.25),"")</f>
        <v>0</v>
      </c>
      <c r="BL146" s="326" t="str">
        <f aca="false">IF(BL$24=$AA146,($AG146*$AM146)+($AJ146*$AM146*1.25)+($AH146*$AN146)+($AK146*$AN146*1.25),"")</f>
        <v/>
      </c>
      <c r="BM146" s="327" t="str">
        <f aca="false">IF(CONCATENATE(BH146,BI146,BJ146,BK146,BL146)="",1,"")</f>
        <v/>
      </c>
      <c r="BN146" s="328"/>
      <c r="BO146" s="328"/>
      <c r="BP146" s="328"/>
      <c r="BQ146" s="328"/>
      <c r="BR146" s="47"/>
      <c r="BS146" s="127" t="n">
        <f aca="false">(AG146*AM146)+(AH146*AN146)+((AJ146*AM146)+(AK146*AN146)*1.25)</f>
        <v>0</v>
      </c>
      <c r="BT146" s="127" t="n">
        <f aca="false">(AG146*AP146)+(AH146*AQ146)+((AJ146*AP146)+(AK146*AQ146)*1.25)</f>
        <v>0</v>
      </c>
      <c r="BU146" s="329"/>
      <c r="BV146" s="129"/>
    </row>
    <row r="147" customFormat="false" ht="15" hidden="false" customHeight="false" outlineLevel="0" collapsed="false">
      <c r="A147" s="228"/>
      <c r="B147" s="229"/>
      <c r="C147" s="230"/>
      <c r="D147" s="231"/>
      <c r="E147" s="223" t="str">
        <f aca="false">IF(SUM(A147:D147)&gt;0,SUM(A147:D147),"")</f>
        <v/>
      </c>
      <c r="F147" s="224" t="str">
        <f aca="false">AD160</f>
        <v>AJO INVERNADERO</v>
      </c>
      <c r="G147" s="169"/>
      <c r="H147" s="169"/>
      <c r="I147" s="169"/>
      <c r="J147" s="169"/>
      <c r="K147" s="169"/>
      <c r="L147" s="169"/>
      <c r="M147" s="169"/>
      <c r="N147" s="169"/>
      <c r="O147" s="169"/>
      <c r="P147" s="169"/>
      <c r="Q147" s="169"/>
      <c r="R147" s="3"/>
      <c r="S147" s="3"/>
      <c r="T147" s="3"/>
      <c r="U147" s="3"/>
      <c r="V147" s="3"/>
      <c r="W147" s="3"/>
      <c r="X147" s="3"/>
      <c r="Y147" s="3"/>
      <c r="Z147" s="316" t="str">
        <f aca="false">IF(AF147&gt;0,RANK(AF147,AF$6:AF$422),"")</f>
        <v/>
      </c>
      <c r="AA147" s="134" t="n">
        <f aca="false">'O_MN, PE_UTA_UGM 2024'!N124</f>
        <v>4</v>
      </c>
      <c r="AB147" s="135" t="n">
        <f aca="false">'O_MN, PE_UTA_UGM 2024'!O124</f>
        <v>0</v>
      </c>
      <c r="AC147" s="317" t="n">
        <f aca="false">'O_MN, PE_UTA_UGM 2024'!C124</f>
        <v>165</v>
      </c>
      <c r="AD147" s="293" t="str">
        <f aca="false">IF(AB147=0,'O_MN, PE_UTA_UGM 2024'!F124,CONCATENATE('O_MN, PE_UTA_UGM 2024'!F124," ","INVERNADERO"))</f>
        <v>PEPINO</v>
      </c>
      <c r="AE147" s="89"/>
      <c r="AF147" s="123" t="n">
        <f aca="false">SUM(AG147:AH147)+SUM(AJ147:AK147)</f>
        <v>0</v>
      </c>
      <c r="AG147" s="318" t="n">
        <f aca="false">A134</f>
        <v>0</v>
      </c>
      <c r="AH147" s="319" t="n">
        <f aca="false">B134</f>
        <v>0</v>
      </c>
      <c r="AI147" s="6"/>
      <c r="AJ147" s="320" t="n">
        <f aca="false">C134</f>
        <v>0</v>
      </c>
      <c r="AK147" s="320" t="n">
        <f aca="false">D134</f>
        <v>0</v>
      </c>
      <c r="AL147" s="237" t="s">
        <v>273</v>
      </c>
      <c r="AM147" s="299" t="n">
        <f aca="false">'O_MN, PE_UTA_UGM 2024'!J124</f>
        <v>575</v>
      </c>
      <c r="AN147" s="299" t="n">
        <f aca="false">'O_MN, PE_UTA_UGM 2024'!K124</f>
        <v>7000</v>
      </c>
      <c r="AO147" s="300"/>
      <c r="AP147" s="299" t="n">
        <f aca="false">'O_MN, PE_UTA_UGM 2024'!H124</f>
        <v>360.61</v>
      </c>
      <c r="AQ147" s="299" t="n">
        <f aca="false">'O_MN, PE_UTA_UGM 2024'!I124</f>
        <v>1352.28</v>
      </c>
      <c r="AR147" s="301"/>
      <c r="AS147" s="302" t="n">
        <f aca="false">'O_MN, PE_UTA_UGM 2024'!L124</f>
        <v>0.0147</v>
      </c>
      <c r="AT147" s="302" t="n">
        <f aca="false">'O_MN, PE_UTA_UGM 2024'!M124</f>
        <v>0.05512</v>
      </c>
      <c r="AU147" s="45"/>
      <c r="AV147" s="321" t="n">
        <f aca="false">AG147*AM147</f>
        <v>0</v>
      </c>
      <c r="AW147" s="319" t="n">
        <f aca="false">AH147*AN147</f>
        <v>0</v>
      </c>
      <c r="AX147" s="320" t="n">
        <f aca="false">1.25*AJ147*AM147</f>
        <v>0</v>
      </c>
      <c r="AY147" s="322" t="n">
        <f aca="false">1.25*AK147*AN147</f>
        <v>0</v>
      </c>
      <c r="AZ147" s="323" t="n">
        <f aca="false">AG147*AP147</f>
        <v>0</v>
      </c>
      <c r="BA147" s="319" t="n">
        <f aca="false">AH147*AQ147</f>
        <v>0</v>
      </c>
      <c r="BB147" s="320" t="n">
        <f aca="false">1.25*AJ147*AP147</f>
        <v>0</v>
      </c>
      <c r="BC147" s="320" t="n">
        <f aca="false">1.25*AK147*AQ147</f>
        <v>0</v>
      </c>
      <c r="BD147" s="321" t="n">
        <f aca="false">AG147*AS147</f>
        <v>0</v>
      </c>
      <c r="BE147" s="319" t="n">
        <f aca="false">AH147*AT147</f>
        <v>0</v>
      </c>
      <c r="BF147" s="320" t="n">
        <f aca="false">AJ147*AS147</f>
        <v>0</v>
      </c>
      <c r="BG147" s="322" t="n">
        <f aca="false">AK147*AT147</f>
        <v>0</v>
      </c>
      <c r="BH147" s="324" t="str">
        <f aca="false">IF(BH$24=$AA147,($AG147*$AM147)+($AJ147*$AM147*1.25)+($AH147*$AN147)+($AK147*$AN147*1.25),"")</f>
        <v/>
      </c>
      <c r="BI147" s="325" t="str">
        <f aca="false">IF(BI$24=$AA147,($AG147*$AM147)+($AJ147*$AM147*1.25)+($AH147*$AN147)+($AK147*$AN147*1.25),"")</f>
        <v/>
      </c>
      <c r="BJ147" s="325" t="str">
        <f aca="false">IF(BJ$24=$AA147,($AG147*$AM147)+($AJ147*$AM147*1.25)+($AH147*$AN147)+($AK147*$AN147*1.25),"")</f>
        <v/>
      </c>
      <c r="BK147" s="325" t="n">
        <f aca="false">IF(BK$24=$AA147,($AG147*$AM147)+($AJ147*$AM147*1.25)+($AH147*$AN147)+($AK147*$AN147*1.25),"")</f>
        <v>0</v>
      </c>
      <c r="BL147" s="326" t="str">
        <f aca="false">IF(BL$24=$AA147,($AG147*$AM147)+($AJ147*$AM147*1.25)+($AH147*$AN147)+($AK147*$AN147*1.25),"")</f>
        <v/>
      </c>
      <c r="BM147" s="327" t="str">
        <f aca="false">IF(CONCATENATE(BH147,BI147,BJ147,BK147,BL147)="",1,"")</f>
        <v/>
      </c>
      <c r="BN147" s="328"/>
      <c r="BO147" s="328"/>
      <c r="BP147" s="328"/>
      <c r="BQ147" s="328"/>
      <c r="BR147" s="47"/>
      <c r="BS147" s="127" t="n">
        <f aca="false">(AG147*AM147)+(AH147*AN147)+((AJ147*AM147)+(AK147*AN147)*1.25)</f>
        <v>0</v>
      </c>
      <c r="BT147" s="127" t="n">
        <f aca="false">(AG147*AP147)+(AH147*AQ147)+((AJ147*AP147)+(AK147*AQ147)*1.25)</f>
        <v>0</v>
      </c>
      <c r="BU147" s="329"/>
      <c r="BV147" s="129"/>
    </row>
    <row r="148" customFormat="false" ht="15" hidden="false" customHeight="false" outlineLevel="0" collapsed="false">
      <c r="A148" s="228"/>
      <c r="B148" s="229"/>
      <c r="C148" s="230"/>
      <c r="D148" s="231"/>
      <c r="E148" s="223" t="str">
        <f aca="false">IF(SUM(A148:D148)&gt;0,SUM(A148:D148),"")</f>
        <v/>
      </c>
      <c r="F148" s="224" t="str">
        <f aca="false">AD161</f>
        <v>AJO INVERNADERO</v>
      </c>
      <c r="G148" s="169"/>
      <c r="H148" s="169"/>
      <c r="I148" s="169"/>
      <c r="J148" s="169"/>
      <c r="K148" s="169"/>
      <c r="L148" s="169"/>
      <c r="M148" s="169"/>
      <c r="N148" s="169"/>
      <c r="O148" s="169"/>
      <c r="P148" s="169"/>
      <c r="Q148" s="169"/>
      <c r="R148" s="3"/>
      <c r="S148" s="3"/>
      <c r="T148" s="3"/>
      <c r="U148" s="3"/>
      <c r="V148" s="3"/>
      <c r="W148" s="3"/>
      <c r="X148" s="3"/>
      <c r="Y148" s="3"/>
      <c r="Z148" s="316" t="str">
        <f aca="false">IF(AF148&gt;0,RANK(AF148,AF$6:AF$422),"")</f>
        <v/>
      </c>
      <c r="AA148" s="134" t="n">
        <f aca="false">'O_MN, PE_UTA_UGM 2024'!N125</f>
        <v>4</v>
      </c>
      <c r="AB148" s="135" t="n">
        <f aca="false">'O_MN, PE_UTA_UGM 2024'!O125</f>
        <v>4</v>
      </c>
      <c r="AC148" s="317" t="n">
        <f aca="false">'O_MN, PE_UTA_UGM 2024'!C125</f>
        <v>165</v>
      </c>
      <c r="AD148" s="293" t="str">
        <f aca="false">IF(AB148=0,'O_MN, PE_UTA_UGM 2024'!F125,CONCATENATE('O_MN, PE_UTA_UGM 2024'!F125," ","INVERNADERO"))</f>
        <v>PEPINO INVERNADERO</v>
      </c>
      <c r="AE148" s="89"/>
      <c r="AF148" s="123" t="n">
        <f aca="false">SUM(AG148:AH148)+SUM(AJ148:AK148)</f>
        <v>0</v>
      </c>
      <c r="AG148" s="318" t="n">
        <f aca="false">A135</f>
        <v>0</v>
      </c>
      <c r="AH148" s="319" t="n">
        <f aca="false">B135</f>
        <v>0</v>
      </c>
      <c r="AI148" s="6"/>
      <c r="AJ148" s="320" t="n">
        <f aca="false">C135</f>
        <v>0</v>
      </c>
      <c r="AK148" s="320" t="n">
        <f aca="false">D135</f>
        <v>0</v>
      </c>
      <c r="AL148" s="237" t="s">
        <v>274</v>
      </c>
      <c r="AM148" s="299" t="n">
        <f aca="false">'O_MN, PE_UTA_UGM 2024'!J125</f>
        <v>0</v>
      </c>
      <c r="AN148" s="299" t="n">
        <f aca="false">'O_MN, PE_UTA_UGM 2024'!K125</f>
        <v>80000</v>
      </c>
      <c r="AO148" s="300"/>
      <c r="AP148" s="299" t="n">
        <f aca="false">'O_MN, PE_UTA_UGM 2024'!H125</f>
        <v>0</v>
      </c>
      <c r="AQ148" s="299" t="n">
        <f aca="false">'O_MN, PE_UTA_UGM 2024'!I125</f>
        <v>36060.73</v>
      </c>
      <c r="AR148" s="301"/>
      <c r="AS148" s="302" t="n">
        <f aca="false">'O_MN, PE_UTA_UGM 2024'!L125</f>
        <v>0</v>
      </c>
      <c r="AT148" s="302" t="n">
        <f aca="false">'O_MN, PE_UTA_UGM 2024'!M125</f>
        <v>1.46978</v>
      </c>
      <c r="AU148" s="45"/>
      <c r="AV148" s="321" t="n">
        <f aca="false">AG148*AM148</f>
        <v>0</v>
      </c>
      <c r="AW148" s="319" t="n">
        <f aca="false">AH148*AN148</f>
        <v>0</v>
      </c>
      <c r="AX148" s="320" t="n">
        <f aca="false">1.25*AJ148*AM148</f>
        <v>0</v>
      </c>
      <c r="AY148" s="322" t="n">
        <f aca="false">1.25*AK148*AN148</f>
        <v>0</v>
      </c>
      <c r="AZ148" s="323" t="n">
        <f aca="false">AG148*AP148</f>
        <v>0</v>
      </c>
      <c r="BA148" s="319" t="n">
        <f aca="false">AH148*AQ148</f>
        <v>0</v>
      </c>
      <c r="BB148" s="320" t="n">
        <f aca="false">1.25*AJ148*AP148</f>
        <v>0</v>
      </c>
      <c r="BC148" s="320" t="n">
        <f aca="false">1.25*AK148*AQ148</f>
        <v>0</v>
      </c>
      <c r="BD148" s="321" t="n">
        <f aca="false">AG148*AS148</f>
        <v>0</v>
      </c>
      <c r="BE148" s="319" t="n">
        <f aca="false">AH148*AT148</f>
        <v>0</v>
      </c>
      <c r="BF148" s="320" t="n">
        <f aca="false">AJ148*AS148</f>
        <v>0</v>
      </c>
      <c r="BG148" s="322" t="n">
        <f aca="false">AK148*AT148</f>
        <v>0</v>
      </c>
      <c r="BH148" s="324" t="str">
        <f aca="false">IF(BH$24=$AA148,($AG148*$AM148)+($AJ148*$AM148*1.25)+($AH148*$AN148)+($AK148*$AN148*1.25),"")</f>
        <v/>
      </c>
      <c r="BI148" s="325" t="str">
        <f aca="false">IF(BI$24=$AA148,($AG148*$AM148)+($AJ148*$AM148*1.25)+($AH148*$AN148)+($AK148*$AN148*1.25),"")</f>
        <v/>
      </c>
      <c r="BJ148" s="325" t="str">
        <f aca="false">IF(BJ$24=$AA148,($AG148*$AM148)+($AJ148*$AM148*1.25)+($AH148*$AN148)+($AK148*$AN148*1.25),"")</f>
        <v/>
      </c>
      <c r="BK148" s="325" t="n">
        <f aca="false">IF(BK$24=$AA148,($AG148*$AM148)+($AJ148*$AM148*1.25)+($AH148*$AN148)+($AK148*$AN148*1.25),"")</f>
        <v>0</v>
      </c>
      <c r="BL148" s="326" t="str">
        <f aca="false">IF(BL$24=$AA148,($AG148*$AM148)+($AJ148*$AM148*1.25)+($AH148*$AN148)+($AK148*$AN148*1.25),"")</f>
        <v/>
      </c>
      <c r="BM148" s="327" t="str">
        <f aca="false">IF(CONCATENATE(BH148,BI148,BJ148,BK148,BL148)="",1,"")</f>
        <v/>
      </c>
      <c r="BN148" s="328"/>
      <c r="BO148" s="328"/>
      <c r="BP148" s="328"/>
      <c r="BQ148" s="328"/>
      <c r="BR148" s="47"/>
      <c r="BS148" s="127" t="n">
        <f aca="false">(AG148*AM148)+(AH148*AN148)+((AJ148*AM148)+(AK148*AN148)*1.25)</f>
        <v>0</v>
      </c>
      <c r="BT148" s="127" t="n">
        <f aca="false">(AG148*AP148)+(AH148*AQ148)+((AJ148*AP148)+(AK148*AQ148)*1.25)</f>
        <v>0</v>
      </c>
      <c r="BU148" s="329"/>
      <c r="BV148" s="129"/>
    </row>
    <row r="149" customFormat="false" ht="15" hidden="false" customHeight="false" outlineLevel="0" collapsed="false">
      <c r="A149" s="228"/>
      <c r="B149" s="229"/>
      <c r="C149" s="230"/>
      <c r="D149" s="231"/>
      <c r="E149" s="223" t="str">
        <f aca="false">IF(SUM(A149:D149)&gt;0,SUM(A149:D149),"")</f>
        <v/>
      </c>
      <c r="F149" s="224" t="str">
        <f aca="false">AD162</f>
        <v>CHIRIVÍA</v>
      </c>
      <c r="G149" s="169"/>
      <c r="H149" s="169"/>
      <c r="I149" s="169"/>
      <c r="J149" s="169"/>
      <c r="K149" s="169"/>
      <c r="L149" s="169"/>
      <c r="M149" s="169"/>
      <c r="N149" s="169"/>
      <c r="O149" s="169"/>
      <c r="P149" s="169"/>
      <c r="Q149" s="169"/>
      <c r="R149" s="3"/>
      <c r="S149" s="3"/>
      <c r="T149" s="3"/>
      <c r="U149" s="3"/>
      <c r="V149" s="3"/>
      <c r="W149" s="3"/>
      <c r="X149" s="3"/>
      <c r="Y149" s="3"/>
      <c r="Z149" s="316" t="str">
        <f aca="false">IF(AF149&gt;0,RANK(AF149,AF$6:AF$422),"")</f>
        <v/>
      </c>
      <c r="AA149" s="134" t="n">
        <f aca="false">'O_MN, PE_UTA_UGM 2024'!N126</f>
        <v>4</v>
      </c>
      <c r="AB149" s="135" t="n">
        <f aca="false">'O_MN, PE_UTA_UGM 2024'!O126</f>
        <v>19</v>
      </c>
      <c r="AC149" s="317" t="n">
        <f aca="false">'O_MN, PE_UTA_UGM 2024'!C126</f>
        <v>165</v>
      </c>
      <c r="AD149" s="293" t="str">
        <f aca="false">IF(AB149=0,'O_MN, PE_UTA_UGM 2024'!F126,CONCATENATE('O_MN, PE_UTA_UGM 2024'!F126," ","INVERNADERO"))</f>
        <v>PEPINO INVERNADERO</v>
      </c>
      <c r="AE149" s="89"/>
      <c r="AF149" s="123" t="n">
        <f aca="false">SUM(AG149:AH149)+SUM(AJ149:AK149)</f>
        <v>0</v>
      </c>
      <c r="AG149" s="318" t="n">
        <f aca="false">A136</f>
        <v>0</v>
      </c>
      <c r="AH149" s="319" t="n">
        <f aca="false">B136</f>
        <v>0</v>
      </c>
      <c r="AI149" s="6"/>
      <c r="AJ149" s="320" t="n">
        <f aca="false">C136</f>
        <v>0</v>
      </c>
      <c r="AK149" s="320" t="n">
        <f aca="false">D136</f>
        <v>0</v>
      </c>
      <c r="AL149" s="237" t="s">
        <v>275</v>
      </c>
      <c r="AM149" s="299" t="n">
        <f aca="false">'O_MN, PE_UTA_UGM 2024'!J126</f>
        <v>0</v>
      </c>
      <c r="AN149" s="299" t="n">
        <f aca="false">'O_MN, PE_UTA_UGM 2024'!K126</f>
        <v>80000</v>
      </c>
      <c r="AO149" s="300"/>
      <c r="AP149" s="299" t="n">
        <f aca="false">'O_MN, PE_UTA_UGM 2024'!H126</f>
        <v>0</v>
      </c>
      <c r="AQ149" s="299" t="n">
        <f aca="false">'O_MN, PE_UTA_UGM 2024'!I126</f>
        <v>36060.73</v>
      </c>
      <c r="AR149" s="301"/>
      <c r="AS149" s="302" t="n">
        <f aca="false">'O_MN, PE_UTA_UGM 2024'!L126</f>
        <v>0</v>
      </c>
      <c r="AT149" s="302" t="n">
        <f aca="false">'O_MN, PE_UTA_UGM 2024'!M126</f>
        <v>1.46978</v>
      </c>
      <c r="AU149" s="45"/>
      <c r="AV149" s="321" t="n">
        <f aca="false">AG149*AM149</f>
        <v>0</v>
      </c>
      <c r="AW149" s="319" t="n">
        <f aca="false">AH149*AN149</f>
        <v>0</v>
      </c>
      <c r="AX149" s="320" t="n">
        <f aca="false">1.25*AJ149*AM149</f>
        <v>0</v>
      </c>
      <c r="AY149" s="322" t="n">
        <f aca="false">1.25*AK149*AN149</f>
        <v>0</v>
      </c>
      <c r="AZ149" s="323" t="n">
        <f aca="false">AG149*AP149</f>
        <v>0</v>
      </c>
      <c r="BA149" s="319" t="n">
        <f aca="false">AH149*AQ149</f>
        <v>0</v>
      </c>
      <c r="BB149" s="320" t="n">
        <f aca="false">1.25*AJ149*AP149</f>
        <v>0</v>
      </c>
      <c r="BC149" s="320" t="n">
        <f aca="false">1.25*AK149*AQ149</f>
        <v>0</v>
      </c>
      <c r="BD149" s="321" t="n">
        <f aca="false">AG149*AS149</f>
        <v>0</v>
      </c>
      <c r="BE149" s="319" t="n">
        <f aca="false">AH149*AT149</f>
        <v>0</v>
      </c>
      <c r="BF149" s="320" t="n">
        <f aca="false">AJ149*AS149</f>
        <v>0</v>
      </c>
      <c r="BG149" s="322" t="n">
        <f aca="false">AK149*AT149</f>
        <v>0</v>
      </c>
      <c r="BH149" s="324" t="str">
        <f aca="false">IF(BH$24=$AA149,($AG149*$AM149)+($AJ149*$AM149*1.25)+($AH149*$AN149)+($AK149*$AN149*1.25),"")</f>
        <v/>
      </c>
      <c r="BI149" s="325" t="str">
        <f aca="false">IF(BI$24=$AA149,($AG149*$AM149)+($AJ149*$AM149*1.25)+($AH149*$AN149)+($AK149*$AN149*1.25),"")</f>
        <v/>
      </c>
      <c r="BJ149" s="325" t="str">
        <f aca="false">IF(BJ$24=$AA149,($AG149*$AM149)+($AJ149*$AM149*1.25)+($AH149*$AN149)+($AK149*$AN149*1.25),"")</f>
        <v/>
      </c>
      <c r="BK149" s="325" t="n">
        <f aca="false">IF(BK$24=$AA149,($AG149*$AM149)+($AJ149*$AM149*1.25)+($AH149*$AN149)+($AK149*$AN149*1.25),"")</f>
        <v>0</v>
      </c>
      <c r="BL149" s="326" t="str">
        <f aca="false">IF(BL$24=$AA149,($AG149*$AM149)+($AJ149*$AM149*1.25)+($AH149*$AN149)+($AK149*$AN149*1.25),"")</f>
        <v/>
      </c>
      <c r="BM149" s="327" t="str">
        <f aca="false">IF(CONCATENATE(BH149,BI149,BJ149,BK149,BL149)="",1,"")</f>
        <v/>
      </c>
      <c r="BN149" s="328"/>
      <c r="BO149" s="328"/>
      <c r="BP149" s="328"/>
      <c r="BQ149" s="328"/>
      <c r="BR149" s="47"/>
      <c r="BS149" s="127" t="n">
        <f aca="false">(AG149*AM149)+(AH149*AN149)+((AJ149*AM149)+(AK149*AN149)*1.25)</f>
        <v>0</v>
      </c>
      <c r="BT149" s="127" t="n">
        <f aca="false">(AG149*AP149)+(AH149*AQ149)+((AJ149*AP149)+(AK149*AQ149)*1.25)</f>
        <v>0</v>
      </c>
      <c r="BU149" s="329"/>
      <c r="BV149" s="129"/>
    </row>
    <row r="150" customFormat="false" ht="15" hidden="false" customHeight="false" outlineLevel="0" collapsed="false">
      <c r="A150" s="228"/>
      <c r="B150" s="229"/>
      <c r="C150" s="230"/>
      <c r="D150" s="231"/>
      <c r="E150" s="223" t="str">
        <f aca="false">IF(SUM(A150:D150)&gt;0,SUM(A150:D150),"")</f>
        <v/>
      </c>
      <c r="F150" s="224" t="str">
        <f aca="false">AD163</f>
        <v>CHIRIVÍA INVERNADERO</v>
      </c>
      <c r="G150" s="169"/>
      <c r="H150" s="169"/>
      <c r="I150" s="169"/>
      <c r="J150" s="169"/>
      <c r="K150" s="169"/>
      <c r="L150" s="169"/>
      <c r="M150" s="169"/>
      <c r="N150" s="169"/>
      <c r="O150" s="169"/>
      <c r="P150" s="169"/>
      <c r="Q150" s="169"/>
      <c r="R150" s="3"/>
      <c r="S150" s="3"/>
      <c r="T150" s="3"/>
      <c r="U150" s="3"/>
      <c r="V150" s="3"/>
      <c r="W150" s="3"/>
      <c r="X150" s="3"/>
      <c r="Y150" s="3"/>
      <c r="Z150" s="316" t="str">
        <f aca="false">IF(AF150&gt;0,RANK(AF150,AF$6:AF$422),"")</f>
        <v/>
      </c>
      <c r="AA150" s="134" t="n">
        <f aca="false">'O_MN, PE_UTA_UGM 2024'!N127</f>
        <v>4</v>
      </c>
      <c r="AB150" s="135" t="n">
        <f aca="false">'O_MN, PE_UTA_UGM 2024'!O127</f>
        <v>0</v>
      </c>
      <c r="AC150" s="317" t="n">
        <f aca="false">'O_MN, PE_UTA_UGM 2024'!C127</f>
        <v>166</v>
      </c>
      <c r="AD150" s="293" t="str">
        <f aca="false">IF(AB150=0,'O_MN, PE_UTA_UGM 2024'!F127,CONCATENATE('O_MN, PE_UTA_UGM 2024'!F127," ","INVERNADERO"))</f>
        <v>ACELGA</v>
      </c>
      <c r="AE150" s="89"/>
      <c r="AF150" s="123" t="n">
        <f aca="false">SUM(AG150:AH150)+SUM(AJ150:AK150)</f>
        <v>0</v>
      </c>
      <c r="AG150" s="318" t="n">
        <f aca="false">A137</f>
        <v>0</v>
      </c>
      <c r="AH150" s="319" t="n">
        <f aca="false">B137</f>
        <v>0</v>
      </c>
      <c r="AI150" s="6"/>
      <c r="AJ150" s="320" t="n">
        <f aca="false">C137</f>
        <v>0</v>
      </c>
      <c r="AK150" s="320" t="n">
        <f aca="false">D137</f>
        <v>0</v>
      </c>
      <c r="AL150" s="237" t="s">
        <v>276</v>
      </c>
      <c r="AM150" s="299" t="n">
        <f aca="false">'O_MN, PE_UTA_UGM 2024'!J127</f>
        <v>575</v>
      </c>
      <c r="AN150" s="299" t="n">
        <f aca="false">'O_MN, PE_UTA_UGM 2024'!K127</f>
        <v>7200</v>
      </c>
      <c r="AO150" s="300"/>
      <c r="AP150" s="299" t="n">
        <f aca="false">'O_MN, PE_UTA_UGM 2024'!H127</f>
        <v>360.61</v>
      </c>
      <c r="AQ150" s="299" t="n">
        <f aca="false">'O_MN, PE_UTA_UGM 2024'!I127</f>
        <v>1352.28</v>
      </c>
      <c r="AR150" s="301"/>
      <c r="AS150" s="302" t="n">
        <f aca="false">'O_MN, PE_UTA_UGM 2024'!L127</f>
        <v>0.0147</v>
      </c>
      <c r="AT150" s="302" t="n">
        <f aca="false">'O_MN, PE_UTA_UGM 2024'!M127</f>
        <v>0.05512</v>
      </c>
      <c r="AU150" s="45"/>
      <c r="AV150" s="321" t="n">
        <f aca="false">AG150*AM150</f>
        <v>0</v>
      </c>
      <c r="AW150" s="319" t="n">
        <f aca="false">AH150*AN150</f>
        <v>0</v>
      </c>
      <c r="AX150" s="320" t="n">
        <f aca="false">1.25*AJ150*AM150</f>
        <v>0</v>
      </c>
      <c r="AY150" s="322" t="n">
        <f aca="false">1.25*AK150*AN150</f>
        <v>0</v>
      </c>
      <c r="AZ150" s="323" t="n">
        <f aca="false">AG150*AP150</f>
        <v>0</v>
      </c>
      <c r="BA150" s="319" t="n">
        <f aca="false">AH150*AQ150</f>
        <v>0</v>
      </c>
      <c r="BB150" s="320" t="n">
        <f aca="false">1.25*AJ150*AP150</f>
        <v>0</v>
      </c>
      <c r="BC150" s="320" t="n">
        <f aca="false">1.25*AK150*AQ150</f>
        <v>0</v>
      </c>
      <c r="BD150" s="321" t="n">
        <f aca="false">AG150*AS150</f>
        <v>0</v>
      </c>
      <c r="BE150" s="319" t="n">
        <f aca="false">AH150*AT150</f>
        <v>0</v>
      </c>
      <c r="BF150" s="320" t="n">
        <f aca="false">AJ150*AS150</f>
        <v>0</v>
      </c>
      <c r="BG150" s="322" t="n">
        <f aca="false">AK150*AT150</f>
        <v>0</v>
      </c>
      <c r="BH150" s="324" t="str">
        <f aca="false">IF(BH$24=$AA150,($AG150*$AM150)+($AJ150*$AM150*1.25)+($AH150*$AN150)+($AK150*$AN150*1.25),"")</f>
        <v/>
      </c>
      <c r="BI150" s="325" t="str">
        <f aca="false">IF(BI$24=$AA150,($AG150*$AM150)+($AJ150*$AM150*1.25)+($AH150*$AN150)+($AK150*$AN150*1.25),"")</f>
        <v/>
      </c>
      <c r="BJ150" s="325" t="str">
        <f aca="false">IF(BJ$24=$AA150,($AG150*$AM150)+($AJ150*$AM150*1.25)+($AH150*$AN150)+($AK150*$AN150*1.25),"")</f>
        <v/>
      </c>
      <c r="BK150" s="325" t="n">
        <f aca="false">IF(BK$24=$AA150,($AG150*$AM150)+($AJ150*$AM150*1.25)+($AH150*$AN150)+($AK150*$AN150*1.25),"")</f>
        <v>0</v>
      </c>
      <c r="BL150" s="326" t="str">
        <f aca="false">IF(BL$24=$AA150,($AG150*$AM150)+($AJ150*$AM150*1.25)+($AH150*$AN150)+($AK150*$AN150*1.25),"")</f>
        <v/>
      </c>
      <c r="BM150" s="327" t="str">
        <f aca="false">IF(CONCATENATE(BH150,BI150,BJ150,BK150,BL150)="",1,"")</f>
        <v/>
      </c>
      <c r="BN150" s="328"/>
      <c r="BO150" s="328"/>
      <c r="BP150" s="328"/>
      <c r="BQ150" s="328"/>
      <c r="BR150" s="47"/>
      <c r="BS150" s="127" t="n">
        <f aca="false">(AG150*AM150)+(AH150*AN150)+((AJ150*AM150)+(AK150*AN150)*1.25)</f>
        <v>0</v>
      </c>
      <c r="BT150" s="127" t="n">
        <f aca="false">(AG150*AP150)+(AH150*AQ150)+((AJ150*AP150)+(AK150*AQ150)*1.25)</f>
        <v>0</v>
      </c>
      <c r="BU150" s="329"/>
      <c r="BV150" s="129"/>
    </row>
    <row r="151" customFormat="false" ht="15" hidden="false" customHeight="false" outlineLevel="0" collapsed="false">
      <c r="A151" s="228"/>
      <c r="B151" s="229"/>
      <c r="C151" s="230"/>
      <c r="D151" s="231"/>
      <c r="E151" s="223" t="str">
        <f aca="false">IF(SUM(A151:D151)&gt;0,SUM(A151:D151),"")</f>
        <v/>
      </c>
      <c r="F151" s="224" t="str">
        <f aca="false">AD164</f>
        <v>CHIRIVÍA INVERNADERO</v>
      </c>
      <c r="G151" s="169"/>
      <c r="H151" s="169"/>
      <c r="I151" s="169"/>
      <c r="J151" s="169"/>
      <c r="K151" s="169"/>
      <c r="L151" s="169"/>
      <c r="M151" s="169"/>
      <c r="N151" s="169"/>
      <c r="O151" s="169"/>
      <c r="P151" s="169"/>
      <c r="Q151" s="169"/>
      <c r="R151" s="3"/>
      <c r="S151" s="3"/>
      <c r="T151" s="3"/>
      <c r="U151" s="3"/>
      <c r="V151" s="3"/>
      <c r="W151" s="3"/>
      <c r="X151" s="3"/>
      <c r="Y151" s="3"/>
      <c r="Z151" s="316" t="str">
        <f aca="false">IF(AF151&gt;0,RANK(AF151,AF$6:AF$422),"")</f>
        <v/>
      </c>
      <c r="AA151" s="134" t="n">
        <f aca="false">'O_MN, PE_UTA_UGM 2024'!N128</f>
        <v>4</v>
      </c>
      <c r="AB151" s="135" t="n">
        <f aca="false">'O_MN, PE_UTA_UGM 2024'!O128</f>
        <v>4</v>
      </c>
      <c r="AC151" s="317" t="n">
        <f aca="false">'O_MN, PE_UTA_UGM 2024'!C128</f>
        <v>166</v>
      </c>
      <c r="AD151" s="293" t="str">
        <f aca="false">IF(AB151=0,'O_MN, PE_UTA_UGM 2024'!F128,CONCATENATE('O_MN, PE_UTA_UGM 2024'!F128," ","INVERNADERO"))</f>
        <v>ACELGA INVERNADERO</v>
      </c>
      <c r="AE151" s="89"/>
      <c r="AF151" s="123" t="n">
        <f aca="false">SUM(AG151:AH151)+SUM(AJ151:AK151)</f>
        <v>0</v>
      </c>
      <c r="AG151" s="318" t="n">
        <f aca="false">A138</f>
        <v>0</v>
      </c>
      <c r="AH151" s="319" t="n">
        <f aca="false">B138</f>
        <v>0</v>
      </c>
      <c r="AI151" s="6"/>
      <c r="AJ151" s="320" t="n">
        <f aca="false">C138</f>
        <v>0</v>
      </c>
      <c r="AK151" s="320" t="n">
        <f aca="false">D138</f>
        <v>0</v>
      </c>
      <c r="AL151" s="237" t="s">
        <v>277</v>
      </c>
      <c r="AM151" s="299" t="n">
        <f aca="false">'O_MN, PE_UTA_UGM 2024'!J128</f>
        <v>0</v>
      </c>
      <c r="AN151" s="299" t="n">
        <f aca="false">'O_MN, PE_UTA_UGM 2024'!K128</f>
        <v>80000</v>
      </c>
      <c r="AO151" s="300"/>
      <c r="AP151" s="299" t="n">
        <f aca="false">'O_MN, PE_UTA_UGM 2024'!H128</f>
        <v>0</v>
      </c>
      <c r="AQ151" s="299" t="n">
        <f aca="false">'O_MN, PE_UTA_UGM 2024'!I128</f>
        <v>36060.73</v>
      </c>
      <c r="AR151" s="301"/>
      <c r="AS151" s="302" t="n">
        <f aca="false">'O_MN, PE_UTA_UGM 2024'!L128</f>
        <v>0</v>
      </c>
      <c r="AT151" s="302" t="n">
        <f aca="false">'O_MN, PE_UTA_UGM 2024'!M128</f>
        <v>1.46978</v>
      </c>
      <c r="AU151" s="45"/>
      <c r="AV151" s="321" t="n">
        <f aca="false">AG151*AM151</f>
        <v>0</v>
      </c>
      <c r="AW151" s="319" t="n">
        <f aca="false">AH151*AN151</f>
        <v>0</v>
      </c>
      <c r="AX151" s="320" t="n">
        <f aca="false">1.25*AJ151*AM151</f>
        <v>0</v>
      </c>
      <c r="AY151" s="322" t="n">
        <f aca="false">1.25*AK151*AN151</f>
        <v>0</v>
      </c>
      <c r="AZ151" s="323" t="n">
        <f aca="false">AG151*AP151</f>
        <v>0</v>
      </c>
      <c r="BA151" s="319" t="n">
        <f aca="false">AH151*AQ151</f>
        <v>0</v>
      </c>
      <c r="BB151" s="320" t="n">
        <f aca="false">1.25*AJ151*AP151</f>
        <v>0</v>
      </c>
      <c r="BC151" s="320" t="n">
        <f aca="false">1.25*AK151*AQ151</f>
        <v>0</v>
      </c>
      <c r="BD151" s="321" t="n">
        <f aca="false">AG151*AS151</f>
        <v>0</v>
      </c>
      <c r="BE151" s="319" t="n">
        <f aca="false">AH151*AT151</f>
        <v>0</v>
      </c>
      <c r="BF151" s="320" t="n">
        <f aca="false">AJ151*AS151</f>
        <v>0</v>
      </c>
      <c r="BG151" s="322" t="n">
        <f aca="false">AK151*AT151</f>
        <v>0</v>
      </c>
      <c r="BH151" s="324" t="str">
        <f aca="false">IF(BH$24=$AA151,($AG151*$AM151)+($AJ151*$AM151*1.25)+($AH151*$AN151)+($AK151*$AN151*1.25),"")</f>
        <v/>
      </c>
      <c r="BI151" s="325" t="str">
        <f aca="false">IF(BI$24=$AA151,($AG151*$AM151)+($AJ151*$AM151*1.25)+($AH151*$AN151)+($AK151*$AN151*1.25),"")</f>
        <v/>
      </c>
      <c r="BJ151" s="325" t="str">
        <f aca="false">IF(BJ$24=$AA151,($AG151*$AM151)+($AJ151*$AM151*1.25)+($AH151*$AN151)+($AK151*$AN151*1.25),"")</f>
        <v/>
      </c>
      <c r="BK151" s="325" t="n">
        <f aca="false">IF(BK$24=$AA151,($AG151*$AM151)+($AJ151*$AM151*1.25)+($AH151*$AN151)+($AK151*$AN151*1.25),"")</f>
        <v>0</v>
      </c>
      <c r="BL151" s="326" t="str">
        <f aca="false">IF(BL$24=$AA151,($AG151*$AM151)+($AJ151*$AM151*1.25)+($AH151*$AN151)+($AK151*$AN151*1.25),"")</f>
        <v/>
      </c>
      <c r="BM151" s="327" t="str">
        <f aca="false">IF(CONCATENATE(BH151,BI151,BJ151,BK151,BL151)="",1,"")</f>
        <v/>
      </c>
      <c r="BN151" s="328"/>
      <c r="BO151" s="328"/>
      <c r="BP151" s="328"/>
      <c r="BQ151" s="328"/>
      <c r="BR151" s="47"/>
      <c r="BS151" s="127" t="n">
        <f aca="false">(AG151*AM151)+(AH151*AN151)+((AJ151*AM151)+(AK151*AN151)*1.25)</f>
        <v>0</v>
      </c>
      <c r="BT151" s="127" t="n">
        <f aca="false">(AG151*AP151)+(AH151*AQ151)+((AJ151*AP151)+(AK151*AQ151)*1.25)</f>
        <v>0</v>
      </c>
      <c r="BU151" s="329"/>
      <c r="BV151" s="129"/>
    </row>
    <row r="152" customFormat="false" ht="15" hidden="false" customHeight="false" outlineLevel="0" collapsed="false">
      <c r="A152" s="228"/>
      <c r="B152" s="229"/>
      <c r="C152" s="230"/>
      <c r="D152" s="231"/>
      <c r="E152" s="223" t="str">
        <f aca="false">IF(SUM(A152:D152)&gt;0,SUM(A152:D152),"")</f>
        <v/>
      </c>
      <c r="F152" s="224" t="str">
        <f aca="false">AD165</f>
        <v>REPOLLO</v>
      </c>
      <c r="G152" s="169"/>
      <c r="H152" s="169"/>
      <c r="I152" s="169"/>
      <c r="J152" s="169"/>
      <c r="K152" s="169"/>
      <c r="L152" s="169"/>
      <c r="M152" s="169"/>
      <c r="N152" s="169"/>
      <c r="O152" s="169"/>
      <c r="P152" s="169"/>
      <c r="Q152" s="169"/>
      <c r="R152" s="3"/>
      <c r="S152" s="3"/>
      <c r="T152" s="3"/>
      <c r="U152" s="3"/>
      <c r="V152" s="3"/>
      <c r="W152" s="3"/>
      <c r="X152" s="3"/>
      <c r="Y152" s="3"/>
      <c r="Z152" s="316" t="str">
        <f aca="false">IF(AF152&gt;0,RANK(AF152,AF$6:AF$422),"")</f>
        <v/>
      </c>
      <c r="AA152" s="134" t="n">
        <f aca="false">'O_MN, PE_UTA_UGM 2024'!N129</f>
        <v>4</v>
      </c>
      <c r="AB152" s="135" t="n">
        <f aca="false">'O_MN, PE_UTA_UGM 2024'!O129</f>
        <v>19</v>
      </c>
      <c r="AC152" s="317" t="n">
        <f aca="false">'O_MN, PE_UTA_UGM 2024'!C129</f>
        <v>166</v>
      </c>
      <c r="AD152" s="293" t="str">
        <f aca="false">IF(AB152=0,'O_MN, PE_UTA_UGM 2024'!F129,CONCATENATE('O_MN, PE_UTA_UGM 2024'!F129," ","INVERNADERO"))</f>
        <v>ACELGA INVERNADERO</v>
      </c>
      <c r="AE152" s="89"/>
      <c r="AF152" s="123" t="n">
        <f aca="false">SUM(AG152:AH152)+SUM(AJ152:AK152)</f>
        <v>0</v>
      </c>
      <c r="AG152" s="318" t="n">
        <f aca="false">A139</f>
        <v>0</v>
      </c>
      <c r="AH152" s="319" t="n">
        <f aca="false">B139</f>
        <v>0</v>
      </c>
      <c r="AI152" s="6"/>
      <c r="AJ152" s="320" t="n">
        <f aca="false">C139</f>
        <v>0</v>
      </c>
      <c r="AK152" s="320" t="n">
        <f aca="false">D139</f>
        <v>0</v>
      </c>
      <c r="AL152" s="237" t="s">
        <v>278</v>
      </c>
      <c r="AM152" s="299" t="n">
        <f aca="false">'O_MN, PE_UTA_UGM 2024'!J129</f>
        <v>0</v>
      </c>
      <c r="AN152" s="299" t="n">
        <f aca="false">'O_MN, PE_UTA_UGM 2024'!K129</f>
        <v>80000</v>
      </c>
      <c r="AO152" s="300"/>
      <c r="AP152" s="299" t="n">
        <f aca="false">'O_MN, PE_UTA_UGM 2024'!H129</f>
        <v>0</v>
      </c>
      <c r="AQ152" s="299" t="n">
        <f aca="false">'O_MN, PE_UTA_UGM 2024'!I129</f>
        <v>36060.73</v>
      </c>
      <c r="AR152" s="301"/>
      <c r="AS152" s="302" t="n">
        <f aca="false">'O_MN, PE_UTA_UGM 2024'!L129</f>
        <v>0</v>
      </c>
      <c r="AT152" s="302" t="n">
        <f aca="false">'O_MN, PE_UTA_UGM 2024'!M129</f>
        <v>1.46978</v>
      </c>
      <c r="AU152" s="45"/>
      <c r="AV152" s="321" t="n">
        <f aca="false">AG152*AM152</f>
        <v>0</v>
      </c>
      <c r="AW152" s="319" t="n">
        <f aca="false">AH152*AN152</f>
        <v>0</v>
      </c>
      <c r="AX152" s="320" t="n">
        <f aca="false">1.25*AJ152*AM152</f>
        <v>0</v>
      </c>
      <c r="AY152" s="322" t="n">
        <f aca="false">1.25*AK152*AN152</f>
        <v>0</v>
      </c>
      <c r="AZ152" s="323" t="n">
        <f aca="false">AG152*AP152</f>
        <v>0</v>
      </c>
      <c r="BA152" s="319" t="n">
        <f aca="false">AH152*AQ152</f>
        <v>0</v>
      </c>
      <c r="BB152" s="320" t="n">
        <f aca="false">1.25*AJ152*AP152</f>
        <v>0</v>
      </c>
      <c r="BC152" s="320" t="n">
        <f aca="false">1.25*AK152*AQ152</f>
        <v>0</v>
      </c>
      <c r="BD152" s="321" t="n">
        <f aca="false">AG152*AS152</f>
        <v>0</v>
      </c>
      <c r="BE152" s="319" t="n">
        <f aca="false">AH152*AT152</f>
        <v>0</v>
      </c>
      <c r="BF152" s="320" t="n">
        <f aca="false">AJ152*AS152</f>
        <v>0</v>
      </c>
      <c r="BG152" s="322" t="n">
        <f aca="false">AK152*AT152</f>
        <v>0</v>
      </c>
      <c r="BH152" s="324" t="str">
        <f aca="false">IF(BH$24=$AA152,($AG152*$AM152)+($AJ152*$AM152*1.25)+($AH152*$AN152)+($AK152*$AN152*1.25),"")</f>
        <v/>
      </c>
      <c r="BI152" s="325" t="str">
        <f aca="false">IF(BI$24=$AA152,($AG152*$AM152)+($AJ152*$AM152*1.25)+($AH152*$AN152)+($AK152*$AN152*1.25),"")</f>
        <v/>
      </c>
      <c r="BJ152" s="325" t="str">
        <f aca="false">IF(BJ$24=$AA152,($AG152*$AM152)+($AJ152*$AM152*1.25)+($AH152*$AN152)+($AK152*$AN152*1.25),"")</f>
        <v/>
      </c>
      <c r="BK152" s="325" t="n">
        <f aca="false">IF(BK$24=$AA152,($AG152*$AM152)+($AJ152*$AM152*1.25)+($AH152*$AN152)+($AK152*$AN152*1.25),"")</f>
        <v>0</v>
      </c>
      <c r="BL152" s="326" t="str">
        <f aca="false">IF(BL$24=$AA152,($AG152*$AM152)+($AJ152*$AM152*1.25)+($AH152*$AN152)+($AK152*$AN152*1.25),"")</f>
        <v/>
      </c>
      <c r="BM152" s="327" t="str">
        <f aca="false">IF(CONCATENATE(BH152,BI152,BJ152,BK152,BL152)="",1,"")</f>
        <v/>
      </c>
      <c r="BN152" s="328"/>
      <c r="BO152" s="328"/>
      <c r="BP152" s="328"/>
      <c r="BQ152" s="328"/>
      <c r="BR152" s="47"/>
      <c r="BS152" s="127" t="n">
        <f aca="false">(AG152*AM152)+(AH152*AN152)+((AJ152*AM152)+(AK152*AN152)*1.25)</f>
        <v>0</v>
      </c>
      <c r="BT152" s="127" t="n">
        <f aca="false">(AG152*AP152)+(AH152*AQ152)+((AJ152*AP152)+(AK152*AQ152)*1.25)</f>
        <v>0</v>
      </c>
      <c r="BU152" s="329"/>
      <c r="BV152" s="129"/>
    </row>
    <row r="153" customFormat="false" ht="15" hidden="false" customHeight="false" outlineLevel="0" collapsed="false">
      <c r="A153" s="228"/>
      <c r="B153" s="229"/>
      <c r="C153" s="230"/>
      <c r="D153" s="231"/>
      <c r="E153" s="223" t="str">
        <f aca="false">IF(SUM(A153:D153)&gt;0,SUM(A153:D153),"")</f>
        <v/>
      </c>
      <c r="F153" s="224" t="str">
        <f aca="false">AD166</f>
        <v>REPOLLO INVERNADERO</v>
      </c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3"/>
      <c r="S153" s="3"/>
      <c r="T153" s="3"/>
      <c r="U153" s="3"/>
      <c r="V153" s="3"/>
      <c r="W153" s="3"/>
      <c r="X153" s="3"/>
      <c r="Y153" s="3"/>
      <c r="Z153" s="316" t="str">
        <f aca="false">IF(AF153&gt;0,RANK(AF153,AF$6:AF$422),"")</f>
        <v/>
      </c>
      <c r="AA153" s="134" t="n">
        <f aca="false">'O_MN, PE_UTA_UGM 2024'!N130</f>
        <v>4</v>
      </c>
      <c r="AB153" s="135" t="n">
        <f aca="false">'O_MN, PE_UTA_UGM 2024'!O130</f>
        <v>0</v>
      </c>
      <c r="AC153" s="317" t="n">
        <f aca="false">'O_MN, PE_UTA_UGM 2024'!C130</f>
        <v>167</v>
      </c>
      <c r="AD153" s="293" t="str">
        <f aca="false">IF(AB153=0,'O_MN, PE_UTA_UGM 2024'!F130,CONCATENATE('O_MN, PE_UTA_UGM 2024'!F130," ","INVERNADERO"))</f>
        <v>CEBOLLETA</v>
      </c>
      <c r="AE153" s="89"/>
      <c r="AF153" s="123" t="n">
        <f aca="false">SUM(AG153:AH153)+SUM(AJ153:AK153)</f>
        <v>0</v>
      </c>
      <c r="AG153" s="318" t="n">
        <f aca="false">A140</f>
        <v>0</v>
      </c>
      <c r="AH153" s="319" t="n">
        <f aca="false">B140</f>
        <v>0</v>
      </c>
      <c r="AI153" s="6"/>
      <c r="AJ153" s="320" t="n">
        <f aca="false">C140</f>
        <v>0</v>
      </c>
      <c r="AK153" s="320" t="n">
        <f aca="false">D140</f>
        <v>0</v>
      </c>
      <c r="AL153" s="237" t="s">
        <v>279</v>
      </c>
      <c r="AM153" s="299" t="n">
        <f aca="false">'O_MN, PE_UTA_UGM 2024'!J130</f>
        <v>575</v>
      </c>
      <c r="AN153" s="299" t="n">
        <f aca="false">'O_MN, PE_UTA_UGM 2024'!K130</f>
        <v>7200</v>
      </c>
      <c r="AO153" s="300"/>
      <c r="AP153" s="299" t="n">
        <f aca="false">'O_MN, PE_UTA_UGM 2024'!H130</f>
        <v>360.61</v>
      </c>
      <c r="AQ153" s="299" t="n">
        <f aca="false">'O_MN, PE_UTA_UGM 2024'!I130</f>
        <v>1352.28</v>
      </c>
      <c r="AR153" s="301"/>
      <c r="AS153" s="302" t="n">
        <f aca="false">'O_MN, PE_UTA_UGM 2024'!L130</f>
        <v>0.0147</v>
      </c>
      <c r="AT153" s="302" t="n">
        <f aca="false">'O_MN, PE_UTA_UGM 2024'!M130</f>
        <v>0.05512</v>
      </c>
      <c r="AU153" s="45"/>
      <c r="AV153" s="321" t="n">
        <f aca="false">AG153*AM153</f>
        <v>0</v>
      </c>
      <c r="AW153" s="319" t="n">
        <f aca="false">AH153*AN153</f>
        <v>0</v>
      </c>
      <c r="AX153" s="320" t="n">
        <f aca="false">1.25*AJ153*AM153</f>
        <v>0</v>
      </c>
      <c r="AY153" s="322" t="n">
        <f aca="false">1.25*AK153*AN153</f>
        <v>0</v>
      </c>
      <c r="AZ153" s="323" t="n">
        <f aca="false">AG153*AP153</f>
        <v>0</v>
      </c>
      <c r="BA153" s="319" t="n">
        <f aca="false">AH153*AQ153</f>
        <v>0</v>
      </c>
      <c r="BB153" s="320" t="n">
        <f aca="false">1.25*AJ153*AP153</f>
        <v>0</v>
      </c>
      <c r="BC153" s="320" t="n">
        <f aca="false">1.25*AK153*AQ153</f>
        <v>0</v>
      </c>
      <c r="BD153" s="321" t="n">
        <f aca="false">AG153*AS153</f>
        <v>0</v>
      </c>
      <c r="BE153" s="319" t="n">
        <f aca="false">AH153*AT153</f>
        <v>0</v>
      </c>
      <c r="BF153" s="320" t="n">
        <f aca="false">AJ153*AS153</f>
        <v>0</v>
      </c>
      <c r="BG153" s="322" t="n">
        <f aca="false">AK153*AT153</f>
        <v>0</v>
      </c>
      <c r="BH153" s="324" t="str">
        <f aca="false">IF(BH$24=$AA153,($AG153*$AM153)+($AJ153*$AM153*1.25)+($AH153*$AN153)+($AK153*$AN153*1.25),"")</f>
        <v/>
      </c>
      <c r="BI153" s="325" t="str">
        <f aca="false">IF(BI$24=$AA153,($AG153*$AM153)+($AJ153*$AM153*1.25)+($AH153*$AN153)+($AK153*$AN153*1.25),"")</f>
        <v/>
      </c>
      <c r="BJ153" s="325" t="str">
        <f aca="false">IF(BJ$24=$AA153,($AG153*$AM153)+($AJ153*$AM153*1.25)+($AH153*$AN153)+($AK153*$AN153*1.25),"")</f>
        <v/>
      </c>
      <c r="BK153" s="325" t="n">
        <f aca="false">IF(BK$24=$AA153,($AG153*$AM153)+($AJ153*$AM153*1.25)+($AH153*$AN153)+($AK153*$AN153*1.25),"")</f>
        <v>0</v>
      </c>
      <c r="BL153" s="326" t="str">
        <f aca="false">IF(BL$24=$AA153,($AG153*$AM153)+($AJ153*$AM153*1.25)+($AH153*$AN153)+($AK153*$AN153*1.25),"")</f>
        <v/>
      </c>
      <c r="BM153" s="327" t="str">
        <f aca="false">IF(CONCATENATE(BH153,BI153,BJ153,BK153,BL153)="",1,"")</f>
        <v/>
      </c>
      <c r="BN153" s="328"/>
      <c r="BO153" s="328"/>
      <c r="BP153" s="328"/>
      <c r="BQ153" s="328"/>
      <c r="BR153" s="47"/>
      <c r="BS153" s="127" t="n">
        <f aca="false">(AG153*AM153)+(AH153*AN153)+((AJ153*AM153)+(AK153*AN153)*1.25)</f>
        <v>0</v>
      </c>
      <c r="BT153" s="127" t="n">
        <f aca="false">(AG153*AP153)+(AH153*AQ153)+((AJ153*AP153)+(AK153*AQ153)*1.25)</f>
        <v>0</v>
      </c>
      <c r="BU153" s="329"/>
      <c r="BV153" s="129"/>
    </row>
    <row r="154" customFormat="false" ht="15" hidden="false" customHeight="false" outlineLevel="0" collapsed="false">
      <c r="A154" s="228"/>
      <c r="B154" s="229"/>
      <c r="C154" s="230"/>
      <c r="D154" s="231"/>
      <c r="E154" s="223" t="str">
        <f aca="false">IF(SUM(A154:D154)&gt;0,SUM(A154:D154),"")</f>
        <v/>
      </c>
      <c r="F154" s="224" t="str">
        <f aca="false">AD167</f>
        <v>REPOLLO INVERNADERO</v>
      </c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3"/>
      <c r="S154" s="3"/>
      <c r="T154" s="3"/>
      <c r="U154" s="3"/>
      <c r="V154" s="3"/>
      <c r="W154" s="3"/>
      <c r="X154" s="3"/>
      <c r="Y154" s="3"/>
      <c r="Z154" s="316" t="str">
        <f aca="false">IF(AF154&gt;0,RANK(AF154,AF$6:AF$422),"")</f>
        <v/>
      </c>
      <c r="AA154" s="134" t="n">
        <f aca="false">'O_MN, PE_UTA_UGM 2024'!N131</f>
        <v>4</v>
      </c>
      <c r="AB154" s="135" t="n">
        <f aca="false">'O_MN, PE_UTA_UGM 2024'!O131</f>
        <v>4</v>
      </c>
      <c r="AC154" s="317" t="n">
        <f aca="false">'O_MN, PE_UTA_UGM 2024'!C131</f>
        <v>167</v>
      </c>
      <c r="AD154" s="293" t="str">
        <f aca="false">IF(AB154=0,'O_MN, PE_UTA_UGM 2024'!F131,CONCATENATE('O_MN, PE_UTA_UGM 2024'!F131," ","INVERNADERO"))</f>
        <v>CEBOLLETA INVERNADERO</v>
      </c>
      <c r="AE154" s="89"/>
      <c r="AF154" s="123" t="n">
        <f aca="false">SUM(AG154:AH154)+SUM(AJ154:AK154)</f>
        <v>0</v>
      </c>
      <c r="AG154" s="318" t="n">
        <f aca="false">A141</f>
        <v>0</v>
      </c>
      <c r="AH154" s="319" t="n">
        <f aca="false">B141</f>
        <v>0</v>
      </c>
      <c r="AI154" s="6"/>
      <c r="AJ154" s="320" t="n">
        <f aca="false">C141</f>
        <v>0</v>
      </c>
      <c r="AK154" s="320" t="n">
        <f aca="false">D141</f>
        <v>0</v>
      </c>
      <c r="AL154" s="237" t="s">
        <v>280</v>
      </c>
      <c r="AM154" s="299" t="n">
        <f aca="false">'O_MN, PE_UTA_UGM 2024'!J131</f>
        <v>0</v>
      </c>
      <c r="AN154" s="299" t="n">
        <f aca="false">'O_MN, PE_UTA_UGM 2024'!K131</f>
        <v>80000</v>
      </c>
      <c r="AO154" s="300"/>
      <c r="AP154" s="299" t="n">
        <f aca="false">'O_MN, PE_UTA_UGM 2024'!H131</f>
        <v>0</v>
      </c>
      <c r="AQ154" s="299" t="n">
        <f aca="false">'O_MN, PE_UTA_UGM 2024'!I131</f>
        <v>36060.73</v>
      </c>
      <c r="AR154" s="301"/>
      <c r="AS154" s="302" t="n">
        <f aca="false">'O_MN, PE_UTA_UGM 2024'!L131</f>
        <v>0</v>
      </c>
      <c r="AT154" s="302" t="n">
        <f aca="false">'O_MN, PE_UTA_UGM 2024'!M131</f>
        <v>1.46978</v>
      </c>
      <c r="AU154" s="45"/>
      <c r="AV154" s="321" t="n">
        <f aca="false">AG154*AM154</f>
        <v>0</v>
      </c>
      <c r="AW154" s="319" t="n">
        <f aca="false">AH154*AN154</f>
        <v>0</v>
      </c>
      <c r="AX154" s="320" t="n">
        <f aca="false">1.25*AJ154*AM154</f>
        <v>0</v>
      </c>
      <c r="AY154" s="322" t="n">
        <f aca="false">1.25*AK154*AN154</f>
        <v>0</v>
      </c>
      <c r="AZ154" s="323" t="n">
        <f aca="false">AG154*AP154</f>
        <v>0</v>
      </c>
      <c r="BA154" s="319" t="n">
        <f aca="false">AH154*AQ154</f>
        <v>0</v>
      </c>
      <c r="BB154" s="320" t="n">
        <f aca="false">1.25*AJ154*AP154</f>
        <v>0</v>
      </c>
      <c r="BC154" s="320" t="n">
        <f aca="false">1.25*AK154*AQ154</f>
        <v>0</v>
      </c>
      <c r="BD154" s="321" t="n">
        <f aca="false">AG154*AS154</f>
        <v>0</v>
      </c>
      <c r="BE154" s="319" t="n">
        <f aca="false">AH154*AT154</f>
        <v>0</v>
      </c>
      <c r="BF154" s="320" t="n">
        <f aca="false">AJ154*AS154</f>
        <v>0</v>
      </c>
      <c r="BG154" s="322" t="n">
        <f aca="false">AK154*AT154</f>
        <v>0</v>
      </c>
      <c r="BH154" s="324" t="str">
        <f aca="false">IF(BH$24=$AA154,($AG154*$AM154)+($AJ154*$AM154*1.25)+($AH154*$AN154)+($AK154*$AN154*1.25),"")</f>
        <v/>
      </c>
      <c r="BI154" s="325" t="str">
        <f aca="false">IF(BI$24=$AA154,($AG154*$AM154)+($AJ154*$AM154*1.25)+($AH154*$AN154)+($AK154*$AN154*1.25),"")</f>
        <v/>
      </c>
      <c r="BJ154" s="325" t="str">
        <f aca="false">IF(BJ$24=$AA154,($AG154*$AM154)+($AJ154*$AM154*1.25)+($AH154*$AN154)+($AK154*$AN154*1.25),"")</f>
        <v/>
      </c>
      <c r="BK154" s="325" t="n">
        <f aca="false">IF(BK$24=$AA154,($AG154*$AM154)+($AJ154*$AM154*1.25)+($AH154*$AN154)+($AK154*$AN154*1.25),"")</f>
        <v>0</v>
      </c>
      <c r="BL154" s="326" t="str">
        <f aca="false">IF(BL$24=$AA154,($AG154*$AM154)+($AJ154*$AM154*1.25)+($AH154*$AN154)+($AK154*$AN154*1.25),"")</f>
        <v/>
      </c>
      <c r="BM154" s="327" t="str">
        <f aca="false">IF(CONCATENATE(BH154,BI154,BJ154,BK154,BL154)="",1,"")</f>
        <v/>
      </c>
      <c r="BN154" s="328"/>
      <c r="BO154" s="328"/>
      <c r="BP154" s="328"/>
      <c r="BQ154" s="328"/>
      <c r="BR154" s="47"/>
      <c r="BS154" s="127" t="n">
        <f aca="false">(AG154*AM154)+(AH154*AN154)+((AJ154*AM154)+(AK154*AN154)*1.25)</f>
        <v>0</v>
      </c>
      <c r="BT154" s="127" t="n">
        <f aca="false">(AG154*AP154)+(AH154*AQ154)+((AJ154*AP154)+(AK154*AQ154)*1.25)</f>
        <v>0</v>
      </c>
      <c r="BU154" s="329"/>
      <c r="BV154" s="129"/>
    </row>
    <row r="155" customFormat="false" ht="15" hidden="false" customHeight="false" outlineLevel="0" collapsed="false">
      <c r="A155" s="228"/>
      <c r="B155" s="229"/>
      <c r="C155" s="230"/>
      <c r="D155" s="231"/>
      <c r="E155" s="223" t="str">
        <f aca="false">IF(SUM(A155:D155)&gt;0,SUM(A155:D155),"")</f>
        <v/>
      </c>
      <c r="F155" s="224" t="str">
        <f aca="false">AD168</f>
        <v>COL ROJA O LOMBARDA</v>
      </c>
      <c r="G155" s="169"/>
      <c r="H155" s="169"/>
      <c r="I155" s="169"/>
      <c r="J155" s="169"/>
      <c r="K155" s="169"/>
      <c r="L155" s="169"/>
      <c r="M155" s="169"/>
      <c r="N155" s="169"/>
      <c r="O155" s="169"/>
      <c r="P155" s="169"/>
      <c r="Q155" s="169"/>
      <c r="R155" s="3"/>
      <c r="S155" s="3"/>
      <c r="T155" s="3"/>
      <c r="U155" s="3"/>
      <c r="V155" s="3"/>
      <c r="W155" s="3"/>
      <c r="X155" s="3"/>
      <c r="Y155" s="3"/>
      <c r="Z155" s="316" t="str">
        <f aca="false">IF(AF155&gt;0,RANK(AF155,AF$6:AF$422),"")</f>
        <v/>
      </c>
      <c r="AA155" s="134" t="n">
        <f aca="false">'O_MN, PE_UTA_UGM 2024'!N132</f>
        <v>4</v>
      </c>
      <c r="AB155" s="135" t="n">
        <f aca="false">'O_MN, PE_UTA_UGM 2024'!O132</f>
        <v>19</v>
      </c>
      <c r="AC155" s="317" t="n">
        <f aca="false">'O_MN, PE_UTA_UGM 2024'!C132</f>
        <v>167</v>
      </c>
      <c r="AD155" s="293" t="str">
        <f aca="false">IF(AB155=0,'O_MN, PE_UTA_UGM 2024'!F132,CONCATENATE('O_MN, PE_UTA_UGM 2024'!F132," ","INVERNADERO"))</f>
        <v>CEBOLLETA INVERNADERO</v>
      </c>
      <c r="AE155" s="89"/>
      <c r="AF155" s="123" t="n">
        <f aca="false">SUM(AG155:AH155)+SUM(AJ155:AK155)</f>
        <v>0</v>
      </c>
      <c r="AG155" s="318" t="n">
        <f aca="false">A142</f>
        <v>0</v>
      </c>
      <c r="AH155" s="319" t="n">
        <f aca="false">B142</f>
        <v>0</v>
      </c>
      <c r="AI155" s="6"/>
      <c r="AJ155" s="320" t="n">
        <f aca="false">C142</f>
        <v>0</v>
      </c>
      <c r="AK155" s="320" t="n">
        <f aca="false">D142</f>
        <v>0</v>
      </c>
      <c r="AL155" s="237" t="s">
        <v>281</v>
      </c>
      <c r="AM155" s="299" t="n">
        <f aca="false">'O_MN, PE_UTA_UGM 2024'!J132</f>
        <v>0</v>
      </c>
      <c r="AN155" s="299" t="n">
        <f aca="false">'O_MN, PE_UTA_UGM 2024'!K132</f>
        <v>80000</v>
      </c>
      <c r="AO155" s="300"/>
      <c r="AP155" s="299" t="n">
        <f aca="false">'O_MN, PE_UTA_UGM 2024'!H132</f>
        <v>0</v>
      </c>
      <c r="AQ155" s="299" t="n">
        <f aca="false">'O_MN, PE_UTA_UGM 2024'!I132</f>
        <v>36060.73</v>
      </c>
      <c r="AR155" s="301"/>
      <c r="AS155" s="302" t="n">
        <f aca="false">'O_MN, PE_UTA_UGM 2024'!L132</f>
        <v>0</v>
      </c>
      <c r="AT155" s="302" t="n">
        <f aca="false">'O_MN, PE_UTA_UGM 2024'!M132</f>
        <v>1.46978</v>
      </c>
      <c r="AU155" s="45"/>
      <c r="AV155" s="321" t="n">
        <f aca="false">AG155*AM155</f>
        <v>0</v>
      </c>
      <c r="AW155" s="319" t="n">
        <f aca="false">AH155*AN155</f>
        <v>0</v>
      </c>
      <c r="AX155" s="320" t="n">
        <f aca="false">1.25*AJ155*AM155</f>
        <v>0</v>
      </c>
      <c r="AY155" s="322" t="n">
        <f aca="false">1.25*AK155*AN155</f>
        <v>0</v>
      </c>
      <c r="AZ155" s="323" t="n">
        <f aca="false">AG155*AP155</f>
        <v>0</v>
      </c>
      <c r="BA155" s="319" t="n">
        <f aca="false">AH155*AQ155</f>
        <v>0</v>
      </c>
      <c r="BB155" s="320" t="n">
        <f aca="false">1.25*AJ155*AP155</f>
        <v>0</v>
      </c>
      <c r="BC155" s="320" t="n">
        <f aca="false">1.25*AK155*AQ155</f>
        <v>0</v>
      </c>
      <c r="BD155" s="321" t="n">
        <f aca="false">AG155*AS155</f>
        <v>0</v>
      </c>
      <c r="BE155" s="319" t="n">
        <f aca="false">AH155*AT155</f>
        <v>0</v>
      </c>
      <c r="BF155" s="320" t="n">
        <f aca="false">AJ155*AS155</f>
        <v>0</v>
      </c>
      <c r="BG155" s="322" t="n">
        <f aca="false">AK155*AT155</f>
        <v>0</v>
      </c>
      <c r="BH155" s="324" t="str">
        <f aca="false">IF(BH$24=$AA155,($AG155*$AM155)+($AJ155*$AM155*1.25)+($AH155*$AN155)+($AK155*$AN155*1.25),"")</f>
        <v/>
      </c>
      <c r="BI155" s="325" t="str">
        <f aca="false">IF(BI$24=$AA155,($AG155*$AM155)+($AJ155*$AM155*1.25)+($AH155*$AN155)+($AK155*$AN155*1.25),"")</f>
        <v/>
      </c>
      <c r="BJ155" s="325" t="str">
        <f aca="false">IF(BJ$24=$AA155,($AG155*$AM155)+($AJ155*$AM155*1.25)+($AH155*$AN155)+($AK155*$AN155*1.25),"")</f>
        <v/>
      </c>
      <c r="BK155" s="325" t="n">
        <f aca="false">IF(BK$24=$AA155,($AG155*$AM155)+($AJ155*$AM155*1.25)+($AH155*$AN155)+($AK155*$AN155*1.25),"")</f>
        <v>0</v>
      </c>
      <c r="BL155" s="326" t="str">
        <f aca="false">IF(BL$24=$AA155,($AG155*$AM155)+($AJ155*$AM155*1.25)+($AH155*$AN155)+($AK155*$AN155*1.25),"")</f>
        <v/>
      </c>
      <c r="BM155" s="327" t="str">
        <f aca="false">IF(CONCATENATE(BH155,BI155,BJ155,BK155,BL155)="",1,"")</f>
        <v/>
      </c>
      <c r="BN155" s="328"/>
      <c r="BO155" s="328"/>
      <c r="BP155" s="328"/>
      <c r="BQ155" s="328"/>
      <c r="BR155" s="47"/>
      <c r="BS155" s="127" t="n">
        <f aca="false">(AG155*AM155)+(AH155*AN155)+((AJ155*AM155)+(AK155*AN155)*1.25)</f>
        <v>0</v>
      </c>
      <c r="BT155" s="127" t="n">
        <f aca="false">(AG155*AP155)+(AH155*AQ155)+((AJ155*AP155)+(AK155*AQ155)*1.25)</f>
        <v>0</v>
      </c>
      <c r="BU155" s="329"/>
      <c r="BV155" s="129"/>
    </row>
    <row r="156" customFormat="false" ht="15" hidden="false" customHeight="false" outlineLevel="0" collapsed="false">
      <c r="A156" s="228"/>
      <c r="B156" s="229"/>
      <c r="C156" s="230"/>
      <c r="D156" s="231"/>
      <c r="E156" s="223" t="str">
        <f aca="false">IF(SUM(A156:D156)&gt;0,SUM(A156:D156),"")</f>
        <v/>
      </c>
      <c r="F156" s="224" t="str">
        <f aca="false">AD169</f>
        <v>COL ROJA O LOMBARDA INVERNADERO</v>
      </c>
      <c r="G156" s="169"/>
      <c r="H156" s="169"/>
      <c r="I156" s="169"/>
      <c r="J156" s="169"/>
      <c r="K156" s="169"/>
      <c r="L156" s="169"/>
      <c r="M156" s="169"/>
      <c r="N156" s="169"/>
      <c r="O156" s="169"/>
      <c r="P156" s="169"/>
      <c r="Q156" s="169"/>
      <c r="R156" s="3"/>
      <c r="S156" s="3"/>
      <c r="T156" s="3"/>
      <c r="U156" s="3"/>
      <c r="V156" s="3"/>
      <c r="W156" s="3"/>
      <c r="X156" s="3"/>
      <c r="Y156" s="3"/>
      <c r="Z156" s="316" t="str">
        <f aca="false">IF(AF156&gt;0,RANK(AF156,AF$6:AF$422),"")</f>
        <v/>
      </c>
      <c r="AA156" s="134" t="n">
        <f aca="false">'O_MN, PE_UTA_UGM 2024'!N133</f>
        <v>4</v>
      </c>
      <c r="AB156" s="135" t="n">
        <f aca="false">'O_MN, PE_UTA_UGM 2024'!O133</f>
        <v>0</v>
      </c>
      <c r="AC156" s="317" t="n">
        <f aca="false">'O_MN, PE_UTA_UGM 2024'!C133</f>
        <v>168</v>
      </c>
      <c r="AD156" s="293" t="str">
        <f aca="false">IF(AB156=0,'O_MN, PE_UTA_UGM 2024'!F133,CONCATENATE('O_MN, PE_UTA_UGM 2024'!F133," ","INVERNADERO"))</f>
        <v>CHALOTA</v>
      </c>
      <c r="AE156" s="89"/>
      <c r="AF156" s="123" t="n">
        <f aca="false">SUM(AG156:AH156)+SUM(AJ156:AK156)</f>
        <v>0</v>
      </c>
      <c r="AG156" s="318" t="n">
        <f aca="false">A143</f>
        <v>0</v>
      </c>
      <c r="AH156" s="319" t="n">
        <f aca="false">B143</f>
        <v>0</v>
      </c>
      <c r="AI156" s="6"/>
      <c r="AJ156" s="320" t="n">
        <f aca="false">C143</f>
        <v>0</v>
      </c>
      <c r="AK156" s="320" t="n">
        <f aca="false">D143</f>
        <v>0</v>
      </c>
      <c r="AL156" s="237" t="s">
        <v>282</v>
      </c>
      <c r="AM156" s="299" t="n">
        <f aca="false">'O_MN, PE_UTA_UGM 2024'!J133</f>
        <v>575</v>
      </c>
      <c r="AN156" s="299" t="n">
        <f aca="false">'O_MN, PE_UTA_UGM 2024'!K133</f>
        <v>5200</v>
      </c>
      <c r="AO156" s="300"/>
      <c r="AP156" s="299" t="n">
        <f aca="false">'O_MN, PE_UTA_UGM 2024'!H133</f>
        <v>360.61</v>
      </c>
      <c r="AQ156" s="299" t="n">
        <f aca="false">'O_MN, PE_UTA_UGM 2024'!I133</f>
        <v>1352.28</v>
      </c>
      <c r="AR156" s="301"/>
      <c r="AS156" s="302" t="n">
        <f aca="false">'O_MN, PE_UTA_UGM 2024'!L133</f>
        <v>0.0147</v>
      </c>
      <c r="AT156" s="302" t="n">
        <f aca="false">'O_MN, PE_UTA_UGM 2024'!M133</f>
        <v>0.05512</v>
      </c>
      <c r="AU156" s="45"/>
      <c r="AV156" s="321" t="n">
        <f aca="false">AG156*AM156</f>
        <v>0</v>
      </c>
      <c r="AW156" s="319" t="n">
        <f aca="false">AH156*AN156</f>
        <v>0</v>
      </c>
      <c r="AX156" s="320" t="n">
        <f aca="false">1.25*AJ156*AM156</f>
        <v>0</v>
      </c>
      <c r="AY156" s="322" t="n">
        <f aca="false">1.25*AK156*AN156</f>
        <v>0</v>
      </c>
      <c r="AZ156" s="323" t="n">
        <f aca="false">AG156*AP156</f>
        <v>0</v>
      </c>
      <c r="BA156" s="319" t="n">
        <f aca="false">AH156*AQ156</f>
        <v>0</v>
      </c>
      <c r="BB156" s="320" t="n">
        <f aca="false">1.25*AJ156*AP156</f>
        <v>0</v>
      </c>
      <c r="BC156" s="320" t="n">
        <f aca="false">1.25*AK156*AQ156</f>
        <v>0</v>
      </c>
      <c r="BD156" s="321" t="n">
        <f aca="false">AG156*AS156</f>
        <v>0</v>
      </c>
      <c r="BE156" s="319" t="n">
        <f aca="false">AH156*AT156</f>
        <v>0</v>
      </c>
      <c r="BF156" s="320" t="n">
        <f aca="false">AJ156*AS156</f>
        <v>0</v>
      </c>
      <c r="BG156" s="322" t="n">
        <f aca="false">AK156*AT156</f>
        <v>0</v>
      </c>
      <c r="BH156" s="324" t="str">
        <f aca="false">IF(BH$24=$AA156,($AG156*$AM156)+($AJ156*$AM156*1.25)+($AH156*$AN156)+($AK156*$AN156*1.25),"")</f>
        <v/>
      </c>
      <c r="BI156" s="325" t="str">
        <f aca="false">IF(BI$24=$AA156,($AG156*$AM156)+($AJ156*$AM156*1.25)+($AH156*$AN156)+($AK156*$AN156*1.25),"")</f>
        <v/>
      </c>
      <c r="BJ156" s="325" t="str">
        <f aca="false">IF(BJ$24=$AA156,($AG156*$AM156)+($AJ156*$AM156*1.25)+($AH156*$AN156)+($AK156*$AN156*1.25),"")</f>
        <v/>
      </c>
      <c r="BK156" s="325" t="n">
        <f aca="false">IF(BK$24=$AA156,($AG156*$AM156)+($AJ156*$AM156*1.25)+($AH156*$AN156)+($AK156*$AN156*1.25),"")</f>
        <v>0</v>
      </c>
      <c r="BL156" s="326" t="str">
        <f aca="false">IF(BL$24=$AA156,($AG156*$AM156)+($AJ156*$AM156*1.25)+($AH156*$AN156)+($AK156*$AN156*1.25),"")</f>
        <v/>
      </c>
      <c r="BM156" s="327" t="str">
        <f aca="false">IF(CONCATENATE(BH156,BI156,BJ156,BK156,BL156)="",1,"")</f>
        <v/>
      </c>
      <c r="BN156" s="328"/>
      <c r="BO156" s="328"/>
      <c r="BP156" s="328"/>
      <c r="BQ156" s="328"/>
      <c r="BR156" s="47"/>
      <c r="BS156" s="127" t="n">
        <f aca="false">(AG156*AM156)+(AH156*AN156)+((AJ156*AM156)+(AK156*AN156)*1.25)</f>
        <v>0</v>
      </c>
      <c r="BT156" s="127" t="n">
        <f aca="false">(AG156*AP156)+(AH156*AQ156)+((AJ156*AP156)+(AK156*AQ156)*1.25)</f>
        <v>0</v>
      </c>
      <c r="BU156" s="329"/>
      <c r="BV156" s="129"/>
    </row>
    <row r="157" customFormat="false" ht="15" hidden="false" customHeight="false" outlineLevel="0" collapsed="false">
      <c r="A157" s="228"/>
      <c r="B157" s="229"/>
      <c r="C157" s="230"/>
      <c r="D157" s="231"/>
      <c r="E157" s="223" t="str">
        <f aca="false">IF(SUM(A157:D157)&gt;0,SUM(A157:D157),"")</f>
        <v/>
      </c>
      <c r="F157" s="224" t="str">
        <f aca="false">AD170</f>
        <v>COL ROJA O LOMBARDA INVERNADERO</v>
      </c>
      <c r="G157" s="169"/>
      <c r="H157" s="169"/>
      <c r="I157" s="169"/>
      <c r="J157" s="169"/>
      <c r="K157" s="169"/>
      <c r="L157" s="169"/>
      <c r="M157" s="169"/>
      <c r="N157" s="169"/>
      <c r="O157" s="169"/>
      <c r="P157" s="169"/>
      <c r="Q157" s="169"/>
      <c r="R157" s="3"/>
      <c r="S157" s="3"/>
      <c r="T157" s="3"/>
      <c r="U157" s="3"/>
      <c r="V157" s="3"/>
      <c r="W157" s="3"/>
      <c r="X157" s="3"/>
      <c r="Y157" s="3"/>
      <c r="Z157" s="316" t="str">
        <f aca="false">IF(AF157&gt;0,RANK(AF157,AF$6:AF$422),"")</f>
        <v/>
      </c>
      <c r="AA157" s="134" t="n">
        <f aca="false">'O_MN, PE_UTA_UGM 2024'!N134</f>
        <v>4</v>
      </c>
      <c r="AB157" s="135" t="n">
        <f aca="false">'O_MN, PE_UTA_UGM 2024'!O134</f>
        <v>4</v>
      </c>
      <c r="AC157" s="317" t="n">
        <f aca="false">'O_MN, PE_UTA_UGM 2024'!C134</f>
        <v>168</v>
      </c>
      <c r="AD157" s="293" t="str">
        <f aca="false">IF(AB157=0,'O_MN, PE_UTA_UGM 2024'!F134,CONCATENATE('O_MN, PE_UTA_UGM 2024'!F134," ","INVERNADERO"))</f>
        <v>CHALOTA INVERNADERO</v>
      </c>
      <c r="AE157" s="89"/>
      <c r="AF157" s="123" t="n">
        <f aca="false">SUM(AG157:AH157)+SUM(AJ157:AK157)</f>
        <v>0</v>
      </c>
      <c r="AG157" s="318" t="n">
        <f aca="false">A144</f>
        <v>0</v>
      </c>
      <c r="AH157" s="319" t="n">
        <f aca="false">B144</f>
        <v>0</v>
      </c>
      <c r="AI157" s="6"/>
      <c r="AJ157" s="320" t="n">
        <f aca="false">C144</f>
        <v>0</v>
      </c>
      <c r="AK157" s="320" t="n">
        <f aca="false">D144</f>
        <v>0</v>
      </c>
      <c r="AL157" s="237" t="s">
        <v>283</v>
      </c>
      <c r="AM157" s="299" t="n">
        <f aca="false">'O_MN, PE_UTA_UGM 2024'!J134</f>
        <v>0</v>
      </c>
      <c r="AN157" s="299" t="n">
        <f aca="false">'O_MN, PE_UTA_UGM 2024'!K134</f>
        <v>80000</v>
      </c>
      <c r="AO157" s="300"/>
      <c r="AP157" s="299" t="n">
        <f aca="false">'O_MN, PE_UTA_UGM 2024'!H134</f>
        <v>0</v>
      </c>
      <c r="AQ157" s="299" t="n">
        <f aca="false">'O_MN, PE_UTA_UGM 2024'!I134</f>
        <v>36060.73</v>
      </c>
      <c r="AR157" s="301"/>
      <c r="AS157" s="302" t="n">
        <f aca="false">'O_MN, PE_UTA_UGM 2024'!L134</f>
        <v>0</v>
      </c>
      <c r="AT157" s="302" t="n">
        <f aca="false">'O_MN, PE_UTA_UGM 2024'!M134</f>
        <v>1.46978</v>
      </c>
      <c r="AU157" s="45"/>
      <c r="AV157" s="321" t="n">
        <f aca="false">AG157*AM157</f>
        <v>0</v>
      </c>
      <c r="AW157" s="319" t="n">
        <f aca="false">AH157*AN157</f>
        <v>0</v>
      </c>
      <c r="AX157" s="320" t="n">
        <f aca="false">1.25*AJ157*AM157</f>
        <v>0</v>
      </c>
      <c r="AY157" s="322" t="n">
        <f aca="false">1.25*AK157*AN157</f>
        <v>0</v>
      </c>
      <c r="AZ157" s="323" t="n">
        <f aca="false">AG157*AP157</f>
        <v>0</v>
      </c>
      <c r="BA157" s="319" t="n">
        <f aca="false">AH157*AQ157</f>
        <v>0</v>
      </c>
      <c r="BB157" s="320" t="n">
        <f aca="false">1.25*AJ157*AP157</f>
        <v>0</v>
      </c>
      <c r="BC157" s="320" t="n">
        <f aca="false">1.25*AK157*AQ157</f>
        <v>0</v>
      </c>
      <c r="BD157" s="321" t="n">
        <f aca="false">AG157*AS157</f>
        <v>0</v>
      </c>
      <c r="BE157" s="319" t="n">
        <f aca="false">AH157*AT157</f>
        <v>0</v>
      </c>
      <c r="BF157" s="320" t="n">
        <f aca="false">AJ157*AS157</f>
        <v>0</v>
      </c>
      <c r="BG157" s="322" t="n">
        <f aca="false">AK157*AT157</f>
        <v>0</v>
      </c>
      <c r="BH157" s="324" t="str">
        <f aca="false">IF(BH$24=$AA157,($AG157*$AM157)+($AJ157*$AM157*1.25)+($AH157*$AN157)+($AK157*$AN157*1.25),"")</f>
        <v/>
      </c>
      <c r="BI157" s="325" t="str">
        <f aca="false">IF(BI$24=$AA157,($AG157*$AM157)+($AJ157*$AM157*1.25)+($AH157*$AN157)+($AK157*$AN157*1.25),"")</f>
        <v/>
      </c>
      <c r="BJ157" s="325" t="str">
        <f aca="false">IF(BJ$24=$AA157,($AG157*$AM157)+($AJ157*$AM157*1.25)+($AH157*$AN157)+($AK157*$AN157*1.25),"")</f>
        <v/>
      </c>
      <c r="BK157" s="325" t="n">
        <f aca="false">IF(BK$24=$AA157,($AG157*$AM157)+($AJ157*$AM157*1.25)+($AH157*$AN157)+($AK157*$AN157*1.25),"")</f>
        <v>0</v>
      </c>
      <c r="BL157" s="326" t="str">
        <f aca="false">IF(BL$24=$AA157,($AG157*$AM157)+($AJ157*$AM157*1.25)+($AH157*$AN157)+($AK157*$AN157*1.25),"")</f>
        <v/>
      </c>
      <c r="BM157" s="327" t="str">
        <f aca="false">IF(CONCATENATE(BH157,BI157,BJ157,BK157,BL157)="",1,"")</f>
        <v/>
      </c>
      <c r="BN157" s="328"/>
      <c r="BO157" s="328"/>
      <c r="BP157" s="328"/>
      <c r="BQ157" s="328"/>
      <c r="BR157" s="47"/>
      <c r="BS157" s="127" t="n">
        <f aca="false">(AG157*AM157)+(AH157*AN157)+((AJ157*AM157)+(AK157*AN157)*1.25)</f>
        <v>0</v>
      </c>
      <c r="BT157" s="127" t="n">
        <f aca="false">(AG157*AP157)+(AH157*AQ157)+((AJ157*AP157)+(AK157*AQ157)*1.25)</f>
        <v>0</v>
      </c>
      <c r="BU157" s="329"/>
      <c r="BV157" s="129"/>
    </row>
    <row r="158" customFormat="false" ht="15" hidden="false" customHeight="false" outlineLevel="0" collapsed="false">
      <c r="A158" s="228"/>
      <c r="B158" s="229"/>
      <c r="C158" s="230"/>
      <c r="D158" s="231"/>
      <c r="E158" s="223" t="str">
        <f aca="false">IF(SUM(A158:D158)&gt;0,SUM(A158:D158),"")</f>
        <v/>
      </c>
      <c r="F158" s="224" t="str">
        <f aca="false">AD171</f>
        <v>COL MILÁN</v>
      </c>
      <c r="G158" s="169"/>
      <c r="H158" s="169"/>
      <c r="I158" s="169"/>
      <c r="J158" s="169"/>
      <c r="K158" s="169"/>
      <c r="L158" s="169"/>
      <c r="M158" s="169"/>
      <c r="N158" s="169"/>
      <c r="O158" s="169"/>
      <c r="P158" s="169"/>
      <c r="Q158" s="169"/>
      <c r="R158" s="3"/>
      <c r="S158" s="3"/>
      <c r="T158" s="3"/>
      <c r="U158" s="3"/>
      <c r="V158" s="3"/>
      <c r="W158" s="3"/>
      <c r="X158" s="3"/>
      <c r="Y158" s="3"/>
      <c r="Z158" s="316" t="str">
        <f aca="false">IF(AF158&gt;0,RANK(AF158,AF$6:AF$422),"")</f>
        <v/>
      </c>
      <c r="AA158" s="134" t="n">
        <f aca="false">'O_MN, PE_UTA_UGM 2024'!N135</f>
        <v>4</v>
      </c>
      <c r="AB158" s="135" t="n">
        <f aca="false">'O_MN, PE_UTA_UGM 2024'!O135</f>
        <v>19</v>
      </c>
      <c r="AC158" s="317" t="n">
        <f aca="false">'O_MN, PE_UTA_UGM 2024'!C135</f>
        <v>168</v>
      </c>
      <c r="AD158" s="293" t="str">
        <f aca="false">IF(AB158=0,'O_MN, PE_UTA_UGM 2024'!F135,CONCATENATE('O_MN, PE_UTA_UGM 2024'!F135," ","INVERNADERO"))</f>
        <v>CHALOTA INVERNADERO</v>
      </c>
      <c r="AE158" s="89"/>
      <c r="AF158" s="123" t="n">
        <f aca="false">SUM(AG158:AH158)+SUM(AJ158:AK158)</f>
        <v>0</v>
      </c>
      <c r="AG158" s="318" t="n">
        <f aca="false">A145</f>
        <v>0</v>
      </c>
      <c r="AH158" s="319" t="n">
        <f aca="false">B145</f>
        <v>0</v>
      </c>
      <c r="AI158" s="6"/>
      <c r="AJ158" s="320" t="n">
        <f aca="false">C145</f>
        <v>0</v>
      </c>
      <c r="AK158" s="320" t="n">
        <f aca="false">D145</f>
        <v>0</v>
      </c>
      <c r="AL158" s="237" t="s">
        <v>284</v>
      </c>
      <c r="AM158" s="299" t="n">
        <f aca="false">'O_MN, PE_UTA_UGM 2024'!J135</f>
        <v>0</v>
      </c>
      <c r="AN158" s="299" t="n">
        <f aca="false">'O_MN, PE_UTA_UGM 2024'!K135</f>
        <v>80000</v>
      </c>
      <c r="AO158" s="300"/>
      <c r="AP158" s="299" t="n">
        <f aca="false">'O_MN, PE_UTA_UGM 2024'!H135</f>
        <v>0</v>
      </c>
      <c r="AQ158" s="299" t="n">
        <f aca="false">'O_MN, PE_UTA_UGM 2024'!I135</f>
        <v>36060.73</v>
      </c>
      <c r="AR158" s="301"/>
      <c r="AS158" s="302" t="n">
        <f aca="false">'O_MN, PE_UTA_UGM 2024'!L135</f>
        <v>0</v>
      </c>
      <c r="AT158" s="302" t="n">
        <f aca="false">'O_MN, PE_UTA_UGM 2024'!M135</f>
        <v>1.46978</v>
      </c>
      <c r="AU158" s="45"/>
      <c r="AV158" s="321" t="n">
        <f aca="false">AG158*AM158</f>
        <v>0</v>
      </c>
      <c r="AW158" s="319" t="n">
        <f aca="false">AH158*AN158</f>
        <v>0</v>
      </c>
      <c r="AX158" s="320" t="n">
        <f aca="false">1.25*AJ158*AM158</f>
        <v>0</v>
      </c>
      <c r="AY158" s="322" t="n">
        <f aca="false">1.25*AK158*AN158</f>
        <v>0</v>
      </c>
      <c r="AZ158" s="323" t="n">
        <f aca="false">AG158*AP158</f>
        <v>0</v>
      </c>
      <c r="BA158" s="319" t="n">
        <f aca="false">AH158*AQ158</f>
        <v>0</v>
      </c>
      <c r="BB158" s="320" t="n">
        <f aca="false">1.25*AJ158*AP158</f>
        <v>0</v>
      </c>
      <c r="BC158" s="320" t="n">
        <f aca="false">1.25*AK158*AQ158</f>
        <v>0</v>
      </c>
      <c r="BD158" s="321" t="n">
        <f aca="false">AG158*AS158</f>
        <v>0</v>
      </c>
      <c r="BE158" s="319" t="n">
        <f aca="false">AH158*AT158</f>
        <v>0</v>
      </c>
      <c r="BF158" s="320" t="n">
        <f aca="false">AJ158*AS158</f>
        <v>0</v>
      </c>
      <c r="BG158" s="322" t="n">
        <f aca="false">AK158*AT158</f>
        <v>0</v>
      </c>
      <c r="BH158" s="324" t="str">
        <f aca="false">IF(BH$24=$AA158,($AG158*$AM158)+($AJ158*$AM158*1.25)+($AH158*$AN158)+($AK158*$AN158*1.25),"")</f>
        <v/>
      </c>
      <c r="BI158" s="325" t="str">
        <f aca="false">IF(BI$24=$AA158,($AG158*$AM158)+($AJ158*$AM158*1.25)+($AH158*$AN158)+($AK158*$AN158*1.25),"")</f>
        <v/>
      </c>
      <c r="BJ158" s="325" t="str">
        <f aca="false">IF(BJ$24=$AA158,($AG158*$AM158)+($AJ158*$AM158*1.25)+($AH158*$AN158)+($AK158*$AN158*1.25),"")</f>
        <v/>
      </c>
      <c r="BK158" s="325" t="n">
        <f aca="false">IF(BK$24=$AA158,($AG158*$AM158)+($AJ158*$AM158*1.25)+($AH158*$AN158)+($AK158*$AN158*1.25),"")</f>
        <v>0</v>
      </c>
      <c r="BL158" s="326" t="str">
        <f aca="false">IF(BL$24=$AA158,($AG158*$AM158)+($AJ158*$AM158*1.25)+($AH158*$AN158)+($AK158*$AN158*1.25),"")</f>
        <v/>
      </c>
      <c r="BM158" s="327" t="str">
        <f aca="false">IF(CONCATENATE(BH158,BI158,BJ158,BK158,BL158)="",1,"")</f>
        <v/>
      </c>
      <c r="BN158" s="328"/>
      <c r="BO158" s="328"/>
      <c r="BP158" s="328"/>
      <c r="BQ158" s="328"/>
      <c r="BR158" s="47"/>
      <c r="BS158" s="127" t="n">
        <f aca="false">(AG158*AM158)+(AH158*AN158)+((AJ158*AM158)+(AK158*AN158)*1.25)</f>
        <v>0</v>
      </c>
      <c r="BT158" s="127" t="n">
        <f aca="false">(AG158*AP158)+(AH158*AQ158)+((AJ158*AP158)+(AK158*AQ158)*1.25)</f>
        <v>0</v>
      </c>
      <c r="BU158" s="329"/>
      <c r="BV158" s="129"/>
    </row>
    <row r="159" customFormat="false" ht="15" hidden="false" customHeight="false" outlineLevel="0" collapsed="false">
      <c r="A159" s="228"/>
      <c r="B159" s="229"/>
      <c r="C159" s="230"/>
      <c r="D159" s="231"/>
      <c r="E159" s="223" t="str">
        <f aca="false">IF(SUM(A159:D159)&gt;0,SUM(A159:D159),"")</f>
        <v/>
      </c>
      <c r="F159" s="224" t="str">
        <f aca="false">AD172</f>
        <v>COL MILÁN INVERNADERO</v>
      </c>
      <c r="G159" s="169"/>
      <c r="H159" s="169"/>
      <c r="I159" s="169"/>
      <c r="J159" s="169"/>
      <c r="K159" s="169"/>
      <c r="L159" s="169"/>
      <c r="M159" s="169"/>
      <c r="N159" s="169"/>
      <c r="O159" s="169"/>
      <c r="P159" s="169"/>
      <c r="Q159" s="169"/>
      <c r="R159" s="3"/>
      <c r="S159" s="3"/>
      <c r="T159" s="3"/>
      <c r="U159" s="3"/>
      <c r="V159" s="3"/>
      <c r="W159" s="3"/>
      <c r="X159" s="3"/>
      <c r="Y159" s="3"/>
      <c r="Z159" s="316" t="str">
        <f aca="false">IF(AF159&gt;0,RANK(AF159,AF$6:AF$422),"")</f>
        <v/>
      </c>
      <c r="AA159" s="134" t="n">
        <f aca="false">'O_MN, PE_UTA_UGM 2024'!N136</f>
        <v>4</v>
      </c>
      <c r="AB159" s="135" t="n">
        <f aca="false">'O_MN, PE_UTA_UGM 2024'!O136</f>
        <v>0</v>
      </c>
      <c r="AC159" s="317" t="n">
        <f aca="false">'O_MN, PE_UTA_UGM 2024'!C136</f>
        <v>169</v>
      </c>
      <c r="AD159" s="293" t="str">
        <f aca="false">IF(AB159=0,'O_MN, PE_UTA_UGM 2024'!F136,CONCATENATE('O_MN, PE_UTA_UGM 2024'!F136," ","INVERNADERO"))</f>
        <v>AJO</v>
      </c>
      <c r="AE159" s="89"/>
      <c r="AF159" s="123" t="n">
        <f aca="false">SUM(AG159:AH159)+SUM(AJ159:AK159)</f>
        <v>0</v>
      </c>
      <c r="AG159" s="318" t="n">
        <f aca="false">A146</f>
        <v>0</v>
      </c>
      <c r="AH159" s="319" t="n">
        <f aca="false">B146</f>
        <v>0</v>
      </c>
      <c r="AI159" s="6"/>
      <c r="AJ159" s="320" t="n">
        <f aca="false">C146</f>
        <v>0</v>
      </c>
      <c r="AK159" s="320" t="n">
        <f aca="false">D146</f>
        <v>0</v>
      </c>
      <c r="AL159" s="237" t="s">
        <v>285</v>
      </c>
      <c r="AM159" s="299" t="n">
        <f aca="false">'O_MN, PE_UTA_UGM 2024'!J136</f>
        <v>575</v>
      </c>
      <c r="AN159" s="299" t="n">
        <f aca="false">'O_MN, PE_UTA_UGM 2024'!K136</f>
        <v>7200</v>
      </c>
      <c r="AO159" s="300"/>
      <c r="AP159" s="299" t="n">
        <f aca="false">'O_MN, PE_UTA_UGM 2024'!H136</f>
        <v>360.61</v>
      </c>
      <c r="AQ159" s="299" t="n">
        <f aca="false">'O_MN, PE_UTA_UGM 2024'!I136</f>
        <v>1352.28</v>
      </c>
      <c r="AR159" s="301"/>
      <c r="AS159" s="302" t="n">
        <f aca="false">'O_MN, PE_UTA_UGM 2024'!L136</f>
        <v>0.0147</v>
      </c>
      <c r="AT159" s="302" t="n">
        <f aca="false">'O_MN, PE_UTA_UGM 2024'!M136</f>
        <v>0.05512</v>
      </c>
      <c r="AU159" s="45"/>
      <c r="AV159" s="321" t="n">
        <f aca="false">AG159*AM159</f>
        <v>0</v>
      </c>
      <c r="AW159" s="319" t="n">
        <f aca="false">AH159*AN159</f>
        <v>0</v>
      </c>
      <c r="AX159" s="320" t="n">
        <f aca="false">1.25*AJ159*AM159</f>
        <v>0</v>
      </c>
      <c r="AY159" s="322" t="n">
        <f aca="false">1.25*AK159*AN159</f>
        <v>0</v>
      </c>
      <c r="AZ159" s="323" t="n">
        <f aca="false">AG159*AP159</f>
        <v>0</v>
      </c>
      <c r="BA159" s="319" t="n">
        <f aca="false">AH159*AQ159</f>
        <v>0</v>
      </c>
      <c r="BB159" s="320" t="n">
        <f aca="false">1.25*AJ159*AP159</f>
        <v>0</v>
      </c>
      <c r="BC159" s="320" t="n">
        <f aca="false">1.25*AK159*AQ159</f>
        <v>0</v>
      </c>
      <c r="BD159" s="321" t="n">
        <f aca="false">AG159*AS159</f>
        <v>0</v>
      </c>
      <c r="BE159" s="319" t="n">
        <f aca="false">AH159*AT159</f>
        <v>0</v>
      </c>
      <c r="BF159" s="320" t="n">
        <f aca="false">AJ159*AS159</f>
        <v>0</v>
      </c>
      <c r="BG159" s="322" t="n">
        <f aca="false">AK159*AT159</f>
        <v>0</v>
      </c>
      <c r="BH159" s="324" t="str">
        <f aca="false">IF(BH$24=$AA159,($AG159*$AM159)+($AJ159*$AM159*1.25)+($AH159*$AN159)+($AK159*$AN159*1.25),"")</f>
        <v/>
      </c>
      <c r="BI159" s="325" t="str">
        <f aca="false">IF(BI$24=$AA159,($AG159*$AM159)+($AJ159*$AM159*1.25)+($AH159*$AN159)+($AK159*$AN159*1.25),"")</f>
        <v/>
      </c>
      <c r="BJ159" s="325" t="str">
        <f aca="false">IF(BJ$24=$AA159,($AG159*$AM159)+($AJ159*$AM159*1.25)+($AH159*$AN159)+($AK159*$AN159*1.25),"")</f>
        <v/>
      </c>
      <c r="BK159" s="325" t="n">
        <f aca="false">IF(BK$24=$AA159,($AG159*$AM159)+($AJ159*$AM159*1.25)+($AH159*$AN159)+($AK159*$AN159*1.25),"")</f>
        <v>0</v>
      </c>
      <c r="BL159" s="326" t="str">
        <f aca="false">IF(BL$24=$AA159,($AG159*$AM159)+($AJ159*$AM159*1.25)+($AH159*$AN159)+($AK159*$AN159*1.25),"")</f>
        <v/>
      </c>
      <c r="BM159" s="327" t="str">
        <f aca="false">IF(CONCATENATE(BH159,BI159,BJ159,BK159,BL159)="",1,"")</f>
        <v/>
      </c>
      <c r="BN159" s="328"/>
      <c r="BO159" s="328"/>
      <c r="BP159" s="328"/>
      <c r="BQ159" s="328"/>
      <c r="BR159" s="47"/>
      <c r="BS159" s="127" t="n">
        <f aca="false">(AG159*AM159)+(AH159*AN159)+((AJ159*AM159)+(AK159*AN159)*1.25)</f>
        <v>0</v>
      </c>
      <c r="BT159" s="127" t="n">
        <f aca="false">(AG159*AP159)+(AH159*AQ159)+((AJ159*AP159)+(AK159*AQ159)*1.25)</f>
        <v>0</v>
      </c>
      <c r="BU159" s="329"/>
      <c r="BV159" s="129"/>
    </row>
    <row r="160" customFormat="false" ht="15" hidden="false" customHeight="false" outlineLevel="0" collapsed="false">
      <c r="A160" s="228"/>
      <c r="B160" s="229"/>
      <c r="C160" s="230"/>
      <c r="D160" s="231"/>
      <c r="E160" s="223" t="str">
        <f aca="false">IF(SUM(A160:D160)&gt;0,SUM(A160:D160),"")</f>
        <v/>
      </c>
      <c r="F160" s="224" t="str">
        <f aca="false">AD173</f>
        <v>COL MILÁN INVERNADERO</v>
      </c>
      <c r="G160" s="169"/>
      <c r="H160" s="169"/>
      <c r="I160" s="169"/>
      <c r="J160" s="169"/>
      <c r="K160" s="169"/>
      <c r="L160" s="169"/>
      <c r="M160" s="169"/>
      <c r="N160" s="169"/>
      <c r="O160" s="169"/>
      <c r="P160" s="169"/>
      <c r="Q160" s="169"/>
      <c r="R160" s="3"/>
      <c r="S160" s="3"/>
      <c r="T160" s="3"/>
      <c r="U160" s="3"/>
      <c r="V160" s="3"/>
      <c r="W160" s="3"/>
      <c r="X160" s="3"/>
      <c r="Y160" s="3"/>
      <c r="Z160" s="316" t="str">
        <f aca="false">IF(AF160&gt;0,RANK(AF160,AF$6:AF$422),"")</f>
        <v/>
      </c>
      <c r="AA160" s="134" t="n">
        <f aca="false">'O_MN, PE_UTA_UGM 2024'!N137</f>
        <v>4</v>
      </c>
      <c r="AB160" s="135" t="n">
        <f aca="false">'O_MN, PE_UTA_UGM 2024'!O137</f>
        <v>4</v>
      </c>
      <c r="AC160" s="317" t="n">
        <f aca="false">'O_MN, PE_UTA_UGM 2024'!C137</f>
        <v>169</v>
      </c>
      <c r="AD160" s="293" t="str">
        <f aca="false">IF(AB160=0,'O_MN, PE_UTA_UGM 2024'!F137,CONCATENATE('O_MN, PE_UTA_UGM 2024'!F137," ","INVERNADERO"))</f>
        <v>AJO INVERNADERO</v>
      </c>
      <c r="AE160" s="89"/>
      <c r="AF160" s="123" t="n">
        <f aca="false">SUM(AG160:AH160)+SUM(AJ160:AK160)</f>
        <v>0</v>
      </c>
      <c r="AG160" s="318" t="n">
        <f aca="false">A147</f>
        <v>0</v>
      </c>
      <c r="AH160" s="319" t="n">
        <f aca="false">B147</f>
        <v>0</v>
      </c>
      <c r="AI160" s="6"/>
      <c r="AJ160" s="320" t="n">
        <f aca="false">C147</f>
        <v>0</v>
      </c>
      <c r="AK160" s="320" t="n">
        <f aca="false">D147</f>
        <v>0</v>
      </c>
      <c r="AL160" s="237" t="s">
        <v>286</v>
      </c>
      <c r="AM160" s="299" t="n">
        <f aca="false">'O_MN, PE_UTA_UGM 2024'!J137</f>
        <v>0</v>
      </c>
      <c r="AN160" s="299" t="n">
        <f aca="false">'O_MN, PE_UTA_UGM 2024'!K137</f>
        <v>80000</v>
      </c>
      <c r="AO160" s="300"/>
      <c r="AP160" s="299" t="n">
        <f aca="false">'O_MN, PE_UTA_UGM 2024'!H137</f>
        <v>0</v>
      </c>
      <c r="AQ160" s="299" t="n">
        <f aca="false">'O_MN, PE_UTA_UGM 2024'!I137</f>
        <v>36060.73</v>
      </c>
      <c r="AR160" s="301"/>
      <c r="AS160" s="302" t="n">
        <f aca="false">'O_MN, PE_UTA_UGM 2024'!L137</f>
        <v>0</v>
      </c>
      <c r="AT160" s="302" t="n">
        <f aca="false">'O_MN, PE_UTA_UGM 2024'!M137</f>
        <v>1.46978</v>
      </c>
      <c r="AU160" s="45"/>
      <c r="AV160" s="321" t="n">
        <f aca="false">AG160*AM160</f>
        <v>0</v>
      </c>
      <c r="AW160" s="319" t="n">
        <f aca="false">AH160*AN160</f>
        <v>0</v>
      </c>
      <c r="AX160" s="320" t="n">
        <f aca="false">1.25*AJ160*AM160</f>
        <v>0</v>
      </c>
      <c r="AY160" s="322" t="n">
        <f aca="false">1.25*AK160*AN160</f>
        <v>0</v>
      </c>
      <c r="AZ160" s="323" t="n">
        <f aca="false">AG160*AP160</f>
        <v>0</v>
      </c>
      <c r="BA160" s="319" t="n">
        <f aca="false">AH160*AQ160</f>
        <v>0</v>
      </c>
      <c r="BB160" s="320" t="n">
        <f aca="false">1.25*AJ160*AP160</f>
        <v>0</v>
      </c>
      <c r="BC160" s="320" t="n">
        <f aca="false">1.25*AK160*AQ160</f>
        <v>0</v>
      </c>
      <c r="BD160" s="321" t="n">
        <f aca="false">AG160*AS160</f>
        <v>0</v>
      </c>
      <c r="BE160" s="319" t="n">
        <f aca="false">AH160*AT160</f>
        <v>0</v>
      </c>
      <c r="BF160" s="320" t="n">
        <f aca="false">AJ160*AS160</f>
        <v>0</v>
      </c>
      <c r="BG160" s="322" t="n">
        <f aca="false">AK160*AT160</f>
        <v>0</v>
      </c>
      <c r="BH160" s="324" t="str">
        <f aca="false">IF(BH$24=$AA160,($AG160*$AM160)+($AJ160*$AM160*1.25)+($AH160*$AN160)+($AK160*$AN160*1.25),"")</f>
        <v/>
      </c>
      <c r="BI160" s="325" t="str">
        <f aca="false">IF(BI$24=$AA160,($AG160*$AM160)+($AJ160*$AM160*1.25)+($AH160*$AN160)+($AK160*$AN160*1.25),"")</f>
        <v/>
      </c>
      <c r="BJ160" s="325" t="str">
        <f aca="false">IF(BJ$24=$AA160,($AG160*$AM160)+($AJ160*$AM160*1.25)+($AH160*$AN160)+($AK160*$AN160*1.25),"")</f>
        <v/>
      </c>
      <c r="BK160" s="325" t="n">
        <f aca="false">IF(BK$24=$AA160,($AG160*$AM160)+($AJ160*$AM160*1.25)+($AH160*$AN160)+($AK160*$AN160*1.25),"")</f>
        <v>0</v>
      </c>
      <c r="BL160" s="326" t="str">
        <f aca="false">IF(BL$24=$AA160,($AG160*$AM160)+($AJ160*$AM160*1.25)+($AH160*$AN160)+($AK160*$AN160*1.25),"")</f>
        <v/>
      </c>
      <c r="BM160" s="327" t="str">
        <f aca="false">IF(CONCATENATE(BH160,BI160,BJ160,BK160,BL160)="",1,"")</f>
        <v/>
      </c>
      <c r="BN160" s="328"/>
      <c r="BO160" s="328"/>
      <c r="BP160" s="328"/>
      <c r="BQ160" s="328"/>
      <c r="BR160" s="47"/>
      <c r="BS160" s="127" t="n">
        <f aca="false">(AG160*AM160)+(AH160*AN160)+((AJ160*AM160)+(AK160*AN160)*1.25)</f>
        <v>0</v>
      </c>
      <c r="BT160" s="127" t="n">
        <f aca="false">(AG160*AP160)+(AH160*AQ160)+((AJ160*AP160)+(AK160*AQ160)*1.25)</f>
        <v>0</v>
      </c>
      <c r="BU160" s="329"/>
      <c r="BV160" s="129"/>
    </row>
    <row r="161" customFormat="false" ht="15" hidden="false" customHeight="false" outlineLevel="0" collapsed="false">
      <c r="A161" s="228"/>
      <c r="B161" s="229"/>
      <c r="C161" s="230"/>
      <c r="D161" s="231"/>
      <c r="E161" s="223" t="str">
        <f aca="false">IF(SUM(A161:D161)&gt;0,SUM(A161:D161),"")</f>
        <v/>
      </c>
      <c r="F161" s="224" t="str">
        <f aca="false">AD174</f>
        <v>BERZA</v>
      </c>
      <c r="G161" s="169"/>
      <c r="H161" s="169"/>
      <c r="I161" s="169"/>
      <c r="J161" s="169"/>
      <c r="K161" s="169"/>
      <c r="L161" s="169"/>
      <c r="M161" s="169"/>
      <c r="N161" s="169"/>
      <c r="O161" s="169"/>
      <c r="P161" s="169"/>
      <c r="Q161" s="169"/>
      <c r="R161" s="3"/>
      <c r="S161" s="3"/>
      <c r="T161" s="3"/>
      <c r="U161" s="3"/>
      <c r="V161" s="3"/>
      <c r="W161" s="3"/>
      <c r="X161" s="3"/>
      <c r="Y161" s="3"/>
      <c r="Z161" s="316" t="str">
        <f aca="false">IF(AF161&gt;0,RANK(AF161,AF$6:AF$422),"")</f>
        <v/>
      </c>
      <c r="AA161" s="134" t="n">
        <f aca="false">'O_MN, PE_UTA_UGM 2024'!N138</f>
        <v>4</v>
      </c>
      <c r="AB161" s="135" t="n">
        <f aca="false">'O_MN, PE_UTA_UGM 2024'!O138</f>
        <v>19</v>
      </c>
      <c r="AC161" s="317" t="n">
        <f aca="false">'O_MN, PE_UTA_UGM 2024'!C138</f>
        <v>169</v>
      </c>
      <c r="AD161" s="293" t="str">
        <f aca="false">IF(AB161=0,'O_MN, PE_UTA_UGM 2024'!F138,CONCATENATE('O_MN, PE_UTA_UGM 2024'!F138," ","INVERNADERO"))</f>
        <v>AJO INVERNADERO</v>
      </c>
      <c r="AE161" s="89"/>
      <c r="AF161" s="123" t="n">
        <f aca="false">SUM(AG161:AH161)+SUM(AJ161:AK161)</f>
        <v>0</v>
      </c>
      <c r="AG161" s="318" t="n">
        <f aca="false">A148</f>
        <v>0</v>
      </c>
      <c r="AH161" s="319" t="n">
        <f aca="false">B148</f>
        <v>0</v>
      </c>
      <c r="AI161" s="6"/>
      <c r="AJ161" s="320" t="n">
        <f aca="false">C148</f>
        <v>0</v>
      </c>
      <c r="AK161" s="320" t="n">
        <f aca="false">D148</f>
        <v>0</v>
      </c>
      <c r="AL161" s="237" t="s">
        <v>287</v>
      </c>
      <c r="AM161" s="299" t="n">
        <f aca="false">'O_MN, PE_UTA_UGM 2024'!J138</f>
        <v>0</v>
      </c>
      <c r="AN161" s="299" t="n">
        <f aca="false">'O_MN, PE_UTA_UGM 2024'!K138</f>
        <v>80000</v>
      </c>
      <c r="AO161" s="300"/>
      <c r="AP161" s="299" t="n">
        <f aca="false">'O_MN, PE_UTA_UGM 2024'!H138</f>
        <v>0</v>
      </c>
      <c r="AQ161" s="299" t="n">
        <f aca="false">'O_MN, PE_UTA_UGM 2024'!I138</f>
        <v>36060.73</v>
      </c>
      <c r="AR161" s="301"/>
      <c r="AS161" s="302" t="n">
        <f aca="false">'O_MN, PE_UTA_UGM 2024'!L138</f>
        <v>0</v>
      </c>
      <c r="AT161" s="302" t="n">
        <f aca="false">'O_MN, PE_UTA_UGM 2024'!M138</f>
        <v>1.46978</v>
      </c>
      <c r="AU161" s="45"/>
      <c r="AV161" s="321" t="n">
        <f aca="false">AG161*AM161</f>
        <v>0</v>
      </c>
      <c r="AW161" s="319" t="n">
        <f aca="false">AH161*AN161</f>
        <v>0</v>
      </c>
      <c r="AX161" s="320" t="n">
        <f aca="false">1.25*AJ161*AM161</f>
        <v>0</v>
      </c>
      <c r="AY161" s="322" t="n">
        <f aca="false">1.25*AK161*AN161</f>
        <v>0</v>
      </c>
      <c r="AZ161" s="323" t="n">
        <f aca="false">AG161*AP161</f>
        <v>0</v>
      </c>
      <c r="BA161" s="319" t="n">
        <f aca="false">AH161*AQ161</f>
        <v>0</v>
      </c>
      <c r="BB161" s="320" t="n">
        <f aca="false">1.25*AJ161*AP161</f>
        <v>0</v>
      </c>
      <c r="BC161" s="320" t="n">
        <f aca="false">1.25*AK161*AQ161</f>
        <v>0</v>
      </c>
      <c r="BD161" s="321" t="n">
        <f aca="false">AG161*AS161</f>
        <v>0</v>
      </c>
      <c r="BE161" s="319" t="n">
        <f aca="false">AH161*AT161</f>
        <v>0</v>
      </c>
      <c r="BF161" s="320" t="n">
        <f aca="false">AJ161*AS161</f>
        <v>0</v>
      </c>
      <c r="BG161" s="322" t="n">
        <f aca="false">AK161*AT161</f>
        <v>0</v>
      </c>
      <c r="BH161" s="324" t="str">
        <f aca="false">IF(BH$24=$AA161,($AG161*$AM161)+($AJ161*$AM161*1.25)+($AH161*$AN161)+($AK161*$AN161*1.25),"")</f>
        <v/>
      </c>
      <c r="BI161" s="325" t="str">
        <f aca="false">IF(BI$24=$AA161,($AG161*$AM161)+($AJ161*$AM161*1.25)+($AH161*$AN161)+($AK161*$AN161*1.25),"")</f>
        <v/>
      </c>
      <c r="BJ161" s="325" t="str">
        <f aca="false">IF(BJ$24=$AA161,($AG161*$AM161)+($AJ161*$AM161*1.25)+($AH161*$AN161)+($AK161*$AN161*1.25),"")</f>
        <v/>
      </c>
      <c r="BK161" s="325" t="n">
        <f aca="false">IF(BK$24=$AA161,($AG161*$AM161)+($AJ161*$AM161*1.25)+($AH161*$AN161)+($AK161*$AN161*1.25),"")</f>
        <v>0</v>
      </c>
      <c r="BL161" s="326" t="str">
        <f aca="false">IF(BL$24=$AA161,($AG161*$AM161)+($AJ161*$AM161*1.25)+($AH161*$AN161)+($AK161*$AN161*1.25),"")</f>
        <v/>
      </c>
      <c r="BM161" s="327" t="str">
        <f aca="false">IF(CONCATENATE(BH161,BI161,BJ161,BK161,BL161)="",1,"")</f>
        <v/>
      </c>
      <c r="BN161" s="328"/>
      <c r="BO161" s="328"/>
      <c r="BP161" s="328"/>
      <c r="BQ161" s="328"/>
      <c r="BR161" s="47"/>
      <c r="BS161" s="127" t="n">
        <f aca="false">(AG161*AM161)+(AH161*AN161)+((AJ161*AM161)+(AK161*AN161)*1.25)</f>
        <v>0</v>
      </c>
      <c r="BT161" s="127" t="n">
        <f aca="false">(AG161*AP161)+(AH161*AQ161)+((AJ161*AP161)+(AK161*AQ161)*1.25)</f>
        <v>0</v>
      </c>
      <c r="BU161" s="329"/>
      <c r="BV161" s="129"/>
    </row>
    <row r="162" customFormat="false" ht="15" hidden="false" customHeight="false" outlineLevel="0" collapsed="false">
      <c r="A162" s="228"/>
      <c r="B162" s="229"/>
      <c r="C162" s="230"/>
      <c r="D162" s="231"/>
      <c r="E162" s="223" t="str">
        <f aca="false">IF(SUM(A162:D162)&gt;0,SUM(A162:D162),"")</f>
        <v/>
      </c>
      <c r="F162" s="224" t="str">
        <f aca="false">AD175</f>
        <v>BERZA INVERNADERO</v>
      </c>
      <c r="G162" s="169"/>
      <c r="H162" s="169"/>
      <c r="I162" s="169"/>
      <c r="J162" s="169"/>
      <c r="K162" s="169"/>
      <c r="L162" s="169"/>
      <c r="M162" s="169"/>
      <c r="N162" s="169"/>
      <c r="O162" s="169"/>
      <c r="P162" s="169"/>
      <c r="Q162" s="169"/>
      <c r="R162" s="3"/>
      <c r="S162" s="3"/>
      <c r="T162" s="3"/>
      <c r="U162" s="3"/>
      <c r="V162" s="3"/>
      <c r="W162" s="3"/>
      <c r="X162" s="3"/>
      <c r="Y162" s="3"/>
      <c r="Z162" s="316" t="str">
        <f aca="false">IF(AF162&gt;0,RANK(AF162,AF$6:AF$422),"")</f>
        <v/>
      </c>
      <c r="AA162" s="134" t="n">
        <f aca="false">'O_MN, PE_UTA_UGM 2024'!N139</f>
        <v>4</v>
      </c>
      <c r="AB162" s="135" t="n">
        <f aca="false">'O_MN, PE_UTA_UGM 2024'!O139</f>
        <v>0</v>
      </c>
      <c r="AC162" s="317" t="n">
        <f aca="false">'O_MN, PE_UTA_UGM 2024'!C139</f>
        <v>171</v>
      </c>
      <c r="AD162" s="293" t="str">
        <f aca="false">IF(AB162=0,'O_MN, PE_UTA_UGM 2024'!F139,CONCATENATE('O_MN, PE_UTA_UGM 2024'!F139," ","INVERNADERO"))</f>
        <v>CHIRIVÍA</v>
      </c>
      <c r="AE162" s="89"/>
      <c r="AF162" s="123" t="n">
        <f aca="false">SUM(AG162:AH162)+SUM(AJ162:AK162)</f>
        <v>0</v>
      </c>
      <c r="AG162" s="318" t="n">
        <f aca="false">A149</f>
        <v>0</v>
      </c>
      <c r="AH162" s="319" t="n">
        <f aca="false">B149</f>
        <v>0</v>
      </c>
      <c r="AI162" s="6"/>
      <c r="AJ162" s="320" t="n">
        <f aca="false">C149</f>
        <v>0</v>
      </c>
      <c r="AK162" s="320" t="n">
        <f aca="false">D149</f>
        <v>0</v>
      </c>
      <c r="AL162" s="237" t="s">
        <v>288</v>
      </c>
      <c r="AM162" s="299" t="n">
        <f aca="false">'O_MN, PE_UTA_UGM 2024'!J139</f>
        <v>575</v>
      </c>
      <c r="AN162" s="299" t="n">
        <f aca="false">'O_MN, PE_UTA_UGM 2024'!K139</f>
        <v>5200</v>
      </c>
      <c r="AO162" s="300"/>
      <c r="AP162" s="299" t="n">
        <f aca="false">'O_MN, PE_UTA_UGM 2024'!H139</f>
        <v>360.61</v>
      </c>
      <c r="AQ162" s="299" t="n">
        <f aca="false">'O_MN, PE_UTA_UGM 2024'!I139</f>
        <v>1352.28</v>
      </c>
      <c r="AR162" s="301"/>
      <c r="AS162" s="302" t="n">
        <f aca="false">'O_MN, PE_UTA_UGM 2024'!L139</f>
        <v>0.0147</v>
      </c>
      <c r="AT162" s="302" t="n">
        <f aca="false">'O_MN, PE_UTA_UGM 2024'!M139</f>
        <v>0.05512</v>
      </c>
      <c r="AU162" s="45"/>
      <c r="AV162" s="321" t="n">
        <f aca="false">AG162*AM162</f>
        <v>0</v>
      </c>
      <c r="AW162" s="319" t="n">
        <f aca="false">AH162*AN162</f>
        <v>0</v>
      </c>
      <c r="AX162" s="320" t="n">
        <f aca="false">1.25*AJ162*AM162</f>
        <v>0</v>
      </c>
      <c r="AY162" s="322" t="n">
        <f aca="false">1.25*AK162*AN162</f>
        <v>0</v>
      </c>
      <c r="AZ162" s="323" t="n">
        <f aca="false">AG162*AP162</f>
        <v>0</v>
      </c>
      <c r="BA162" s="319" t="n">
        <f aca="false">AH162*AQ162</f>
        <v>0</v>
      </c>
      <c r="BB162" s="320" t="n">
        <f aca="false">1.25*AJ162*AP162</f>
        <v>0</v>
      </c>
      <c r="BC162" s="320" t="n">
        <f aca="false">1.25*AK162*AQ162</f>
        <v>0</v>
      </c>
      <c r="BD162" s="321" t="n">
        <f aca="false">AG162*AS162</f>
        <v>0</v>
      </c>
      <c r="BE162" s="319" t="n">
        <f aca="false">AH162*AT162</f>
        <v>0</v>
      </c>
      <c r="BF162" s="320" t="n">
        <f aca="false">AJ162*AS162</f>
        <v>0</v>
      </c>
      <c r="BG162" s="322" t="n">
        <f aca="false">AK162*AT162</f>
        <v>0</v>
      </c>
      <c r="BH162" s="324" t="str">
        <f aca="false">IF(BH$24=$AA162,($AG162*$AM162)+($AJ162*$AM162*1.25)+($AH162*$AN162)+($AK162*$AN162*1.25),"")</f>
        <v/>
      </c>
      <c r="BI162" s="325" t="str">
        <f aca="false">IF(BI$24=$AA162,($AG162*$AM162)+($AJ162*$AM162*1.25)+($AH162*$AN162)+($AK162*$AN162*1.25),"")</f>
        <v/>
      </c>
      <c r="BJ162" s="325" t="str">
        <f aca="false">IF(BJ$24=$AA162,($AG162*$AM162)+($AJ162*$AM162*1.25)+($AH162*$AN162)+($AK162*$AN162*1.25),"")</f>
        <v/>
      </c>
      <c r="BK162" s="325" t="n">
        <f aca="false">IF(BK$24=$AA162,($AG162*$AM162)+($AJ162*$AM162*1.25)+($AH162*$AN162)+($AK162*$AN162*1.25),"")</f>
        <v>0</v>
      </c>
      <c r="BL162" s="326" t="str">
        <f aca="false">IF(BL$24=$AA162,($AG162*$AM162)+($AJ162*$AM162*1.25)+($AH162*$AN162)+($AK162*$AN162*1.25),"")</f>
        <v/>
      </c>
      <c r="BM162" s="327" t="str">
        <f aca="false">IF(CONCATENATE(BH162,BI162,BJ162,BK162,BL162)="",1,"")</f>
        <v/>
      </c>
      <c r="BN162" s="328"/>
      <c r="BO162" s="328"/>
      <c r="BP162" s="328"/>
      <c r="BQ162" s="328"/>
      <c r="BR162" s="47"/>
      <c r="BS162" s="127" t="n">
        <f aca="false">(AG162*AM162)+(AH162*AN162)+((AJ162*AM162)+(AK162*AN162)*1.25)</f>
        <v>0</v>
      </c>
      <c r="BT162" s="127" t="n">
        <f aca="false">(AG162*AP162)+(AH162*AQ162)+((AJ162*AP162)+(AK162*AQ162)*1.25)</f>
        <v>0</v>
      </c>
      <c r="BU162" s="329"/>
      <c r="BV162" s="129"/>
    </row>
    <row r="163" customFormat="false" ht="15" hidden="false" customHeight="false" outlineLevel="0" collapsed="false">
      <c r="A163" s="228"/>
      <c r="B163" s="229"/>
      <c r="C163" s="230"/>
      <c r="D163" s="231"/>
      <c r="E163" s="223" t="str">
        <f aca="false">IF(SUM(A163:D163)&gt;0,SUM(A163:D163),"")</f>
        <v/>
      </c>
      <c r="F163" s="224" t="str">
        <f aca="false">AD176</f>
        <v>BERZA INVERNADERO</v>
      </c>
      <c r="G163" s="169"/>
      <c r="H163" s="169"/>
      <c r="I163" s="169"/>
      <c r="J163" s="169"/>
      <c r="K163" s="169"/>
      <c r="L163" s="169"/>
      <c r="M163" s="169"/>
      <c r="N163" s="169"/>
      <c r="O163" s="169"/>
      <c r="P163" s="169"/>
      <c r="Q163" s="169"/>
      <c r="R163" s="3"/>
      <c r="S163" s="3"/>
      <c r="T163" s="3"/>
      <c r="U163" s="3"/>
      <c r="V163" s="3"/>
      <c r="W163" s="3"/>
      <c r="X163" s="3"/>
      <c r="Y163" s="3"/>
      <c r="Z163" s="316" t="str">
        <f aca="false">IF(AF163&gt;0,RANK(AF163,AF$6:AF$422),"")</f>
        <v/>
      </c>
      <c r="AA163" s="134" t="n">
        <f aca="false">'O_MN, PE_UTA_UGM 2024'!N140</f>
        <v>4</v>
      </c>
      <c r="AB163" s="135" t="n">
        <f aca="false">'O_MN, PE_UTA_UGM 2024'!O140</f>
        <v>4</v>
      </c>
      <c r="AC163" s="317" t="n">
        <f aca="false">'O_MN, PE_UTA_UGM 2024'!C140</f>
        <v>171</v>
      </c>
      <c r="AD163" s="293" t="str">
        <f aca="false">IF(AB163=0,'O_MN, PE_UTA_UGM 2024'!F140,CONCATENATE('O_MN, PE_UTA_UGM 2024'!F140," ","INVERNADERO"))</f>
        <v>CHIRIVÍA INVERNADERO</v>
      </c>
      <c r="AE163" s="89"/>
      <c r="AF163" s="123" t="n">
        <f aca="false">SUM(AG163:AH163)+SUM(AJ163:AK163)</f>
        <v>0</v>
      </c>
      <c r="AG163" s="318" t="n">
        <f aca="false">A150</f>
        <v>0</v>
      </c>
      <c r="AH163" s="319" t="n">
        <f aca="false">B150</f>
        <v>0</v>
      </c>
      <c r="AI163" s="6"/>
      <c r="AJ163" s="320" t="n">
        <f aca="false">C150</f>
        <v>0</v>
      </c>
      <c r="AK163" s="320" t="n">
        <f aca="false">D150</f>
        <v>0</v>
      </c>
      <c r="AL163" s="237" t="s">
        <v>289</v>
      </c>
      <c r="AM163" s="299" t="n">
        <f aca="false">'O_MN, PE_UTA_UGM 2024'!J140</f>
        <v>0</v>
      </c>
      <c r="AN163" s="299" t="n">
        <f aca="false">'O_MN, PE_UTA_UGM 2024'!K140</f>
        <v>80000</v>
      </c>
      <c r="AO163" s="300"/>
      <c r="AP163" s="299" t="n">
        <f aca="false">'O_MN, PE_UTA_UGM 2024'!H140</f>
        <v>0</v>
      </c>
      <c r="AQ163" s="299" t="n">
        <f aca="false">'O_MN, PE_UTA_UGM 2024'!I140</f>
        <v>36060.73</v>
      </c>
      <c r="AR163" s="301"/>
      <c r="AS163" s="302" t="n">
        <f aca="false">'O_MN, PE_UTA_UGM 2024'!L140</f>
        <v>0</v>
      </c>
      <c r="AT163" s="302" t="n">
        <f aca="false">'O_MN, PE_UTA_UGM 2024'!M140</f>
        <v>1.46978</v>
      </c>
      <c r="AU163" s="45"/>
      <c r="AV163" s="321" t="n">
        <f aca="false">AG163*AM163</f>
        <v>0</v>
      </c>
      <c r="AW163" s="319" t="n">
        <f aca="false">AH163*AN163</f>
        <v>0</v>
      </c>
      <c r="AX163" s="320" t="n">
        <f aca="false">1.25*AJ163*AM163</f>
        <v>0</v>
      </c>
      <c r="AY163" s="322" t="n">
        <f aca="false">1.25*AK163*AN163</f>
        <v>0</v>
      </c>
      <c r="AZ163" s="323" t="n">
        <f aca="false">AG163*AP163</f>
        <v>0</v>
      </c>
      <c r="BA163" s="319" t="n">
        <f aca="false">AH163*AQ163</f>
        <v>0</v>
      </c>
      <c r="BB163" s="320" t="n">
        <f aca="false">1.25*AJ163*AP163</f>
        <v>0</v>
      </c>
      <c r="BC163" s="320" t="n">
        <f aca="false">1.25*AK163*AQ163</f>
        <v>0</v>
      </c>
      <c r="BD163" s="321" t="n">
        <f aca="false">AG163*AS163</f>
        <v>0</v>
      </c>
      <c r="BE163" s="319" t="n">
        <f aca="false">AH163*AT163</f>
        <v>0</v>
      </c>
      <c r="BF163" s="320" t="n">
        <f aca="false">AJ163*AS163</f>
        <v>0</v>
      </c>
      <c r="BG163" s="322" t="n">
        <f aca="false">AK163*AT163</f>
        <v>0</v>
      </c>
      <c r="BH163" s="324" t="str">
        <f aca="false">IF(BH$24=$AA163,($AG163*$AM163)+($AJ163*$AM163*1.25)+($AH163*$AN163)+($AK163*$AN163*1.25),"")</f>
        <v/>
      </c>
      <c r="BI163" s="325" t="str">
        <f aca="false">IF(BI$24=$AA163,($AG163*$AM163)+($AJ163*$AM163*1.25)+($AH163*$AN163)+($AK163*$AN163*1.25),"")</f>
        <v/>
      </c>
      <c r="BJ163" s="325" t="str">
        <f aca="false">IF(BJ$24=$AA163,($AG163*$AM163)+($AJ163*$AM163*1.25)+($AH163*$AN163)+($AK163*$AN163*1.25),"")</f>
        <v/>
      </c>
      <c r="BK163" s="325" t="n">
        <f aca="false">IF(BK$24=$AA163,($AG163*$AM163)+($AJ163*$AM163*1.25)+($AH163*$AN163)+($AK163*$AN163*1.25),"")</f>
        <v>0</v>
      </c>
      <c r="BL163" s="326" t="str">
        <f aca="false">IF(BL$24=$AA163,($AG163*$AM163)+($AJ163*$AM163*1.25)+($AH163*$AN163)+($AK163*$AN163*1.25),"")</f>
        <v/>
      </c>
      <c r="BM163" s="327" t="str">
        <f aca="false">IF(CONCATENATE(BH163,BI163,BJ163,BK163,BL163)="",1,"")</f>
        <v/>
      </c>
      <c r="BN163" s="328"/>
      <c r="BO163" s="328"/>
      <c r="BP163" s="328"/>
      <c r="BQ163" s="328"/>
      <c r="BR163" s="47"/>
      <c r="BS163" s="127" t="n">
        <f aca="false">(AG163*AM163)+(AH163*AN163)+((AJ163*AM163)+(AK163*AN163)*1.25)</f>
        <v>0</v>
      </c>
      <c r="BT163" s="127" t="n">
        <f aca="false">(AG163*AP163)+(AH163*AQ163)+((AJ163*AP163)+(AK163*AQ163)*1.25)</f>
        <v>0</v>
      </c>
      <c r="BU163" s="329"/>
      <c r="BV163" s="129"/>
    </row>
    <row r="164" customFormat="false" ht="15" hidden="false" customHeight="false" outlineLevel="0" collapsed="false">
      <c r="A164" s="228"/>
      <c r="B164" s="229"/>
      <c r="C164" s="230"/>
      <c r="D164" s="231"/>
      <c r="E164" s="223" t="str">
        <f aca="false">IF(SUM(A164:D164)&gt;0,SUM(A164:D164),"")</f>
        <v/>
      </c>
      <c r="F164" s="224" t="str">
        <f aca="false">AD177</f>
        <v>COL DE BRUSELAS</v>
      </c>
      <c r="G164" s="169"/>
      <c r="H164" s="169"/>
      <c r="I164" s="169"/>
      <c r="J164" s="169"/>
      <c r="K164" s="169"/>
      <c r="L164" s="169"/>
      <c r="M164" s="169"/>
      <c r="N164" s="169"/>
      <c r="O164" s="169"/>
      <c r="P164" s="169"/>
      <c r="Q164" s="169"/>
      <c r="R164" s="3"/>
      <c r="S164" s="3"/>
      <c r="T164" s="3"/>
      <c r="U164" s="3"/>
      <c r="V164" s="3"/>
      <c r="W164" s="3"/>
      <c r="X164" s="3"/>
      <c r="Y164" s="3"/>
      <c r="Z164" s="316" t="str">
        <f aca="false">IF(AF164&gt;0,RANK(AF164,AF$6:AF$422),"")</f>
        <v/>
      </c>
      <c r="AA164" s="134" t="n">
        <f aca="false">'O_MN, PE_UTA_UGM 2024'!N141</f>
        <v>4</v>
      </c>
      <c r="AB164" s="135" t="n">
        <f aca="false">'O_MN, PE_UTA_UGM 2024'!O141</f>
        <v>19</v>
      </c>
      <c r="AC164" s="317" t="n">
        <f aca="false">'O_MN, PE_UTA_UGM 2024'!C141</f>
        <v>171</v>
      </c>
      <c r="AD164" s="293" t="str">
        <f aca="false">IF(AB164=0,'O_MN, PE_UTA_UGM 2024'!F141,CONCATENATE('O_MN, PE_UTA_UGM 2024'!F141," ","INVERNADERO"))</f>
        <v>CHIRIVÍA INVERNADERO</v>
      </c>
      <c r="AE164" s="89"/>
      <c r="AF164" s="123" t="n">
        <f aca="false">SUM(AG164:AH164)+SUM(AJ164:AK164)</f>
        <v>0</v>
      </c>
      <c r="AG164" s="318" t="n">
        <f aca="false">A151</f>
        <v>0</v>
      </c>
      <c r="AH164" s="319" t="n">
        <f aca="false">B151</f>
        <v>0</v>
      </c>
      <c r="AI164" s="6"/>
      <c r="AJ164" s="320" t="n">
        <f aca="false">C151</f>
        <v>0</v>
      </c>
      <c r="AK164" s="320" t="n">
        <f aca="false">D151</f>
        <v>0</v>
      </c>
      <c r="AL164" s="237" t="s">
        <v>290</v>
      </c>
      <c r="AM164" s="299" t="n">
        <f aca="false">'O_MN, PE_UTA_UGM 2024'!J141</f>
        <v>0</v>
      </c>
      <c r="AN164" s="299" t="n">
        <f aca="false">'O_MN, PE_UTA_UGM 2024'!K141</f>
        <v>80000</v>
      </c>
      <c r="AO164" s="300"/>
      <c r="AP164" s="299" t="n">
        <f aca="false">'O_MN, PE_UTA_UGM 2024'!H141</f>
        <v>0</v>
      </c>
      <c r="AQ164" s="299" t="n">
        <f aca="false">'O_MN, PE_UTA_UGM 2024'!I141</f>
        <v>36060.73</v>
      </c>
      <c r="AR164" s="301"/>
      <c r="AS164" s="302" t="n">
        <f aca="false">'O_MN, PE_UTA_UGM 2024'!L141</f>
        <v>0</v>
      </c>
      <c r="AT164" s="302" t="n">
        <f aca="false">'O_MN, PE_UTA_UGM 2024'!M141</f>
        <v>1.46978</v>
      </c>
      <c r="AU164" s="45"/>
      <c r="AV164" s="321" t="n">
        <f aca="false">AG164*AM164</f>
        <v>0</v>
      </c>
      <c r="AW164" s="319" t="n">
        <f aca="false">AH164*AN164</f>
        <v>0</v>
      </c>
      <c r="AX164" s="320" t="n">
        <f aca="false">1.25*AJ164*AM164</f>
        <v>0</v>
      </c>
      <c r="AY164" s="322" t="n">
        <f aca="false">1.25*AK164*AN164</f>
        <v>0</v>
      </c>
      <c r="AZ164" s="323" t="n">
        <f aca="false">AG164*AP164</f>
        <v>0</v>
      </c>
      <c r="BA164" s="319" t="n">
        <f aca="false">AH164*AQ164</f>
        <v>0</v>
      </c>
      <c r="BB164" s="320" t="n">
        <f aca="false">1.25*AJ164*AP164</f>
        <v>0</v>
      </c>
      <c r="BC164" s="320" t="n">
        <f aca="false">1.25*AK164*AQ164</f>
        <v>0</v>
      </c>
      <c r="BD164" s="321" t="n">
        <f aca="false">AG164*AS164</f>
        <v>0</v>
      </c>
      <c r="BE164" s="319" t="n">
        <f aca="false">AH164*AT164</f>
        <v>0</v>
      </c>
      <c r="BF164" s="320" t="n">
        <f aca="false">AJ164*AS164</f>
        <v>0</v>
      </c>
      <c r="BG164" s="322" t="n">
        <f aca="false">AK164*AT164</f>
        <v>0</v>
      </c>
      <c r="BH164" s="324" t="str">
        <f aca="false">IF(BH$24=$AA164,($AG164*$AM164)+($AJ164*$AM164*1.25)+($AH164*$AN164)+($AK164*$AN164*1.25),"")</f>
        <v/>
      </c>
      <c r="BI164" s="325" t="str">
        <f aca="false">IF(BI$24=$AA164,($AG164*$AM164)+($AJ164*$AM164*1.25)+($AH164*$AN164)+($AK164*$AN164*1.25),"")</f>
        <v/>
      </c>
      <c r="BJ164" s="325" t="str">
        <f aca="false">IF(BJ$24=$AA164,($AG164*$AM164)+($AJ164*$AM164*1.25)+($AH164*$AN164)+($AK164*$AN164*1.25),"")</f>
        <v/>
      </c>
      <c r="BK164" s="325" t="n">
        <f aca="false">IF(BK$24=$AA164,($AG164*$AM164)+($AJ164*$AM164*1.25)+($AH164*$AN164)+($AK164*$AN164*1.25),"")</f>
        <v>0</v>
      </c>
      <c r="BL164" s="326" t="str">
        <f aca="false">IF(BL$24=$AA164,($AG164*$AM164)+($AJ164*$AM164*1.25)+($AH164*$AN164)+($AK164*$AN164*1.25),"")</f>
        <v/>
      </c>
      <c r="BM164" s="327" t="str">
        <f aca="false">IF(CONCATENATE(BH164,BI164,BJ164,BK164,BL164)="",1,"")</f>
        <v/>
      </c>
      <c r="BN164" s="328"/>
      <c r="BO164" s="328"/>
      <c r="BP164" s="328"/>
      <c r="BQ164" s="328"/>
      <c r="BR164" s="47"/>
      <c r="BS164" s="127" t="n">
        <f aca="false">(AG164*AM164)+(AH164*AN164)+((AJ164*AM164)+(AK164*AN164)*1.25)</f>
        <v>0</v>
      </c>
      <c r="BT164" s="127" t="n">
        <f aca="false">(AG164*AP164)+(AH164*AQ164)+((AJ164*AP164)+(AK164*AQ164)*1.25)</f>
        <v>0</v>
      </c>
      <c r="BU164" s="329"/>
      <c r="BV164" s="129"/>
    </row>
    <row r="165" customFormat="false" ht="15" hidden="false" customHeight="false" outlineLevel="0" collapsed="false">
      <c r="A165" s="228"/>
      <c r="B165" s="229"/>
      <c r="C165" s="230"/>
      <c r="D165" s="231"/>
      <c r="E165" s="223" t="str">
        <f aca="false">IF(SUM(A165:D165)&gt;0,SUM(A165:D165),"")</f>
        <v/>
      </c>
      <c r="F165" s="224" t="str">
        <f aca="false">AD178</f>
        <v>COL DE BRUSELAS INVERNADERO</v>
      </c>
      <c r="G165" s="169"/>
      <c r="H165" s="169"/>
      <c r="I165" s="169"/>
      <c r="J165" s="169"/>
      <c r="K165" s="169"/>
      <c r="L165" s="169"/>
      <c r="M165" s="169"/>
      <c r="N165" s="169"/>
      <c r="O165" s="169"/>
      <c r="P165" s="169"/>
      <c r="Q165" s="169"/>
      <c r="R165" s="3"/>
      <c r="S165" s="3"/>
      <c r="T165" s="3"/>
      <c r="U165" s="3"/>
      <c r="V165" s="3"/>
      <c r="W165" s="3"/>
      <c r="X165" s="3"/>
      <c r="Y165" s="3"/>
      <c r="Z165" s="316" t="str">
        <f aca="false">IF(AF165&gt;0,RANK(AF165,AF$6:AF$422),"")</f>
        <v/>
      </c>
      <c r="AA165" s="134" t="n">
        <f aca="false">'O_MN, PE_UTA_UGM 2024'!N142</f>
        <v>4</v>
      </c>
      <c r="AB165" s="135" t="n">
        <f aca="false">'O_MN, PE_UTA_UGM 2024'!O142</f>
        <v>0</v>
      </c>
      <c r="AC165" s="317" t="n">
        <f aca="false">'O_MN, PE_UTA_UGM 2024'!C142</f>
        <v>172</v>
      </c>
      <c r="AD165" s="293" t="str">
        <f aca="false">IF(AB165=0,'O_MN, PE_UTA_UGM 2024'!F142,CONCATENATE('O_MN, PE_UTA_UGM 2024'!F142," ","INVERNADERO"))</f>
        <v>REPOLLO</v>
      </c>
      <c r="AE165" s="89"/>
      <c r="AF165" s="123" t="n">
        <f aca="false">SUM(AG165:AH165)+SUM(AJ165:AK165)</f>
        <v>0</v>
      </c>
      <c r="AG165" s="318" t="n">
        <f aca="false">A152</f>
        <v>0</v>
      </c>
      <c r="AH165" s="319" t="n">
        <f aca="false">B152</f>
        <v>0</v>
      </c>
      <c r="AI165" s="6"/>
      <c r="AJ165" s="320" t="n">
        <f aca="false">C152</f>
        <v>0</v>
      </c>
      <c r="AK165" s="320" t="n">
        <f aca="false">D152</f>
        <v>0</v>
      </c>
      <c r="AL165" s="237" t="s">
        <v>291</v>
      </c>
      <c r="AM165" s="299" t="n">
        <f aca="false">'O_MN, PE_UTA_UGM 2024'!J142</f>
        <v>575</v>
      </c>
      <c r="AN165" s="299" t="n">
        <f aca="false">'O_MN, PE_UTA_UGM 2024'!K142</f>
        <v>5200</v>
      </c>
      <c r="AO165" s="300"/>
      <c r="AP165" s="299" t="n">
        <f aca="false">'O_MN, PE_UTA_UGM 2024'!H142</f>
        <v>360.61</v>
      </c>
      <c r="AQ165" s="299" t="n">
        <f aca="false">'O_MN, PE_UTA_UGM 2024'!I142</f>
        <v>1352.28</v>
      </c>
      <c r="AR165" s="301"/>
      <c r="AS165" s="302" t="n">
        <f aca="false">'O_MN, PE_UTA_UGM 2024'!L142</f>
        <v>0.0147</v>
      </c>
      <c r="AT165" s="302" t="n">
        <f aca="false">'O_MN, PE_UTA_UGM 2024'!M142</f>
        <v>0.05512</v>
      </c>
      <c r="AU165" s="45"/>
      <c r="AV165" s="321" t="n">
        <f aca="false">AG165*AM165</f>
        <v>0</v>
      </c>
      <c r="AW165" s="319" t="n">
        <f aca="false">AH165*AN165</f>
        <v>0</v>
      </c>
      <c r="AX165" s="320" t="n">
        <f aca="false">1.25*AJ165*AM165</f>
        <v>0</v>
      </c>
      <c r="AY165" s="322" t="n">
        <f aca="false">1.25*AK165*AN165</f>
        <v>0</v>
      </c>
      <c r="AZ165" s="323" t="n">
        <f aca="false">AG165*AP165</f>
        <v>0</v>
      </c>
      <c r="BA165" s="319" t="n">
        <f aca="false">AH165*AQ165</f>
        <v>0</v>
      </c>
      <c r="BB165" s="320" t="n">
        <f aca="false">1.25*AJ165*AP165</f>
        <v>0</v>
      </c>
      <c r="BC165" s="320" t="n">
        <f aca="false">1.25*AK165*AQ165</f>
        <v>0</v>
      </c>
      <c r="BD165" s="321" t="n">
        <f aca="false">AG165*AS165</f>
        <v>0</v>
      </c>
      <c r="BE165" s="319" t="n">
        <f aca="false">AH165*AT165</f>
        <v>0</v>
      </c>
      <c r="BF165" s="320" t="n">
        <f aca="false">AJ165*AS165</f>
        <v>0</v>
      </c>
      <c r="BG165" s="322" t="n">
        <f aca="false">AK165*AT165</f>
        <v>0</v>
      </c>
      <c r="BH165" s="324" t="str">
        <f aca="false">IF(BH$24=$AA165,($AG165*$AM165)+($AJ165*$AM165*1.25)+($AH165*$AN165)+($AK165*$AN165*1.25),"")</f>
        <v/>
      </c>
      <c r="BI165" s="325" t="str">
        <f aca="false">IF(BI$24=$AA165,($AG165*$AM165)+($AJ165*$AM165*1.25)+($AH165*$AN165)+($AK165*$AN165*1.25),"")</f>
        <v/>
      </c>
      <c r="BJ165" s="325" t="str">
        <f aca="false">IF(BJ$24=$AA165,($AG165*$AM165)+($AJ165*$AM165*1.25)+($AH165*$AN165)+($AK165*$AN165*1.25),"")</f>
        <v/>
      </c>
      <c r="BK165" s="325" t="n">
        <f aca="false">IF(BK$24=$AA165,($AG165*$AM165)+($AJ165*$AM165*1.25)+($AH165*$AN165)+($AK165*$AN165*1.25),"")</f>
        <v>0</v>
      </c>
      <c r="BL165" s="326" t="str">
        <f aca="false">IF(BL$24=$AA165,($AG165*$AM165)+($AJ165*$AM165*1.25)+($AH165*$AN165)+($AK165*$AN165*1.25),"")</f>
        <v/>
      </c>
      <c r="BM165" s="327" t="str">
        <f aca="false">IF(CONCATENATE(BH165,BI165,BJ165,BK165,BL165)="",1,"")</f>
        <v/>
      </c>
      <c r="BN165" s="328"/>
      <c r="BO165" s="328"/>
      <c r="BP165" s="328"/>
      <c r="BQ165" s="328"/>
      <c r="BR165" s="47"/>
      <c r="BS165" s="127" t="n">
        <f aca="false">(AG165*AM165)+(AH165*AN165)+((AJ165*AM165)+(AK165*AN165)*1.25)</f>
        <v>0</v>
      </c>
      <c r="BT165" s="127" t="n">
        <f aca="false">(AG165*AP165)+(AH165*AQ165)+((AJ165*AP165)+(AK165*AQ165)*1.25)</f>
        <v>0</v>
      </c>
      <c r="BU165" s="329"/>
      <c r="BV165" s="129"/>
    </row>
    <row r="166" customFormat="false" ht="15" hidden="false" customHeight="false" outlineLevel="0" collapsed="false">
      <c r="A166" s="228"/>
      <c r="B166" s="229"/>
      <c r="C166" s="230"/>
      <c r="D166" s="231"/>
      <c r="E166" s="223" t="str">
        <f aca="false">IF(SUM(A166:D166)&gt;0,SUM(A166:D166),"")</f>
        <v/>
      </c>
      <c r="F166" s="224" t="str">
        <f aca="false">AD179</f>
        <v>COL DE BRUSELAS INVERNADERO</v>
      </c>
      <c r="G166" s="169"/>
      <c r="H166" s="169"/>
      <c r="I166" s="169"/>
      <c r="J166" s="169"/>
      <c r="K166" s="169"/>
      <c r="L166" s="169"/>
      <c r="M166" s="169"/>
      <c r="N166" s="169"/>
      <c r="O166" s="169"/>
      <c r="P166" s="169"/>
      <c r="Q166" s="169"/>
      <c r="R166" s="3"/>
      <c r="S166" s="3"/>
      <c r="T166" s="3"/>
      <c r="U166" s="3"/>
      <c r="V166" s="3"/>
      <c r="W166" s="3"/>
      <c r="X166" s="3"/>
      <c r="Y166" s="3"/>
      <c r="Z166" s="316" t="str">
        <f aca="false">IF(AF166&gt;0,RANK(AF166,AF$6:AF$422),"")</f>
        <v/>
      </c>
      <c r="AA166" s="134" t="n">
        <f aca="false">'O_MN, PE_UTA_UGM 2024'!N143</f>
        <v>4</v>
      </c>
      <c r="AB166" s="135" t="n">
        <f aca="false">'O_MN, PE_UTA_UGM 2024'!O143</f>
        <v>4</v>
      </c>
      <c r="AC166" s="317" t="n">
        <f aca="false">'O_MN, PE_UTA_UGM 2024'!C143</f>
        <v>172</v>
      </c>
      <c r="AD166" s="293" t="str">
        <f aca="false">IF(AB166=0,'O_MN, PE_UTA_UGM 2024'!F143,CONCATENATE('O_MN, PE_UTA_UGM 2024'!F143," ","INVERNADERO"))</f>
        <v>REPOLLO INVERNADERO</v>
      </c>
      <c r="AE166" s="89"/>
      <c r="AF166" s="123" t="n">
        <f aca="false">SUM(AG166:AH166)+SUM(AJ166:AK166)</f>
        <v>0</v>
      </c>
      <c r="AG166" s="318" t="n">
        <f aca="false">A153</f>
        <v>0</v>
      </c>
      <c r="AH166" s="319" t="n">
        <f aca="false">B153</f>
        <v>0</v>
      </c>
      <c r="AI166" s="6"/>
      <c r="AJ166" s="320" t="n">
        <f aca="false">C153</f>
        <v>0</v>
      </c>
      <c r="AK166" s="320" t="n">
        <f aca="false">D153</f>
        <v>0</v>
      </c>
      <c r="AL166" s="237" t="s">
        <v>292</v>
      </c>
      <c r="AM166" s="299" t="n">
        <f aca="false">'O_MN, PE_UTA_UGM 2024'!J143</f>
        <v>0</v>
      </c>
      <c r="AN166" s="299" t="n">
        <f aca="false">'O_MN, PE_UTA_UGM 2024'!K143</f>
        <v>80000</v>
      </c>
      <c r="AO166" s="300"/>
      <c r="AP166" s="299" t="n">
        <f aca="false">'O_MN, PE_UTA_UGM 2024'!H143</f>
        <v>0</v>
      </c>
      <c r="AQ166" s="299" t="n">
        <f aca="false">'O_MN, PE_UTA_UGM 2024'!I143</f>
        <v>36060.73</v>
      </c>
      <c r="AR166" s="301"/>
      <c r="AS166" s="302" t="n">
        <f aca="false">'O_MN, PE_UTA_UGM 2024'!L143</f>
        <v>0</v>
      </c>
      <c r="AT166" s="302" t="n">
        <f aca="false">'O_MN, PE_UTA_UGM 2024'!M143</f>
        <v>1.46978</v>
      </c>
      <c r="AU166" s="45"/>
      <c r="AV166" s="321" t="n">
        <f aca="false">AG166*AM166</f>
        <v>0</v>
      </c>
      <c r="AW166" s="319" t="n">
        <f aca="false">AH166*AN166</f>
        <v>0</v>
      </c>
      <c r="AX166" s="320" t="n">
        <f aca="false">1.25*AJ166*AM166</f>
        <v>0</v>
      </c>
      <c r="AY166" s="322" t="n">
        <f aca="false">1.25*AK166*AN166</f>
        <v>0</v>
      </c>
      <c r="AZ166" s="323" t="n">
        <f aca="false">AG166*AP166</f>
        <v>0</v>
      </c>
      <c r="BA166" s="319" t="n">
        <f aca="false">AH166*AQ166</f>
        <v>0</v>
      </c>
      <c r="BB166" s="320" t="n">
        <f aca="false">1.25*AJ166*AP166</f>
        <v>0</v>
      </c>
      <c r="BC166" s="320" t="n">
        <f aca="false">1.25*AK166*AQ166</f>
        <v>0</v>
      </c>
      <c r="BD166" s="321" t="n">
        <f aca="false">AG166*AS166</f>
        <v>0</v>
      </c>
      <c r="BE166" s="319" t="n">
        <f aca="false">AH166*AT166</f>
        <v>0</v>
      </c>
      <c r="BF166" s="320" t="n">
        <f aca="false">AJ166*AS166</f>
        <v>0</v>
      </c>
      <c r="BG166" s="322" t="n">
        <f aca="false">AK166*AT166</f>
        <v>0</v>
      </c>
      <c r="BH166" s="324" t="str">
        <f aca="false">IF(BH$24=$AA166,($AG166*$AM166)+($AJ166*$AM166*1.25)+($AH166*$AN166)+($AK166*$AN166*1.25),"")</f>
        <v/>
      </c>
      <c r="BI166" s="325" t="str">
        <f aca="false">IF(BI$24=$AA166,($AG166*$AM166)+($AJ166*$AM166*1.25)+($AH166*$AN166)+($AK166*$AN166*1.25),"")</f>
        <v/>
      </c>
      <c r="BJ166" s="325" t="str">
        <f aca="false">IF(BJ$24=$AA166,($AG166*$AM166)+($AJ166*$AM166*1.25)+($AH166*$AN166)+($AK166*$AN166*1.25),"")</f>
        <v/>
      </c>
      <c r="BK166" s="325" t="n">
        <f aca="false">IF(BK$24=$AA166,($AG166*$AM166)+($AJ166*$AM166*1.25)+($AH166*$AN166)+($AK166*$AN166*1.25),"")</f>
        <v>0</v>
      </c>
      <c r="BL166" s="326" t="str">
        <f aca="false">IF(BL$24=$AA166,($AG166*$AM166)+($AJ166*$AM166*1.25)+($AH166*$AN166)+($AK166*$AN166*1.25),"")</f>
        <v/>
      </c>
      <c r="BM166" s="327" t="str">
        <f aca="false">IF(CONCATENATE(BH166,BI166,BJ166,BK166,BL166)="",1,"")</f>
        <v/>
      </c>
      <c r="BN166" s="328"/>
      <c r="BO166" s="328"/>
      <c r="BP166" s="328"/>
      <c r="BQ166" s="328"/>
      <c r="BR166" s="47"/>
      <c r="BS166" s="127" t="n">
        <f aca="false">(AG166*AM166)+(AH166*AN166)+((AJ166*AM166)+(AK166*AN166)*1.25)</f>
        <v>0</v>
      </c>
      <c r="BT166" s="127" t="n">
        <f aca="false">(AG166*AP166)+(AH166*AQ166)+((AJ166*AP166)+(AK166*AQ166)*1.25)</f>
        <v>0</v>
      </c>
      <c r="BU166" s="329"/>
      <c r="BV166" s="129"/>
    </row>
    <row r="167" customFormat="false" ht="15" hidden="false" customHeight="false" outlineLevel="0" collapsed="false">
      <c r="A167" s="228"/>
      <c r="B167" s="229"/>
      <c r="C167" s="230"/>
      <c r="D167" s="231"/>
      <c r="E167" s="223" t="str">
        <f aca="false">IF(SUM(A167:D167)&gt;0,SUM(A167:D167),"")</f>
        <v/>
      </c>
      <c r="F167" s="224" t="str">
        <f aca="false">AD180</f>
        <v>ENDIVIA</v>
      </c>
      <c r="G167" s="169"/>
      <c r="H167" s="169"/>
      <c r="I167" s="169"/>
      <c r="J167" s="169"/>
      <c r="K167" s="169"/>
      <c r="L167" s="169"/>
      <c r="M167" s="169"/>
      <c r="N167" s="169"/>
      <c r="O167" s="169"/>
      <c r="P167" s="169"/>
      <c r="Q167" s="169"/>
      <c r="R167" s="3"/>
      <c r="S167" s="3"/>
      <c r="T167" s="3"/>
      <c r="U167" s="3"/>
      <c r="V167" s="3"/>
      <c r="W167" s="3"/>
      <c r="X167" s="3"/>
      <c r="Y167" s="3"/>
      <c r="Z167" s="316" t="str">
        <f aca="false">IF(AF167&gt;0,RANK(AF167,AF$6:AF$422),"")</f>
        <v/>
      </c>
      <c r="AA167" s="134" t="n">
        <f aca="false">'O_MN, PE_UTA_UGM 2024'!N144</f>
        <v>4</v>
      </c>
      <c r="AB167" s="135" t="n">
        <f aca="false">'O_MN, PE_UTA_UGM 2024'!O144</f>
        <v>19</v>
      </c>
      <c r="AC167" s="317" t="n">
        <f aca="false">'O_MN, PE_UTA_UGM 2024'!C144</f>
        <v>172</v>
      </c>
      <c r="AD167" s="293" t="str">
        <f aca="false">IF(AB167=0,'O_MN, PE_UTA_UGM 2024'!F144,CONCATENATE('O_MN, PE_UTA_UGM 2024'!F144," ","INVERNADERO"))</f>
        <v>REPOLLO INVERNADERO</v>
      </c>
      <c r="AE167" s="89"/>
      <c r="AF167" s="123" t="n">
        <f aca="false">SUM(AG167:AH167)+SUM(AJ167:AK167)</f>
        <v>0</v>
      </c>
      <c r="AG167" s="318" t="n">
        <f aca="false">A154</f>
        <v>0</v>
      </c>
      <c r="AH167" s="319" t="n">
        <f aca="false">B154</f>
        <v>0</v>
      </c>
      <c r="AI167" s="6"/>
      <c r="AJ167" s="320" t="n">
        <f aca="false">C154</f>
        <v>0</v>
      </c>
      <c r="AK167" s="320" t="n">
        <f aca="false">D154</f>
        <v>0</v>
      </c>
      <c r="AL167" s="237" t="s">
        <v>293</v>
      </c>
      <c r="AM167" s="299" t="n">
        <f aca="false">'O_MN, PE_UTA_UGM 2024'!J144</f>
        <v>0</v>
      </c>
      <c r="AN167" s="299" t="n">
        <f aca="false">'O_MN, PE_UTA_UGM 2024'!K144</f>
        <v>80000</v>
      </c>
      <c r="AO167" s="300"/>
      <c r="AP167" s="299" t="n">
        <f aca="false">'O_MN, PE_UTA_UGM 2024'!H144</f>
        <v>0</v>
      </c>
      <c r="AQ167" s="299" t="n">
        <f aca="false">'O_MN, PE_UTA_UGM 2024'!I144</f>
        <v>36060.73</v>
      </c>
      <c r="AR167" s="301"/>
      <c r="AS167" s="302" t="n">
        <f aca="false">'O_MN, PE_UTA_UGM 2024'!L144</f>
        <v>0</v>
      </c>
      <c r="AT167" s="302" t="n">
        <f aca="false">'O_MN, PE_UTA_UGM 2024'!M144</f>
        <v>1.46978</v>
      </c>
      <c r="AU167" s="45"/>
      <c r="AV167" s="321" t="n">
        <f aca="false">AG167*AM167</f>
        <v>0</v>
      </c>
      <c r="AW167" s="319" t="n">
        <f aca="false">AH167*AN167</f>
        <v>0</v>
      </c>
      <c r="AX167" s="320" t="n">
        <f aca="false">1.25*AJ167*AM167</f>
        <v>0</v>
      </c>
      <c r="AY167" s="322" t="n">
        <f aca="false">1.25*AK167*AN167</f>
        <v>0</v>
      </c>
      <c r="AZ167" s="323" t="n">
        <f aca="false">AG167*AP167</f>
        <v>0</v>
      </c>
      <c r="BA167" s="319" t="n">
        <f aca="false">AH167*AQ167</f>
        <v>0</v>
      </c>
      <c r="BB167" s="320" t="n">
        <f aca="false">1.25*AJ167*AP167</f>
        <v>0</v>
      </c>
      <c r="BC167" s="320" t="n">
        <f aca="false">1.25*AK167*AQ167</f>
        <v>0</v>
      </c>
      <c r="BD167" s="321" t="n">
        <f aca="false">AG167*AS167</f>
        <v>0</v>
      </c>
      <c r="BE167" s="319" t="n">
        <f aca="false">AH167*AT167</f>
        <v>0</v>
      </c>
      <c r="BF167" s="320" t="n">
        <f aca="false">AJ167*AS167</f>
        <v>0</v>
      </c>
      <c r="BG167" s="322" t="n">
        <f aca="false">AK167*AT167</f>
        <v>0</v>
      </c>
      <c r="BH167" s="324" t="str">
        <f aca="false">IF(BH$24=$AA167,($AG167*$AM167)+($AJ167*$AM167*1.25)+($AH167*$AN167)+($AK167*$AN167*1.25),"")</f>
        <v/>
      </c>
      <c r="BI167" s="325" t="str">
        <f aca="false">IF(BI$24=$AA167,($AG167*$AM167)+($AJ167*$AM167*1.25)+($AH167*$AN167)+($AK167*$AN167*1.25),"")</f>
        <v/>
      </c>
      <c r="BJ167" s="325" t="str">
        <f aca="false">IF(BJ$24=$AA167,($AG167*$AM167)+($AJ167*$AM167*1.25)+($AH167*$AN167)+($AK167*$AN167*1.25),"")</f>
        <v/>
      </c>
      <c r="BK167" s="325" t="n">
        <f aca="false">IF(BK$24=$AA167,($AG167*$AM167)+($AJ167*$AM167*1.25)+($AH167*$AN167)+($AK167*$AN167*1.25),"")</f>
        <v>0</v>
      </c>
      <c r="BL167" s="326" t="str">
        <f aca="false">IF(BL$24=$AA167,($AG167*$AM167)+($AJ167*$AM167*1.25)+($AH167*$AN167)+($AK167*$AN167*1.25),"")</f>
        <v/>
      </c>
      <c r="BM167" s="327" t="str">
        <f aca="false">IF(CONCATENATE(BH167,BI167,BJ167,BK167,BL167)="",1,"")</f>
        <v/>
      </c>
      <c r="BN167" s="328"/>
      <c r="BO167" s="328"/>
      <c r="BP167" s="328"/>
      <c r="BQ167" s="328"/>
      <c r="BR167" s="47"/>
      <c r="BS167" s="127" t="n">
        <f aca="false">(AG167*AM167)+(AH167*AN167)+((AJ167*AM167)+(AK167*AN167)*1.25)</f>
        <v>0</v>
      </c>
      <c r="BT167" s="127" t="n">
        <f aca="false">(AG167*AP167)+(AH167*AQ167)+((AJ167*AP167)+(AK167*AQ167)*1.25)</f>
        <v>0</v>
      </c>
      <c r="BU167" s="329"/>
      <c r="BV167" s="129"/>
    </row>
    <row r="168" customFormat="false" ht="15" hidden="false" customHeight="false" outlineLevel="0" collapsed="false">
      <c r="A168" s="228"/>
      <c r="B168" s="229"/>
      <c r="C168" s="230"/>
      <c r="D168" s="231"/>
      <c r="E168" s="223" t="str">
        <f aca="false">IF(SUM(A168:D168)&gt;0,SUM(A168:D168),"")</f>
        <v/>
      </c>
      <c r="F168" s="224" t="str">
        <f aca="false">AD181</f>
        <v>ENDIVIA INVERNADERO</v>
      </c>
      <c r="G168" s="169"/>
      <c r="H168" s="169"/>
      <c r="I168" s="169"/>
      <c r="J168" s="169"/>
      <c r="K168" s="169"/>
      <c r="L168" s="169"/>
      <c r="M168" s="169"/>
      <c r="N168" s="169"/>
      <c r="O168" s="169"/>
      <c r="P168" s="169"/>
      <c r="Q168" s="169"/>
      <c r="R168" s="3"/>
      <c r="S168" s="3"/>
      <c r="T168" s="3"/>
      <c r="U168" s="3"/>
      <c r="V168" s="3"/>
      <c r="W168" s="3"/>
      <c r="X168" s="3"/>
      <c r="Y168" s="3"/>
      <c r="Z168" s="316" t="str">
        <f aca="false">IF(AF168&gt;0,RANK(AF168,AF$6:AF$422),"")</f>
        <v/>
      </c>
      <c r="AA168" s="134" t="n">
        <f aca="false">'O_MN, PE_UTA_UGM 2024'!N145</f>
        <v>4</v>
      </c>
      <c r="AB168" s="135" t="n">
        <f aca="false">'O_MN, PE_UTA_UGM 2024'!O145</f>
        <v>0</v>
      </c>
      <c r="AC168" s="317" t="n">
        <f aca="false">'O_MN, PE_UTA_UGM 2024'!C145</f>
        <v>173</v>
      </c>
      <c r="AD168" s="293" t="str">
        <f aca="false">IF(AB168=0,'O_MN, PE_UTA_UGM 2024'!F145,CONCATENATE('O_MN, PE_UTA_UGM 2024'!F145," ","INVERNADERO"))</f>
        <v>COL ROJA O LOMBARDA</v>
      </c>
      <c r="AE168" s="89"/>
      <c r="AF168" s="123" t="n">
        <f aca="false">SUM(AG168:AH168)+SUM(AJ168:AK168)</f>
        <v>0</v>
      </c>
      <c r="AG168" s="318" t="n">
        <f aca="false">A155</f>
        <v>0</v>
      </c>
      <c r="AH168" s="319" t="n">
        <f aca="false">B155</f>
        <v>0</v>
      </c>
      <c r="AI168" s="6"/>
      <c r="AJ168" s="320" t="n">
        <f aca="false">C155</f>
        <v>0</v>
      </c>
      <c r="AK168" s="320" t="n">
        <f aca="false">D155</f>
        <v>0</v>
      </c>
      <c r="AL168" s="237" t="s">
        <v>294</v>
      </c>
      <c r="AM168" s="299" t="n">
        <f aca="false">'O_MN, PE_UTA_UGM 2024'!J145</f>
        <v>575</v>
      </c>
      <c r="AN168" s="299" t="n">
        <f aca="false">'O_MN, PE_UTA_UGM 2024'!K145</f>
        <v>5200</v>
      </c>
      <c r="AO168" s="300"/>
      <c r="AP168" s="299" t="n">
        <f aca="false">'O_MN, PE_UTA_UGM 2024'!H145</f>
        <v>360.61</v>
      </c>
      <c r="AQ168" s="299" t="n">
        <f aca="false">'O_MN, PE_UTA_UGM 2024'!I145</f>
        <v>1352.28</v>
      </c>
      <c r="AR168" s="301"/>
      <c r="AS168" s="302" t="n">
        <f aca="false">'O_MN, PE_UTA_UGM 2024'!L145</f>
        <v>0.0147</v>
      </c>
      <c r="AT168" s="302" t="n">
        <f aca="false">'O_MN, PE_UTA_UGM 2024'!M145</f>
        <v>0.05512</v>
      </c>
      <c r="AU168" s="45"/>
      <c r="AV168" s="321" t="n">
        <f aca="false">AG168*AM168</f>
        <v>0</v>
      </c>
      <c r="AW168" s="319" t="n">
        <f aca="false">AH168*AN168</f>
        <v>0</v>
      </c>
      <c r="AX168" s="320" t="n">
        <f aca="false">1.25*AJ168*AM168</f>
        <v>0</v>
      </c>
      <c r="AY168" s="322" t="n">
        <f aca="false">1.25*AK168*AN168</f>
        <v>0</v>
      </c>
      <c r="AZ168" s="323" t="n">
        <f aca="false">AG168*AP168</f>
        <v>0</v>
      </c>
      <c r="BA168" s="319" t="n">
        <f aca="false">AH168*AQ168</f>
        <v>0</v>
      </c>
      <c r="BB168" s="320" t="n">
        <f aca="false">1.25*AJ168*AP168</f>
        <v>0</v>
      </c>
      <c r="BC168" s="320" t="n">
        <f aca="false">1.25*AK168*AQ168</f>
        <v>0</v>
      </c>
      <c r="BD168" s="321" t="n">
        <f aca="false">AG168*AS168</f>
        <v>0</v>
      </c>
      <c r="BE168" s="319" t="n">
        <f aca="false">AH168*AT168</f>
        <v>0</v>
      </c>
      <c r="BF168" s="320" t="n">
        <f aca="false">AJ168*AS168</f>
        <v>0</v>
      </c>
      <c r="BG168" s="322" t="n">
        <f aca="false">AK168*AT168</f>
        <v>0</v>
      </c>
      <c r="BH168" s="324" t="str">
        <f aca="false">IF(BH$24=$AA168,($AG168*$AM168)+($AJ168*$AM168*1.25)+($AH168*$AN168)+($AK168*$AN168*1.25),"")</f>
        <v/>
      </c>
      <c r="BI168" s="325" t="str">
        <f aca="false">IF(BI$24=$AA168,($AG168*$AM168)+($AJ168*$AM168*1.25)+($AH168*$AN168)+($AK168*$AN168*1.25),"")</f>
        <v/>
      </c>
      <c r="BJ168" s="325" t="str">
        <f aca="false">IF(BJ$24=$AA168,($AG168*$AM168)+($AJ168*$AM168*1.25)+($AH168*$AN168)+($AK168*$AN168*1.25),"")</f>
        <v/>
      </c>
      <c r="BK168" s="325" t="n">
        <f aca="false">IF(BK$24=$AA168,($AG168*$AM168)+($AJ168*$AM168*1.25)+($AH168*$AN168)+($AK168*$AN168*1.25),"")</f>
        <v>0</v>
      </c>
      <c r="BL168" s="326" t="str">
        <f aca="false">IF(BL$24=$AA168,($AG168*$AM168)+($AJ168*$AM168*1.25)+($AH168*$AN168)+($AK168*$AN168*1.25),"")</f>
        <v/>
      </c>
      <c r="BM168" s="327" t="str">
        <f aca="false">IF(CONCATENATE(BH168,BI168,BJ168,BK168,BL168)="",1,"")</f>
        <v/>
      </c>
      <c r="BN168" s="328"/>
      <c r="BO168" s="328"/>
      <c r="BP168" s="328"/>
      <c r="BQ168" s="328"/>
      <c r="BR168" s="47"/>
      <c r="BS168" s="127" t="n">
        <f aca="false">(AG168*AM168)+(AH168*AN168)+((AJ168*AM168)+(AK168*AN168)*1.25)</f>
        <v>0</v>
      </c>
      <c r="BT168" s="127" t="n">
        <f aca="false">(AG168*AP168)+(AH168*AQ168)+((AJ168*AP168)+(AK168*AQ168)*1.25)</f>
        <v>0</v>
      </c>
      <c r="BU168" s="329"/>
      <c r="BV168" s="129"/>
    </row>
    <row r="169" customFormat="false" ht="15" hidden="false" customHeight="false" outlineLevel="0" collapsed="false">
      <c r="A169" s="228"/>
      <c r="B169" s="229"/>
      <c r="C169" s="230"/>
      <c r="D169" s="231"/>
      <c r="E169" s="223" t="str">
        <f aca="false">IF(SUM(A169:D169)&gt;0,SUM(A169:D169),"")</f>
        <v/>
      </c>
      <c r="F169" s="224" t="str">
        <f aca="false">AD182</f>
        <v>ENDIVIA INVERNADERO</v>
      </c>
      <c r="G169" s="169"/>
      <c r="H169" s="169"/>
      <c r="I169" s="169"/>
      <c r="J169" s="169"/>
      <c r="K169" s="169"/>
      <c r="L169" s="169"/>
      <c r="M169" s="169"/>
      <c r="N169" s="169"/>
      <c r="O169" s="169"/>
      <c r="P169" s="169"/>
      <c r="Q169" s="169"/>
      <c r="R169" s="3"/>
      <c r="S169" s="3"/>
      <c r="T169" s="3"/>
      <c r="U169" s="3"/>
      <c r="V169" s="3"/>
      <c r="W169" s="3"/>
      <c r="X169" s="3"/>
      <c r="Y169" s="3"/>
      <c r="Z169" s="316" t="str">
        <f aca="false">IF(AF169&gt;0,RANK(AF169,AF$6:AF$422),"")</f>
        <v/>
      </c>
      <c r="AA169" s="134" t="n">
        <f aca="false">'O_MN, PE_UTA_UGM 2024'!N146</f>
        <v>4</v>
      </c>
      <c r="AB169" s="135" t="n">
        <f aca="false">'O_MN, PE_UTA_UGM 2024'!O146</f>
        <v>4</v>
      </c>
      <c r="AC169" s="317" t="n">
        <f aca="false">'O_MN, PE_UTA_UGM 2024'!C146</f>
        <v>173</v>
      </c>
      <c r="AD169" s="293" t="str">
        <f aca="false">IF(AB169=0,'O_MN, PE_UTA_UGM 2024'!F146,CONCATENATE('O_MN, PE_UTA_UGM 2024'!F146," ","INVERNADERO"))</f>
        <v>COL ROJA O LOMBARDA INVERNADERO</v>
      </c>
      <c r="AE169" s="89"/>
      <c r="AF169" s="123" t="n">
        <f aca="false">SUM(AG169:AH169)+SUM(AJ169:AK169)</f>
        <v>0</v>
      </c>
      <c r="AG169" s="318" t="n">
        <f aca="false">A156</f>
        <v>0</v>
      </c>
      <c r="AH169" s="319" t="n">
        <f aca="false">B156</f>
        <v>0</v>
      </c>
      <c r="AI169" s="6"/>
      <c r="AJ169" s="320" t="n">
        <f aca="false">C156</f>
        <v>0</v>
      </c>
      <c r="AK169" s="320" t="n">
        <f aca="false">D156</f>
        <v>0</v>
      </c>
      <c r="AL169" s="237" t="s">
        <v>295</v>
      </c>
      <c r="AM169" s="299" t="n">
        <f aca="false">'O_MN, PE_UTA_UGM 2024'!J146</f>
        <v>0</v>
      </c>
      <c r="AN169" s="299" t="n">
        <f aca="false">'O_MN, PE_UTA_UGM 2024'!K146</f>
        <v>80000</v>
      </c>
      <c r="AO169" s="300"/>
      <c r="AP169" s="299" t="n">
        <f aca="false">'O_MN, PE_UTA_UGM 2024'!H146</f>
        <v>0</v>
      </c>
      <c r="AQ169" s="299" t="n">
        <f aca="false">'O_MN, PE_UTA_UGM 2024'!I146</f>
        <v>36060.73</v>
      </c>
      <c r="AR169" s="301"/>
      <c r="AS169" s="302" t="n">
        <f aca="false">'O_MN, PE_UTA_UGM 2024'!L146</f>
        <v>0</v>
      </c>
      <c r="AT169" s="302" t="n">
        <f aca="false">'O_MN, PE_UTA_UGM 2024'!M146</f>
        <v>1.46978</v>
      </c>
      <c r="AU169" s="45"/>
      <c r="AV169" s="321" t="n">
        <f aca="false">AG169*AM169</f>
        <v>0</v>
      </c>
      <c r="AW169" s="319" t="n">
        <f aca="false">AH169*AN169</f>
        <v>0</v>
      </c>
      <c r="AX169" s="320" t="n">
        <f aca="false">1.25*AJ169*AM169</f>
        <v>0</v>
      </c>
      <c r="AY169" s="322" t="n">
        <f aca="false">1.25*AK169*AN169</f>
        <v>0</v>
      </c>
      <c r="AZ169" s="323" t="n">
        <f aca="false">AG169*AP169</f>
        <v>0</v>
      </c>
      <c r="BA169" s="319" t="n">
        <f aca="false">AH169*AQ169</f>
        <v>0</v>
      </c>
      <c r="BB169" s="320" t="n">
        <f aca="false">1.25*AJ169*AP169</f>
        <v>0</v>
      </c>
      <c r="BC169" s="320" t="n">
        <f aca="false">1.25*AK169*AQ169</f>
        <v>0</v>
      </c>
      <c r="BD169" s="321" t="n">
        <f aca="false">AG169*AS169</f>
        <v>0</v>
      </c>
      <c r="BE169" s="319" t="n">
        <f aca="false">AH169*AT169</f>
        <v>0</v>
      </c>
      <c r="BF169" s="320" t="n">
        <f aca="false">AJ169*AS169</f>
        <v>0</v>
      </c>
      <c r="BG169" s="322" t="n">
        <f aca="false">AK169*AT169</f>
        <v>0</v>
      </c>
      <c r="BH169" s="324" t="str">
        <f aca="false">IF(BH$24=$AA169,($AG169*$AM169)+($AJ169*$AM169*1.25)+($AH169*$AN169)+($AK169*$AN169*1.25),"")</f>
        <v/>
      </c>
      <c r="BI169" s="325" t="str">
        <f aca="false">IF(BI$24=$AA169,($AG169*$AM169)+($AJ169*$AM169*1.25)+($AH169*$AN169)+($AK169*$AN169*1.25),"")</f>
        <v/>
      </c>
      <c r="BJ169" s="325" t="str">
        <f aca="false">IF(BJ$24=$AA169,($AG169*$AM169)+($AJ169*$AM169*1.25)+($AH169*$AN169)+($AK169*$AN169*1.25),"")</f>
        <v/>
      </c>
      <c r="BK169" s="325" t="n">
        <f aca="false">IF(BK$24=$AA169,($AG169*$AM169)+($AJ169*$AM169*1.25)+($AH169*$AN169)+($AK169*$AN169*1.25),"")</f>
        <v>0</v>
      </c>
      <c r="BL169" s="326" t="str">
        <f aca="false">IF(BL$24=$AA169,($AG169*$AM169)+($AJ169*$AM169*1.25)+($AH169*$AN169)+($AK169*$AN169*1.25),"")</f>
        <v/>
      </c>
      <c r="BM169" s="327" t="str">
        <f aca="false">IF(CONCATENATE(BH169,BI169,BJ169,BK169,BL169)="",1,"")</f>
        <v/>
      </c>
      <c r="BN169" s="328"/>
      <c r="BO169" s="328"/>
      <c r="BP169" s="328"/>
      <c r="BQ169" s="328"/>
      <c r="BR169" s="47"/>
      <c r="BS169" s="127" t="n">
        <f aca="false">(AG169*AM169)+(AH169*AN169)+((AJ169*AM169)+(AK169*AN169)*1.25)</f>
        <v>0</v>
      </c>
      <c r="BT169" s="127" t="n">
        <f aca="false">(AG169*AP169)+(AH169*AQ169)+((AJ169*AP169)+(AK169*AQ169)*1.25)</f>
        <v>0</v>
      </c>
      <c r="BU169" s="329"/>
      <c r="BV169" s="129"/>
    </row>
    <row r="170" customFormat="false" ht="15" hidden="false" customHeight="false" outlineLevel="0" collapsed="false">
      <c r="A170" s="228"/>
      <c r="B170" s="229"/>
      <c r="C170" s="230"/>
      <c r="D170" s="231"/>
      <c r="E170" s="223" t="str">
        <f aca="false">IF(SUM(A170:D170)&gt;0,SUM(A170:D170),"")</f>
        <v/>
      </c>
      <c r="F170" s="224" t="str">
        <f aca="false">AD183</f>
        <v>ZANAHORIA</v>
      </c>
      <c r="G170" s="169"/>
      <c r="H170" s="169"/>
      <c r="I170" s="169"/>
      <c r="J170" s="169"/>
      <c r="K170" s="169"/>
      <c r="L170" s="169"/>
      <c r="M170" s="169"/>
      <c r="N170" s="169"/>
      <c r="O170" s="169"/>
      <c r="P170" s="169"/>
      <c r="Q170" s="169"/>
      <c r="R170" s="3"/>
      <c r="S170" s="3"/>
      <c r="T170" s="3"/>
      <c r="U170" s="3"/>
      <c r="V170" s="3"/>
      <c r="W170" s="3"/>
      <c r="X170" s="3"/>
      <c r="Y170" s="3"/>
      <c r="Z170" s="316" t="str">
        <f aca="false">IF(AF170&gt;0,RANK(AF170,AF$6:AF$422),"")</f>
        <v/>
      </c>
      <c r="AA170" s="134" t="n">
        <f aca="false">'O_MN, PE_UTA_UGM 2024'!N147</f>
        <v>4</v>
      </c>
      <c r="AB170" s="135" t="n">
        <f aca="false">'O_MN, PE_UTA_UGM 2024'!O147</f>
        <v>19</v>
      </c>
      <c r="AC170" s="317" t="n">
        <f aca="false">'O_MN, PE_UTA_UGM 2024'!C147</f>
        <v>173</v>
      </c>
      <c r="AD170" s="293" t="str">
        <f aca="false">IF(AB170=0,'O_MN, PE_UTA_UGM 2024'!F147,CONCATENATE('O_MN, PE_UTA_UGM 2024'!F147," ","INVERNADERO"))</f>
        <v>COL ROJA O LOMBARDA INVERNADERO</v>
      </c>
      <c r="AE170" s="89"/>
      <c r="AF170" s="123" t="n">
        <f aca="false">SUM(AG170:AH170)+SUM(AJ170:AK170)</f>
        <v>0</v>
      </c>
      <c r="AG170" s="318" t="n">
        <f aca="false">A157</f>
        <v>0</v>
      </c>
      <c r="AH170" s="319" t="n">
        <f aca="false">B157</f>
        <v>0</v>
      </c>
      <c r="AI170" s="6"/>
      <c r="AJ170" s="320" t="n">
        <f aca="false">C157</f>
        <v>0</v>
      </c>
      <c r="AK170" s="320" t="n">
        <f aca="false">D157</f>
        <v>0</v>
      </c>
      <c r="AL170" s="237" t="s">
        <v>296</v>
      </c>
      <c r="AM170" s="299" t="n">
        <f aca="false">'O_MN, PE_UTA_UGM 2024'!J147</f>
        <v>0</v>
      </c>
      <c r="AN170" s="299" t="n">
        <f aca="false">'O_MN, PE_UTA_UGM 2024'!K147</f>
        <v>80000</v>
      </c>
      <c r="AO170" s="300"/>
      <c r="AP170" s="299" t="n">
        <f aca="false">'O_MN, PE_UTA_UGM 2024'!H147</f>
        <v>0</v>
      </c>
      <c r="AQ170" s="299" t="n">
        <f aca="false">'O_MN, PE_UTA_UGM 2024'!I147</f>
        <v>36060.73</v>
      </c>
      <c r="AR170" s="301"/>
      <c r="AS170" s="302" t="n">
        <f aca="false">'O_MN, PE_UTA_UGM 2024'!L147</f>
        <v>0</v>
      </c>
      <c r="AT170" s="302" t="n">
        <f aca="false">'O_MN, PE_UTA_UGM 2024'!M147</f>
        <v>1.46978</v>
      </c>
      <c r="AU170" s="45"/>
      <c r="AV170" s="321" t="n">
        <f aca="false">AG170*AM170</f>
        <v>0</v>
      </c>
      <c r="AW170" s="319" t="n">
        <f aca="false">AH170*AN170</f>
        <v>0</v>
      </c>
      <c r="AX170" s="320" t="n">
        <f aca="false">1.25*AJ170*AM170</f>
        <v>0</v>
      </c>
      <c r="AY170" s="322" t="n">
        <f aca="false">1.25*AK170*AN170</f>
        <v>0</v>
      </c>
      <c r="AZ170" s="323" t="n">
        <f aca="false">AG170*AP170</f>
        <v>0</v>
      </c>
      <c r="BA170" s="319" t="n">
        <f aca="false">AH170*AQ170</f>
        <v>0</v>
      </c>
      <c r="BB170" s="320" t="n">
        <f aca="false">1.25*AJ170*AP170</f>
        <v>0</v>
      </c>
      <c r="BC170" s="320" t="n">
        <f aca="false">1.25*AK170*AQ170</f>
        <v>0</v>
      </c>
      <c r="BD170" s="321" t="n">
        <f aca="false">AG170*AS170</f>
        <v>0</v>
      </c>
      <c r="BE170" s="319" t="n">
        <f aca="false">AH170*AT170</f>
        <v>0</v>
      </c>
      <c r="BF170" s="320" t="n">
        <f aca="false">AJ170*AS170</f>
        <v>0</v>
      </c>
      <c r="BG170" s="322" t="n">
        <f aca="false">AK170*AT170</f>
        <v>0</v>
      </c>
      <c r="BH170" s="324" t="str">
        <f aca="false">IF(BH$24=$AA170,($AG170*$AM170)+($AJ170*$AM170*1.25)+($AH170*$AN170)+($AK170*$AN170*1.25),"")</f>
        <v/>
      </c>
      <c r="BI170" s="325" t="str">
        <f aca="false">IF(BI$24=$AA170,($AG170*$AM170)+($AJ170*$AM170*1.25)+($AH170*$AN170)+($AK170*$AN170*1.25),"")</f>
        <v/>
      </c>
      <c r="BJ170" s="325" t="str">
        <f aca="false">IF(BJ$24=$AA170,($AG170*$AM170)+($AJ170*$AM170*1.25)+($AH170*$AN170)+($AK170*$AN170*1.25),"")</f>
        <v/>
      </c>
      <c r="BK170" s="325" t="n">
        <f aca="false">IF(BK$24=$AA170,($AG170*$AM170)+($AJ170*$AM170*1.25)+($AH170*$AN170)+($AK170*$AN170*1.25),"")</f>
        <v>0</v>
      </c>
      <c r="BL170" s="326" t="str">
        <f aca="false">IF(BL$24=$AA170,($AG170*$AM170)+($AJ170*$AM170*1.25)+($AH170*$AN170)+($AK170*$AN170*1.25),"")</f>
        <v/>
      </c>
      <c r="BM170" s="327" t="str">
        <f aca="false">IF(CONCATENATE(BH170,BI170,BJ170,BK170,BL170)="",1,"")</f>
        <v/>
      </c>
      <c r="BN170" s="328"/>
      <c r="BO170" s="328"/>
      <c r="BP170" s="328"/>
      <c r="BQ170" s="328"/>
      <c r="BR170" s="47"/>
      <c r="BS170" s="127" t="n">
        <f aca="false">(AG170*AM170)+(AH170*AN170)+((AJ170*AM170)+(AK170*AN170)*1.25)</f>
        <v>0</v>
      </c>
      <c r="BT170" s="127" t="n">
        <f aca="false">(AG170*AP170)+(AH170*AQ170)+((AJ170*AP170)+(AK170*AQ170)*1.25)</f>
        <v>0</v>
      </c>
      <c r="BU170" s="329"/>
      <c r="BV170" s="129"/>
    </row>
    <row r="171" customFormat="false" ht="15" hidden="false" customHeight="false" outlineLevel="0" collapsed="false">
      <c r="A171" s="228"/>
      <c r="B171" s="229"/>
      <c r="C171" s="230"/>
      <c r="D171" s="231"/>
      <c r="E171" s="223" t="str">
        <f aca="false">IF(SUM(A171:D171)&gt;0,SUM(A171:D171),"")</f>
        <v/>
      </c>
      <c r="F171" s="224" t="str">
        <f aca="false">AD184</f>
        <v>ZANAHORIA INVERNADERO</v>
      </c>
      <c r="G171" s="169"/>
      <c r="H171" s="169"/>
      <c r="I171" s="169"/>
      <c r="J171" s="169"/>
      <c r="K171" s="169"/>
      <c r="L171" s="169"/>
      <c r="M171" s="169"/>
      <c r="N171" s="169"/>
      <c r="O171" s="169"/>
      <c r="P171" s="169"/>
      <c r="Q171" s="169"/>
      <c r="R171" s="3"/>
      <c r="S171" s="3"/>
      <c r="T171" s="3"/>
      <c r="U171" s="3"/>
      <c r="V171" s="3"/>
      <c r="W171" s="3"/>
      <c r="X171" s="3"/>
      <c r="Y171" s="3"/>
      <c r="Z171" s="316" t="str">
        <f aca="false">IF(AF171&gt;0,RANK(AF171,AF$6:AF$422),"")</f>
        <v/>
      </c>
      <c r="AA171" s="134" t="n">
        <f aca="false">'O_MN, PE_UTA_UGM 2024'!N148</f>
        <v>4</v>
      </c>
      <c r="AB171" s="135" t="n">
        <f aca="false">'O_MN, PE_UTA_UGM 2024'!O148</f>
        <v>0</v>
      </c>
      <c r="AC171" s="317" t="n">
        <f aca="false">'O_MN, PE_UTA_UGM 2024'!C148</f>
        <v>174</v>
      </c>
      <c r="AD171" s="293" t="str">
        <f aca="false">IF(AB171=0,'O_MN, PE_UTA_UGM 2024'!F148,CONCATENATE('O_MN, PE_UTA_UGM 2024'!F148," ","INVERNADERO"))</f>
        <v>COL MILÁN</v>
      </c>
      <c r="AE171" s="89"/>
      <c r="AF171" s="123" t="n">
        <f aca="false">SUM(AG171:AH171)+SUM(AJ171:AK171)</f>
        <v>0</v>
      </c>
      <c r="AG171" s="318" t="n">
        <f aca="false">A158</f>
        <v>0</v>
      </c>
      <c r="AH171" s="319" t="n">
        <f aca="false">B158</f>
        <v>0</v>
      </c>
      <c r="AI171" s="6"/>
      <c r="AJ171" s="320" t="n">
        <f aca="false">C158</f>
        <v>0</v>
      </c>
      <c r="AK171" s="320" t="n">
        <f aca="false">D158</f>
        <v>0</v>
      </c>
      <c r="AL171" s="237" t="s">
        <v>297</v>
      </c>
      <c r="AM171" s="299" t="n">
        <f aca="false">'O_MN, PE_UTA_UGM 2024'!J148</f>
        <v>575</v>
      </c>
      <c r="AN171" s="299" t="n">
        <f aca="false">'O_MN, PE_UTA_UGM 2024'!K148</f>
        <v>5200</v>
      </c>
      <c r="AO171" s="300"/>
      <c r="AP171" s="299" t="n">
        <f aca="false">'O_MN, PE_UTA_UGM 2024'!H148</f>
        <v>360.61</v>
      </c>
      <c r="AQ171" s="299" t="n">
        <f aca="false">'O_MN, PE_UTA_UGM 2024'!I148</f>
        <v>1352.28</v>
      </c>
      <c r="AR171" s="301"/>
      <c r="AS171" s="302" t="n">
        <f aca="false">'O_MN, PE_UTA_UGM 2024'!L148</f>
        <v>0.0147</v>
      </c>
      <c r="AT171" s="302" t="n">
        <f aca="false">'O_MN, PE_UTA_UGM 2024'!M148</f>
        <v>0.05512</v>
      </c>
      <c r="AU171" s="45"/>
      <c r="AV171" s="321" t="n">
        <f aca="false">AG171*AM171</f>
        <v>0</v>
      </c>
      <c r="AW171" s="319" t="n">
        <f aca="false">AH171*AN171</f>
        <v>0</v>
      </c>
      <c r="AX171" s="320" t="n">
        <f aca="false">1.25*AJ171*AM171</f>
        <v>0</v>
      </c>
      <c r="AY171" s="322" t="n">
        <f aca="false">1.25*AK171*AN171</f>
        <v>0</v>
      </c>
      <c r="AZ171" s="323" t="n">
        <f aca="false">AG171*AP171</f>
        <v>0</v>
      </c>
      <c r="BA171" s="319" t="n">
        <f aca="false">AH171*AQ171</f>
        <v>0</v>
      </c>
      <c r="BB171" s="320" t="n">
        <f aca="false">1.25*AJ171*AP171</f>
        <v>0</v>
      </c>
      <c r="BC171" s="320" t="n">
        <f aca="false">1.25*AK171*AQ171</f>
        <v>0</v>
      </c>
      <c r="BD171" s="321" t="n">
        <f aca="false">AG171*AS171</f>
        <v>0</v>
      </c>
      <c r="BE171" s="319" t="n">
        <f aca="false">AH171*AT171</f>
        <v>0</v>
      </c>
      <c r="BF171" s="320" t="n">
        <f aca="false">AJ171*AS171</f>
        <v>0</v>
      </c>
      <c r="BG171" s="322" t="n">
        <f aca="false">AK171*AT171</f>
        <v>0</v>
      </c>
      <c r="BH171" s="324" t="str">
        <f aca="false">IF(BH$24=$AA171,($AG171*$AM171)+($AJ171*$AM171*1.25)+($AH171*$AN171)+($AK171*$AN171*1.25),"")</f>
        <v/>
      </c>
      <c r="BI171" s="325" t="str">
        <f aca="false">IF(BI$24=$AA171,($AG171*$AM171)+($AJ171*$AM171*1.25)+($AH171*$AN171)+($AK171*$AN171*1.25),"")</f>
        <v/>
      </c>
      <c r="BJ171" s="325" t="str">
        <f aca="false">IF(BJ$24=$AA171,($AG171*$AM171)+($AJ171*$AM171*1.25)+($AH171*$AN171)+($AK171*$AN171*1.25),"")</f>
        <v/>
      </c>
      <c r="BK171" s="325" t="n">
        <f aca="false">IF(BK$24=$AA171,($AG171*$AM171)+($AJ171*$AM171*1.25)+($AH171*$AN171)+($AK171*$AN171*1.25),"")</f>
        <v>0</v>
      </c>
      <c r="BL171" s="326" t="str">
        <f aca="false">IF(BL$24=$AA171,($AG171*$AM171)+($AJ171*$AM171*1.25)+($AH171*$AN171)+($AK171*$AN171*1.25),"")</f>
        <v/>
      </c>
      <c r="BM171" s="327" t="str">
        <f aca="false">IF(CONCATENATE(BH171,BI171,BJ171,BK171,BL171)="",1,"")</f>
        <v/>
      </c>
      <c r="BN171" s="328"/>
      <c r="BO171" s="328"/>
      <c r="BP171" s="328"/>
      <c r="BQ171" s="328"/>
      <c r="BR171" s="47"/>
      <c r="BS171" s="127" t="n">
        <f aca="false">(AG171*AM171)+(AH171*AN171)+((AJ171*AM171)+(AK171*AN171)*1.25)</f>
        <v>0</v>
      </c>
      <c r="BT171" s="127" t="n">
        <f aca="false">(AG171*AP171)+(AH171*AQ171)+((AJ171*AP171)+(AK171*AQ171)*1.25)</f>
        <v>0</v>
      </c>
      <c r="BU171" s="329"/>
      <c r="BV171" s="129"/>
    </row>
    <row r="172" customFormat="false" ht="15" hidden="false" customHeight="false" outlineLevel="0" collapsed="false">
      <c r="A172" s="228"/>
      <c r="B172" s="229"/>
      <c r="C172" s="230"/>
      <c r="D172" s="231"/>
      <c r="E172" s="223" t="str">
        <f aca="false">IF(SUM(A172:D172)&gt;0,SUM(A172:D172),"")</f>
        <v/>
      </c>
      <c r="F172" s="224" t="str">
        <f aca="false">AD185</f>
        <v>ZANAHORIA INVERNADERO</v>
      </c>
      <c r="G172" s="169"/>
      <c r="H172" s="169"/>
      <c r="I172" s="169"/>
      <c r="J172" s="169"/>
      <c r="K172" s="169"/>
      <c r="L172" s="169"/>
      <c r="M172" s="169"/>
      <c r="N172" s="169"/>
      <c r="O172" s="169"/>
      <c r="P172" s="169"/>
      <c r="Q172" s="169"/>
      <c r="R172" s="3"/>
      <c r="S172" s="3"/>
      <c r="T172" s="3"/>
      <c r="U172" s="3"/>
      <c r="V172" s="3"/>
      <c r="W172" s="3"/>
      <c r="X172" s="3"/>
      <c r="Y172" s="3"/>
      <c r="Z172" s="316" t="str">
        <f aca="false">IF(AF172&gt;0,RANK(AF172,AF$6:AF$422),"")</f>
        <v/>
      </c>
      <c r="AA172" s="134" t="n">
        <f aca="false">'O_MN, PE_UTA_UGM 2024'!N149</f>
        <v>4</v>
      </c>
      <c r="AB172" s="135" t="n">
        <f aca="false">'O_MN, PE_UTA_UGM 2024'!O149</f>
        <v>4</v>
      </c>
      <c r="AC172" s="317" t="n">
        <f aca="false">'O_MN, PE_UTA_UGM 2024'!C149</f>
        <v>174</v>
      </c>
      <c r="AD172" s="293" t="str">
        <f aca="false">IF(AB172=0,'O_MN, PE_UTA_UGM 2024'!F149,CONCATENATE('O_MN, PE_UTA_UGM 2024'!F149," ","INVERNADERO"))</f>
        <v>COL MILÁN INVERNADERO</v>
      </c>
      <c r="AE172" s="89"/>
      <c r="AF172" s="123" t="n">
        <f aca="false">SUM(AG172:AH172)+SUM(AJ172:AK172)</f>
        <v>0</v>
      </c>
      <c r="AG172" s="318" t="n">
        <f aca="false">A159</f>
        <v>0</v>
      </c>
      <c r="AH172" s="319" t="n">
        <f aca="false">B159</f>
        <v>0</v>
      </c>
      <c r="AI172" s="6"/>
      <c r="AJ172" s="320" t="n">
        <f aca="false">C159</f>
        <v>0</v>
      </c>
      <c r="AK172" s="320" t="n">
        <f aca="false">D159</f>
        <v>0</v>
      </c>
      <c r="AL172" s="237" t="s">
        <v>298</v>
      </c>
      <c r="AM172" s="299" t="n">
        <f aca="false">'O_MN, PE_UTA_UGM 2024'!J149</f>
        <v>0</v>
      </c>
      <c r="AN172" s="299" t="n">
        <f aca="false">'O_MN, PE_UTA_UGM 2024'!K149</f>
        <v>80000</v>
      </c>
      <c r="AO172" s="300"/>
      <c r="AP172" s="299" t="n">
        <f aca="false">'O_MN, PE_UTA_UGM 2024'!H149</f>
        <v>0</v>
      </c>
      <c r="AQ172" s="299" t="n">
        <f aca="false">'O_MN, PE_UTA_UGM 2024'!I149</f>
        <v>36060.73</v>
      </c>
      <c r="AR172" s="301"/>
      <c r="AS172" s="302" t="n">
        <f aca="false">'O_MN, PE_UTA_UGM 2024'!L149</f>
        <v>0</v>
      </c>
      <c r="AT172" s="302" t="n">
        <f aca="false">'O_MN, PE_UTA_UGM 2024'!M149</f>
        <v>1.46978</v>
      </c>
      <c r="AU172" s="45"/>
      <c r="AV172" s="321" t="n">
        <f aca="false">AG172*AM172</f>
        <v>0</v>
      </c>
      <c r="AW172" s="319" t="n">
        <f aca="false">AH172*AN172</f>
        <v>0</v>
      </c>
      <c r="AX172" s="320" t="n">
        <f aca="false">1.25*AJ172*AM172</f>
        <v>0</v>
      </c>
      <c r="AY172" s="322" t="n">
        <f aca="false">1.25*AK172*AN172</f>
        <v>0</v>
      </c>
      <c r="AZ172" s="323" t="n">
        <f aca="false">AG172*AP172</f>
        <v>0</v>
      </c>
      <c r="BA172" s="319" t="n">
        <f aca="false">AH172*AQ172</f>
        <v>0</v>
      </c>
      <c r="BB172" s="320" t="n">
        <f aca="false">1.25*AJ172*AP172</f>
        <v>0</v>
      </c>
      <c r="BC172" s="320" t="n">
        <f aca="false">1.25*AK172*AQ172</f>
        <v>0</v>
      </c>
      <c r="BD172" s="321" t="n">
        <f aca="false">AG172*AS172</f>
        <v>0</v>
      </c>
      <c r="BE172" s="319" t="n">
        <f aca="false">AH172*AT172</f>
        <v>0</v>
      </c>
      <c r="BF172" s="320" t="n">
        <f aca="false">AJ172*AS172</f>
        <v>0</v>
      </c>
      <c r="BG172" s="322" t="n">
        <f aca="false">AK172*AT172</f>
        <v>0</v>
      </c>
      <c r="BH172" s="324" t="str">
        <f aca="false">IF(BH$24=$AA172,($AG172*$AM172)+($AJ172*$AM172*1.25)+($AH172*$AN172)+($AK172*$AN172*1.25),"")</f>
        <v/>
      </c>
      <c r="BI172" s="325" t="str">
        <f aca="false">IF(BI$24=$AA172,($AG172*$AM172)+($AJ172*$AM172*1.25)+($AH172*$AN172)+($AK172*$AN172*1.25),"")</f>
        <v/>
      </c>
      <c r="BJ172" s="325" t="str">
        <f aca="false">IF(BJ$24=$AA172,($AG172*$AM172)+($AJ172*$AM172*1.25)+($AH172*$AN172)+($AK172*$AN172*1.25),"")</f>
        <v/>
      </c>
      <c r="BK172" s="325" t="n">
        <f aca="false">IF(BK$24=$AA172,($AG172*$AM172)+($AJ172*$AM172*1.25)+($AH172*$AN172)+($AK172*$AN172*1.25),"")</f>
        <v>0</v>
      </c>
      <c r="BL172" s="326" t="str">
        <f aca="false">IF(BL$24=$AA172,($AG172*$AM172)+($AJ172*$AM172*1.25)+($AH172*$AN172)+($AK172*$AN172*1.25),"")</f>
        <v/>
      </c>
      <c r="BM172" s="327" t="str">
        <f aca="false">IF(CONCATENATE(BH172,BI172,BJ172,BK172,BL172)="",1,"")</f>
        <v/>
      </c>
      <c r="BN172" s="328"/>
      <c r="BO172" s="328"/>
      <c r="BP172" s="328"/>
      <c r="BQ172" s="328"/>
      <c r="BR172" s="47"/>
      <c r="BS172" s="127" t="n">
        <f aca="false">(AG172*AM172)+(AH172*AN172)+((AJ172*AM172)+(AK172*AN172)*1.25)</f>
        <v>0</v>
      </c>
      <c r="BT172" s="127" t="n">
        <f aca="false">(AG172*AP172)+(AH172*AQ172)+((AJ172*AP172)+(AK172*AQ172)*1.25)</f>
        <v>0</v>
      </c>
      <c r="BU172" s="329"/>
      <c r="BV172" s="129"/>
    </row>
    <row r="173" customFormat="false" ht="15" hidden="false" customHeight="false" outlineLevel="0" collapsed="false">
      <c r="A173" s="228"/>
      <c r="B173" s="229"/>
      <c r="C173" s="230"/>
      <c r="D173" s="231"/>
      <c r="E173" s="223" t="str">
        <f aca="false">IF(SUM(A173:D173)&gt;0,SUM(A173:D173),"")</f>
        <v/>
      </c>
      <c r="F173" s="224" t="str">
        <f aca="false">AD186</f>
        <v>NABO</v>
      </c>
      <c r="G173" s="169"/>
      <c r="H173" s="169"/>
      <c r="I173" s="169"/>
      <c r="J173" s="169"/>
      <c r="K173" s="169"/>
      <c r="L173" s="169"/>
      <c r="M173" s="169"/>
      <c r="N173" s="169"/>
      <c r="O173" s="169"/>
      <c r="P173" s="169"/>
      <c r="Q173" s="169"/>
      <c r="R173" s="3"/>
      <c r="S173" s="3"/>
      <c r="T173" s="3"/>
      <c r="U173" s="3"/>
      <c r="V173" s="3"/>
      <c r="W173" s="3"/>
      <c r="X173" s="3"/>
      <c r="Y173" s="3"/>
      <c r="Z173" s="316" t="str">
        <f aca="false">IF(AF173&gt;0,RANK(AF173,AF$6:AF$422),"")</f>
        <v/>
      </c>
      <c r="AA173" s="134" t="n">
        <f aca="false">'O_MN, PE_UTA_UGM 2024'!N150</f>
        <v>4</v>
      </c>
      <c r="AB173" s="135" t="n">
        <f aca="false">'O_MN, PE_UTA_UGM 2024'!O150</f>
        <v>19</v>
      </c>
      <c r="AC173" s="317" t="n">
        <f aca="false">'O_MN, PE_UTA_UGM 2024'!C150</f>
        <v>174</v>
      </c>
      <c r="AD173" s="293" t="str">
        <f aca="false">IF(AB173=0,'O_MN, PE_UTA_UGM 2024'!F150,CONCATENATE('O_MN, PE_UTA_UGM 2024'!F150," ","INVERNADERO"))</f>
        <v>COL MILÁN INVERNADERO</v>
      </c>
      <c r="AE173" s="89"/>
      <c r="AF173" s="123" t="n">
        <f aca="false">SUM(AG173:AH173)+SUM(AJ173:AK173)</f>
        <v>0</v>
      </c>
      <c r="AG173" s="318" t="n">
        <f aca="false">A160</f>
        <v>0</v>
      </c>
      <c r="AH173" s="319" t="n">
        <f aca="false">B160</f>
        <v>0</v>
      </c>
      <c r="AI173" s="6"/>
      <c r="AJ173" s="320" t="n">
        <f aca="false">C160</f>
        <v>0</v>
      </c>
      <c r="AK173" s="320" t="n">
        <f aca="false">D160</f>
        <v>0</v>
      </c>
      <c r="AL173" s="237" t="s">
        <v>299</v>
      </c>
      <c r="AM173" s="299" t="n">
        <f aca="false">'O_MN, PE_UTA_UGM 2024'!J150</f>
        <v>0</v>
      </c>
      <c r="AN173" s="299" t="n">
        <f aca="false">'O_MN, PE_UTA_UGM 2024'!K150</f>
        <v>80000</v>
      </c>
      <c r="AO173" s="300"/>
      <c r="AP173" s="299" t="n">
        <f aca="false">'O_MN, PE_UTA_UGM 2024'!H150</f>
        <v>0</v>
      </c>
      <c r="AQ173" s="299" t="n">
        <f aca="false">'O_MN, PE_UTA_UGM 2024'!I150</f>
        <v>36060.73</v>
      </c>
      <c r="AR173" s="301"/>
      <c r="AS173" s="302" t="n">
        <f aca="false">'O_MN, PE_UTA_UGM 2024'!L150</f>
        <v>0</v>
      </c>
      <c r="AT173" s="302" t="n">
        <f aca="false">'O_MN, PE_UTA_UGM 2024'!M150</f>
        <v>1.46978</v>
      </c>
      <c r="AU173" s="45"/>
      <c r="AV173" s="321" t="n">
        <f aca="false">AG173*AM173</f>
        <v>0</v>
      </c>
      <c r="AW173" s="319" t="n">
        <f aca="false">AH173*AN173</f>
        <v>0</v>
      </c>
      <c r="AX173" s="320" t="n">
        <f aca="false">1.25*AJ173*AM173</f>
        <v>0</v>
      </c>
      <c r="AY173" s="322" t="n">
        <f aca="false">1.25*AK173*AN173</f>
        <v>0</v>
      </c>
      <c r="AZ173" s="323" t="n">
        <f aca="false">AG173*AP173</f>
        <v>0</v>
      </c>
      <c r="BA173" s="319" t="n">
        <f aca="false">AH173*AQ173</f>
        <v>0</v>
      </c>
      <c r="BB173" s="320" t="n">
        <f aca="false">1.25*AJ173*AP173</f>
        <v>0</v>
      </c>
      <c r="BC173" s="320" t="n">
        <f aca="false">1.25*AK173*AQ173</f>
        <v>0</v>
      </c>
      <c r="BD173" s="321" t="n">
        <f aca="false">AG173*AS173</f>
        <v>0</v>
      </c>
      <c r="BE173" s="319" t="n">
        <f aca="false">AH173*AT173</f>
        <v>0</v>
      </c>
      <c r="BF173" s="320" t="n">
        <f aca="false">AJ173*AS173</f>
        <v>0</v>
      </c>
      <c r="BG173" s="322" t="n">
        <f aca="false">AK173*AT173</f>
        <v>0</v>
      </c>
      <c r="BH173" s="324" t="str">
        <f aca="false">IF(BH$24=$AA173,($AG173*$AM173)+($AJ173*$AM173*1.25)+($AH173*$AN173)+($AK173*$AN173*1.25),"")</f>
        <v/>
      </c>
      <c r="BI173" s="325" t="str">
        <f aca="false">IF(BI$24=$AA173,($AG173*$AM173)+($AJ173*$AM173*1.25)+($AH173*$AN173)+($AK173*$AN173*1.25),"")</f>
        <v/>
      </c>
      <c r="BJ173" s="325" t="str">
        <f aca="false">IF(BJ$24=$AA173,($AG173*$AM173)+($AJ173*$AM173*1.25)+($AH173*$AN173)+($AK173*$AN173*1.25),"")</f>
        <v/>
      </c>
      <c r="BK173" s="325" t="n">
        <f aca="false">IF(BK$24=$AA173,($AG173*$AM173)+($AJ173*$AM173*1.25)+($AH173*$AN173)+($AK173*$AN173*1.25),"")</f>
        <v>0</v>
      </c>
      <c r="BL173" s="326" t="str">
        <f aca="false">IF(BL$24=$AA173,($AG173*$AM173)+($AJ173*$AM173*1.25)+($AH173*$AN173)+($AK173*$AN173*1.25),"")</f>
        <v/>
      </c>
      <c r="BM173" s="327" t="str">
        <f aca="false">IF(CONCATENATE(BH173,BI173,BJ173,BK173,BL173)="",1,"")</f>
        <v/>
      </c>
      <c r="BN173" s="328"/>
      <c r="BO173" s="328"/>
      <c r="BP173" s="328"/>
      <c r="BQ173" s="328"/>
      <c r="BR173" s="47"/>
      <c r="BS173" s="127" t="n">
        <f aca="false">(AG173*AM173)+(AH173*AN173)+((AJ173*AM173)+(AK173*AN173)*1.25)</f>
        <v>0</v>
      </c>
      <c r="BT173" s="127" t="n">
        <f aca="false">(AG173*AP173)+(AH173*AQ173)+((AJ173*AP173)+(AK173*AQ173)*1.25)</f>
        <v>0</v>
      </c>
      <c r="BU173" s="329"/>
      <c r="BV173" s="129"/>
    </row>
    <row r="174" customFormat="false" ht="15" hidden="false" customHeight="false" outlineLevel="0" collapsed="false">
      <c r="A174" s="228"/>
      <c r="B174" s="229"/>
      <c r="C174" s="230"/>
      <c r="D174" s="231"/>
      <c r="E174" s="223" t="str">
        <f aca="false">IF(SUM(A174:D174)&gt;0,SUM(A174:D174),"")</f>
        <v/>
      </c>
      <c r="F174" s="224" t="str">
        <f aca="false">AD187</f>
        <v>NABO INVERNADERO</v>
      </c>
      <c r="G174" s="169"/>
      <c r="H174" s="169"/>
      <c r="I174" s="169"/>
      <c r="J174" s="169"/>
      <c r="K174" s="169"/>
      <c r="L174" s="169"/>
      <c r="M174" s="169"/>
      <c r="N174" s="169"/>
      <c r="O174" s="169"/>
      <c r="P174" s="169"/>
      <c r="Q174" s="169"/>
      <c r="R174" s="3"/>
      <c r="S174" s="3"/>
      <c r="T174" s="3"/>
      <c r="U174" s="3"/>
      <c r="V174" s="3"/>
      <c r="W174" s="3"/>
      <c r="X174" s="3"/>
      <c r="Y174" s="3"/>
      <c r="Z174" s="316" t="str">
        <f aca="false">IF(AF174&gt;0,RANK(AF174,AF$6:AF$422),"")</f>
        <v/>
      </c>
      <c r="AA174" s="134" t="n">
        <f aca="false">'O_MN, PE_UTA_UGM 2024'!N151</f>
        <v>4</v>
      </c>
      <c r="AB174" s="135" t="n">
        <f aca="false">'O_MN, PE_UTA_UGM 2024'!O151</f>
        <v>0</v>
      </c>
      <c r="AC174" s="317" t="n">
        <f aca="false">'O_MN, PE_UTA_UGM 2024'!C151</f>
        <v>175</v>
      </c>
      <c r="AD174" s="293" t="str">
        <f aca="false">IF(AB174=0,'O_MN, PE_UTA_UGM 2024'!F151,CONCATENATE('O_MN, PE_UTA_UGM 2024'!F151," ","INVERNADERO"))</f>
        <v>BERZA</v>
      </c>
      <c r="AE174" s="89"/>
      <c r="AF174" s="123" t="n">
        <f aca="false">SUM(AG174:AH174)+SUM(AJ174:AK174)</f>
        <v>0</v>
      </c>
      <c r="AG174" s="318" t="n">
        <f aca="false">A161</f>
        <v>0</v>
      </c>
      <c r="AH174" s="319" t="n">
        <f aca="false">B161</f>
        <v>0</v>
      </c>
      <c r="AI174" s="6"/>
      <c r="AJ174" s="320" t="n">
        <f aca="false">C161</f>
        <v>0</v>
      </c>
      <c r="AK174" s="320" t="n">
        <f aca="false">D161</f>
        <v>0</v>
      </c>
      <c r="AL174" s="237" t="s">
        <v>300</v>
      </c>
      <c r="AM174" s="299" t="n">
        <f aca="false">'O_MN, PE_UTA_UGM 2024'!J151</f>
        <v>575</v>
      </c>
      <c r="AN174" s="299" t="n">
        <f aca="false">'O_MN, PE_UTA_UGM 2024'!K151</f>
        <v>5200</v>
      </c>
      <c r="AO174" s="300"/>
      <c r="AP174" s="299" t="n">
        <f aca="false">'O_MN, PE_UTA_UGM 2024'!H151</f>
        <v>360.61</v>
      </c>
      <c r="AQ174" s="299" t="n">
        <f aca="false">'O_MN, PE_UTA_UGM 2024'!I151</f>
        <v>1352.28</v>
      </c>
      <c r="AR174" s="301"/>
      <c r="AS174" s="302" t="n">
        <f aca="false">'O_MN, PE_UTA_UGM 2024'!L151</f>
        <v>0.0147</v>
      </c>
      <c r="AT174" s="302" t="n">
        <f aca="false">'O_MN, PE_UTA_UGM 2024'!M151</f>
        <v>0.05512</v>
      </c>
      <c r="AU174" s="45"/>
      <c r="AV174" s="321" t="n">
        <f aca="false">AG174*AM174</f>
        <v>0</v>
      </c>
      <c r="AW174" s="319" t="n">
        <f aca="false">AH174*AN174</f>
        <v>0</v>
      </c>
      <c r="AX174" s="320" t="n">
        <f aca="false">1.25*AJ174*AM174</f>
        <v>0</v>
      </c>
      <c r="AY174" s="322" t="n">
        <f aca="false">1.25*AK174*AN174</f>
        <v>0</v>
      </c>
      <c r="AZ174" s="323" t="n">
        <f aca="false">AG174*AP174</f>
        <v>0</v>
      </c>
      <c r="BA174" s="319" t="n">
        <f aca="false">AH174*AQ174</f>
        <v>0</v>
      </c>
      <c r="BB174" s="320" t="n">
        <f aca="false">1.25*AJ174*AP174</f>
        <v>0</v>
      </c>
      <c r="BC174" s="320" t="n">
        <f aca="false">1.25*AK174*AQ174</f>
        <v>0</v>
      </c>
      <c r="BD174" s="321" t="n">
        <f aca="false">AG174*AS174</f>
        <v>0</v>
      </c>
      <c r="BE174" s="319" t="n">
        <f aca="false">AH174*AT174</f>
        <v>0</v>
      </c>
      <c r="BF174" s="320" t="n">
        <f aca="false">AJ174*AS174</f>
        <v>0</v>
      </c>
      <c r="BG174" s="322" t="n">
        <f aca="false">AK174*AT174</f>
        <v>0</v>
      </c>
      <c r="BH174" s="324" t="str">
        <f aca="false">IF(BH$24=$AA174,($AG174*$AM174)+($AJ174*$AM174*1.25)+($AH174*$AN174)+($AK174*$AN174*1.25),"")</f>
        <v/>
      </c>
      <c r="BI174" s="325" t="str">
        <f aca="false">IF(BI$24=$AA174,($AG174*$AM174)+($AJ174*$AM174*1.25)+($AH174*$AN174)+($AK174*$AN174*1.25),"")</f>
        <v/>
      </c>
      <c r="BJ174" s="325" t="str">
        <f aca="false">IF(BJ$24=$AA174,($AG174*$AM174)+($AJ174*$AM174*1.25)+($AH174*$AN174)+($AK174*$AN174*1.25),"")</f>
        <v/>
      </c>
      <c r="BK174" s="325" t="n">
        <f aca="false">IF(BK$24=$AA174,($AG174*$AM174)+($AJ174*$AM174*1.25)+($AH174*$AN174)+($AK174*$AN174*1.25),"")</f>
        <v>0</v>
      </c>
      <c r="BL174" s="326" t="str">
        <f aca="false">IF(BL$24=$AA174,($AG174*$AM174)+($AJ174*$AM174*1.25)+($AH174*$AN174)+($AK174*$AN174*1.25),"")</f>
        <v/>
      </c>
      <c r="BM174" s="327" t="str">
        <f aca="false">IF(CONCATENATE(BH174,BI174,BJ174,BK174,BL174)="",1,"")</f>
        <v/>
      </c>
      <c r="BN174" s="328"/>
      <c r="BO174" s="328"/>
      <c r="BP174" s="328"/>
      <c r="BQ174" s="328"/>
      <c r="BR174" s="47"/>
      <c r="BS174" s="127" t="n">
        <f aca="false">(AG174*AM174)+(AH174*AN174)+((AJ174*AM174)+(AK174*AN174)*1.25)</f>
        <v>0</v>
      </c>
      <c r="BT174" s="127" t="n">
        <f aca="false">(AG174*AP174)+(AH174*AQ174)+((AJ174*AP174)+(AK174*AQ174)*1.25)</f>
        <v>0</v>
      </c>
      <c r="BU174" s="329"/>
      <c r="BV174" s="129"/>
    </row>
    <row r="175" customFormat="false" ht="15" hidden="false" customHeight="false" outlineLevel="0" collapsed="false">
      <c r="A175" s="228"/>
      <c r="B175" s="229"/>
      <c r="C175" s="230"/>
      <c r="D175" s="231"/>
      <c r="E175" s="223" t="str">
        <f aca="false">IF(SUM(A175:D175)&gt;0,SUM(A175:D175),"")</f>
        <v/>
      </c>
      <c r="F175" s="224" t="str">
        <f aca="false">AD188</f>
        <v>NABO INVERNADERO</v>
      </c>
      <c r="G175" s="169"/>
      <c r="H175" s="169"/>
      <c r="I175" s="169"/>
      <c r="J175" s="169"/>
      <c r="K175" s="169"/>
      <c r="L175" s="169"/>
      <c r="M175" s="169"/>
      <c r="N175" s="169"/>
      <c r="O175" s="169"/>
      <c r="P175" s="169"/>
      <c r="Q175" s="169"/>
      <c r="R175" s="3"/>
      <c r="S175" s="3"/>
      <c r="T175" s="3"/>
      <c r="U175" s="3"/>
      <c r="V175" s="3"/>
      <c r="W175" s="3"/>
      <c r="X175" s="3"/>
      <c r="Y175" s="3"/>
      <c r="Z175" s="316" t="str">
        <f aca="false">IF(AF175&gt;0,RANK(AF175,AF$6:AF$422),"")</f>
        <v/>
      </c>
      <c r="AA175" s="134" t="n">
        <f aca="false">'O_MN, PE_UTA_UGM 2024'!N152</f>
        <v>4</v>
      </c>
      <c r="AB175" s="135" t="n">
        <f aca="false">'O_MN, PE_UTA_UGM 2024'!O152</f>
        <v>4</v>
      </c>
      <c r="AC175" s="317" t="n">
        <f aca="false">'O_MN, PE_UTA_UGM 2024'!C152</f>
        <v>175</v>
      </c>
      <c r="AD175" s="293" t="str">
        <f aca="false">IF(AB175=0,'O_MN, PE_UTA_UGM 2024'!F152,CONCATENATE('O_MN, PE_UTA_UGM 2024'!F152," ","INVERNADERO"))</f>
        <v>BERZA INVERNADERO</v>
      </c>
      <c r="AE175" s="89"/>
      <c r="AF175" s="123" t="n">
        <f aca="false">SUM(AG175:AH175)+SUM(AJ175:AK175)</f>
        <v>0</v>
      </c>
      <c r="AG175" s="318" t="n">
        <f aca="false">A162</f>
        <v>0</v>
      </c>
      <c r="AH175" s="319" t="n">
        <f aca="false">B162</f>
        <v>0</v>
      </c>
      <c r="AI175" s="6"/>
      <c r="AJ175" s="320" t="n">
        <f aca="false">C162</f>
        <v>0</v>
      </c>
      <c r="AK175" s="320" t="n">
        <f aca="false">D162</f>
        <v>0</v>
      </c>
      <c r="AL175" s="237" t="s">
        <v>301</v>
      </c>
      <c r="AM175" s="299" t="n">
        <f aca="false">'O_MN, PE_UTA_UGM 2024'!J152</f>
        <v>0</v>
      </c>
      <c r="AN175" s="299" t="n">
        <f aca="false">'O_MN, PE_UTA_UGM 2024'!K152</f>
        <v>80000</v>
      </c>
      <c r="AO175" s="300"/>
      <c r="AP175" s="299" t="n">
        <f aca="false">'O_MN, PE_UTA_UGM 2024'!H152</f>
        <v>0</v>
      </c>
      <c r="AQ175" s="299" t="n">
        <f aca="false">'O_MN, PE_UTA_UGM 2024'!I152</f>
        <v>36060.73</v>
      </c>
      <c r="AR175" s="301"/>
      <c r="AS175" s="302" t="n">
        <f aca="false">'O_MN, PE_UTA_UGM 2024'!L152</f>
        <v>0</v>
      </c>
      <c r="AT175" s="302" t="n">
        <f aca="false">'O_MN, PE_UTA_UGM 2024'!M152</f>
        <v>1.46978</v>
      </c>
      <c r="AU175" s="45"/>
      <c r="AV175" s="321" t="n">
        <f aca="false">AG175*AM175</f>
        <v>0</v>
      </c>
      <c r="AW175" s="319" t="n">
        <f aca="false">AH175*AN175</f>
        <v>0</v>
      </c>
      <c r="AX175" s="320" t="n">
        <f aca="false">1.25*AJ175*AM175</f>
        <v>0</v>
      </c>
      <c r="AY175" s="322" t="n">
        <f aca="false">1.25*AK175*AN175</f>
        <v>0</v>
      </c>
      <c r="AZ175" s="323" t="n">
        <f aca="false">AG175*AP175</f>
        <v>0</v>
      </c>
      <c r="BA175" s="319" t="n">
        <f aca="false">AH175*AQ175</f>
        <v>0</v>
      </c>
      <c r="BB175" s="320" t="n">
        <f aca="false">1.25*AJ175*AP175</f>
        <v>0</v>
      </c>
      <c r="BC175" s="320" t="n">
        <f aca="false">1.25*AK175*AQ175</f>
        <v>0</v>
      </c>
      <c r="BD175" s="321" t="n">
        <f aca="false">AG175*AS175</f>
        <v>0</v>
      </c>
      <c r="BE175" s="319" t="n">
        <f aca="false">AH175*AT175</f>
        <v>0</v>
      </c>
      <c r="BF175" s="320" t="n">
        <f aca="false">AJ175*AS175</f>
        <v>0</v>
      </c>
      <c r="BG175" s="322" t="n">
        <f aca="false">AK175*AT175</f>
        <v>0</v>
      </c>
      <c r="BH175" s="324" t="str">
        <f aca="false">IF(BH$24=$AA175,($AG175*$AM175)+($AJ175*$AM175*1.25)+($AH175*$AN175)+($AK175*$AN175*1.25),"")</f>
        <v/>
      </c>
      <c r="BI175" s="325" t="str">
        <f aca="false">IF(BI$24=$AA175,($AG175*$AM175)+($AJ175*$AM175*1.25)+($AH175*$AN175)+($AK175*$AN175*1.25),"")</f>
        <v/>
      </c>
      <c r="BJ175" s="325" t="str">
        <f aca="false">IF(BJ$24=$AA175,($AG175*$AM175)+($AJ175*$AM175*1.25)+($AH175*$AN175)+($AK175*$AN175*1.25),"")</f>
        <v/>
      </c>
      <c r="BK175" s="325" t="n">
        <f aca="false">IF(BK$24=$AA175,($AG175*$AM175)+($AJ175*$AM175*1.25)+($AH175*$AN175)+($AK175*$AN175*1.25),"")</f>
        <v>0</v>
      </c>
      <c r="BL175" s="326" t="str">
        <f aca="false">IF(BL$24=$AA175,($AG175*$AM175)+($AJ175*$AM175*1.25)+($AH175*$AN175)+($AK175*$AN175*1.25),"")</f>
        <v/>
      </c>
      <c r="BM175" s="327" t="str">
        <f aca="false">IF(CONCATENATE(BH175,BI175,BJ175,BK175,BL175)="",1,"")</f>
        <v/>
      </c>
      <c r="BN175" s="328"/>
      <c r="BO175" s="328"/>
      <c r="BP175" s="328"/>
      <c r="BQ175" s="328"/>
      <c r="BR175" s="47"/>
      <c r="BS175" s="127" t="n">
        <f aca="false">(AG175*AM175)+(AH175*AN175)+((AJ175*AM175)+(AK175*AN175)*1.25)</f>
        <v>0</v>
      </c>
      <c r="BT175" s="127" t="n">
        <f aca="false">(AG175*AP175)+(AH175*AQ175)+((AJ175*AP175)+(AK175*AQ175)*1.25)</f>
        <v>0</v>
      </c>
      <c r="BU175" s="329"/>
      <c r="BV175" s="129"/>
    </row>
    <row r="176" customFormat="false" ht="15" hidden="false" customHeight="false" outlineLevel="0" collapsed="false">
      <c r="A176" s="228"/>
      <c r="B176" s="229"/>
      <c r="C176" s="230"/>
      <c r="D176" s="231"/>
      <c r="E176" s="223" t="str">
        <f aca="false">IF(SUM(A176:D176)&gt;0,SUM(A176:D176),"")</f>
        <v/>
      </c>
      <c r="F176" s="224" t="str">
        <f aca="false">AD189</f>
        <v>ACHICORIA</v>
      </c>
      <c r="G176" s="169"/>
      <c r="H176" s="169"/>
      <c r="I176" s="169"/>
      <c r="J176" s="169"/>
      <c r="K176" s="169"/>
      <c r="L176" s="169"/>
      <c r="M176" s="169"/>
      <c r="N176" s="169"/>
      <c r="O176" s="169"/>
      <c r="P176" s="169"/>
      <c r="Q176" s="169"/>
      <c r="R176" s="3"/>
      <c r="S176" s="3"/>
      <c r="T176" s="3"/>
      <c r="U176" s="3"/>
      <c r="V176" s="3"/>
      <c r="W176" s="3"/>
      <c r="X176" s="3"/>
      <c r="Y176" s="3"/>
      <c r="Z176" s="316" t="str">
        <f aca="false">IF(AF176&gt;0,RANK(AF176,AF$6:AF$422),"")</f>
        <v/>
      </c>
      <c r="AA176" s="134" t="n">
        <f aca="false">'O_MN, PE_UTA_UGM 2024'!N153</f>
        <v>4</v>
      </c>
      <c r="AB176" s="135" t="n">
        <f aca="false">'O_MN, PE_UTA_UGM 2024'!O153</f>
        <v>19</v>
      </c>
      <c r="AC176" s="317" t="n">
        <f aca="false">'O_MN, PE_UTA_UGM 2024'!C153</f>
        <v>175</v>
      </c>
      <c r="AD176" s="293" t="str">
        <f aca="false">IF(AB176=0,'O_MN, PE_UTA_UGM 2024'!F153,CONCATENATE('O_MN, PE_UTA_UGM 2024'!F153," ","INVERNADERO"))</f>
        <v>BERZA INVERNADERO</v>
      </c>
      <c r="AE176" s="89"/>
      <c r="AF176" s="123" t="n">
        <f aca="false">SUM(AG176:AH176)+SUM(AJ176:AK176)</f>
        <v>0</v>
      </c>
      <c r="AG176" s="318" t="n">
        <f aca="false">A163</f>
        <v>0</v>
      </c>
      <c r="AH176" s="319" t="n">
        <f aca="false">B163</f>
        <v>0</v>
      </c>
      <c r="AI176" s="6"/>
      <c r="AJ176" s="320" t="n">
        <f aca="false">C163</f>
        <v>0</v>
      </c>
      <c r="AK176" s="320" t="n">
        <f aca="false">D163</f>
        <v>0</v>
      </c>
      <c r="AL176" s="237" t="s">
        <v>302</v>
      </c>
      <c r="AM176" s="299" t="n">
        <f aca="false">'O_MN, PE_UTA_UGM 2024'!J153</f>
        <v>0</v>
      </c>
      <c r="AN176" s="299" t="n">
        <f aca="false">'O_MN, PE_UTA_UGM 2024'!K153</f>
        <v>80000</v>
      </c>
      <c r="AO176" s="300"/>
      <c r="AP176" s="299" t="n">
        <f aca="false">'O_MN, PE_UTA_UGM 2024'!H153</f>
        <v>0</v>
      </c>
      <c r="AQ176" s="299" t="n">
        <f aca="false">'O_MN, PE_UTA_UGM 2024'!I153</f>
        <v>36060.73</v>
      </c>
      <c r="AR176" s="301"/>
      <c r="AS176" s="302" t="n">
        <f aca="false">'O_MN, PE_UTA_UGM 2024'!L153</f>
        <v>0</v>
      </c>
      <c r="AT176" s="302" t="n">
        <f aca="false">'O_MN, PE_UTA_UGM 2024'!M153</f>
        <v>1.46978</v>
      </c>
      <c r="AU176" s="45"/>
      <c r="AV176" s="321" t="n">
        <f aca="false">AG176*AM176</f>
        <v>0</v>
      </c>
      <c r="AW176" s="319" t="n">
        <f aca="false">AH176*AN176</f>
        <v>0</v>
      </c>
      <c r="AX176" s="320" t="n">
        <f aca="false">1.25*AJ176*AM176</f>
        <v>0</v>
      </c>
      <c r="AY176" s="322" t="n">
        <f aca="false">1.25*AK176*AN176</f>
        <v>0</v>
      </c>
      <c r="AZ176" s="323" t="n">
        <f aca="false">AG176*AP176</f>
        <v>0</v>
      </c>
      <c r="BA176" s="319" t="n">
        <f aca="false">AH176*AQ176</f>
        <v>0</v>
      </c>
      <c r="BB176" s="320" t="n">
        <f aca="false">1.25*AJ176*AP176</f>
        <v>0</v>
      </c>
      <c r="BC176" s="320" t="n">
        <f aca="false">1.25*AK176*AQ176</f>
        <v>0</v>
      </c>
      <c r="BD176" s="321" t="n">
        <f aca="false">AG176*AS176</f>
        <v>0</v>
      </c>
      <c r="BE176" s="319" t="n">
        <f aca="false">AH176*AT176</f>
        <v>0</v>
      </c>
      <c r="BF176" s="320" t="n">
        <f aca="false">AJ176*AS176</f>
        <v>0</v>
      </c>
      <c r="BG176" s="322" t="n">
        <f aca="false">AK176*AT176</f>
        <v>0</v>
      </c>
      <c r="BH176" s="324" t="str">
        <f aca="false">IF(BH$24=$AA176,($AG176*$AM176)+($AJ176*$AM176*1.25)+($AH176*$AN176)+($AK176*$AN176*1.25),"")</f>
        <v/>
      </c>
      <c r="BI176" s="325" t="str">
        <f aca="false">IF(BI$24=$AA176,($AG176*$AM176)+($AJ176*$AM176*1.25)+($AH176*$AN176)+($AK176*$AN176*1.25),"")</f>
        <v/>
      </c>
      <c r="BJ176" s="325" t="str">
        <f aca="false">IF(BJ$24=$AA176,($AG176*$AM176)+($AJ176*$AM176*1.25)+($AH176*$AN176)+($AK176*$AN176*1.25),"")</f>
        <v/>
      </c>
      <c r="BK176" s="325" t="n">
        <f aca="false">IF(BK$24=$AA176,($AG176*$AM176)+($AJ176*$AM176*1.25)+($AH176*$AN176)+($AK176*$AN176*1.25),"")</f>
        <v>0</v>
      </c>
      <c r="BL176" s="326" t="str">
        <f aca="false">IF(BL$24=$AA176,($AG176*$AM176)+($AJ176*$AM176*1.25)+($AH176*$AN176)+($AK176*$AN176*1.25),"")</f>
        <v/>
      </c>
      <c r="BM176" s="327" t="str">
        <f aca="false">IF(CONCATENATE(BH176,BI176,BJ176,BK176,BL176)="",1,"")</f>
        <v/>
      </c>
      <c r="BN176" s="328"/>
      <c r="BO176" s="328"/>
      <c r="BP176" s="328"/>
      <c r="BQ176" s="328"/>
      <c r="BR176" s="47"/>
      <c r="BS176" s="127" t="n">
        <f aca="false">(AG176*AM176)+(AH176*AN176)+((AJ176*AM176)+(AK176*AN176)*1.25)</f>
        <v>0</v>
      </c>
      <c r="BT176" s="127" t="n">
        <f aca="false">(AG176*AP176)+(AH176*AQ176)+((AJ176*AP176)+(AK176*AQ176)*1.25)</f>
        <v>0</v>
      </c>
      <c r="BU176" s="329"/>
      <c r="BV176" s="129"/>
    </row>
    <row r="177" customFormat="false" ht="15" hidden="false" customHeight="false" outlineLevel="0" collapsed="false">
      <c r="A177" s="228"/>
      <c r="B177" s="229"/>
      <c r="C177" s="230"/>
      <c r="D177" s="231"/>
      <c r="E177" s="223" t="str">
        <f aca="false">IF(SUM(A177:D177)&gt;0,SUM(A177:D177),"")</f>
        <v/>
      </c>
      <c r="F177" s="224" t="str">
        <f aca="false">AD190</f>
        <v>ACHICORIA INVERNADERO</v>
      </c>
      <c r="G177" s="169"/>
      <c r="H177" s="169"/>
      <c r="I177" s="169"/>
      <c r="J177" s="169"/>
      <c r="K177" s="169"/>
      <c r="L177" s="169"/>
      <c r="M177" s="169"/>
      <c r="N177" s="169"/>
      <c r="O177" s="169"/>
      <c r="P177" s="169"/>
      <c r="Q177" s="169"/>
      <c r="R177" s="3"/>
      <c r="S177" s="3"/>
      <c r="T177" s="3"/>
      <c r="U177" s="3"/>
      <c r="V177" s="3"/>
      <c r="W177" s="3"/>
      <c r="X177" s="3"/>
      <c r="Y177" s="3"/>
      <c r="Z177" s="316" t="str">
        <f aca="false">IF(AF177&gt;0,RANK(AF177,AF$6:AF$422),"")</f>
        <v/>
      </c>
      <c r="AA177" s="134" t="n">
        <f aca="false">'O_MN, PE_UTA_UGM 2024'!N154</f>
        <v>4</v>
      </c>
      <c r="AB177" s="135" t="n">
        <f aca="false">'O_MN, PE_UTA_UGM 2024'!O154</f>
        <v>0</v>
      </c>
      <c r="AC177" s="317" t="n">
        <f aca="false">'O_MN, PE_UTA_UGM 2024'!C154</f>
        <v>176</v>
      </c>
      <c r="AD177" s="293" t="str">
        <f aca="false">IF(AB177=0,'O_MN, PE_UTA_UGM 2024'!F154,CONCATENATE('O_MN, PE_UTA_UGM 2024'!F154," ","INVERNADERO"))</f>
        <v>COL DE BRUSELAS</v>
      </c>
      <c r="AE177" s="89"/>
      <c r="AF177" s="123" t="n">
        <f aca="false">SUM(AG177:AH177)+SUM(AJ177:AK177)</f>
        <v>0</v>
      </c>
      <c r="AG177" s="318" t="n">
        <f aca="false">A164</f>
        <v>0</v>
      </c>
      <c r="AH177" s="319" t="n">
        <f aca="false">B164</f>
        <v>0</v>
      </c>
      <c r="AI177" s="6"/>
      <c r="AJ177" s="320" t="n">
        <f aca="false">C164</f>
        <v>0</v>
      </c>
      <c r="AK177" s="320" t="n">
        <f aca="false">D164</f>
        <v>0</v>
      </c>
      <c r="AL177" s="237" t="s">
        <v>303</v>
      </c>
      <c r="AM177" s="299" t="n">
        <f aca="false">'O_MN, PE_UTA_UGM 2024'!J154</f>
        <v>575</v>
      </c>
      <c r="AN177" s="299" t="n">
        <f aca="false">'O_MN, PE_UTA_UGM 2024'!K154</f>
        <v>5200</v>
      </c>
      <c r="AO177" s="300"/>
      <c r="AP177" s="299" t="n">
        <f aca="false">'O_MN, PE_UTA_UGM 2024'!H154</f>
        <v>360.61</v>
      </c>
      <c r="AQ177" s="299" t="n">
        <f aca="false">'O_MN, PE_UTA_UGM 2024'!I154</f>
        <v>1352.28</v>
      </c>
      <c r="AR177" s="301"/>
      <c r="AS177" s="302" t="n">
        <f aca="false">'O_MN, PE_UTA_UGM 2024'!L154</f>
        <v>0.0147</v>
      </c>
      <c r="AT177" s="302" t="n">
        <f aca="false">'O_MN, PE_UTA_UGM 2024'!M154</f>
        <v>0.05512</v>
      </c>
      <c r="AU177" s="45"/>
      <c r="AV177" s="321" t="n">
        <f aca="false">AG177*AM177</f>
        <v>0</v>
      </c>
      <c r="AW177" s="319" t="n">
        <f aca="false">AH177*AN177</f>
        <v>0</v>
      </c>
      <c r="AX177" s="320" t="n">
        <f aca="false">1.25*AJ177*AM177</f>
        <v>0</v>
      </c>
      <c r="AY177" s="322" t="n">
        <f aca="false">1.25*AK177*AN177</f>
        <v>0</v>
      </c>
      <c r="AZ177" s="323" t="n">
        <f aca="false">AG177*AP177</f>
        <v>0</v>
      </c>
      <c r="BA177" s="319" t="n">
        <f aca="false">AH177*AQ177</f>
        <v>0</v>
      </c>
      <c r="BB177" s="320" t="n">
        <f aca="false">1.25*AJ177*AP177</f>
        <v>0</v>
      </c>
      <c r="BC177" s="320" t="n">
        <f aca="false">1.25*AK177*AQ177</f>
        <v>0</v>
      </c>
      <c r="BD177" s="321" t="n">
        <f aca="false">AG177*AS177</f>
        <v>0</v>
      </c>
      <c r="BE177" s="319" t="n">
        <f aca="false">AH177*AT177</f>
        <v>0</v>
      </c>
      <c r="BF177" s="320" t="n">
        <f aca="false">AJ177*AS177</f>
        <v>0</v>
      </c>
      <c r="BG177" s="322" t="n">
        <f aca="false">AK177*AT177</f>
        <v>0</v>
      </c>
      <c r="BH177" s="324" t="str">
        <f aca="false">IF(BH$24=$AA177,($AG177*$AM177)+($AJ177*$AM177*1.25)+($AH177*$AN177)+($AK177*$AN177*1.25),"")</f>
        <v/>
      </c>
      <c r="BI177" s="325" t="str">
        <f aca="false">IF(BI$24=$AA177,($AG177*$AM177)+($AJ177*$AM177*1.25)+($AH177*$AN177)+($AK177*$AN177*1.25),"")</f>
        <v/>
      </c>
      <c r="BJ177" s="325" t="str">
        <f aca="false">IF(BJ$24=$AA177,($AG177*$AM177)+($AJ177*$AM177*1.25)+($AH177*$AN177)+($AK177*$AN177*1.25),"")</f>
        <v/>
      </c>
      <c r="BK177" s="325" t="n">
        <f aca="false">IF(BK$24=$AA177,($AG177*$AM177)+($AJ177*$AM177*1.25)+($AH177*$AN177)+($AK177*$AN177*1.25),"")</f>
        <v>0</v>
      </c>
      <c r="BL177" s="326" t="str">
        <f aca="false">IF(BL$24=$AA177,($AG177*$AM177)+($AJ177*$AM177*1.25)+($AH177*$AN177)+($AK177*$AN177*1.25),"")</f>
        <v/>
      </c>
      <c r="BM177" s="327" t="str">
        <f aca="false">IF(CONCATENATE(BH177,BI177,BJ177,BK177,BL177)="",1,"")</f>
        <v/>
      </c>
      <c r="BN177" s="328"/>
      <c r="BO177" s="328"/>
      <c r="BP177" s="328"/>
      <c r="BQ177" s="328"/>
      <c r="BR177" s="47"/>
      <c r="BS177" s="127" t="n">
        <f aca="false">(AG177*AM177)+(AH177*AN177)+((AJ177*AM177)+(AK177*AN177)*1.25)</f>
        <v>0</v>
      </c>
      <c r="BT177" s="127" t="n">
        <f aca="false">(AG177*AP177)+(AH177*AQ177)+((AJ177*AP177)+(AK177*AQ177)*1.25)</f>
        <v>0</v>
      </c>
      <c r="BU177" s="329"/>
      <c r="BV177" s="129"/>
    </row>
    <row r="178" customFormat="false" ht="15" hidden="false" customHeight="false" outlineLevel="0" collapsed="false">
      <c r="A178" s="228"/>
      <c r="B178" s="229"/>
      <c r="C178" s="230"/>
      <c r="D178" s="231"/>
      <c r="E178" s="223" t="str">
        <f aca="false">IF(SUM(A178:D178)&gt;0,SUM(A178:D178),"")</f>
        <v/>
      </c>
      <c r="F178" s="224" t="str">
        <f aca="false">AD191</f>
        <v>ACHICORIA INVERNADERO</v>
      </c>
      <c r="G178" s="169"/>
      <c r="H178" s="169"/>
      <c r="I178" s="169"/>
      <c r="J178" s="169"/>
      <c r="K178" s="169"/>
      <c r="L178" s="169"/>
      <c r="M178" s="169"/>
      <c r="N178" s="169"/>
      <c r="O178" s="169"/>
      <c r="P178" s="169"/>
      <c r="Q178" s="169"/>
      <c r="R178" s="3"/>
      <c r="S178" s="3"/>
      <c r="T178" s="3"/>
      <c r="U178" s="3"/>
      <c r="V178" s="3"/>
      <c r="W178" s="3"/>
      <c r="X178" s="3"/>
      <c r="Y178" s="3"/>
      <c r="Z178" s="316" t="str">
        <f aca="false">IF(AF178&gt;0,RANK(AF178,AF$6:AF$422),"")</f>
        <v/>
      </c>
      <c r="AA178" s="134" t="n">
        <f aca="false">'O_MN, PE_UTA_UGM 2024'!N155</f>
        <v>4</v>
      </c>
      <c r="AB178" s="135" t="n">
        <f aca="false">'O_MN, PE_UTA_UGM 2024'!O155</f>
        <v>4</v>
      </c>
      <c r="AC178" s="317" t="n">
        <f aca="false">'O_MN, PE_UTA_UGM 2024'!C155</f>
        <v>176</v>
      </c>
      <c r="AD178" s="293" t="str">
        <f aca="false">IF(AB178=0,'O_MN, PE_UTA_UGM 2024'!F155,CONCATENATE('O_MN, PE_UTA_UGM 2024'!F155," ","INVERNADERO"))</f>
        <v>COL DE BRUSELAS INVERNADERO</v>
      </c>
      <c r="AE178" s="89"/>
      <c r="AF178" s="123" t="n">
        <f aca="false">SUM(AG178:AH178)+SUM(AJ178:AK178)</f>
        <v>0</v>
      </c>
      <c r="AG178" s="318" t="n">
        <f aca="false">A165</f>
        <v>0</v>
      </c>
      <c r="AH178" s="319" t="n">
        <f aca="false">B165</f>
        <v>0</v>
      </c>
      <c r="AI178" s="6"/>
      <c r="AJ178" s="320" t="n">
        <f aca="false">C165</f>
        <v>0</v>
      </c>
      <c r="AK178" s="320" t="n">
        <f aca="false">D165</f>
        <v>0</v>
      </c>
      <c r="AL178" s="237" t="s">
        <v>304</v>
      </c>
      <c r="AM178" s="299" t="n">
        <f aca="false">'O_MN, PE_UTA_UGM 2024'!J155</f>
        <v>0</v>
      </c>
      <c r="AN178" s="299" t="n">
        <f aca="false">'O_MN, PE_UTA_UGM 2024'!K155</f>
        <v>80000</v>
      </c>
      <c r="AO178" s="300"/>
      <c r="AP178" s="299" t="n">
        <f aca="false">'O_MN, PE_UTA_UGM 2024'!H155</f>
        <v>0</v>
      </c>
      <c r="AQ178" s="299" t="n">
        <f aca="false">'O_MN, PE_UTA_UGM 2024'!I155</f>
        <v>36060.73</v>
      </c>
      <c r="AR178" s="301"/>
      <c r="AS178" s="302" t="n">
        <f aca="false">'O_MN, PE_UTA_UGM 2024'!L155</f>
        <v>0</v>
      </c>
      <c r="AT178" s="302" t="n">
        <f aca="false">'O_MN, PE_UTA_UGM 2024'!M155</f>
        <v>1.46978</v>
      </c>
      <c r="AU178" s="45"/>
      <c r="AV178" s="321" t="n">
        <f aca="false">AG178*AM178</f>
        <v>0</v>
      </c>
      <c r="AW178" s="319" t="n">
        <f aca="false">AH178*AN178</f>
        <v>0</v>
      </c>
      <c r="AX178" s="320" t="n">
        <f aca="false">1.25*AJ178*AM178</f>
        <v>0</v>
      </c>
      <c r="AY178" s="322" t="n">
        <f aca="false">1.25*AK178*AN178</f>
        <v>0</v>
      </c>
      <c r="AZ178" s="323" t="n">
        <f aca="false">AG178*AP178</f>
        <v>0</v>
      </c>
      <c r="BA178" s="319" t="n">
        <f aca="false">AH178*AQ178</f>
        <v>0</v>
      </c>
      <c r="BB178" s="320" t="n">
        <f aca="false">1.25*AJ178*AP178</f>
        <v>0</v>
      </c>
      <c r="BC178" s="320" t="n">
        <f aca="false">1.25*AK178*AQ178</f>
        <v>0</v>
      </c>
      <c r="BD178" s="321" t="n">
        <f aca="false">AG178*AS178</f>
        <v>0</v>
      </c>
      <c r="BE178" s="319" t="n">
        <f aca="false">AH178*AT178</f>
        <v>0</v>
      </c>
      <c r="BF178" s="320" t="n">
        <f aca="false">AJ178*AS178</f>
        <v>0</v>
      </c>
      <c r="BG178" s="322" t="n">
        <f aca="false">AK178*AT178</f>
        <v>0</v>
      </c>
      <c r="BH178" s="324" t="str">
        <f aca="false">IF(BH$24=$AA178,($AG178*$AM178)+($AJ178*$AM178*1.25)+($AH178*$AN178)+($AK178*$AN178*1.25),"")</f>
        <v/>
      </c>
      <c r="BI178" s="325" t="str">
        <f aca="false">IF(BI$24=$AA178,($AG178*$AM178)+($AJ178*$AM178*1.25)+($AH178*$AN178)+($AK178*$AN178*1.25),"")</f>
        <v/>
      </c>
      <c r="BJ178" s="325" t="str">
        <f aca="false">IF(BJ$24=$AA178,($AG178*$AM178)+($AJ178*$AM178*1.25)+($AH178*$AN178)+($AK178*$AN178*1.25),"")</f>
        <v/>
      </c>
      <c r="BK178" s="325" t="n">
        <f aca="false">IF(BK$24=$AA178,($AG178*$AM178)+($AJ178*$AM178*1.25)+($AH178*$AN178)+($AK178*$AN178*1.25),"")</f>
        <v>0</v>
      </c>
      <c r="BL178" s="326" t="str">
        <f aca="false">IF(BL$24=$AA178,($AG178*$AM178)+($AJ178*$AM178*1.25)+($AH178*$AN178)+($AK178*$AN178*1.25),"")</f>
        <v/>
      </c>
      <c r="BM178" s="327" t="str">
        <f aca="false">IF(CONCATENATE(BH178,BI178,BJ178,BK178,BL178)="",1,"")</f>
        <v/>
      </c>
      <c r="BN178" s="328"/>
      <c r="BO178" s="328"/>
      <c r="BP178" s="328"/>
      <c r="BQ178" s="328"/>
      <c r="BR178" s="47"/>
      <c r="BS178" s="127" t="n">
        <f aca="false">(AG178*AM178)+(AH178*AN178)+((AJ178*AM178)+(AK178*AN178)*1.25)</f>
        <v>0</v>
      </c>
      <c r="BT178" s="127" t="n">
        <f aca="false">(AG178*AP178)+(AH178*AQ178)+((AJ178*AP178)+(AK178*AQ178)*1.25)</f>
        <v>0</v>
      </c>
      <c r="BU178" s="329"/>
      <c r="BV178" s="129"/>
    </row>
    <row r="179" customFormat="false" ht="15" hidden="false" customHeight="false" outlineLevel="0" collapsed="false">
      <c r="A179" s="228"/>
      <c r="B179" s="229"/>
      <c r="C179" s="230"/>
      <c r="D179" s="231"/>
      <c r="E179" s="223" t="str">
        <f aca="false">IF(SUM(A179:D179)&gt;0,SUM(A179:D179),"")</f>
        <v/>
      </c>
      <c r="F179" s="224" t="str">
        <f aca="false">AD192</f>
        <v>GUINDILLA</v>
      </c>
      <c r="G179" s="169"/>
      <c r="H179" s="169"/>
      <c r="I179" s="169"/>
      <c r="J179" s="169"/>
      <c r="K179" s="169"/>
      <c r="L179" s="169"/>
      <c r="M179" s="169"/>
      <c r="N179" s="169"/>
      <c r="O179" s="169"/>
      <c r="P179" s="169"/>
      <c r="Q179" s="169"/>
      <c r="R179" s="3"/>
      <c r="S179" s="3"/>
      <c r="T179" s="3"/>
      <c r="U179" s="3"/>
      <c r="V179" s="3"/>
      <c r="W179" s="3"/>
      <c r="X179" s="3"/>
      <c r="Y179" s="3"/>
      <c r="Z179" s="316" t="str">
        <f aca="false">IF(AF179&gt;0,RANK(AF179,AF$6:AF$422),"")</f>
        <v/>
      </c>
      <c r="AA179" s="134" t="n">
        <f aca="false">'O_MN, PE_UTA_UGM 2024'!N156</f>
        <v>4</v>
      </c>
      <c r="AB179" s="135" t="n">
        <f aca="false">'O_MN, PE_UTA_UGM 2024'!O156</f>
        <v>19</v>
      </c>
      <c r="AC179" s="317" t="n">
        <f aca="false">'O_MN, PE_UTA_UGM 2024'!C156</f>
        <v>176</v>
      </c>
      <c r="AD179" s="293" t="str">
        <f aca="false">IF(AB179=0,'O_MN, PE_UTA_UGM 2024'!F156,CONCATENATE('O_MN, PE_UTA_UGM 2024'!F156," ","INVERNADERO"))</f>
        <v>COL DE BRUSELAS INVERNADERO</v>
      </c>
      <c r="AE179" s="89"/>
      <c r="AF179" s="123" t="n">
        <f aca="false">SUM(AG179:AH179)+SUM(AJ179:AK179)</f>
        <v>0</v>
      </c>
      <c r="AG179" s="318" t="n">
        <f aca="false">A166</f>
        <v>0</v>
      </c>
      <c r="AH179" s="319" t="n">
        <f aca="false">B166</f>
        <v>0</v>
      </c>
      <c r="AI179" s="6"/>
      <c r="AJ179" s="320" t="n">
        <f aca="false">C166</f>
        <v>0</v>
      </c>
      <c r="AK179" s="320" t="n">
        <f aca="false">D166</f>
        <v>0</v>
      </c>
      <c r="AL179" s="237" t="s">
        <v>305</v>
      </c>
      <c r="AM179" s="299" t="n">
        <f aca="false">'O_MN, PE_UTA_UGM 2024'!J156</f>
        <v>0</v>
      </c>
      <c r="AN179" s="299" t="n">
        <f aca="false">'O_MN, PE_UTA_UGM 2024'!K156</f>
        <v>80000</v>
      </c>
      <c r="AO179" s="300"/>
      <c r="AP179" s="299" t="n">
        <f aca="false">'O_MN, PE_UTA_UGM 2024'!H156</f>
        <v>0</v>
      </c>
      <c r="AQ179" s="299" t="n">
        <f aca="false">'O_MN, PE_UTA_UGM 2024'!I156</f>
        <v>36060.73</v>
      </c>
      <c r="AR179" s="301"/>
      <c r="AS179" s="302" t="n">
        <f aca="false">'O_MN, PE_UTA_UGM 2024'!L156</f>
        <v>0</v>
      </c>
      <c r="AT179" s="302" t="n">
        <f aca="false">'O_MN, PE_UTA_UGM 2024'!M156</f>
        <v>1.46978</v>
      </c>
      <c r="AU179" s="45"/>
      <c r="AV179" s="321" t="n">
        <f aca="false">AG179*AM179</f>
        <v>0</v>
      </c>
      <c r="AW179" s="319" t="n">
        <f aca="false">AH179*AN179</f>
        <v>0</v>
      </c>
      <c r="AX179" s="320" t="n">
        <f aca="false">1.25*AJ179*AM179</f>
        <v>0</v>
      </c>
      <c r="AY179" s="322" t="n">
        <f aca="false">1.25*AK179*AN179</f>
        <v>0</v>
      </c>
      <c r="AZ179" s="323" t="n">
        <f aca="false">AG179*AP179</f>
        <v>0</v>
      </c>
      <c r="BA179" s="319" t="n">
        <f aca="false">AH179*AQ179</f>
        <v>0</v>
      </c>
      <c r="BB179" s="320" t="n">
        <f aca="false">1.25*AJ179*AP179</f>
        <v>0</v>
      </c>
      <c r="BC179" s="320" t="n">
        <f aca="false">1.25*AK179*AQ179</f>
        <v>0</v>
      </c>
      <c r="BD179" s="321" t="n">
        <f aca="false">AG179*AS179</f>
        <v>0</v>
      </c>
      <c r="BE179" s="319" t="n">
        <f aca="false">AH179*AT179</f>
        <v>0</v>
      </c>
      <c r="BF179" s="320" t="n">
        <f aca="false">AJ179*AS179</f>
        <v>0</v>
      </c>
      <c r="BG179" s="322" t="n">
        <f aca="false">AK179*AT179</f>
        <v>0</v>
      </c>
      <c r="BH179" s="324" t="str">
        <f aca="false">IF(BH$24=$AA179,($AG179*$AM179)+($AJ179*$AM179*1.25)+($AH179*$AN179)+($AK179*$AN179*1.25),"")</f>
        <v/>
      </c>
      <c r="BI179" s="325" t="str">
        <f aca="false">IF(BI$24=$AA179,($AG179*$AM179)+($AJ179*$AM179*1.25)+($AH179*$AN179)+($AK179*$AN179*1.25),"")</f>
        <v/>
      </c>
      <c r="BJ179" s="325" t="str">
        <f aca="false">IF(BJ$24=$AA179,($AG179*$AM179)+($AJ179*$AM179*1.25)+($AH179*$AN179)+($AK179*$AN179*1.25),"")</f>
        <v/>
      </c>
      <c r="BK179" s="325" t="n">
        <f aca="false">IF(BK$24=$AA179,($AG179*$AM179)+($AJ179*$AM179*1.25)+($AH179*$AN179)+($AK179*$AN179*1.25),"")</f>
        <v>0</v>
      </c>
      <c r="BL179" s="326" t="str">
        <f aca="false">IF(BL$24=$AA179,($AG179*$AM179)+($AJ179*$AM179*1.25)+($AH179*$AN179)+($AK179*$AN179*1.25),"")</f>
        <v/>
      </c>
      <c r="BM179" s="327" t="str">
        <f aca="false">IF(CONCATENATE(BH179,BI179,BJ179,BK179,BL179)="",1,"")</f>
        <v/>
      </c>
      <c r="BN179" s="328"/>
      <c r="BO179" s="328"/>
      <c r="BP179" s="328"/>
      <c r="BQ179" s="328"/>
      <c r="BR179" s="47"/>
      <c r="BS179" s="127" t="n">
        <f aca="false">(AG179*AM179)+(AH179*AN179)+((AJ179*AM179)+(AK179*AN179)*1.25)</f>
        <v>0</v>
      </c>
      <c r="BT179" s="127" t="n">
        <f aca="false">(AG179*AP179)+(AH179*AQ179)+((AJ179*AP179)+(AK179*AQ179)*1.25)</f>
        <v>0</v>
      </c>
      <c r="BU179" s="329"/>
      <c r="BV179" s="129"/>
    </row>
    <row r="180" customFormat="false" ht="15" hidden="false" customHeight="false" outlineLevel="0" collapsed="false">
      <c r="A180" s="228"/>
      <c r="B180" s="229"/>
      <c r="C180" s="230"/>
      <c r="D180" s="231"/>
      <c r="E180" s="223" t="str">
        <f aca="false">IF(SUM(A180:D180)&gt;0,SUM(A180:D180),"")</f>
        <v/>
      </c>
      <c r="F180" s="224" t="str">
        <f aca="false">AD193</f>
        <v>GUINDILLA INVERNADERO</v>
      </c>
      <c r="G180" s="169"/>
      <c r="H180" s="169"/>
      <c r="I180" s="169"/>
      <c r="J180" s="169"/>
      <c r="K180" s="169"/>
      <c r="L180" s="169"/>
      <c r="M180" s="169"/>
      <c r="N180" s="169"/>
      <c r="O180" s="169"/>
      <c r="P180" s="169"/>
      <c r="Q180" s="169"/>
      <c r="R180" s="3"/>
      <c r="S180" s="3"/>
      <c r="T180" s="3"/>
      <c r="U180" s="3"/>
      <c r="V180" s="3"/>
      <c r="W180" s="3"/>
      <c r="X180" s="3"/>
      <c r="Y180" s="3"/>
      <c r="Z180" s="316" t="str">
        <f aca="false">IF(AF180&gt;0,RANK(AF180,AF$6:AF$422),"")</f>
        <v/>
      </c>
      <c r="AA180" s="134" t="n">
        <f aca="false">'O_MN, PE_UTA_UGM 2024'!N157</f>
        <v>4</v>
      </c>
      <c r="AB180" s="135" t="n">
        <f aca="false">'O_MN, PE_UTA_UGM 2024'!O157</f>
        <v>0</v>
      </c>
      <c r="AC180" s="317" t="n">
        <f aca="false">'O_MN, PE_UTA_UGM 2024'!C157</f>
        <v>177</v>
      </c>
      <c r="AD180" s="293" t="str">
        <f aca="false">IF(AB180=0,'O_MN, PE_UTA_UGM 2024'!F157,CONCATENATE('O_MN, PE_UTA_UGM 2024'!F157," ","INVERNADERO"))</f>
        <v>ENDIVIA</v>
      </c>
      <c r="AE180" s="89"/>
      <c r="AF180" s="123" t="n">
        <f aca="false">SUM(AG180:AH180)+SUM(AJ180:AK180)</f>
        <v>0</v>
      </c>
      <c r="AG180" s="318" t="n">
        <f aca="false">A167</f>
        <v>0</v>
      </c>
      <c r="AH180" s="319" t="n">
        <f aca="false">B167</f>
        <v>0</v>
      </c>
      <c r="AI180" s="6"/>
      <c r="AJ180" s="320" t="n">
        <f aca="false">C167</f>
        <v>0</v>
      </c>
      <c r="AK180" s="320" t="n">
        <f aca="false">D167</f>
        <v>0</v>
      </c>
      <c r="AL180" s="237" t="s">
        <v>306</v>
      </c>
      <c r="AM180" s="299" t="n">
        <f aca="false">'O_MN, PE_UTA_UGM 2024'!J157</f>
        <v>575</v>
      </c>
      <c r="AN180" s="299" t="n">
        <f aca="false">'O_MN, PE_UTA_UGM 2024'!K157</f>
        <v>5200</v>
      </c>
      <c r="AO180" s="300"/>
      <c r="AP180" s="299" t="n">
        <f aca="false">'O_MN, PE_UTA_UGM 2024'!H157</f>
        <v>360.61</v>
      </c>
      <c r="AQ180" s="299" t="n">
        <f aca="false">'O_MN, PE_UTA_UGM 2024'!I157</f>
        <v>1352.28</v>
      </c>
      <c r="AR180" s="301"/>
      <c r="AS180" s="302" t="n">
        <f aca="false">'O_MN, PE_UTA_UGM 2024'!L157</f>
        <v>0.0147</v>
      </c>
      <c r="AT180" s="302" t="n">
        <f aca="false">'O_MN, PE_UTA_UGM 2024'!M157</f>
        <v>0.05512</v>
      </c>
      <c r="AU180" s="45"/>
      <c r="AV180" s="321" t="n">
        <f aca="false">AG180*AM180</f>
        <v>0</v>
      </c>
      <c r="AW180" s="319" t="n">
        <f aca="false">AH180*AN180</f>
        <v>0</v>
      </c>
      <c r="AX180" s="320" t="n">
        <f aca="false">1.25*AJ180*AM180</f>
        <v>0</v>
      </c>
      <c r="AY180" s="322" t="n">
        <f aca="false">1.25*AK180*AN180</f>
        <v>0</v>
      </c>
      <c r="AZ180" s="323" t="n">
        <f aca="false">AG180*AP180</f>
        <v>0</v>
      </c>
      <c r="BA180" s="319" t="n">
        <f aca="false">AH180*AQ180</f>
        <v>0</v>
      </c>
      <c r="BB180" s="320" t="n">
        <f aca="false">1.25*AJ180*AP180</f>
        <v>0</v>
      </c>
      <c r="BC180" s="320" t="n">
        <f aca="false">1.25*AK180*AQ180</f>
        <v>0</v>
      </c>
      <c r="BD180" s="321" t="n">
        <f aca="false">AG180*AS180</f>
        <v>0</v>
      </c>
      <c r="BE180" s="319" t="n">
        <f aca="false">AH180*AT180</f>
        <v>0</v>
      </c>
      <c r="BF180" s="320" t="n">
        <f aca="false">AJ180*AS180</f>
        <v>0</v>
      </c>
      <c r="BG180" s="322" t="n">
        <f aca="false">AK180*AT180</f>
        <v>0</v>
      </c>
      <c r="BH180" s="324" t="str">
        <f aca="false">IF(BH$24=$AA180,($AG180*$AM180)+($AJ180*$AM180*1.25)+($AH180*$AN180)+($AK180*$AN180*1.25),"")</f>
        <v/>
      </c>
      <c r="BI180" s="325" t="str">
        <f aca="false">IF(BI$24=$AA180,($AG180*$AM180)+($AJ180*$AM180*1.25)+($AH180*$AN180)+($AK180*$AN180*1.25),"")</f>
        <v/>
      </c>
      <c r="BJ180" s="325" t="str">
        <f aca="false">IF(BJ$24=$AA180,($AG180*$AM180)+($AJ180*$AM180*1.25)+($AH180*$AN180)+($AK180*$AN180*1.25),"")</f>
        <v/>
      </c>
      <c r="BK180" s="325" t="n">
        <f aca="false">IF(BK$24=$AA180,($AG180*$AM180)+($AJ180*$AM180*1.25)+($AH180*$AN180)+($AK180*$AN180*1.25),"")</f>
        <v>0</v>
      </c>
      <c r="BL180" s="326" t="str">
        <f aca="false">IF(BL$24=$AA180,($AG180*$AM180)+($AJ180*$AM180*1.25)+($AH180*$AN180)+($AK180*$AN180*1.25),"")</f>
        <v/>
      </c>
      <c r="BM180" s="327" t="str">
        <f aca="false">IF(CONCATENATE(BH180,BI180,BJ180,BK180,BL180)="",1,"")</f>
        <v/>
      </c>
      <c r="BN180" s="328"/>
      <c r="BO180" s="328"/>
      <c r="BP180" s="328"/>
      <c r="BQ180" s="328"/>
      <c r="BR180" s="47"/>
      <c r="BS180" s="127" t="n">
        <f aca="false">(AG180*AM180)+(AH180*AN180)+((AJ180*AM180)+(AK180*AN180)*1.25)</f>
        <v>0</v>
      </c>
      <c r="BT180" s="127" t="n">
        <f aca="false">(AG180*AP180)+(AH180*AQ180)+((AJ180*AP180)+(AK180*AQ180)*1.25)</f>
        <v>0</v>
      </c>
      <c r="BU180" s="329"/>
      <c r="BV180" s="129"/>
    </row>
    <row r="181" customFormat="false" ht="15" hidden="false" customHeight="false" outlineLevel="0" collapsed="false">
      <c r="A181" s="228"/>
      <c r="B181" s="229"/>
      <c r="C181" s="230"/>
      <c r="D181" s="231"/>
      <c r="E181" s="223" t="str">
        <f aca="false">IF(SUM(A181:D181)&gt;0,SUM(A181:D181),"")</f>
        <v/>
      </c>
      <c r="F181" s="224" t="str">
        <f aca="false">AD194</f>
        <v>GUINDILLA INVERNADERO</v>
      </c>
      <c r="G181" s="169"/>
      <c r="H181" s="169"/>
      <c r="I181" s="169"/>
      <c r="J181" s="169"/>
      <c r="K181" s="169"/>
      <c r="L181" s="169"/>
      <c r="M181" s="169"/>
      <c r="N181" s="169"/>
      <c r="O181" s="169"/>
      <c r="P181" s="169"/>
      <c r="Q181" s="169"/>
      <c r="R181" s="3"/>
      <c r="S181" s="3"/>
      <c r="T181" s="3"/>
      <c r="U181" s="3"/>
      <c r="V181" s="3"/>
      <c r="W181" s="3"/>
      <c r="X181" s="3"/>
      <c r="Y181" s="3"/>
      <c r="Z181" s="316" t="str">
        <f aca="false">IF(AF181&gt;0,RANK(AF181,AF$6:AF$422),"")</f>
        <v/>
      </c>
      <c r="AA181" s="134" t="n">
        <f aca="false">'O_MN, PE_UTA_UGM 2024'!N158</f>
        <v>4</v>
      </c>
      <c r="AB181" s="135" t="n">
        <f aca="false">'O_MN, PE_UTA_UGM 2024'!O158</f>
        <v>4</v>
      </c>
      <c r="AC181" s="317" t="n">
        <f aca="false">'O_MN, PE_UTA_UGM 2024'!C158</f>
        <v>177</v>
      </c>
      <c r="AD181" s="293" t="str">
        <f aca="false">IF(AB181=0,'O_MN, PE_UTA_UGM 2024'!F158,CONCATENATE('O_MN, PE_UTA_UGM 2024'!F158," ","INVERNADERO"))</f>
        <v>ENDIVIA INVERNADERO</v>
      </c>
      <c r="AE181" s="89"/>
      <c r="AF181" s="123" t="n">
        <f aca="false">SUM(AG181:AH181)+SUM(AJ181:AK181)</f>
        <v>0</v>
      </c>
      <c r="AG181" s="318" t="n">
        <f aca="false">A168</f>
        <v>0</v>
      </c>
      <c r="AH181" s="319" t="n">
        <f aca="false">B168</f>
        <v>0</v>
      </c>
      <c r="AI181" s="6"/>
      <c r="AJ181" s="320" t="n">
        <f aca="false">C168</f>
        <v>0</v>
      </c>
      <c r="AK181" s="320" t="n">
        <f aca="false">D168</f>
        <v>0</v>
      </c>
      <c r="AL181" s="237" t="s">
        <v>307</v>
      </c>
      <c r="AM181" s="299" t="n">
        <f aca="false">'O_MN, PE_UTA_UGM 2024'!J158</f>
        <v>0</v>
      </c>
      <c r="AN181" s="299" t="n">
        <f aca="false">'O_MN, PE_UTA_UGM 2024'!K158</f>
        <v>80000</v>
      </c>
      <c r="AO181" s="300"/>
      <c r="AP181" s="299" t="n">
        <f aca="false">'O_MN, PE_UTA_UGM 2024'!H158</f>
        <v>0</v>
      </c>
      <c r="AQ181" s="299" t="n">
        <f aca="false">'O_MN, PE_UTA_UGM 2024'!I158</f>
        <v>36060.73</v>
      </c>
      <c r="AR181" s="301"/>
      <c r="AS181" s="302" t="n">
        <f aca="false">'O_MN, PE_UTA_UGM 2024'!L158</f>
        <v>0</v>
      </c>
      <c r="AT181" s="302" t="n">
        <f aca="false">'O_MN, PE_UTA_UGM 2024'!M158</f>
        <v>1.46978</v>
      </c>
      <c r="AU181" s="45"/>
      <c r="AV181" s="321" t="n">
        <f aca="false">AG181*AM181</f>
        <v>0</v>
      </c>
      <c r="AW181" s="319" t="n">
        <f aca="false">AH181*AN181</f>
        <v>0</v>
      </c>
      <c r="AX181" s="320" t="n">
        <f aca="false">1.25*AJ181*AM181</f>
        <v>0</v>
      </c>
      <c r="AY181" s="322" t="n">
        <f aca="false">1.25*AK181*AN181</f>
        <v>0</v>
      </c>
      <c r="AZ181" s="323" t="n">
        <f aca="false">AG181*AP181</f>
        <v>0</v>
      </c>
      <c r="BA181" s="319" t="n">
        <f aca="false">AH181*AQ181</f>
        <v>0</v>
      </c>
      <c r="BB181" s="320" t="n">
        <f aca="false">1.25*AJ181*AP181</f>
        <v>0</v>
      </c>
      <c r="BC181" s="320" t="n">
        <f aca="false">1.25*AK181*AQ181</f>
        <v>0</v>
      </c>
      <c r="BD181" s="321" t="n">
        <f aca="false">AG181*AS181</f>
        <v>0</v>
      </c>
      <c r="BE181" s="319" t="n">
        <f aca="false">AH181*AT181</f>
        <v>0</v>
      </c>
      <c r="BF181" s="320" t="n">
        <f aca="false">AJ181*AS181</f>
        <v>0</v>
      </c>
      <c r="BG181" s="322" t="n">
        <f aca="false">AK181*AT181</f>
        <v>0</v>
      </c>
      <c r="BH181" s="324" t="str">
        <f aca="false">IF(BH$24=$AA181,($AG181*$AM181)+($AJ181*$AM181*1.25)+($AH181*$AN181)+($AK181*$AN181*1.25),"")</f>
        <v/>
      </c>
      <c r="BI181" s="325" t="str">
        <f aca="false">IF(BI$24=$AA181,($AG181*$AM181)+($AJ181*$AM181*1.25)+($AH181*$AN181)+($AK181*$AN181*1.25),"")</f>
        <v/>
      </c>
      <c r="BJ181" s="325" t="str">
        <f aca="false">IF(BJ$24=$AA181,($AG181*$AM181)+($AJ181*$AM181*1.25)+($AH181*$AN181)+($AK181*$AN181*1.25),"")</f>
        <v/>
      </c>
      <c r="BK181" s="325" t="n">
        <f aca="false">IF(BK$24=$AA181,($AG181*$AM181)+($AJ181*$AM181*1.25)+($AH181*$AN181)+($AK181*$AN181*1.25),"")</f>
        <v>0</v>
      </c>
      <c r="BL181" s="326" t="str">
        <f aca="false">IF(BL$24=$AA181,($AG181*$AM181)+($AJ181*$AM181*1.25)+($AH181*$AN181)+($AK181*$AN181*1.25),"")</f>
        <v/>
      </c>
      <c r="BM181" s="327" t="str">
        <f aca="false">IF(CONCATENATE(BH181,BI181,BJ181,BK181,BL181)="",1,"")</f>
        <v/>
      </c>
      <c r="BN181" s="328"/>
      <c r="BO181" s="328"/>
      <c r="BP181" s="328"/>
      <c r="BQ181" s="328"/>
      <c r="BR181" s="47"/>
      <c r="BS181" s="127" t="n">
        <f aca="false">(AG181*AM181)+(AH181*AN181)+((AJ181*AM181)+(AK181*AN181)*1.25)</f>
        <v>0</v>
      </c>
      <c r="BT181" s="127" t="n">
        <f aca="false">(AG181*AP181)+(AH181*AQ181)+((AJ181*AP181)+(AK181*AQ181)*1.25)</f>
        <v>0</v>
      </c>
      <c r="BU181" s="329"/>
      <c r="BV181" s="129"/>
    </row>
    <row r="182" customFormat="false" ht="15" hidden="false" customHeight="false" outlineLevel="0" collapsed="false">
      <c r="A182" s="228"/>
      <c r="B182" s="229"/>
      <c r="C182" s="230"/>
      <c r="D182" s="231"/>
      <c r="E182" s="223" t="str">
        <f aca="false">IF(SUM(A182:D182)&gt;0,SUM(A182:D182),"")</f>
        <v/>
      </c>
      <c r="F182" s="224" t="str">
        <f aca="false">AD195</f>
        <v>ESPINACA</v>
      </c>
      <c r="G182" s="169"/>
      <c r="H182" s="169"/>
      <c r="I182" s="169"/>
      <c r="J182" s="169"/>
      <c r="K182" s="169"/>
      <c r="L182" s="169"/>
      <c r="M182" s="169"/>
      <c r="N182" s="169"/>
      <c r="O182" s="169"/>
      <c r="P182" s="169"/>
      <c r="Q182" s="169"/>
      <c r="R182" s="3"/>
      <c r="S182" s="3"/>
      <c r="T182" s="3"/>
      <c r="U182" s="3"/>
      <c r="V182" s="3"/>
      <c r="W182" s="3"/>
      <c r="X182" s="3"/>
      <c r="Y182" s="3"/>
      <c r="Z182" s="316" t="str">
        <f aca="false">IF(AF182&gt;0,RANK(AF182,AF$6:AF$422),"")</f>
        <v/>
      </c>
      <c r="AA182" s="134" t="n">
        <f aca="false">'O_MN, PE_UTA_UGM 2024'!N159</f>
        <v>4</v>
      </c>
      <c r="AB182" s="135" t="n">
        <f aca="false">'O_MN, PE_UTA_UGM 2024'!O159</f>
        <v>19</v>
      </c>
      <c r="AC182" s="317" t="n">
        <f aca="false">'O_MN, PE_UTA_UGM 2024'!C159</f>
        <v>177</v>
      </c>
      <c r="AD182" s="293" t="str">
        <f aca="false">IF(AB182=0,'O_MN, PE_UTA_UGM 2024'!F159,CONCATENATE('O_MN, PE_UTA_UGM 2024'!F159," ","INVERNADERO"))</f>
        <v>ENDIVIA INVERNADERO</v>
      </c>
      <c r="AE182" s="89"/>
      <c r="AF182" s="123" t="n">
        <f aca="false">SUM(AG182:AH182)+SUM(AJ182:AK182)</f>
        <v>0</v>
      </c>
      <c r="AG182" s="318" t="n">
        <f aca="false">A169</f>
        <v>0</v>
      </c>
      <c r="AH182" s="319" t="n">
        <f aca="false">B169</f>
        <v>0</v>
      </c>
      <c r="AI182" s="6"/>
      <c r="AJ182" s="320" t="n">
        <f aca="false">C169</f>
        <v>0</v>
      </c>
      <c r="AK182" s="320" t="n">
        <f aca="false">D169</f>
        <v>0</v>
      </c>
      <c r="AL182" s="237" t="s">
        <v>308</v>
      </c>
      <c r="AM182" s="299" t="n">
        <f aca="false">'O_MN, PE_UTA_UGM 2024'!J159</f>
        <v>0</v>
      </c>
      <c r="AN182" s="299" t="n">
        <f aca="false">'O_MN, PE_UTA_UGM 2024'!K159</f>
        <v>80000</v>
      </c>
      <c r="AO182" s="300"/>
      <c r="AP182" s="299" t="n">
        <f aca="false">'O_MN, PE_UTA_UGM 2024'!H159</f>
        <v>0</v>
      </c>
      <c r="AQ182" s="299" t="n">
        <f aca="false">'O_MN, PE_UTA_UGM 2024'!I159</f>
        <v>36060.73</v>
      </c>
      <c r="AR182" s="301"/>
      <c r="AS182" s="302" t="n">
        <f aca="false">'O_MN, PE_UTA_UGM 2024'!L159</f>
        <v>0</v>
      </c>
      <c r="AT182" s="302" t="n">
        <f aca="false">'O_MN, PE_UTA_UGM 2024'!M159</f>
        <v>1.46978</v>
      </c>
      <c r="AU182" s="45"/>
      <c r="AV182" s="321" t="n">
        <f aca="false">AG182*AM182</f>
        <v>0</v>
      </c>
      <c r="AW182" s="319" t="n">
        <f aca="false">AH182*AN182</f>
        <v>0</v>
      </c>
      <c r="AX182" s="320" t="n">
        <f aca="false">1.25*AJ182*AM182</f>
        <v>0</v>
      </c>
      <c r="AY182" s="322" t="n">
        <f aca="false">1.25*AK182*AN182</f>
        <v>0</v>
      </c>
      <c r="AZ182" s="323" t="n">
        <f aca="false">AG182*AP182</f>
        <v>0</v>
      </c>
      <c r="BA182" s="319" t="n">
        <f aca="false">AH182*AQ182</f>
        <v>0</v>
      </c>
      <c r="BB182" s="320" t="n">
        <f aca="false">1.25*AJ182*AP182</f>
        <v>0</v>
      </c>
      <c r="BC182" s="320" t="n">
        <f aca="false">1.25*AK182*AQ182</f>
        <v>0</v>
      </c>
      <c r="BD182" s="321" t="n">
        <f aca="false">AG182*AS182</f>
        <v>0</v>
      </c>
      <c r="BE182" s="319" t="n">
        <f aca="false">AH182*AT182</f>
        <v>0</v>
      </c>
      <c r="BF182" s="320" t="n">
        <f aca="false">AJ182*AS182</f>
        <v>0</v>
      </c>
      <c r="BG182" s="322" t="n">
        <f aca="false">AK182*AT182</f>
        <v>0</v>
      </c>
      <c r="BH182" s="324" t="str">
        <f aca="false">IF(BH$24=$AA182,($AG182*$AM182)+($AJ182*$AM182*1.25)+($AH182*$AN182)+($AK182*$AN182*1.25),"")</f>
        <v/>
      </c>
      <c r="BI182" s="325" t="str">
        <f aca="false">IF(BI$24=$AA182,($AG182*$AM182)+($AJ182*$AM182*1.25)+($AH182*$AN182)+($AK182*$AN182*1.25),"")</f>
        <v/>
      </c>
      <c r="BJ182" s="325" t="str">
        <f aca="false">IF(BJ$24=$AA182,($AG182*$AM182)+($AJ182*$AM182*1.25)+($AH182*$AN182)+($AK182*$AN182*1.25),"")</f>
        <v/>
      </c>
      <c r="BK182" s="325" t="n">
        <f aca="false">IF(BK$24=$AA182,($AG182*$AM182)+($AJ182*$AM182*1.25)+($AH182*$AN182)+($AK182*$AN182*1.25),"")</f>
        <v>0</v>
      </c>
      <c r="BL182" s="326" t="str">
        <f aca="false">IF(BL$24=$AA182,($AG182*$AM182)+($AJ182*$AM182*1.25)+($AH182*$AN182)+($AK182*$AN182*1.25),"")</f>
        <v/>
      </c>
      <c r="BM182" s="327" t="str">
        <f aca="false">IF(CONCATENATE(BH182,BI182,BJ182,BK182,BL182)="",1,"")</f>
        <v/>
      </c>
      <c r="BN182" s="328"/>
      <c r="BO182" s="328"/>
      <c r="BP182" s="328"/>
      <c r="BQ182" s="328"/>
      <c r="BR182" s="47"/>
      <c r="BS182" s="127" t="n">
        <f aca="false">(AG182*AM182)+(AH182*AN182)+((AJ182*AM182)+(AK182*AN182)*1.25)</f>
        <v>0</v>
      </c>
      <c r="BT182" s="127" t="n">
        <f aca="false">(AG182*AP182)+(AH182*AQ182)+((AJ182*AP182)+(AK182*AQ182)*1.25)</f>
        <v>0</v>
      </c>
      <c r="BU182" s="329"/>
      <c r="BV182" s="129"/>
    </row>
    <row r="183" customFormat="false" ht="15" hidden="false" customHeight="false" outlineLevel="0" collapsed="false">
      <c r="A183" s="228"/>
      <c r="B183" s="229"/>
      <c r="C183" s="230"/>
      <c r="D183" s="231"/>
      <c r="E183" s="223" t="str">
        <f aca="false">IF(SUM(A183:D183)&gt;0,SUM(A183:D183),"")</f>
        <v/>
      </c>
      <c r="F183" s="224" t="str">
        <f aca="false">AD196</f>
        <v>ESPINACA INVERNADERO</v>
      </c>
      <c r="G183" s="169"/>
      <c r="H183" s="169"/>
      <c r="I183" s="169"/>
      <c r="J183" s="169"/>
      <c r="K183" s="169"/>
      <c r="L183" s="169"/>
      <c r="M183" s="169"/>
      <c r="N183" s="169"/>
      <c r="O183" s="169"/>
      <c r="P183" s="169"/>
      <c r="Q183" s="169"/>
      <c r="R183" s="3"/>
      <c r="S183" s="3"/>
      <c r="T183" s="3"/>
      <c r="U183" s="3"/>
      <c r="V183" s="3"/>
      <c r="W183" s="3"/>
      <c r="X183" s="3"/>
      <c r="Y183" s="3"/>
      <c r="Z183" s="316" t="str">
        <f aca="false">IF(AF183&gt;0,RANK(AF183,AF$6:AF$422),"")</f>
        <v/>
      </c>
      <c r="AA183" s="134" t="n">
        <f aca="false">'O_MN, PE_UTA_UGM 2024'!N160</f>
        <v>4</v>
      </c>
      <c r="AB183" s="135" t="n">
        <f aca="false">'O_MN, PE_UTA_UGM 2024'!O160</f>
        <v>0</v>
      </c>
      <c r="AC183" s="317" t="n">
        <f aca="false">'O_MN, PE_UTA_UGM 2024'!C160</f>
        <v>178</v>
      </c>
      <c r="AD183" s="293" t="str">
        <f aca="false">IF(AB183=0,'O_MN, PE_UTA_UGM 2024'!F160,CONCATENATE('O_MN, PE_UTA_UGM 2024'!F160," ","INVERNADERO"))</f>
        <v>ZANAHORIA</v>
      </c>
      <c r="AE183" s="89"/>
      <c r="AF183" s="123" t="n">
        <f aca="false">SUM(AG183:AH183)+SUM(AJ183:AK183)</f>
        <v>0</v>
      </c>
      <c r="AG183" s="318" t="n">
        <f aca="false">A170</f>
        <v>0</v>
      </c>
      <c r="AH183" s="319" t="n">
        <f aca="false">B170</f>
        <v>0</v>
      </c>
      <c r="AI183" s="6"/>
      <c r="AJ183" s="320" t="n">
        <f aca="false">C170</f>
        <v>0</v>
      </c>
      <c r="AK183" s="320" t="n">
        <f aca="false">D170</f>
        <v>0</v>
      </c>
      <c r="AL183" s="237" t="s">
        <v>309</v>
      </c>
      <c r="AM183" s="299" t="n">
        <f aca="false">'O_MN, PE_UTA_UGM 2024'!J160</f>
        <v>575</v>
      </c>
      <c r="AN183" s="299" t="n">
        <f aca="false">'O_MN, PE_UTA_UGM 2024'!K160</f>
        <v>5200</v>
      </c>
      <c r="AO183" s="300"/>
      <c r="AP183" s="299" t="n">
        <f aca="false">'O_MN, PE_UTA_UGM 2024'!H160</f>
        <v>360.61</v>
      </c>
      <c r="AQ183" s="299" t="n">
        <f aca="false">'O_MN, PE_UTA_UGM 2024'!I160</f>
        <v>1352.28</v>
      </c>
      <c r="AR183" s="301"/>
      <c r="AS183" s="302" t="n">
        <f aca="false">'O_MN, PE_UTA_UGM 2024'!L160</f>
        <v>0.0147</v>
      </c>
      <c r="AT183" s="302" t="n">
        <f aca="false">'O_MN, PE_UTA_UGM 2024'!M160</f>
        <v>0.05512</v>
      </c>
      <c r="AU183" s="45"/>
      <c r="AV183" s="321" t="n">
        <f aca="false">AG183*AM183</f>
        <v>0</v>
      </c>
      <c r="AW183" s="319" t="n">
        <f aca="false">AH183*AN183</f>
        <v>0</v>
      </c>
      <c r="AX183" s="320" t="n">
        <f aca="false">1.25*AJ183*AM183</f>
        <v>0</v>
      </c>
      <c r="AY183" s="322" t="n">
        <f aca="false">1.25*AK183*AN183</f>
        <v>0</v>
      </c>
      <c r="AZ183" s="323" t="n">
        <f aca="false">AG183*AP183</f>
        <v>0</v>
      </c>
      <c r="BA183" s="319" t="n">
        <f aca="false">AH183*AQ183</f>
        <v>0</v>
      </c>
      <c r="BB183" s="320" t="n">
        <f aca="false">1.25*AJ183*AP183</f>
        <v>0</v>
      </c>
      <c r="BC183" s="320" t="n">
        <f aca="false">1.25*AK183*AQ183</f>
        <v>0</v>
      </c>
      <c r="BD183" s="321" t="n">
        <f aca="false">AG183*AS183</f>
        <v>0</v>
      </c>
      <c r="BE183" s="319" t="n">
        <f aca="false">AH183*AT183</f>
        <v>0</v>
      </c>
      <c r="BF183" s="320" t="n">
        <f aca="false">AJ183*AS183</f>
        <v>0</v>
      </c>
      <c r="BG183" s="322" t="n">
        <f aca="false">AK183*AT183</f>
        <v>0</v>
      </c>
      <c r="BH183" s="324" t="str">
        <f aca="false">IF(BH$24=$AA183,($AG183*$AM183)+($AJ183*$AM183*1.25)+($AH183*$AN183)+($AK183*$AN183*1.25),"")</f>
        <v/>
      </c>
      <c r="BI183" s="325" t="str">
        <f aca="false">IF(BI$24=$AA183,($AG183*$AM183)+($AJ183*$AM183*1.25)+($AH183*$AN183)+($AK183*$AN183*1.25),"")</f>
        <v/>
      </c>
      <c r="BJ183" s="325" t="str">
        <f aca="false">IF(BJ$24=$AA183,($AG183*$AM183)+($AJ183*$AM183*1.25)+($AH183*$AN183)+($AK183*$AN183*1.25),"")</f>
        <v/>
      </c>
      <c r="BK183" s="325" t="n">
        <f aca="false">IF(BK$24=$AA183,($AG183*$AM183)+($AJ183*$AM183*1.25)+($AH183*$AN183)+($AK183*$AN183*1.25),"")</f>
        <v>0</v>
      </c>
      <c r="BL183" s="326" t="str">
        <f aca="false">IF(BL$24=$AA183,($AG183*$AM183)+($AJ183*$AM183*1.25)+($AH183*$AN183)+($AK183*$AN183*1.25),"")</f>
        <v/>
      </c>
      <c r="BM183" s="327" t="str">
        <f aca="false">IF(CONCATENATE(BH183,BI183,BJ183,BK183,BL183)="",1,"")</f>
        <v/>
      </c>
      <c r="BN183" s="328"/>
      <c r="BO183" s="328"/>
      <c r="BP183" s="328"/>
      <c r="BQ183" s="328"/>
      <c r="BR183" s="47"/>
      <c r="BS183" s="127" t="n">
        <f aca="false">(AG183*AM183)+(AH183*AN183)+((AJ183*AM183)+(AK183*AN183)*1.25)</f>
        <v>0</v>
      </c>
      <c r="BT183" s="127" t="n">
        <f aca="false">(AG183*AP183)+(AH183*AQ183)+((AJ183*AP183)+(AK183*AQ183)*1.25)</f>
        <v>0</v>
      </c>
      <c r="BU183" s="329"/>
      <c r="BV183" s="129"/>
    </row>
    <row r="184" customFormat="false" ht="15" hidden="false" customHeight="false" outlineLevel="0" collapsed="false">
      <c r="A184" s="228"/>
      <c r="B184" s="229"/>
      <c r="C184" s="230"/>
      <c r="D184" s="231"/>
      <c r="E184" s="223" t="str">
        <f aca="false">IF(SUM(A184:D184)&gt;0,SUM(A184:D184),"")</f>
        <v/>
      </c>
      <c r="F184" s="224" t="str">
        <f aca="false">AD197</f>
        <v>ESPINACA INVERNADERO</v>
      </c>
      <c r="G184" s="169"/>
      <c r="H184" s="169"/>
      <c r="I184" s="169"/>
      <c r="J184" s="169"/>
      <c r="K184" s="169"/>
      <c r="L184" s="169"/>
      <c r="M184" s="169"/>
      <c r="N184" s="169"/>
      <c r="O184" s="169"/>
      <c r="P184" s="169"/>
      <c r="Q184" s="169"/>
      <c r="R184" s="3"/>
      <c r="S184" s="3"/>
      <c r="T184" s="3"/>
      <c r="U184" s="3"/>
      <c r="V184" s="3"/>
      <c r="W184" s="3"/>
      <c r="X184" s="3"/>
      <c r="Y184" s="3"/>
      <c r="Z184" s="316" t="str">
        <f aca="false">IF(AF184&gt;0,RANK(AF184,AF$6:AF$422),"")</f>
        <v/>
      </c>
      <c r="AA184" s="134" t="n">
        <f aca="false">'O_MN, PE_UTA_UGM 2024'!N161</f>
        <v>4</v>
      </c>
      <c r="AB184" s="135" t="n">
        <f aca="false">'O_MN, PE_UTA_UGM 2024'!O161</f>
        <v>4</v>
      </c>
      <c r="AC184" s="317" t="n">
        <f aca="false">'O_MN, PE_UTA_UGM 2024'!C161</f>
        <v>178</v>
      </c>
      <c r="AD184" s="293" t="str">
        <f aca="false">IF(AB184=0,'O_MN, PE_UTA_UGM 2024'!F161,CONCATENATE('O_MN, PE_UTA_UGM 2024'!F161," ","INVERNADERO"))</f>
        <v>ZANAHORIA INVERNADERO</v>
      </c>
      <c r="AE184" s="89"/>
      <c r="AF184" s="123" t="n">
        <f aca="false">SUM(AG184:AH184)+SUM(AJ184:AK184)</f>
        <v>0</v>
      </c>
      <c r="AG184" s="318" t="n">
        <f aca="false">A171</f>
        <v>0</v>
      </c>
      <c r="AH184" s="319" t="n">
        <f aca="false">B171</f>
        <v>0</v>
      </c>
      <c r="AI184" s="6"/>
      <c r="AJ184" s="320" t="n">
        <f aca="false">C171</f>
        <v>0</v>
      </c>
      <c r="AK184" s="320" t="n">
        <f aca="false">D171</f>
        <v>0</v>
      </c>
      <c r="AL184" s="237" t="s">
        <v>310</v>
      </c>
      <c r="AM184" s="299" t="n">
        <f aca="false">'O_MN, PE_UTA_UGM 2024'!J161</f>
        <v>0</v>
      </c>
      <c r="AN184" s="299" t="n">
        <f aca="false">'O_MN, PE_UTA_UGM 2024'!K161</f>
        <v>80000</v>
      </c>
      <c r="AO184" s="300"/>
      <c r="AP184" s="299" t="n">
        <f aca="false">'O_MN, PE_UTA_UGM 2024'!H161</f>
        <v>0</v>
      </c>
      <c r="AQ184" s="299" t="n">
        <f aca="false">'O_MN, PE_UTA_UGM 2024'!I161</f>
        <v>36060.73</v>
      </c>
      <c r="AR184" s="301"/>
      <c r="AS184" s="302" t="n">
        <f aca="false">'O_MN, PE_UTA_UGM 2024'!L161</f>
        <v>0</v>
      </c>
      <c r="AT184" s="302" t="n">
        <f aca="false">'O_MN, PE_UTA_UGM 2024'!M161</f>
        <v>1.46978</v>
      </c>
      <c r="AU184" s="45"/>
      <c r="AV184" s="321" t="n">
        <f aca="false">AG184*AM184</f>
        <v>0</v>
      </c>
      <c r="AW184" s="319" t="n">
        <f aca="false">AH184*AN184</f>
        <v>0</v>
      </c>
      <c r="AX184" s="320" t="n">
        <f aca="false">1.25*AJ184*AM184</f>
        <v>0</v>
      </c>
      <c r="AY184" s="322" t="n">
        <f aca="false">1.25*AK184*AN184</f>
        <v>0</v>
      </c>
      <c r="AZ184" s="323" t="n">
        <f aca="false">AG184*AP184</f>
        <v>0</v>
      </c>
      <c r="BA184" s="319" t="n">
        <f aca="false">AH184*AQ184</f>
        <v>0</v>
      </c>
      <c r="BB184" s="320" t="n">
        <f aca="false">1.25*AJ184*AP184</f>
        <v>0</v>
      </c>
      <c r="BC184" s="320" t="n">
        <f aca="false">1.25*AK184*AQ184</f>
        <v>0</v>
      </c>
      <c r="BD184" s="321" t="n">
        <f aca="false">AG184*AS184</f>
        <v>0</v>
      </c>
      <c r="BE184" s="319" t="n">
        <f aca="false">AH184*AT184</f>
        <v>0</v>
      </c>
      <c r="BF184" s="320" t="n">
        <f aca="false">AJ184*AS184</f>
        <v>0</v>
      </c>
      <c r="BG184" s="322" t="n">
        <f aca="false">AK184*AT184</f>
        <v>0</v>
      </c>
      <c r="BH184" s="324" t="str">
        <f aca="false">IF(BH$24=$AA184,($AG184*$AM184)+($AJ184*$AM184*1.25)+($AH184*$AN184)+($AK184*$AN184*1.25),"")</f>
        <v/>
      </c>
      <c r="BI184" s="325" t="str">
        <f aca="false">IF(BI$24=$AA184,($AG184*$AM184)+($AJ184*$AM184*1.25)+($AH184*$AN184)+($AK184*$AN184*1.25),"")</f>
        <v/>
      </c>
      <c r="BJ184" s="325" t="str">
        <f aca="false">IF(BJ$24=$AA184,($AG184*$AM184)+($AJ184*$AM184*1.25)+($AH184*$AN184)+($AK184*$AN184*1.25),"")</f>
        <v/>
      </c>
      <c r="BK184" s="325" t="n">
        <f aca="false">IF(BK$24=$AA184,($AG184*$AM184)+($AJ184*$AM184*1.25)+($AH184*$AN184)+($AK184*$AN184*1.25),"")</f>
        <v>0</v>
      </c>
      <c r="BL184" s="326" t="str">
        <f aca="false">IF(BL$24=$AA184,($AG184*$AM184)+($AJ184*$AM184*1.25)+($AH184*$AN184)+($AK184*$AN184*1.25),"")</f>
        <v/>
      </c>
      <c r="BM184" s="327" t="str">
        <f aca="false">IF(CONCATENATE(BH184,BI184,BJ184,BK184,BL184)="",1,"")</f>
        <v/>
      </c>
      <c r="BN184" s="328"/>
      <c r="BO184" s="328"/>
      <c r="BP184" s="328"/>
      <c r="BQ184" s="328"/>
      <c r="BR184" s="47"/>
      <c r="BS184" s="127" t="n">
        <f aca="false">(AG184*AM184)+(AH184*AN184)+((AJ184*AM184)+(AK184*AN184)*1.25)</f>
        <v>0</v>
      </c>
      <c r="BT184" s="127" t="n">
        <f aca="false">(AG184*AP184)+(AH184*AQ184)+((AJ184*AP184)+(AK184*AQ184)*1.25)</f>
        <v>0</v>
      </c>
      <c r="BU184" s="329"/>
      <c r="BV184" s="129"/>
    </row>
    <row r="185" customFormat="false" ht="15" hidden="false" customHeight="false" outlineLevel="0" collapsed="false">
      <c r="A185" s="228"/>
      <c r="B185" s="229"/>
      <c r="C185" s="230"/>
      <c r="D185" s="231"/>
      <c r="E185" s="223" t="str">
        <f aca="false">IF(SUM(A185:D185)&gt;0,SUM(A185:D185),"")</f>
        <v/>
      </c>
      <c r="F185" s="224" t="str">
        <f aca="false">AD198</f>
        <v>CARDO</v>
      </c>
      <c r="G185" s="169"/>
      <c r="H185" s="169"/>
      <c r="I185" s="169"/>
      <c r="J185" s="169"/>
      <c r="K185" s="169"/>
      <c r="L185" s="169"/>
      <c r="M185" s="169"/>
      <c r="N185" s="169"/>
      <c r="O185" s="169"/>
      <c r="P185" s="169"/>
      <c r="Q185" s="169"/>
      <c r="R185" s="3"/>
      <c r="S185" s="3"/>
      <c r="T185" s="3"/>
      <c r="U185" s="3"/>
      <c r="V185" s="3"/>
      <c r="W185" s="3"/>
      <c r="X185" s="3"/>
      <c r="Y185" s="3"/>
      <c r="Z185" s="316" t="str">
        <f aca="false">IF(AF185&gt;0,RANK(AF185,AF$6:AF$422),"")</f>
        <v/>
      </c>
      <c r="AA185" s="134" t="n">
        <f aca="false">'O_MN, PE_UTA_UGM 2024'!N162</f>
        <v>4</v>
      </c>
      <c r="AB185" s="135" t="n">
        <f aca="false">'O_MN, PE_UTA_UGM 2024'!O162</f>
        <v>19</v>
      </c>
      <c r="AC185" s="317" t="n">
        <f aca="false">'O_MN, PE_UTA_UGM 2024'!C162</f>
        <v>178</v>
      </c>
      <c r="AD185" s="293" t="str">
        <f aca="false">IF(AB185=0,'O_MN, PE_UTA_UGM 2024'!F162,CONCATENATE('O_MN, PE_UTA_UGM 2024'!F162," ","INVERNADERO"))</f>
        <v>ZANAHORIA INVERNADERO</v>
      </c>
      <c r="AE185" s="89"/>
      <c r="AF185" s="123" t="n">
        <f aca="false">SUM(AG185:AH185)+SUM(AJ185:AK185)</f>
        <v>0</v>
      </c>
      <c r="AG185" s="318" t="n">
        <f aca="false">A172</f>
        <v>0</v>
      </c>
      <c r="AH185" s="319" t="n">
        <f aca="false">B172</f>
        <v>0</v>
      </c>
      <c r="AI185" s="6"/>
      <c r="AJ185" s="320" t="n">
        <f aca="false">C172</f>
        <v>0</v>
      </c>
      <c r="AK185" s="320" t="n">
        <f aca="false">D172</f>
        <v>0</v>
      </c>
      <c r="AL185" s="237" t="s">
        <v>311</v>
      </c>
      <c r="AM185" s="299" t="n">
        <f aca="false">'O_MN, PE_UTA_UGM 2024'!J162</f>
        <v>0</v>
      </c>
      <c r="AN185" s="299" t="n">
        <f aca="false">'O_MN, PE_UTA_UGM 2024'!K162</f>
        <v>80000</v>
      </c>
      <c r="AO185" s="300"/>
      <c r="AP185" s="299" t="n">
        <f aca="false">'O_MN, PE_UTA_UGM 2024'!H162</f>
        <v>0</v>
      </c>
      <c r="AQ185" s="299" t="n">
        <f aca="false">'O_MN, PE_UTA_UGM 2024'!I162</f>
        <v>36060.73</v>
      </c>
      <c r="AR185" s="301"/>
      <c r="AS185" s="302" t="n">
        <f aca="false">'O_MN, PE_UTA_UGM 2024'!L162</f>
        <v>0</v>
      </c>
      <c r="AT185" s="302" t="n">
        <f aca="false">'O_MN, PE_UTA_UGM 2024'!M162</f>
        <v>1.46978</v>
      </c>
      <c r="AU185" s="45"/>
      <c r="AV185" s="321" t="n">
        <f aca="false">AG185*AM185</f>
        <v>0</v>
      </c>
      <c r="AW185" s="319" t="n">
        <f aca="false">AH185*AN185</f>
        <v>0</v>
      </c>
      <c r="AX185" s="320" t="n">
        <f aca="false">1.25*AJ185*AM185</f>
        <v>0</v>
      </c>
      <c r="AY185" s="322" t="n">
        <f aca="false">1.25*AK185*AN185</f>
        <v>0</v>
      </c>
      <c r="AZ185" s="323" t="n">
        <f aca="false">AG185*AP185</f>
        <v>0</v>
      </c>
      <c r="BA185" s="319" t="n">
        <f aca="false">AH185*AQ185</f>
        <v>0</v>
      </c>
      <c r="BB185" s="320" t="n">
        <f aca="false">1.25*AJ185*AP185</f>
        <v>0</v>
      </c>
      <c r="BC185" s="320" t="n">
        <f aca="false">1.25*AK185*AQ185</f>
        <v>0</v>
      </c>
      <c r="BD185" s="321" t="n">
        <f aca="false">AG185*AS185</f>
        <v>0</v>
      </c>
      <c r="BE185" s="319" t="n">
        <f aca="false">AH185*AT185</f>
        <v>0</v>
      </c>
      <c r="BF185" s="320" t="n">
        <f aca="false">AJ185*AS185</f>
        <v>0</v>
      </c>
      <c r="BG185" s="322" t="n">
        <f aca="false">AK185*AT185</f>
        <v>0</v>
      </c>
      <c r="BH185" s="324" t="str">
        <f aca="false">IF(BH$24=$AA185,($AG185*$AM185)+($AJ185*$AM185*1.25)+($AH185*$AN185)+($AK185*$AN185*1.25),"")</f>
        <v/>
      </c>
      <c r="BI185" s="325" t="str">
        <f aca="false">IF(BI$24=$AA185,($AG185*$AM185)+($AJ185*$AM185*1.25)+($AH185*$AN185)+($AK185*$AN185*1.25),"")</f>
        <v/>
      </c>
      <c r="BJ185" s="325" t="str">
        <f aca="false">IF(BJ$24=$AA185,($AG185*$AM185)+($AJ185*$AM185*1.25)+($AH185*$AN185)+($AK185*$AN185*1.25),"")</f>
        <v/>
      </c>
      <c r="BK185" s="325" t="n">
        <f aca="false">IF(BK$24=$AA185,($AG185*$AM185)+($AJ185*$AM185*1.25)+($AH185*$AN185)+($AK185*$AN185*1.25),"")</f>
        <v>0</v>
      </c>
      <c r="BL185" s="326" t="str">
        <f aca="false">IF(BL$24=$AA185,($AG185*$AM185)+($AJ185*$AM185*1.25)+($AH185*$AN185)+($AK185*$AN185*1.25),"")</f>
        <v/>
      </c>
      <c r="BM185" s="327" t="str">
        <f aca="false">IF(CONCATENATE(BH185,BI185,BJ185,BK185,BL185)="",1,"")</f>
        <v/>
      </c>
      <c r="BN185" s="328"/>
      <c r="BO185" s="328"/>
      <c r="BP185" s="328"/>
      <c r="BQ185" s="328"/>
      <c r="BR185" s="47"/>
      <c r="BS185" s="127" t="n">
        <f aca="false">(AG185*AM185)+(AH185*AN185)+((AJ185*AM185)+(AK185*AN185)*1.25)</f>
        <v>0</v>
      </c>
      <c r="BT185" s="127" t="n">
        <f aca="false">(AG185*AP185)+(AH185*AQ185)+((AJ185*AP185)+(AK185*AQ185)*1.25)</f>
        <v>0</v>
      </c>
      <c r="BU185" s="329"/>
      <c r="BV185" s="129"/>
    </row>
    <row r="186" customFormat="false" ht="15" hidden="false" customHeight="false" outlineLevel="0" collapsed="false">
      <c r="A186" s="228"/>
      <c r="B186" s="229"/>
      <c r="C186" s="230"/>
      <c r="D186" s="231"/>
      <c r="E186" s="223" t="str">
        <f aca="false">IF(SUM(A186:D186)&gt;0,SUM(A186:D186),"")</f>
        <v/>
      </c>
      <c r="F186" s="224" t="str">
        <f aca="false">AD199</f>
        <v>CARDO INVERNADERO</v>
      </c>
      <c r="G186" s="169"/>
      <c r="H186" s="169"/>
      <c r="I186" s="169"/>
      <c r="J186" s="169"/>
      <c r="K186" s="169"/>
      <c r="L186" s="169"/>
      <c r="M186" s="169"/>
      <c r="N186" s="169"/>
      <c r="O186" s="169"/>
      <c r="P186" s="169"/>
      <c r="Q186" s="169"/>
      <c r="R186" s="3"/>
      <c r="S186" s="3"/>
      <c r="T186" s="3"/>
      <c r="U186" s="3"/>
      <c r="V186" s="3"/>
      <c r="W186" s="3"/>
      <c r="X186" s="3"/>
      <c r="Y186" s="3"/>
      <c r="Z186" s="316" t="str">
        <f aca="false">IF(AF186&gt;0,RANK(AF186,AF$6:AF$422),"")</f>
        <v/>
      </c>
      <c r="AA186" s="134" t="n">
        <f aca="false">'O_MN, PE_UTA_UGM 2024'!N163</f>
        <v>4</v>
      </c>
      <c r="AB186" s="135" t="n">
        <f aca="false">'O_MN, PE_UTA_UGM 2024'!O163</f>
        <v>0</v>
      </c>
      <c r="AC186" s="317" t="n">
        <f aca="false">'O_MN, PE_UTA_UGM 2024'!C163</f>
        <v>179</v>
      </c>
      <c r="AD186" s="293" t="str">
        <f aca="false">IF(AB186=0,'O_MN, PE_UTA_UGM 2024'!F163,CONCATENATE('O_MN, PE_UTA_UGM 2024'!F163," ","INVERNADERO"))</f>
        <v>NABO</v>
      </c>
      <c r="AE186" s="89"/>
      <c r="AF186" s="123" t="n">
        <f aca="false">SUM(AG186:AH186)+SUM(AJ186:AK186)</f>
        <v>0</v>
      </c>
      <c r="AG186" s="318" t="n">
        <f aca="false">A173</f>
        <v>0</v>
      </c>
      <c r="AH186" s="319" t="n">
        <f aca="false">B173</f>
        <v>0</v>
      </c>
      <c r="AI186" s="6"/>
      <c r="AJ186" s="320" t="n">
        <f aca="false">C173</f>
        <v>0</v>
      </c>
      <c r="AK186" s="320" t="n">
        <f aca="false">D173</f>
        <v>0</v>
      </c>
      <c r="AL186" s="237" t="s">
        <v>312</v>
      </c>
      <c r="AM186" s="299" t="n">
        <f aca="false">'O_MN, PE_UTA_UGM 2024'!J163</f>
        <v>575</v>
      </c>
      <c r="AN186" s="299" t="n">
        <f aca="false">'O_MN, PE_UTA_UGM 2024'!K163</f>
        <v>5200</v>
      </c>
      <c r="AO186" s="300"/>
      <c r="AP186" s="299" t="n">
        <f aca="false">'O_MN, PE_UTA_UGM 2024'!H163</f>
        <v>360.61</v>
      </c>
      <c r="AQ186" s="299" t="n">
        <f aca="false">'O_MN, PE_UTA_UGM 2024'!I163</f>
        <v>1352.28</v>
      </c>
      <c r="AR186" s="301"/>
      <c r="AS186" s="302" t="n">
        <f aca="false">'O_MN, PE_UTA_UGM 2024'!L163</f>
        <v>0.0147</v>
      </c>
      <c r="AT186" s="302" t="n">
        <f aca="false">'O_MN, PE_UTA_UGM 2024'!M163</f>
        <v>0.05512</v>
      </c>
      <c r="AU186" s="45"/>
      <c r="AV186" s="321" t="n">
        <f aca="false">AG186*AM186</f>
        <v>0</v>
      </c>
      <c r="AW186" s="319" t="n">
        <f aca="false">AH186*AN186</f>
        <v>0</v>
      </c>
      <c r="AX186" s="320" t="n">
        <f aca="false">1.25*AJ186*AM186</f>
        <v>0</v>
      </c>
      <c r="AY186" s="322" t="n">
        <f aca="false">1.25*AK186*AN186</f>
        <v>0</v>
      </c>
      <c r="AZ186" s="323" t="n">
        <f aca="false">AG186*AP186</f>
        <v>0</v>
      </c>
      <c r="BA186" s="319" t="n">
        <f aca="false">AH186*AQ186</f>
        <v>0</v>
      </c>
      <c r="BB186" s="320" t="n">
        <f aca="false">1.25*AJ186*AP186</f>
        <v>0</v>
      </c>
      <c r="BC186" s="320" t="n">
        <f aca="false">1.25*AK186*AQ186</f>
        <v>0</v>
      </c>
      <c r="BD186" s="321" t="n">
        <f aca="false">AG186*AS186</f>
        <v>0</v>
      </c>
      <c r="BE186" s="319" t="n">
        <f aca="false">AH186*AT186</f>
        <v>0</v>
      </c>
      <c r="BF186" s="320" t="n">
        <f aca="false">AJ186*AS186</f>
        <v>0</v>
      </c>
      <c r="BG186" s="322" t="n">
        <f aca="false">AK186*AT186</f>
        <v>0</v>
      </c>
      <c r="BH186" s="324" t="str">
        <f aca="false">IF(BH$24=$AA186,($AG186*$AM186)+($AJ186*$AM186*1.25)+($AH186*$AN186)+($AK186*$AN186*1.25),"")</f>
        <v/>
      </c>
      <c r="BI186" s="325" t="str">
        <f aca="false">IF(BI$24=$AA186,($AG186*$AM186)+($AJ186*$AM186*1.25)+($AH186*$AN186)+($AK186*$AN186*1.25),"")</f>
        <v/>
      </c>
      <c r="BJ186" s="325" t="str">
        <f aca="false">IF(BJ$24=$AA186,($AG186*$AM186)+($AJ186*$AM186*1.25)+($AH186*$AN186)+($AK186*$AN186*1.25),"")</f>
        <v/>
      </c>
      <c r="BK186" s="325" t="n">
        <f aca="false">IF(BK$24=$AA186,($AG186*$AM186)+($AJ186*$AM186*1.25)+($AH186*$AN186)+($AK186*$AN186*1.25),"")</f>
        <v>0</v>
      </c>
      <c r="BL186" s="326" t="str">
        <f aca="false">IF(BL$24=$AA186,($AG186*$AM186)+($AJ186*$AM186*1.25)+($AH186*$AN186)+($AK186*$AN186*1.25),"")</f>
        <v/>
      </c>
      <c r="BM186" s="327" t="str">
        <f aca="false">IF(CONCATENATE(BH186,BI186,BJ186,BK186,BL186)="",1,"")</f>
        <v/>
      </c>
      <c r="BN186" s="328"/>
      <c r="BO186" s="328"/>
      <c r="BP186" s="328"/>
      <c r="BQ186" s="328"/>
      <c r="BR186" s="47"/>
      <c r="BS186" s="127" t="n">
        <f aca="false">(AG186*AM186)+(AH186*AN186)+((AJ186*AM186)+(AK186*AN186)*1.25)</f>
        <v>0</v>
      </c>
      <c r="BT186" s="127" t="n">
        <f aca="false">(AG186*AP186)+(AH186*AQ186)+((AJ186*AP186)+(AK186*AQ186)*1.25)</f>
        <v>0</v>
      </c>
      <c r="BU186" s="329"/>
      <c r="BV186" s="129"/>
    </row>
    <row r="187" customFormat="false" ht="15" hidden="false" customHeight="false" outlineLevel="0" collapsed="false">
      <c r="A187" s="219"/>
      <c r="B187" s="220"/>
      <c r="C187" s="221"/>
      <c r="D187" s="222"/>
      <c r="E187" s="223" t="str">
        <f aca="false">IF(SUM(A187:D187)&gt;0,SUM(A187:D187),"")</f>
        <v/>
      </c>
      <c r="F187" s="224" t="str">
        <f aca="false">AD200</f>
        <v>CARDO INVERNADERO</v>
      </c>
      <c r="G187" s="169"/>
      <c r="H187" s="169"/>
      <c r="I187" s="169"/>
      <c r="J187" s="169"/>
      <c r="K187" s="169"/>
      <c r="L187" s="169"/>
      <c r="M187" s="169"/>
      <c r="N187" s="169"/>
      <c r="O187" s="169"/>
      <c r="P187" s="169"/>
      <c r="Q187" s="169"/>
      <c r="R187" s="3"/>
      <c r="S187" s="3"/>
      <c r="T187" s="3"/>
      <c r="U187" s="3"/>
      <c r="V187" s="3"/>
      <c r="W187" s="3"/>
      <c r="X187" s="3"/>
      <c r="Y187" s="3"/>
      <c r="Z187" s="316" t="str">
        <f aca="false">IF(AF187&gt;0,RANK(AF187,AF$6:AF$422),"")</f>
        <v/>
      </c>
      <c r="AA187" s="134" t="n">
        <f aca="false">'O_MN, PE_UTA_UGM 2024'!N164</f>
        <v>4</v>
      </c>
      <c r="AB187" s="135" t="n">
        <f aca="false">'O_MN, PE_UTA_UGM 2024'!O164</f>
        <v>4</v>
      </c>
      <c r="AC187" s="317" t="n">
        <f aca="false">'O_MN, PE_UTA_UGM 2024'!C164</f>
        <v>179</v>
      </c>
      <c r="AD187" s="293" t="str">
        <f aca="false">IF(AB187=0,'O_MN, PE_UTA_UGM 2024'!F164,CONCATENATE('O_MN, PE_UTA_UGM 2024'!F164," ","INVERNADERO"))</f>
        <v>NABO INVERNADERO</v>
      </c>
      <c r="AE187" s="89"/>
      <c r="AF187" s="123" t="n">
        <f aca="false">SUM(AG187:AH187)+SUM(AJ187:AK187)</f>
        <v>0</v>
      </c>
      <c r="AG187" s="318" t="n">
        <f aca="false">A174</f>
        <v>0</v>
      </c>
      <c r="AH187" s="319" t="n">
        <f aca="false">B174</f>
        <v>0</v>
      </c>
      <c r="AI187" s="6"/>
      <c r="AJ187" s="320" t="n">
        <f aca="false">C174</f>
        <v>0</v>
      </c>
      <c r="AK187" s="320" t="n">
        <f aca="false">D174</f>
        <v>0</v>
      </c>
      <c r="AL187" s="237" t="s">
        <v>313</v>
      </c>
      <c r="AM187" s="299" t="n">
        <f aca="false">'O_MN, PE_UTA_UGM 2024'!J164</f>
        <v>0</v>
      </c>
      <c r="AN187" s="299" t="n">
        <f aca="false">'O_MN, PE_UTA_UGM 2024'!K164</f>
        <v>80000</v>
      </c>
      <c r="AO187" s="300"/>
      <c r="AP187" s="299" t="n">
        <f aca="false">'O_MN, PE_UTA_UGM 2024'!H164</f>
        <v>0</v>
      </c>
      <c r="AQ187" s="299" t="n">
        <f aca="false">'O_MN, PE_UTA_UGM 2024'!I164</f>
        <v>36060.73</v>
      </c>
      <c r="AR187" s="301"/>
      <c r="AS187" s="302" t="n">
        <f aca="false">'O_MN, PE_UTA_UGM 2024'!L164</f>
        <v>0</v>
      </c>
      <c r="AT187" s="302" t="n">
        <f aca="false">'O_MN, PE_UTA_UGM 2024'!M164</f>
        <v>1.46978</v>
      </c>
      <c r="AU187" s="45"/>
      <c r="AV187" s="321" t="n">
        <f aca="false">AG187*AM187</f>
        <v>0</v>
      </c>
      <c r="AW187" s="319" t="n">
        <f aca="false">AH187*AN187</f>
        <v>0</v>
      </c>
      <c r="AX187" s="320" t="n">
        <f aca="false">1.25*AJ187*AM187</f>
        <v>0</v>
      </c>
      <c r="AY187" s="322" t="n">
        <f aca="false">1.25*AK187*AN187</f>
        <v>0</v>
      </c>
      <c r="AZ187" s="323" t="n">
        <f aca="false">AG187*AP187</f>
        <v>0</v>
      </c>
      <c r="BA187" s="319" t="n">
        <f aca="false">AH187*AQ187</f>
        <v>0</v>
      </c>
      <c r="BB187" s="320" t="n">
        <f aca="false">1.25*AJ187*AP187</f>
        <v>0</v>
      </c>
      <c r="BC187" s="320" t="n">
        <f aca="false">1.25*AK187*AQ187</f>
        <v>0</v>
      </c>
      <c r="BD187" s="321" t="n">
        <f aca="false">AG187*AS187</f>
        <v>0</v>
      </c>
      <c r="BE187" s="319" t="n">
        <f aca="false">AH187*AT187</f>
        <v>0</v>
      </c>
      <c r="BF187" s="320" t="n">
        <f aca="false">AJ187*AS187</f>
        <v>0</v>
      </c>
      <c r="BG187" s="322" t="n">
        <f aca="false">AK187*AT187</f>
        <v>0</v>
      </c>
      <c r="BH187" s="324" t="str">
        <f aca="false">IF(BH$24=$AA187,($AG187*$AM187)+($AJ187*$AM187*1.25)+($AH187*$AN187)+($AK187*$AN187*1.25),"")</f>
        <v/>
      </c>
      <c r="BI187" s="325" t="str">
        <f aca="false">IF(BI$24=$AA187,($AG187*$AM187)+($AJ187*$AM187*1.25)+($AH187*$AN187)+($AK187*$AN187*1.25),"")</f>
        <v/>
      </c>
      <c r="BJ187" s="325" t="str">
        <f aca="false">IF(BJ$24=$AA187,($AG187*$AM187)+($AJ187*$AM187*1.25)+($AH187*$AN187)+($AK187*$AN187*1.25),"")</f>
        <v/>
      </c>
      <c r="BK187" s="325" t="n">
        <f aca="false">IF(BK$24=$AA187,($AG187*$AM187)+($AJ187*$AM187*1.25)+($AH187*$AN187)+($AK187*$AN187*1.25),"")</f>
        <v>0</v>
      </c>
      <c r="BL187" s="326" t="str">
        <f aca="false">IF(BL$24=$AA187,($AG187*$AM187)+($AJ187*$AM187*1.25)+($AH187*$AN187)+($AK187*$AN187*1.25),"")</f>
        <v/>
      </c>
      <c r="BM187" s="327" t="str">
        <f aca="false">IF(CONCATENATE(BH187,BI187,BJ187,BK187,BL187)="",1,"")</f>
        <v/>
      </c>
      <c r="BN187" s="328"/>
      <c r="BO187" s="328"/>
      <c r="BP187" s="328"/>
      <c r="BQ187" s="328"/>
      <c r="BR187" s="47"/>
      <c r="BS187" s="127" t="n">
        <f aca="false">(AG187*AM187)+(AH187*AN187)+((AJ187*AM187)+(AK187*AN187)*1.25)</f>
        <v>0</v>
      </c>
      <c r="BT187" s="127" t="n">
        <f aca="false">(AG187*AP187)+(AH187*AQ187)+((AJ187*AP187)+(AK187*AQ187)*1.25)</f>
        <v>0</v>
      </c>
      <c r="BU187" s="329"/>
      <c r="BV187" s="129"/>
    </row>
    <row r="188" customFormat="false" ht="15" hidden="false" customHeight="false" outlineLevel="0" collapsed="false">
      <c r="A188" s="228"/>
      <c r="B188" s="229"/>
      <c r="C188" s="230"/>
      <c r="D188" s="231"/>
      <c r="E188" s="223" t="str">
        <f aca="false">IF(SUM(A188:D188)&gt;0,SUM(A188:D188),"")</f>
        <v/>
      </c>
      <c r="F188" s="224" t="str">
        <f aca="false">AD201</f>
        <v>CALABAZA</v>
      </c>
      <c r="G188" s="169"/>
      <c r="H188" s="169"/>
      <c r="I188" s="169"/>
      <c r="J188" s="169"/>
      <c r="K188" s="169"/>
      <c r="L188" s="169"/>
      <c r="M188" s="169"/>
      <c r="N188" s="169"/>
      <c r="O188" s="169"/>
      <c r="P188" s="169"/>
      <c r="Q188" s="169"/>
      <c r="R188" s="3"/>
      <c r="S188" s="3"/>
      <c r="T188" s="3"/>
      <c r="U188" s="3"/>
      <c r="V188" s="3"/>
      <c r="W188" s="3"/>
      <c r="X188" s="3"/>
      <c r="Y188" s="3"/>
      <c r="Z188" s="316" t="str">
        <f aca="false">IF(AF188&gt;0,RANK(AF188,AF$6:AF$422),"")</f>
        <v/>
      </c>
      <c r="AA188" s="134" t="n">
        <f aca="false">'O_MN, PE_UTA_UGM 2024'!N165</f>
        <v>4</v>
      </c>
      <c r="AB188" s="135" t="n">
        <f aca="false">'O_MN, PE_UTA_UGM 2024'!O165</f>
        <v>19</v>
      </c>
      <c r="AC188" s="317" t="n">
        <f aca="false">'O_MN, PE_UTA_UGM 2024'!C165</f>
        <v>179</v>
      </c>
      <c r="AD188" s="293" t="str">
        <f aca="false">IF(AB188=0,'O_MN, PE_UTA_UGM 2024'!F165,CONCATENATE('O_MN, PE_UTA_UGM 2024'!F165," ","INVERNADERO"))</f>
        <v>NABO INVERNADERO</v>
      </c>
      <c r="AE188" s="89"/>
      <c r="AF188" s="123" t="n">
        <f aca="false">SUM(AG188:AH188)+SUM(AJ188:AK188)</f>
        <v>0</v>
      </c>
      <c r="AG188" s="318" t="n">
        <f aca="false">A175</f>
        <v>0</v>
      </c>
      <c r="AH188" s="319" t="n">
        <f aca="false">B175</f>
        <v>0</v>
      </c>
      <c r="AI188" s="6"/>
      <c r="AJ188" s="320" t="n">
        <f aca="false">C175</f>
        <v>0</v>
      </c>
      <c r="AK188" s="320" t="n">
        <f aca="false">D175</f>
        <v>0</v>
      </c>
      <c r="AL188" s="237" t="s">
        <v>314</v>
      </c>
      <c r="AM188" s="299" t="n">
        <f aca="false">'O_MN, PE_UTA_UGM 2024'!J165</f>
        <v>0</v>
      </c>
      <c r="AN188" s="299" t="n">
        <f aca="false">'O_MN, PE_UTA_UGM 2024'!K165</f>
        <v>80000</v>
      </c>
      <c r="AO188" s="300"/>
      <c r="AP188" s="299" t="n">
        <f aca="false">'O_MN, PE_UTA_UGM 2024'!H165</f>
        <v>0</v>
      </c>
      <c r="AQ188" s="299" t="n">
        <f aca="false">'O_MN, PE_UTA_UGM 2024'!I165</f>
        <v>36060.73</v>
      </c>
      <c r="AR188" s="301"/>
      <c r="AS188" s="302" t="n">
        <f aca="false">'O_MN, PE_UTA_UGM 2024'!L165</f>
        <v>0</v>
      </c>
      <c r="AT188" s="302" t="n">
        <f aca="false">'O_MN, PE_UTA_UGM 2024'!M165</f>
        <v>1.46978</v>
      </c>
      <c r="AU188" s="45"/>
      <c r="AV188" s="321" t="n">
        <f aca="false">AG188*AM188</f>
        <v>0</v>
      </c>
      <c r="AW188" s="319" t="n">
        <f aca="false">AH188*AN188</f>
        <v>0</v>
      </c>
      <c r="AX188" s="320" t="n">
        <f aca="false">1.25*AJ188*AM188</f>
        <v>0</v>
      </c>
      <c r="AY188" s="322" t="n">
        <f aca="false">1.25*AK188*AN188</f>
        <v>0</v>
      </c>
      <c r="AZ188" s="323" t="n">
        <f aca="false">AG188*AP188</f>
        <v>0</v>
      </c>
      <c r="BA188" s="319" t="n">
        <f aca="false">AH188*AQ188</f>
        <v>0</v>
      </c>
      <c r="BB188" s="320" t="n">
        <f aca="false">1.25*AJ188*AP188</f>
        <v>0</v>
      </c>
      <c r="BC188" s="320" t="n">
        <f aca="false">1.25*AK188*AQ188</f>
        <v>0</v>
      </c>
      <c r="BD188" s="321" t="n">
        <f aca="false">AG188*AS188</f>
        <v>0</v>
      </c>
      <c r="BE188" s="319" t="n">
        <f aca="false">AH188*AT188</f>
        <v>0</v>
      </c>
      <c r="BF188" s="320" t="n">
        <f aca="false">AJ188*AS188</f>
        <v>0</v>
      </c>
      <c r="BG188" s="322" t="n">
        <f aca="false">AK188*AT188</f>
        <v>0</v>
      </c>
      <c r="BH188" s="324" t="str">
        <f aca="false">IF(BH$24=$AA188,($AG188*$AM188)+($AJ188*$AM188*1.25)+($AH188*$AN188)+($AK188*$AN188*1.25),"")</f>
        <v/>
      </c>
      <c r="BI188" s="325" t="str">
        <f aca="false">IF(BI$24=$AA188,($AG188*$AM188)+($AJ188*$AM188*1.25)+($AH188*$AN188)+($AK188*$AN188*1.25),"")</f>
        <v/>
      </c>
      <c r="BJ188" s="325" t="str">
        <f aca="false">IF(BJ$24=$AA188,($AG188*$AM188)+($AJ188*$AM188*1.25)+($AH188*$AN188)+($AK188*$AN188*1.25),"")</f>
        <v/>
      </c>
      <c r="BK188" s="325" t="n">
        <f aca="false">IF(BK$24=$AA188,($AG188*$AM188)+($AJ188*$AM188*1.25)+($AH188*$AN188)+($AK188*$AN188*1.25),"")</f>
        <v>0</v>
      </c>
      <c r="BL188" s="326" t="str">
        <f aca="false">IF(BL$24=$AA188,($AG188*$AM188)+($AJ188*$AM188*1.25)+($AH188*$AN188)+($AK188*$AN188*1.25),"")</f>
        <v/>
      </c>
      <c r="BM188" s="327" t="str">
        <f aca="false">IF(CONCATENATE(BH188,BI188,BJ188,BK188,BL188)="",1,"")</f>
        <v/>
      </c>
      <c r="BN188" s="328"/>
      <c r="BO188" s="328"/>
      <c r="BP188" s="328"/>
      <c r="BQ188" s="328"/>
      <c r="BR188" s="47"/>
      <c r="BS188" s="127" t="n">
        <f aca="false">(AG188*AM188)+(AH188*AN188)+((AJ188*AM188)+(AK188*AN188)*1.25)</f>
        <v>0</v>
      </c>
      <c r="BT188" s="127" t="n">
        <f aca="false">(AG188*AP188)+(AH188*AQ188)+((AJ188*AP188)+(AK188*AQ188)*1.25)</f>
        <v>0</v>
      </c>
      <c r="BU188" s="329"/>
      <c r="BV188" s="129"/>
    </row>
    <row r="189" customFormat="false" ht="15" hidden="false" customHeight="false" outlineLevel="0" collapsed="false">
      <c r="A189" s="228"/>
      <c r="B189" s="229"/>
      <c r="C189" s="230"/>
      <c r="D189" s="231"/>
      <c r="E189" s="223" t="str">
        <f aca="false">IF(SUM(A189:D189)&gt;0,SUM(A189:D189),"")</f>
        <v/>
      </c>
      <c r="F189" s="224" t="str">
        <f aca="false">AD202</f>
        <v>CALABAZA INVERNADERO</v>
      </c>
      <c r="G189" s="169"/>
      <c r="H189" s="169"/>
      <c r="I189" s="169"/>
      <c r="J189" s="169"/>
      <c r="K189" s="169"/>
      <c r="L189" s="169"/>
      <c r="M189" s="169"/>
      <c r="N189" s="169"/>
      <c r="O189" s="169"/>
      <c r="P189" s="169"/>
      <c r="Q189" s="169"/>
      <c r="R189" s="3"/>
      <c r="S189" s="3"/>
      <c r="T189" s="3"/>
      <c r="U189" s="3"/>
      <c r="V189" s="3"/>
      <c r="W189" s="3"/>
      <c r="X189" s="3"/>
      <c r="Y189" s="3"/>
      <c r="Z189" s="316" t="str">
        <f aca="false">IF(AF189&gt;0,RANK(AF189,AF$6:AF$422),"")</f>
        <v/>
      </c>
      <c r="AA189" s="134" t="n">
        <f aca="false">'O_MN, PE_UTA_UGM 2024'!N166</f>
        <v>4</v>
      </c>
      <c r="AB189" s="135" t="n">
        <f aca="false">'O_MN, PE_UTA_UGM 2024'!O166</f>
        <v>0</v>
      </c>
      <c r="AC189" s="317" t="n">
        <f aca="false">'O_MN, PE_UTA_UGM 2024'!C166</f>
        <v>181</v>
      </c>
      <c r="AD189" s="293" t="str">
        <f aca="false">IF(AB189=0,'O_MN, PE_UTA_UGM 2024'!F166,CONCATENATE('O_MN, PE_UTA_UGM 2024'!F166," ","INVERNADERO"))</f>
        <v>ACHICORIA</v>
      </c>
      <c r="AE189" s="89"/>
      <c r="AF189" s="123" t="n">
        <f aca="false">SUM(AG189:AH189)+SUM(AJ189:AK189)</f>
        <v>0</v>
      </c>
      <c r="AG189" s="318" t="n">
        <f aca="false">A176</f>
        <v>0</v>
      </c>
      <c r="AH189" s="319" t="n">
        <f aca="false">B176</f>
        <v>0</v>
      </c>
      <c r="AI189" s="6"/>
      <c r="AJ189" s="320" t="n">
        <f aca="false">C176</f>
        <v>0</v>
      </c>
      <c r="AK189" s="320" t="n">
        <f aca="false">D176</f>
        <v>0</v>
      </c>
      <c r="AL189" s="237" t="s">
        <v>315</v>
      </c>
      <c r="AM189" s="299" t="n">
        <f aca="false">'O_MN, PE_UTA_UGM 2024'!J166</f>
        <v>575</v>
      </c>
      <c r="AN189" s="299" t="n">
        <f aca="false">'O_MN, PE_UTA_UGM 2024'!K166</f>
        <v>5200</v>
      </c>
      <c r="AO189" s="300"/>
      <c r="AP189" s="299" t="n">
        <f aca="false">'O_MN, PE_UTA_UGM 2024'!H166</f>
        <v>360.61</v>
      </c>
      <c r="AQ189" s="299" t="n">
        <f aca="false">'O_MN, PE_UTA_UGM 2024'!I166</f>
        <v>1352.28</v>
      </c>
      <c r="AR189" s="301"/>
      <c r="AS189" s="302" t="n">
        <f aca="false">'O_MN, PE_UTA_UGM 2024'!L166</f>
        <v>0.0147</v>
      </c>
      <c r="AT189" s="302" t="n">
        <f aca="false">'O_MN, PE_UTA_UGM 2024'!M166</f>
        <v>0.05512</v>
      </c>
      <c r="AU189" s="45"/>
      <c r="AV189" s="321" t="n">
        <f aca="false">AG189*AM189</f>
        <v>0</v>
      </c>
      <c r="AW189" s="319" t="n">
        <f aca="false">AH189*AN189</f>
        <v>0</v>
      </c>
      <c r="AX189" s="320" t="n">
        <f aca="false">1.25*AJ189*AM189</f>
        <v>0</v>
      </c>
      <c r="AY189" s="322" t="n">
        <f aca="false">1.25*AK189*AN189</f>
        <v>0</v>
      </c>
      <c r="AZ189" s="323" t="n">
        <f aca="false">AG189*AP189</f>
        <v>0</v>
      </c>
      <c r="BA189" s="319" t="n">
        <f aca="false">AH189*AQ189</f>
        <v>0</v>
      </c>
      <c r="BB189" s="320" t="n">
        <f aca="false">1.25*AJ189*AP189</f>
        <v>0</v>
      </c>
      <c r="BC189" s="320" t="n">
        <f aca="false">1.25*AK189*AQ189</f>
        <v>0</v>
      </c>
      <c r="BD189" s="321" t="n">
        <f aca="false">AG189*AS189</f>
        <v>0</v>
      </c>
      <c r="BE189" s="319" t="n">
        <f aca="false">AH189*AT189</f>
        <v>0</v>
      </c>
      <c r="BF189" s="320" t="n">
        <f aca="false">AJ189*AS189</f>
        <v>0</v>
      </c>
      <c r="BG189" s="322" t="n">
        <f aca="false">AK189*AT189</f>
        <v>0</v>
      </c>
      <c r="BH189" s="324" t="str">
        <f aca="false">IF(BH$24=$AA189,($AG189*$AM189)+($AJ189*$AM189*1.25)+($AH189*$AN189)+($AK189*$AN189*1.25),"")</f>
        <v/>
      </c>
      <c r="BI189" s="325" t="str">
        <f aca="false">IF(BI$24=$AA189,($AG189*$AM189)+($AJ189*$AM189*1.25)+($AH189*$AN189)+($AK189*$AN189*1.25),"")</f>
        <v/>
      </c>
      <c r="BJ189" s="325" t="str">
        <f aca="false">IF(BJ$24=$AA189,($AG189*$AM189)+($AJ189*$AM189*1.25)+($AH189*$AN189)+($AK189*$AN189*1.25),"")</f>
        <v/>
      </c>
      <c r="BK189" s="325" t="n">
        <f aca="false">IF(BK$24=$AA189,($AG189*$AM189)+($AJ189*$AM189*1.25)+($AH189*$AN189)+($AK189*$AN189*1.25),"")</f>
        <v>0</v>
      </c>
      <c r="BL189" s="326" t="str">
        <f aca="false">IF(BL$24=$AA189,($AG189*$AM189)+($AJ189*$AM189*1.25)+($AH189*$AN189)+($AK189*$AN189*1.25),"")</f>
        <v/>
      </c>
      <c r="BM189" s="327" t="str">
        <f aca="false">IF(CONCATENATE(BH189,BI189,BJ189,BK189,BL189)="",1,"")</f>
        <v/>
      </c>
      <c r="BN189" s="328"/>
      <c r="BO189" s="328"/>
      <c r="BP189" s="328"/>
      <c r="BQ189" s="328"/>
      <c r="BR189" s="47"/>
      <c r="BS189" s="127" t="n">
        <f aca="false">(AG189*AM189)+(AH189*AN189)+((AJ189*AM189)+(AK189*AN189)*1.25)</f>
        <v>0</v>
      </c>
      <c r="BT189" s="127" t="n">
        <f aca="false">(AG189*AP189)+(AH189*AQ189)+((AJ189*AP189)+(AK189*AQ189)*1.25)</f>
        <v>0</v>
      </c>
      <c r="BU189" s="329"/>
      <c r="BV189" s="129"/>
    </row>
    <row r="190" customFormat="false" ht="15" hidden="false" customHeight="false" outlineLevel="0" collapsed="false">
      <c r="A190" s="228"/>
      <c r="B190" s="229"/>
      <c r="C190" s="230"/>
      <c r="D190" s="231"/>
      <c r="E190" s="223" t="str">
        <f aca="false">IF(SUM(A190:D190)&gt;0,SUM(A190:D190),"")</f>
        <v/>
      </c>
      <c r="F190" s="224" t="str">
        <f aca="false">AD203</f>
        <v>CALABAZA INVERNADERO</v>
      </c>
      <c r="G190" s="169"/>
      <c r="H190" s="169"/>
      <c r="I190" s="169"/>
      <c r="J190" s="169"/>
      <c r="K190" s="169"/>
      <c r="L190" s="169"/>
      <c r="M190" s="169"/>
      <c r="N190" s="169"/>
      <c r="O190" s="169"/>
      <c r="P190" s="169"/>
      <c r="Q190" s="169"/>
      <c r="R190" s="3"/>
      <c r="S190" s="3"/>
      <c r="T190" s="3"/>
      <c r="U190" s="3"/>
      <c r="V190" s="3"/>
      <c r="W190" s="3"/>
      <c r="X190" s="3"/>
      <c r="Y190" s="3"/>
      <c r="Z190" s="316" t="str">
        <f aca="false">IF(AF190&gt;0,RANK(AF190,AF$6:AF$422),"")</f>
        <v/>
      </c>
      <c r="AA190" s="134" t="n">
        <f aca="false">'O_MN, PE_UTA_UGM 2024'!N167</f>
        <v>4</v>
      </c>
      <c r="AB190" s="135" t="n">
        <f aca="false">'O_MN, PE_UTA_UGM 2024'!O167</f>
        <v>4</v>
      </c>
      <c r="AC190" s="317" t="n">
        <f aca="false">'O_MN, PE_UTA_UGM 2024'!C167</f>
        <v>181</v>
      </c>
      <c r="AD190" s="293" t="str">
        <f aca="false">IF(AB190=0,'O_MN, PE_UTA_UGM 2024'!F167,CONCATENATE('O_MN, PE_UTA_UGM 2024'!F167," ","INVERNADERO"))</f>
        <v>ACHICORIA INVERNADERO</v>
      </c>
      <c r="AE190" s="89"/>
      <c r="AF190" s="123" t="n">
        <f aca="false">SUM(AG190:AH190)+SUM(AJ190:AK190)</f>
        <v>0</v>
      </c>
      <c r="AG190" s="318" t="n">
        <f aca="false">A177</f>
        <v>0</v>
      </c>
      <c r="AH190" s="319" t="n">
        <f aca="false">B177</f>
        <v>0</v>
      </c>
      <c r="AI190" s="6"/>
      <c r="AJ190" s="320" t="n">
        <f aca="false">C177</f>
        <v>0</v>
      </c>
      <c r="AK190" s="320" t="n">
        <f aca="false">D177</f>
        <v>0</v>
      </c>
      <c r="AL190" s="237" t="s">
        <v>316</v>
      </c>
      <c r="AM190" s="299" t="n">
        <f aca="false">'O_MN, PE_UTA_UGM 2024'!J167</f>
        <v>0</v>
      </c>
      <c r="AN190" s="299" t="n">
        <f aca="false">'O_MN, PE_UTA_UGM 2024'!K167</f>
        <v>80000</v>
      </c>
      <c r="AO190" s="300"/>
      <c r="AP190" s="299" t="n">
        <f aca="false">'O_MN, PE_UTA_UGM 2024'!H167</f>
        <v>0</v>
      </c>
      <c r="AQ190" s="299" t="n">
        <f aca="false">'O_MN, PE_UTA_UGM 2024'!I167</f>
        <v>36060.73</v>
      </c>
      <c r="AR190" s="301"/>
      <c r="AS190" s="302" t="n">
        <f aca="false">'O_MN, PE_UTA_UGM 2024'!L167</f>
        <v>0</v>
      </c>
      <c r="AT190" s="302" t="n">
        <f aca="false">'O_MN, PE_UTA_UGM 2024'!M167</f>
        <v>1.46978</v>
      </c>
      <c r="AU190" s="45"/>
      <c r="AV190" s="321" t="n">
        <f aca="false">AG190*AM190</f>
        <v>0</v>
      </c>
      <c r="AW190" s="319" t="n">
        <f aca="false">AH190*AN190</f>
        <v>0</v>
      </c>
      <c r="AX190" s="320" t="n">
        <f aca="false">1.25*AJ190*AM190</f>
        <v>0</v>
      </c>
      <c r="AY190" s="322" t="n">
        <f aca="false">1.25*AK190*AN190</f>
        <v>0</v>
      </c>
      <c r="AZ190" s="323" t="n">
        <f aca="false">AG190*AP190</f>
        <v>0</v>
      </c>
      <c r="BA190" s="319" t="n">
        <f aca="false">AH190*AQ190</f>
        <v>0</v>
      </c>
      <c r="BB190" s="320" t="n">
        <f aca="false">1.25*AJ190*AP190</f>
        <v>0</v>
      </c>
      <c r="BC190" s="320" t="n">
        <f aca="false">1.25*AK190*AQ190</f>
        <v>0</v>
      </c>
      <c r="BD190" s="321" t="n">
        <f aca="false">AG190*AS190</f>
        <v>0</v>
      </c>
      <c r="BE190" s="319" t="n">
        <f aca="false">AH190*AT190</f>
        <v>0</v>
      </c>
      <c r="BF190" s="320" t="n">
        <f aca="false">AJ190*AS190</f>
        <v>0</v>
      </c>
      <c r="BG190" s="322" t="n">
        <f aca="false">AK190*AT190</f>
        <v>0</v>
      </c>
      <c r="BH190" s="324" t="str">
        <f aca="false">IF(BH$24=$AA190,($AG190*$AM190)+($AJ190*$AM190*1.25)+($AH190*$AN190)+($AK190*$AN190*1.25),"")</f>
        <v/>
      </c>
      <c r="BI190" s="325" t="str">
        <f aca="false">IF(BI$24=$AA190,($AG190*$AM190)+($AJ190*$AM190*1.25)+($AH190*$AN190)+($AK190*$AN190*1.25),"")</f>
        <v/>
      </c>
      <c r="BJ190" s="325" t="str">
        <f aca="false">IF(BJ$24=$AA190,($AG190*$AM190)+($AJ190*$AM190*1.25)+($AH190*$AN190)+($AK190*$AN190*1.25),"")</f>
        <v/>
      </c>
      <c r="BK190" s="325" t="n">
        <f aca="false">IF(BK$24=$AA190,($AG190*$AM190)+($AJ190*$AM190*1.25)+($AH190*$AN190)+($AK190*$AN190*1.25),"")</f>
        <v>0</v>
      </c>
      <c r="BL190" s="326" t="str">
        <f aca="false">IF(BL$24=$AA190,($AG190*$AM190)+($AJ190*$AM190*1.25)+($AH190*$AN190)+($AK190*$AN190*1.25),"")</f>
        <v/>
      </c>
      <c r="BM190" s="327" t="str">
        <f aca="false">IF(CONCATENATE(BH190,BI190,BJ190,BK190,BL190)="",1,"")</f>
        <v/>
      </c>
      <c r="BN190" s="328"/>
      <c r="BO190" s="328"/>
      <c r="BP190" s="328"/>
      <c r="BQ190" s="328"/>
      <c r="BR190" s="47"/>
      <c r="BS190" s="127" t="n">
        <f aca="false">(AG190*AM190)+(AH190*AN190)+((AJ190*AM190)+(AK190*AN190)*1.25)</f>
        <v>0</v>
      </c>
      <c r="BT190" s="127" t="n">
        <f aca="false">(AG190*AP190)+(AH190*AQ190)+((AJ190*AP190)+(AK190*AQ190)*1.25)</f>
        <v>0</v>
      </c>
      <c r="BU190" s="329"/>
      <c r="BV190" s="129"/>
    </row>
    <row r="191" customFormat="false" ht="15" hidden="false" customHeight="false" outlineLevel="0" collapsed="false">
      <c r="A191" s="228"/>
      <c r="B191" s="229"/>
      <c r="C191" s="230"/>
      <c r="D191" s="231"/>
      <c r="E191" s="223" t="str">
        <f aca="false">IF(SUM(A191:D191)&gt;0,SUM(A191:D191),"")</f>
        <v/>
      </c>
      <c r="F191" s="224" t="str">
        <f aca="false">AD204</f>
        <v>CALABAZA DEL PEREGRINO</v>
      </c>
      <c r="G191" s="169"/>
      <c r="H191" s="169"/>
      <c r="I191" s="169"/>
      <c r="J191" s="169"/>
      <c r="K191" s="169"/>
      <c r="L191" s="169"/>
      <c r="M191" s="169"/>
      <c r="N191" s="169"/>
      <c r="O191" s="169"/>
      <c r="P191" s="169"/>
      <c r="Q191" s="169"/>
      <c r="R191" s="3"/>
      <c r="S191" s="3"/>
      <c r="T191" s="3"/>
      <c r="U191" s="3"/>
      <c r="V191" s="3"/>
      <c r="W191" s="3"/>
      <c r="X191" s="3"/>
      <c r="Y191" s="3"/>
      <c r="Z191" s="316" t="str">
        <f aca="false">IF(AF191&gt;0,RANK(AF191,AF$6:AF$422),"")</f>
        <v/>
      </c>
      <c r="AA191" s="134" t="n">
        <f aca="false">'O_MN, PE_UTA_UGM 2024'!N168</f>
        <v>4</v>
      </c>
      <c r="AB191" s="135" t="n">
        <f aca="false">'O_MN, PE_UTA_UGM 2024'!O168</f>
        <v>19</v>
      </c>
      <c r="AC191" s="317" t="n">
        <f aca="false">'O_MN, PE_UTA_UGM 2024'!C168</f>
        <v>181</v>
      </c>
      <c r="AD191" s="293" t="str">
        <f aca="false">IF(AB191=0,'O_MN, PE_UTA_UGM 2024'!F168,CONCATENATE('O_MN, PE_UTA_UGM 2024'!F168," ","INVERNADERO"))</f>
        <v>ACHICORIA INVERNADERO</v>
      </c>
      <c r="AE191" s="89"/>
      <c r="AF191" s="123" t="n">
        <f aca="false">SUM(AG191:AH191)+SUM(AJ191:AK191)</f>
        <v>0</v>
      </c>
      <c r="AG191" s="318" t="n">
        <f aca="false">A178</f>
        <v>0</v>
      </c>
      <c r="AH191" s="319" t="n">
        <f aca="false">B178</f>
        <v>0</v>
      </c>
      <c r="AI191" s="6"/>
      <c r="AJ191" s="320" t="n">
        <f aca="false">C178</f>
        <v>0</v>
      </c>
      <c r="AK191" s="320" t="n">
        <f aca="false">D178</f>
        <v>0</v>
      </c>
      <c r="AL191" s="237" t="s">
        <v>317</v>
      </c>
      <c r="AM191" s="299" t="n">
        <f aca="false">'O_MN, PE_UTA_UGM 2024'!J168</f>
        <v>0</v>
      </c>
      <c r="AN191" s="299" t="n">
        <f aca="false">'O_MN, PE_UTA_UGM 2024'!K168</f>
        <v>80000</v>
      </c>
      <c r="AO191" s="300"/>
      <c r="AP191" s="299" t="n">
        <f aca="false">'O_MN, PE_UTA_UGM 2024'!H168</f>
        <v>0</v>
      </c>
      <c r="AQ191" s="299" t="n">
        <f aca="false">'O_MN, PE_UTA_UGM 2024'!I168</f>
        <v>36060.73</v>
      </c>
      <c r="AR191" s="301"/>
      <c r="AS191" s="302" t="n">
        <f aca="false">'O_MN, PE_UTA_UGM 2024'!L168</f>
        <v>0</v>
      </c>
      <c r="AT191" s="302" t="n">
        <f aca="false">'O_MN, PE_UTA_UGM 2024'!M168</f>
        <v>1.46978</v>
      </c>
      <c r="AU191" s="45"/>
      <c r="AV191" s="321" t="n">
        <f aca="false">AG191*AM191</f>
        <v>0</v>
      </c>
      <c r="AW191" s="319" t="n">
        <f aca="false">AH191*AN191</f>
        <v>0</v>
      </c>
      <c r="AX191" s="320" t="n">
        <f aca="false">1.25*AJ191*AM191</f>
        <v>0</v>
      </c>
      <c r="AY191" s="322" t="n">
        <f aca="false">1.25*AK191*AN191</f>
        <v>0</v>
      </c>
      <c r="AZ191" s="323" t="n">
        <f aca="false">AG191*AP191</f>
        <v>0</v>
      </c>
      <c r="BA191" s="319" t="n">
        <f aca="false">AH191*AQ191</f>
        <v>0</v>
      </c>
      <c r="BB191" s="320" t="n">
        <f aca="false">1.25*AJ191*AP191</f>
        <v>0</v>
      </c>
      <c r="BC191" s="320" t="n">
        <f aca="false">1.25*AK191*AQ191</f>
        <v>0</v>
      </c>
      <c r="BD191" s="321" t="n">
        <f aca="false">AG191*AS191</f>
        <v>0</v>
      </c>
      <c r="BE191" s="319" t="n">
        <f aca="false">AH191*AT191</f>
        <v>0</v>
      </c>
      <c r="BF191" s="320" t="n">
        <f aca="false">AJ191*AS191</f>
        <v>0</v>
      </c>
      <c r="BG191" s="322" t="n">
        <f aca="false">AK191*AT191</f>
        <v>0</v>
      </c>
      <c r="BH191" s="324" t="str">
        <f aca="false">IF(BH$24=$AA191,($AG191*$AM191)+($AJ191*$AM191*1.25)+($AH191*$AN191)+($AK191*$AN191*1.25),"")</f>
        <v/>
      </c>
      <c r="BI191" s="325" t="str">
        <f aca="false">IF(BI$24=$AA191,($AG191*$AM191)+($AJ191*$AM191*1.25)+($AH191*$AN191)+($AK191*$AN191*1.25),"")</f>
        <v/>
      </c>
      <c r="BJ191" s="325" t="str">
        <f aca="false">IF(BJ$24=$AA191,($AG191*$AM191)+($AJ191*$AM191*1.25)+($AH191*$AN191)+($AK191*$AN191*1.25),"")</f>
        <v/>
      </c>
      <c r="BK191" s="325" t="n">
        <f aca="false">IF(BK$24=$AA191,($AG191*$AM191)+($AJ191*$AM191*1.25)+($AH191*$AN191)+($AK191*$AN191*1.25),"")</f>
        <v>0</v>
      </c>
      <c r="BL191" s="326" t="str">
        <f aca="false">IF(BL$24=$AA191,($AG191*$AM191)+($AJ191*$AM191*1.25)+($AH191*$AN191)+($AK191*$AN191*1.25),"")</f>
        <v/>
      </c>
      <c r="BM191" s="327" t="str">
        <f aca="false">IF(CONCATENATE(BH191,BI191,BJ191,BK191,BL191)="",1,"")</f>
        <v/>
      </c>
      <c r="BN191" s="328"/>
      <c r="BO191" s="328"/>
      <c r="BP191" s="328"/>
      <c r="BQ191" s="328"/>
      <c r="BR191" s="47"/>
      <c r="BS191" s="127" t="n">
        <f aca="false">(AG191*AM191)+(AH191*AN191)+((AJ191*AM191)+(AK191*AN191)*1.25)</f>
        <v>0</v>
      </c>
      <c r="BT191" s="127" t="n">
        <f aca="false">(AG191*AP191)+(AH191*AQ191)+((AJ191*AP191)+(AK191*AQ191)*1.25)</f>
        <v>0</v>
      </c>
      <c r="BU191" s="329"/>
      <c r="BV191" s="129"/>
    </row>
    <row r="192" customFormat="false" ht="15" hidden="false" customHeight="false" outlineLevel="0" collapsed="false">
      <c r="A192" s="228"/>
      <c r="B192" s="229"/>
      <c r="C192" s="230"/>
      <c r="D192" s="231"/>
      <c r="E192" s="223" t="str">
        <f aca="false">IF(SUM(A192:D192)&gt;0,SUM(A192:D192),"")</f>
        <v/>
      </c>
      <c r="F192" s="224" t="str">
        <f aca="false">AD205</f>
        <v>CALABAZA DEL PEREGRINO INVERNADERO</v>
      </c>
      <c r="G192" s="169"/>
      <c r="H192" s="169"/>
      <c r="I192" s="169"/>
      <c r="J192" s="169"/>
      <c r="K192" s="169"/>
      <c r="L192" s="169"/>
      <c r="M192" s="169"/>
      <c r="N192" s="169"/>
      <c r="O192" s="169"/>
      <c r="P192" s="169"/>
      <c r="Q192" s="169"/>
      <c r="R192" s="3"/>
      <c r="S192" s="3"/>
      <c r="T192" s="3"/>
      <c r="U192" s="3"/>
      <c r="V192" s="3"/>
      <c r="W192" s="3"/>
      <c r="X192" s="3"/>
      <c r="Y192" s="3"/>
      <c r="Z192" s="316" t="str">
        <f aca="false">IF(AF192&gt;0,RANK(AF192,AF$6:AF$422),"")</f>
        <v/>
      </c>
      <c r="AA192" s="134" t="n">
        <f aca="false">'O_MN, PE_UTA_UGM 2024'!N169</f>
        <v>4</v>
      </c>
      <c r="AB192" s="135" t="n">
        <f aca="false">'O_MN, PE_UTA_UGM 2024'!O169</f>
        <v>0</v>
      </c>
      <c r="AC192" s="317" t="n">
        <f aca="false">'O_MN, PE_UTA_UGM 2024'!C169</f>
        <v>182</v>
      </c>
      <c r="AD192" s="293" t="str">
        <f aca="false">IF(AB192=0,'O_MN, PE_UTA_UGM 2024'!F169,CONCATENATE('O_MN, PE_UTA_UGM 2024'!F169," ","INVERNADERO"))</f>
        <v>GUINDILLA</v>
      </c>
      <c r="AE192" s="89"/>
      <c r="AF192" s="123" t="n">
        <f aca="false">SUM(AG192:AH192)+SUM(AJ192:AK192)</f>
        <v>0</v>
      </c>
      <c r="AG192" s="318" t="n">
        <f aca="false">A179</f>
        <v>0</v>
      </c>
      <c r="AH192" s="319" t="n">
        <f aca="false">B179</f>
        <v>0</v>
      </c>
      <c r="AI192" s="6"/>
      <c r="AJ192" s="320" t="n">
        <f aca="false">C179</f>
        <v>0</v>
      </c>
      <c r="AK192" s="320" t="n">
        <f aca="false">D179</f>
        <v>0</v>
      </c>
      <c r="AL192" s="237" t="s">
        <v>318</v>
      </c>
      <c r="AM192" s="299" t="n">
        <f aca="false">'O_MN, PE_UTA_UGM 2024'!J169</f>
        <v>575</v>
      </c>
      <c r="AN192" s="299" t="n">
        <f aca="false">'O_MN, PE_UTA_UGM 2024'!K169</f>
        <v>5200</v>
      </c>
      <c r="AO192" s="300"/>
      <c r="AP192" s="299" t="n">
        <f aca="false">'O_MN, PE_UTA_UGM 2024'!H169</f>
        <v>360.61</v>
      </c>
      <c r="AQ192" s="299" t="n">
        <f aca="false">'O_MN, PE_UTA_UGM 2024'!I169</f>
        <v>1352.28</v>
      </c>
      <c r="AR192" s="301"/>
      <c r="AS192" s="302" t="n">
        <f aca="false">'O_MN, PE_UTA_UGM 2024'!L169</f>
        <v>0.0147</v>
      </c>
      <c r="AT192" s="302" t="n">
        <f aca="false">'O_MN, PE_UTA_UGM 2024'!M169</f>
        <v>0.05512</v>
      </c>
      <c r="AU192" s="45"/>
      <c r="AV192" s="321" t="n">
        <f aca="false">AG192*AM192</f>
        <v>0</v>
      </c>
      <c r="AW192" s="319" t="n">
        <f aca="false">AH192*AN192</f>
        <v>0</v>
      </c>
      <c r="AX192" s="320" t="n">
        <f aca="false">1.25*AJ192*AM192</f>
        <v>0</v>
      </c>
      <c r="AY192" s="322" t="n">
        <f aca="false">1.25*AK192*AN192</f>
        <v>0</v>
      </c>
      <c r="AZ192" s="323" t="n">
        <f aca="false">AG192*AP192</f>
        <v>0</v>
      </c>
      <c r="BA192" s="319" t="n">
        <f aca="false">AH192*AQ192</f>
        <v>0</v>
      </c>
      <c r="BB192" s="320" t="n">
        <f aca="false">1.25*AJ192*AP192</f>
        <v>0</v>
      </c>
      <c r="BC192" s="320" t="n">
        <f aca="false">1.25*AK192*AQ192</f>
        <v>0</v>
      </c>
      <c r="BD192" s="321" t="n">
        <f aca="false">AG192*AS192</f>
        <v>0</v>
      </c>
      <c r="BE192" s="319" t="n">
        <f aca="false">AH192*AT192</f>
        <v>0</v>
      </c>
      <c r="BF192" s="320" t="n">
        <f aca="false">AJ192*AS192</f>
        <v>0</v>
      </c>
      <c r="BG192" s="322" t="n">
        <f aca="false">AK192*AT192</f>
        <v>0</v>
      </c>
      <c r="BH192" s="324" t="str">
        <f aca="false">IF(BH$24=$AA192,($AG192*$AM192)+($AJ192*$AM192*1.25)+($AH192*$AN192)+($AK192*$AN192*1.25),"")</f>
        <v/>
      </c>
      <c r="BI192" s="325" t="str">
        <f aca="false">IF(BI$24=$AA192,($AG192*$AM192)+($AJ192*$AM192*1.25)+($AH192*$AN192)+($AK192*$AN192*1.25),"")</f>
        <v/>
      </c>
      <c r="BJ192" s="325" t="str">
        <f aca="false">IF(BJ$24=$AA192,($AG192*$AM192)+($AJ192*$AM192*1.25)+($AH192*$AN192)+($AK192*$AN192*1.25),"")</f>
        <v/>
      </c>
      <c r="BK192" s="325" t="n">
        <f aca="false">IF(BK$24=$AA192,($AG192*$AM192)+($AJ192*$AM192*1.25)+($AH192*$AN192)+($AK192*$AN192*1.25),"")</f>
        <v>0</v>
      </c>
      <c r="BL192" s="326" t="str">
        <f aca="false">IF(BL$24=$AA192,($AG192*$AM192)+($AJ192*$AM192*1.25)+($AH192*$AN192)+($AK192*$AN192*1.25),"")</f>
        <v/>
      </c>
      <c r="BM192" s="327" t="str">
        <f aca="false">IF(CONCATENATE(BH192,BI192,BJ192,BK192,BL192)="",1,"")</f>
        <v/>
      </c>
      <c r="BN192" s="328"/>
      <c r="BO192" s="328"/>
      <c r="BP192" s="328"/>
      <c r="BQ192" s="328"/>
      <c r="BR192" s="47"/>
      <c r="BS192" s="127" t="n">
        <f aca="false">(AG192*AM192)+(AH192*AN192)+((AJ192*AM192)+(AK192*AN192)*1.25)</f>
        <v>0</v>
      </c>
      <c r="BT192" s="127" t="n">
        <f aca="false">(AG192*AP192)+(AH192*AQ192)+((AJ192*AP192)+(AK192*AQ192)*1.25)</f>
        <v>0</v>
      </c>
      <c r="BU192" s="329"/>
      <c r="BV192" s="129"/>
    </row>
    <row r="193" customFormat="false" ht="15" hidden="false" customHeight="false" outlineLevel="0" collapsed="false">
      <c r="A193" s="228"/>
      <c r="B193" s="229"/>
      <c r="C193" s="230"/>
      <c r="D193" s="231"/>
      <c r="E193" s="223" t="str">
        <f aca="false">IF(SUM(A193:D193)&gt;0,SUM(A193:D193),"")</f>
        <v/>
      </c>
      <c r="F193" s="224" t="str">
        <f aca="false">AD206</f>
        <v>CALABAZA DEL PEREGRINO INVERNADERO</v>
      </c>
      <c r="G193" s="169"/>
      <c r="H193" s="169"/>
      <c r="I193" s="169"/>
      <c r="J193" s="169"/>
      <c r="K193" s="169"/>
      <c r="L193" s="169"/>
      <c r="M193" s="169"/>
      <c r="N193" s="169"/>
      <c r="O193" s="169"/>
      <c r="P193" s="169"/>
      <c r="Q193" s="169"/>
      <c r="R193" s="3"/>
      <c r="S193" s="3"/>
      <c r="T193" s="3"/>
      <c r="U193" s="3"/>
      <c r="V193" s="3"/>
      <c r="W193" s="3"/>
      <c r="X193" s="3"/>
      <c r="Y193" s="3"/>
      <c r="Z193" s="316" t="str">
        <f aca="false">IF(AF193&gt;0,RANK(AF193,AF$6:AF$422),"")</f>
        <v/>
      </c>
      <c r="AA193" s="134" t="n">
        <f aca="false">'O_MN, PE_UTA_UGM 2024'!N170</f>
        <v>4</v>
      </c>
      <c r="AB193" s="135" t="n">
        <f aca="false">'O_MN, PE_UTA_UGM 2024'!O170</f>
        <v>4</v>
      </c>
      <c r="AC193" s="317" t="n">
        <f aca="false">'O_MN, PE_UTA_UGM 2024'!C170</f>
        <v>182</v>
      </c>
      <c r="AD193" s="293" t="str">
        <f aca="false">IF(AB193=0,'O_MN, PE_UTA_UGM 2024'!F170,CONCATENATE('O_MN, PE_UTA_UGM 2024'!F170," ","INVERNADERO"))</f>
        <v>GUINDILLA INVERNADERO</v>
      </c>
      <c r="AE193" s="89"/>
      <c r="AF193" s="123" t="n">
        <f aca="false">SUM(AG193:AH193)+SUM(AJ193:AK193)</f>
        <v>0</v>
      </c>
      <c r="AG193" s="318" t="n">
        <f aca="false">A180</f>
        <v>0</v>
      </c>
      <c r="AH193" s="319" t="n">
        <f aca="false">B180</f>
        <v>0</v>
      </c>
      <c r="AI193" s="6"/>
      <c r="AJ193" s="320" t="n">
        <f aca="false">C180</f>
        <v>0</v>
      </c>
      <c r="AK193" s="320" t="n">
        <f aca="false">D180</f>
        <v>0</v>
      </c>
      <c r="AL193" s="237" t="s">
        <v>319</v>
      </c>
      <c r="AM193" s="299" t="n">
        <f aca="false">'O_MN, PE_UTA_UGM 2024'!J170</f>
        <v>0</v>
      </c>
      <c r="AN193" s="299" t="n">
        <f aca="false">'O_MN, PE_UTA_UGM 2024'!K170</f>
        <v>80000</v>
      </c>
      <c r="AO193" s="300"/>
      <c r="AP193" s="299" t="n">
        <f aca="false">'O_MN, PE_UTA_UGM 2024'!H170</f>
        <v>0</v>
      </c>
      <c r="AQ193" s="299" t="n">
        <f aca="false">'O_MN, PE_UTA_UGM 2024'!I170</f>
        <v>36060.73</v>
      </c>
      <c r="AR193" s="301"/>
      <c r="AS193" s="302" t="n">
        <f aca="false">'O_MN, PE_UTA_UGM 2024'!L170</f>
        <v>0</v>
      </c>
      <c r="AT193" s="302" t="n">
        <f aca="false">'O_MN, PE_UTA_UGM 2024'!M170</f>
        <v>1.46978</v>
      </c>
      <c r="AU193" s="45"/>
      <c r="AV193" s="321" t="n">
        <f aca="false">AG193*AM193</f>
        <v>0</v>
      </c>
      <c r="AW193" s="319" t="n">
        <f aca="false">AH193*AN193</f>
        <v>0</v>
      </c>
      <c r="AX193" s="320" t="n">
        <f aca="false">1.25*AJ193*AM193</f>
        <v>0</v>
      </c>
      <c r="AY193" s="322" t="n">
        <f aca="false">1.25*AK193*AN193</f>
        <v>0</v>
      </c>
      <c r="AZ193" s="323" t="n">
        <f aca="false">AG193*AP193</f>
        <v>0</v>
      </c>
      <c r="BA193" s="319" t="n">
        <f aca="false">AH193*AQ193</f>
        <v>0</v>
      </c>
      <c r="BB193" s="320" t="n">
        <f aca="false">1.25*AJ193*AP193</f>
        <v>0</v>
      </c>
      <c r="BC193" s="320" t="n">
        <f aca="false">1.25*AK193*AQ193</f>
        <v>0</v>
      </c>
      <c r="BD193" s="321" t="n">
        <f aca="false">AG193*AS193</f>
        <v>0</v>
      </c>
      <c r="BE193" s="319" t="n">
        <f aca="false">AH193*AT193</f>
        <v>0</v>
      </c>
      <c r="BF193" s="320" t="n">
        <f aca="false">AJ193*AS193</f>
        <v>0</v>
      </c>
      <c r="BG193" s="322" t="n">
        <f aca="false">AK193*AT193</f>
        <v>0</v>
      </c>
      <c r="BH193" s="324" t="str">
        <f aca="false">IF(BH$24=$AA193,($AG193*$AM193)+($AJ193*$AM193*1.25)+($AH193*$AN193)+($AK193*$AN193*1.25),"")</f>
        <v/>
      </c>
      <c r="BI193" s="325" t="str">
        <f aca="false">IF(BI$24=$AA193,($AG193*$AM193)+($AJ193*$AM193*1.25)+($AH193*$AN193)+($AK193*$AN193*1.25),"")</f>
        <v/>
      </c>
      <c r="BJ193" s="325" t="str">
        <f aca="false">IF(BJ$24=$AA193,($AG193*$AM193)+($AJ193*$AM193*1.25)+($AH193*$AN193)+($AK193*$AN193*1.25),"")</f>
        <v/>
      </c>
      <c r="BK193" s="325" t="n">
        <f aca="false">IF(BK$24=$AA193,($AG193*$AM193)+($AJ193*$AM193*1.25)+($AH193*$AN193)+($AK193*$AN193*1.25),"")</f>
        <v>0</v>
      </c>
      <c r="BL193" s="326" t="str">
        <f aca="false">IF(BL$24=$AA193,($AG193*$AM193)+($AJ193*$AM193*1.25)+($AH193*$AN193)+($AK193*$AN193*1.25),"")</f>
        <v/>
      </c>
      <c r="BM193" s="327" t="str">
        <f aca="false">IF(CONCATENATE(BH193,BI193,BJ193,BK193,BL193)="",1,"")</f>
        <v/>
      </c>
      <c r="BN193" s="328"/>
      <c r="BO193" s="328"/>
      <c r="BP193" s="328"/>
      <c r="BQ193" s="328"/>
      <c r="BR193" s="47"/>
      <c r="BS193" s="127" t="n">
        <f aca="false">(AG193*AM193)+(AH193*AN193)+((AJ193*AM193)+(AK193*AN193)*1.25)</f>
        <v>0</v>
      </c>
      <c r="BT193" s="127" t="n">
        <f aca="false">(AG193*AP193)+(AH193*AQ193)+((AJ193*AP193)+(AK193*AQ193)*1.25)</f>
        <v>0</v>
      </c>
      <c r="BU193" s="329"/>
      <c r="BV193" s="129"/>
    </row>
    <row r="194" customFormat="false" ht="15" hidden="false" customHeight="false" outlineLevel="0" collapsed="false">
      <c r="A194" s="228"/>
      <c r="B194" s="229"/>
      <c r="C194" s="230"/>
      <c r="D194" s="231"/>
      <c r="E194" s="223" t="str">
        <f aca="false">IF(SUM(A194:D194)&gt;0,SUM(A194:D194),"")</f>
        <v/>
      </c>
      <c r="F194" s="224" t="str">
        <f aca="false">AD207</f>
        <v>BORRAJA</v>
      </c>
      <c r="G194" s="169"/>
      <c r="H194" s="169"/>
      <c r="I194" s="169"/>
      <c r="J194" s="169"/>
      <c r="K194" s="169"/>
      <c r="L194" s="169"/>
      <c r="M194" s="169"/>
      <c r="N194" s="169"/>
      <c r="O194" s="169"/>
      <c r="P194" s="169"/>
      <c r="Q194" s="169"/>
      <c r="R194" s="3"/>
      <c r="S194" s="3"/>
      <c r="T194" s="3"/>
      <c r="U194" s="3"/>
      <c r="V194" s="3"/>
      <c r="W194" s="3"/>
      <c r="X194" s="3"/>
      <c r="Y194" s="3"/>
      <c r="Z194" s="316" t="str">
        <f aca="false">IF(AF194&gt;0,RANK(AF194,AF$6:AF$422),"")</f>
        <v/>
      </c>
      <c r="AA194" s="134" t="n">
        <f aca="false">'O_MN, PE_UTA_UGM 2024'!N171</f>
        <v>4</v>
      </c>
      <c r="AB194" s="135" t="n">
        <f aca="false">'O_MN, PE_UTA_UGM 2024'!O171</f>
        <v>19</v>
      </c>
      <c r="AC194" s="317" t="n">
        <f aca="false">'O_MN, PE_UTA_UGM 2024'!C171</f>
        <v>182</v>
      </c>
      <c r="AD194" s="293" t="str">
        <f aca="false">IF(AB194=0,'O_MN, PE_UTA_UGM 2024'!F171,CONCATENATE('O_MN, PE_UTA_UGM 2024'!F171," ","INVERNADERO"))</f>
        <v>GUINDILLA INVERNADERO</v>
      </c>
      <c r="AE194" s="89"/>
      <c r="AF194" s="123" t="n">
        <f aca="false">SUM(AG194:AH194)+SUM(AJ194:AK194)</f>
        <v>0</v>
      </c>
      <c r="AG194" s="318" t="n">
        <f aca="false">A181</f>
        <v>0</v>
      </c>
      <c r="AH194" s="319" t="n">
        <f aca="false">B181</f>
        <v>0</v>
      </c>
      <c r="AI194" s="6"/>
      <c r="AJ194" s="320" t="n">
        <f aca="false">C181</f>
        <v>0</v>
      </c>
      <c r="AK194" s="320" t="n">
        <f aca="false">D181</f>
        <v>0</v>
      </c>
      <c r="AL194" s="237" t="s">
        <v>320</v>
      </c>
      <c r="AM194" s="299" t="n">
        <f aca="false">'O_MN, PE_UTA_UGM 2024'!J171</f>
        <v>0</v>
      </c>
      <c r="AN194" s="299" t="n">
        <f aca="false">'O_MN, PE_UTA_UGM 2024'!K171</f>
        <v>80000</v>
      </c>
      <c r="AO194" s="300"/>
      <c r="AP194" s="299" t="n">
        <f aca="false">'O_MN, PE_UTA_UGM 2024'!H171</f>
        <v>0</v>
      </c>
      <c r="AQ194" s="299" t="n">
        <f aca="false">'O_MN, PE_UTA_UGM 2024'!I171</f>
        <v>36060.73</v>
      </c>
      <c r="AR194" s="301"/>
      <c r="AS194" s="302" t="n">
        <f aca="false">'O_MN, PE_UTA_UGM 2024'!L171</f>
        <v>0</v>
      </c>
      <c r="AT194" s="302" t="n">
        <f aca="false">'O_MN, PE_UTA_UGM 2024'!M171</f>
        <v>1.46978</v>
      </c>
      <c r="AU194" s="45"/>
      <c r="AV194" s="321" t="n">
        <f aca="false">AG194*AM194</f>
        <v>0</v>
      </c>
      <c r="AW194" s="319" t="n">
        <f aca="false">AH194*AN194</f>
        <v>0</v>
      </c>
      <c r="AX194" s="320" t="n">
        <f aca="false">1.25*AJ194*AM194</f>
        <v>0</v>
      </c>
      <c r="AY194" s="322" t="n">
        <f aca="false">1.25*AK194*AN194</f>
        <v>0</v>
      </c>
      <c r="AZ194" s="323" t="n">
        <f aca="false">AG194*AP194</f>
        <v>0</v>
      </c>
      <c r="BA194" s="319" t="n">
        <f aca="false">AH194*AQ194</f>
        <v>0</v>
      </c>
      <c r="BB194" s="320" t="n">
        <f aca="false">1.25*AJ194*AP194</f>
        <v>0</v>
      </c>
      <c r="BC194" s="320" t="n">
        <f aca="false">1.25*AK194*AQ194</f>
        <v>0</v>
      </c>
      <c r="BD194" s="321" t="n">
        <f aca="false">AG194*AS194</f>
        <v>0</v>
      </c>
      <c r="BE194" s="319" t="n">
        <f aca="false">AH194*AT194</f>
        <v>0</v>
      </c>
      <c r="BF194" s="320" t="n">
        <f aca="false">AJ194*AS194</f>
        <v>0</v>
      </c>
      <c r="BG194" s="322" t="n">
        <f aca="false">AK194*AT194</f>
        <v>0</v>
      </c>
      <c r="BH194" s="324" t="str">
        <f aca="false">IF(BH$24=$AA194,($AG194*$AM194)+($AJ194*$AM194*1.25)+($AH194*$AN194)+($AK194*$AN194*1.25),"")</f>
        <v/>
      </c>
      <c r="BI194" s="325" t="str">
        <f aca="false">IF(BI$24=$AA194,($AG194*$AM194)+($AJ194*$AM194*1.25)+($AH194*$AN194)+($AK194*$AN194*1.25),"")</f>
        <v/>
      </c>
      <c r="BJ194" s="325" t="str">
        <f aca="false">IF(BJ$24=$AA194,($AG194*$AM194)+($AJ194*$AM194*1.25)+($AH194*$AN194)+($AK194*$AN194*1.25),"")</f>
        <v/>
      </c>
      <c r="BK194" s="325" t="n">
        <f aca="false">IF(BK$24=$AA194,($AG194*$AM194)+($AJ194*$AM194*1.25)+($AH194*$AN194)+($AK194*$AN194*1.25),"")</f>
        <v>0</v>
      </c>
      <c r="BL194" s="326" t="str">
        <f aca="false">IF(BL$24=$AA194,($AG194*$AM194)+($AJ194*$AM194*1.25)+($AH194*$AN194)+($AK194*$AN194*1.25),"")</f>
        <v/>
      </c>
      <c r="BM194" s="327" t="str">
        <f aca="false">IF(CONCATENATE(BH194,BI194,BJ194,BK194,BL194)="",1,"")</f>
        <v/>
      </c>
      <c r="BN194" s="328"/>
      <c r="BO194" s="328"/>
      <c r="BP194" s="328"/>
      <c r="BQ194" s="328"/>
      <c r="BR194" s="47"/>
      <c r="BS194" s="127" t="n">
        <f aca="false">(AG194*AM194)+(AH194*AN194)+((AJ194*AM194)+(AK194*AN194)*1.25)</f>
        <v>0</v>
      </c>
      <c r="BT194" s="127" t="n">
        <f aca="false">(AG194*AP194)+(AH194*AQ194)+((AJ194*AP194)+(AK194*AQ194)*1.25)</f>
        <v>0</v>
      </c>
      <c r="BU194" s="329"/>
      <c r="BV194" s="129"/>
    </row>
    <row r="195" customFormat="false" ht="15" hidden="false" customHeight="false" outlineLevel="0" collapsed="false">
      <c r="A195" s="228"/>
      <c r="B195" s="229"/>
      <c r="C195" s="230"/>
      <c r="D195" s="231"/>
      <c r="E195" s="223" t="str">
        <f aca="false">IF(SUM(A195:D195)&gt;0,SUM(A195:D195),"")</f>
        <v/>
      </c>
      <c r="F195" s="224" t="str">
        <f aca="false">AD208</f>
        <v>BORRAJA INVERNADERO</v>
      </c>
      <c r="G195" s="169"/>
      <c r="H195" s="169"/>
      <c r="I195" s="169"/>
      <c r="J195" s="169"/>
      <c r="K195" s="169"/>
      <c r="L195" s="169"/>
      <c r="M195" s="169"/>
      <c r="N195" s="169"/>
      <c r="O195" s="169"/>
      <c r="P195" s="169"/>
      <c r="Q195" s="169"/>
      <c r="R195" s="3"/>
      <c r="S195" s="3"/>
      <c r="T195" s="3"/>
      <c r="U195" s="3"/>
      <c r="V195" s="3"/>
      <c r="W195" s="3"/>
      <c r="X195" s="3"/>
      <c r="Y195" s="3"/>
      <c r="Z195" s="316" t="str">
        <f aca="false">IF(AF195&gt;0,RANK(AF195,AF$6:AF$422),"")</f>
        <v/>
      </c>
      <c r="AA195" s="134" t="n">
        <f aca="false">'O_MN, PE_UTA_UGM 2024'!N172</f>
        <v>4</v>
      </c>
      <c r="AB195" s="135" t="n">
        <f aca="false">'O_MN, PE_UTA_UGM 2024'!O172</f>
        <v>0</v>
      </c>
      <c r="AC195" s="317" t="n">
        <f aca="false">'O_MN, PE_UTA_UGM 2024'!C172</f>
        <v>183</v>
      </c>
      <c r="AD195" s="293" t="str">
        <f aca="false">IF(AB195=0,'O_MN, PE_UTA_UGM 2024'!F172,CONCATENATE('O_MN, PE_UTA_UGM 2024'!F172," ","INVERNADERO"))</f>
        <v>ESPINACA</v>
      </c>
      <c r="AE195" s="89"/>
      <c r="AF195" s="123" t="n">
        <f aca="false">SUM(AG195:AH195)+SUM(AJ195:AK195)</f>
        <v>0</v>
      </c>
      <c r="AG195" s="318" t="n">
        <f aca="false">A182</f>
        <v>0</v>
      </c>
      <c r="AH195" s="319" t="n">
        <f aca="false">B182</f>
        <v>0</v>
      </c>
      <c r="AI195" s="6"/>
      <c r="AJ195" s="320" t="n">
        <f aca="false">C182</f>
        <v>0</v>
      </c>
      <c r="AK195" s="320" t="n">
        <f aca="false">D182</f>
        <v>0</v>
      </c>
      <c r="AL195" s="237" t="s">
        <v>321</v>
      </c>
      <c r="AM195" s="299" t="n">
        <f aca="false">'O_MN, PE_UTA_UGM 2024'!J172</f>
        <v>575</v>
      </c>
      <c r="AN195" s="299" t="n">
        <f aca="false">'O_MN, PE_UTA_UGM 2024'!K172</f>
        <v>8500</v>
      </c>
      <c r="AO195" s="300"/>
      <c r="AP195" s="299" t="n">
        <f aca="false">'O_MN, PE_UTA_UGM 2024'!H172</f>
        <v>360.61</v>
      </c>
      <c r="AQ195" s="299" t="n">
        <f aca="false">'O_MN, PE_UTA_UGM 2024'!I172</f>
        <v>1352.28</v>
      </c>
      <c r="AR195" s="301"/>
      <c r="AS195" s="302" t="n">
        <f aca="false">'O_MN, PE_UTA_UGM 2024'!L172</f>
        <v>0.0147</v>
      </c>
      <c r="AT195" s="302" t="n">
        <f aca="false">'O_MN, PE_UTA_UGM 2024'!M172</f>
        <v>0.05512</v>
      </c>
      <c r="AU195" s="45"/>
      <c r="AV195" s="321" t="n">
        <f aca="false">AG195*AM195</f>
        <v>0</v>
      </c>
      <c r="AW195" s="319" t="n">
        <f aca="false">AH195*AN195</f>
        <v>0</v>
      </c>
      <c r="AX195" s="320" t="n">
        <f aca="false">1.25*AJ195*AM195</f>
        <v>0</v>
      </c>
      <c r="AY195" s="322" t="n">
        <f aca="false">1.25*AK195*AN195</f>
        <v>0</v>
      </c>
      <c r="AZ195" s="323" t="n">
        <f aca="false">AG195*AP195</f>
        <v>0</v>
      </c>
      <c r="BA195" s="319" t="n">
        <f aca="false">AH195*AQ195</f>
        <v>0</v>
      </c>
      <c r="BB195" s="320" t="n">
        <f aca="false">1.25*AJ195*AP195</f>
        <v>0</v>
      </c>
      <c r="BC195" s="320" t="n">
        <f aca="false">1.25*AK195*AQ195</f>
        <v>0</v>
      </c>
      <c r="BD195" s="321" t="n">
        <f aca="false">AG195*AS195</f>
        <v>0</v>
      </c>
      <c r="BE195" s="319" t="n">
        <f aca="false">AH195*AT195</f>
        <v>0</v>
      </c>
      <c r="BF195" s="320" t="n">
        <f aca="false">AJ195*AS195</f>
        <v>0</v>
      </c>
      <c r="BG195" s="322" t="n">
        <f aca="false">AK195*AT195</f>
        <v>0</v>
      </c>
      <c r="BH195" s="324" t="str">
        <f aca="false">IF(BH$24=$AA195,($AG195*$AM195)+($AJ195*$AM195*1.25)+($AH195*$AN195)+($AK195*$AN195*1.25),"")</f>
        <v/>
      </c>
      <c r="BI195" s="325" t="str">
        <f aca="false">IF(BI$24=$AA195,($AG195*$AM195)+($AJ195*$AM195*1.25)+($AH195*$AN195)+($AK195*$AN195*1.25),"")</f>
        <v/>
      </c>
      <c r="BJ195" s="325" t="str">
        <f aca="false">IF(BJ$24=$AA195,($AG195*$AM195)+($AJ195*$AM195*1.25)+($AH195*$AN195)+($AK195*$AN195*1.25),"")</f>
        <v/>
      </c>
      <c r="BK195" s="325" t="n">
        <f aca="false">IF(BK$24=$AA195,($AG195*$AM195)+($AJ195*$AM195*1.25)+($AH195*$AN195)+($AK195*$AN195*1.25),"")</f>
        <v>0</v>
      </c>
      <c r="BL195" s="326" t="str">
        <f aca="false">IF(BL$24=$AA195,($AG195*$AM195)+($AJ195*$AM195*1.25)+($AH195*$AN195)+($AK195*$AN195*1.25),"")</f>
        <v/>
      </c>
      <c r="BM195" s="327" t="str">
        <f aca="false">IF(CONCATENATE(BH195,BI195,BJ195,BK195,BL195)="",1,"")</f>
        <v/>
      </c>
      <c r="BN195" s="328"/>
      <c r="BO195" s="328"/>
      <c r="BP195" s="328"/>
      <c r="BQ195" s="328"/>
      <c r="BR195" s="47"/>
      <c r="BS195" s="127" t="n">
        <f aca="false">(AG195*AM195)+(AH195*AN195)+((AJ195*AM195)+(AK195*AN195)*1.25)</f>
        <v>0</v>
      </c>
      <c r="BT195" s="127" t="n">
        <f aca="false">(AG195*AP195)+(AH195*AQ195)+((AJ195*AP195)+(AK195*AQ195)*1.25)</f>
        <v>0</v>
      </c>
      <c r="BU195" s="329"/>
      <c r="BV195" s="129"/>
    </row>
    <row r="196" customFormat="false" ht="15" hidden="false" customHeight="false" outlineLevel="0" collapsed="false">
      <c r="A196" s="228"/>
      <c r="B196" s="229"/>
      <c r="C196" s="230"/>
      <c r="D196" s="231"/>
      <c r="E196" s="223" t="str">
        <f aca="false">IF(SUM(A196:D196)&gt;0,SUM(A196:D196),"")</f>
        <v/>
      </c>
      <c r="F196" s="224" t="str">
        <f aca="false">AD209</f>
        <v>BORRAJA INVERNADERO</v>
      </c>
      <c r="G196" s="169"/>
      <c r="H196" s="169"/>
      <c r="I196" s="169"/>
      <c r="J196" s="169"/>
      <c r="K196" s="169"/>
      <c r="L196" s="169"/>
      <c r="M196" s="169"/>
      <c r="N196" s="169"/>
      <c r="O196" s="169"/>
      <c r="P196" s="169"/>
      <c r="Q196" s="169"/>
      <c r="R196" s="3"/>
      <c r="S196" s="3"/>
      <c r="T196" s="3"/>
      <c r="U196" s="3"/>
      <c r="V196" s="3"/>
      <c r="W196" s="3"/>
      <c r="X196" s="3"/>
      <c r="Y196" s="3"/>
      <c r="Z196" s="316" t="str">
        <f aca="false">IF(AF196&gt;0,RANK(AF196,AF$6:AF$422),"")</f>
        <v/>
      </c>
      <c r="AA196" s="134" t="n">
        <f aca="false">'O_MN, PE_UTA_UGM 2024'!N173</f>
        <v>4</v>
      </c>
      <c r="AB196" s="135" t="n">
        <f aca="false">'O_MN, PE_UTA_UGM 2024'!O173</f>
        <v>4</v>
      </c>
      <c r="AC196" s="317" t="n">
        <f aca="false">'O_MN, PE_UTA_UGM 2024'!C173</f>
        <v>183</v>
      </c>
      <c r="AD196" s="293" t="str">
        <f aca="false">IF(AB196=0,'O_MN, PE_UTA_UGM 2024'!F173,CONCATENATE('O_MN, PE_UTA_UGM 2024'!F173," ","INVERNADERO"))</f>
        <v>ESPINACA INVERNADERO</v>
      </c>
      <c r="AE196" s="89"/>
      <c r="AF196" s="123" t="n">
        <f aca="false">SUM(AG196:AH196)+SUM(AJ196:AK196)</f>
        <v>0</v>
      </c>
      <c r="AG196" s="318" t="n">
        <f aca="false">A183</f>
        <v>0</v>
      </c>
      <c r="AH196" s="319" t="n">
        <f aca="false">B183</f>
        <v>0</v>
      </c>
      <c r="AI196" s="6"/>
      <c r="AJ196" s="320" t="n">
        <f aca="false">C183</f>
        <v>0</v>
      </c>
      <c r="AK196" s="320" t="n">
        <f aca="false">D183</f>
        <v>0</v>
      </c>
      <c r="AL196" s="237" t="s">
        <v>322</v>
      </c>
      <c r="AM196" s="299" t="n">
        <f aca="false">'O_MN, PE_UTA_UGM 2024'!J173</f>
        <v>0</v>
      </c>
      <c r="AN196" s="299" t="n">
        <f aca="false">'O_MN, PE_UTA_UGM 2024'!K173</f>
        <v>80000</v>
      </c>
      <c r="AO196" s="300"/>
      <c r="AP196" s="299" t="n">
        <f aca="false">'O_MN, PE_UTA_UGM 2024'!H173</f>
        <v>0</v>
      </c>
      <c r="AQ196" s="299" t="n">
        <f aca="false">'O_MN, PE_UTA_UGM 2024'!I173</f>
        <v>36060.73</v>
      </c>
      <c r="AR196" s="301"/>
      <c r="AS196" s="302" t="n">
        <f aca="false">'O_MN, PE_UTA_UGM 2024'!L173</f>
        <v>0</v>
      </c>
      <c r="AT196" s="302" t="n">
        <f aca="false">'O_MN, PE_UTA_UGM 2024'!M173</f>
        <v>1.46978</v>
      </c>
      <c r="AU196" s="45"/>
      <c r="AV196" s="321" t="n">
        <f aca="false">AG196*AM196</f>
        <v>0</v>
      </c>
      <c r="AW196" s="319" t="n">
        <f aca="false">AH196*AN196</f>
        <v>0</v>
      </c>
      <c r="AX196" s="320" t="n">
        <f aca="false">1.25*AJ196*AM196</f>
        <v>0</v>
      </c>
      <c r="AY196" s="322" t="n">
        <f aca="false">1.25*AK196*AN196</f>
        <v>0</v>
      </c>
      <c r="AZ196" s="323" t="n">
        <f aca="false">AG196*AP196</f>
        <v>0</v>
      </c>
      <c r="BA196" s="319" t="n">
        <f aca="false">AH196*AQ196</f>
        <v>0</v>
      </c>
      <c r="BB196" s="320" t="n">
        <f aca="false">1.25*AJ196*AP196</f>
        <v>0</v>
      </c>
      <c r="BC196" s="320" t="n">
        <f aca="false">1.25*AK196*AQ196</f>
        <v>0</v>
      </c>
      <c r="BD196" s="321" t="n">
        <f aca="false">AG196*AS196</f>
        <v>0</v>
      </c>
      <c r="BE196" s="319" t="n">
        <f aca="false">AH196*AT196</f>
        <v>0</v>
      </c>
      <c r="BF196" s="320" t="n">
        <f aca="false">AJ196*AS196</f>
        <v>0</v>
      </c>
      <c r="BG196" s="322" t="n">
        <f aca="false">AK196*AT196</f>
        <v>0</v>
      </c>
      <c r="BH196" s="324" t="str">
        <f aca="false">IF(BH$24=$AA196,($AG196*$AM196)+($AJ196*$AM196*1.25)+($AH196*$AN196)+($AK196*$AN196*1.25),"")</f>
        <v/>
      </c>
      <c r="BI196" s="325" t="str">
        <f aca="false">IF(BI$24=$AA196,($AG196*$AM196)+($AJ196*$AM196*1.25)+($AH196*$AN196)+($AK196*$AN196*1.25),"")</f>
        <v/>
      </c>
      <c r="BJ196" s="325" t="str">
        <f aca="false">IF(BJ$24=$AA196,($AG196*$AM196)+($AJ196*$AM196*1.25)+($AH196*$AN196)+($AK196*$AN196*1.25),"")</f>
        <v/>
      </c>
      <c r="BK196" s="325" t="n">
        <f aca="false">IF(BK$24=$AA196,($AG196*$AM196)+($AJ196*$AM196*1.25)+($AH196*$AN196)+($AK196*$AN196*1.25),"")</f>
        <v>0</v>
      </c>
      <c r="BL196" s="326" t="str">
        <f aca="false">IF(BL$24=$AA196,($AG196*$AM196)+($AJ196*$AM196*1.25)+($AH196*$AN196)+($AK196*$AN196*1.25),"")</f>
        <v/>
      </c>
      <c r="BM196" s="327" t="str">
        <f aca="false">IF(CONCATENATE(BH196,BI196,BJ196,BK196,BL196)="",1,"")</f>
        <v/>
      </c>
      <c r="BN196" s="328"/>
      <c r="BO196" s="328"/>
      <c r="BP196" s="328"/>
      <c r="BQ196" s="328"/>
      <c r="BR196" s="47"/>
      <c r="BS196" s="127" t="n">
        <f aca="false">(AG196*AM196)+(AH196*AN196)+((AJ196*AM196)+(AK196*AN196)*1.25)</f>
        <v>0</v>
      </c>
      <c r="BT196" s="127" t="n">
        <f aca="false">(AG196*AP196)+(AH196*AQ196)+((AJ196*AP196)+(AK196*AQ196)*1.25)</f>
        <v>0</v>
      </c>
      <c r="BU196" s="329"/>
      <c r="BV196" s="129"/>
    </row>
    <row r="197" customFormat="false" ht="15" hidden="false" customHeight="false" outlineLevel="0" collapsed="false">
      <c r="A197" s="228"/>
      <c r="B197" s="229"/>
      <c r="C197" s="230"/>
      <c r="D197" s="231"/>
      <c r="E197" s="223" t="str">
        <f aca="false">IF(SUM(A197:D197)&gt;0,SUM(A197:D197),"")</f>
        <v/>
      </c>
      <c r="F197" s="224" t="str">
        <f aca="false">AD210</f>
        <v>ESCAROLA</v>
      </c>
      <c r="G197" s="169"/>
      <c r="H197" s="169"/>
      <c r="I197" s="169"/>
      <c r="J197" s="169"/>
      <c r="K197" s="169"/>
      <c r="L197" s="169"/>
      <c r="M197" s="169"/>
      <c r="N197" s="169"/>
      <c r="O197" s="169"/>
      <c r="P197" s="169"/>
      <c r="Q197" s="169"/>
      <c r="R197" s="3"/>
      <c r="S197" s="3"/>
      <c r="T197" s="3"/>
      <c r="U197" s="3"/>
      <c r="V197" s="3"/>
      <c r="W197" s="3"/>
      <c r="X197" s="3"/>
      <c r="Y197" s="3"/>
      <c r="Z197" s="316" t="str">
        <f aca="false">IF(AF197&gt;0,RANK(AF197,AF$6:AF$422),"")</f>
        <v/>
      </c>
      <c r="AA197" s="134" t="n">
        <f aca="false">'O_MN, PE_UTA_UGM 2024'!N174</f>
        <v>4</v>
      </c>
      <c r="AB197" s="135" t="n">
        <f aca="false">'O_MN, PE_UTA_UGM 2024'!O174</f>
        <v>19</v>
      </c>
      <c r="AC197" s="317" t="n">
        <f aca="false">'O_MN, PE_UTA_UGM 2024'!C174</f>
        <v>183</v>
      </c>
      <c r="AD197" s="293" t="str">
        <f aca="false">IF(AB197=0,'O_MN, PE_UTA_UGM 2024'!F174,CONCATENATE('O_MN, PE_UTA_UGM 2024'!F174," ","INVERNADERO"))</f>
        <v>ESPINACA INVERNADERO</v>
      </c>
      <c r="AE197" s="89"/>
      <c r="AF197" s="123" t="n">
        <f aca="false">SUM(AG197:AH197)+SUM(AJ197:AK197)</f>
        <v>0</v>
      </c>
      <c r="AG197" s="318" t="n">
        <f aca="false">A184</f>
        <v>0</v>
      </c>
      <c r="AH197" s="319" t="n">
        <f aca="false">B184</f>
        <v>0</v>
      </c>
      <c r="AI197" s="6"/>
      <c r="AJ197" s="320" t="n">
        <f aca="false">C184</f>
        <v>0</v>
      </c>
      <c r="AK197" s="320" t="n">
        <f aca="false">D184</f>
        <v>0</v>
      </c>
      <c r="AL197" s="237" t="s">
        <v>323</v>
      </c>
      <c r="AM197" s="299" t="n">
        <f aca="false">'O_MN, PE_UTA_UGM 2024'!J174</f>
        <v>0</v>
      </c>
      <c r="AN197" s="299" t="n">
        <f aca="false">'O_MN, PE_UTA_UGM 2024'!K174</f>
        <v>80000</v>
      </c>
      <c r="AO197" s="300"/>
      <c r="AP197" s="299" t="n">
        <f aca="false">'O_MN, PE_UTA_UGM 2024'!H174</f>
        <v>0</v>
      </c>
      <c r="AQ197" s="299" t="n">
        <f aca="false">'O_MN, PE_UTA_UGM 2024'!I174</f>
        <v>36060.73</v>
      </c>
      <c r="AR197" s="301"/>
      <c r="AS197" s="302" t="n">
        <f aca="false">'O_MN, PE_UTA_UGM 2024'!L174</f>
        <v>0</v>
      </c>
      <c r="AT197" s="302" t="n">
        <f aca="false">'O_MN, PE_UTA_UGM 2024'!M174</f>
        <v>1.46978</v>
      </c>
      <c r="AU197" s="45"/>
      <c r="AV197" s="321" t="n">
        <f aca="false">AG197*AM197</f>
        <v>0</v>
      </c>
      <c r="AW197" s="319" t="n">
        <f aca="false">AH197*AN197</f>
        <v>0</v>
      </c>
      <c r="AX197" s="320" t="n">
        <f aca="false">1.25*AJ197*AM197</f>
        <v>0</v>
      </c>
      <c r="AY197" s="322" t="n">
        <f aca="false">1.25*AK197*AN197</f>
        <v>0</v>
      </c>
      <c r="AZ197" s="323" t="n">
        <f aca="false">AG197*AP197</f>
        <v>0</v>
      </c>
      <c r="BA197" s="319" t="n">
        <f aca="false">AH197*AQ197</f>
        <v>0</v>
      </c>
      <c r="BB197" s="320" t="n">
        <f aca="false">1.25*AJ197*AP197</f>
        <v>0</v>
      </c>
      <c r="BC197" s="320" t="n">
        <f aca="false">1.25*AK197*AQ197</f>
        <v>0</v>
      </c>
      <c r="BD197" s="321" t="n">
        <f aca="false">AG197*AS197</f>
        <v>0</v>
      </c>
      <c r="BE197" s="319" t="n">
        <f aca="false">AH197*AT197</f>
        <v>0</v>
      </c>
      <c r="BF197" s="320" t="n">
        <f aca="false">AJ197*AS197</f>
        <v>0</v>
      </c>
      <c r="BG197" s="322" t="n">
        <f aca="false">AK197*AT197</f>
        <v>0</v>
      </c>
      <c r="BH197" s="324" t="str">
        <f aca="false">IF(BH$24=$AA197,($AG197*$AM197)+($AJ197*$AM197*1.25)+($AH197*$AN197)+($AK197*$AN197*1.25),"")</f>
        <v/>
      </c>
      <c r="BI197" s="325" t="str">
        <f aca="false">IF(BI$24=$AA197,($AG197*$AM197)+($AJ197*$AM197*1.25)+($AH197*$AN197)+($AK197*$AN197*1.25),"")</f>
        <v/>
      </c>
      <c r="BJ197" s="325" t="str">
        <f aca="false">IF(BJ$24=$AA197,($AG197*$AM197)+($AJ197*$AM197*1.25)+($AH197*$AN197)+($AK197*$AN197*1.25),"")</f>
        <v/>
      </c>
      <c r="BK197" s="325" t="n">
        <f aca="false">IF(BK$24=$AA197,($AG197*$AM197)+($AJ197*$AM197*1.25)+($AH197*$AN197)+($AK197*$AN197*1.25),"")</f>
        <v>0</v>
      </c>
      <c r="BL197" s="326" t="str">
        <f aca="false">IF(BL$24=$AA197,($AG197*$AM197)+($AJ197*$AM197*1.25)+($AH197*$AN197)+($AK197*$AN197*1.25),"")</f>
        <v/>
      </c>
      <c r="BM197" s="327" t="str">
        <f aca="false">IF(CONCATENATE(BH197,BI197,BJ197,BK197,BL197)="",1,"")</f>
        <v/>
      </c>
      <c r="BN197" s="328"/>
      <c r="BO197" s="328"/>
      <c r="BP197" s="328"/>
      <c r="BQ197" s="328"/>
      <c r="BR197" s="47"/>
      <c r="BS197" s="127" t="n">
        <f aca="false">(AG197*AM197)+(AH197*AN197)+((AJ197*AM197)+(AK197*AN197)*1.25)</f>
        <v>0</v>
      </c>
      <c r="BT197" s="127" t="n">
        <f aca="false">(AG197*AP197)+(AH197*AQ197)+((AJ197*AP197)+(AK197*AQ197)*1.25)</f>
        <v>0</v>
      </c>
      <c r="BU197" s="329"/>
      <c r="BV197" s="129"/>
    </row>
    <row r="198" customFormat="false" ht="15" hidden="false" customHeight="false" outlineLevel="0" collapsed="false">
      <c r="A198" s="228"/>
      <c r="B198" s="229"/>
      <c r="C198" s="230"/>
      <c r="D198" s="231"/>
      <c r="E198" s="223" t="str">
        <f aca="false">IF(SUM(A198:D198)&gt;0,SUM(A198:D198),"")</f>
        <v/>
      </c>
      <c r="F198" s="224" t="str">
        <f aca="false">AD211</f>
        <v>ESCAROLA INVERNADERO</v>
      </c>
      <c r="G198" s="169"/>
      <c r="H198" s="169"/>
      <c r="I198" s="169"/>
      <c r="J198" s="169"/>
      <c r="K198" s="169"/>
      <c r="L198" s="169"/>
      <c r="M198" s="169"/>
      <c r="N198" s="169"/>
      <c r="O198" s="169"/>
      <c r="P198" s="169"/>
      <c r="Q198" s="169"/>
      <c r="R198" s="3"/>
      <c r="S198" s="3"/>
      <c r="T198" s="3"/>
      <c r="U198" s="3"/>
      <c r="V198" s="3"/>
      <c r="W198" s="3"/>
      <c r="X198" s="3"/>
      <c r="Y198" s="3"/>
      <c r="Z198" s="316" t="str">
        <f aca="false">IF(AF198&gt;0,RANK(AF198,AF$6:AF$422),"")</f>
        <v/>
      </c>
      <c r="AA198" s="134" t="n">
        <f aca="false">'O_MN, PE_UTA_UGM 2024'!N175</f>
        <v>4</v>
      </c>
      <c r="AB198" s="135" t="n">
        <f aca="false">'O_MN, PE_UTA_UGM 2024'!O175</f>
        <v>0</v>
      </c>
      <c r="AC198" s="317" t="n">
        <f aca="false">'O_MN, PE_UTA_UGM 2024'!C175</f>
        <v>184</v>
      </c>
      <c r="AD198" s="293" t="str">
        <f aca="false">IF(AB198=0,'O_MN, PE_UTA_UGM 2024'!F175,CONCATENATE('O_MN, PE_UTA_UGM 2024'!F175," ","INVERNADERO"))</f>
        <v>CARDO</v>
      </c>
      <c r="AE198" s="89"/>
      <c r="AF198" s="123" t="n">
        <f aca="false">SUM(AG198:AH198)+SUM(AJ198:AK198)</f>
        <v>0</v>
      </c>
      <c r="AG198" s="318" t="n">
        <f aca="false">A185</f>
        <v>0</v>
      </c>
      <c r="AH198" s="319" t="n">
        <f aca="false">B185</f>
        <v>0</v>
      </c>
      <c r="AI198" s="6"/>
      <c r="AJ198" s="320" t="n">
        <f aca="false">C185</f>
        <v>0</v>
      </c>
      <c r="AK198" s="320" t="n">
        <f aca="false">D185</f>
        <v>0</v>
      </c>
      <c r="AL198" s="237" t="s">
        <v>324</v>
      </c>
      <c r="AM198" s="299" t="n">
        <f aca="false">'O_MN, PE_UTA_UGM 2024'!J175</f>
        <v>575</v>
      </c>
      <c r="AN198" s="299" t="n">
        <f aca="false">'O_MN, PE_UTA_UGM 2024'!K175</f>
        <v>5200</v>
      </c>
      <c r="AO198" s="300"/>
      <c r="AP198" s="299" t="n">
        <f aca="false">'O_MN, PE_UTA_UGM 2024'!H175</f>
        <v>360.61</v>
      </c>
      <c r="AQ198" s="299" t="n">
        <f aca="false">'O_MN, PE_UTA_UGM 2024'!I175</f>
        <v>1352.28</v>
      </c>
      <c r="AR198" s="301"/>
      <c r="AS198" s="302" t="n">
        <f aca="false">'O_MN, PE_UTA_UGM 2024'!L175</f>
        <v>0.0147</v>
      </c>
      <c r="AT198" s="302" t="n">
        <f aca="false">'O_MN, PE_UTA_UGM 2024'!M175</f>
        <v>0.05512</v>
      </c>
      <c r="AU198" s="45"/>
      <c r="AV198" s="321" t="n">
        <f aca="false">AG198*AM198</f>
        <v>0</v>
      </c>
      <c r="AW198" s="319" t="n">
        <f aca="false">AH198*AN198</f>
        <v>0</v>
      </c>
      <c r="AX198" s="320" t="n">
        <f aca="false">1.25*AJ198*AM198</f>
        <v>0</v>
      </c>
      <c r="AY198" s="322" t="n">
        <f aca="false">1.25*AK198*AN198</f>
        <v>0</v>
      </c>
      <c r="AZ198" s="323" t="n">
        <f aca="false">AG198*AP198</f>
        <v>0</v>
      </c>
      <c r="BA198" s="319" t="n">
        <f aca="false">AH198*AQ198</f>
        <v>0</v>
      </c>
      <c r="BB198" s="320" t="n">
        <f aca="false">1.25*AJ198*AP198</f>
        <v>0</v>
      </c>
      <c r="BC198" s="320" t="n">
        <f aca="false">1.25*AK198*AQ198</f>
        <v>0</v>
      </c>
      <c r="BD198" s="321" t="n">
        <f aca="false">AG198*AS198</f>
        <v>0</v>
      </c>
      <c r="BE198" s="319" t="n">
        <f aca="false">AH198*AT198</f>
        <v>0</v>
      </c>
      <c r="BF198" s="320" t="n">
        <f aca="false">AJ198*AS198</f>
        <v>0</v>
      </c>
      <c r="BG198" s="322" t="n">
        <f aca="false">AK198*AT198</f>
        <v>0</v>
      </c>
      <c r="BH198" s="324" t="str">
        <f aca="false">IF(BH$24=$AA198,($AG198*$AM198)+($AJ198*$AM198*1.25)+($AH198*$AN198)+($AK198*$AN198*1.25),"")</f>
        <v/>
      </c>
      <c r="BI198" s="325" t="str">
        <f aca="false">IF(BI$24=$AA198,($AG198*$AM198)+($AJ198*$AM198*1.25)+($AH198*$AN198)+($AK198*$AN198*1.25),"")</f>
        <v/>
      </c>
      <c r="BJ198" s="325" t="str">
        <f aca="false">IF(BJ$24=$AA198,($AG198*$AM198)+($AJ198*$AM198*1.25)+($AH198*$AN198)+($AK198*$AN198*1.25),"")</f>
        <v/>
      </c>
      <c r="BK198" s="325" t="n">
        <f aca="false">IF(BK$24=$AA198,($AG198*$AM198)+($AJ198*$AM198*1.25)+($AH198*$AN198)+($AK198*$AN198*1.25),"")</f>
        <v>0</v>
      </c>
      <c r="BL198" s="326" t="str">
        <f aca="false">IF(BL$24=$AA198,($AG198*$AM198)+($AJ198*$AM198*1.25)+($AH198*$AN198)+($AK198*$AN198*1.25),"")</f>
        <v/>
      </c>
      <c r="BM198" s="327" t="str">
        <f aca="false">IF(CONCATENATE(BH198,BI198,BJ198,BK198,BL198)="",1,"")</f>
        <v/>
      </c>
      <c r="BN198" s="328"/>
      <c r="BO198" s="328"/>
      <c r="BP198" s="328"/>
      <c r="BQ198" s="328"/>
      <c r="BR198" s="47"/>
      <c r="BS198" s="127" t="n">
        <f aca="false">(AG198*AM198)+(AH198*AN198)+((AJ198*AM198)+(AK198*AN198)*1.25)</f>
        <v>0</v>
      </c>
      <c r="BT198" s="127" t="n">
        <f aca="false">(AG198*AP198)+(AH198*AQ198)+((AJ198*AP198)+(AK198*AQ198)*1.25)</f>
        <v>0</v>
      </c>
      <c r="BU198" s="329"/>
      <c r="BV198" s="129"/>
    </row>
    <row r="199" customFormat="false" ht="15" hidden="false" customHeight="false" outlineLevel="0" collapsed="false">
      <c r="A199" s="228"/>
      <c r="B199" s="229"/>
      <c r="C199" s="230"/>
      <c r="D199" s="231"/>
      <c r="E199" s="223" t="str">
        <f aca="false">IF(SUM(A199:D199)&gt;0,SUM(A199:D199),"")</f>
        <v/>
      </c>
      <c r="F199" s="224" t="str">
        <f aca="false">AD212</f>
        <v>ESCAROLA INVERNADERO</v>
      </c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3"/>
      <c r="S199" s="3"/>
      <c r="T199" s="3"/>
      <c r="U199" s="3"/>
      <c r="V199" s="3"/>
      <c r="W199" s="3"/>
      <c r="X199" s="3"/>
      <c r="Y199" s="3"/>
      <c r="Z199" s="316" t="str">
        <f aca="false">IF(AF199&gt;0,RANK(AF199,AF$6:AF$422),"")</f>
        <v/>
      </c>
      <c r="AA199" s="134" t="n">
        <f aca="false">'O_MN, PE_UTA_UGM 2024'!N176</f>
        <v>4</v>
      </c>
      <c r="AB199" s="135" t="n">
        <f aca="false">'O_MN, PE_UTA_UGM 2024'!O176</f>
        <v>4</v>
      </c>
      <c r="AC199" s="317" t="n">
        <f aca="false">'O_MN, PE_UTA_UGM 2024'!C176</f>
        <v>184</v>
      </c>
      <c r="AD199" s="293" t="str">
        <f aca="false">IF(AB199=0,'O_MN, PE_UTA_UGM 2024'!F176,CONCATENATE('O_MN, PE_UTA_UGM 2024'!F176," ","INVERNADERO"))</f>
        <v>CARDO INVERNADERO</v>
      </c>
      <c r="AE199" s="89"/>
      <c r="AF199" s="123" t="n">
        <f aca="false">SUM(AG199:AH199)+SUM(AJ199:AK199)</f>
        <v>0</v>
      </c>
      <c r="AG199" s="318" t="n">
        <f aca="false">A186</f>
        <v>0</v>
      </c>
      <c r="AH199" s="319" t="n">
        <f aca="false">B186</f>
        <v>0</v>
      </c>
      <c r="AI199" s="6"/>
      <c r="AJ199" s="320" t="n">
        <f aca="false">C186</f>
        <v>0</v>
      </c>
      <c r="AK199" s="320" t="n">
        <f aca="false">D186</f>
        <v>0</v>
      </c>
      <c r="AL199" s="237" t="s">
        <v>325</v>
      </c>
      <c r="AM199" s="299" t="n">
        <f aca="false">'O_MN, PE_UTA_UGM 2024'!J176</f>
        <v>0</v>
      </c>
      <c r="AN199" s="299" t="n">
        <f aca="false">'O_MN, PE_UTA_UGM 2024'!K176</f>
        <v>80000</v>
      </c>
      <c r="AO199" s="300"/>
      <c r="AP199" s="299" t="n">
        <f aca="false">'O_MN, PE_UTA_UGM 2024'!H176</f>
        <v>0</v>
      </c>
      <c r="AQ199" s="299" t="n">
        <f aca="false">'O_MN, PE_UTA_UGM 2024'!I176</f>
        <v>36060.73</v>
      </c>
      <c r="AR199" s="301"/>
      <c r="AS199" s="302" t="n">
        <f aca="false">'O_MN, PE_UTA_UGM 2024'!L176</f>
        <v>0</v>
      </c>
      <c r="AT199" s="302" t="n">
        <f aca="false">'O_MN, PE_UTA_UGM 2024'!M176</f>
        <v>1.46978</v>
      </c>
      <c r="AU199" s="45"/>
      <c r="AV199" s="321" t="n">
        <f aca="false">AG199*AM199</f>
        <v>0</v>
      </c>
      <c r="AW199" s="319" t="n">
        <f aca="false">AH199*AN199</f>
        <v>0</v>
      </c>
      <c r="AX199" s="320" t="n">
        <f aca="false">1.25*AJ199*AM199</f>
        <v>0</v>
      </c>
      <c r="AY199" s="322" t="n">
        <f aca="false">1.25*AK199*AN199</f>
        <v>0</v>
      </c>
      <c r="AZ199" s="323" t="n">
        <f aca="false">AG199*AP199</f>
        <v>0</v>
      </c>
      <c r="BA199" s="319" t="n">
        <f aca="false">AH199*AQ199</f>
        <v>0</v>
      </c>
      <c r="BB199" s="320" t="n">
        <f aca="false">1.25*AJ199*AP199</f>
        <v>0</v>
      </c>
      <c r="BC199" s="320" t="n">
        <f aca="false">1.25*AK199*AQ199</f>
        <v>0</v>
      </c>
      <c r="BD199" s="321" t="n">
        <f aca="false">AG199*AS199</f>
        <v>0</v>
      </c>
      <c r="BE199" s="319" t="n">
        <f aca="false">AH199*AT199</f>
        <v>0</v>
      </c>
      <c r="BF199" s="320" t="n">
        <f aca="false">AJ199*AS199</f>
        <v>0</v>
      </c>
      <c r="BG199" s="322" t="n">
        <f aca="false">AK199*AT199</f>
        <v>0</v>
      </c>
      <c r="BH199" s="324" t="str">
        <f aca="false">IF(BH$24=$AA199,($AG199*$AM199)+($AJ199*$AM199*1.25)+($AH199*$AN199)+($AK199*$AN199*1.25),"")</f>
        <v/>
      </c>
      <c r="BI199" s="325" t="str">
        <f aca="false">IF(BI$24=$AA199,($AG199*$AM199)+($AJ199*$AM199*1.25)+($AH199*$AN199)+($AK199*$AN199*1.25),"")</f>
        <v/>
      </c>
      <c r="BJ199" s="325" t="str">
        <f aca="false">IF(BJ$24=$AA199,($AG199*$AM199)+($AJ199*$AM199*1.25)+($AH199*$AN199)+($AK199*$AN199*1.25),"")</f>
        <v/>
      </c>
      <c r="BK199" s="325" t="n">
        <f aca="false">IF(BK$24=$AA199,($AG199*$AM199)+($AJ199*$AM199*1.25)+($AH199*$AN199)+($AK199*$AN199*1.25),"")</f>
        <v>0</v>
      </c>
      <c r="BL199" s="326" t="str">
        <f aca="false">IF(BL$24=$AA199,($AG199*$AM199)+($AJ199*$AM199*1.25)+($AH199*$AN199)+($AK199*$AN199*1.25),"")</f>
        <v/>
      </c>
      <c r="BM199" s="327" t="str">
        <f aca="false">IF(CONCATENATE(BH199,BI199,BJ199,BK199,BL199)="",1,"")</f>
        <v/>
      </c>
      <c r="BN199" s="328"/>
      <c r="BO199" s="328"/>
      <c r="BP199" s="328"/>
      <c r="BQ199" s="328"/>
      <c r="BR199" s="47"/>
      <c r="BS199" s="127" t="n">
        <f aca="false">(AG199*AM199)+(AH199*AN199)+((AJ199*AM199)+(AK199*AN199)*1.25)</f>
        <v>0</v>
      </c>
      <c r="BT199" s="127" t="n">
        <f aca="false">(AG199*AP199)+(AH199*AQ199)+((AJ199*AP199)+(AK199*AQ199)*1.25)</f>
        <v>0</v>
      </c>
      <c r="BU199" s="329"/>
      <c r="BV199" s="129"/>
    </row>
    <row r="200" customFormat="false" ht="15" hidden="false" customHeight="false" outlineLevel="0" collapsed="false">
      <c r="A200" s="228"/>
      <c r="B200" s="229"/>
      <c r="C200" s="230"/>
      <c r="D200" s="231"/>
      <c r="E200" s="223" t="str">
        <f aca="false">IF(SUM(A200:D200)&gt;0,SUM(A200:D200),"")</f>
        <v/>
      </c>
      <c r="F200" s="224" t="str">
        <f aca="false">AD213</f>
        <v>RÁBANO</v>
      </c>
      <c r="G200" s="169"/>
      <c r="H200" s="169"/>
      <c r="I200" s="169"/>
      <c r="J200" s="169"/>
      <c r="K200" s="169"/>
      <c r="L200" s="169"/>
      <c r="M200" s="169"/>
      <c r="N200" s="169"/>
      <c r="O200" s="169"/>
      <c r="P200" s="169"/>
      <c r="Q200" s="169"/>
      <c r="R200" s="3"/>
      <c r="S200" s="3"/>
      <c r="T200" s="3"/>
      <c r="U200" s="3"/>
      <c r="V200" s="3"/>
      <c r="W200" s="3"/>
      <c r="X200" s="3"/>
      <c r="Y200" s="3"/>
      <c r="Z200" s="316" t="str">
        <f aca="false">IF(AF200&gt;0,RANK(AF200,AF$6:AF$422),"")</f>
        <v/>
      </c>
      <c r="AA200" s="134" t="n">
        <f aca="false">'O_MN, PE_UTA_UGM 2024'!N177</f>
        <v>4</v>
      </c>
      <c r="AB200" s="135" t="n">
        <f aca="false">'O_MN, PE_UTA_UGM 2024'!O177</f>
        <v>19</v>
      </c>
      <c r="AC200" s="317" t="n">
        <f aca="false">'O_MN, PE_UTA_UGM 2024'!C177</f>
        <v>184</v>
      </c>
      <c r="AD200" s="293" t="str">
        <f aca="false">IF(AB200=0,'O_MN, PE_UTA_UGM 2024'!F177,CONCATENATE('O_MN, PE_UTA_UGM 2024'!F177," ","INVERNADERO"))</f>
        <v>CARDO INVERNADERO</v>
      </c>
      <c r="AE200" s="89"/>
      <c r="AF200" s="123" t="n">
        <f aca="false">SUM(AG200:AH200)+SUM(AJ200:AK200)</f>
        <v>0</v>
      </c>
      <c r="AG200" s="318" t="n">
        <f aca="false">A187</f>
        <v>0</v>
      </c>
      <c r="AH200" s="319" t="n">
        <f aca="false">B187</f>
        <v>0</v>
      </c>
      <c r="AI200" s="6"/>
      <c r="AJ200" s="320" t="n">
        <f aca="false">C187</f>
        <v>0</v>
      </c>
      <c r="AK200" s="320" t="n">
        <f aca="false">D187</f>
        <v>0</v>
      </c>
      <c r="AL200" s="237" t="s">
        <v>326</v>
      </c>
      <c r="AM200" s="299" t="n">
        <f aca="false">'O_MN, PE_UTA_UGM 2024'!J177</f>
        <v>0</v>
      </c>
      <c r="AN200" s="299" t="n">
        <f aca="false">'O_MN, PE_UTA_UGM 2024'!K177</f>
        <v>80000</v>
      </c>
      <c r="AO200" s="300"/>
      <c r="AP200" s="299" t="n">
        <f aca="false">'O_MN, PE_UTA_UGM 2024'!H177</f>
        <v>0</v>
      </c>
      <c r="AQ200" s="299" t="n">
        <f aca="false">'O_MN, PE_UTA_UGM 2024'!I177</f>
        <v>36060.73</v>
      </c>
      <c r="AR200" s="301"/>
      <c r="AS200" s="302" t="n">
        <f aca="false">'O_MN, PE_UTA_UGM 2024'!L177</f>
        <v>0</v>
      </c>
      <c r="AT200" s="302" t="n">
        <f aca="false">'O_MN, PE_UTA_UGM 2024'!M177</f>
        <v>1.46978</v>
      </c>
      <c r="AU200" s="45"/>
      <c r="AV200" s="321" t="n">
        <f aca="false">AG200*AM200</f>
        <v>0</v>
      </c>
      <c r="AW200" s="319" t="n">
        <f aca="false">AH200*AN200</f>
        <v>0</v>
      </c>
      <c r="AX200" s="320" t="n">
        <f aca="false">1.25*AJ200*AM200</f>
        <v>0</v>
      </c>
      <c r="AY200" s="322" t="n">
        <f aca="false">1.25*AK200*AN200</f>
        <v>0</v>
      </c>
      <c r="AZ200" s="323" t="n">
        <f aca="false">AG200*AP200</f>
        <v>0</v>
      </c>
      <c r="BA200" s="319" t="n">
        <f aca="false">AH200*AQ200</f>
        <v>0</v>
      </c>
      <c r="BB200" s="320" t="n">
        <f aca="false">1.25*AJ200*AP200</f>
        <v>0</v>
      </c>
      <c r="BC200" s="320" t="n">
        <f aca="false">1.25*AK200*AQ200</f>
        <v>0</v>
      </c>
      <c r="BD200" s="321" t="n">
        <f aca="false">AG200*AS200</f>
        <v>0</v>
      </c>
      <c r="BE200" s="319" t="n">
        <f aca="false">AH200*AT200</f>
        <v>0</v>
      </c>
      <c r="BF200" s="320" t="n">
        <f aca="false">AJ200*AS200</f>
        <v>0</v>
      </c>
      <c r="BG200" s="322" t="n">
        <f aca="false">AK200*AT200</f>
        <v>0</v>
      </c>
      <c r="BH200" s="324" t="str">
        <f aca="false">IF(BH$24=$AA200,($AG200*$AM200)+($AJ200*$AM200*1.25)+($AH200*$AN200)+($AK200*$AN200*1.25),"")</f>
        <v/>
      </c>
      <c r="BI200" s="325" t="str">
        <f aca="false">IF(BI$24=$AA200,($AG200*$AM200)+($AJ200*$AM200*1.25)+($AH200*$AN200)+($AK200*$AN200*1.25),"")</f>
        <v/>
      </c>
      <c r="BJ200" s="325" t="str">
        <f aca="false">IF(BJ$24=$AA200,($AG200*$AM200)+($AJ200*$AM200*1.25)+($AH200*$AN200)+($AK200*$AN200*1.25),"")</f>
        <v/>
      </c>
      <c r="BK200" s="325" t="n">
        <f aca="false">IF(BK$24=$AA200,($AG200*$AM200)+($AJ200*$AM200*1.25)+($AH200*$AN200)+($AK200*$AN200*1.25),"")</f>
        <v>0</v>
      </c>
      <c r="BL200" s="326" t="str">
        <f aca="false">IF(BL$24=$AA200,($AG200*$AM200)+($AJ200*$AM200*1.25)+($AH200*$AN200)+($AK200*$AN200*1.25),"")</f>
        <v/>
      </c>
      <c r="BM200" s="327" t="str">
        <f aca="false">IF(CONCATENATE(BH200,BI200,BJ200,BK200,BL200)="",1,"")</f>
        <v/>
      </c>
      <c r="BN200" s="328"/>
      <c r="BO200" s="328"/>
      <c r="BP200" s="328"/>
      <c r="BQ200" s="328"/>
      <c r="BR200" s="47"/>
      <c r="BS200" s="127" t="n">
        <f aca="false">(AG200*AM200)+(AH200*AN200)+((AJ200*AM200)+(AK200*AN200)*1.25)</f>
        <v>0</v>
      </c>
      <c r="BT200" s="127" t="n">
        <f aca="false">(AG200*AP200)+(AH200*AQ200)+((AJ200*AP200)+(AK200*AQ200)*1.25)</f>
        <v>0</v>
      </c>
      <c r="BU200" s="329"/>
      <c r="BV200" s="129"/>
    </row>
    <row r="201" customFormat="false" ht="15" hidden="false" customHeight="false" outlineLevel="0" collapsed="false">
      <c r="A201" s="228"/>
      <c r="B201" s="229"/>
      <c r="C201" s="230"/>
      <c r="D201" s="231"/>
      <c r="E201" s="223" t="str">
        <f aca="false">IF(SUM(A201:D201)&gt;0,SUM(A201:D201),"")</f>
        <v/>
      </c>
      <c r="F201" s="224" t="str">
        <f aca="false">AD214</f>
        <v>RÁBANO INVERNADERO</v>
      </c>
      <c r="G201" s="169"/>
      <c r="H201" s="169"/>
      <c r="I201" s="169"/>
      <c r="J201" s="169"/>
      <c r="K201" s="169"/>
      <c r="L201" s="169"/>
      <c r="M201" s="169"/>
      <c r="N201" s="169"/>
      <c r="O201" s="169"/>
      <c r="P201" s="169"/>
      <c r="Q201" s="169"/>
      <c r="R201" s="3"/>
      <c r="S201" s="3"/>
      <c r="T201" s="3"/>
      <c r="U201" s="3"/>
      <c r="V201" s="3"/>
      <c r="W201" s="3"/>
      <c r="X201" s="3"/>
      <c r="Y201" s="3"/>
      <c r="Z201" s="316" t="str">
        <f aca="false">IF(AF201&gt;0,RANK(AF201,AF$6:AF$422),"")</f>
        <v/>
      </c>
      <c r="AA201" s="134" t="n">
        <f aca="false">'O_MN, PE_UTA_UGM 2024'!N178</f>
        <v>4</v>
      </c>
      <c r="AB201" s="135" t="n">
        <f aca="false">'O_MN, PE_UTA_UGM 2024'!O178</f>
        <v>0</v>
      </c>
      <c r="AC201" s="317" t="n">
        <f aca="false">'O_MN, PE_UTA_UGM 2024'!C178</f>
        <v>185</v>
      </c>
      <c r="AD201" s="293" t="str">
        <f aca="false">IF(AB201=0,'O_MN, PE_UTA_UGM 2024'!F178,CONCATENATE('O_MN, PE_UTA_UGM 2024'!F178," ","INVERNADERO"))</f>
        <v>CALABAZA</v>
      </c>
      <c r="AE201" s="89"/>
      <c r="AF201" s="123" t="n">
        <f aca="false">SUM(AG201:AH201)+SUM(AJ201:AK201)</f>
        <v>0</v>
      </c>
      <c r="AG201" s="318" t="n">
        <f aca="false">A188</f>
        <v>0</v>
      </c>
      <c r="AH201" s="319" t="n">
        <f aca="false">B188</f>
        <v>0</v>
      </c>
      <c r="AI201" s="6"/>
      <c r="AJ201" s="320" t="n">
        <f aca="false">C188</f>
        <v>0</v>
      </c>
      <c r="AK201" s="320" t="n">
        <f aca="false">D188</f>
        <v>0</v>
      </c>
      <c r="AL201" s="237" t="s">
        <v>327</v>
      </c>
      <c r="AM201" s="299" t="n">
        <f aca="false">'O_MN, PE_UTA_UGM 2024'!J178</f>
        <v>575</v>
      </c>
      <c r="AN201" s="299" t="n">
        <f aca="false">'O_MN, PE_UTA_UGM 2024'!K178</f>
        <v>5200</v>
      </c>
      <c r="AO201" s="300"/>
      <c r="AP201" s="299" t="n">
        <f aca="false">'O_MN, PE_UTA_UGM 2024'!H178</f>
        <v>360.61</v>
      </c>
      <c r="AQ201" s="299" t="n">
        <f aca="false">'O_MN, PE_UTA_UGM 2024'!I178</f>
        <v>1352.28</v>
      </c>
      <c r="AR201" s="301"/>
      <c r="AS201" s="302" t="n">
        <f aca="false">'O_MN, PE_UTA_UGM 2024'!L178</f>
        <v>0.0147</v>
      </c>
      <c r="AT201" s="302" t="n">
        <f aca="false">'O_MN, PE_UTA_UGM 2024'!M178</f>
        <v>0.05512</v>
      </c>
      <c r="AU201" s="45"/>
      <c r="AV201" s="321" t="n">
        <f aca="false">AG201*AM201</f>
        <v>0</v>
      </c>
      <c r="AW201" s="319" t="n">
        <f aca="false">AH201*AN201</f>
        <v>0</v>
      </c>
      <c r="AX201" s="320" t="n">
        <f aca="false">1.25*AJ201*AM201</f>
        <v>0</v>
      </c>
      <c r="AY201" s="322" t="n">
        <f aca="false">1.25*AK201*AN201</f>
        <v>0</v>
      </c>
      <c r="AZ201" s="323" t="n">
        <f aca="false">AG201*AP201</f>
        <v>0</v>
      </c>
      <c r="BA201" s="319" t="n">
        <f aca="false">AH201*AQ201</f>
        <v>0</v>
      </c>
      <c r="BB201" s="320" t="n">
        <f aca="false">1.25*AJ201*AP201</f>
        <v>0</v>
      </c>
      <c r="BC201" s="320" t="n">
        <f aca="false">1.25*AK201*AQ201</f>
        <v>0</v>
      </c>
      <c r="BD201" s="321" t="n">
        <f aca="false">AG201*AS201</f>
        <v>0</v>
      </c>
      <c r="BE201" s="319" t="n">
        <f aca="false">AH201*AT201</f>
        <v>0</v>
      </c>
      <c r="BF201" s="320" t="n">
        <f aca="false">AJ201*AS201</f>
        <v>0</v>
      </c>
      <c r="BG201" s="322" t="n">
        <f aca="false">AK201*AT201</f>
        <v>0</v>
      </c>
      <c r="BH201" s="324" t="str">
        <f aca="false">IF(BH$24=$AA201,($AG201*$AM201)+($AJ201*$AM201*1.25)+($AH201*$AN201)+($AK201*$AN201*1.25),"")</f>
        <v/>
      </c>
      <c r="BI201" s="325" t="str">
        <f aca="false">IF(BI$24=$AA201,($AG201*$AM201)+($AJ201*$AM201*1.25)+($AH201*$AN201)+($AK201*$AN201*1.25),"")</f>
        <v/>
      </c>
      <c r="BJ201" s="325" t="str">
        <f aca="false">IF(BJ$24=$AA201,($AG201*$AM201)+($AJ201*$AM201*1.25)+($AH201*$AN201)+($AK201*$AN201*1.25),"")</f>
        <v/>
      </c>
      <c r="BK201" s="325" t="n">
        <f aca="false">IF(BK$24=$AA201,($AG201*$AM201)+($AJ201*$AM201*1.25)+($AH201*$AN201)+($AK201*$AN201*1.25),"")</f>
        <v>0</v>
      </c>
      <c r="BL201" s="326" t="str">
        <f aca="false">IF(BL$24=$AA201,($AG201*$AM201)+($AJ201*$AM201*1.25)+($AH201*$AN201)+($AK201*$AN201*1.25),"")</f>
        <v/>
      </c>
      <c r="BM201" s="327" t="str">
        <f aca="false">IF(CONCATENATE(BH201,BI201,BJ201,BK201,BL201)="",1,"")</f>
        <v/>
      </c>
      <c r="BN201" s="328"/>
      <c r="BO201" s="328"/>
      <c r="BP201" s="328"/>
      <c r="BQ201" s="328"/>
      <c r="BR201" s="47"/>
      <c r="BS201" s="127" t="n">
        <f aca="false">(AG201*AM201)+(AH201*AN201)+((AJ201*AM201)+(AK201*AN201)*1.25)</f>
        <v>0</v>
      </c>
      <c r="BT201" s="127" t="n">
        <f aca="false">(AG201*AP201)+(AH201*AQ201)+((AJ201*AP201)+(AK201*AQ201)*1.25)</f>
        <v>0</v>
      </c>
      <c r="BU201" s="329"/>
      <c r="BV201" s="129"/>
    </row>
    <row r="202" customFormat="false" ht="15" hidden="false" customHeight="false" outlineLevel="0" collapsed="false">
      <c r="A202" s="228"/>
      <c r="B202" s="229"/>
      <c r="C202" s="230"/>
      <c r="D202" s="231"/>
      <c r="E202" s="223" t="str">
        <f aca="false">IF(SUM(A202:D202)&gt;0,SUM(A202:D202),"")</f>
        <v/>
      </c>
      <c r="F202" s="224" t="str">
        <f aca="false">AD215</f>
        <v>RÁBANO INVERNADERO</v>
      </c>
      <c r="G202" s="169"/>
      <c r="H202" s="169"/>
      <c r="I202" s="169"/>
      <c r="J202" s="169"/>
      <c r="K202" s="169"/>
      <c r="L202" s="169"/>
      <c r="M202" s="169"/>
      <c r="N202" s="169"/>
      <c r="O202" s="169"/>
      <c r="P202" s="169"/>
      <c r="Q202" s="169"/>
      <c r="R202" s="3"/>
      <c r="S202" s="3"/>
      <c r="T202" s="3"/>
      <c r="U202" s="3"/>
      <c r="V202" s="3"/>
      <c r="W202" s="3"/>
      <c r="X202" s="3"/>
      <c r="Y202" s="3"/>
      <c r="Z202" s="316" t="str">
        <f aca="false">IF(AF202&gt;0,RANK(AF202,AF$6:AF$422),"")</f>
        <v/>
      </c>
      <c r="AA202" s="134" t="n">
        <f aca="false">'O_MN, PE_UTA_UGM 2024'!N179</f>
        <v>4</v>
      </c>
      <c r="AB202" s="135" t="n">
        <f aca="false">'O_MN, PE_UTA_UGM 2024'!O179</f>
        <v>4</v>
      </c>
      <c r="AC202" s="317" t="n">
        <f aca="false">'O_MN, PE_UTA_UGM 2024'!C179</f>
        <v>185</v>
      </c>
      <c r="AD202" s="293" t="str">
        <f aca="false">IF(AB202=0,'O_MN, PE_UTA_UGM 2024'!F179,CONCATENATE('O_MN, PE_UTA_UGM 2024'!F179," ","INVERNADERO"))</f>
        <v>CALABAZA INVERNADERO</v>
      </c>
      <c r="AE202" s="89"/>
      <c r="AF202" s="123" t="n">
        <f aca="false">SUM(AG202:AH202)+SUM(AJ202:AK202)</f>
        <v>0</v>
      </c>
      <c r="AG202" s="318" t="n">
        <f aca="false">A189</f>
        <v>0</v>
      </c>
      <c r="AH202" s="319" t="n">
        <f aca="false">B189</f>
        <v>0</v>
      </c>
      <c r="AI202" s="6"/>
      <c r="AJ202" s="320" t="n">
        <f aca="false">C189</f>
        <v>0</v>
      </c>
      <c r="AK202" s="320" t="n">
        <f aca="false">D189</f>
        <v>0</v>
      </c>
      <c r="AL202" s="237" t="s">
        <v>328</v>
      </c>
      <c r="AM202" s="299" t="n">
        <f aca="false">'O_MN, PE_UTA_UGM 2024'!J179</f>
        <v>0</v>
      </c>
      <c r="AN202" s="299" t="n">
        <f aca="false">'O_MN, PE_UTA_UGM 2024'!K179</f>
        <v>80000</v>
      </c>
      <c r="AO202" s="300"/>
      <c r="AP202" s="299" t="n">
        <f aca="false">'O_MN, PE_UTA_UGM 2024'!H179</f>
        <v>0</v>
      </c>
      <c r="AQ202" s="299" t="n">
        <f aca="false">'O_MN, PE_UTA_UGM 2024'!I179</f>
        <v>36060.73</v>
      </c>
      <c r="AR202" s="301"/>
      <c r="AS202" s="302" t="n">
        <f aca="false">'O_MN, PE_UTA_UGM 2024'!L179</f>
        <v>0</v>
      </c>
      <c r="AT202" s="302" t="n">
        <f aca="false">'O_MN, PE_UTA_UGM 2024'!M179</f>
        <v>1.46978</v>
      </c>
      <c r="AU202" s="45"/>
      <c r="AV202" s="321" t="n">
        <f aca="false">AG202*AM202</f>
        <v>0</v>
      </c>
      <c r="AW202" s="319" t="n">
        <f aca="false">AH202*AN202</f>
        <v>0</v>
      </c>
      <c r="AX202" s="320" t="n">
        <f aca="false">1.25*AJ202*AM202</f>
        <v>0</v>
      </c>
      <c r="AY202" s="322" t="n">
        <f aca="false">1.25*AK202*AN202</f>
        <v>0</v>
      </c>
      <c r="AZ202" s="323" t="n">
        <f aca="false">AG202*AP202</f>
        <v>0</v>
      </c>
      <c r="BA202" s="319" t="n">
        <f aca="false">AH202*AQ202</f>
        <v>0</v>
      </c>
      <c r="BB202" s="320" t="n">
        <f aca="false">1.25*AJ202*AP202</f>
        <v>0</v>
      </c>
      <c r="BC202" s="320" t="n">
        <f aca="false">1.25*AK202*AQ202</f>
        <v>0</v>
      </c>
      <c r="BD202" s="321" t="n">
        <f aca="false">AG202*AS202</f>
        <v>0</v>
      </c>
      <c r="BE202" s="319" t="n">
        <f aca="false">AH202*AT202</f>
        <v>0</v>
      </c>
      <c r="BF202" s="320" t="n">
        <f aca="false">AJ202*AS202</f>
        <v>0</v>
      </c>
      <c r="BG202" s="322" t="n">
        <f aca="false">AK202*AT202</f>
        <v>0</v>
      </c>
      <c r="BH202" s="324" t="str">
        <f aca="false">IF(BH$24=$AA202,($AG202*$AM202)+($AJ202*$AM202*1.25)+($AH202*$AN202)+($AK202*$AN202*1.25),"")</f>
        <v/>
      </c>
      <c r="BI202" s="325" t="str">
        <f aca="false">IF(BI$24=$AA202,($AG202*$AM202)+($AJ202*$AM202*1.25)+($AH202*$AN202)+($AK202*$AN202*1.25),"")</f>
        <v/>
      </c>
      <c r="BJ202" s="325" t="str">
        <f aca="false">IF(BJ$24=$AA202,($AG202*$AM202)+($AJ202*$AM202*1.25)+($AH202*$AN202)+($AK202*$AN202*1.25),"")</f>
        <v/>
      </c>
      <c r="BK202" s="325" t="n">
        <f aca="false">IF(BK$24=$AA202,($AG202*$AM202)+($AJ202*$AM202*1.25)+($AH202*$AN202)+($AK202*$AN202*1.25),"")</f>
        <v>0</v>
      </c>
      <c r="BL202" s="326" t="str">
        <f aca="false">IF(BL$24=$AA202,($AG202*$AM202)+($AJ202*$AM202*1.25)+($AH202*$AN202)+($AK202*$AN202*1.25),"")</f>
        <v/>
      </c>
      <c r="BM202" s="327" t="str">
        <f aca="false">IF(CONCATENATE(BH202,BI202,BJ202,BK202,BL202)="",1,"")</f>
        <v/>
      </c>
      <c r="BN202" s="328"/>
      <c r="BO202" s="328"/>
      <c r="BP202" s="328"/>
      <c r="BQ202" s="328"/>
      <c r="BR202" s="47"/>
      <c r="BS202" s="127" t="n">
        <f aca="false">(AG202*AM202)+(AH202*AN202)+((AJ202*AM202)+(AK202*AN202)*1.25)</f>
        <v>0</v>
      </c>
      <c r="BT202" s="127" t="n">
        <f aca="false">(AG202*AP202)+(AH202*AQ202)+((AJ202*AP202)+(AK202*AQ202)*1.25)</f>
        <v>0</v>
      </c>
      <c r="BU202" s="329"/>
      <c r="BV202" s="129"/>
    </row>
    <row r="203" customFormat="false" ht="15" hidden="false" customHeight="false" outlineLevel="0" collapsed="false">
      <c r="A203" s="228"/>
      <c r="B203" s="229"/>
      <c r="C203" s="230"/>
      <c r="D203" s="231"/>
      <c r="E203" s="223" t="str">
        <f aca="false">IF(SUM(A203:D203)&gt;0,SUM(A203:D203),"")</f>
        <v/>
      </c>
      <c r="F203" s="224" t="str">
        <f aca="false">AD216</f>
        <v>BERRO DE AGUA</v>
      </c>
      <c r="G203" s="169"/>
      <c r="H203" s="169"/>
      <c r="I203" s="169"/>
      <c r="J203" s="169"/>
      <c r="K203" s="169"/>
      <c r="L203" s="169"/>
      <c r="M203" s="169"/>
      <c r="N203" s="169"/>
      <c r="O203" s="169"/>
      <c r="P203" s="169"/>
      <c r="Q203" s="169"/>
      <c r="R203" s="3"/>
      <c r="S203" s="3"/>
      <c r="T203" s="3"/>
      <c r="U203" s="3"/>
      <c r="V203" s="3"/>
      <c r="W203" s="3"/>
      <c r="X203" s="3"/>
      <c r="Y203" s="3"/>
      <c r="Z203" s="316" t="str">
        <f aca="false">IF(AF203&gt;0,RANK(AF203,AF$6:AF$422),"")</f>
        <v/>
      </c>
      <c r="AA203" s="134" t="n">
        <f aca="false">'O_MN, PE_UTA_UGM 2024'!N180</f>
        <v>4</v>
      </c>
      <c r="AB203" s="135" t="n">
        <f aca="false">'O_MN, PE_UTA_UGM 2024'!O180</f>
        <v>19</v>
      </c>
      <c r="AC203" s="317" t="n">
        <f aca="false">'O_MN, PE_UTA_UGM 2024'!C180</f>
        <v>185</v>
      </c>
      <c r="AD203" s="293" t="str">
        <f aca="false">IF(AB203=0,'O_MN, PE_UTA_UGM 2024'!F180,CONCATENATE('O_MN, PE_UTA_UGM 2024'!F180," ","INVERNADERO"))</f>
        <v>CALABAZA INVERNADERO</v>
      </c>
      <c r="AE203" s="89"/>
      <c r="AF203" s="123" t="n">
        <f aca="false">SUM(AG203:AH203)+SUM(AJ203:AK203)</f>
        <v>0</v>
      </c>
      <c r="AG203" s="318" t="n">
        <f aca="false">A190</f>
        <v>0</v>
      </c>
      <c r="AH203" s="319" t="n">
        <f aca="false">B190</f>
        <v>0</v>
      </c>
      <c r="AI203" s="6"/>
      <c r="AJ203" s="320" t="n">
        <f aca="false">C190</f>
        <v>0</v>
      </c>
      <c r="AK203" s="320" t="n">
        <f aca="false">D190</f>
        <v>0</v>
      </c>
      <c r="AL203" s="237" t="s">
        <v>329</v>
      </c>
      <c r="AM203" s="299" t="n">
        <f aca="false">'O_MN, PE_UTA_UGM 2024'!J180</f>
        <v>0</v>
      </c>
      <c r="AN203" s="299" t="n">
        <f aca="false">'O_MN, PE_UTA_UGM 2024'!K180</f>
        <v>80000</v>
      </c>
      <c r="AO203" s="300"/>
      <c r="AP203" s="299" t="n">
        <f aca="false">'O_MN, PE_UTA_UGM 2024'!H180</f>
        <v>0</v>
      </c>
      <c r="AQ203" s="299" t="n">
        <f aca="false">'O_MN, PE_UTA_UGM 2024'!I180</f>
        <v>36060.73</v>
      </c>
      <c r="AR203" s="301"/>
      <c r="AS203" s="302" t="n">
        <f aca="false">'O_MN, PE_UTA_UGM 2024'!L180</f>
        <v>0</v>
      </c>
      <c r="AT203" s="302" t="n">
        <f aca="false">'O_MN, PE_UTA_UGM 2024'!M180</f>
        <v>1.46978</v>
      </c>
      <c r="AU203" s="45"/>
      <c r="AV203" s="321" t="n">
        <f aca="false">AG203*AM203</f>
        <v>0</v>
      </c>
      <c r="AW203" s="319" t="n">
        <f aca="false">AH203*AN203</f>
        <v>0</v>
      </c>
      <c r="AX203" s="320" t="n">
        <f aca="false">1.25*AJ203*AM203</f>
        <v>0</v>
      </c>
      <c r="AY203" s="322" t="n">
        <f aca="false">1.25*AK203*AN203</f>
        <v>0</v>
      </c>
      <c r="AZ203" s="323" t="n">
        <f aca="false">AG203*AP203</f>
        <v>0</v>
      </c>
      <c r="BA203" s="319" t="n">
        <f aca="false">AH203*AQ203</f>
        <v>0</v>
      </c>
      <c r="BB203" s="320" t="n">
        <f aca="false">1.25*AJ203*AP203</f>
        <v>0</v>
      </c>
      <c r="BC203" s="320" t="n">
        <f aca="false">1.25*AK203*AQ203</f>
        <v>0</v>
      </c>
      <c r="BD203" s="321" t="n">
        <f aca="false">AG203*AS203</f>
        <v>0</v>
      </c>
      <c r="BE203" s="319" t="n">
        <f aca="false">AH203*AT203</f>
        <v>0</v>
      </c>
      <c r="BF203" s="320" t="n">
        <f aca="false">AJ203*AS203</f>
        <v>0</v>
      </c>
      <c r="BG203" s="322" t="n">
        <f aca="false">AK203*AT203</f>
        <v>0</v>
      </c>
      <c r="BH203" s="324" t="str">
        <f aca="false">IF(BH$24=$AA203,($AG203*$AM203)+($AJ203*$AM203*1.25)+($AH203*$AN203)+($AK203*$AN203*1.25),"")</f>
        <v/>
      </c>
      <c r="BI203" s="325" t="str">
        <f aca="false">IF(BI$24=$AA203,($AG203*$AM203)+($AJ203*$AM203*1.25)+($AH203*$AN203)+($AK203*$AN203*1.25),"")</f>
        <v/>
      </c>
      <c r="BJ203" s="325" t="str">
        <f aca="false">IF(BJ$24=$AA203,($AG203*$AM203)+($AJ203*$AM203*1.25)+($AH203*$AN203)+($AK203*$AN203*1.25),"")</f>
        <v/>
      </c>
      <c r="BK203" s="325" t="n">
        <f aca="false">IF(BK$24=$AA203,($AG203*$AM203)+($AJ203*$AM203*1.25)+($AH203*$AN203)+($AK203*$AN203*1.25),"")</f>
        <v>0</v>
      </c>
      <c r="BL203" s="326" t="str">
        <f aca="false">IF(BL$24=$AA203,($AG203*$AM203)+($AJ203*$AM203*1.25)+($AH203*$AN203)+($AK203*$AN203*1.25),"")</f>
        <v/>
      </c>
      <c r="BM203" s="327" t="str">
        <f aca="false">IF(CONCATENATE(BH203,BI203,BJ203,BK203,BL203)="",1,"")</f>
        <v/>
      </c>
      <c r="BN203" s="328"/>
      <c r="BO203" s="328"/>
      <c r="BP203" s="328"/>
      <c r="BQ203" s="328"/>
      <c r="BR203" s="47"/>
      <c r="BS203" s="127" t="n">
        <f aca="false">(AG203*AM203)+(AH203*AN203)+((AJ203*AM203)+(AK203*AN203)*1.25)</f>
        <v>0</v>
      </c>
      <c r="BT203" s="127" t="n">
        <f aca="false">(AG203*AP203)+(AH203*AQ203)+((AJ203*AP203)+(AK203*AQ203)*1.25)</f>
        <v>0</v>
      </c>
      <c r="BU203" s="329"/>
      <c r="BV203" s="129"/>
    </row>
    <row r="204" customFormat="false" ht="15" hidden="false" customHeight="false" outlineLevel="0" collapsed="false">
      <c r="A204" s="228"/>
      <c r="B204" s="229"/>
      <c r="C204" s="230"/>
      <c r="D204" s="231"/>
      <c r="E204" s="223" t="str">
        <f aca="false">IF(SUM(A204:D204)&gt;0,SUM(A204:D204),"")</f>
        <v/>
      </c>
      <c r="F204" s="224" t="str">
        <f aca="false">AD217</f>
        <v>BERRO DE AGUA INVERNADERO</v>
      </c>
      <c r="G204" s="169"/>
      <c r="H204" s="169"/>
      <c r="I204" s="169"/>
      <c r="J204" s="169"/>
      <c r="K204" s="169"/>
      <c r="L204" s="169"/>
      <c r="M204" s="169"/>
      <c r="N204" s="169"/>
      <c r="O204" s="169"/>
      <c r="P204" s="169"/>
      <c r="Q204" s="169"/>
      <c r="R204" s="3"/>
      <c r="S204" s="3"/>
      <c r="T204" s="3"/>
      <c r="U204" s="3"/>
      <c r="V204" s="3"/>
      <c r="W204" s="3"/>
      <c r="X204" s="3"/>
      <c r="Y204" s="3"/>
      <c r="Z204" s="316" t="str">
        <f aca="false">IF(AF204&gt;0,RANK(AF204,AF$6:AF$422),"")</f>
        <v/>
      </c>
      <c r="AA204" s="134" t="n">
        <f aca="false">'O_MN, PE_UTA_UGM 2024'!N181</f>
        <v>4</v>
      </c>
      <c r="AB204" s="135" t="n">
        <f aca="false">'O_MN, PE_UTA_UGM 2024'!O181</f>
        <v>0</v>
      </c>
      <c r="AC204" s="317" t="n">
        <f aca="false">'O_MN, PE_UTA_UGM 2024'!C181</f>
        <v>186</v>
      </c>
      <c r="AD204" s="293" t="str">
        <f aca="false">IF(AB204=0,'O_MN, PE_UTA_UGM 2024'!F181,CONCATENATE('O_MN, PE_UTA_UGM 2024'!F181," ","INVERNADERO"))</f>
        <v>CALABAZA DEL PEREGRINO</v>
      </c>
      <c r="AE204" s="89"/>
      <c r="AF204" s="123" t="n">
        <f aca="false">SUM(AG204:AH204)+SUM(AJ204:AK204)</f>
        <v>0</v>
      </c>
      <c r="AG204" s="318" t="n">
        <f aca="false">A191</f>
        <v>0</v>
      </c>
      <c r="AH204" s="319" t="n">
        <f aca="false">B191</f>
        <v>0</v>
      </c>
      <c r="AI204" s="6"/>
      <c r="AJ204" s="320" t="n">
        <f aca="false">C191</f>
        <v>0</v>
      </c>
      <c r="AK204" s="320" t="n">
        <f aca="false">D191</f>
        <v>0</v>
      </c>
      <c r="AL204" s="237" t="s">
        <v>330</v>
      </c>
      <c r="AM204" s="299" t="n">
        <f aca="false">'O_MN, PE_UTA_UGM 2024'!J181</f>
        <v>575</v>
      </c>
      <c r="AN204" s="299" t="n">
        <f aca="false">'O_MN, PE_UTA_UGM 2024'!K181</f>
        <v>5200</v>
      </c>
      <c r="AO204" s="300"/>
      <c r="AP204" s="299" t="n">
        <f aca="false">'O_MN, PE_UTA_UGM 2024'!H181</f>
        <v>360.61</v>
      </c>
      <c r="AQ204" s="299" t="n">
        <f aca="false">'O_MN, PE_UTA_UGM 2024'!I181</f>
        <v>1352.28</v>
      </c>
      <c r="AR204" s="301"/>
      <c r="AS204" s="302" t="n">
        <f aca="false">'O_MN, PE_UTA_UGM 2024'!L181</f>
        <v>0.0147</v>
      </c>
      <c r="AT204" s="302" t="n">
        <f aca="false">'O_MN, PE_UTA_UGM 2024'!M181</f>
        <v>0.05512</v>
      </c>
      <c r="AU204" s="45"/>
      <c r="AV204" s="321" t="n">
        <f aca="false">AG204*AM204</f>
        <v>0</v>
      </c>
      <c r="AW204" s="319" t="n">
        <f aca="false">AH204*AN204</f>
        <v>0</v>
      </c>
      <c r="AX204" s="320" t="n">
        <f aca="false">1.25*AJ204*AM204</f>
        <v>0</v>
      </c>
      <c r="AY204" s="322" t="n">
        <f aca="false">1.25*AK204*AN204</f>
        <v>0</v>
      </c>
      <c r="AZ204" s="323" t="n">
        <f aca="false">AG204*AP204</f>
        <v>0</v>
      </c>
      <c r="BA204" s="319" t="n">
        <f aca="false">AH204*AQ204</f>
        <v>0</v>
      </c>
      <c r="BB204" s="320" t="n">
        <f aca="false">1.25*AJ204*AP204</f>
        <v>0</v>
      </c>
      <c r="BC204" s="320" t="n">
        <f aca="false">1.25*AK204*AQ204</f>
        <v>0</v>
      </c>
      <c r="BD204" s="321" t="n">
        <f aca="false">AG204*AS204</f>
        <v>0</v>
      </c>
      <c r="BE204" s="319" t="n">
        <f aca="false">AH204*AT204</f>
        <v>0</v>
      </c>
      <c r="BF204" s="320" t="n">
        <f aca="false">AJ204*AS204</f>
        <v>0</v>
      </c>
      <c r="BG204" s="322" t="n">
        <f aca="false">AK204*AT204</f>
        <v>0</v>
      </c>
      <c r="BH204" s="324" t="str">
        <f aca="false">IF(BH$24=$AA204,($AG204*$AM204)+($AJ204*$AM204*1.25)+($AH204*$AN204)+($AK204*$AN204*1.25),"")</f>
        <v/>
      </c>
      <c r="BI204" s="325" t="str">
        <f aca="false">IF(BI$24=$AA204,($AG204*$AM204)+($AJ204*$AM204*1.25)+($AH204*$AN204)+($AK204*$AN204*1.25),"")</f>
        <v/>
      </c>
      <c r="BJ204" s="325" t="str">
        <f aca="false">IF(BJ$24=$AA204,($AG204*$AM204)+($AJ204*$AM204*1.25)+($AH204*$AN204)+($AK204*$AN204*1.25),"")</f>
        <v/>
      </c>
      <c r="BK204" s="325" t="n">
        <f aca="false">IF(BK$24=$AA204,($AG204*$AM204)+($AJ204*$AM204*1.25)+($AH204*$AN204)+($AK204*$AN204*1.25),"")</f>
        <v>0</v>
      </c>
      <c r="BL204" s="326" t="str">
        <f aca="false">IF(BL$24=$AA204,($AG204*$AM204)+($AJ204*$AM204*1.25)+($AH204*$AN204)+($AK204*$AN204*1.25),"")</f>
        <v/>
      </c>
      <c r="BM204" s="327" t="str">
        <f aca="false">IF(CONCATENATE(BH204,BI204,BJ204,BK204,BL204)="",1,"")</f>
        <v/>
      </c>
      <c r="BN204" s="328"/>
      <c r="BO204" s="328"/>
      <c r="BP204" s="328"/>
      <c r="BQ204" s="328"/>
      <c r="BR204" s="47"/>
      <c r="BS204" s="127" t="n">
        <f aca="false">(AG204*AM204)+(AH204*AN204)+((AJ204*AM204)+(AK204*AN204)*1.25)</f>
        <v>0</v>
      </c>
      <c r="BT204" s="127" t="n">
        <f aca="false">(AG204*AP204)+(AH204*AQ204)+((AJ204*AP204)+(AK204*AQ204)*1.25)</f>
        <v>0</v>
      </c>
      <c r="BU204" s="329"/>
      <c r="BV204" s="129"/>
    </row>
    <row r="205" customFormat="false" ht="15" hidden="false" customHeight="false" outlineLevel="0" collapsed="false">
      <c r="A205" s="228"/>
      <c r="B205" s="229"/>
      <c r="C205" s="230"/>
      <c r="D205" s="231"/>
      <c r="E205" s="223" t="str">
        <f aca="false">IF(SUM(A205:D205)&gt;0,SUM(A205:D205),"")</f>
        <v/>
      </c>
      <c r="F205" s="224" t="str">
        <f aca="false">AD218</f>
        <v>BERRO DE AGUA INVERNADERO</v>
      </c>
      <c r="G205" s="169"/>
      <c r="H205" s="169"/>
      <c r="I205" s="169"/>
      <c r="J205" s="169"/>
      <c r="K205" s="169"/>
      <c r="L205" s="169"/>
      <c r="M205" s="169"/>
      <c r="N205" s="169"/>
      <c r="O205" s="169"/>
      <c r="P205" s="169"/>
      <c r="Q205" s="169"/>
      <c r="R205" s="3"/>
      <c r="S205" s="3"/>
      <c r="T205" s="3"/>
      <c r="U205" s="3"/>
      <c r="V205" s="3"/>
      <c r="W205" s="3"/>
      <c r="X205" s="3"/>
      <c r="Y205" s="3"/>
      <c r="Z205" s="316" t="str">
        <f aca="false">IF(AF205&gt;0,RANK(AF205,AF$6:AF$422),"")</f>
        <v/>
      </c>
      <c r="AA205" s="134" t="n">
        <f aca="false">'O_MN, PE_UTA_UGM 2024'!N182</f>
        <v>4</v>
      </c>
      <c r="AB205" s="135" t="n">
        <f aca="false">'O_MN, PE_UTA_UGM 2024'!O182</f>
        <v>4</v>
      </c>
      <c r="AC205" s="317" t="n">
        <f aca="false">'O_MN, PE_UTA_UGM 2024'!C182</f>
        <v>186</v>
      </c>
      <c r="AD205" s="293" t="str">
        <f aca="false">IF(AB205=0,'O_MN, PE_UTA_UGM 2024'!F182,CONCATENATE('O_MN, PE_UTA_UGM 2024'!F182," ","INVERNADERO"))</f>
        <v>CALABAZA DEL PEREGRINO INVERNADERO</v>
      </c>
      <c r="AE205" s="89"/>
      <c r="AF205" s="123" t="n">
        <f aca="false">SUM(AG205:AH205)+SUM(AJ205:AK205)</f>
        <v>0</v>
      </c>
      <c r="AG205" s="318" t="n">
        <f aca="false">A192</f>
        <v>0</v>
      </c>
      <c r="AH205" s="319" t="n">
        <f aca="false">B192</f>
        <v>0</v>
      </c>
      <c r="AI205" s="6"/>
      <c r="AJ205" s="320" t="n">
        <f aca="false">C192</f>
        <v>0</v>
      </c>
      <c r="AK205" s="320" t="n">
        <f aca="false">D192</f>
        <v>0</v>
      </c>
      <c r="AL205" s="237" t="s">
        <v>331</v>
      </c>
      <c r="AM205" s="299" t="n">
        <f aca="false">'O_MN, PE_UTA_UGM 2024'!J182</f>
        <v>0</v>
      </c>
      <c r="AN205" s="299" t="n">
        <f aca="false">'O_MN, PE_UTA_UGM 2024'!K182</f>
        <v>80000</v>
      </c>
      <c r="AO205" s="300"/>
      <c r="AP205" s="299" t="n">
        <f aca="false">'O_MN, PE_UTA_UGM 2024'!H182</f>
        <v>0</v>
      </c>
      <c r="AQ205" s="299" t="n">
        <f aca="false">'O_MN, PE_UTA_UGM 2024'!I182</f>
        <v>36060.73</v>
      </c>
      <c r="AR205" s="301"/>
      <c r="AS205" s="302" t="n">
        <f aca="false">'O_MN, PE_UTA_UGM 2024'!L182</f>
        <v>0</v>
      </c>
      <c r="AT205" s="302" t="n">
        <f aca="false">'O_MN, PE_UTA_UGM 2024'!M182</f>
        <v>1.46978</v>
      </c>
      <c r="AU205" s="45"/>
      <c r="AV205" s="321" t="n">
        <f aca="false">AG205*AM205</f>
        <v>0</v>
      </c>
      <c r="AW205" s="319" t="n">
        <f aca="false">AH205*AN205</f>
        <v>0</v>
      </c>
      <c r="AX205" s="320" t="n">
        <f aca="false">1.25*AJ205*AM205</f>
        <v>0</v>
      </c>
      <c r="AY205" s="322" t="n">
        <f aca="false">1.25*AK205*AN205</f>
        <v>0</v>
      </c>
      <c r="AZ205" s="323" t="n">
        <f aca="false">AG205*AP205</f>
        <v>0</v>
      </c>
      <c r="BA205" s="319" t="n">
        <f aca="false">AH205*AQ205</f>
        <v>0</v>
      </c>
      <c r="BB205" s="320" t="n">
        <f aca="false">1.25*AJ205*AP205</f>
        <v>0</v>
      </c>
      <c r="BC205" s="320" t="n">
        <f aca="false">1.25*AK205*AQ205</f>
        <v>0</v>
      </c>
      <c r="BD205" s="321" t="n">
        <f aca="false">AG205*AS205</f>
        <v>0</v>
      </c>
      <c r="BE205" s="319" t="n">
        <f aca="false">AH205*AT205</f>
        <v>0</v>
      </c>
      <c r="BF205" s="320" t="n">
        <f aca="false">AJ205*AS205</f>
        <v>0</v>
      </c>
      <c r="BG205" s="322" t="n">
        <f aca="false">AK205*AT205</f>
        <v>0</v>
      </c>
      <c r="BH205" s="324" t="str">
        <f aca="false">IF(BH$24=$AA205,($AG205*$AM205)+($AJ205*$AM205*1.25)+($AH205*$AN205)+($AK205*$AN205*1.25),"")</f>
        <v/>
      </c>
      <c r="BI205" s="325" t="str">
        <f aca="false">IF(BI$24=$AA205,($AG205*$AM205)+($AJ205*$AM205*1.25)+($AH205*$AN205)+($AK205*$AN205*1.25),"")</f>
        <v/>
      </c>
      <c r="BJ205" s="325" t="str">
        <f aca="false">IF(BJ$24=$AA205,($AG205*$AM205)+($AJ205*$AM205*1.25)+($AH205*$AN205)+($AK205*$AN205*1.25),"")</f>
        <v/>
      </c>
      <c r="BK205" s="325" t="n">
        <f aca="false">IF(BK$24=$AA205,($AG205*$AM205)+($AJ205*$AM205*1.25)+($AH205*$AN205)+($AK205*$AN205*1.25),"")</f>
        <v>0</v>
      </c>
      <c r="BL205" s="326" t="str">
        <f aca="false">IF(BL$24=$AA205,($AG205*$AM205)+($AJ205*$AM205*1.25)+($AH205*$AN205)+($AK205*$AN205*1.25),"")</f>
        <v/>
      </c>
      <c r="BM205" s="327" t="str">
        <f aca="false">IF(CONCATENATE(BH205,BI205,BJ205,BK205,BL205)="",1,"")</f>
        <v/>
      </c>
      <c r="BN205" s="328"/>
      <c r="BO205" s="328"/>
      <c r="BP205" s="328"/>
      <c r="BQ205" s="328"/>
      <c r="BR205" s="47"/>
      <c r="BS205" s="127" t="n">
        <f aca="false">(AG205*AM205)+(AH205*AN205)+((AJ205*AM205)+(AK205*AN205)*1.25)</f>
        <v>0</v>
      </c>
      <c r="BT205" s="127" t="n">
        <f aca="false">(AG205*AP205)+(AH205*AQ205)+((AJ205*AP205)+(AK205*AQ205)*1.25)</f>
        <v>0</v>
      </c>
      <c r="BU205" s="329"/>
      <c r="BV205" s="129"/>
    </row>
    <row r="206" customFormat="false" ht="15" hidden="false" customHeight="false" outlineLevel="0" collapsed="false">
      <c r="A206" s="228"/>
      <c r="B206" s="229"/>
      <c r="C206" s="230"/>
      <c r="D206" s="231"/>
      <c r="E206" s="223" t="str">
        <f aca="false">IF(SUM(A206:D206)&gt;0,SUM(A206:D206),"")</f>
        <v/>
      </c>
      <c r="F206" s="224" t="str">
        <f aca="false">AD219</f>
        <v>FRAMBUESA</v>
      </c>
      <c r="G206" s="169"/>
      <c r="H206" s="169"/>
      <c r="I206" s="169"/>
      <c r="J206" s="169"/>
      <c r="K206" s="169"/>
      <c r="L206" s="169"/>
      <c r="M206" s="169"/>
      <c r="N206" s="169"/>
      <c r="O206" s="169"/>
      <c r="P206" s="169"/>
      <c r="Q206" s="169"/>
      <c r="R206" s="3"/>
      <c r="S206" s="3"/>
      <c r="T206" s="3"/>
      <c r="U206" s="3"/>
      <c r="V206" s="3"/>
      <c r="W206" s="3"/>
      <c r="X206" s="3"/>
      <c r="Y206" s="3"/>
      <c r="Z206" s="316" t="str">
        <f aca="false">IF(AF206&gt;0,RANK(AF206,AF$6:AF$422),"")</f>
        <v/>
      </c>
      <c r="AA206" s="134" t="n">
        <f aca="false">'O_MN, PE_UTA_UGM 2024'!N183</f>
        <v>4</v>
      </c>
      <c r="AB206" s="135" t="n">
        <f aca="false">'O_MN, PE_UTA_UGM 2024'!O183</f>
        <v>19</v>
      </c>
      <c r="AC206" s="317" t="n">
        <f aca="false">'O_MN, PE_UTA_UGM 2024'!C183</f>
        <v>186</v>
      </c>
      <c r="AD206" s="293" t="str">
        <f aca="false">IF(AB206=0,'O_MN, PE_UTA_UGM 2024'!F183,CONCATENATE('O_MN, PE_UTA_UGM 2024'!F183," ","INVERNADERO"))</f>
        <v>CALABAZA DEL PEREGRINO INVERNADERO</v>
      </c>
      <c r="AE206" s="89"/>
      <c r="AF206" s="123" t="n">
        <f aca="false">SUM(AG206:AH206)+SUM(AJ206:AK206)</f>
        <v>0</v>
      </c>
      <c r="AG206" s="318" t="n">
        <f aca="false">A193</f>
        <v>0</v>
      </c>
      <c r="AH206" s="319" t="n">
        <f aca="false">B193</f>
        <v>0</v>
      </c>
      <c r="AI206" s="6"/>
      <c r="AJ206" s="320" t="n">
        <f aca="false">C193</f>
        <v>0</v>
      </c>
      <c r="AK206" s="320" t="n">
        <f aca="false">D193</f>
        <v>0</v>
      </c>
      <c r="AL206" s="237" t="s">
        <v>332</v>
      </c>
      <c r="AM206" s="299" t="n">
        <f aca="false">'O_MN, PE_UTA_UGM 2024'!J183</f>
        <v>0</v>
      </c>
      <c r="AN206" s="299" t="n">
        <f aca="false">'O_MN, PE_UTA_UGM 2024'!K183</f>
        <v>80000</v>
      </c>
      <c r="AO206" s="300"/>
      <c r="AP206" s="299" t="n">
        <f aca="false">'O_MN, PE_UTA_UGM 2024'!H183</f>
        <v>0</v>
      </c>
      <c r="AQ206" s="299" t="n">
        <f aca="false">'O_MN, PE_UTA_UGM 2024'!I183</f>
        <v>36060.73</v>
      </c>
      <c r="AR206" s="301"/>
      <c r="AS206" s="302" t="n">
        <f aca="false">'O_MN, PE_UTA_UGM 2024'!L183</f>
        <v>0</v>
      </c>
      <c r="AT206" s="302" t="n">
        <f aca="false">'O_MN, PE_UTA_UGM 2024'!M183</f>
        <v>1.46978</v>
      </c>
      <c r="AU206" s="45"/>
      <c r="AV206" s="321" t="n">
        <f aca="false">AG206*AM206</f>
        <v>0</v>
      </c>
      <c r="AW206" s="319" t="n">
        <f aca="false">AH206*AN206</f>
        <v>0</v>
      </c>
      <c r="AX206" s="320" t="n">
        <f aca="false">1.25*AJ206*AM206</f>
        <v>0</v>
      </c>
      <c r="AY206" s="322" t="n">
        <f aca="false">1.25*AK206*AN206</f>
        <v>0</v>
      </c>
      <c r="AZ206" s="323" t="n">
        <f aca="false">AG206*AP206</f>
        <v>0</v>
      </c>
      <c r="BA206" s="319" t="n">
        <f aca="false">AH206*AQ206</f>
        <v>0</v>
      </c>
      <c r="BB206" s="320" t="n">
        <f aca="false">1.25*AJ206*AP206</f>
        <v>0</v>
      </c>
      <c r="BC206" s="320" t="n">
        <f aca="false">1.25*AK206*AQ206</f>
        <v>0</v>
      </c>
      <c r="BD206" s="321" t="n">
        <f aca="false">AG206*AS206</f>
        <v>0</v>
      </c>
      <c r="BE206" s="319" t="n">
        <f aca="false">AH206*AT206</f>
        <v>0</v>
      </c>
      <c r="BF206" s="320" t="n">
        <f aca="false">AJ206*AS206</f>
        <v>0</v>
      </c>
      <c r="BG206" s="322" t="n">
        <f aca="false">AK206*AT206</f>
        <v>0</v>
      </c>
      <c r="BH206" s="324" t="str">
        <f aca="false">IF(BH$24=$AA206,($AG206*$AM206)+($AJ206*$AM206*1.25)+($AH206*$AN206)+($AK206*$AN206*1.25),"")</f>
        <v/>
      </c>
      <c r="BI206" s="325" t="str">
        <f aca="false">IF(BI$24=$AA206,($AG206*$AM206)+($AJ206*$AM206*1.25)+($AH206*$AN206)+($AK206*$AN206*1.25),"")</f>
        <v/>
      </c>
      <c r="BJ206" s="325" t="str">
        <f aca="false">IF(BJ$24=$AA206,($AG206*$AM206)+($AJ206*$AM206*1.25)+($AH206*$AN206)+($AK206*$AN206*1.25),"")</f>
        <v/>
      </c>
      <c r="BK206" s="325" t="n">
        <f aca="false">IF(BK$24=$AA206,($AG206*$AM206)+($AJ206*$AM206*1.25)+($AH206*$AN206)+($AK206*$AN206*1.25),"")</f>
        <v>0</v>
      </c>
      <c r="BL206" s="326" t="str">
        <f aca="false">IF(BL$24=$AA206,($AG206*$AM206)+($AJ206*$AM206*1.25)+($AH206*$AN206)+($AK206*$AN206*1.25),"")</f>
        <v/>
      </c>
      <c r="BM206" s="327" t="str">
        <f aca="false">IF(CONCATENATE(BH206,BI206,BJ206,BK206,BL206)="",1,"")</f>
        <v/>
      </c>
      <c r="BN206" s="328"/>
      <c r="BO206" s="328"/>
      <c r="BP206" s="328"/>
      <c r="BQ206" s="328"/>
      <c r="BR206" s="47"/>
      <c r="BS206" s="127" t="n">
        <f aca="false">(AG206*AM206)+(AH206*AN206)+((AJ206*AM206)+(AK206*AN206)*1.25)</f>
        <v>0</v>
      </c>
      <c r="BT206" s="127" t="n">
        <f aca="false">(AG206*AP206)+(AH206*AQ206)+((AJ206*AP206)+(AK206*AQ206)*1.25)</f>
        <v>0</v>
      </c>
      <c r="BU206" s="329"/>
      <c r="BV206" s="129"/>
    </row>
    <row r="207" customFormat="false" ht="15" hidden="false" customHeight="false" outlineLevel="0" collapsed="false">
      <c r="A207" s="228"/>
      <c r="B207" s="229"/>
      <c r="C207" s="230"/>
      <c r="D207" s="231"/>
      <c r="E207" s="223" t="str">
        <f aca="false">IF(SUM(A207:D207)&gt;0,SUM(A207:D207),"")</f>
        <v/>
      </c>
      <c r="F207" s="224" t="str">
        <f aca="false">AD220</f>
        <v>FRAMBUESA INVERNADERO</v>
      </c>
      <c r="G207" s="169"/>
      <c r="H207" s="169"/>
      <c r="I207" s="169"/>
      <c r="J207" s="169"/>
      <c r="K207" s="169"/>
      <c r="L207" s="169"/>
      <c r="M207" s="169"/>
      <c r="N207" s="169"/>
      <c r="O207" s="169"/>
      <c r="P207" s="169"/>
      <c r="Q207" s="169"/>
      <c r="R207" s="3"/>
      <c r="S207" s="3"/>
      <c r="T207" s="3"/>
      <c r="U207" s="3"/>
      <c r="V207" s="3"/>
      <c r="W207" s="3"/>
      <c r="X207" s="3"/>
      <c r="Y207" s="3"/>
      <c r="Z207" s="316" t="str">
        <f aca="false">IF(AF207&gt;0,RANK(AF207,AF$6:AF$422),"")</f>
        <v/>
      </c>
      <c r="AA207" s="134" t="n">
        <f aca="false">'O_MN, PE_UTA_UGM 2024'!N184</f>
        <v>4</v>
      </c>
      <c r="AB207" s="135" t="n">
        <f aca="false">'O_MN, PE_UTA_UGM 2024'!O184</f>
        <v>0</v>
      </c>
      <c r="AC207" s="317" t="n">
        <f aca="false">'O_MN, PE_UTA_UGM 2024'!C184</f>
        <v>187</v>
      </c>
      <c r="AD207" s="293" t="str">
        <f aca="false">IF(AB207=0,'O_MN, PE_UTA_UGM 2024'!F184,CONCATENATE('O_MN, PE_UTA_UGM 2024'!F184," ","INVERNADERO"))</f>
        <v>BORRAJA</v>
      </c>
      <c r="AE207" s="89"/>
      <c r="AF207" s="123" t="n">
        <f aca="false">SUM(AG207:AH207)+SUM(AJ207:AK207)</f>
        <v>0</v>
      </c>
      <c r="AG207" s="318" t="n">
        <f aca="false">A194</f>
        <v>0</v>
      </c>
      <c r="AH207" s="319" t="n">
        <f aca="false">B194</f>
        <v>0</v>
      </c>
      <c r="AI207" s="6"/>
      <c r="AJ207" s="320" t="n">
        <f aca="false">C194</f>
        <v>0</v>
      </c>
      <c r="AK207" s="320" t="n">
        <f aca="false">D194</f>
        <v>0</v>
      </c>
      <c r="AL207" s="237" t="s">
        <v>333</v>
      </c>
      <c r="AM207" s="299" t="n">
        <f aca="false">'O_MN, PE_UTA_UGM 2024'!J184</f>
        <v>575</v>
      </c>
      <c r="AN207" s="299" t="n">
        <f aca="false">'O_MN, PE_UTA_UGM 2024'!K184</f>
        <v>8200</v>
      </c>
      <c r="AO207" s="300"/>
      <c r="AP207" s="299" t="n">
        <f aca="false">'O_MN, PE_UTA_UGM 2024'!H184</f>
        <v>360.61</v>
      </c>
      <c r="AQ207" s="299" t="n">
        <f aca="false">'O_MN, PE_UTA_UGM 2024'!I184</f>
        <v>1352.28</v>
      </c>
      <c r="AR207" s="301"/>
      <c r="AS207" s="302" t="n">
        <f aca="false">'O_MN, PE_UTA_UGM 2024'!L184</f>
        <v>0.0147</v>
      </c>
      <c r="AT207" s="302" t="n">
        <f aca="false">'O_MN, PE_UTA_UGM 2024'!M184</f>
        <v>0.05512</v>
      </c>
      <c r="AU207" s="45"/>
      <c r="AV207" s="321" t="n">
        <f aca="false">AG207*AM207</f>
        <v>0</v>
      </c>
      <c r="AW207" s="319" t="n">
        <f aca="false">AH207*AN207</f>
        <v>0</v>
      </c>
      <c r="AX207" s="320" t="n">
        <f aca="false">1.25*AJ207*AM207</f>
        <v>0</v>
      </c>
      <c r="AY207" s="322" t="n">
        <f aca="false">1.25*AK207*AN207</f>
        <v>0</v>
      </c>
      <c r="AZ207" s="323" t="n">
        <f aca="false">AG207*AP207</f>
        <v>0</v>
      </c>
      <c r="BA207" s="319" t="n">
        <f aca="false">AH207*AQ207</f>
        <v>0</v>
      </c>
      <c r="BB207" s="320" t="n">
        <f aca="false">1.25*AJ207*AP207</f>
        <v>0</v>
      </c>
      <c r="BC207" s="320" t="n">
        <f aca="false">1.25*AK207*AQ207</f>
        <v>0</v>
      </c>
      <c r="BD207" s="321" t="n">
        <f aca="false">AG207*AS207</f>
        <v>0</v>
      </c>
      <c r="BE207" s="319" t="n">
        <f aca="false">AH207*AT207</f>
        <v>0</v>
      </c>
      <c r="BF207" s="320" t="n">
        <f aca="false">AJ207*AS207</f>
        <v>0</v>
      </c>
      <c r="BG207" s="322" t="n">
        <f aca="false">AK207*AT207</f>
        <v>0</v>
      </c>
      <c r="BH207" s="324" t="str">
        <f aca="false">IF(BH$24=$AA207,($AG207*$AM207)+($AJ207*$AM207*1.25)+($AH207*$AN207)+($AK207*$AN207*1.25),"")</f>
        <v/>
      </c>
      <c r="BI207" s="325" t="str">
        <f aca="false">IF(BI$24=$AA207,($AG207*$AM207)+($AJ207*$AM207*1.25)+($AH207*$AN207)+($AK207*$AN207*1.25),"")</f>
        <v/>
      </c>
      <c r="BJ207" s="325" t="str">
        <f aca="false">IF(BJ$24=$AA207,($AG207*$AM207)+($AJ207*$AM207*1.25)+($AH207*$AN207)+($AK207*$AN207*1.25),"")</f>
        <v/>
      </c>
      <c r="BK207" s="325" t="n">
        <f aca="false">IF(BK$24=$AA207,($AG207*$AM207)+($AJ207*$AM207*1.25)+($AH207*$AN207)+($AK207*$AN207*1.25),"")</f>
        <v>0</v>
      </c>
      <c r="BL207" s="326" t="str">
        <f aca="false">IF(BL$24=$AA207,($AG207*$AM207)+($AJ207*$AM207*1.25)+($AH207*$AN207)+($AK207*$AN207*1.25),"")</f>
        <v/>
      </c>
      <c r="BM207" s="327" t="str">
        <f aca="false">IF(CONCATENATE(BH207,BI207,BJ207,BK207,BL207)="",1,"")</f>
        <v/>
      </c>
      <c r="BN207" s="328"/>
      <c r="BO207" s="328"/>
      <c r="BP207" s="328"/>
      <c r="BQ207" s="328"/>
      <c r="BR207" s="47"/>
      <c r="BS207" s="127" t="n">
        <f aca="false">(AG207*AM207)+(AH207*AN207)+((AJ207*AM207)+(AK207*AN207)*1.25)</f>
        <v>0</v>
      </c>
      <c r="BT207" s="127" t="n">
        <f aca="false">(AG207*AP207)+(AH207*AQ207)+((AJ207*AP207)+(AK207*AQ207)*1.25)</f>
        <v>0</v>
      </c>
      <c r="BU207" s="329"/>
      <c r="BV207" s="129"/>
    </row>
    <row r="208" customFormat="false" ht="15" hidden="false" customHeight="false" outlineLevel="0" collapsed="false">
      <c r="A208" s="228"/>
      <c r="B208" s="229"/>
      <c r="C208" s="230"/>
      <c r="D208" s="231"/>
      <c r="E208" s="223" t="str">
        <f aca="false">IF(SUM(A208:D208)&gt;0,SUM(A208:D208),"")</f>
        <v/>
      </c>
      <c r="F208" s="224" t="str">
        <f aca="false">AD221</f>
        <v>FRAMBUESA INVERNADERO</v>
      </c>
      <c r="G208" s="169"/>
      <c r="H208" s="169"/>
      <c r="I208" s="169"/>
      <c r="J208" s="169"/>
      <c r="K208" s="169"/>
      <c r="L208" s="169"/>
      <c r="M208" s="169"/>
      <c r="N208" s="169"/>
      <c r="O208" s="169"/>
      <c r="P208" s="169"/>
      <c r="Q208" s="169"/>
      <c r="R208" s="3"/>
      <c r="S208" s="3"/>
      <c r="T208" s="3"/>
      <c r="U208" s="3"/>
      <c r="V208" s="3"/>
      <c r="W208" s="3"/>
      <c r="X208" s="3"/>
      <c r="Y208" s="3"/>
      <c r="Z208" s="316" t="str">
        <f aca="false">IF(AF208&gt;0,RANK(AF208,AF$6:AF$422),"")</f>
        <v/>
      </c>
      <c r="AA208" s="134" t="n">
        <f aca="false">'O_MN, PE_UTA_UGM 2024'!N185</f>
        <v>4</v>
      </c>
      <c r="AB208" s="135" t="n">
        <f aca="false">'O_MN, PE_UTA_UGM 2024'!O185</f>
        <v>4</v>
      </c>
      <c r="AC208" s="317" t="n">
        <f aca="false">'O_MN, PE_UTA_UGM 2024'!C185</f>
        <v>187</v>
      </c>
      <c r="AD208" s="293" t="str">
        <f aca="false">IF(AB208=0,'O_MN, PE_UTA_UGM 2024'!F185,CONCATENATE('O_MN, PE_UTA_UGM 2024'!F185," ","INVERNADERO"))</f>
        <v>BORRAJA INVERNADERO</v>
      </c>
      <c r="AE208" s="89"/>
      <c r="AF208" s="123" t="n">
        <f aca="false">SUM(AG208:AH208)+SUM(AJ208:AK208)</f>
        <v>0</v>
      </c>
      <c r="AG208" s="318" t="n">
        <f aca="false">A195</f>
        <v>0</v>
      </c>
      <c r="AH208" s="319" t="n">
        <f aca="false">B195</f>
        <v>0</v>
      </c>
      <c r="AI208" s="6"/>
      <c r="AJ208" s="320" t="n">
        <f aca="false">C195</f>
        <v>0</v>
      </c>
      <c r="AK208" s="320" t="n">
        <f aca="false">D195</f>
        <v>0</v>
      </c>
      <c r="AL208" s="237" t="s">
        <v>334</v>
      </c>
      <c r="AM208" s="299" t="n">
        <f aca="false">'O_MN, PE_UTA_UGM 2024'!J185</f>
        <v>0</v>
      </c>
      <c r="AN208" s="299" t="n">
        <f aca="false">'O_MN, PE_UTA_UGM 2024'!K185</f>
        <v>80000</v>
      </c>
      <c r="AO208" s="300"/>
      <c r="AP208" s="299" t="n">
        <f aca="false">'O_MN, PE_UTA_UGM 2024'!H185</f>
        <v>0</v>
      </c>
      <c r="AQ208" s="299" t="n">
        <f aca="false">'O_MN, PE_UTA_UGM 2024'!I185</f>
        <v>36060.73</v>
      </c>
      <c r="AR208" s="301"/>
      <c r="AS208" s="302" t="n">
        <f aca="false">'O_MN, PE_UTA_UGM 2024'!L185</f>
        <v>0</v>
      </c>
      <c r="AT208" s="302" t="n">
        <f aca="false">'O_MN, PE_UTA_UGM 2024'!M185</f>
        <v>1.46978</v>
      </c>
      <c r="AU208" s="45"/>
      <c r="AV208" s="321" t="n">
        <f aca="false">AG208*AM208</f>
        <v>0</v>
      </c>
      <c r="AW208" s="319" t="n">
        <f aca="false">AH208*AN208</f>
        <v>0</v>
      </c>
      <c r="AX208" s="320" t="n">
        <f aca="false">1.25*AJ208*AM208</f>
        <v>0</v>
      </c>
      <c r="AY208" s="322" t="n">
        <f aca="false">1.25*AK208*AN208</f>
        <v>0</v>
      </c>
      <c r="AZ208" s="323" t="n">
        <f aca="false">AG208*AP208</f>
        <v>0</v>
      </c>
      <c r="BA208" s="319" t="n">
        <f aca="false">AH208*AQ208</f>
        <v>0</v>
      </c>
      <c r="BB208" s="320" t="n">
        <f aca="false">1.25*AJ208*AP208</f>
        <v>0</v>
      </c>
      <c r="BC208" s="320" t="n">
        <f aca="false">1.25*AK208*AQ208</f>
        <v>0</v>
      </c>
      <c r="BD208" s="321" t="n">
        <f aca="false">AG208*AS208</f>
        <v>0</v>
      </c>
      <c r="BE208" s="319" t="n">
        <f aca="false">AH208*AT208</f>
        <v>0</v>
      </c>
      <c r="BF208" s="320" t="n">
        <f aca="false">AJ208*AS208</f>
        <v>0</v>
      </c>
      <c r="BG208" s="322" t="n">
        <f aca="false">AK208*AT208</f>
        <v>0</v>
      </c>
      <c r="BH208" s="324" t="str">
        <f aca="false">IF(BH$24=$AA208,($AG208*$AM208)+($AJ208*$AM208*1.25)+($AH208*$AN208)+($AK208*$AN208*1.25),"")</f>
        <v/>
      </c>
      <c r="BI208" s="325" t="str">
        <f aca="false">IF(BI$24=$AA208,($AG208*$AM208)+($AJ208*$AM208*1.25)+($AH208*$AN208)+($AK208*$AN208*1.25),"")</f>
        <v/>
      </c>
      <c r="BJ208" s="325" t="str">
        <f aca="false">IF(BJ$24=$AA208,($AG208*$AM208)+($AJ208*$AM208*1.25)+($AH208*$AN208)+($AK208*$AN208*1.25),"")</f>
        <v/>
      </c>
      <c r="BK208" s="325" t="n">
        <f aca="false">IF(BK$24=$AA208,($AG208*$AM208)+($AJ208*$AM208*1.25)+($AH208*$AN208)+($AK208*$AN208*1.25),"")</f>
        <v>0</v>
      </c>
      <c r="BL208" s="326" t="str">
        <f aca="false">IF(BL$24=$AA208,($AG208*$AM208)+($AJ208*$AM208*1.25)+($AH208*$AN208)+($AK208*$AN208*1.25),"")</f>
        <v/>
      </c>
      <c r="BM208" s="327" t="str">
        <f aca="false">IF(CONCATENATE(BH208,BI208,BJ208,BK208,BL208)="",1,"")</f>
        <v/>
      </c>
      <c r="BN208" s="328"/>
      <c r="BO208" s="328"/>
      <c r="BP208" s="328"/>
      <c r="BQ208" s="328"/>
      <c r="BR208" s="47"/>
      <c r="BS208" s="127" t="n">
        <f aca="false">(AG208*AM208)+(AH208*AN208)+((AJ208*AM208)+(AK208*AN208)*1.25)</f>
        <v>0</v>
      </c>
      <c r="BT208" s="127" t="n">
        <f aca="false">(AG208*AP208)+(AH208*AQ208)+((AJ208*AP208)+(AK208*AQ208)*1.25)</f>
        <v>0</v>
      </c>
      <c r="BU208" s="329"/>
      <c r="BV208" s="129"/>
    </row>
    <row r="209" customFormat="false" ht="15" hidden="false" customHeight="false" outlineLevel="0" collapsed="false">
      <c r="A209" s="228"/>
      <c r="B209" s="229"/>
      <c r="C209" s="230"/>
      <c r="D209" s="231"/>
      <c r="E209" s="223" t="str">
        <f aca="false">IF(SUM(A209:D209)&gt;0,SUM(A209:D209),"")</f>
        <v/>
      </c>
      <c r="F209" s="224" t="str">
        <f aca="false">AD222</f>
        <v>HUERTA</v>
      </c>
      <c r="G209" s="169"/>
      <c r="H209" s="169"/>
      <c r="I209" s="169"/>
      <c r="J209" s="169"/>
      <c r="K209" s="169"/>
      <c r="L209" s="169"/>
      <c r="M209" s="169"/>
      <c r="N209" s="169"/>
      <c r="O209" s="169"/>
      <c r="P209" s="169"/>
      <c r="Q209" s="169"/>
      <c r="R209" s="3"/>
      <c r="S209" s="3"/>
      <c r="T209" s="3"/>
      <c r="U209" s="3"/>
      <c r="V209" s="3"/>
      <c r="W209" s="3"/>
      <c r="X209" s="3"/>
      <c r="Y209" s="3"/>
      <c r="Z209" s="316" t="str">
        <f aca="false">IF(AF209&gt;0,RANK(AF209,AF$6:AF$422),"")</f>
        <v/>
      </c>
      <c r="AA209" s="134" t="n">
        <f aca="false">'O_MN, PE_UTA_UGM 2024'!N186</f>
        <v>4</v>
      </c>
      <c r="AB209" s="135" t="n">
        <f aca="false">'O_MN, PE_UTA_UGM 2024'!O186</f>
        <v>19</v>
      </c>
      <c r="AC209" s="317" t="n">
        <f aca="false">'O_MN, PE_UTA_UGM 2024'!C186</f>
        <v>187</v>
      </c>
      <c r="AD209" s="293" t="str">
        <f aca="false">IF(AB209=0,'O_MN, PE_UTA_UGM 2024'!F186,CONCATENATE('O_MN, PE_UTA_UGM 2024'!F186," ","INVERNADERO"))</f>
        <v>BORRAJA INVERNADERO</v>
      </c>
      <c r="AE209" s="89"/>
      <c r="AF209" s="123" t="n">
        <f aca="false">SUM(AG209:AH209)+SUM(AJ209:AK209)</f>
        <v>0</v>
      </c>
      <c r="AG209" s="318" t="n">
        <f aca="false">A196</f>
        <v>0</v>
      </c>
      <c r="AH209" s="319" t="n">
        <f aca="false">B196</f>
        <v>0</v>
      </c>
      <c r="AI209" s="6"/>
      <c r="AJ209" s="320" t="n">
        <f aca="false">C196</f>
        <v>0</v>
      </c>
      <c r="AK209" s="320" t="n">
        <f aca="false">D196</f>
        <v>0</v>
      </c>
      <c r="AL209" s="237" t="s">
        <v>335</v>
      </c>
      <c r="AM209" s="299" t="n">
        <f aca="false">'O_MN, PE_UTA_UGM 2024'!J186</f>
        <v>0</v>
      </c>
      <c r="AN209" s="299" t="n">
        <f aca="false">'O_MN, PE_UTA_UGM 2024'!K186</f>
        <v>80000</v>
      </c>
      <c r="AO209" s="300"/>
      <c r="AP209" s="299" t="n">
        <f aca="false">'O_MN, PE_UTA_UGM 2024'!H186</f>
        <v>0</v>
      </c>
      <c r="AQ209" s="299" t="n">
        <f aca="false">'O_MN, PE_UTA_UGM 2024'!I186</f>
        <v>36060.73</v>
      </c>
      <c r="AR209" s="301"/>
      <c r="AS209" s="302" t="n">
        <f aca="false">'O_MN, PE_UTA_UGM 2024'!L186</f>
        <v>0</v>
      </c>
      <c r="AT209" s="302" t="n">
        <f aca="false">'O_MN, PE_UTA_UGM 2024'!M186</f>
        <v>1.46978</v>
      </c>
      <c r="AU209" s="45"/>
      <c r="AV209" s="321" t="n">
        <f aca="false">AG209*AM209</f>
        <v>0</v>
      </c>
      <c r="AW209" s="319" t="n">
        <f aca="false">AH209*AN209</f>
        <v>0</v>
      </c>
      <c r="AX209" s="320" t="n">
        <f aca="false">1.25*AJ209*AM209</f>
        <v>0</v>
      </c>
      <c r="AY209" s="322" t="n">
        <f aca="false">1.25*AK209*AN209</f>
        <v>0</v>
      </c>
      <c r="AZ209" s="323" t="n">
        <f aca="false">AG209*AP209</f>
        <v>0</v>
      </c>
      <c r="BA209" s="319" t="n">
        <f aca="false">AH209*AQ209</f>
        <v>0</v>
      </c>
      <c r="BB209" s="320" t="n">
        <f aca="false">1.25*AJ209*AP209</f>
        <v>0</v>
      </c>
      <c r="BC209" s="320" t="n">
        <f aca="false">1.25*AK209*AQ209</f>
        <v>0</v>
      </c>
      <c r="BD209" s="321" t="n">
        <f aca="false">AG209*AS209</f>
        <v>0</v>
      </c>
      <c r="BE209" s="319" t="n">
        <f aca="false">AH209*AT209</f>
        <v>0</v>
      </c>
      <c r="BF209" s="320" t="n">
        <f aca="false">AJ209*AS209</f>
        <v>0</v>
      </c>
      <c r="BG209" s="322" t="n">
        <f aca="false">AK209*AT209</f>
        <v>0</v>
      </c>
      <c r="BH209" s="324" t="str">
        <f aca="false">IF(BH$24=$AA209,($AG209*$AM209)+($AJ209*$AM209*1.25)+($AH209*$AN209)+($AK209*$AN209*1.25),"")</f>
        <v/>
      </c>
      <c r="BI209" s="325" t="str">
        <f aca="false">IF(BI$24=$AA209,($AG209*$AM209)+($AJ209*$AM209*1.25)+($AH209*$AN209)+($AK209*$AN209*1.25),"")</f>
        <v/>
      </c>
      <c r="BJ209" s="325" t="str">
        <f aca="false">IF(BJ$24=$AA209,($AG209*$AM209)+($AJ209*$AM209*1.25)+($AH209*$AN209)+($AK209*$AN209*1.25),"")</f>
        <v/>
      </c>
      <c r="BK209" s="325" t="n">
        <f aca="false">IF(BK$24=$AA209,($AG209*$AM209)+($AJ209*$AM209*1.25)+($AH209*$AN209)+($AK209*$AN209*1.25),"")</f>
        <v>0</v>
      </c>
      <c r="BL209" s="326" t="str">
        <f aca="false">IF(BL$24=$AA209,($AG209*$AM209)+($AJ209*$AM209*1.25)+($AH209*$AN209)+($AK209*$AN209*1.25),"")</f>
        <v/>
      </c>
      <c r="BM209" s="327" t="str">
        <f aca="false">IF(CONCATENATE(BH209,BI209,BJ209,BK209,BL209)="",1,"")</f>
        <v/>
      </c>
      <c r="BN209" s="328"/>
      <c r="BO209" s="328"/>
      <c r="BP209" s="328"/>
      <c r="BQ209" s="328"/>
      <c r="BR209" s="47"/>
      <c r="BS209" s="127" t="n">
        <f aca="false">(AG209*AM209)+(AH209*AN209)+((AJ209*AM209)+(AK209*AN209)*1.25)</f>
        <v>0</v>
      </c>
      <c r="BT209" s="127" t="n">
        <f aca="false">(AG209*AP209)+(AH209*AQ209)+((AJ209*AP209)+(AK209*AQ209)*1.25)</f>
        <v>0</v>
      </c>
      <c r="BU209" s="329"/>
      <c r="BV209" s="129"/>
    </row>
    <row r="210" customFormat="false" ht="15" hidden="false" customHeight="false" outlineLevel="0" collapsed="false">
      <c r="A210" s="228"/>
      <c r="B210" s="229"/>
      <c r="C210" s="230"/>
      <c r="D210" s="231"/>
      <c r="E210" s="223" t="str">
        <f aca="false">IF(SUM(A210:D210)&gt;0,SUM(A210:D210),"")</f>
        <v/>
      </c>
      <c r="F210" s="224" t="str">
        <f aca="false">AD223</f>
        <v>HUERTA INVERNADERO</v>
      </c>
      <c r="G210" s="169"/>
      <c r="H210" s="169"/>
      <c r="I210" s="169"/>
      <c r="J210" s="169"/>
      <c r="K210" s="169"/>
      <c r="L210" s="169"/>
      <c r="M210" s="169"/>
      <c r="N210" s="169"/>
      <c r="O210" s="169"/>
      <c r="P210" s="169"/>
      <c r="Q210" s="169"/>
      <c r="R210" s="3"/>
      <c r="S210" s="3"/>
      <c r="T210" s="3"/>
      <c r="U210" s="3"/>
      <c r="V210" s="3"/>
      <c r="W210" s="3"/>
      <c r="X210" s="3"/>
      <c r="Y210" s="3"/>
      <c r="Z210" s="316" t="str">
        <f aca="false">IF(AF210&gt;0,RANK(AF210,AF$6:AF$422),"")</f>
        <v/>
      </c>
      <c r="AA210" s="134" t="n">
        <f aca="false">'O_MN, PE_UTA_UGM 2024'!N187</f>
        <v>4</v>
      </c>
      <c r="AB210" s="135" t="n">
        <f aca="false">'O_MN, PE_UTA_UGM 2024'!O187</f>
        <v>0</v>
      </c>
      <c r="AC210" s="317" t="n">
        <f aca="false">'O_MN, PE_UTA_UGM 2024'!C187</f>
        <v>189</v>
      </c>
      <c r="AD210" s="293" t="str">
        <f aca="false">IF(AB210=0,'O_MN, PE_UTA_UGM 2024'!F187,CONCATENATE('O_MN, PE_UTA_UGM 2024'!F187," ","INVERNADERO"))</f>
        <v>ESCAROLA</v>
      </c>
      <c r="AE210" s="89"/>
      <c r="AF210" s="123" t="n">
        <f aca="false">SUM(AG210:AH210)+SUM(AJ210:AK210)</f>
        <v>0</v>
      </c>
      <c r="AG210" s="318" t="n">
        <f aca="false">A197</f>
        <v>0</v>
      </c>
      <c r="AH210" s="319" t="n">
        <f aca="false">B197</f>
        <v>0</v>
      </c>
      <c r="AI210" s="6"/>
      <c r="AJ210" s="320" t="n">
        <f aca="false">C197</f>
        <v>0</v>
      </c>
      <c r="AK210" s="320" t="n">
        <f aca="false">D197</f>
        <v>0</v>
      </c>
      <c r="AL210" s="237" t="s">
        <v>336</v>
      </c>
      <c r="AM210" s="299" t="n">
        <f aca="false">'O_MN, PE_UTA_UGM 2024'!J187</f>
        <v>575</v>
      </c>
      <c r="AN210" s="299" t="n">
        <f aca="false">'O_MN, PE_UTA_UGM 2024'!K187</f>
        <v>7200</v>
      </c>
      <c r="AO210" s="300"/>
      <c r="AP210" s="299" t="n">
        <f aca="false">'O_MN, PE_UTA_UGM 2024'!H187</f>
        <v>360.61</v>
      </c>
      <c r="AQ210" s="299" t="n">
        <f aca="false">'O_MN, PE_UTA_UGM 2024'!I187</f>
        <v>1352.28</v>
      </c>
      <c r="AR210" s="301"/>
      <c r="AS210" s="302" t="n">
        <f aca="false">'O_MN, PE_UTA_UGM 2024'!L187</f>
        <v>0.0147</v>
      </c>
      <c r="AT210" s="302" t="n">
        <f aca="false">'O_MN, PE_UTA_UGM 2024'!M187</f>
        <v>0.05512</v>
      </c>
      <c r="AU210" s="45"/>
      <c r="AV210" s="321" t="n">
        <f aca="false">AG210*AM210</f>
        <v>0</v>
      </c>
      <c r="AW210" s="319" t="n">
        <f aca="false">AH210*AN210</f>
        <v>0</v>
      </c>
      <c r="AX210" s="320" t="n">
        <f aca="false">1.25*AJ210*AM210</f>
        <v>0</v>
      </c>
      <c r="AY210" s="322" t="n">
        <f aca="false">1.25*AK210*AN210</f>
        <v>0</v>
      </c>
      <c r="AZ210" s="323" t="n">
        <f aca="false">AG210*AP210</f>
        <v>0</v>
      </c>
      <c r="BA210" s="319" t="n">
        <f aca="false">AH210*AQ210</f>
        <v>0</v>
      </c>
      <c r="BB210" s="320" t="n">
        <f aca="false">1.25*AJ210*AP210</f>
        <v>0</v>
      </c>
      <c r="BC210" s="320" t="n">
        <f aca="false">1.25*AK210*AQ210</f>
        <v>0</v>
      </c>
      <c r="BD210" s="321" t="n">
        <f aca="false">AG210*AS210</f>
        <v>0</v>
      </c>
      <c r="BE210" s="319" t="n">
        <f aca="false">AH210*AT210</f>
        <v>0</v>
      </c>
      <c r="BF210" s="320" t="n">
        <f aca="false">AJ210*AS210</f>
        <v>0</v>
      </c>
      <c r="BG210" s="322" t="n">
        <f aca="false">AK210*AT210</f>
        <v>0</v>
      </c>
      <c r="BH210" s="324" t="str">
        <f aca="false">IF(BH$24=$AA210,($AG210*$AM210)+($AJ210*$AM210*1.25)+($AH210*$AN210)+($AK210*$AN210*1.25),"")</f>
        <v/>
      </c>
      <c r="BI210" s="325" t="str">
        <f aca="false">IF(BI$24=$AA210,($AG210*$AM210)+($AJ210*$AM210*1.25)+($AH210*$AN210)+($AK210*$AN210*1.25),"")</f>
        <v/>
      </c>
      <c r="BJ210" s="325" t="str">
        <f aca="false">IF(BJ$24=$AA210,($AG210*$AM210)+($AJ210*$AM210*1.25)+($AH210*$AN210)+($AK210*$AN210*1.25),"")</f>
        <v/>
      </c>
      <c r="BK210" s="325" t="n">
        <f aca="false">IF(BK$24=$AA210,($AG210*$AM210)+($AJ210*$AM210*1.25)+($AH210*$AN210)+($AK210*$AN210*1.25),"")</f>
        <v>0</v>
      </c>
      <c r="BL210" s="326" t="str">
        <f aca="false">IF(BL$24=$AA210,($AG210*$AM210)+($AJ210*$AM210*1.25)+($AH210*$AN210)+($AK210*$AN210*1.25),"")</f>
        <v/>
      </c>
      <c r="BM210" s="327" t="str">
        <f aca="false">IF(CONCATENATE(BH210,BI210,BJ210,BK210,BL210)="",1,"")</f>
        <v/>
      </c>
      <c r="BN210" s="328"/>
      <c r="BO210" s="328"/>
      <c r="BP210" s="328"/>
      <c r="BQ210" s="328"/>
      <c r="BR210" s="47"/>
      <c r="BS210" s="127" t="n">
        <f aca="false">(AG210*AM210)+(AH210*AN210)+((AJ210*AM210)+(AK210*AN210)*1.25)</f>
        <v>0</v>
      </c>
      <c r="BT210" s="127" t="n">
        <f aca="false">(AG210*AP210)+(AH210*AQ210)+((AJ210*AP210)+(AK210*AQ210)*1.25)</f>
        <v>0</v>
      </c>
      <c r="BU210" s="329"/>
      <c r="BV210" s="129"/>
    </row>
    <row r="211" customFormat="false" ht="15" hidden="false" customHeight="false" outlineLevel="0" collapsed="false">
      <c r="A211" s="228"/>
      <c r="B211" s="229"/>
      <c r="C211" s="230"/>
      <c r="D211" s="231"/>
      <c r="E211" s="223" t="str">
        <f aca="false">IF(SUM(A211:D211)&gt;0,SUM(A211:D211),"")</f>
        <v/>
      </c>
      <c r="F211" s="224" t="str">
        <f aca="false">AD224</f>
        <v>HUERTA INVERNADERO</v>
      </c>
      <c r="G211" s="169"/>
      <c r="H211" s="169"/>
      <c r="I211" s="169"/>
      <c r="J211" s="169"/>
      <c r="K211" s="169"/>
      <c r="L211" s="169"/>
      <c r="M211" s="169"/>
      <c r="N211" s="169"/>
      <c r="O211" s="169"/>
      <c r="P211" s="169"/>
      <c r="Q211" s="169"/>
      <c r="R211" s="3"/>
      <c r="S211" s="3"/>
      <c r="T211" s="3"/>
      <c r="U211" s="3"/>
      <c r="V211" s="3"/>
      <c r="W211" s="3"/>
      <c r="X211" s="3"/>
      <c r="Y211" s="3"/>
      <c r="Z211" s="316" t="str">
        <f aca="false">IF(AF211&gt;0,RANK(AF211,AF$6:AF$422),"")</f>
        <v/>
      </c>
      <c r="AA211" s="134" t="n">
        <f aca="false">'O_MN, PE_UTA_UGM 2024'!N188</f>
        <v>4</v>
      </c>
      <c r="AB211" s="135" t="n">
        <f aca="false">'O_MN, PE_UTA_UGM 2024'!O188</f>
        <v>4</v>
      </c>
      <c r="AC211" s="317" t="n">
        <f aca="false">'O_MN, PE_UTA_UGM 2024'!C188</f>
        <v>189</v>
      </c>
      <c r="AD211" s="293" t="str">
        <f aca="false">IF(AB211=0,'O_MN, PE_UTA_UGM 2024'!F188,CONCATENATE('O_MN, PE_UTA_UGM 2024'!F188," ","INVERNADERO"))</f>
        <v>ESCAROLA INVERNADERO</v>
      </c>
      <c r="AE211" s="89"/>
      <c r="AF211" s="123" t="n">
        <f aca="false">SUM(AG211:AH211)+SUM(AJ211:AK211)</f>
        <v>0</v>
      </c>
      <c r="AG211" s="318" t="n">
        <f aca="false">A198</f>
        <v>0</v>
      </c>
      <c r="AH211" s="319" t="n">
        <f aca="false">B198</f>
        <v>0</v>
      </c>
      <c r="AI211" s="6"/>
      <c r="AJ211" s="320" t="n">
        <f aca="false">C198</f>
        <v>0</v>
      </c>
      <c r="AK211" s="320" t="n">
        <f aca="false">D198</f>
        <v>0</v>
      </c>
      <c r="AL211" s="237" t="s">
        <v>337</v>
      </c>
      <c r="AM211" s="299" t="n">
        <f aca="false">'O_MN, PE_UTA_UGM 2024'!J188</f>
        <v>0</v>
      </c>
      <c r="AN211" s="299" t="n">
        <f aca="false">'O_MN, PE_UTA_UGM 2024'!K188</f>
        <v>80000</v>
      </c>
      <c r="AO211" s="300"/>
      <c r="AP211" s="299" t="n">
        <f aca="false">'O_MN, PE_UTA_UGM 2024'!H188</f>
        <v>0</v>
      </c>
      <c r="AQ211" s="299" t="n">
        <f aca="false">'O_MN, PE_UTA_UGM 2024'!I188</f>
        <v>36060.73</v>
      </c>
      <c r="AR211" s="301"/>
      <c r="AS211" s="302" t="n">
        <f aca="false">'O_MN, PE_UTA_UGM 2024'!L188</f>
        <v>0</v>
      </c>
      <c r="AT211" s="302" t="n">
        <f aca="false">'O_MN, PE_UTA_UGM 2024'!M188</f>
        <v>1.46978</v>
      </c>
      <c r="AU211" s="45"/>
      <c r="AV211" s="321" t="n">
        <f aca="false">AG211*AM211</f>
        <v>0</v>
      </c>
      <c r="AW211" s="319" t="n">
        <f aca="false">AH211*AN211</f>
        <v>0</v>
      </c>
      <c r="AX211" s="320" t="n">
        <f aca="false">1.25*AJ211*AM211</f>
        <v>0</v>
      </c>
      <c r="AY211" s="322" t="n">
        <f aca="false">1.25*AK211*AN211</f>
        <v>0</v>
      </c>
      <c r="AZ211" s="323" t="n">
        <f aca="false">AG211*AP211</f>
        <v>0</v>
      </c>
      <c r="BA211" s="319" t="n">
        <f aca="false">AH211*AQ211</f>
        <v>0</v>
      </c>
      <c r="BB211" s="320" t="n">
        <f aca="false">1.25*AJ211*AP211</f>
        <v>0</v>
      </c>
      <c r="BC211" s="320" t="n">
        <f aca="false">1.25*AK211*AQ211</f>
        <v>0</v>
      </c>
      <c r="BD211" s="321" t="n">
        <f aca="false">AG211*AS211</f>
        <v>0</v>
      </c>
      <c r="BE211" s="319" t="n">
        <f aca="false">AH211*AT211</f>
        <v>0</v>
      </c>
      <c r="BF211" s="320" t="n">
        <f aca="false">AJ211*AS211</f>
        <v>0</v>
      </c>
      <c r="BG211" s="322" t="n">
        <f aca="false">AK211*AT211</f>
        <v>0</v>
      </c>
      <c r="BH211" s="324" t="str">
        <f aca="false">IF(BH$24=$AA211,($AG211*$AM211)+($AJ211*$AM211*1.25)+($AH211*$AN211)+($AK211*$AN211*1.25),"")</f>
        <v/>
      </c>
      <c r="BI211" s="325" t="str">
        <f aca="false">IF(BI$24=$AA211,($AG211*$AM211)+($AJ211*$AM211*1.25)+($AH211*$AN211)+($AK211*$AN211*1.25),"")</f>
        <v/>
      </c>
      <c r="BJ211" s="325" t="str">
        <f aca="false">IF(BJ$24=$AA211,($AG211*$AM211)+($AJ211*$AM211*1.25)+($AH211*$AN211)+($AK211*$AN211*1.25),"")</f>
        <v/>
      </c>
      <c r="BK211" s="325" t="n">
        <f aca="false">IF(BK$24=$AA211,($AG211*$AM211)+($AJ211*$AM211*1.25)+($AH211*$AN211)+($AK211*$AN211*1.25),"")</f>
        <v>0</v>
      </c>
      <c r="BL211" s="326" t="str">
        <f aca="false">IF(BL$24=$AA211,($AG211*$AM211)+($AJ211*$AM211*1.25)+($AH211*$AN211)+($AK211*$AN211*1.25),"")</f>
        <v/>
      </c>
      <c r="BM211" s="327" t="str">
        <f aca="false">IF(CONCATENATE(BH211,BI211,BJ211,BK211,BL211)="",1,"")</f>
        <v/>
      </c>
      <c r="BN211" s="328"/>
      <c r="BO211" s="328"/>
      <c r="BP211" s="328"/>
      <c r="BQ211" s="328"/>
      <c r="BR211" s="47"/>
      <c r="BS211" s="127" t="n">
        <f aca="false">(AG211*AM211)+(AH211*AN211)+((AJ211*AM211)+(AK211*AN211)*1.25)</f>
        <v>0</v>
      </c>
      <c r="BT211" s="127" t="n">
        <f aca="false">(AG211*AP211)+(AH211*AQ211)+((AJ211*AP211)+(AK211*AQ211)*1.25)</f>
        <v>0</v>
      </c>
      <c r="BU211" s="329"/>
      <c r="BV211" s="129"/>
    </row>
    <row r="212" customFormat="false" ht="15" hidden="false" customHeight="false" outlineLevel="0" collapsed="false">
      <c r="A212" s="228"/>
      <c r="B212" s="229"/>
      <c r="C212" s="230"/>
      <c r="D212" s="231"/>
      <c r="E212" s="223" t="str">
        <f aca="false">IF(SUM(A212:D212)&gt;0,SUM(A212:D212),"")</f>
        <v/>
      </c>
      <c r="F212" s="224" t="str">
        <f aca="false">AD225</f>
        <v>CHAMPIÑÓN</v>
      </c>
      <c r="G212" s="169"/>
      <c r="H212" s="169"/>
      <c r="I212" s="169"/>
      <c r="J212" s="169"/>
      <c r="K212" s="169"/>
      <c r="L212" s="169"/>
      <c r="M212" s="169"/>
      <c r="N212" s="169"/>
      <c r="O212" s="169"/>
      <c r="P212" s="169"/>
      <c r="Q212" s="169"/>
      <c r="R212" s="3"/>
      <c r="S212" s="3"/>
      <c r="T212" s="3"/>
      <c r="U212" s="3"/>
      <c r="V212" s="3"/>
      <c r="W212" s="3"/>
      <c r="X212" s="3"/>
      <c r="Y212" s="3"/>
      <c r="Z212" s="316" t="str">
        <f aca="false">IF(AF212&gt;0,RANK(AF212,AF$6:AF$422),"")</f>
        <v/>
      </c>
      <c r="AA212" s="134" t="n">
        <f aca="false">'O_MN, PE_UTA_UGM 2024'!N189</f>
        <v>4</v>
      </c>
      <c r="AB212" s="135" t="n">
        <f aca="false">'O_MN, PE_UTA_UGM 2024'!O189</f>
        <v>19</v>
      </c>
      <c r="AC212" s="317" t="n">
        <f aca="false">'O_MN, PE_UTA_UGM 2024'!C189</f>
        <v>189</v>
      </c>
      <c r="AD212" s="293" t="str">
        <f aca="false">IF(AB212=0,'O_MN, PE_UTA_UGM 2024'!F189,CONCATENATE('O_MN, PE_UTA_UGM 2024'!F189," ","INVERNADERO"))</f>
        <v>ESCAROLA INVERNADERO</v>
      </c>
      <c r="AE212" s="89"/>
      <c r="AF212" s="123" t="n">
        <f aca="false">SUM(AG212:AH212)+SUM(AJ212:AK212)</f>
        <v>0</v>
      </c>
      <c r="AG212" s="318" t="n">
        <f aca="false">A199</f>
        <v>0</v>
      </c>
      <c r="AH212" s="319" t="n">
        <f aca="false">B199</f>
        <v>0</v>
      </c>
      <c r="AI212" s="6"/>
      <c r="AJ212" s="320" t="n">
        <f aca="false">C199</f>
        <v>0</v>
      </c>
      <c r="AK212" s="320" t="n">
        <f aca="false">D199</f>
        <v>0</v>
      </c>
      <c r="AL212" s="237" t="s">
        <v>338</v>
      </c>
      <c r="AM212" s="299" t="n">
        <f aca="false">'O_MN, PE_UTA_UGM 2024'!J189</f>
        <v>0</v>
      </c>
      <c r="AN212" s="299" t="n">
        <f aca="false">'O_MN, PE_UTA_UGM 2024'!K189</f>
        <v>80000</v>
      </c>
      <c r="AO212" s="300"/>
      <c r="AP212" s="299" t="n">
        <f aca="false">'O_MN, PE_UTA_UGM 2024'!H189</f>
        <v>0</v>
      </c>
      <c r="AQ212" s="299" t="n">
        <f aca="false">'O_MN, PE_UTA_UGM 2024'!I189</f>
        <v>36060.73</v>
      </c>
      <c r="AR212" s="301"/>
      <c r="AS212" s="302" t="n">
        <f aca="false">'O_MN, PE_UTA_UGM 2024'!L189</f>
        <v>0</v>
      </c>
      <c r="AT212" s="302" t="n">
        <f aca="false">'O_MN, PE_UTA_UGM 2024'!M189</f>
        <v>1.46978</v>
      </c>
      <c r="AU212" s="45"/>
      <c r="AV212" s="321" t="n">
        <f aca="false">AG212*AM212</f>
        <v>0</v>
      </c>
      <c r="AW212" s="319" t="n">
        <f aca="false">AH212*AN212</f>
        <v>0</v>
      </c>
      <c r="AX212" s="320" t="n">
        <f aca="false">1.25*AJ212*AM212</f>
        <v>0</v>
      </c>
      <c r="AY212" s="322" t="n">
        <f aca="false">1.25*AK212*AN212</f>
        <v>0</v>
      </c>
      <c r="AZ212" s="323" t="n">
        <f aca="false">AG212*AP212</f>
        <v>0</v>
      </c>
      <c r="BA212" s="319" t="n">
        <f aca="false">AH212*AQ212</f>
        <v>0</v>
      </c>
      <c r="BB212" s="320" t="n">
        <f aca="false">1.25*AJ212*AP212</f>
        <v>0</v>
      </c>
      <c r="BC212" s="320" t="n">
        <f aca="false">1.25*AK212*AQ212</f>
        <v>0</v>
      </c>
      <c r="BD212" s="321" t="n">
        <f aca="false">AG212*AS212</f>
        <v>0</v>
      </c>
      <c r="BE212" s="319" t="n">
        <f aca="false">AH212*AT212</f>
        <v>0</v>
      </c>
      <c r="BF212" s="320" t="n">
        <f aca="false">AJ212*AS212</f>
        <v>0</v>
      </c>
      <c r="BG212" s="322" t="n">
        <f aca="false">AK212*AT212</f>
        <v>0</v>
      </c>
      <c r="BH212" s="324" t="str">
        <f aca="false">IF(BH$24=$AA212,($AG212*$AM212)+($AJ212*$AM212*1.25)+($AH212*$AN212)+($AK212*$AN212*1.25),"")</f>
        <v/>
      </c>
      <c r="BI212" s="325" t="str">
        <f aca="false">IF(BI$24=$AA212,($AG212*$AM212)+($AJ212*$AM212*1.25)+($AH212*$AN212)+($AK212*$AN212*1.25),"")</f>
        <v/>
      </c>
      <c r="BJ212" s="325" t="str">
        <f aca="false">IF(BJ$24=$AA212,($AG212*$AM212)+($AJ212*$AM212*1.25)+($AH212*$AN212)+($AK212*$AN212*1.25),"")</f>
        <v/>
      </c>
      <c r="BK212" s="325" t="n">
        <f aca="false">IF(BK$24=$AA212,($AG212*$AM212)+($AJ212*$AM212*1.25)+($AH212*$AN212)+($AK212*$AN212*1.25),"")</f>
        <v>0</v>
      </c>
      <c r="BL212" s="326" t="str">
        <f aca="false">IF(BL$24=$AA212,($AG212*$AM212)+($AJ212*$AM212*1.25)+($AH212*$AN212)+($AK212*$AN212*1.25),"")</f>
        <v/>
      </c>
      <c r="BM212" s="327" t="str">
        <f aca="false">IF(CONCATENATE(BH212,BI212,BJ212,BK212,BL212)="",1,"")</f>
        <v/>
      </c>
      <c r="BN212" s="328"/>
      <c r="BO212" s="328"/>
      <c r="BP212" s="328"/>
      <c r="BQ212" s="328"/>
      <c r="BR212" s="47"/>
      <c r="BS212" s="127" t="n">
        <f aca="false">(AG212*AM212)+(AH212*AN212)+((AJ212*AM212)+(AK212*AN212)*1.25)</f>
        <v>0</v>
      </c>
      <c r="BT212" s="127" t="n">
        <f aca="false">(AG212*AP212)+(AH212*AQ212)+((AJ212*AP212)+(AK212*AQ212)*1.25)</f>
        <v>0</v>
      </c>
      <c r="BU212" s="329"/>
      <c r="BV212" s="129"/>
    </row>
    <row r="213" customFormat="false" ht="15" hidden="false" customHeight="false" outlineLevel="0" collapsed="false">
      <c r="A213" s="228"/>
      <c r="B213" s="229"/>
      <c r="C213" s="230"/>
      <c r="D213" s="231"/>
      <c r="E213" s="223" t="str">
        <f aca="false">IF(SUM(A213:D213)&gt;0,SUM(A213:D213),"")</f>
        <v/>
      </c>
      <c r="F213" s="224" t="str">
        <f aca="false">AD226</f>
        <v>TOMATE</v>
      </c>
      <c r="G213" s="169"/>
      <c r="H213" s="169"/>
      <c r="I213" s="169"/>
      <c r="J213" s="169"/>
      <c r="K213" s="169"/>
      <c r="L213" s="169"/>
      <c r="M213" s="169"/>
      <c r="N213" s="169"/>
      <c r="O213" s="169"/>
      <c r="P213" s="169"/>
      <c r="Q213" s="169"/>
      <c r="R213" s="3"/>
      <c r="S213" s="3"/>
      <c r="T213" s="3"/>
      <c r="U213" s="3"/>
      <c r="V213" s="3"/>
      <c r="W213" s="3"/>
      <c r="X213" s="3"/>
      <c r="Y213" s="3"/>
      <c r="Z213" s="316" t="str">
        <f aca="false">IF(AF213&gt;0,RANK(AF213,AF$6:AF$422),"")</f>
        <v/>
      </c>
      <c r="AA213" s="134" t="n">
        <f aca="false">'O_MN, PE_UTA_UGM 2024'!N190</f>
        <v>4</v>
      </c>
      <c r="AB213" s="135" t="n">
        <f aca="false">'O_MN, PE_UTA_UGM 2024'!O190</f>
        <v>0</v>
      </c>
      <c r="AC213" s="317" t="n">
        <f aca="false">'O_MN, PE_UTA_UGM 2024'!C190</f>
        <v>190</v>
      </c>
      <c r="AD213" s="293" t="str">
        <f aca="false">IF(AB213=0,'O_MN, PE_UTA_UGM 2024'!F190,CONCATENATE('O_MN, PE_UTA_UGM 2024'!F190," ","INVERNADERO"))</f>
        <v>RÁBANO</v>
      </c>
      <c r="AE213" s="89"/>
      <c r="AF213" s="123" t="n">
        <f aca="false">SUM(AG213:AH213)+SUM(AJ213:AK213)</f>
        <v>0</v>
      </c>
      <c r="AG213" s="318" t="n">
        <f aca="false">A200</f>
        <v>0</v>
      </c>
      <c r="AH213" s="319" t="n">
        <f aca="false">B200</f>
        <v>0</v>
      </c>
      <c r="AI213" s="6"/>
      <c r="AJ213" s="320" t="n">
        <f aca="false">C200</f>
        <v>0</v>
      </c>
      <c r="AK213" s="320" t="n">
        <f aca="false">D200</f>
        <v>0</v>
      </c>
      <c r="AL213" s="237" t="s">
        <v>339</v>
      </c>
      <c r="AM213" s="299" t="n">
        <f aca="false">'O_MN, PE_UTA_UGM 2024'!J190</f>
        <v>575</v>
      </c>
      <c r="AN213" s="299" t="n">
        <f aca="false">'O_MN, PE_UTA_UGM 2024'!K190</f>
        <v>5200</v>
      </c>
      <c r="AO213" s="300"/>
      <c r="AP213" s="299" t="n">
        <f aca="false">'O_MN, PE_UTA_UGM 2024'!H190</f>
        <v>360.61</v>
      </c>
      <c r="AQ213" s="299" t="n">
        <f aca="false">'O_MN, PE_UTA_UGM 2024'!I190</f>
        <v>1352.28</v>
      </c>
      <c r="AR213" s="301"/>
      <c r="AS213" s="302" t="n">
        <f aca="false">'O_MN, PE_UTA_UGM 2024'!L190</f>
        <v>0.0147</v>
      </c>
      <c r="AT213" s="302" t="n">
        <f aca="false">'O_MN, PE_UTA_UGM 2024'!M190</f>
        <v>0.05512</v>
      </c>
      <c r="AU213" s="45"/>
      <c r="AV213" s="321" t="n">
        <f aca="false">AG213*AM213</f>
        <v>0</v>
      </c>
      <c r="AW213" s="319" t="n">
        <f aca="false">AH213*AN213</f>
        <v>0</v>
      </c>
      <c r="AX213" s="320" t="n">
        <f aca="false">1.25*AJ213*AM213</f>
        <v>0</v>
      </c>
      <c r="AY213" s="322" t="n">
        <f aca="false">1.25*AK213*AN213</f>
        <v>0</v>
      </c>
      <c r="AZ213" s="323" t="n">
        <f aca="false">AG213*AP213</f>
        <v>0</v>
      </c>
      <c r="BA213" s="319" t="n">
        <f aca="false">AH213*AQ213</f>
        <v>0</v>
      </c>
      <c r="BB213" s="320" t="n">
        <f aca="false">1.25*AJ213*AP213</f>
        <v>0</v>
      </c>
      <c r="BC213" s="320" t="n">
        <f aca="false">1.25*AK213*AQ213</f>
        <v>0</v>
      </c>
      <c r="BD213" s="321" t="n">
        <f aca="false">AG213*AS213</f>
        <v>0</v>
      </c>
      <c r="BE213" s="319" t="n">
        <f aca="false">AH213*AT213</f>
        <v>0</v>
      </c>
      <c r="BF213" s="320" t="n">
        <f aca="false">AJ213*AS213</f>
        <v>0</v>
      </c>
      <c r="BG213" s="322" t="n">
        <f aca="false">AK213*AT213</f>
        <v>0</v>
      </c>
      <c r="BH213" s="324" t="str">
        <f aca="false">IF(BH$24=$AA213,($AG213*$AM213)+($AJ213*$AM213*1.25)+($AH213*$AN213)+($AK213*$AN213*1.25),"")</f>
        <v/>
      </c>
      <c r="BI213" s="325" t="str">
        <f aca="false">IF(BI$24=$AA213,($AG213*$AM213)+($AJ213*$AM213*1.25)+($AH213*$AN213)+($AK213*$AN213*1.25),"")</f>
        <v/>
      </c>
      <c r="BJ213" s="325" t="str">
        <f aca="false">IF(BJ$24=$AA213,($AG213*$AM213)+($AJ213*$AM213*1.25)+($AH213*$AN213)+($AK213*$AN213*1.25),"")</f>
        <v/>
      </c>
      <c r="BK213" s="325" t="n">
        <f aca="false">IF(BK$24=$AA213,($AG213*$AM213)+($AJ213*$AM213*1.25)+($AH213*$AN213)+($AK213*$AN213*1.25),"")</f>
        <v>0</v>
      </c>
      <c r="BL213" s="326" t="str">
        <f aca="false">IF(BL$24=$AA213,($AG213*$AM213)+($AJ213*$AM213*1.25)+($AH213*$AN213)+($AK213*$AN213*1.25),"")</f>
        <v/>
      </c>
      <c r="BM213" s="327" t="str">
        <f aca="false">IF(CONCATENATE(BH213,BI213,BJ213,BK213,BL213)="",1,"")</f>
        <v/>
      </c>
      <c r="BN213" s="328"/>
      <c r="BO213" s="328"/>
      <c r="BP213" s="328"/>
      <c r="BQ213" s="328"/>
      <c r="BR213" s="47"/>
      <c r="BS213" s="127" t="n">
        <f aca="false">(AG213*AM213)+(AH213*AN213)+((AJ213*AM213)+(AK213*AN213)*1.25)</f>
        <v>0</v>
      </c>
      <c r="BT213" s="127" t="n">
        <f aca="false">(AG213*AP213)+(AH213*AQ213)+((AJ213*AP213)+(AK213*AQ213)*1.25)</f>
        <v>0</v>
      </c>
      <c r="BU213" s="329"/>
      <c r="BV213" s="129"/>
    </row>
    <row r="214" customFormat="false" ht="15" hidden="false" customHeight="false" outlineLevel="0" collapsed="false">
      <c r="A214" s="228"/>
      <c r="B214" s="229"/>
      <c r="C214" s="230"/>
      <c r="D214" s="231"/>
      <c r="E214" s="223" t="str">
        <f aca="false">IF(SUM(A214:D214)&gt;0,SUM(A214:D214),"")</f>
        <v/>
      </c>
      <c r="F214" s="224" t="str">
        <f aca="false">AD227</f>
        <v>TOMATE INVERNADERO</v>
      </c>
      <c r="G214" s="169"/>
      <c r="H214" s="169"/>
      <c r="I214" s="169"/>
      <c r="J214" s="169"/>
      <c r="K214" s="169"/>
      <c r="L214" s="169"/>
      <c r="M214" s="169"/>
      <c r="N214" s="169"/>
      <c r="O214" s="169"/>
      <c r="P214" s="169"/>
      <c r="Q214" s="169"/>
      <c r="R214" s="3"/>
      <c r="S214" s="3"/>
      <c r="T214" s="3"/>
      <c r="U214" s="3"/>
      <c r="V214" s="3"/>
      <c r="W214" s="3"/>
      <c r="X214" s="3"/>
      <c r="Y214" s="3"/>
      <c r="Z214" s="316" t="str">
        <f aca="false">IF(AF214&gt;0,RANK(AF214,AF$6:AF$422),"")</f>
        <v/>
      </c>
      <c r="AA214" s="134" t="n">
        <f aca="false">'O_MN, PE_UTA_UGM 2024'!N191</f>
        <v>4</v>
      </c>
      <c r="AB214" s="135" t="n">
        <f aca="false">'O_MN, PE_UTA_UGM 2024'!O191</f>
        <v>4</v>
      </c>
      <c r="AC214" s="317" t="n">
        <f aca="false">'O_MN, PE_UTA_UGM 2024'!C191</f>
        <v>190</v>
      </c>
      <c r="AD214" s="293" t="str">
        <f aca="false">IF(AB214=0,'O_MN, PE_UTA_UGM 2024'!F191,CONCATENATE('O_MN, PE_UTA_UGM 2024'!F191," ","INVERNADERO"))</f>
        <v>RÁBANO INVERNADERO</v>
      </c>
      <c r="AE214" s="89"/>
      <c r="AF214" s="123" t="n">
        <f aca="false">SUM(AG214:AH214)+SUM(AJ214:AK214)</f>
        <v>0</v>
      </c>
      <c r="AG214" s="318" t="n">
        <f aca="false">A201</f>
        <v>0</v>
      </c>
      <c r="AH214" s="319" t="n">
        <f aca="false">B201</f>
        <v>0</v>
      </c>
      <c r="AI214" s="6"/>
      <c r="AJ214" s="320" t="n">
        <f aca="false">C201</f>
        <v>0</v>
      </c>
      <c r="AK214" s="320" t="n">
        <f aca="false">D201</f>
        <v>0</v>
      </c>
      <c r="AL214" s="237" t="s">
        <v>340</v>
      </c>
      <c r="AM214" s="299" t="n">
        <f aca="false">'O_MN, PE_UTA_UGM 2024'!J191</f>
        <v>0</v>
      </c>
      <c r="AN214" s="299" t="n">
        <f aca="false">'O_MN, PE_UTA_UGM 2024'!K191</f>
        <v>80000</v>
      </c>
      <c r="AO214" s="300"/>
      <c r="AP214" s="299" t="n">
        <f aca="false">'O_MN, PE_UTA_UGM 2024'!H191</f>
        <v>0</v>
      </c>
      <c r="AQ214" s="299" t="n">
        <f aca="false">'O_MN, PE_UTA_UGM 2024'!I191</f>
        <v>36060.73</v>
      </c>
      <c r="AR214" s="301"/>
      <c r="AS214" s="302" t="n">
        <f aca="false">'O_MN, PE_UTA_UGM 2024'!L191</f>
        <v>0</v>
      </c>
      <c r="AT214" s="302" t="n">
        <f aca="false">'O_MN, PE_UTA_UGM 2024'!M191</f>
        <v>1.46978</v>
      </c>
      <c r="AU214" s="45"/>
      <c r="AV214" s="321" t="n">
        <f aca="false">AG214*AM214</f>
        <v>0</v>
      </c>
      <c r="AW214" s="319" t="n">
        <f aca="false">AH214*AN214</f>
        <v>0</v>
      </c>
      <c r="AX214" s="320" t="n">
        <f aca="false">1.25*AJ214*AM214</f>
        <v>0</v>
      </c>
      <c r="AY214" s="322" t="n">
        <f aca="false">1.25*AK214*AN214</f>
        <v>0</v>
      </c>
      <c r="AZ214" s="323" t="n">
        <f aca="false">AG214*AP214</f>
        <v>0</v>
      </c>
      <c r="BA214" s="319" t="n">
        <f aca="false">AH214*AQ214</f>
        <v>0</v>
      </c>
      <c r="BB214" s="320" t="n">
        <f aca="false">1.25*AJ214*AP214</f>
        <v>0</v>
      </c>
      <c r="BC214" s="320" t="n">
        <f aca="false">1.25*AK214*AQ214</f>
        <v>0</v>
      </c>
      <c r="BD214" s="321" t="n">
        <f aca="false">AG214*AS214</f>
        <v>0</v>
      </c>
      <c r="BE214" s="319" t="n">
        <f aca="false">AH214*AT214</f>
        <v>0</v>
      </c>
      <c r="BF214" s="320" t="n">
        <f aca="false">AJ214*AS214</f>
        <v>0</v>
      </c>
      <c r="BG214" s="322" t="n">
        <f aca="false">AK214*AT214</f>
        <v>0</v>
      </c>
      <c r="BH214" s="324" t="str">
        <f aca="false">IF(BH$24=$AA214,($AG214*$AM214)+($AJ214*$AM214*1.25)+($AH214*$AN214)+($AK214*$AN214*1.25),"")</f>
        <v/>
      </c>
      <c r="BI214" s="325" t="str">
        <f aca="false">IF(BI$24=$AA214,($AG214*$AM214)+($AJ214*$AM214*1.25)+($AH214*$AN214)+($AK214*$AN214*1.25),"")</f>
        <v/>
      </c>
      <c r="BJ214" s="325" t="str">
        <f aca="false">IF(BJ$24=$AA214,($AG214*$AM214)+($AJ214*$AM214*1.25)+($AH214*$AN214)+($AK214*$AN214*1.25),"")</f>
        <v/>
      </c>
      <c r="BK214" s="325" t="n">
        <f aca="false">IF(BK$24=$AA214,($AG214*$AM214)+($AJ214*$AM214*1.25)+($AH214*$AN214)+($AK214*$AN214*1.25),"")</f>
        <v>0</v>
      </c>
      <c r="BL214" s="326" t="str">
        <f aca="false">IF(BL$24=$AA214,($AG214*$AM214)+($AJ214*$AM214*1.25)+($AH214*$AN214)+($AK214*$AN214*1.25),"")</f>
        <v/>
      </c>
      <c r="BM214" s="327" t="str">
        <f aca="false">IF(CONCATENATE(BH214,BI214,BJ214,BK214,BL214)="",1,"")</f>
        <v/>
      </c>
      <c r="BN214" s="328"/>
      <c r="BO214" s="328"/>
      <c r="BP214" s="328"/>
      <c r="BQ214" s="328"/>
      <c r="BR214" s="47"/>
      <c r="BS214" s="127" t="n">
        <f aca="false">(AG214*AM214)+(AH214*AN214)+((AJ214*AM214)+(AK214*AN214)*1.25)</f>
        <v>0</v>
      </c>
      <c r="BT214" s="127" t="n">
        <f aca="false">(AG214*AP214)+(AH214*AQ214)+((AJ214*AP214)+(AK214*AQ214)*1.25)</f>
        <v>0</v>
      </c>
      <c r="BU214" s="329"/>
      <c r="BV214" s="129"/>
    </row>
    <row r="215" customFormat="false" ht="15" hidden="false" customHeight="false" outlineLevel="0" collapsed="false">
      <c r="A215" s="228"/>
      <c r="B215" s="229"/>
      <c r="C215" s="230"/>
      <c r="D215" s="231"/>
      <c r="E215" s="223" t="str">
        <f aca="false">IF(SUM(A215:D215)&gt;0,SUM(A215:D215),"")</f>
        <v/>
      </c>
      <c r="F215" s="224" t="str">
        <f aca="false">AD228</f>
        <v>TOMATE INVERNADERO</v>
      </c>
      <c r="G215" s="169"/>
      <c r="H215" s="169"/>
      <c r="I215" s="169"/>
      <c r="J215" s="169"/>
      <c r="K215" s="169"/>
      <c r="L215" s="169"/>
      <c r="M215" s="169"/>
      <c r="N215" s="169"/>
      <c r="O215" s="169"/>
      <c r="P215" s="169"/>
      <c r="Q215" s="169"/>
      <c r="R215" s="3"/>
      <c r="S215" s="3"/>
      <c r="T215" s="3"/>
      <c r="U215" s="3"/>
      <c r="V215" s="3"/>
      <c r="W215" s="3"/>
      <c r="X215" s="3"/>
      <c r="Y215" s="3"/>
      <c r="Z215" s="316" t="str">
        <f aca="false">IF(AF215&gt;0,RANK(AF215,AF$6:AF$422),"")</f>
        <v/>
      </c>
      <c r="AA215" s="134" t="n">
        <f aca="false">'O_MN, PE_UTA_UGM 2024'!N192</f>
        <v>4</v>
      </c>
      <c r="AB215" s="135" t="n">
        <f aca="false">'O_MN, PE_UTA_UGM 2024'!O192</f>
        <v>19</v>
      </c>
      <c r="AC215" s="317" t="n">
        <f aca="false">'O_MN, PE_UTA_UGM 2024'!C192</f>
        <v>190</v>
      </c>
      <c r="AD215" s="293" t="str">
        <f aca="false">IF(AB215=0,'O_MN, PE_UTA_UGM 2024'!F192,CONCATENATE('O_MN, PE_UTA_UGM 2024'!F192," ","INVERNADERO"))</f>
        <v>RÁBANO INVERNADERO</v>
      </c>
      <c r="AE215" s="89"/>
      <c r="AF215" s="123" t="n">
        <f aca="false">SUM(AG215:AH215)+SUM(AJ215:AK215)</f>
        <v>0</v>
      </c>
      <c r="AG215" s="318" t="n">
        <f aca="false">A202</f>
        <v>0</v>
      </c>
      <c r="AH215" s="319" t="n">
        <f aca="false">B202</f>
        <v>0</v>
      </c>
      <c r="AI215" s="6"/>
      <c r="AJ215" s="320" t="n">
        <f aca="false">C202</f>
        <v>0</v>
      </c>
      <c r="AK215" s="320" t="n">
        <f aca="false">D202</f>
        <v>0</v>
      </c>
      <c r="AL215" s="237" t="s">
        <v>341</v>
      </c>
      <c r="AM215" s="299" t="n">
        <f aca="false">'O_MN, PE_UTA_UGM 2024'!J192</f>
        <v>0</v>
      </c>
      <c r="AN215" s="299" t="n">
        <f aca="false">'O_MN, PE_UTA_UGM 2024'!K192</f>
        <v>80000</v>
      </c>
      <c r="AO215" s="300"/>
      <c r="AP215" s="299" t="n">
        <f aca="false">'O_MN, PE_UTA_UGM 2024'!H192</f>
        <v>0</v>
      </c>
      <c r="AQ215" s="299" t="n">
        <f aca="false">'O_MN, PE_UTA_UGM 2024'!I192</f>
        <v>36060.73</v>
      </c>
      <c r="AR215" s="301"/>
      <c r="AS215" s="302" t="n">
        <f aca="false">'O_MN, PE_UTA_UGM 2024'!L192</f>
        <v>0</v>
      </c>
      <c r="AT215" s="302" t="n">
        <f aca="false">'O_MN, PE_UTA_UGM 2024'!M192</f>
        <v>1.46978</v>
      </c>
      <c r="AU215" s="45"/>
      <c r="AV215" s="321" t="n">
        <f aca="false">AG215*AM215</f>
        <v>0</v>
      </c>
      <c r="AW215" s="319" t="n">
        <f aca="false">AH215*AN215</f>
        <v>0</v>
      </c>
      <c r="AX215" s="320" t="n">
        <f aca="false">1.25*AJ215*AM215</f>
        <v>0</v>
      </c>
      <c r="AY215" s="322" t="n">
        <f aca="false">1.25*AK215*AN215</f>
        <v>0</v>
      </c>
      <c r="AZ215" s="323" t="n">
        <f aca="false">AG215*AP215</f>
        <v>0</v>
      </c>
      <c r="BA215" s="319" t="n">
        <f aca="false">AH215*AQ215</f>
        <v>0</v>
      </c>
      <c r="BB215" s="320" t="n">
        <f aca="false">1.25*AJ215*AP215</f>
        <v>0</v>
      </c>
      <c r="BC215" s="320" t="n">
        <f aca="false">1.25*AK215*AQ215</f>
        <v>0</v>
      </c>
      <c r="BD215" s="321" t="n">
        <f aca="false">AG215*AS215</f>
        <v>0</v>
      </c>
      <c r="BE215" s="319" t="n">
        <f aca="false">AH215*AT215</f>
        <v>0</v>
      </c>
      <c r="BF215" s="320" t="n">
        <f aca="false">AJ215*AS215</f>
        <v>0</v>
      </c>
      <c r="BG215" s="322" t="n">
        <f aca="false">AK215*AT215</f>
        <v>0</v>
      </c>
      <c r="BH215" s="324" t="str">
        <f aca="false">IF(BH$24=$AA215,($AG215*$AM215)+($AJ215*$AM215*1.25)+($AH215*$AN215)+($AK215*$AN215*1.25),"")</f>
        <v/>
      </c>
      <c r="BI215" s="325" t="str">
        <f aca="false">IF(BI$24=$AA215,($AG215*$AM215)+($AJ215*$AM215*1.25)+($AH215*$AN215)+($AK215*$AN215*1.25),"")</f>
        <v/>
      </c>
      <c r="BJ215" s="325" t="str">
        <f aca="false">IF(BJ$24=$AA215,($AG215*$AM215)+($AJ215*$AM215*1.25)+($AH215*$AN215)+($AK215*$AN215*1.25),"")</f>
        <v/>
      </c>
      <c r="BK215" s="325" t="n">
        <f aca="false">IF(BK$24=$AA215,($AG215*$AM215)+($AJ215*$AM215*1.25)+($AH215*$AN215)+($AK215*$AN215*1.25),"")</f>
        <v>0</v>
      </c>
      <c r="BL215" s="326" t="str">
        <f aca="false">IF(BL$24=$AA215,($AG215*$AM215)+($AJ215*$AM215*1.25)+($AH215*$AN215)+($AK215*$AN215*1.25),"")</f>
        <v/>
      </c>
      <c r="BM215" s="327" t="str">
        <f aca="false">IF(CONCATENATE(BH215,BI215,BJ215,BK215,BL215)="",1,"")</f>
        <v/>
      </c>
      <c r="BN215" s="328"/>
      <c r="BO215" s="328"/>
      <c r="BP215" s="328"/>
      <c r="BQ215" s="328"/>
      <c r="BR215" s="47"/>
      <c r="BS215" s="127" t="n">
        <f aca="false">(AG215*AM215)+(AH215*AN215)+((AJ215*AM215)+(AK215*AN215)*1.25)</f>
        <v>0</v>
      </c>
      <c r="BT215" s="127" t="n">
        <f aca="false">(AG215*AP215)+(AH215*AQ215)+((AJ215*AP215)+(AK215*AQ215)*1.25)</f>
        <v>0</v>
      </c>
      <c r="BU215" s="329"/>
      <c r="BV215" s="129"/>
    </row>
    <row r="216" customFormat="false" ht="15" hidden="false" customHeight="false" outlineLevel="0" collapsed="false">
      <c r="A216" s="228"/>
      <c r="B216" s="229"/>
      <c r="C216" s="230"/>
      <c r="D216" s="231"/>
      <c r="E216" s="223" t="str">
        <f aca="false">IF(SUM(A216:D216)&gt;0,SUM(A216:D216),"")</f>
        <v/>
      </c>
      <c r="F216" s="224" t="str">
        <f aca="false">AD229</f>
        <v>PAULONIA</v>
      </c>
      <c r="G216" s="169"/>
      <c r="H216" s="169"/>
      <c r="I216" s="169"/>
      <c r="J216" s="169"/>
      <c r="K216" s="169"/>
      <c r="L216" s="169"/>
      <c r="M216" s="169"/>
      <c r="N216" s="169"/>
      <c r="O216" s="169"/>
      <c r="P216" s="169"/>
      <c r="Q216" s="169"/>
      <c r="R216" s="3"/>
      <c r="S216" s="3"/>
      <c r="T216" s="3"/>
      <c r="U216" s="3"/>
      <c r="V216" s="3"/>
      <c r="W216" s="3"/>
      <c r="X216" s="3"/>
      <c r="Y216" s="3"/>
      <c r="Z216" s="316" t="str">
        <f aca="false">IF(AF216&gt;0,RANK(AF216,AF$6:AF$422),"")</f>
        <v/>
      </c>
      <c r="AA216" s="134" t="n">
        <f aca="false">'O_MN, PE_UTA_UGM 2024'!N193</f>
        <v>4</v>
      </c>
      <c r="AB216" s="135" t="n">
        <f aca="false">'O_MN, PE_UTA_UGM 2024'!O193</f>
        <v>0</v>
      </c>
      <c r="AC216" s="317" t="n">
        <f aca="false">'O_MN, PE_UTA_UGM 2024'!C193</f>
        <v>191</v>
      </c>
      <c r="AD216" s="293" t="str">
        <f aca="false">IF(AB216=0,'O_MN, PE_UTA_UGM 2024'!F193,CONCATENATE('O_MN, PE_UTA_UGM 2024'!F193," ","INVERNADERO"))</f>
        <v>BERRO DE AGUA</v>
      </c>
      <c r="AE216" s="89"/>
      <c r="AF216" s="123" t="n">
        <f aca="false">SUM(AG216:AH216)+SUM(AJ216:AK216)</f>
        <v>0</v>
      </c>
      <c r="AG216" s="318" t="n">
        <f aca="false">A203</f>
        <v>0</v>
      </c>
      <c r="AH216" s="319" t="n">
        <f aca="false">B203</f>
        <v>0</v>
      </c>
      <c r="AI216" s="6"/>
      <c r="AJ216" s="320" t="n">
        <f aca="false">C203</f>
        <v>0</v>
      </c>
      <c r="AK216" s="320" t="n">
        <f aca="false">D203</f>
        <v>0</v>
      </c>
      <c r="AL216" s="237" t="s">
        <v>342</v>
      </c>
      <c r="AM216" s="299" t="n">
        <f aca="false">'O_MN, PE_UTA_UGM 2024'!J193</f>
        <v>575</v>
      </c>
      <c r="AN216" s="299" t="n">
        <f aca="false">'O_MN, PE_UTA_UGM 2024'!K193</f>
        <v>5200</v>
      </c>
      <c r="AO216" s="300"/>
      <c r="AP216" s="299" t="n">
        <f aca="false">'O_MN, PE_UTA_UGM 2024'!H193</f>
        <v>360.61</v>
      </c>
      <c r="AQ216" s="299" t="n">
        <f aca="false">'O_MN, PE_UTA_UGM 2024'!I193</f>
        <v>1352.28</v>
      </c>
      <c r="AR216" s="301"/>
      <c r="AS216" s="302" t="n">
        <f aca="false">'O_MN, PE_UTA_UGM 2024'!L193</f>
        <v>0.0147</v>
      </c>
      <c r="AT216" s="302" t="n">
        <f aca="false">'O_MN, PE_UTA_UGM 2024'!M193</f>
        <v>0.05512</v>
      </c>
      <c r="AU216" s="45"/>
      <c r="AV216" s="321" t="n">
        <f aca="false">AG216*AM216</f>
        <v>0</v>
      </c>
      <c r="AW216" s="319" t="n">
        <f aca="false">AH216*AN216</f>
        <v>0</v>
      </c>
      <c r="AX216" s="320" t="n">
        <f aca="false">1.25*AJ216*AM216</f>
        <v>0</v>
      </c>
      <c r="AY216" s="322" t="n">
        <f aca="false">1.25*AK216*AN216</f>
        <v>0</v>
      </c>
      <c r="AZ216" s="323" t="n">
        <f aca="false">AG216*AP216</f>
        <v>0</v>
      </c>
      <c r="BA216" s="319" t="n">
        <f aca="false">AH216*AQ216</f>
        <v>0</v>
      </c>
      <c r="BB216" s="320" t="n">
        <f aca="false">1.25*AJ216*AP216</f>
        <v>0</v>
      </c>
      <c r="BC216" s="320" t="n">
        <f aca="false">1.25*AK216*AQ216</f>
        <v>0</v>
      </c>
      <c r="BD216" s="321" t="n">
        <f aca="false">AG216*AS216</f>
        <v>0</v>
      </c>
      <c r="BE216" s="319" t="n">
        <f aca="false">AH216*AT216</f>
        <v>0</v>
      </c>
      <c r="BF216" s="320" t="n">
        <f aca="false">AJ216*AS216</f>
        <v>0</v>
      </c>
      <c r="BG216" s="322" t="n">
        <f aca="false">AK216*AT216</f>
        <v>0</v>
      </c>
      <c r="BH216" s="324" t="str">
        <f aca="false">IF(BH$24=$AA216,($AG216*$AM216)+($AJ216*$AM216*1.25)+($AH216*$AN216)+($AK216*$AN216*1.25),"")</f>
        <v/>
      </c>
      <c r="BI216" s="325" t="str">
        <f aca="false">IF(BI$24=$AA216,($AG216*$AM216)+($AJ216*$AM216*1.25)+($AH216*$AN216)+($AK216*$AN216*1.25),"")</f>
        <v/>
      </c>
      <c r="BJ216" s="325" t="str">
        <f aca="false">IF(BJ$24=$AA216,($AG216*$AM216)+($AJ216*$AM216*1.25)+($AH216*$AN216)+($AK216*$AN216*1.25),"")</f>
        <v/>
      </c>
      <c r="BK216" s="325" t="n">
        <f aca="false">IF(BK$24=$AA216,($AG216*$AM216)+($AJ216*$AM216*1.25)+($AH216*$AN216)+($AK216*$AN216*1.25),"")</f>
        <v>0</v>
      </c>
      <c r="BL216" s="326" t="str">
        <f aca="false">IF(BL$24=$AA216,($AG216*$AM216)+($AJ216*$AM216*1.25)+($AH216*$AN216)+($AK216*$AN216*1.25),"")</f>
        <v/>
      </c>
      <c r="BM216" s="327" t="str">
        <f aca="false">IF(CONCATENATE(BH216,BI216,BJ216,BK216,BL216)="",1,"")</f>
        <v/>
      </c>
      <c r="BN216" s="328"/>
      <c r="BO216" s="328"/>
      <c r="BP216" s="328"/>
      <c r="BQ216" s="328"/>
      <c r="BR216" s="47"/>
      <c r="BS216" s="127" t="n">
        <f aca="false">(AG216*AM216)+(AH216*AN216)+((AJ216*AM216)+(AK216*AN216)*1.25)</f>
        <v>0</v>
      </c>
      <c r="BT216" s="127" t="n">
        <f aca="false">(AG216*AP216)+(AH216*AQ216)+((AJ216*AP216)+(AK216*AQ216)*1.25)</f>
        <v>0</v>
      </c>
      <c r="BU216" s="329"/>
      <c r="BV216" s="129"/>
    </row>
    <row r="217" customFormat="false" ht="15" hidden="false" customHeight="false" outlineLevel="0" collapsed="false">
      <c r="A217" s="228"/>
      <c r="B217" s="229"/>
      <c r="C217" s="230"/>
      <c r="D217" s="231"/>
      <c r="E217" s="223" t="str">
        <f aca="false">IF(SUM(A217:D217)&gt;0,SUM(A217:D217),"")</f>
        <v/>
      </c>
      <c r="F217" s="224" t="str">
        <f aca="false">AD230</f>
        <v>PLATERINA</v>
      </c>
      <c r="G217" s="169"/>
      <c r="H217" s="169"/>
      <c r="I217" s="169"/>
      <c r="J217" s="169"/>
      <c r="K217" s="169"/>
      <c r="L217" s="169"/>
      <c r="M217" s="169"/>
      <c r="N217" s="169"/>
      <c r="O217" s="169"/>
      <c r="P217" s="169"/>
      <c r="Q217" s="169"/>
      <c r="R217" s="3"/>
      <c r="S217" s="3"/>
      <c r="T217" s="3"/>
      <c r="U217" s="3"/>
      <c r="V217" s="3"/>
      <c r="W217" s="3"/>
      <c r="X217" s="3"/>
      <c r="Y217" s="3"/>
      <c r="Z217" s="316" t="str">
        <f aca="false">IF(AF217&gt;0,RANK(AF217,AF$6:AF$422),"")</f>
        <v/>
      </c>
      <c r="AA217" s="134" t="n">
        <f aca="false">'O_MN, PE_UTA_UGM 2024'!N194</f>
        <v>4</v>
      </c>
      <c r="AB217" s="135" t="n">
        <f aca="false">'O_MN, PE_UTA_UGM 2024'!O194</f>
        <v>4</v>
      </c>
      <c r="AC217" s="317" t="n">
        <f aca="false">'O_MN, PE_UTA_UGM 2024'!C194</f>
        <v>191</v>
      </c>
      <c r="AD217" s="293" t="str">
        <f aca="false">IF(AB217=0,'O_MN, PE_UTA_UGM 2024'!F194,CONCATENATE('O_MN, PE_UTA_UGM 2024'!F194," ","INVERNADERO"))</f>
        <v>BERRO DE AGUA INVERNADERO</v>
      </c>
      <c r="AE217" s="89"/>
      <c r="AF217" s="123" t="n">
        <f aca="false">SUM(AG217:AH217)+SUM(AJ217:AK217)</f>
        <v>0</v>
      </c>
      <c r="AG217" s="318" t="n">
        <f aca="false">A204</f>
        <v>0</v>
      </c>
      <c r="AH217" s="319" t="n">
        <f aca="false">B204</f>
        <v>0</v>
      </c>
      <c r="AI217" s="6"/>
      <c r="AJ217" s="320" t="n">
        <f aca="false">C204</f>
        <v>0</v>
      </c>
      <c r="AK217" s="320" t="n">
        <f aca="false">D204</f>
        <v>0</v>
      </c>
      <c r="AL217" s="237" t="s">
        <v>343</v>
      </c>
      <c r="AM217" s="299" t="n">
        <f aca="false">'O_MN, PE_UTA_UGM 2024'!J194</f>
        <v>0</v>
      </c>
      <c r="AN217" s="299" t="n">
        <f aca="false">'O_MN, PE_UTA_UGM 2024'!K194</f>
        <v>80000</v>
      </c>
      <c r="AO217" s="300"/>
      <c r="AP217" s="299" t="n">
        <f aca="false">'O_MN, PE_UTA_UGM 2024'!H194</f>
        <v>0</v>
      </c>
      <c r="AQ217" s="299" t="n">
        <f aca="false">'O_MN, PE_UTA_UGM 2024'!I194</f>
        <v>36060.73</v>
      </c>
      <c r="AR217" s="301"/>
      <c r="AS217" s="302" t="n">
        <f aca="false">'O_MN, PE_UTA_UGM 2024'!L194</f>
        <v>0</v>
      </c>
      <c r="AT217" s="302" t="n">
        <f aca="false">'O_MN, PE_UTA_UGM 2024'!M194</f>
        <v>1.46978</v>
      </c>
      <c r="AU217" s="45"/>
      <c r="AV217" s="321" t="n">
        <f aca="false">AG217*AM217</f>
        <v>0</v>
      </c>
      <c r="AW217" s="319" t="n">
        <f aca="false">AH217*AN217</f>
        <v>0</v>
      </c>
      <c r="AX217" s="320" t="n">
        <f aca="false">1.25*AJ217*AM217</f>
        <v>0</v>
      </c>
      <c r="AY217" s="322" t="n">
        <f aca="false">1.25*AK217*AN217</f>
        <v>0</v>
      </c>
      <c r="AZ217" s="323" t="n">
        <f aca="false">AG217*AP217</f>
        <v>0</v>
      </c>
      <c r="BA217" s="319" t="n">
        <f aca="false">AH217*AQ217</f>
        <v>0</v>
      </c>
      <c r="BB217" s="320" t="n">
        <f aca="false">1.25*AJ217*AP217</f>
        <v>0</v>
      </c>
      <c r="BC217" s="320" t="n">
        <f aca="false">1.25*AK217*AQ217</f>
        <v>0</v>
      </c>
      <c r="BD217" s="321" t="n">
        <f aca="false">AG217*AS217</f>
        <v>0</v>
      </c>
      <c r="BE217" s="319" t="n">
        <f aca="false">AH217*AT217</f>
        <v>0</v>
      </c>
      <c r="BF217" s="320" t="n">
        <f aca="false">AJ217*AS217</f>
        <v>0</v>
      </c>
      <c r="BG217" s="322" t="n">
        <f aca="false">AK217*AT217</f>
        <v>0</v>
      </c>
      <c r="BH217" s="324" t="str">
        <f aca="false">IF(BH$24=$AA217,($AG217*$AM217)+($AJ217*$AM217*1.25)+($AH217*$AN217)+($AK217*$AN217*1.25),"")</f>
        <v/>
      </c>
      <c r="BI217" s="325" t="str">
        <f aca="false">IF(BI$24=$AA217,($AG217*$AM217)+($AJ217*$AM217*1.25)+($AH217*$AN217)+($AK217*$AN217*1.25),"")</f>
        <v/>
      </c>
      <c r="BJ217" s="325" t="str">
        <f aca="false">IF(BJ$24=$AA217,($AG217*$AM217)+($AJ217*$AM217*1.25)+($AH217*$AN217)+($AK217*$AN217*1.25),"")</f>
        <v/>
      </c>
      <c r="BK217" s="325" t="n">
        <f aca="false">IF(BK$24=$AA217,($AG217*$AM217)+($AJ217*$AM217*1.25)+($AH217*$AN217)+($AK217*$AN217*1.25),"")</f>
        <v>0</v>
      </c>
      <c r="BL217" s="326" t="str">
        <f aca="false">IF(BL$24=$AA217,($AG217*$AM217)+($AJ217*$AM217*1.25)+($AH217*$AN217)+($AK217*$AN217*1.25),"")</f>
        <v/>
      </c>
      <c r="BM217" s="327" t="str">
        <f aca="false">IF(CONCATENATE(BH217,BI217,BJ217,BK217,BL217)="",1,"")</f>
        <v/>
      </c>
      <c r="BN217" s="328"/>
      <c r="BO217" s="328"/>
      <c r="BP217" s="328"/>
      <c r="BQ217" s="328"/>
      <c r="BR217" s="47"/>
      <c r="BS217" s="127" t="n">
        <f aca="false">(AG217*AM217)+(AH217*AN217)+((AJ217*AM217)+(AK217*AN217)*1.25)</f>
        <v>0</v>
      </c>
      <c r="BT217" s="127" t="n">
        <f aca="false">(AG217*AP217)+(AH217*AQ217)+((AJ217*AP217)+(AK217*AQ217)*1.25)</f>
        <v>0</v>
      </c>
      <c r="BU217" s="329"/>
      <c r="BV217" s="129"/>
    </row>
    <row r="218" customFormat="false" ht="15" hidden="false" customHeight="false" outlineLevel="0" collapsed="false">
      <c r="A218" s="228"/>
      <c r="B218" s="229"/>
      <c r="C218" s="230"/>
      <c r="D218" s="231"/>
      <c r="E218" s="223" t="str">
        <f aca="false">IF(SUM(A218:D218)&gt;0,SUM(A218:D218),"")</f>
        <v/>
      </c>
      <c r="F218" s="224" t="str">
        <f aca="false">AD231</f>
        <v>PARAGUAYO</v>
      </c>
      <c r="G218" s="169"/>
      <c r="H218" s="169"/>
      <c r="I218" s="169"/>
      <c r="J218" s="169"/>
      <c r="K218" s="169"/>
      <c r="L218" s="169"/>
      <c r="M218" s="169"/>
      <c r="N218" s="169"/>
      <c r="O218" s="169"/>
      <c r="P218" s="169"/>
      <c r="Q218" s="169"/>
      <c r="R218" s="3"/>
      <c r="S218" s="3"/>
      <c r="T218" s="3"/>
      <c r="U218" s="3"/>
      <c r="V218" s="3"/>
      <c r="W218" s="3"/>
      <c r="X218" s="3"/>
      <c r="Y218" s="3"/>
      <c r="Z218" s="316" t="str">
        <f aca="false">IF(AF218&gt;0,RANK(AF218,AF$6:AF$422),"")</f>
        <v/>
      </c>
      <c r="AA218" s="134" t="n">
        <f aca="false">'O_MN, PE_UTA_UGM 2024'!N195</f>
        <v>4</v>
      </c>
      <c r="AB218" s="135" t="n">
        <f aca="false">'O_MN, PE_UTA_UGM 2024'!O195</f>
        <v>19</v>
      </c>
      <c r="AC218" s="317" t="n">
        <f aca="false">'O_MN, PE_UTA_UGM 2024'!C195</f>
        <v>191</v>
      </c>
      <c r="AD218" s="293" t="str">
        <f aca="false">IF(AB218=0,'O_MN, PE_UTA_UGM 2024'!F195,CONCATENATE('O_MN, PE_UTA_UGM 2024'!F195," ","INVERNADERO"))</f>
        <v>BERRO DE AGUA INVERNADERO</v>
      </c>
      <c r="AE218" s="89"/>
      <c r="AF218" s="123" t="n">
        <f aca="false">SUM(AG218:AH218)+SUM(AJ218:AK218)</f>
        <v>0</v>
      </c>
      <c r="AG218" s="318" t="n">
        <f aca="false">A205</f>
        <v>0</v>
      </c>
      <c r="AH218" s="319" t="n">
        <f aca="false">B205</f>
        <v>0</v>
      </c>
      <c r="AI218" s="6"/>
      <c r="AJ218" s="320" t="n">
        <f aca="false">C205</f>
        <v>0</v>
      </c>
      <c r="AK218" s="320" t="n">
        <f aca="false">D205</f>
        <v>0</v>
      </c>
      <c r="AL218" s="237" t="s">
        <v>344</v>
      </c>
      <c r="AM218" s="299" t="n">
        <f aca="false">'O_MN, PE_UTA_UGM 2024'!J195</f>
        <v>0</v>
      </c>
      <c r="AN218" s="299" t="n">
        <f aca="false">'O_MN, PE_UTA_UGM 2024'!K195</f>
        <v>80000</v>
      </c>
      <c r="AO218" s="300"/>
      <c r="AP218" s="299" t="n">
        <f aca="false">'O_MN, PE_UTA_UGM 2024'!H195</f>
        <v>0</v>
      </c>
      <c r="AQ218" s="299" t="n">
        <f aca="false">'O_MN, PE_UTA_UGM 2024'!I195</f>
        <v>36060.73</v>
      </c>
      <c r="AR218" s="301"/>
      <c r="AS218" s="302" t="n">
        <f aca="false">'O_MN, PE_UTA_UGM 2024'!L195</f>
        <v>0</v>
      </c>
      <c r="AT218" s="302" t="n">
        <f aca="false">'O_MN, PE_UTA_UGM 2024'!M195</f>
        <v>1.46978</v>
      </c>
      <c r="AU218" s="45"/>
      <c r="AV218" s="321" t="n">
        <f aca="false">AG218*AM218</f>
        <v>0</v>
      </c>
      <c r="AW218" s="319" t="n">
        <f aca="false">AH218*AN218</f>
        <v>0</v>
      </c>
      <c r="AX218" s="320" t="n">
        <f aca="false">1.25*AJ218*AM218</f>
        <v>0</v>
      </c>
      <c r="AY218" s="322" t="n">
        <f aca="false">1.25*AK218*AN218</f>
        <v>0</v>
      </c>
      <c r="AZ218" s="323" t="n">
        <f aca="false">AG218*AP218</f>
        <v>0</v>
      </c>
      <c r="BA218" s="319" t="n">
        <f aca="false">AH218*AQ218</f>
        <v>0</v>
      </c>
      <c r="BB218" s="320" t="n">
        <f aca="false">1.25*AJ218*AP218</f>
        <v>0</v>
      </c>
      <c r="BC218" s="320" t="n">
        <f aca="false">1.25*AK218*AQ218</f>
        <v>0</v>
      </c>
      <c r="BD218" s="321" t="n">
        <f aca="false">AG218*AS218</f>
        <v>0</v>
      </c>
      <c r="BE218" s="319" t="n">
        <f aca="false">AH218*AT218</f>
        <v>0</v>
      </c>
      <c r="BF218" s="320" t="n">
        <f aca="false">AJ218*AS218</f>
        <v>0</v>
      </c>
      <c r="BG218" s="322" t="n">
        <f aca="false">AK218*AT218</f>
        <v>0</v>
      </c>
      <c r="BH218" s="324" t="str">
        <f aca="false">IF(BH$24=$AA218,($AG218*$AM218)+($AJ218*$AM218*1.25)+($AH218*$AN218)+($AK218*$AN218*1.25),"")</f>
        <v/>
      </c>
      <c r="BI218" s="325" t="str">
        <f aca="false">IF(BI$24=$AA218,($AG218*$AM218)+($AJ218*$AM218*1.25)+($AH218*$AN218)+($AK218*$AN218*1.25),"")</f>
        <v/>
      </c>
      <c r="BJ218" s="325" t="str">
        <f aca="false">IF(BJ$24=$AA218,($AG218*$AM218)+($AJ218*$AM218*1.25)+($AH218*$AN218)+($AK218*$AN218*1.25),"")</f>
        <v/>
      </c>
      <c r="BK218" s="325" t="n">
        <f aca="false">IF(BK$24=$AA218,($AG218*$AM218)+($AJ218*$AM218*1.25)+($AH218*$AN218)+($AK218*$AN218*1.25),"")</f>
        <v>0</v>
      </c>
      <c r="BL218" s="326" t="str">
        <f aca="false">IF(BL$24=$AA218,($AG218*$AM218)+($AJ218*$AM218*1.25)+($AH218*$AN218)+($AK218*$AN218*1.25),"")</f>
        <v/>
      </c>
      <c r="BM218" s="327" t="str">
        <f aca="false">IF(CONCATENATE(BH218,BI218,BJ218,BK218,BL218)="",1,"")</f>
        <v/>
      </c>
      <c r="BN218" s="328"/>
      <c r="BO218" s="328"/>
      <c r="BP218" s="328"/>
      <c r="BQ218" s="328"/>
      <c r="BR218" s="47"/>
      <c r="BS218" s="127" t="n">
        <f aca="false">(AG218*AM218)+(AH218*AN218)+((AJ218*AM218)+(AK218*AN218)*1.25)</f>
        <v>0</v>
      </c>
      <c r="BT218" s="127" t="n">
        <f aca="false">(AG218*AP218)+(AH218*AQ218)+((AJ218*AP218)+(AK218*AQ218)*1.25)</f>
        <v>0</v>
      </c>
      <c r="BU218" s="329"/>
      <c r="BV218" s="129"/>
    </row>
    <row r="219" customFormat="false" ht="15" hidden="false" customHeight="false" outlineLevel="0" collapsed="false">
      <c r="A219" s="228"/>
      <c r="B219" s="229"/>
      <c r="C219" s="230"/>
      <c r="D219" s="231"/>
      <c r="E219" s="223" t="str">
        <f aca="false">IF(SUM(A219:D219)&gt;0,SUM(A219:D219),"")</f>
        <v/>
      </c>
      <c r="F219" s="224" t="str">
        <f aca="false">AD232</f>
        <v>ENDRINO o ARAÑÓN</v>
      </c>
      <c r="G219" s="169"/>
      <c r="H219" s="169"/>
      <c r="I219" s="169"/>
      <c r="J219" s="169"/>
      <c r="K219" s="169"/>
      <c r="L219" s="169"/>
      <c r="M219" s="169"/>
      <c r="N219" s="169"/>
      <c r="O219" s="169"/>
      <c r="P219" s="169"/>
      <c r="Q219" s="169"/>
      <c r="R219" s="3"/>
      <c r="S219" s="3"/>
      <c r="T219" s="3"/>
      <c r="U219" s="3"/>
      <c r="V219" s="3"/>
      <c r="W219" s="3"/>
      <c r="X219" s="3"/>
      <c r="Y219" s="3"/>
      <c r="Z219" s="316" t="str">
        <f aca="false">IF(AF219&gt;0,RANK(AF219,AF$6:AF$422),"")</f>
        <v/>
      </c>
      <c r="AA219" s="134" t="n">
        <f aca="false">'O_MN, PE_UTA_UGM 2024'!N196</f>
        <v>4</v>
      </c>
      <c r="AB219" s="135" t="n">
        <f aca="false">'O_MN, PE_UTA_UGM 2024'!O196</f>
        <v>0</v>
      </c>
      <c r="AC219" s="317" t="n">
        <f aca="false">'O_MN, PE_UTA_UGM 2024'!C196</f>
        <v>192</v>
      </c>
      <c r="AD219" s="293" t="str">
        <f aca="false">IF(AB219=0,'O_MN, PE_UTA_UGM 2024'!F196,CONCATENATE('O_MN, PE_UTA_UGM 2024'!F196," ","INVERNADERO"))</f>
        <v>FRAMBUESA</v>
      </c>
      <c r="AE219" s="89"/>
      <c r="AF219" s="123" t="n">
        <f aca="false">SUM(AG219:AH219)+SUM(AJ219:AK219)</f>
        <v>0</v>
      </c>
      <c r="AG219" s="318" t="n">
        <f aca="false">A206</f>
        <v>0</v>
      </c>
      <c r="AH219" s="319" t="n">
        <f aca="false">B206</f>
        <v>0</v>
      </c>
      <c r="AI219" s="6"/>
      <c r="AJ219" s="320" t="n">
        <f aca="false">C206</f>
        <v>0</v>
      </c>
      <c r="AK219" s="320" t="n">
        <f aca="false">D206</f>
        <v>0</v>
      </c>
      <c r="AL219" s="237" t="s">
        <v>345</v>
      </c>
      <c r="AM219" s="299" t="n">
        <f aca="false">'O_MN, PE_UTA_UGM 2024'!J196</f>
        <v>575</v>
      </c>
      <c r="AN219" s="299" t="n">
        <f aca="false">'O_MN, PE_UTA_UGM 2024'!K196</f>
        <v>5200</v>
      </c>
      <c r="AO219" s="300"/>
      <c r="AP219" s="299" t="n">
        <f aca="false">'O_MN, PE_UTA_UGM 2024'!H196</f>
        <v>360.61</v>
      </c>
      <c r="AQ219" s="299" t="n">
        <f aca="false">'O_MN, PE_UTA_UGM 2024'!I196</f>
        <v>1352.28</v>
      </c>
      <c r="AR219" s="301"/>
      <c r="AS219" s="302" t="n">
        <f aca="false">'O_MN, PE_UTA_UGM 2024'!L196</f>
        <v>0.0147</v>
      </c>
      <c r="AT219" s="302" t="n">
        <f aca="false">'O_MN, PE_UTA_UGM 2024'!M196</f>
        <v>0.05512</v>
      </c>
      <c r="AU219" s="45"/>
      <c r="AV219" s="321" t="n">
        <f aca="false">AG219*AM219</f>
        <v>0</v>
      </c>
      <c r="AW219" s="319" t="n">
        <f aca="false">AH219*AN219</f>
        <v>0</v>
      </c>
      <c r="AX219" s="320" t="n">
        <f aca="false">1.25*AJ219*AM219</f>
        <v>0</v>
      </c>
      <c r="AY219" s="322" t="n">
        <f aca="false">1.25*AK219*AN219</f>
        <v>0</v>
      </c>
      <c r="AZ219" s="323" t="n">
        <f aca="false">AG219*AP219</f>
        <v>0</v>
      </c>
      <c r="BA219" s="319" t="n">
        <f aca="false">AH219*AQ219</f>
        <v>0</v>
      </c>
      <c r="BB219" s="320" t="n">
        <f aca="false">1.25*AJ219*AP219</f>
        <v>0</v>
      </c>
      <c r="BC219" s="320" t="n">
        <f aca="false">1.25*AK219*AQ219</f>
        <v>0</v>
      </c>
      <c r="BD219" s="321" t="n">
        <f aca="false">AG219*AS219</f>
        <v>0</v>
      </c>
      <c r="BE219" s="319" t="n">
        <f aca="false">AH219*AT219</f>
        <v>0</v>
      </c>
      <c r="BF219" s="320" t="n">
        <f aca="false">AJ219*AS219</f>
        <v>0</v>
      </c>
      <c r="BG219" s="322" t="n">
        <f aca="false">AK219*AT219</f>
        <v>0</v>
      </c>
      <c r="BH219" s="324" t="str">
        <f aca="false">IF(BH$24=$AA219,($AG219*$AM219)+($AJ219*$AM219*1.25)+($AH219*$AN219)+($AK219*$AN219*1.25),"")</f>
        <v/>
      </c>
      <c r="BI219" s="325" t="str">
        <f aca="false">IF(BI$24=$AA219,($AG219*$AM219)+($AJ219*$AM219*1.25)+($AH219*$AN219)+($AK219*$AN219*1.25),"")</f>
        <v/>
      </c>
      <c r="BJ219" s="325" t="str">
        <f aca="false">IF(BJ$24=$AA219,($AG219*$AM219)+($AJ219*$AM219*1.25)+($AH219*$AN219)+($AK219*$AN219*1.25),"")</f>
        <v/>
      </c>
      <c r="BK219" s="325" t="n">
        <f aca="false">IF(BK$24=$AA219,($AG219*$AM219)+($AJ219*$AM219*1.25)+($AH219*$AN219)+($AK219*$AN219*1.25),"")</f>
        <v>0</v>
      </c>
      <c r="BL219" s="326" t="str">
        <f aca="false">IF(BL$24=$AA219,($AG219*$AM219)+($AJ219*$AM219*1.25)+($AH219*$AN219)+($AK219*$AN219*1.25),"")</f>
        <v/>
      </c>
      <c r="BM219" s="327" t="str">
        <f aca="false">IF(CONCATENATE(BH219,BI219,BJ219,BK219,BL219)="",1,"")</f>
        <v/>
      </c>
      <c r="BN219" s="328"/>
      <c r="BO219" s="328"/>
      <c r="BP219" s="328"/>
      <c r="BQ219" s="328"/>
      <c r="BR219" s="47"/>
      <c r="BS219" s="127" t="n">
        <f aca="false">(AG219*AM219)+(AH219*AN219)+((AJ219*AM219)+(AK219*AN219)*1.25)</f>
        <v>0</v>
      </c>
      <c r="BT219" s="127" t="n">
        <f aca="false">(AG219*AP219)+(AH219*AQ219)+((AJ219*AP219)+(AK219*AQ219)*1.25)</f>
        <v>0</v>
      </c>
      <c r="BU219" s="329"/>
      <c r="BV219" s="129"/>
    </row>
    <row r="220" customFormat="false" ht="15" hidden="false" customHeight="false" outlineLevel="0" collapsed="false">
      <c r="A220" s="228"/>
      <c r="B220" s="229"/>
      <c r="C220" s="230"/>
      <c r="D220" s="231"/>
      <c r="E220" s="223" t="str">
        <f aca="false">IF(SUM(A220:D220)&gt;0,SUM(A220:D220),"")</f>
        <v/>
      </c>
      <c r="F220" s="224" t="str">
        <f aca="false">AD233</f>
        <v>CLEMENTINA</v>
      </c>
      <c r="G220" s="169"/>
      <c r="H220" s="169"/>
      <c r="I220" s="169"/>
      <c r="J220" s="169"/>
      <c r="K220" s="169"/>
      <c r="L220" s="169"/>
      <c r="M220" s="169"/>
      <c r="N220" s="169"/>
      <c r="O220" s="169"/>
      <c r="P220" s="169"/>
      <c r="Q220" s="169"/>
      <c r="R220" s="3"/>
      <c r="S220" s="3"/>
      <c r="T220" s="3"/>
      <c r="U220" s="3"/>
      <c r="V220" s="3"/>
      <c r="W220" s="3"/>
      <c r="X220" s="3"/>
      <c r="Y220" s="3"/>
      <c r="Z220" s="316" t="str">
        <f aca="false">IF(AF220&gt;0,RANK(AF220,AF$6:AF$422),"")</f>
        <v/>
      </c>
      <c r="AA220" s="134" t="n">
        <f aca="false">'O_MN, PE_UTA_UGM 2024'!N197</f>
        <v>4</v>
      </c>
      <c r="AB220" s="135" t="n">
        <f aca="false">'O_MN, PE_UTA_UGM 2024'!O197</f>
        <v>4</v>
      </c>
      <c r="AC220" s="317" t="n">
        <f aca="false">'O_MN, PE_UTA_UGM 2024'!C197</f>
        <v>192</v>
      </c>
      <c r="AD220" s="293" t="str">
        <f aca="false">IF(AB220=0,'O_MN, PE_UTA_UGM 2024'!F197,CONCATENATE('O_MN, PE_UTA_UGM 2024'!F197," ","INVERNADERO"))</f>
        <v>FRAMBUESA INVERNADERO</v>
      </c>
      <c r="AE220" s="89"/>
      <c r="AF220" s="123" t="n">
        <f aca="false">SUM(AG220:AH220)+SUM(AJ220:AK220)</f>
        <v>0</v>
      </c>
      <c r="AG220" s="318" t="n">
        <f aca="false">A207</f>
        <v>0</v>
      </c>
      <c r="AH220" s="319" t="n">
        <f aca="false">B207</f>
        <v>0</v>
      </c>
      <c r="AI220" s="6"/>
      <c r="AJ220" s="320" t="n">
        <f aca="false">C207</f>
        <v>0</v>
      </c>
      <c r="AK220" s="320" t="n">
        <f aca="false">D207</f>
        <v>0</v>
      </c>
      <c r="AL220" s="237" t="s">
        <v>346</v>
      </c>
      <c r="AM220" s="299" t="n">
        <f aca="false">'O_MN, PE_UTA_UGM 2024'!J197</f>
        <v>0</v>
      </c>
      <c r="AN220" s="299" t="n">
        <f aca="false">'O_MN, PE_UTA_UGM 2024'!K197</f>
        <v>80000</v>
      </c>
      <c r="AO220" s="300"/>
      <c r="AP220" s="299" t="n">
        <f aca="false">'O_MN, PE_UTA_UGM 2024'!H197</f>
        <v>0</v>
      </c>
      <c r="AQ220" s="299" t="n">
        <f aca="false">'O_MN, PE_UTA_UGM 2024'!I197</f>
        <v>36060.73</v>
      </c>
      <c r="AR220" s="301"/>
      <c r="AS220" s="302" t="n">
        <f aca="false">'O_MN, PE_UTA_UGM 2024'!L197</f>
        <v>0</v>
      </c>
      <c r="AT220" s="302" t="n">
        <f aca="false">'O_MN, PE_UTA_UGM 2024'!M197</f>
        <v>1.46978</v>
      </c>
      <c r="AU220" s="45"/>
      <c r="AV220" s="321" t="n">
        <f aca="false">AG220*AM220</f>
        <v>0</v>
      </c>
      <c r="AW220" s="319" t="n">
        <f aca="false">AH220*AN220</f>
        <v>0</v>
      </c>
      <c r="AX220" s="320" t="n">
        <f aca="false">1.25*AJ220*AM220</f>
        <v>0</v>
      </c>
      <c r="AY220" s="322" t="n">
        <f aca="false">1.25*AK220*AN220</f>
        <v>0</v>
      </c>
      <c r="AZ220" s="323" t="n">
        <f aca="false">AG220*AP220</f>
        <v>0</v>
      </c>
      <c r="BA220" s="319" t="n">
        <f aca="false">AH220*AQ220</f>
        <v>0</v>
      </c>
      <c r="BB220" s="320" t="n">
        <f aca="false">1.25*AJ220*AP220</f>
        <v>0</v>
      </c>
      <c r="BC220" s="320" t="n">
        <f aca="false">1.25*AK220*AQ220</f>
        <v>0</v>
      </c>
      <c r="BD220" s="321" t="n">
        <f aca="false">AG220*AS220</f>
        <v>0</v>
      </c>
      <c r="BE220" s="319" t="n">
        <f aca="false">AH220*AT220</f>
        <v>0</v>
      </c>
      <c r="BF220" s="320" t="n">
        <f aca="false">AJ220*AS220</f>
        <v>0</v>
      </c>
      <c r="BG220" s="322" t="n">
        <f aca="false">AK220*AT220</f>
        <v>0</v>
      </c>
      <c r="BH220" s="324" t="str">
        <f aca="false">IF(BH$24=$AA220,($AG220*$AM220)+($AJ220*$AM220*1.25)+($AH220*$AN220)+($AK220*$AN220*1.25),"")</f>
        <v/>
      </c>
      <c r="BI220" s="325" t="str">
        <f aca="false">IF(BI$24=$AA220,($AG220*$AM220)+($AJ220*$AM220*1.25)+($AH220*$AN220)+($AK220*$AN220*1.25),"")</f>
        <v/>
      </c>
      <c r="BJ220" s="325" t="str">
        <f aca="false">IF(BJ$24=$AA220,($AG220*$AM220)+($AJ220*$AM220*1.25)+($AH220*$AN220)+($AK220*$AN220*1.25),"")</f>
        <v/>
      </c>
      <c r="BK220" s="325" t="n">
        <f aca="false">IF(BK$24=$AA220,($AG220*$AM220)+($AJ220*$AM220*1.25)+($AH220*$AN220)+($AK220*$AN220*1.25),"")</f>
        <v>0</v>
      </c>
      <c r="BL220" s="326" t="str">
        <f aca="false">IF(BL$24=$AA220,($AG220*$AM220)+($AJ220*$AM220*1.25)+($AH220*$AN220)+($AK220*$AN220*1.25),"")</f>
        <v/>
      </c>
      <c r="BM220" s="327" t="str">
        <f aca="false">IF(CONCATENATE(BH220,BI220,BJ220,BK220,BL220)="",1,"")</f>
        <v/>
      </c>
      <c r="BN220" s="328"/>
      <c r="BO220" s="328"/>
      <c r="BP220" s="328"/>
      <c r="BQ220" s="328"/>
      <c r="BR220" s="47"/>
      <c r="BS220" s="127" t="n">
        <f aca="false">(AG220*AM220)+(AH220*AN220)+((AJ220*AM220)+(AK220*AN220)*1.25)</f>
        <v>0</v>
      </c>
      <c r="BT220" s="127" t="n">
        <f aca="false">(AG220*AP220)+(AH220*AQ220)+((AJ220*AP220)+(AK220*AQ220)*1.25)</f>
        <v>0</v>
      </c>
      <c r="BU220" s="329"/>
      <c r="BV220" s="129"/>
    </row>
    <row r="221" customFormat="false" ht="15" hidden="false" customHeight="false" outlineLevel="0" collapsed="false">
      <c r="A221" s="228"/>
      <c r="B221" s="229"/>
      <c r="C221" s="230"/>
      <c r="D221" s="231"/>
      <c r="E221" s="223" t="str">
        <f aca="false">IF(SUM(A221:D221)&gt;0,SUM(A221:D221),"")</f>
        <v/>
      </c>
      <c r="F221" s="224" t="str">
        <f aca="false">AD234</f>
        <v>SATSUMA</v>
      </c>
      <c r="G221" s="169"/>
      <c r="H221" s="169"/>
      <c r="I221" s="169"/>
      <c r="J221" s="169"/>
      <c r="K221" s="169"/>
      <c r="L221" s="169"/>
      <c r="M221" s="169"/>
      <c r="N221" s="169"/>
      <c r="O221" s="169"/>
      <c r="P221" s="169"/>
      <c r="Q221" s="169"/>
      <c r="R221" s="3"/>
      <c r="S221" s="3"/>
      <c r="T221" s="3"/>
      <c r="U221" s="3"/>
      <c r="V221" s="3"/>
      <c r="W221" s="3"/>
      <c r="X221" s="3"/>
      <c r="Y221" s="3"/>
      <c r="Z221" s="316" t="str">
        <f aca="false">IF(AF221&gt;0,RANK(AF221,AF$6:AF$422),"")</f>
        <v/>
      </c>
      <c r="AA221" s="134" t="n">
        <f aca="false">'O_MN, PE_UTA_UGM 2024'!N198</f>
        <v>4</v>
      </c>
      <c r="AB221" s="135" t="n">
        <f aca="false">'O_MN, PE_UTA_UGM 2024'!O198</f>
        <v>19</v>
      </c>
      <c r="AC221" s="317" t="n">
        <f aca="false">'O_MN, PE_UTA_UGM 2024'!C198</f>
        <v>192</v>
      </c>
      <c r="AD221" s="293" t="str">
        <f aca="false">IF(AB221=0,'O_MN, PE_UTA_UGM 2024'!F198,CONCATENATE('O_MN, PE_UTA_UGM 2024'!F198," ","INVERNADERO"))</f>
        <v>FRAMBUESA INVERNADERO</v>
      </c>
      <c r="AE221" s="89"/>
      <c r="AF221" s="123" t="n">
        <f aca="false">SUM(AG221:AH221)+SUM(AJ221:AK221)</f>
        <v>0</v>
      </c>
      <c r="AG221" s="318" t="n">
        <f aca="false">A208</f>
        <v>0</v>
      </c>
      <c r="AH221" s="319" t="n">
        <f aca="false">B208</f>
        <v>0</v>
      </c>
      <c r="AI221" s="6"/>
      <c r="AJ221" s="320" t="n">
        <f aca="false">C208</f>
        <v>0</v>
      </c>
      <c r="AK221" s="320" t="n">
        <f aca="false">D208</f>
        <v>0</v>
      </c>
      <c r="AL221" s="237" t="s">
        <v>347</v>
      </c>
      <c r="AM221" s="299" t="n">
        <f aca="false">'O_MN, PE_UTA_UGM 2024'!J198</f>
        <v>0</v>
      </c>
      <c r="AN221" s="299" t="n">
        <f aca="false">'O_MN, PE_UTA_UGM 2024'!K198</f>
        <v>80000</v>
      </c>
      <c r="AO221" s="300"/>
      <c r="AP221" s="299" t="n">
        <f aca="false">'O_MN, PE_UTA_UGM 2024'!H198</f>
        <v>0</v>
      </c>
      <c r="AQ221" s="299" t="n">
        <f aca="false">'O_MN, PE_UTA_UGM 2024'!I198</f>
        <v>36060.73</v>
      </c>
      <c r="AR221" s="301"/>
      <c r="AS221" s="302" t="n">
        <f aca="false">'O_MN, PE_UTA_UGM 2024'!L198</f>
        <v>0</v>
      </c>
      <c r="AT221" s="302" t="n">
        <f aca="false">'O_MN, PE_UTA_UGM 2024'!M198</f>
        <v>1.46978</v>
      </c>
      <c r="AU221" s="45"/>
      <c r="AV221" s="321" t="n">
        <f aca="false">AG221*AM221</f>
        <v>0</v>
      </c>
      <c r="AW221" s="319" t="n">
        <f aca="false">AH221*AN221</f>
        <v>0</v>
      </c>
      <c r="AX221" s="320" t="n">
        <f aca="false">1.25*AJ221*AM221</f>
        <v>0</v>
      </c>
      <c r="AY221" s="322" t="n">
        <f aca="false">1.25*AK221*AN221</f>
        <v>0</v>
      </c>
      <c r="AZ221" s="323" t="n">
        <f aca="false">AG221*AP221</f>
        <v>0</v>
      </c>
      <c r="BA221" s="319" t="n">
        <f aca="false">AH221*AQ221</f>
        <v>0</v>
      </c>
      <c r="BB221" s="320" t="n">
        <f aca="false">1.25*AJ221*AP221</f>
        <v>0</v>
      </c>
      <c r="BC221" s="320" t="n">
        <f aca="false">1.25*AK221*AQ221</f>
        <v>0</v>
      </c>
      <c r="BD221" s="321" t="n">
        <f aca="false">AG221*AS221</f>
        <v>0</v>
      </c>
      <c r="BE221" s="319" t="n">
        <f aca="false">AH221*AT221</f>
        <v>0</v>
      </c>
      <c r="BF221" s="320" t="n">
        <f aca="false">AJ221*AS221</f>
        <v>0</v>
      </c>
      <c r="BG221" s="322" t="n">
        <f aca="false">AK221*AT221</f>
        <v>0</v>
      </c>
      <c r="BH221" s="324" t="str">
        <f aca="false">IF(BH$24=$AA221,($AG221*$AM221)+($AJ221*$AM221*1.25)+($AH221*$AN221)+($AK221*$AN221*1.25),"")</f>
        <v/>
      </c>
      <c r="BI221" s="325" t="str">
        <f aca="false">IF(BI$24=$AA221,($AG221*$AM221)+($AJ221*$AM221*1.25)+($AH221*$AN221)+($AK221*$AN221*1.25),"")</f>
        <v/>
      </c>
      <c r="BJ221" s="325" t="str">
        <f aca="false">IF(BJ$24=$AA221,($AG221*$AM221)+($AJ221*$AM221*1.25)+($AH221*$AN221)+($AK221*$AN221*1.25),"")</f>
        <v/>
      </c>
      <c r="BK221" s="325" t="n">
        <f aca="false">IF(BK$24=$AA221,($AG221*$AM221)+($AJ221*$AM221*1.25)+($AH221*$AN221)+($AK221*$AN221*1.25),"")</f>
        <v>0</v>
      </c>
      <c r="BL221" s="326" t="str">
        <f aca="false">IF(BL$24=$AA221,($AG221*$AM221)+($AJ221*$AM221*1.25)+($AH221*$AN221)+($AK221*$AN221*1.25),"")</f>
        <v/>
      </c>
      <c r="BM221" s="327" t="str">
        <f aca="false">IF(CONCATENATE(BH221,BI221,BJ221,BK221,BL221)="",1,"")</f>
        <v/>
      </c>
      <c r="BN221" s="328"/>
      <c r="BO221" s="328"/>
      <c r="BP221" s="328"/>
      <c r="BQ221" s="328"/>
      <c r="BR221" s="47"/>
      <c r="BS221" s="127" t="n">
        <f aca="false">(AG221*AM221)+(AH221*AN221)+((AJ221*AM221)+(AK221*AN221)*1.25)</f>
        <v>0</v>
      </c>
      <c r="BT221" s="127" t="n">
        <f aca="false">(AG221*AP221)+(AH221*AQ221)+((AJ221*AP221)+(AK221*AQ221)*1.25)</f>
        <v>0</v>
      </c>
      <c r="BU221" s="329"/>
      <c r="BV221" s="129"/>
    </row>
    <row r="222" customFormat="false" ht="15" hidden="false" customHeight="false" outlineLevel="0" collapsed="false">
      <c r="A222" s="228"/>
      <c r="B222" s="229"/>
      <c r="C222" s="230"/>
      <c r="D222" s="231"/>
      <c r="E222" s="223" t="str">
        <f aca="false">IF(SUM(A222:D222)&gt;0,SUM(A222:D222),"")</f>
        <v/>
      </c>
      <c r="F222" s="224" t="str">
        <f aca="false">AD235</f>
        <v>NARANJO</v>
      </c>
      <c r="G222" s="169"/>
      <c r="H222" s="169"/>
      <c r="I222" s="169"/>
      <c r="J222" s="169"/>
      <c r="K222" s="169"/>
      <c r="L222" s="169"/>
      <c r="M222" s="169"/>
      <c r="N222" s="169"/>
      <c r="O222" s="169"/>
      <c r="P222" s="169"/>
      <c r="Q222" s="169"/>
      <c r="R222" s="3"/>
      <c r="S222" s="3"/>
      <c r="T222" s="3"/>
      <c r="U222" s="3"/>
      <c r="V222" s="3"/>
      <c r="W222" s="3"/>
      <c r="X222" s="3"/>
      <c r="Y222" s="3"/>
      <c r="Z222" s="316" t="str">
        <f aca="false">IF(AF222&gt;0,RANK(AF222,AF$6:AF$422),"")</f>
        <v/>
      </c>
      <c r="AA222" s="134" t="n">
        <f aca="false">'O_MN, PE_UTA_UGM 2024'!N199</f>
        <v>4</v>
      </c>
      <c r="AB222" s="135" t="n">
        <f aca="false">'O_MN, PE_UTA_UGM 2024'!O199</f>
        <v>0</v>
      </c>
      <c r="AC222" s="317" t="n">
        <f aca="false">'O_MN, PE_UTA_UGM 2024'!C199</f>
        <v>193</v>
      </c>
      <c r="AD222" s="293" t="str">
        <f aca="false">IF(AB222=0,'O_MN, PE_UTA_UGM 2024'!F199,CONCATENATE('O_MN, PE_UTA_UGM 2024'!F199," ","INVERNADERO"))</f>
        <v>HUERTA</v>
      </c>
      <c r="AE222" s="89"/>
      <c r="AF222" s="123" t="n">
        <f aca="false">SUM(AG222:AH222)+SUM(AJ222:AK222)</f>
        <v>0</v>
      </c>
      <c r="AG222" s="318" t="n">
        <f aca="false">A209</f>
        <v>0</v>
      </c>
      <c r="AH222" s="319" t="n">
        <f aca="false">B209</f>
        <v>0</v>
      </c>
      <c r="AI222" s="6"/>
      <c r="AJ222" s="320" t="n">
        <f aca="false">C209</f>
        <v>0</v>
      </c>
      <c r="AK222" s="320" t="n">
        <f aca="false">D209</f>
        <v>0</v>
      </c>
      <c r="AL222" s="237" t="s">
        <v>348</v>
      </c>
      <c r="AM222" s="299" t="n">
        <f aca="false">'O_MN, PE_UTA_UGM 2024'!J199</f>
        <v>575</v>
      </c>
      <c r="AN222" s="299" t="n">
        <f aca="false">'O_MN, PE_UTA_UGM 2024'!K199</f>
        <v>5200</v>
      </c>
      <c r="AO222" s="300"/>
      <c r="AP222" s="299" t="n">
        <f aca="false">'O_MN, PE_UTA_UGM 2024'!H199</f>
        <v>360.61</v>
      </c>
      <c r="AQ222" s="299" t="n">
        <f aca="false">'O_MN, PE_UTA_UGM 2024'!I199</f>
        <v>1352.28</v>
      </c>
      <c r="AR222" s="301"/>
      <c r="AS222" s="302" t="n">
        <f aca="false">'O_MN, PE_UTA_UGM 2024'!L199</f>
        <v>0.0147</v>
      </c>
      <c r="AT222" s="302" t="n">
        <f aca="false">'O_MN, PE_UTA_UGM 2024'!M199</f>
        <v>0.05512</v>
      </c>
      <c r="AU222" s="45"/>
      <c r="AV222" s="321" t="n">
        <f aca="false">AG222*AM222</f>
        <v>0</v>
      </c>
      <c r="AW222" s="319" t="n">
        <f aca="false">AH222*AN222</f>
        <v>0</v>
      </c>
      <c r="AX222" s="320" t="n">
        <f aca="false">1.25*AJ222*AM222</f>
        <v>0</v>
      </c>
      <c r="AY222" s="322" t="n">
        <f aca="false">1.25*AK222*AN222</f>
        <v>0</v>
      </c>
      <c r="AZ222" s="323" t="n">
        <f aca="false">AG222*AP222</f>
        <v>0</v>
      </c>
      <c r="BA222" s="319" t="n">
        <f aca="false">AH222*AQ222</f>
        <v>0</v>
      </c>
      <c r="BB222" s="320" t="n">
        <f aca="false">1.25*AJ222*AP222</f>
        <v>0</v>
      </c>
      <c r="BC222" s="320" t="n">
        <f aca="false">1.25*AK222*AQ222</f>
        <v>0</v>
      </c>
      <c r="BD222" s="321" t="n">
        <f aca="false">AG222*AS222</f>
        <v>0</v>
      </c>
      <c r="BE222" s="319" t="n">
        <f aca="false">AH222*AT222</f>
        <v>0</v>
      </c>
      <c r="BF222" s="320" t="n">
        <f aca="false">AJ222*AS222</f>
        <v>0</v>
      </c>
      <c r="BG222" s="322" t="n">
        <f aca="false">AK222*AT222</f>
        <v>0</v>
      </c>
      <c r="BH222" s="324" t="str">
        <f aca="false">IF(BH$24=$AA222,($AG222*$AM222)+($AJ222*$AM222*1.25)+($AH222*$AN222)+($AK222*$AN222*1.25),"")</f>
        <v/>
      </c>
      <c r="BI222" s="325" t="str">
        <f aca="false">IF(BI$24=$AA222,($AG222*$AM222)+($AJ222*$AM222*1.25)+($AH222*$AN222)+($AK222*$AN222*1.25),"")</f>
        <v/>
      </c>
      <c r="BJ222" s="325" t="str">
        <f aca="false">IF(BJ$24=$AA222,($AG222*$AM222)+($AJ222*$AM222*1.25)+($AH222*$AN222)+($AK222*$AN222*1.25),"")</f>
        <v/>
      </c>
      <c r="BK222" s="325" t="n">
        <f aca="false">IF(BK$24=$AA222,($AG222*$AM222)+($AJ222*$AM222*1.25)+($AH222*$AN222)+($AK222*$AN222*1.25),"")</f>
        <v>0</v>
      </c>
      <c r="BL222" s="326" t="str">
        <f aca="false">IF(BL$24=$AA222,($AG222*$AM222)+($AJ222*$AM222*1.25)+($AH222*$AN222)+($AK222*$AN222*1.25),"")</f>
        <v/>
      </c>
      <c r="BM222" s="327" t="str">
        <f aca="false">IF(CONCATENATE(BH222,BI222,BJ222,BK222,BL222)="",1,"")</f>
        <v/>
      </c>
      <c r="BN222" s="328"/>
      <c r="BO222" s="328"/>
      <c r="BP222" s="328"/>
      <c r="BQ222" s="328"/>
      <c r="BR222" s="47"/>
      <c r="BS222" s="127" t="n">
        <f aca="false">(AG222*AM222)+(AH222*AN222)+((AJ222*AM222)+(AK222*AN222)*1.25)</f>
        <v>0</v>
      </c>
      <c r="BT222" s="127" t="n">
        <f aca="false">(AG222*AP222)+(AH222*AQ222)+((AJ222*AP222)+(AK222*AQ222)*1.25)</f>
        <v>0</v>
      </c>
      <c r="BU222" s="329"/>
      <c r="BV222" s="129"/>
    </row>
    <row r="223" customFormat="false" ht="15" hidden="false" customHeight="false" outlineLevel="0" collapsed="false">
      <c r="A223" s="228"/>
      <c r="B223" s="229"/>
      <c r="C223" s="230"/>
      <c r="D223" s="231"/>
      <c r="E223" s="223" t="str">
        <f aca="false">IF(SUM(A223:D223)&gt;0,SUM(A223:D223),"")</f>
        <v/>
      </c>
      <c r="F223" s="224" t="str">
        <f aca="false">AD236</f>
        <v>LIMONERO</v>
      </c>
      <c r="G223" s="169"/>
      <c r="H223" s="169"/>
      <c r="I223" s="169"/>
      <c r="J223" s="169"/>
      <c r="K223" s="169"/>
      <c r="L223" s="169"/>
      <c r="M223" s="169"/>
      <c r="N223" s="169"/>
      <c r="O223" s="169"/>
      <c r="P223" s="169"/>
      <c r="Q223" s="169"/>
      <c r="R223" s="3"/>
      <c r="S223" s="3"/>
      <c r="T223" s="3"/>
      <c r="U223" s="3"/>
      <c r="V223" s="3"/>
      <c r="W223" s="3"/>
      <c r="X223" s="3"/>
      <c r="Y223" s="3"/>
      <c r="Z223" s="316" t="str">
        <f aca="false">IF(AF223&gt;0,RANK(AF223,AF$6:AF$422),"")</f>
        <v/>
      </c>
      <c r="AA223" s="134" t="n">
        <f aca="false">'O_MN, PE_UTA_UGM 2024'!N200</f>
        <v>4</v>
      </c>
      <c r="AB223" s="135" t="n">
        <f aca="false">'O_MN, PE_UTA_UGM 2024'!O200</f>
        <v>4</v>
      </c>
      <c r="AC223" s="317" t="n">
        <f aca="false">'O_MN, PE_UTA_UGM 2024'!C200</f>
        <v>193</v>
      </c>
      <c r="AD223" s="293" t="str">
        <f aca="false">IF(AB223=0,'O_MN, PE_UTA_UGM 2024'!F200,CONCATENATE('O_MN, PE_UTA_UGM 2024'!F200," ","INVERNADERO"))</f>
        <v>HUERTA INVERNADERO</v>
      </c>
      <c r="AE223" s="89"/>
      <c r="AF223" s="123" t="n">
        <f aca="false">SUM(AG223:AH223)+SUM(AJ223:AK223)</f>
        <v>0</v>
      </c>
      <c r="AG223" s="318" t="n">
        <f aca="false">A210</f>
        <v>0</v>
      </c>
      <c r="AH223" s="319" t="n">
        <f aca="false">B210</f>
        <v>0</v>
      </c>
      <c r="AI223" s="6"/>
      <c r="AJ223" s="320" t="n">
        <f aca="false">C210</f>
        <v>0</v>
      </c>
      <c r="AK223" s="320" t="n">
        <f aca="false">D210</f>
        <v>0</v>
      </c>
      <c r="AL223" s="237" t="s">
        <v>349</v>
      </c>
      <c r="AM223" s="299" t="n">
        <f aca="false">'O_MN, PE_UTA_UGM 2024'!J200</f>
        <v>0</v>
      </c>
      <c r="AN223" s="299" t="n">
        <f aca="false">'O_MN, PE_UTA_UGM 2024'!K200</f>
        <v>80000</v>
      </c>
      <c r="AO223" s="300"/>
      <c r="AP223" s="299" t="n">
        <f aca="false">'O_MN, PE_UTA_UGM 2024'!H200</f>
        <v>0</v>
      </c>
      <c r="AQ223" s="299" t="n">
        <f aca="false">'O_MN, PE_UTA_UGM 2024'!I200</f>
        <v>36060.73</v>
      </c>
      <c r="AR223" s="301"/>
      <c r="AS223" s="302" t="n">
        <f aca="false">'O_MN, PE_UTA_UGM 2024'!L200</f>
        <v>0</v>
      </c>
      <c r="AT223" s="302" t="n">
        <f aca="false">'O_MN, PE_UTA_UGM 2024'!M200</f>
        <v>1.46978</v>
      </c>
      <c r="AU223" s="45"/>
      <c r="AV223" s="321" t="n">
        <f aca="false">AG223*AM223</f>
        <v>0</v>
      </c>
      <c r="AW223" s="319" t="n">
        <f aca="false">AH223*AN223</f>
        <v>0</v>
      </c>
      <c r="AX223" s="320" t="n">
        <f aca="false">1.25*AJ223*AM223</f>
        <v>0</v>
      </c>
      <c r="AY223" s="322" t="n">
        <f aca="false">1.25*AK223*AN223</f>
        <v>0</v>
      </c>
      <c r="AZ223" s="323" t="n">
        <f aca="false">AG223*AP223</f>
        <v>0</v>
      </c>
      <c r="BA223" s="319" t="n">
        <f aca="false">AH223*AQ223</f>
        <v>0</v>
      </c>
      <c r="BB223" s="320" t="n">
        <f aca="false">1.25*AJ223*AP223</f>
        <v>0</v>
      </c>
      <c r="BC223" s="320" t="n">
        <f aca="false">1.25*AK223*AQ223</f>
        <v>0</v>
      </c>
      <c r="BD223" s="321" t="n">
        <f aca="false">AG223*AS223</f>
        <v>0</v>
      </c>
      <c r="BE223" s="319" t="n">
        <f aca="false">AH223*AT223</f>
        <v>0</v>
      </c>
      <c r="BF223" s="320" t="n">
        <f aca="false">AJ223*AS223</f>
        <v>0</v>
      </c>
      <c r="BG223" s="322" t="n">
        <f aca="false">AK223*AT223</f>
        <v>0</v>
      </c>
      <c r="BH223" s="324" t="str">
        <f aca="false">IF(BH$24=$AA223,($AG223*$AM223)+($AJ223*$AM223*1.25)+($AH223*$AN223)+($AK223*$AN223*1.25),"")</f>
        <v/>
      </c>
      <c r="BI223" s="325" t="str">
        <f aca="false">IF(BI$24=$AA223,($AG223*$AM223)+($AJ223*$AM223*1.25)+($AH223*$AN223)+($AK223*$AN223*1.25),"")</f>
        <v/>
      </c>
      <c r="BJ223" s="325" t="str">
        <f aca="false">IF(BJ$24=$AA223,($AG223*$AM223)+($AJ223*$AM223*1.25)+($AH223*$AN223)+($AK223*$AN223*1.25),"")</f>
        <v/>
      </c>
      <c r="BK223" s="325" t="n">
        <f aca="false">IF(BK$24=$AA223,($AG223*$AM223)+($AJ223*$AM223*1.25)+($AH223*$AN223)+($AK223*$AN223*1.25),"")</f>
        <v>0</v>
      </c>
      <c r="BL223" s="326" t="str">
        <f aca="false">IF(BL$24=$AA223,($AG223*$AM223)+($AJ223*$AM223*1.25)+($AH223*$AN223)+($AK223*$AN223*1.25),"")</f>
        <v/>
      </c>
      <c r="BM223" s="327" t="str">
        <f aca="false">IF(CONCATENATE(BH223,BI223,BJ223,BK223,BL223)="",1,"")</f>
        <v/>
      </c>
      <c r="BN223" s="328"/>
      <c r="BO223" s="328"/>
      <c r="BP223" s="328"/>
      <c r="BQ223" s="328"/>
      <c r="BR223" s="47"/>
      <c r="BS223" s="127" t="n">
        <f aca="false">(AG223*AM223)+(AH223*AN223)+((AJ223*AM223)+(AK223*AN223)*1.25)</f>
        <v>0</v>
      </c>
      <c r="BT223" s="127" t="n">
        <f aca="false">(AG223*AP223)+(AH223*AQ223)+((AJ223*AP223)+(AK223*AQ223)*1.25)</f>
        <v>0</v>
      </c>
      <c r="BU223" s="329"/>
      <c r="BV223" s="129"/>
    </row>
    <row r="224" customFormat="false" ht="15" hidden="false" customHeight="false" outlineLevel="0" collapsed="false">
      <c r="A224" s="228"/>
      <c r="B224" s="229"/>
      <c r="C224" s="230"/>
      <c r="D224" s="231"/>
      <c r="E224" s="223" t="str">
        <f aca="false">IF(SUM(A224:D224)&gt;0,SUM(A224:D224),"")</f>
        <v/>
      </c>
      <c r="F224" s="224" t="str">
        <f aca="false">AD237</f>
        <v>POMELO O TORONJA</v>
      </c>
      <c r="G224" s="169"/>
      <c r="H224" s="169"/>
      <c r="I224" s="169"/>
      <c r="J224" s="169"/>
      <c r="K224" s="169"/>
      <c r="L224" s="169"/>
      <c r="M224" s="169"/>
      <c r="N224" s="169"/>
      <c r="O224" s="169"/>
      <c r="P224" s="169"/>
      <c r="Q224" s="169"/>
      <c r="R224" s="3"/>
      <c r="S224" s="3"/>
      <c r="T224" s="3"/>
      <c r="U224" s="3"/>
      <c r="V224" s="3"/>
      <c r="W224" s="3"/>
      <c r="X224" s="3"/>
      <c r="Y224" s="3"/>
      <c r="Z224" s="316" t="str">
        <f aca="false">IF(AF224&gt;0,RANK(AF224,AF$6:AF$422),"")</f>
        <v/>
      </c>
      <c r="AA224" s="134" t="n">
        <f aca="false">'O_MN, PE_UTA_UGM 2024'!N201</f>
        <v>4</v>
      </c>
      <c r="AB224" s="135" t="n">
        <f aca="false">'O_MN, PE_UTA_UGM 2024'!O201</f>
        <v>19</v>
      </c>
      <c r="AC224" s="317" t="n">
        <f aca="false">'O_MN, PE_UTA_UGM 2024'!C201</f>
        <v>193</v>
      </c>
      <c r="AD224" s="293" t="str">
        <f aca="false">IF(AB224=0,'O_MN, PE_UTA_UGM 2024'!F201,CONCATENATE('O_MN, PE_UTA_UGM 2024'!F201," ","INVERNADERO"))</f>
        <v>HUERTA INVERNADERO</v>
      </c>
      <c r="AE224" s="89"/>
      <c r="AF224" s="123" t="n">
        <f aca="false">SUM(AG224:AH224)+SUM(AJ224:AK224)</f>
        <v>0</v>
      </c>
      <c r="AG224" s="318" t="n">
        <f aca="false">A211</f>
        <v>0</v>
      </c>
      <c r="AH224" s="319" t="n">
        <f aca="false">B211</f>
        <v>0</v>
      </c>
      <c r="AI224" s="6"/>
      <c r="AJ224" s="320" t="n">
        <f aca="false">C211</f>
        <v>0</v>
      </c>
      <c r="AK224" s="320" t="n">
        <f aca="false">D211</f>
        <v>0</v>
      </c>
      <c r="AL224" s="237" t="s">
        <v>350</v>
      </c>
      <c r="AM224" s="299" t="n">
        <f aca="false">'O_MN, PE_UTA_UGM 2024'!J201</f>
        <v>0</v>
      </c>
      <c r="AN224" s="299" t="n">
        <f aca="false">'O_MN, PE_UTA_UGM 2024'!K201</f>
        <v>80000</v>
      </c>
      <c r="AO224" s="300"/>
      <c r="AP224" s="299" t="n">
        <f aca="false">'O_MN, PE_UTA_UGM 2024'!H201</f>
        <v>0</v>
      </c>
      <c r="AQ224" s="299" t="n">
        <f aca="false">'O_MN, PE_UTA_UGM 2024'!I201</f>
        <v>36060.73</v>
      </c>
      <c r="AR224" s="301"/>
      <c r="AS224" s="302" t="n">
        <f aca="false">'O_MN, PE_UTA_UGM 2024'!L201</f>
        <v>0</v>
      </c>
      <c r="AT224" s="302" t="n">
        <f aca="false">'O_MN, PE_UTA_UGM 2024'!M201</f>
        <v>1.46978</v>
      </c>
      <c r="AU224" s="45"/>
      <c r="AV224" s="321" t="n">
        <f aca="false">AG224*AM224</f>
        <v>0</v>
      </c>
      <c r="AW224" s="319" t="n">
        <f aca="false">AH224*AN224</f>
        <v>0</v>
      </c>
      <c r="AX224" s="320" t="n">
        <f aca="false">1.25*AJ224*AM224</f>
        <v>0</v>
      </c>
      <c r="AY224" s="322" t="n">
        <f aca="false">1.25*AK224*AN224</f>
        <v>0</v>
      </c>
      <c r="AZ224" s="323" t="n">
        <f aca="false">AG224*AP224</f>
        <v>0</v>
      </c>
      <c r="BA224" s="319" t="n">
        <f aca="false">AH224*AQ224</f>
        <v>0</v>
      </c>
      <c r="BB224" s="320" t="n">
        <f aca="false">1.25*AJ224*AP224</f>
        <v>0</v>
      </c>
      <c r="BC224" s="320" t="n">
        <f aca="false">1.25*AK224*AQ224</f>
        <v>0</v>
      </c>
      <c r="BD224" s="321" t="n">
        <f aca="false">AG224*AS224</f>
        <v>0</v>
      </c>
      <c r="BE224" s="319" t="n">
        <f aca="false">AH224*AT224</f>
        <v>0</v>
      </c>
      <c r="BF224" s="320" t="n">
        <f aca="false">AJ224*AS224</f>
        <v>0</v>
      </c>
      <c r="BG224" s="322" t="n">
        <f aca="false">AK224*AT224</f>
        <v>0</v>
      </c>
      <c r="BH224" s="324" t="str">
        <f aca="false">IF(BH$24=$AA224,($AG224*$AM224)+($AJ224*$AM224*1.25)+($AH224*$AN224)+($AK224*$AN224*1.25),"")</f>
        <v/>
      </c>
      <c r="BI224" s="325" t="str">
        <f aca="false">IF(BI$24=$AA224,($AG224*$AM224)+($AJ224*$AM224*1.25)+($AH224*$AN224)+($AK224*$AN224*1.25),"")</f>
        <v/>
      </c>
      <c r="BJ224" s="325" t="str">
        <f aca="false">IF(BJ$24=$AA224,($AG224*$AM224)+($AJ224*$AM224*1.25)+($AH224*$AN224)+($AK224*$AN224*1.25),"")</f>
        <v/>
      </c>
      <c r="BK224" s="325" t="n">
        <f aca="false">IF(BK$24=$AA224,($AG224*$AM224)+($AJ224*$AM224*1.25)+($AH224*$AN224)+($AK224*$AN224*1.25),"")</f>
        <v>0</v>
      </c>
      <c r="BL224" s="326" t="str">
        <f aca="false">IF(BL$24=$AA224,($AG224*$AM224)+($AJ224*$AM224*1.25)+($AH224*$AN224)+($AK224*$AN224*1.25),"")</f>
        <v/>
      </c>
      <c r="BM224" s="327" t="str">
        <f aca="false">IF(CONCATENATE(BH224,BI224,BJ224,BK224,BL224)="",1,"")</f>
        <v/>
      </c>
      <c r="BN224" s="328"/>
      <c r="BO224" s="328"/>
      <c r="BP224" s="328"/>
      <c r="BQ224" s="328"/>
      <c r="BR224" s="47"/>
      <c r="BS224" s="127" t="n">
        <f aca="false">(AG224*AM224)+(AH224*AN224)+((AJ224*AM224)+(AK224*AN224)*1.25)</f>
        <v>0</v>
      </c>
      <c r="BT224" s="127" t="n">
        <f aca="false">(AG224*AP224)+(AH224*AQ224)+((AJ224*AP224)+(AK224*AQ224)*1.25)</f>
        <v>0</v>
      </c>
      <c r="BU224" s="329"/>
      <c r="BV224" s="129"/>
    </row>
    <row r="225" customFormat="false" ht="15" hidden="false" customHeight="false" outlineLevel="0" collapsed="false">
      <c r="A225" s="228"/>
      <c r="B225" s="229"/>
      <c r="C225" s="230"/>
      <c r="D225" s="231"/>
      <c r="E225" s="223" t="str">
        <f aca="false">IF(SUM(A225:D225)&gt;0,SUM(A225:D225),"")</f>
        <v/>
      </c>
      <c r="F225" s="224" t="str">
        <f aca="false">AD238</f>
        <v>MANDARINO</v>
      </c>
      <c r="G225" s="169"/>
      <c r="H225" s="169"/>
      <c r="I225" s="169"/>
      <c r="J225" s="169"/>
      <c r="K225" s="169"/>
      <c r="L225" s="169"/>
      <c r="M225" s="169"/>
      <c r="N225" s="169"/>
      <c r="O225" s="169"/>
      <c r="P225" s="169"/>
      <c r="Q225" s="169"/>
      <c r="R225" s="3"/>
      <c r="S225" s="3"/>
      <c r="T225" s="3"/>
      <c r="U225" s="3"/>
      <c r="V225" s="3"/>
      <c r="W225" s="3"/>
      <c r="X225" s="3"/>
      <c r="Y225" s="3"/>
      <c r="Z225" s="316" t="str">
        <f aca="false">IF(AF225&gt;0,RANK(AF225,AF$6:AF$422),"")</f>
        <v/>
      </c>
      <c r="AA225" s="134" t="n">
        <f aca="false">'O_MN, PE_UTA_UGM 2024'!N202</f>
        <v>4</v>
      </c>
      <c r="AB225" s="135" t="n">
        <f aca="false">'O_MN, PE_UTA_UGM 2024'!O202</f>
        <v>0</v>
      </c>
      <c r="AC225" s="317" t="n">
        <f aca="false">'O_MN, PE_UTA_UGM 2024'!C202</f>
        <v>194</v>
      </c>
      <c r="AD225" s="293" t="str">
        <f aca="false">IF(AB225=0,'O_MN, PE_UTA_UGM 2024'!F202,CONCATENATE('O_MN, PE_UTA_UGM 2024'!F202," ","INVERNADERO"))</f>
        <v>CHAMPIÑÓN</v>
      </c>
      <c r="AE225" s="89"/>
      <c r="AF225" s="123" t="n">
        <f aca="false">SUM(AG225:AH225)+SUM(AJ225:AK225)</f>
        <v>0</v>
      </c>
      <c r="AG225" s="318" t="n">
        <f aca="false">A212</f>
        <v>0</v>
      </c>
      <c r="AH225" s="319" t="n">
        <f aca="false">B212</f>
        <v>0</v>
      </c>
      <c r="AI225" s="6"/>
      <c r="AJ225" s="320" t="n">
        <f aca="false">C212</f>
        <v>0</v>
      </c>
      <c r="AK225" s="320" t="n">
        <f aca="false">D212</f>
        <v>0</v>
      </c>
      <c r="AL225" s="237" t="s">
        <v>351</v>
      </c>
      <c r="AM225" s="299" t="n">
        <f aca="false">'O_MN, PE_UTA_UGM 2024'!J202</f>
        <v>0</v>
      </c>
      <c r="AN225" s="299" t="n">
        <f aca="false">'O_MN, PE_UTA_UGM 2024'!K202</f>
        <v>306000</v>
      </c>
      <c r="AO225" s="300"/>
      <c r="AP225" s="299" t="n">
        <f aca="false">'O_MN, PE_UTA_UGM 2024'!H202</f>
        <v>0</v>
      </c>
      <c r="AQ225" s="299" t="n">
        <f aca="false">'O_MN, PE_UTA_UGM 2024'!I202</f>
        <v>150000</v>
      </c>
      <c r="AR225" s="301"/>
      <c r="AS225" s="302" t="n">
        <f aca="false">'O_MN, PE_UTA_UGM 2024'!L202</f>
        <v>0</v>
      </c>
      <c r="AT225" s="302" t="n">
        <f aca="false">'O_MN, PE_UTA_UGM 2024'!M202</f>
        <v>6.11376</v>
      </c>
      <c r="AU225" s="45"/>
      <c r="AV225" s="321" t="n">
        <f aca="false">AG225*AM225</f>
        <v>0</v>
      </c>
      <c r="AW225" s="319" t="n">
        <f aca="false">AH225*AN225</f>
        <v>0</v>
      </c>
      <c r="AX225" s="320" t="n">
        <f aca="false">1.25*AJ225*AM225</f>
        <v>0</v>
      </c>
      <c r="AY225" s="322" t="n">
        <f aca="false">1.25*AK225*AN225</f>
        <v>0</v>
      </c>
      <c r="AZ225" s="323" t="n">
        <f aca="false">AG225*AP225</f>
        <v>0</v>
      </c>
      <c r="BA225" s="319" t="n">
        <f aca="false">AH225*AQ225</f>
        <v>0</v>
      </c>
      <c r="BB225" s="320" t="n">
        <f aca="false">1.25*AJ225*AP225</f>
        <v>0</v>
      </c>
      <c r="BC225" s="320" t="n">
        <f aca="false">1.25*AK225*AQ225</f>
        <v>0</v>
      </c>
      <c r="BD225" s="321" t="n">
        <f aca="false">AG225*AS225</f>
        <v>0</v>
      </c>
      <c r="BE225" s="319" t="n">
        <f aca="false">AH225*AT225</f>
        <v>0</v>
      </c>
      <c r="BF225" s="320" t="n">
        <f aca="false">AJ225*AS225</f>
        <v>0</v>
      </c>
      <c r="BG225" s="322" t="n">
        <f aca="false">AK225*AT225</f>
        <v>0</v>
      </c>
      <c r="BH225" s="324" t="str">
        <f aca="false">IF(BH$24=$AA225,($AG225*$AM225)+($AJ225*$AM225*1.25)+($AH225*$AN225)+($AK225*$AN225*1.25),"")</f>
        <v/>
      </c>
      <c r="BI225" s="325" t="str">
        <f aca="false">IF(BI$24=$AA225,($AG225*$AM225)+($AJ225*$AM225*1.25)+($AH225*$AN225)+($AK225*$AN225*1.25),"")</f>
        <v/>
      </c>
      <c r="BJ225" s="325" t="str">
        <f aca="false">IF(BJ$24=$AA225,($AG225*$AM225)+($AJ225*$AM225*1.25)+($AH225*$AN225)+($AK225*$AN225*1.25),"")</f>
        <v/>
      </c>
      <c r="BK225" s="325" t="n">
        <f aca="false">IF(BK$24=$AA225,($AG225*$AM225)+($AJ225*$AM225*1.25)+($AH225*$AN225)+($AK225*$AN225*1.25),"")</f>
        <v>0</v>
      </c>
      <c r="BL225" s="326" t="str">
        <f aca="false">IF(BL$24=$AA225,($AG225*$AM225)+($AJ225*$AM225*1.25)+($AH225*$AN225)+($AK225*$AN225*1.25),"")</f>
        <v/>
      </c>
      <c r="BM225" s="327" t="str">
        <f aca="false">IF(CONCATENATE(BH225,BI225,BJ225,BK225,BL225)="",1,"")</f>
        <v/>
      </c>
      <c r="BN225" s="328"/>
      <c r="BO225" s="328"/>
      <c r="BP225" s="328"/>
      <c r="BQ225" s="328"/>
      <c r="BR225" s="47"/>
      <c r="BS225" s="127" t="n">
        <f aca="false">(AG225*AM225)+(AH225*AN225)+((AJ225*AM225)+(AK225*AN225)*1.25)</f>
        <v>0</v>
      </c>
      <c r="BT225" s="127" t="n">
        <f aca="false">(AG225*AP225)+(AH225*AQ225)+((AJ225*AP225)+(AK225*AQ225)*1.25)</f>
        <v>0</v>
      </c>
      <c r="BU225" s="329"/>
      <c r="BV225" s="129"/>
    </row>
    <row r="226" customFormat="false" ht="15" hidden="false" customHeight="false" outlineLevel="0" collapsed="false">
      <c r="A226" s="219"/>
      <c r="B226" s="220"/>
      <c r="C226" s="221"/>
      <c r="D226" s="222"/>
      <c r="E226" s="223" t="str">
        <f aca="false">IF(SUM(A226:D226)&gt;0,SUM(A226:D226),"")</f>
        <v/>
      </c>
      <c r="F226" s="224" t="str">
        <f aca="false">AD239</f>
        <v>MANDARINO HÍBRIDO</v>
      </c>
      <c r="G226" s="169"/>
      <c r="H226" s="169"/>
      <c r="I226" s="169"/>
      <c r="J226" s="169"/>
      <c r="K226" s="169"/>
      <c r="L226" s="169"/>
      <c r="M226" s="169"/>
      <c r="N226" s="169"/>
      <c r="O226" s="169"/>
      <c r="P226" s="169"/>
      <c r="Q226" s="169"/>
      <c r="R226" s="3"/>
      <c r="S226" s="3"/>
      <c r="T226" s="3"/>
      <c r="U226" s="3"/>
      <c r="V226" s="3"/>
      <c r="W226" s="3"/>
      <c r="X226" s="3"/>
      <c r="Y226" s="3"/>
      <c r="Z226" s="316" t="str">
        <f aca="false">IF(AF226&gt;0,RANK(AF226,AF$6:AF$422),"")</f>
        <v/>
      </c>
      <c r="AA226" s="134" t="n">
        <f aca="false">'O_MN, PE_UTA_UGM 2024'!N203</f>
        <v>4</v>
      </c>
      <c r="AB226" s="135" t="n">
        <f aca="false">'O_MN, PE_UTA_UGM 2024'!O203</f>
        <v>0</v>
      </c>
      <c r="AC226" s="317" t="n">
        <f aca="false">'O_MN, PE_UTA_UGM 2024'!C203</f>
        <v>197</v>
      </c>
      <c r="AD226" s="293" t="str">
        <f aca="false">IF(AB226=0,'O_MN, PE_UTA_UGM 2024'!F203,CONCATENATE('O_MN, PE_UTA_UGM 2024'!F203," ","INVERNADERO"))</f>
        <v>TOMATE</v>
      </c>
      <c r="AE226" s="89"/>
      <c r="AF226" s="123" t="n">
        <f aca="false">SUM(AG226:AH226)+SUM(AJ226:AK226)</f>
        <v>0</v>
      </c>
      <c r="AG226" s="318" t="n">
        <f aca="false">A213</f>
        <v>0</v>
      </c>
      <c r="AH226" s="319" t="n">
        <f aca="false">B213</f>
        <v>0</v>
      </c>
      <c r="AI226" s="6"/>
      <c r="AJ226" s="320" t="n">
        <f aca="false">C213</f>
        <v>0</v>
      </c>
      <c r="AK226" s="320" t="n">
        <f aca="false">D213</f>
        <v>0</v>
      </c>
      <c r="AL226" s="237" t="s">
        <v>352</v>
      </c>
      <c r="AM226" s="299" t="n">
        <f aca="false">'O_MN, PE_UTA_UGM 2024'!J203</f>
        <v>575</v>
      </c>
      <c r="AN226" s="299" t="n">
        <f aca="false">'O_MN, PE_UTA_UGM 2024'!K203</f>
        <v>12000</v>
      </c>
      <c r="AO226" s="300"/>
      <c r="AP226" s="299" t="n">
        <f aca="false">'O_MN, PE_UTA_UGM 2024'!H203</f>
        <v>360.61</v>
      </c>
      <c r="AQ226" s="299" t="n">
        <f aca="false">'O_MN, PE_UTA_UGM 2024'!I203</f>
        <v>1352.28</v>
      </c>
      <c r="AR226" s="301"/>
      <c r="AS226" s="302" t="n">
        <f aca="false">'O_MN, PE_UTA_UGM 2024'!L203</f>
        <v>0.0147</v>
      </c>
      <c r="AT226" s="302" t="n">
        <f aca="false">'O_MN, PE_UTA_UGM 2024'!M203</f>
        <v>0.05512</v>
      </c>
      <c r="AU226" s="45"/>
      <c r="AV226" s="321" t="n">
        <f aca="false">AG226*AM226</f>
        <v>0</v>
      </c>
      <c r="AW226" s="319" t="n">
        <f aca="false">AH226*AN226</f>
        <v>0</v>
      </c>
      <c r="AX226" s="320" t="n">
        <f aca="false">1.25*AJ226*AM226</f>
        <v>0</v>
      </c>
      <c r="AY226" s="322" t="n">
        <f aca="false">1.25*AK226*AN226</f>
        <v>0</v>
      </c>
      <c r="AZ226" s="323" t="n">
        <f aca="false">AG226*AP226</f>
        <v>0</v>
      </c>
      <c r="BA226" s="319" t="n">
        <f aca="false">AH226*AQ226</f>
        <v>0</v>
      </c>
      <c r="BB226" s="320" t="n">
        <f aca="false">1.25*AJ226*AP226</f>
        <v>0</v>
      </c>
      <c r="BC226" s="320" t="n">
        <f aca="false">1.25*AK226*AQ226</f>
        <v>0</v>
      </c>
      <c r="BD226" s="321" t="n">
        <f aca="false">AG226*AS226</f>
        <v>0</v>
      </c>
      <c r="BE226" s="319" t="n">
        <f aca="false">AH226*AT226</f>
        <v>0</v>
      </c>
      <c r="BF226" s="320" t="n">
        <f aca="false">AJ226*AS226</f>
        <v>0</v>
      </c>
      <c r="BG226" s="322" t="n">
        <f aca="false">AK226*AT226</f>
        <v>0</v>
      </c>
      <c r="BH226" s="324" t="str">
        <f aca="false">IF(BH$24=$AA226,($AG226*$AM226)+($AJ226*$AM226*1.25)+($AH226*$AN226)+($AK226*$AN226*1.25),"")</f>
        <v/>
      </c>
      <c r="BI226" s="325" t="str">
        <f aca="false">IF(BI$24=$AA226,($AG226*$AM226)+($AJ226*$AM226*1.25)+($AH226*$AN226)+($AK226*$AN226*1.25),"")</f>
        <v/>
      </c>
      <c r="BJ226" s="325" t="str">
        <f aca="false">IF(BJ$24=$AA226,($AG226*$AM226)+($AJ226*$AM226*1.25)+($AH226*$AN226)+($AK226*$AN226*1.25),"")</f>
        <v/>
      </c>
      <c r="BK226" s="325" t="n">
        <f aca="false">IF(BK$24=$AA226,($AG226*$AM226)+($AJ226*$AM226*1.25)+($AH226*$AN226)+($AK226*$AN226*1.25),"")</f>
        <v>0</v>
      </c>
      <c r="BL226" s="326" t="str">
        <f aca="false">IF(BL$24=$AA226,($AG226*$AM226)+($AJ226*$AM226*1.25)+($AH226*$AN226)+($AK226*$AN226*1.25),"")</f>
        <v/>
      </c>
      <c r="BM226" s="327" t="str">
        <f aca="false">IF(CONCATENATE(BH226,BI226,BJ226,BK226,BL226)="",1,"")</f>
        <v/>
      </c>
      <c r="BN226" s="328"/>
      <c r="BO226" s="328"/>
      <c r="BP226" s="328"/>
      <c r="BQ226" s="328"/>
      <c r="BR226" s="47"/>
      <c r="BS226" s="127" t="n">
        <f aca="false">(AG226*AM226)+(AH226*AN226)+((AJ226*AM226)+(AK226*AN226)*1.25)</f>
        <v>0</v>
      </c>
      <c r="BT226" s="127" t="n">
        <f aca="false">(AG226*AP226)+(AH226*AQ226)+((AJ226*AP226)+(AK226*AQ226)*1.25)</f>
        <v>0</v>
      </c>
      <c r="BU226" s="329"/>
      <c r="BV226" s="129"/>
    </row>
    <row r="227" customFormat="false" ht="15" hidden="false" customHeight="false" outlineLevel="0" collapsed="false">
      <c r="A227" s="228"/>
      <c r="B227" s="229"/>
      <c r="C227" s="230"/>
      <c r="D227" s="231"/>
      <c r="E227" s="223" t="str">
        <f aca="false">IF(SUM(A227:D227)&gt;0,SUM(A227:D227),"")</f>
        <v/>
      </c>
      <c r="F227" s="224" t="str">
        <f aca="false">AD240</f>
        <v>MEMBRILLO</v>
      </c>
      <c r="G227" s="169"/>
      <c r="H227" s="169"/>
      <c r="I227" s="169"/>
      <c r="J227" s="169"/>
      <c r="K227" s="169"/>
      <c r="L227" s="169"/>
      <c r="M227" s="169"/>
      <c r="N227" s="169"/>
      <c r="O227" s="169"/>
      <c r="P227" s="169"/>
      <c r="Q227" s="169"/>
      <c r="R227" s="3"/>
      <c r="S227" s="3"/>
      <c r="T227" s="3"/>
      <c r="U227" s="3"/>
      <c r="V227" s="3"/>
      <c r="W227" s="3"/>
      <c r="X227" s="3"/>
      <c r="Y227" s="3"/>
      <c r="Z227" s="316" t="str">
        <f aca="false">IF(AF227&gt;0,RANK(AF227,AF$6:AF$422),"")</f>
        <v/>
      </c>
      <c r="AA227" s="134" t="n">
        <f aca="false">'O_MN, PE_UTA_UGM 2024'!N204</f>
        <v>4</v>
      </c>
      <c r="AB227" s="135" t="n">
        <f aca="false">'O_MN, PE_UTA_UGM 2024'!O204</f>
        <v>4</v>
      </c>
      <c r="AC227" s="317" t="n">
        <f aca="false">'O_MN, PE_UTA_UGM 2024'!C204</f>
        <v>197</v>
      </c>
      <c r="AD227" s="293" t="str">
        <f aca="false">IF(AB227=0,'O_MN, PE_UTA_UGM 2024'!F204,CONCATENATE('O_MN, PE_UTA_UGM 2024'!F204," ","INVERNADERO"))</f>
        <v>TOMATE INVERNADERO</v>
      </c>
      <c r="AE227" s="89"/>
      <c r="AF227" s="123" t="n">
        <f aca="false">SUM(AG227:AH227)+SUM(AJ227:AK227)</f>
        <v>0</v>
      </c>
      <c r="AG227" s="318" t="n">
        <f aca="false">A214</f>
        <v>0</v>
      </c>
      <c r="AH227" s="319" t="n">
        <f aca="false">B214</f>
        <v>0</v>
      </c>
      <c r="AI227" s="6"/>
      <c r="AJ227" s="320" t="n">
        <f aca="false">C214</f>
        <v>0</v>
      </c>
      <c r="AK227" s="320" t="n">
        <f aca="false">D214</f>
        <v>0</v>
      </c>
      <c r="AL227" s="237" t="s">
        <v>353</v>
      </c>
      <c r="AM227" s="299" t="n">
        <f aca="false">'O_MN, PE_UTA_UGM 2024'!J204</f>
        <v>0</v>
      </c>
      <c r="AN227" s="299" t="n">
        <f aca="false">'O_MN, PE_UTA_UGM 2024'!K204</f>
        <v>80000</v>
      </c>
      <c r="AO227" s="300"/>
      <c r="AP227" s="299" t="n">
        <f aca="false">'O_MN, PE_UTA_UGM 2024'!H204</f>
        <v>0</v>
      </c>
      <c r="AQ227" s="299" t="n">
        <f aca="false">'O_MN, PE_UTA_UGM 2024'!I204</f>
        <v>36060.73</v>
      </c>
      <c r="AR227" s="301"/>
      <c r="AS227" s="302" t="n">
        <f aca="false">'O_MN, PE_UTA_UGM 2024'!L204</f>
        <v>0</v>
      </c>
      <c r="AT227" s="302" t="n">
        <f aca="false">'O_MN, PE_UTA_UGM 2024'!M204</f>
        <v>1.46978</v>
      </c>
      <c r="AU227" s="45"/>
      <c r="AV227" s="321" t="n">
        <f aca="false">AG227*AM227</f>
        <v>0</v>
      </c>
      <c r="AW227" s="319" t="n">
        <f aca="false">AH227*AN227</f>
        <v>0</v>
      </c>
      <c r="AX227" s="320" t="n">
        <f aca="false">1.25*AJ227*AM227</f>
        <v>0</v>
      </c>
      <c r="AY227" s="322" t="n">
        <f aca="false">1.25*AK227*AN227</f>
        <v>0</v>
      </c>
      <c r="AZ227" s="323" t="n">
        <f aca="false">AG227*AP227</f>
        <v>0</v>
      </c>
      <c r="BA227" s="319" t="n">
        <f aca="false">AH227*AQ227</f>
        <v>0</v>
      </c>
      <c r="BB227" s="320" t="n">
        <f aca="false">1.25*AJ227*AP227</f>
        <v>0</v>
      </c>
      <c r="BC227" s="320" t="n">
        <f aca="false">1.25*AK227*AQ227</f>
        <v>0</v>
      </c>
      <c r="BD227" s="321" t="n">
        <f aca="false">AG227*AS227</f>
        <v>0</v>
      </c>
      <c r="BE227" s="319" t="n">
        <f aca="false">AH227*AT227</f>
        <v>0</v>
      </c>
      <c r="BF227" s="320" t="n">
        <f aca="false">AJ227*AS227</f>
        <v>0</v>
      </c>
      <c r="BG227" s="322" t="n">
        <f aca="false">AK227*AT227</f>
        <v>0</v>
      </c>
      <c r="BH227" s="324" t="str">
        <f aca="false">IF(BH$24=$AA227,($AG227*$AM227)+($AJ227*$AM227*1.25)+($AH227*$AN227)+($AK227*$AN227*1.25),"")</f>
        <v/>
      </c>
      <c r="BI227" s="325" t="str">
        <f aca="false">IF(BI$24=$AA227,($AG227*$AM227)+($AJ227*$AM227*1.25)+($AH227*$AN227)+($AK227*$AN227*1.25),"")</f>
        <v/>
      </c>
      <c r="BJ227" s="325" t="str">
        <f aca="false">IF(BJ$24=$AA227,($AG227*$AM227)+($AJ227*$AM227*1.25)+($AH227*$AN227)+($AK227*$AN227*1.25),"")</f>
        <v/>
      </c>
      <c r="BK227" s="325" t="n">
        <f aca="false">IF(BK$24=$AA227,($AG227*$AM227)+($AJ227*$AM227*1.25)+($AH227*$AN227)+($AK227*$AN227*1.25),"")</f>
        <v>0</v>
      </c>
      <c r="BL227" s="326" t="str">
        <f aca="false">IF(BL$24=$AA227,($AG227*$AM227)+($AJ227*$AM227*1.25)+($AH227*$AN227)+($AK227*$AN227*1.25),"")</f>
        <v/>
      </c>
      <c r="BM227" s="327" t="str">
        <f aca="false">IF(CONCATENATE(BH227,BI227,BJ227,BK227,BL227)="",1,"")</f>
        <v/>
      </c>
      <c r="BN227" s="328"/>
      <c r="BO227" s="328"/>
      <c r="BP227" s="328"/>
      <c r="BQ227" s="328"/>
      <c r="BR227" s="47"/>
      <c r="BS227" s="127" t="n">
        <f aca="false">(AG227*AM227)+(AH227*AN227)+((AJ227*AM227)+(AK227*AN227)*1.25)</f>
        <v>0</v>
      </c>
      <c r="BT227" s="127" t="n">
        <f aca="false">(AG227*AP227)+(AH227*AQ227)+((AJ227*AP227)+(AK227*AQ227)*1.25)</f>
        <v>0</v>
      </c>
      <c r="BU227" s="329"/>
      <c r="BV227" s="129"/>
    </row>
    <row r="228" customFormat="false" ht="15" hidden="false" customHeight="false" outlineLevel="0" collapsed="false">
      <c r="A228" s="228"/>
      <c r="B228" s="229"/>
      <c r="C228" s="230"/>
      <c r="D228" s="231"/>
      <c r="E228" s="223" t="str">
        <f aca="false">IF(SUM(A228:D228)&gt;0,SUM(A228:D228),"")</f>
        <v/>
      </c>
      <c r="F228" s="224" t="str">
        <f aca="false">AD241</f>
        <v>KIWI</v>
      </c>
      <c r="G228" s="169"/>
      <c r="H228" s="169"/>
      <c r="I228" s="169"/>
      <c r="J228" s="169"/>
      <c r="K228" s="169"/>
      <c r="L228" s="169"/>
      <c r="M228" s="169"/>
      <c r="N228" s="169"/>
      <c r="O228" s="169"/>
      <c r="P228" s="169"/>
      <c r="Q228" s="169"/>
      <c r="R228" s="3"/>
      <c r="S228" s="3"/>
      <c r="T228" s="3"/>
      <c r="U228" s="3"/>
      <c r="V228" s="3"/>
      <c r="W228" s="3"/>
      <c r="X228" s="3"/>
      <c r="Y228" s="3"/>
      <c r="Z228" s="316" t="str">
        <f aca="false">IF(AF228&gt;0,RANK(AF228,AF$6:AF$422),"")</f>
        <v/>
      </c>
      <c r="AA228" s="134" t="n">
        <f aca="false">'O_MN, PE_UTA_UGM 2024'!N205</f>
        <v>4</v>
      </c>
      <c r="AB228" s="135" t="n">
        <f aca="false">'O_MN, PE_UTA_UGM 2024'!O205</f>
        <v>19</v>
      </c>
      <c r="AC228" s="317" t="n">
        <f aca="false">'O_MN, PE_UTA_UGM 2024'!C205</f>
        <v>197</v>
      </c>
      <c r="AD228" s="293" t="str">
        <f aca="false">IF(AB228=0,'O_MN, PE_UTA_UGM 2024'!F205,CONCATENATE('O_MN, PE_UTA_UGM 2024'!F205," ","INVERNADERO"))</f>
        <v>TOMATE INVERNADERO</v>
      </c>
      <c r="AE228" s="89"/>
      <c r="AF228" s="123" t="n">
        <f aca="false">SUM(AG228:AH228)+SUM(AJ228:AK228)</f>
        <v>0</v>
      </c>
      <c r="AG228" s="318" t="n">
        <f aca="false">A215</f>
        <v>0</v>
      </c>
      <c r="AH228" s="319" t="n">
        <f aca="false">B215</f>
        <v>0</v>
      </c>
      <c r="AI228" s="6"/>
      <c r="AJ228" s="320" t="n">
        <f aca="false">C215</f>
        <v>0</v>
      </c>
      <c r="AK228" s="320" t="n">
        <f aca="false">D215</f>
        <v>0</v>
      </c>
      <c r="AL228" s="237" t="s">
        <v>354</v>
      </c>
      <c r="AM228" s="299" t="n">
        <f aca="false">'O_MN, PE_UTA_UGM 2024'!J205</f>
        <v>0</v>
      </c>
      <c r="AN228" s="299" t="n">
        <f aca="false">'O_MN, PE_UTA_UGM 2024'!K205</f>
        <v>80000</v>
      </c>
      <c r="AO228" s="300"/>
      <c r="AP228" s="299" t="n">
        <f aca="false">'O_MN, PE_UTA_UGM 2024'!H205</f>
        <v>0</v>
      </c>
      <c r="AQ228" s="299" t="n">
        <f aca="false">'O_MN, PE_UTA_UGM 2024'!I205</f>
        <v>36060.73</v>
      </c>
      <c r="AR228" s="301"/>
      <c r="AS228" s="302" t="n">
        <f aca="false">'O_MN, PE_UTA_UGM 2024'!L205</f>
        <v>0</v>
      </c>
      <c r="AT228" s="302" t="n">
        <f aca="false">'O_MN, PE_UTA_UGM 2024'!M205</f>
        <v>1.46978</v>
      </c>
      <c r="AU228" s="45"/>
      <c r="AV228" s="321" t="n">
        <f aca="false">AG228*AM228</f>
        <v>0</v>
      </c>
      <c r="AW228" s="319" t="n">
        <f aca="false">AH228*AN228</f>
        <v>0</v>
      </c>
      <c r="AX228" s="320" t="n">
        <f aca="false">1.25*AJ228*AM228</f>
        <v>0</v>
      </c>
      <c r="AY228" s="322" t="n">
        <f aca="false">1.25*AK228*AN228</f>
        <v>0</v>
      </c>
      <c r="AZ228" s="323" t="n">
        <f aca="false">AG228*AP228</f>
        <v>0</v>
      </c>
      <c r="BA228" s="319" t="n">
        <f aca="false">AH228*AQ228</f>
        <v>0</v>
      </c>
      <c r="BB228" s="320" t="n">
        <f aca="false">1.25*AJ228*AP228</f>
        <v>0</v>
      </c>
      <c r="BC228" s="320" t="n">
        <f aca="false">1.25*AK228*AQ228</f>
        <v>0</v>
      </c>
      <c r="BD228" s="321" t="n">
        <f aca="false">AG228*AS228</f>
        <v>0</v>
      </c>
      <c r="BE228" s="319" t="n">
        <f aca="false">AH228*AT228</f>
        <v>0</v>
      </c>
      <c r="BF228" s="320" t="n">
        <f aca="false">AJ228*AS228</f>
        <v>0</v>
      </c>
      <c r="BG228" s="322" t="n">
        <f aca="false">AK228*AT228</f>
        <v>0</v>
      </c>
      <c r="BH228" s="324" t="str">
        <f aca="false">IF(BH$24=$AA228,($AG228*$AM228)+($AJ228*$AM228*1.25)+($AH228*$AN228)+($AK228*$AN228*1.25),"")</f>
        <v/>
      </c>
      <c r="BI228" s="325" t="str">
        <f aca="false">IF(BI$24=$AA228,($AG228*$AM228)+($AJ228*$AM228*1.25)+($AH228*$AN228)+($AK228*$AN228*1.25),"")</f>
        <v/>
      </c>
      <c r="BJ228" s="325" t="str">
        <f aca="false">IF(BJ$24=$AA228,($AG228*$AM228)+($AJ228*$AM228*1.25)+($AH228*$AN228)+($AK228*$AN228*1.25),"")</f>
        <v/>
      </c>
      <c r="BK228" s="325" t="n">
        <f aca="false">IF(BK$24=$AA228,($AG228*$AM228)+($AJ228*$AM228*1.25)+($AH228*$AN228)+($AK228*$AN228*1.25),"")</f>
        <v>0</v>
      </c>
      <c r="BL228" s="326" t="str">
        <f aca="false">IF(BL$24=$AA228,($AG228*$AM228)+($AJ228*$AM228*1.25)+($AH228*$AN228)+($AK228*$AN228*1.25),"")</f>
        <v/>
      </c>
      <c r="BM228" s="327" t="str">
        <f aca="false">IF(CONCATENATE(BH228,BI228,BJ228,BK228,BL228)="",1,"")</f>
        <v/>
      </c>
      <c r="BN228" s="328"/>
      <c r="BO228" s="328"/>
      <c r="BP228" s="328"/>
      <c r="BQ228" s="328"/>
      <c r="BR228" s="47"/>
      <c r="BS228" s="127" t="n">
        <f aca="false">(AG228*AM228)+(AH228*AN228)+((AJ228*AM228)+(AK228*AN228)*1.25)</f>
        <v>0</v>
      </c>
      <c r="BT228" s="127" t="n">
        <f aca="false">(AG228*AP228)+(AH228*AQ228)+((AJ228*AP228)+(AK228*AQ228)*1.25)</f>
        <v>0</v>
      </c>
      <c r="BU228" s="329"/>
      <c r="BV228" s="129"/>
    </row>
    <row r="229" customFormat="false" ht="15" hidden="false" customHeight="false" outlineLevel="0" collapsed="false">
      <c r="A229" s="228"/>
      <c r="B229" s="229"/>
      <c r="C229" s="230"/>
      <c r="D229" s="231"/>
      <c r="E229" s="223" t="str">
        <f aca="false">IF(SUM(A229:D229)&gt;0,SUM(A229:D229),"")</f>
        <v/>
      </c>
      <c r="F229" s="224" t="str">
        <f aca="false">AD242</f>
        <v>CAQUI o PALOSANTO</v>
      </c>
      <c r="G229" s="169"/>
      <c r="H229" s="169"/>
      <c r="I229" s="169"/>
      <c r="J229" s="169"/>
      <c r="K229" s="169"/>
      <c r="L229" s="169"/>
      <c r="M229" s="169"/>
      <c r="N229" s="169"/>
      <c r="O229" s="169"/>
      <c r="P229" s="169"/>
      <c r="Q229" s="169"/>
      <c r="R229" s="3"/>
      <c r="S229" s="3"/>
      <c r="T229" s="3"/>
      <c r="U229" s="3"/>
      <c r="V229" s="3"/>
      <c r="W229" s="3"/>
      <c r="X229" s="3"/>
      <c r="Y229" s="3"/>
      <c r="Z229" s="316" t="str">
        <f aca="false">IF(AF229&gt;0,RANK(AF229,AF$6:AF$422),"")</f>
        <v/>
      </c>
      <c r="AA229" s="134" t="n">
        <f aca="false">'O_MN, PE_UTA_UGM 2024'!N206</f>
        <v>2</v>
      </c>
      <c r="AB229" s="135" t="n">
        <f aca="false">'O_MN, PE_UTA_UGM 2024'!O206</f>
        <v>0</v>
      </c>
      <c r="AC229" s="317" t="n">
        <f aca="false">'O_MN, PE_UTA_UGM 2024'!C206</f>
        <v>200</v>
      </c>
      <c r="AD229" s="293" t="str">
        <f aca="false">IF(AB229=0,'O_MN, PE_UTA_UGM 2024'!F206,CONCATENATE('O_MN, PE_UTA_UGM 2024'!F206," ","INVERNADERO"))</f>
        <v>PAULONIA</v>
      </c>
      <c r="AE229" s="89"/>
      <c r="AF229" s="123" t="n">
        <f aca="false">SUM(AG229:AH229)+SUM(AJ229:AK229)</f>
        <v>0</v>
      </c>
      <c r="AG229" s="318" t="n">
        <f aca="false">A216</f>
        <v>0</v>
      </c>
      <c r="AH229" s="319" t="n">
        <f aca="false">B216</f>
        <v>0</v>
      </c>
      <c r="AI229" s="6"/>
      <c r="AJ229" s="320" t="n">
        <f aca="false">C216</f>
        <v>0</v>
      </c>
      <c r="AK229" s="320" t="n">
        <f aca="false">D216</f>
        <v>0</v>
      </c>
      <c r="AL229" s="237" t="s">
        <v>355</v>
      </c>
      <c r="AM229" s="299" t="n">
        <f aca="false">'O_MN, PE_UTA_UGM 2024'!J206</f>
        <v>350</v>
      </c>
      <c r="AN229" s="299" t="n">
        <f aca="false">'O_MN, PE_UTA_UGM 2024'!K206</f>
        <v>1200</v>
      </c>
      <c r="AO229" s="300"/>
      <c r="AP229" s="299" t="n">
        <f aca="false">'O_MN, PE_UTA_UGM 2024'!H206</f>
        <v>114.19</v>
      </c>
      <c r="AQ229" s="299" t="n">
        <f aca="false">'O_MN, PE_UTA_UGM 2024'!I206</f>
        <v>240.4</v>
      </c>
      <c r="AR229" s="301"/>
      <c r="AS229" s="302" t="n">
        <f aca="false">'O_MN, PE_UTA_UGM 2024'!L206</f>
        <v>0.00465</v>
      </c>
      <c r="AT229" s="302" t="n">
        <f aca="false">'O_MN, PE_UTA_UGM 2024'!M206</f>
        <v>0.0098</v>
      </c>
      <c r="AU229" s="45"/>
      <c r="AV229" s="321" t="n">
        <f aca="false">AG229*AM229</f>
        <v>0</v>
      </c>
      <c r="AW229" s="319" t="n">
        <f aca="false">AH229*AN229</f>
        <v>0</v>
      </c>
      <c r="AX229" s="320" t="n">
        <f aca="false">1.25*AJ229*AM229</f>
        <v>0</v>
      </c>
      <c r="AY229" s="322" t="n">
        <f aca="false">1.25*AK229*AN229</f>
        <v>0</v>
      </c>
      <c r="AZ229" s="323" t="n">
        <f aca="false">AG229*AP229</f>
        <v>0</v>
      </c>
      <c r="BA229" s="319" t="n">
        <f aca="false">AH229*AQ229</f>
        <v>0</v>
      </c>
      <c r="BB229" s="320" t="n">
        <f aca="false">1.25*AJ229*AP229</f>
        <v>0</v>
      </c>
      <c r="BC229" s="320" t="n">
        <f aca="false">1.25*AK229*AQ229</f>
        <v>0</v>
      </c>
      <c r="BD229" s="321" t="n">
        <f aca="false">AG229*AS229</f>
        <v>0</v>
      </c>
      <c r="BE229" s="319" t="n">
        <f aca="false">AH229*AT229</f>
        <v>0</v>
      </c>
      <c r="BF229" s="320" t="n">
        <f aca="false">AJ229*AS229</f>
        <v>0</v>
      </c>
      <c r="BG229" s="322" t="n">
        <f aca="false">AK229*AT229</f>
        <v>0</v>
      </c>
      <c r="BH229" s="324" t="str">
        <f aca="false">IF(BH$24=$AA229,($AG229*$AM229)+($AJ229*$AM229*1.25)+($AH229*$AN229)+($AK229*$AN229*1.25),"")</f>
        <v/>
      </c>
      <c r="BI229" s="325" t="n">
        <f aca="false">IF(BI$24=$AA229,($AG229*$AM229)+($AJ229*$AM229*1.25)+($AH229*$AN229)+($AK229*$AN229*1.25),"")</f>
        <v>0</v>
      </c>
      <c r="BJ229" s="325" t="str">
        <f aca="false">IF(BJ$24=$AA229,($AG229*$AM229)+($AJ229*$AM229*1.25)+($AH229*$AN229)+($AK229*$AN229*1.25),"")</f>
        <v/>
      </c>
      <c r="BK229" s="325" t="str">
        <f aca="false">IF(BK$24=$AA229,($AG229*$AM229)+($AJ229*$AM229*1.25)+($AH229*$AN229)+($AK229*$AN229*1.25),"")</f>
        <v/>
      </c>
      <c r="BL229" s="326" t="str">
        <f aca="false">IF(BL$24=$AA229,($AG229*$AM229)+($AJ229*$AM229*1.25)+($AH229*$AN229)+($AK229*$AN229*1.25),"")</f>
        <v/>
      </c>
      <c r="BM229" s="327" t="str">
        <f aca="false">IF(CONCATENATE(BH229,BI229,BJ229,BK229,BL229)="",1,"")</f>
        <v/>
      </c>
      <c r="BN229" s="328"/>
      <c r="BO229" s="328"/>
      <c r="BP229" s="328"/>
      <c r="BQ229" s="328"/>
      <c r="BR229" s="47"/>
      <c r="BS229" s="127" t="n">
        <f aca="false">(AG229*AM229)+(AH229*AN229)+((AJ229*AM229)+(AK229*AN229)*1.25)</f>
        <v>0</v>
      </c>
      <c r="BT229" s="127" t="n">
        <f aca="false">(AG229*AP229)+(AH229*AQ229)+((AJ229*AP229)+(AK229*AQ229)*1.25)</f>
        <v>0</v>
      </c>
      <c r="BU229" s="329"/>
      <c r="BV229" s="129"/>
    </row>
    <row r="230" customFormat="false" ht="15" hidden="false" customHeight="false" outlineLevel="0" collapsed="false">
      <c r="A230" s="228"/>
      <c r="B230" s="229"/>
      <c r="C230" s="230"/>
      <c r="D230" s="231"/>
      <c r="E230" s="223" t="str">
        <f aca="false">IF(SUM(A230:D230)&gt;0,SUM(A230:D230),"")</f>
        <v/>
      </c>
      <c r="F230" s="224" t="str">
        <f aca="false">AD243</f>
        <v>NÍSPERO</v>
      </c>
      <c r="G230" s="169"/>
      <c r="H230" s="169"/>
      <c r="I230" s="169"/>
      <c r="J230" s="169"/>
      <c r="K230" s="169"/>
      <c r="L230" s="169"/>
      <c r="M230" s="169"/>
      <c r="N230" s="169"/>
      <c r="O230" s="169"/>
      <c r="P230" s="169"/>
      <c r="Q230" s="169"/>
      <c r="R230" s="3"/>
      <c r="S230" s="3"/>
      <c r="T230" s="3"/>
      <c r="U230" s="3"/>
      <c r="V230" s="3"/>
      <c r="W230" s="3"/>
      <c r="X230" s="3"/>
      <c r="Y230" s="3"/>
      <c r="Z230" s="316" t="str">
        <f aca="false">IF(AF230&gt;0,RANK(AF230,AF$6:AF$422),"")</f>
        <v/>
      </c>
      <c r="AA230" s="134" t="n">
        <f aca="false">'O_MN, PE_UTA_UGM 2024'!N207</f>
        <v>2</v>
      </c>
      <c r="AB230" s="135" t="n">
        <f aca="false">'O_MN, PE_UTA_UGM 2024'!O207</f>
        <v>0</v>
      </c>
      <c r="AC230" s="317" t="n">
        <f aca="false">'O_MN, PE_UTA_UGM 2024'!C207</f>
        <v>201</v>
      </c>
      <c r="AD230" s="293" t="str">
        <f aca="false">IF(AB230=0,'O_MN, PE_UTA_UGM 2024'!F207,CONCATENATE('O_MN, PE_UTA_UGM 2024'!F207," ","INVERNADERO"))</f>
        <v>PLATERINA</v>
      </c>
      <c r="AE230" s="89"/>
      <c r="AF230" s="123" t="n">
        <f aca="false">SUM(AG230:AH230)+SUM(AJ230:AK230)</f>
        <v>0</v>
      </c>
      <c r="AG230" s="318" t="n">
        <f aca="false">A217</f>
        <v>0</v>
      </c>
      <c r="AH230" s="319" t="n">
        <f aca="false">B217</f>
        <v>0</v>
      </c>
      <c r="AI230" s="6"/>
      <c r="AJ230" s="320" t="n">
        <f aca="false">C217</f>
        <v>0</v>
      </c>
      <c r="AK230" s="320" t="n">
        <f aca="false">D217</f>
        <v>0</v>
      </c>
      <c r="AL230" s="237" t="s">
        <v>356</v>
      </c>
      <c r="AM230" s="299" t="n">
        <f aca="false">'O_MN, PE_UTA_UGM 2024'!J207</f>
        <v>1939.72</v>
      </c>
      <c r="AN230" s="299" t="n">
        <f aca="false">'O_MN, PE_UTA_UGM 2024'!K207</f>
        <v>8500</v>
      </c>
      <c r="AO230" s="300"/>
      <c r="AP230" s="299" t="n">
        <f aca="false">'O_MN, PE_UTA_UGM 2024'!H207</f>
        <v>480.81</v>
      </c>
      <c r="AQ230" s="299" t="n">
        <f aca="false">'O_MN, PE_UTA_UGM 2024'!I207</f>
        <v>1442.43</v>
      </c>
      <c r="AR230" s="301"/>
      <c r="AS230" s="302" t="n">
        <f aca="false">'O_MN, PE_UTA_UGM 2024'!L207</f>
        <v>0.0196</v>
      </c>
      <c r="AT230" s="302" t="n">
        <f aca="false">'O_MN, PE_UTA_UGM 2024'!M207</f>
        <v>0.05879</v>
      </c>
      <c r="AU230" s="45"/>
      <c r="AV230" s="321" t="n">
        <f aca="false">AG230*AM230</f>
        <v>0</v>
      </c>
      <c r="AW230" s="319" t="n">
        <f aca="false">AH230*AN230</f>
        <v>0</v>
      </c>
      <c r="AX230" s="320" t="n">
        <f aca="false">1.25*AJ230*AM230</f>
        <v>0</v>
      </c>
      <c r="AY230" s="322" t="n">
        <f aca="false">1.25*AK230*AN230</f>
        <v>0</v>
      </c>
      <c r="AZ230" s="323" t="n">
        <f aca="false">AG230*AP230</f>
        <v>0</v>
      </c>
      <c r="BA230" s="319" t="n">
        <f aca="false">AH230*AQ230</f>
        <v>0</v>
      </c>
      <c r="BB230" s="320" t="n">
        <f aca="false">1.25*AJ230*AP230</f>
        <v>0</v>
      </c>
      <c r="BC230" s="320" t="n">
        <f aca="false">1.25*AK230*AQ230</f>
        <v>0</v>
      </c>
      <c r="BD230" s="321" t="n">
        <f aca="false">AG230*AS230</f>
        <v>0</v>
      </c>
      <c r="BE230" s="319" t="n">
        <f aca="false">AH230*AT230</f>
        <v>0</v>
      </c>
      <c r="BF230" s="320" t="n">
        <f aca="false">AJ230*AS230</f>
        <v>0</v>
      </c>
      <c r="BG230" s="322" t="n">
        <f aca="false">AK230*AT230</f>
        <v>0</v>
      </c>
      <c r="BH230" s="324" t="str">
        <f aca="false">IF(BH$24=$AA230,($AG230*$AM230)+($AJ230*$AM230*1.25)+($AH230*$AN230)+($AK230*$AN230*1.25),"")</f>
        <v/>
      </c>
      <c r="BI230" s="325" t="n">
        <f aca="false">IF(BI$24=$AA230,($AG230*$AM230)+($AJ230*$AM230*1.25)+($AH230*$AN230)+($AK230*$AN230*1.25),"")</f>
        <v>0</v>
      </c>
      <c r="BJ230" s="325" t="str">
        <f aca="false">IF(BJ$24=$AA230,($AG230*$AM230)+($AJ230*$AM230*1.25)+($AH230*$AN230)+($AK230*$AN230*1.25),"")</f>
        <v/>
      </c>
      <c r="BK230" s="325" t="str">
        <f aca="false">IF(BK$24=$AA230,($AG230*$AM230)+($AJ230*$AM230*1.25)+($AH230*$AN230)+($AK230*$AN230*1.25),"")</f>
        <v/>
      </c>
      <c r="BL230" s="326" t="str">
        <f aca="false">IF(BL$24=$AA230,($AG230*$AM230)+($AJ230*$AM230*1.25)+($AH230*$AN230)+($AK230*$AN230*1.25),"")</f>
        <v/>
      </c>
      <c r="BM230" s="327" t="str">
        <f aca="false">IF(CONCATENATE(BH230,BI230,BJ230,BK230,BL230)="",1,"")</f>
        <v/>
      </c>
      <c r="BN230" s="328"/>
      <c r="BO230" s="328"/>
      <c r="BP230" s="328"/>
      <c r="BQ230" s="328"/>
      <c r="BR230" s="47"/>
      <c r="BS230" s="127" t="n">
        <f aca="false">(AG230*AM230)+(AH230*AN230)+((AJ230*AM230)+(AK230*AN230)*1.25)</f>
        <v>0</v>
      </c>
      <c r="BT230" s="127" t="n">
        <f aca="false">(AG230*AP230)+(AH230*AQ230)+((AJ230*AP230)+(AK230*AQ230)*1.25)</f>
        <v>0</v>
      </c>
      <c r="BU230" s="329"/>
      <c r="BV230" s="129"/>
    </row>
    <row r="231" customFormat="false" ht="15" hidden="false" customHeight="false" outlineLevel="0" collapsed="false">
      <c r="A231" s="228"/>
      <c r="B231" s="229"/>
      <c r="C231" s="230"/>
      <c r="D231" s="231"/>
      <c r="E231" s="223" t="str">
        <f aca="false">IF(SUM(A231:D231)&gt;0,SUM(A231:D231),"")</f>
        <v/>
      </c>
      <c r="F231" s="224" t="str">
        <f aca="false">AD244</f>
        <v>GROSELLERO</v>
      </c>
      <c r="G231" s="169"/>
      <c r="H231" s="169"/>
      <c r="I231" s="169"/>
      <c r="J231" s="169"/>
      <c r="K231" s="169"/>
      <c r="L231" s="169"/>
      <c r="M231" s="169"/>
      <c r="N231" s="169"/>
      <c r="O231" s="169"/>
      <c r="P231" s="169"/>
      <c r="Q231" s="169"/>
      <c r="R231" s="3"/>
      <c r="S231" s="3"/>
      <c r="T231" s="3"/>
      <c r="U231" s="3"/>
      <c r="V231" s="3"/>
      <c r="W231" s="3"/>
      <c r="X231" s="3"/>
      <c r="Y231" s="3"/>
      <c r="Z231" s="316" t="str">
        <f aca="false">IF(AF231&gt;0,RANK(AF231,AF$6:AF$422),"")</f>
        <v/>
      </c>
      <c r="AA231" s="134" t="n">
        <f aca="false">'O_MN, PE_UTA_UGM 2024'!N208</f>
        <v>2</v>
      </c>
      <c r="AB231" s="135" t="n">
        <f aca="false">'O_MN, PE_UTA_UGM 2024'!O208</f>
        <v>0</v>
      </c>
      <c r="AC231" s="317" t="n">
        <f aca="false">'O_MN, PE_UTA_UGM 2024'!C208</f>
        <v>202</v>
      </c>
      <c r="AD231" s="293" t="str">
        <f aca="false">IF(AB231=0,'O_MN, PE_UTA_UGM 2024'!F208,CONCATENATE('O_MN, PE_UTA_UGM 2024'!F208," ","INVERNADERO"))</f>
        <v>PARAGUAYO</v>
      </c>
      <c r="AE231" s="89"/>
      <c r="AF231" s="123" t="n">
        <f aca="false">SUM(AG231:AH231)+SUM(AJ231:AK231)</f>
        <v>0</v>
      </c>
      <c r="AG231" s="318" t="n">
        <f aca="false">A218</f>
        <v>0</v>
      </c>
      <c r="AH231" s="319" t="n">
        <f aca="false">B218</f>
        <v>0</v>
      </c>
      <c r="AI231" s="6"/>
      <c r="AJ231" s="320" t="n">
        <f aca="false">C218</f>
        <v>0</v>
      </c>
      <c r="AK231" s="320" t="n">
        <f aca="false">D218</f>
        <v>0</v>
      </c>
      <c r="AL231" s="237" t="s">
        <v>357</v>
      </c>
      <c r="AM231" s="299" t="n">
        <f aca="false">'O_MN, PE_UTA_UGM 2024'!J208</f>
        <v>1939.72</v>
      </c>
      <c r="AN231" s="299" t="n">
        <f aca="false">'O_MN, PE_UTA_UGM 2024'!K208</f>
        <v>6000</v>
      </c>
      <c r="AO231" s="300"/>
      <c r="AP231" s="299" t="n">
        <f aca="false">'O_MN, PE_UTA_UGM 2024'!H208</f>
        <v>480.81</v>
      </c>
      <c r="AQ231" s="299" t="n">
        <f aca="false">'O_MN, PE_UTA_UGM 2024'!I208</f>
        <v>1442.43</v>
      </c>
      <c r="AR231" s="301"/>
      <c r="AS231" s="302" t="n">
        <f aca="false">'O_MN, PE_UTA_UGM 2024'!L208</f>
        <v>0.0196</v>
      </c>
      <c r="AT231" s="302" t="n">
        <f aca="false">'O_MN, PE_UTA_UGM 2024'!M208</f>
        <v>0.05879</v>
      </c>
      <c r="AU231" s="45"/>
      <c r="AV231" s="321" t="n">
        <f aca="false">AG231*AM231</f>
        <v>0</v>
      </c>
      <c r="AW231" s="319" t="n">
        <f aca="false">AH231*AN231</f>
        <v>0</v>
      </c>
      <c r="AX231" s="320" t="n">
        <f aca="false">1.25*AJ231*AM231</f>
        <v>0</v>
      </c>
      <c r="AY231" s="322" t="n">
        <f aca="false">1.25*AK231*AN231</f>
        <v>0</v>
      </c>
      <c r="AZ231" s="323" t="n">
        <f aca="false">AG231*AP231</f>
        <v>0</v>
      </c>
      <c r="BA231" s="319" t="n">
        <f aca="false">AH231*AQ231</f>
        <v>0</v>
      </c>
      <c r="BB231" s="320" t="n">
        <f aca="false">1.25*AJ231*AP231</f>
        <v>0</v>
      </c>
      <c r="BC231" s="320" t="n">
        <f aca="false">1.25*AK231*AQ231</f>
        <v>0</v>
      </c>
      <c r="BD231" s="321" t="n">
        <f aca="false">AG231*AS231</f>
        <v>0</v>
      </c>
      <c r="BE231" s="319" t="n">
        <f aca="false">AH231*AT231</f>
        <v>0</v>
      </c>
      <c r="BF231" s="320" t="n">
        <f aca="false">AJ231*AS231</f>
        <v>0</v>
      </c>
      <c r="BG231" s="322" t="n">
        <f aca="false">AK231*AT231</f>
        <v>0</v>
      </c>
      <c r="BH231" s="324" t="str">
        <f aca="false">IF(BH$24=$AA231,($AG231*$AM231)+($AJ231*$AM231*1.25)+($AH231*$AN231)+($AK231*$AN231*1.25),"")</f>
        <v/>
      </c>
      <c r="BI231" s="325" t="n">
        <f aca="false">IF(BI$24=$AA231,($AG231*$AM231)+($AJ231*$AM231*1.25)+($AH231*$AN231)+($AK231*$AN231*1.25),"")</f>
        <v>0</v>
      </c>
      <c r="BJ231" s="325" t="str">
        <f aca="false">IF(BJ$24=$AA231,($AG231*$AM231)+($AJ231*$AM231*1.25)+($AH231*$AN231)+($AK231*$AN231*1.25),"")</f>
        <v/>
      </c>
      <c r="BK231" s="325" t="str">
        <f aca="false">IF(BK$24=$AA231,($AG231*$AM231)+($AJ231*$AM231*1.25)+($AH231*$AN231)+($AK231*$AN231*1.25),"")</f>
        <v/>
      </c>
      <c r="BL231" s="326" t="str">
        <f aca="false">IF(BL$24=$AA231,($AG231*$AM231)+($AJ231*$AM231*1.25)+($AH231*$AN231)+($AK231*$AN231*1.25),"")</f>
        <v/>
      </c>
      <c r="BM231" s="327" t="str">
        <f aca="false">IF(CONCATENATE(BH231,BI231,BJ231,BK231,BL231)="",1,"")</f>
        <v/>
      </c>
      <c r="BN231" s="328"/>
      <c r="BO231" s="328"/>
      <c r="BP231" s="328"/>
      <c r="BQ231" s="328"/>
      <c r="BR231" s="47"/>
      <c r="BS231" s="127" t="n">
        <f aca="false">(AG231*AM231)+(AH231*AN231)+((AJ231*AM231)+(AK231*AN231)*1.25)</f>
        <v>0</v>
      </c>
      <c r="BT231" s="127" t="n">
        <f aca="false">(AG231*AP231)+(AH231*AQ231)+((AJ231*AP231)+(AK231*AQ231)*1.25)</f>
        <v>0</v>
      </c>
      <c r="BU231" s="329"/>
      <c r="BV231" s="129"/>
    </row>
    <row r="232" customFormat="false" ht="15" hidden="false" customHeight="false" outlineLevel="0" collapsed="false">
      <c r="A232" s="228"/>
      <c r="B232" s="229"/>
      <c r="C232" s="230"/>
      <c r="D232" s="231"/>
      <c r="E232" s="223" t="str">
        <f aca="false">IF(SUM(A232:D232)&gt;0,SUM(A232:D232),"")</f>
        <v/>
      </c>
      <c r="F232" s="224" t="str">
        <f aca="false">AD245</f>
        <v>GROSELLERO INVERNADERO</v>
      </c>
      <c r="G232" s="169"/>
      <c r="H232" s="169"/>
      <c r="I232" s="169"/>
      <c r="J232" s="169"/>
      <c r="K232" s="169"/>
      <c r="L232" s="169"/>
      <c r="M232" s="169"/>
      <c r="N232" s="169"/>
      <c r="O232" s="169"/>
      <c r="P232" s="169"/>
      <c r="Q232" s="169"/>
      <c r="R232" s="3"/>
      <c r="S232" s="3"/>
      <c r="T232" s="3"/>
      <c r="U232" s="3"/>
      <c r="V232" s="3"/>
      <c r="W232" s="3"/>
      <c r="X232" s="3"/>
      <c r="Y232" s="3"/>
      <c r="Z232" s="316" t="str">
        <f aca="false">IF(AF232&gt;0,RANK(AF232,AF$6:AF$422),"")</f>
        <v/>
      </c>
      <c r="AA232" s="134" t="n">
        <f aca="false">'O_MN, PE_UTA_UGM 2024'!N209</f>
        <v>2</v>
      </c>
      <c r="AB232" s="135" t="n">
        <f aca="false">'O_MN, PE_UTA_UGM 2024'!O209</f>
        <v>0</v>
      </c>
      <c r="AC232" s="317" t="n">
        <f aca="false">'O_MN, PE_UTA_UGM 2024'!C209</f>
        <v>203</v>
      </c>
      <c r="AD232" s="293" t="str">
        <f aca="false">IF(AB232=0,'O_MN, PE_UTA_UGM 2024'!F209,CONCATENATE('O_MN, PE_UTA_UGM 2024'!F209," ","INVERNADERO"))</f>
        <v>ENDRINO o ARAÑÓN</v>
      </c>
      <c r="AE232" s="89"/>
      <c r="AF232" s="123" t="n">
        <f aca="false">SUM(AG232:AH232)+SUM(AJ232:AK232)</f>
        <v>0</v>
      </c>
      <c r="AG232" s="318" t="n">
        <f aca="false">A219</f>
        <v>0</v>
      </c>
      <c r="AH232" s="319" t="n">
        <f aca="false">B219</f>
        <v>0</v>
      </c>
      <c r="AI232" s="6"/>
      <c r="AJ232" s="320" t="n">
        <f aca="false">C219</f>
        <v>0</v>
      </c>
      <c r="AK232" s="320" t="n">
        <f aca="false">D219</f>
        <v>0</v>
      </c>
      <c r="AL232" s="237" t="s">
        <v>358</v>
      </c>
      <c r="AM232" s="299" t="n">
        <f aca="false">'O_MN, PE_UTA_UGM 2024'!J209</f>
        <v>575</v>
      </c>
      <c r="AN232" s="299" t="n">
        <f aca="false">'O_MN, PE_UTA_UGM 2024'!K209</f>
        <v>5200</v>
      </c>
      <c r="AO232" s="300"/>
      <c r="AP232" s="299" t="n">
        <f aca="false">'O_MN, PE_UTA_UGM 2024'!H209</f>
        <v>360.61</v>
      </c>
      <c r="AQ232" s="299" t="n">
        <f aca="false">'O_MN, PE_UTA_UGM 2024'!I209</f>
        <v>1352.28</v>
      </c>
      <c r="AR232" s="301"/>
      <c r="AS232" s="302" t="n">
        <f aca="false">'O_MN, PE_UTA_UGM 2024'!L209</f>
        <v>0.0147</v>
      </c>
      <c r="AT232" s="302" t="n">
        <f aca="false">'O_MN, PE_UTA_UGM 2024'!M209</f>
        <v>0.05512</v>
      </c>
      <c r="AU232" s="45"/>
      <c r="AV232" s="321" t="n">
        <f aca="false">AG232*AM232</f>
        <v>0</v>
      </c>
      <c r="AW232" s="319" t="n">
        <f aca="false">AH232*AN232</f>
        <v>0</v>
      </c>
      <c r="AX232" s="320" t="n">
        <f aca="false">1.25*AJ232*AM232</f>
        <v>0</v>
      </c>
      <c r="AY232" s="322" t="n">
        <f aca="false">1.25*AK232*AN232</f>
        <v>0</v>
      </c>
      <c r="AZ232" s="323" t="n">
        <f aca="false">AG232*AP232</f>
        <v>0</v>
      </c>
      <c r="BA232" s="319" t="n">
        <f aca="false">AH232*AQ232</f>
        <v>0</v>
      </c>
      <c r="BB232" s="320" t="n">
        <f aca="false">1.25*AJ232*AP232</f>
        <v>0</v>
      </c>
      <c r="BC232" s="320" t="n">
        <f aca="false">1.25*AK232*AQ232</f>
        <v>0</v>
      </c>
      <c r="BD232" s="321" t="n">
        <f aca="false">AG232*AS232</f>
        <v>0</v>
      </c>
      <c r="BE232" s="319" t="n">
        <f aca="false">AH232*AT232</f>
        <v>0</v>
      </c>
      <c r="BF232" s="320" t="n">
        <f aca="false">AJ232*AS232</f>
        <v>0</v>
      </c>
      <c r="BG232" s="322" t="n">
        <f aca="false">AK232*AT232</f>
        <v>0</v>
      </c>
      <c r="BH232" s="324" t="str">
        <f aca="false">IF(BH$24=$AA232,($AG232*$AM232)+($AJ232*$AM232*1.25)+($AH232*$AN232)+($AK232*$AN232*1.25),"")</f>
        <v/>
      </c>
      <c r="BI232" s="325" t="n">
        <f aca="false">IF(BI$24=$AA232,($AG232*$AM232)+($AJ232*$AM232*1.25)+($AH232*$AN232)+($AK232*$AN232*1.25),"")</f>
        <v>0</v>
      </c>
      <c r="BJ232" s="325" t="str">
        <f aca="false">IF(BJ$24=$AA232,($AG232*$AM232)+($AJ232*$AM232*1.25)+($AH232*$AN232)+($AK232*$AN232*1.25),"")</f>
        <v/>
      </c>
      <c r="BK232" s="325" t="str">
        <f aca="false">IF(BK$24=$AA232,($AG232*$AM232)+($AJ232*$AM232*1.25)+($AH232*$AN232)+($AK232*$AN232*1.25),"")</f>
        <v/>
      </c>
      <c r="BL232" s="326" t="str">
        <f aca="false">IF(BL$24=$AA232,($AG232*$AM232)+($AJ232*$AM232*1.25)+($AH232*$AN232)+($AK232*$AN232*1.25),"")</f>
        <v/>
      </c>
      <c r="BM232" s="327" t="str">
        <f aca="false">IF(CONCATENATE(BH232,BI232,BJ232,BK232,BL232)="",1,"")</f>
        <v/>
      </c>
      <c r="BN232" s="328"/>
      <c r="BO232" s="328"/>
      <c r="BP232" s="328"/>
      <c r="BQ232" s="328"/>
      <c r="BR232" s="47"/>
      <c r="BS232" s="127" t="n">
        <f aca="false">(AG232*AM232)+(AH232*AN232)+((AJ232*AM232)+(AK232*AN232)*1.25)</f>
        <v>0</v>
      </c>
      <c r="BT232" s="127" t="n">
        <f aca="false">(AG232*AP232)+(AH232*AQ232)+((AJ232*AP232)+(AK232*AQ232)*1.25)</f>
        <v>0</v>
      </c>
      <c r="BU232" s="329"/>
      <c r="BV232" s="129"/>
    </row>
    <row r="233" customFormat="false" ht="15" hidden="false" customHeight="false" outlineLevel="0" collapsed="false">
      <c r="A233" s="228"/>
      <c r="B233" s="229"/>
      <c r="C233" s="230"/>
      <c r="D233" s="231"/>
      <c r="E233" s="223" t="str">
        <f aca="false">IF(SUM(A233:D233)&gt;0,SUM(A233:D233),"")</f>
        <v/>
      </c>
      <c r="F233" s="224" t="str">
        <f aca="false">AD246</f>
        <v>GROSELLERO INVERNADERO</v>
      </c>
      <c r="G233" s="169"/>
      <c r="H233" s="169"/>
      <c r="I233" s="169"/>
      <c r="J233" s="169"/>
      <c r="K233" s="169"/>
      <c r="L233" s="169"/>
      <c r="M233" s="169"/>
      <c r="N233" s="169"/>
      <c r="O233" s="169"/>
      <c r="P233" s="169"/>
      <c r="Q233" s="169"/>
      <c r="R233" s="3"/>
      <c r="S233" s="3"/>
      <c r="T233" s="3"/>
      <c r="U233" s="3"/>
      <c r="V233" s="3"/>
      <c r="W233" s="3"/>
      <c r="X233" s="3"/>
      <c r="Y233" s="3"/>
      <c r="Z233" s="316" t="str">
        <f aca="false">IF(AF233&gt;0,RANK(AF233,AF$6:AF$422),"")</f>
        <v/>
      </c>
      <c r="AA233" s="134" t="n">
        <f aca="false">'O_MN, PE_UTA_UGM 2024'!N210</f>
        <v>2</v>
      </c>
      <c r="AB233" s="135" t="n">
        <f aca="false">'O_MN, PE_UTA_UGM 2024'!O210</f>
        <v>0</v>
      </c>
      <c r="AC233" s="317" t="n">
        <f aca="false">'O_MN, PE_UTA_UGM 2024'!C210</f>
        <v>204</v>
      </c>
      <c r="AD233" s="293" t="str">
        <f aca="false">IF(AB233=0,'O_MN, PE_UTA_UGM 2024'!F210,CONCATENATE('O_MN, PE_UTA_UGM 2024'!F210," ","INVERNADERO"))</f>
        <v>CLEMENTINA</v>
      </c>
      <c r="AE233" s="89"/>
      <c r="AF233" s="123" t="n">
        <f aca="false">SUM(AG233:AH233)+SUM(AJ233:AK233)</f>
        <v>0</v>
      </c>
      <c r="AG233" s="318" t="n">
        <f aca="false">A220</f>
        <v>0</v>
      </c>
      <c r="AH233" s="319" t="n">
        <f aca="false">B220</f>
        <v>0</v>
      </c>
      <c r="AI233" s="6"/>
      <c r="AJ233" s="320" t="n">
        <f aca="false">C220</f>
        <v>0</v>
      </c>
      <c r="AK233" s="320" t="n">
        <f aca="false">D220</f>
        <v>0</v>
      </c>
      <c r="AL233" s="237" t="s">
        <v>359</v>
      </c>
      <c r="AM233" s="299" t="n">
        <f aca="false">'O_MN, PE_UTA_UGM 2024'!J210</f>
        <v>1939.72</v>
      </c>
      <c r="AN233" s="299" t="n">
        <f aca="false">'O_MN, PE_UTA_UGM 2024'!K210</f>
        <v>6000</v>
      </c>
      <c r="AO233" s="300"/>
      <c r="AP233" s="299" t="n">
        <f aca="false">'O_MN, PE_UTA_UGM 2024'!H210</f>
        <v>480.81</v>
      </c>
      <c r="AQ233" s="299" t="n">
        <f aca="false">'O_MN, PE_UTA_UGM 2024'!I210</f>
        <v>1442.43</v>
      </c>
      <c r="AR233" s="301"/>
      <c r="AS233" s="302" t="n">
        <f aca="false">'O_MN, PE_UTA_UGM 2024'!L210</f>
        <v>0.0196</v>
      </c>
      <c r="AT233" s="302" t="n">
        <f aca="false">'O_MN, PE_UTA_UGM 2024'!M210</f>
        <v>0.05879</v>
      </c>
      <c r="AU233" s="45"/>
      <c r="AV233" s="321" t="n">
        <f aca="false">AG233*AM233</f>
        <v>0</v>
      </c>
      <c r="AW233" s="319" t="n">
        <f aca="false">AH233*AN233</f>
        <v>0</v>
      </c>
      <c r="AX233" s="320" t="n">
        <f aca="false">1.25*AJ233*AM233</f>
        <v>0</v>
      </c>
      <c r="AY233" s="322" t="n">
        <f aca="false">1.25*AK233*AN233</f>
        <v>0</v>
      </c>
      <c r="AZ233" s="323" t="n">
        <f aca="false">AG233*AP233</f>
        <v>0</v>
      </c>
      <c r="BA233" s="319" t="n">
        <f aca="false">AH233*AQ233</f>
        <v>0</v>
      </c>
      <c r="BB233" s="320" t="n">
        <f aca="false">1.25*AJ233*AP233</f>
        <v>0</v>
      </c>
      <c r="BC233" s="320" t="n">
        <f aca="false">1.25*AK233*AQ233</f>
        <v>0</v>
      </c>
      <c r="BD233" s="321" t="n">
        <f aca="false">AG233*AS233</f>
        <v>0</v>
      </c>
      <c r="BE233" s="319" t="n">
        <f aca="false">AH233*AT233</f>
        <v>0</v>
      </c>
      <c r="BF233" s="320" t="n">
        <f aca="false">AJ233*AS233</f>
        <v>0</v>
      </c>
      <c r="BG233" s="322" t="n">
        <f aca="false">AK233*AT233</f>
        <v>0</v>
      </c>
      <c r="BH233" s="324" t="str">
        <f aca="false">IF(BH$24=$AA233,($AG233*$AM233)+($AJ233*$AM233*1.25)+($AH233*$AN233)+($AK233*$AN233*1.25),"")</f>
        <v/>
      </c>
      <c r="BI233" s="325" t="n">
        <f aca="false">IF(BI$24=$AA233,($AG233*$AM233)+($AJ233*$AM233*1.25)+($AH233*$AN233)+($AK233*$AN233*1.25),"")</f>
        <v>0</v>
      </c>
      <c r="BJ233" s="325" t="str">
        <f aca="false">IF(BJ$24=$AA233,($AG233*$AM233)+($AJ233*$AM233*1.25)+($AH233*$AN233)+($AK233*$AN233*1.25),"")</f>
        <v/>
      </c>
      <c r="BK233" s="325" t="str">
        <f aca="false">IF(BK$24=$AA233,($AG233*$AM233)+($AJ233*$AM233*1.25)+($AH233*$AN233)+($AK233*$AN233*1.25),"")</f>
        <v/>
      </c>
      <c r="BL233" s="326" t="str">
        <f aca="false">IF(BL$24=$AA233,($AG233*$AM233)+($AJ233*$AM233*1.25)+($AH233*$AN233)+($AK233*$AN233*1.25),"")</f>
        <v/>
      </c>
      <c r="BM233" s="327" t="str">
        <f aca="false">IF(CONCATENATE(BH233,BI233,BJ233,BK233,BL233)="",1,"")</f>
        <v/>
      </c>
      <c r="BN233" s="328"/>
      <c r="BO233" s="328"/>
      <c r="BP233" s="328"/>
      <c r="BQ233" s="328"/>
      <c r="BR233" s="47"/>
      <c r="BS233" s="127" t="n">
        <f aca="false">(AG233*AM233)+(AH233*AN233)+((AJ233*AM233)+(AK233*AN233)*1.25)</f>
        <v>0</v>
      </c>
      <c r="BT233" s="127" t="n">
        <f aca="false">(AG233*AP233)+(AH233*AQ233)+((AJ233*AP233)+(AK233*AQ233)*1.25)</f>
        <v>0</v>
      </c>
      <c r="BU233" s="329"/>
      <c r="BV233" s="129"/>
    </row>
    <row r="234" customFormat="false" ht="15" hidden="false" customHeight="false" outlineLevel="0" collapsed="false">
      <c r="A234" s="228"/>
      <c r="B234" s="229"/>
      <c r="C234" s="230"/>
      <c r="D234" s="231"/>
      <c r="E234" s="223" t="str">
        <f aca="false">IF(SUM(A234:D234)&gt;0,SUM(A234:D234),"")</f>
        <v/>
      </c>
      <c r="F234" s="224" t="str">
        <f aca="false">AD247</f>
        <v>ARÁNDANO</v>
      </c>
      <c r="G234" s="169"/>
      <c r="H234" s="169"/>
      <c r="I234" s="169"/>
      <c r="J234" s="169"/>
      <c r="K234" s="169"/>
      <c r="L234" s="169"/>
      <c r="M234" s="169"/>
      <c r="N234" s="169"/>
      <c r="O234" s="169"/>
      <c r="P234" s="169"/>
      <c r="Q234" s="169"/>
      <c r="R234" s="3"/>
      <c r="S234" s="3"/>
      <c r="T234" s="3"/>
      <c r="U234" s="3"/>
      <c r="V234" s="3"/>
      <c r="W234" s="3"/>
      <c r="X234" s="3"/>
      <c r="Y234" s="3"/>
      <c r="Z234" s="316" t="str">
        <f aca="false">IF(AF234&gt;0,RANK(AF234,AF$6:AF$422),"")</f>
        <v/>
      </c>
      <c r="AA234" s="134" t="n">
        <f aca="false">'O_MN, PE_UTA_UGM 2024'!N211</f>
        <v>2</v>
      </c>
      <c r="AB234" s="135" t="n">
        <f aca="false">'O_MN, PE_UTA_UGM 2024'!O211</f>
        <v>0</v>
      </c>
      <c r="AC234" s="317" t="n">
        <f aca="false">'O_MN, PE_UTA_UGM 2024'!C211</f>
        <v>205</v>
      </c>
      <c r="AD234" s="293" t="str">
        <f aca="false">IF(AB234=0,'O_MN, PE_UTA_UGM 2024'!F211,CONCATENATE('O_MN, PE_UTA_UGM 2024'!F211," ","INVERNADERO"))</f>
        <v>SATSUMA</v>
      </c>
      <c r="AE234" s="89"/>
      <c r="AF234" s="123" t="n">
        <f aca="false">SUM(AG234:AH234)+SUM(AJ234:AK234)</f>
        <v>0</v>
      </c>
      <c r="AG234" s="318" t="n">
        <f aca="false">A221</f>
        <v>0</v>
      </c>
      <c r="AH234" s="319" t="n">
        <f aca="false">B221</f>
        <v>0</v>
      </c>
      <c r="AI234" s="6"/>
      <c r="AJ234" s="320" t="n">
        <f aca="false">C221</f>
        <v>0</v>
      </c>
      <c r="AK234" s="320" t="n">
        <f aca="false">D221</f>
        <v>0</v>
      </c>
      <c r="AL234" s="237" t="s">
        <v>360</v>
      </c>
      <c r="AM234" s="299" t="n">
        <f aca="false">'O_MN, PE_UTA_UGM 2024'!J211</f>
        <v>1939.72</v>
      </c>
      <c r="AN234" s="299" t="n">
        <f aca="false">'O_MN, PE_UTA_UGM 2024'!K211</f>
        <v>6000</v>
      </c>
      <c r="AO234" s="300"/>
      <c r="AP234" s="299" t="n">
        <f aca="false">'O_MN, PE_UTA_UGM 2024'!H211</f>
        <v>480.81</v>
      </c>
      <c r="AQ234" s="299" t="n">
        <f aca="false">'O_MN, PE_UTA_UGM 2024'!I211</f>
        <v>1442.43</v>
      </c>
      <c r="AR234" s="301"/>
      <c r="AS234" s="302" t="n">
        <f aca="false">'O_MN, PE_UTA_UGM 2024'!L211</f>
        <v>0.0196</v>
      </c>
      <c r="AT234" s="302" t="n">
        <f aca="false">'O_MN, PE_UTA_UGM 2024'!M211</f>
        <v>0.05879</v>
      </c>
      <c r="AU234" s="45"/>
      <c r="AV234" s="321" t="n">
        <f aca="false">AG234*AM234</f>
        <v>0</v>
      </c>
      <c r="AW234" s="319" t="n">
        <f aca="false">AH234*AN234</f>
        <v>0</v>
      </c>
      <c r="AX234" s="320" t="n">
        <f aca="false">1.25*AJ234*AM234</f>
        <v>0</v>
      </c>
      <c r="AY234" s="322" t="n">
        <f aca="false">1.25*AK234*AN234</f>
        <v>0</v>
      </c>
      <c r="AZ234" s="323" t="n">
        <f aca="false">AG234*AP234</f>
        <v>0</v>
      </c>
      <c r="BA234" s="319" t="n">
        <f aca="false">AH234*AQ234</f>
        <v>0</v>
      </c>
      <c r="BB234" s="320" t="n">
        <f aca="false">1.25*AJ234*AP234</f>
        <v>0</v>
      </c>
      <c r="BC234" s="320" t="n">
        <f aca="false">1.25*AK234*AQ234</f>
        <v>0</v>
      </c>
      <c r="BD234" s="321" t="n">
        <f aca="false">AG234*AS234</f>
        <v>0</v>
      </c>
      <c r="BE234" s="319" t="n">
        <f aca="false">AH234*AT234</f>
        <v>0</v>
      </c>
      <c r="BF234" s="320" t="n">
        <f aca="false">AJ234*AS234</f>
        <v>0</v>
      </c>
      <c r="BG234" s="322" t="n">
        <f aca="false">AK234*AT234</f>
        <v>0</v>
      </c>
      <c r="BH234" s="324" t="str">
        <f aca="false">IF(BH$24=$AA234,($AG234*$AM234)+($AJ234*$AM234*1.25)+($AH234*$AN234)+($AK234*$AN234*1.25),"")</f>
        <v/>
      </c>
      <c r="BI234" s="325" t="n">
        <f aca="false">IF(BI$24=$AA234,($AG234*$AM234)+($AJ234*$AM234*1.25)+($AH234*$AN234)+($AK234*$AN234*1.25),"")</f>
        <v>0</v>
      </c>
      <c r="BJ234" s="325" t="str">
        <f aca="false">IF(BJ$24=$AA234,($AG234*$AM234)+($AJ234*$AM234*1.25)+($AH234*$AN234)+($AK234*$AN234*1.25),"")</f>
        <v/>
      </c>
      <c r="BK234" s="325" t="str">
        <f aca="false">IF(BK$24=$AA234,($AG234*$AM234)+($AJ234*$AM234*1.25)+($AH234*$AN234)+($AK234*$AN234*1.25),"")</f>
        <v/>
      </c>
      <c r="BL234" s="326" t="str">
        <f aca="false">IF(BL$24=$AA234,($AG234*$AM234)+($AJ234*$AM234*1.25)+($AH234*$AN234)+($AK234*$AN234*1.25),"")</f>
        <v/>
      </c>
      <c r="BM234" s="327" t="str">
        <f aca="false">IF(CONCATENATE(BH234,BI234,BJ234,BK234,BL234)="",1,"")</f>
        <v/>
      </c>
      <c r="BN234" s="328"/>
      <c r="BO234" s="328"/>
      <c r="BP234" s="328"/>
      <c r="BQ234" s="328"/>
      <c r="BR234" s="47"/>
      <c r="BS234" s="127" t="n">
        <f aca="false">(AG234*AM234)+(AH234*AN234)+((AJ234*AM234)+(AK234*AN234)*1.25)</f>
        <v>0</v>
      </c>
      <c r="BT234" s="127" t="n">
        <f aca="false">(AG234*AP234)+(AH234*AQ234)+((AJ234*AP234)+(AK234*AQ234)*1.25)</f>
        <v>0</v>
      </c>
      <c r="BU234" s="329"/>
      <c r="BV234" s="129"/>
    </row>
    <row r="235" customFormat="false" ht="15" hidden="false" customHeight="false" outlineLevel="0" collapsed="false">
      <c r="A235" s="228"/>
      <c r="B235" s="229"/>
      <c r="C235" s="230"/>
      <c r="D235" s="231"/>
      <c r="E235" s="223" t="str">
        <f aca="false">IF(SUM(A235:D235)&gt;0,SUM(A235:D235),"")</f>
        <v/>
      </c>
      <c r="F235" s="224" t="str">
        <f aca="false">AD248</f>
        <v>ARÁNDANO INVERNADERO</v>
      </c>
      <c r="G235" s="169"/>
      <c r="H235" s="169"/>
      <c r="I235" s="169"/>
      <c r="J235" s="169"/>
      <c r="K235" s="169"/>
      <c r="L235" s="169"/>
      <c r="M235" s="169"/>
      <c r="N235" s="169"/>
      <c r="O235" s="169"/>
      <c r="P235" s="169"/>
      <c r="Q235" s="169"/>
      <c r="R235" s="3"/>
      <c r="S235" s="3"/>
      <c r="T235" s="3"/>
      <c r="U235" s="3"/>
      <c r="V235" s="3"/>
      <c r="W235" s="3"/>
      <c r="X235" s="3"/>
      <c r="Y235" s="3"/>
      <c r="Z235" s="316" t="str">
        <f aca="false">IF(AF235&gt;0,RANK(AF235,AF$6:AF$422),"")</f>
        <v/>
      </c>
      <c r="AA235" s="134" t="n">
        <f aca="false">'O_MN, PE_UTA_UGM 2024'!N212</f>
        <v>2</v>
      </c>
      <c r="AB235" s="135" t="n">
        <f aca="false">'O_MN, PE_UTA_UGM 2024'!O212</f>
        <v>0</v>
      </c>
      <c r="AC235" s="317" t="n">
        <f aca="false">'O_MN, PE_UTA_UGM 2024'!C212</f>
        <v>206</v>
      </c>
      <c r="AD235" s="293" t="str">
        <f aca="false">IF(AB235=0,'O_MN, PE_UTA_UGM 2024'!F212,CONCATENATE('O_MN, PE_UTA_UGM 2024'!F212," ","INVERNADERO"))</f>
        <v>NARANJO</v>
      </c>
      <c r="AE235" s="89"/>
      <c r="AF235" s="123" t="n">
        <f aca="false">SUM(AG235:AH235)+SUM(AJ235:AK235)</f>
        <v>0</v>
      </c>
      <c r="AG235" s="318" t="n">
        <f aca="false">A222</f>
        <v>0</v>
      </c>
      <c r="AH235" s="319" t="n">
        <f aca="false">B222</f>
        <v>0</v>
      </c>
      <c r="AI235" s="6"/>
      <c r="AJ235" s="320" t="n">
        <f aca="false">C222</f>
        <v>0</v>
      </c>
      <c r="AK235" s="320" t="n">
        <f aca="false">D222</f>
        <v>0</v>
      </c>
      <c r="AL235" s="237" t="s">
        <v>361</v>
      </c>
      <c r="AM235" s="299" t="n">
        <f aca="false">'O_MN, PE_UTA_UGM 2024'!J212</f>
        <v>1939.72</v>
      </c>
      <c r="AN235" s="299" t="n">
        <f aca="false">'O_MN, PE_UTA_UGM 2024'!K212</f>
        <v>6000</v>
      </c>
      <c r="AO235" s="300"/>
      <c r="AP235" s="299" t="n">
        <f aca="false">'O_MN, PE_UTA_UGM 2024'!H212</f>
        <v>480.81</v>
      </c>
      <c r="AQ235" s="299" t="n">
        <f aca="false">'O_MN, PE_UTA_UGM 2024'!I212</f>
        <v>1442.43</v>
      </c>
      <c r="AR235" s="301"/>
      <c r="AS235" s="302" t="n">
        <f aca="false">'O_MN, PE_UTA_UGM 2024'!L212</f>
        <v>0.0196</v>
      </c>
      <c r="AT235" s="302" t="n">
        <f aca="false">'O_MN, PE_UTA_UGM 2024'!M212</f>
        <v>0.05879</v>
      </c>
      <c r="AU235" s="45"/>
      <c r="AV235" s="321" t="n">
        <f aca="false">AG235*AM235</f>
        <v>0</v>
      </c>
      <c r="AW235" s="319" t="n">
        <f aca="false">AH235*AN235</f>
        <v>0</v>
      </c>
      <c r="AX235" s="320" t="n">
        <f aca="false">1.25*AJ235*AM235</f>
        <v>0</v>
      </c>
      <c r="AY235" s="322" t="n">
        <f aca="false">1.25*AK235*AN235</f>
        <v>0</v>
      </c>
      <c r="AZ235" s="323" t="n">
        <f aca="false">AG235*AP235</f>
        <v>0</v>
      </c>
      <c r="BA235" s="319" t="n">
        <f aca="false">AH235*AQ235</f>
        <v>0</v>
      </c>
      <c r="BB235" s="320" t="n">
        <f aca="false">1.25*AJ235*AP235</f>
        <v>0</v>
      </c>
      <c r="BC235" s="320" t="n">
        <f aca="false">1.25*AK235*AQ235</f>
        <v>0</v>
      </c>
      <c r="BD235" s="321" t="n">
        <f aca="false">AG235*AS235</f>
        <v>0</v>
      </c>
      <c r="BE235" s="319" t="n">
        <f aca="false">AH235*AT235</f>
        <v>0</v>
      </c>
      <c r="BF235" s="320" t="n">
        <f aca="false">AJ235*AS235</f>
        <v>0</v>
      </c>
      <c r="BG235" s="322" t="n">
        <f aca="false">AK235*AT235</f>
        <v>0</v>
      </c>
      <c r="BH235" s="324" t="str">
        <f aca="false">IF(BH$24=$AA235,($AG235*$AM235)+($AJ235*$AM235*1.25)+($AH235*$AN235)+($AK235*$AN235*1.25),"")</f>
        <v/>
      </c>
      <c r="BI235" s="325" t="n">
        <f aca="false">IF(BI$24=$AA235,($AG235*$AM235)+($AJ235*$AM235*1.25)+($AH235*$AN235)+($AK235*$AN235*1.25),"")</f>
        <v>0</v>
      </c>
      <c r="BJ235" s="325" t="str">
        <f aca="false">IF(BJ$24=$AA235,($AG235*$AM235)+($AJ235*$AM235*1.25)+($AH235*$AN235)+($AK235*$AN235*1.25),"")</f>
        <v/>
      </c>
      <c r="BK235" s="325" t="str">
        <f aca="false">IF(BK$24=$AA235,($AG235*$AM235)+($AJ235*$AM235*1.25)+($AH235*$AN235)+($AK235*$AN235*1.25),"")</f>
        <v/>
      </c>
      <c r="BL235" s="326" t="str">
        <f aca="false">IF(BL$24=$AA235,($AG235*$AM235)+($AJ235*$AM235*1.25)+($AH235*$AN235)+($AK235*$AN235*1.25),"")</f>
        <v/>
      </c>
      <c r="BM235" s="327" t="str">
        <f aca="false">IF(CONCATENATE(BH235,BI235,BJ235,BK235,BL235)="",1,"")</f>
        <v/>
      </c>
      <c r="BN235" s="328"/>
      <c r="BO235" s="328"/>
      <c r="BP235" s="328"/>
      <c r="BQ235" s="328"/>
      <c r="BR235" s="47"/>
      <c r="BS235" s="127" t="n">
        <f aca="false">(AG235*AM235)+(AH235*AN235)+((AJ235*AM235)+(AK235*AN235)*1.25)</f>
        <v>0</v>
      </c>
      <c r="BT235" s="127" t="n">
        <f aca="false">(AG235*AP235)+(AH235*AQ235)+((AJ235*AP235)+(AK235*AQ235)*1.25)</f>
        <v>0</v>
      </c>
      <c r="BU235" s="329"/>
      <c r="BV235" s="129"/>
    </row>
    <row r="236" customFormat="false" ht="15" hidden="false" customHeight="false" outlineLevel="0" collapsed="false">
      <c r="A236" s="228"/>
      <c r="B236" s="229"/>
      <c r="C236" s="230"/>
      <c r="D236" s="231"/>
      <c r="E236" s="223" t="str">
        <f aca="false">IF(SUM(A236:D236)&gt;0,SUM(A236:D236),"")</f>
        <v/>
      </c>
      <c r="F236" s="224" t="str">
        <f aca="false">AD249</f>
        <v>ARÁNDANO INVERNADERO</v>
      </c>
      <c r="G236" s="169"/>
      <c r="H236" s="169"/>
      <c r="I236" s="169"/>
      <c r="J236" s="169"/>
      <c r="K236" s="169"/>
      <c r="L236" s="169"/>
      <c r="M236" s="169"/>
      <c r="N236" s="169"/>
      <c r="O236" s="169"/>
      <c r="P236" s="169"/>
      <c r="Q236" s="169"/>
      <c r="R236" s="3"/>
      <c r="S236" s="3"/>
      <c r="T236" s="3"/>
      <c r="U236" s="3"/>
      <c r="V236" s="3"/>
      <c r="W236" s="3"/>
      <c r="X236" s="3"/>
      <c r="Y236" s="3"/>
      <c r="Z236" s="316" t="str">
        <f aca="false">IF(AF236&gt;0,RANK(AF236,AF$6:AF$422),"")</f>
        <v/>
      </c>
      <c r="AA236" s="134" t="n">
        <f aca="false">'O_MN, PE_UTA_UGM 2024'!N213</f>
        <v>2</v>
      </c>
      <c r="AB236" s="135" t="n">
        <f aca="false">'O_MN, PE_UTA_UGM 2024'!O213</f>
        <v>0</v>
      </c>
      <c r="AC236" s="317" t="n">
        <f aca="false">'O_MN, PE_UTA_UGM 2024'!C213</f>
        <v>207</v>
      </c>
      <c r="AD236" s="293" t="str">
        <f aca="false">IF(AB236=0,'O_MN, PE_UTA_UGM 2024'!F213,CONCATENATE('O_MN, PE_UTA_UGM 2024'!F213," ","INVERNADERO"))</f>
        <v>LIMONERO</v>
      </c>
      <c r="AE236" s="89"/>
      <c r="AF236" s="123" t="n">
        <f aca="false">SUM(AG236:AH236)+SUM(AJ236:AK236)</f>
        <v>0</v>
      </c>
      <c r="AG236" s="318" t="n">
        <f aca="false">A223</f>
        <v>0</v>
      </c>
      <c r="AH236" s="319" t="n">
        <f aca="false">B223</f>
        <v>0</v>
      </c>
      <c r="AI236" s="6"/>
      <c r="AJ236" s="320" t="n">
        <f aca="false">C223</f>
        <v>0</v>
      </c>
      <c r="AK236" s="320" t="n">
        <f aca="false">D223</f>
        <v>0</v>
      </c>
      <c r="AL236" s="237" t="s">
        <v>362</v>
      </c>
      <c r="AM236" s="299" t="n">
        <f aca="false">'O_MN, PE_UTA_UGM 2024'!J213</f>
        <v>1939.72</v>
      </c>
      <c r="AN236" s="299" t="n">
        <f aca="false">'O_MN, PE_UTA_UGM 2024'!K213</f>
        <v>6000</v>
      </c>
      <c r="AO236" s="300"/>
      <c r="AP236" s="299" t="n">
        <f aca="false">'O_MN, PE_UTA_UGM 2024'!H213</f>
        <v>480.81</v>
      </c>
      <c r="AQ236" s="299" t="n">
        <f aca="false">'O_MN, PE_UTA_UGM 2024'!I213</f>
        <v>1442.43</v>
      </c>
      <c r="AR236" s="301"/>
      <c r="AS236" s="302" t="n">
        <f aca="false">'O_MN, PE_UTA_UGM 2024'!L213</f>
        <v>0.0196</v>
      </c>
      <c r="AT236" s="302" t="n">
        <f aca="false">'O_MN, PE_UTA_UGM 2024'!M213</f>
        <v>0.05879</v>
      </c>
      <c r="AU236" s="45"/>
      <c r="AV236" s="321" t="n">
        <f aca="false">AG236*AM236</f>
        <v>0</v>
      </c>
      <c r="AW236" s="319" t="n">
        <f aca="false">AH236*AN236</f>
        <v>0</v>
      </c>
      <c r="AX236" s="320" t="n">
        <f aca="false">1.25*AJ236*AM236</f>
        <v>0</v>
      </c>
      <c r="AY236" s="322" t="n">
        <f aca="false">1.25*AK236*AN236</f>
        <v>0</v>
      </c>
      <c r="AZ236" s="323" t="n">
        <f aca="false">AG236*AP236</f>
        <v>0</v>
      </c>
      <c r="BA236" s="319" t="n">
        <f aca="false">AH236*AQ236</f>
        <v>0</v>
      </c>
      <c r="BB236" s="320" t="n">
        <f aca="false">1.25*AJ236*AP236</f>
        <v>0</v>
      </c>
      <c r="BC236" s="320" t="n">
        <f aca="false">1.25*AK236*AQ236</f>
        <v>0</v>
      </c>
      <c r="BD236" s="321" t="n">
        <f aca="false">AG236*AS236</f>
        <v>0</v>
      </c>
      <c r="BE236" s="319" t="n">
        <f aca="false">AH236*AT236</f>
        <v>0</v>
      </c>
      <c r="BF236" s="320" t="n">
        <f aca="false">AJ236*AS236</f>
        <v>0</v>
      </c>
      <c r="BG236" s="322" t="n">
        <f aca="false">AK236*AT236</f>
        <v>0</v>
      </c>
      <c r="BH236" s="324" t="str">
        <f aca="false">IF(BH$24=$AA236,($AG236*$AM236)+($AJ236*$AM236*1.25)+($AH236*$AN236)+($AK236*$AN236*1.25),"")</f>
        <v/>
      </c>
      <c r="BI236" s="325" t="n">
        <f aca="false">IF(BI$24=$AA236,($AG236*$AM236)+($AJ236*$AM236*1.25)+($AH236*$AN236)+($AK236*$AN236*1.25),"")</f>
        <v>0</v>
      </c>
      <c r="BJ236" s="325" t="str">
        <f aca="false">IF(BJ$24=$AA236,($AG236*$AM236)+($AJ236*$AM236*1.25)+($AH236*$AN236)+($AK236*$AN236*1.25),"")</f>
        <v/>
      </c>
      <c r="BK236" s="325" t="str">
        <f aca="false">IF(BK$24=$AA236,($AG236*$AM236)+($AJ236*$AM236*1.25)+($AH236*$AN236)+($AK236*$AN236*1.25),"")</f>
        <v/>
      </c>
      <c r="BL236" s="326" t="str">
        <f aca="false">IF(BL$24=$AA236,($AG236*$AM236)+($AJ236*$AM236*1.25)+($AH236*$AN236)+($AK236*$AN236*1.25),"")</f>
        <v/>
      </c>
      <c r="BM236" s="327" t="str">
        <f aca="false">IF(CONCATENATE(BH236,BI236,BJ236,BK236,BL236)="",1,"")</f>
        <v/>
      </c>
      <c r="BN236" s="328"/>
      <c r="BO236" s="328"/>
      <c r="BP236" s="328"/>
      <c r="BQ236" s="328"/>
      <c r="BR236" s="47"/>
      <c r="BS236" s="127" t="n">
        <f aca="false">(AG236*AM236)+(AH236*AN236)+((AJ236*AM236)+(AK236*AN236)*1.25)</f>
        <v>0</v>
      </c>
      <c r="BT236" s="127" t="n">
        <f aca="false">(AG236*AP236)+(AH236*AQ236)+((AJ236*AP236)+(AK236*AQ236)*1.25)</f>
        <v>0</v>
      </c>
      <c r="BU236" s="329"/>
      <c r="BV236" s="129"/>
    </row>
    <row r="237" customFormat="false" ht="15" hidden="false" customHeight="false" outlineLevel="0" collapsed="false">
      <c r="A237" s="228"/>
      <c r="B237" s="229"/>
      <c r="C237" s="230"/>
      <c r="D237" s="231"/>
      <c r="E237" s="223" t="str">
        <f aca="false">IF(SUM(A237:D237)&gt;0,SUM(A237:D237),"")</f>
        <v/>
      </c>
      <c r="F237" s="224" t="str">
        <f aca="false">AD250</f>
        <v>GRANADO</v>
      </c>
      <c r="G237" s="169"/>
      <c r="H237" s="169"/>
      <c r="I237" s="169"/>
      <c r="J237" s="169"/>
      <c r="K237" s="169"/>
      <c r="L237" s="169"/>
      <c r="M237" s="169"/>
      <c r="N237" s="169"/>
      <c r="O237" s="169"/>
      <c r="P237" s="169"/>
      <c r="Q237" s="169"/>
      <c r="R237" s="3"/>
      <c r="S237" s="3"/>
      <c r="T237" s="3"/>
      <c r="U237" s="3"/>
      <c r="V237" s="3"/>
      <c r="W237" s="3"/>
      <c r="X237" s="3"/>
      <c r="Y237" s="3"/>
      <c r="Z237" s="316" t="str">
        <f aca="false">IF(AF237&gt;0,RANK(AF237,AF$6:AF$422),"")</f>
        <v/>
      </c>
      <c r="AA237" s="134" t="n">
        <f aca="false">'O_MN, PE_UTA_UGM 2024'!N214</f>
        <v>2</v>
      </c>
      <c r="AB237" s="135" t="n">
        <f aca="false">'O_MN, PE_UTA_UGM 2024'!O214</f>
        <v>0</v>
      </c>
      <c r="AC237" s="317" t="n">
        <f aca="false">'O_MN, PE_UTA_UGM 2024'!C214</f>
        <v>208</v>
      </c>
      <c r="AD237" s="293" t="str">
        <f aca="false">IF(AB237=0,'O_MN, PE_UTA_UGM 2024'!F214,CONCATENATE('O_MN, PE_UTA_UGM 2024'!F214," ","INVERNADERO"))</f>
        <v>POMELO O TORONJA</v>
      </c>
      <c r="AE237" s="89"/>
      <c r="AF237" s="123" t="n">
        <f aca="false">SUM(AG237:AH237)+SUM(AJ237:AK237)</f>
        <v>0</v>
      </c>
      <c r="AG237" s="318" t="n">
        <f aca="false">A224</f>
        <v>0</v>
      </c>
      <c r="AH237" s="319" t="n">
        <f aca="false">B224</f>
        <v>0</v>
      </c>
      <c r="AI237" s="6"/>
      <c r="AJ237" s="320" t="n">
        <f aca="false">C224</f>
        <v>0</v>
      </c>
      <c r="AK237" s="320" t="n">
        <f aca="false">D224</f>
        <v>0</v>
      </c>
      <c r="AL237" s="237" t="s">
        <v>363</v>
      </c>
      <c r="AM237" s="299" t="n">
        <f aca="false">'O_MN, PE_UTA_UGM 2024'!J214</f>
        <v>1939.72</v>
      </c>
      <c r="AN237" s="299" t="n">
        <f aca="false">'O_MN, PE_UTA_UGM 2024'!K214</f>
        <v>6000</v>
      </c>
      <c r="AO237" s="300"/>
      <c r="AP237" s="299" t="n">
        <f aca="false">'O_MN, PE_UTA_UGM 2024'!H214</f>
        <v>480.81</v>
      </c>
      <c r="AQ237" s="299" t="n">
        <f aca="false">'O_MN, PE_UTA_UGM 2024'!I214</f>
        <v>1442.43</v>
      </c>
      <c r="AR237" s="301"/>
      <c r="AS237" s="302" t="n">
        <f aca="false">'O_MN, PE_UTA_UGM 2024'!L214</f>
        <v>0.0196</v>
      </c>
      <c r="AT237" s="302" t="n">
        <f aca="false">'O_MN, PE_UTA_UGM 2024'!M214</f>
        <v>0.05879</v>
      </c>
      <c r="AU237" s="45"/>
      <c r="AV237" s="321" t="n">
        <f aca="false">AG237*AM237</f>
        <v>0</v>
      </c>
      <c r="AW237" s="319" t="n">
        <f aca="false">AH237*AN237</f>
        <v>0</v>
      </c>
      <c r="AX237" s="320" t="n">
        <f aca="false">1.25*AJ237*AM237</f>
        <v>0</v>
      </c>
      <c r="AY237" s="322" t="n">
        <f aca="false">1.25*AK237*AN237</f>
        <v>0</v>
      </c>
      <c r="AZ237" s="323" t="n">
        <f aca="false">AG237*AP237</f>
        <v>0</v>
      </c>
      <c r="BA237" s="319" t="n">
        <f aca="false">AH237*AQ237</f>
        <v>0</v>
      </c>
      <c r="BB237" s="320" t="n">
        <f aca="false">1.25*AJ237*AP237</f>
        <v>0</v>
      </c>
      <c r="BC237" s="320" t="n">
        <f aca="false">1.25*AK237*AQ237</f>
        <v>0</v>
      </c>
      <c r="BD237" s="321" t="n">
        <f aca="false">AG237*AS237</f>
        <v>0</v>
      </c>
      <c r="BE237" s="319" t="n">
        <f aca="false">AH237*AT237</f>
        <v>0</v>
      </c>
      <c r="BF237" s="320" t="n">
        <f aca="false">AJ237*AS237</f>
        <v>0</v>
      </c>
      <c r="BG237" s="322" t="n">
        <f aca="false">AK237*AT237</f>
        <v>0</v>
      </c>
      <c r="BH237" s="324" t="str">
        <f aca="false">IF(BH$24=$AA237,($AG237*$AM237)+($AJ237*$AM237*1.25)+($AH237*$AN237)+($AK237*$AN237*1.25),"")</f>
        <v/>
      </c>
      <c r="BI237" s="325" t="n">
        <f aca="false">IF(BI$24=$AA237,($AG237*$AM237)+($AJ237*$AM237*1.25)+($AH237*$AN237)+($AK237*$AN237*1.25),"")</f>
        <v>0</v>
      </c>
      <c r="BJ237" s="325" t="str">
        <f aca="false">IF(BJ$24=$AA237,($AG237*$AM237)+($AJ237*$AM237*1.25)+($AH237*$AN237)+($AK237*$AN237*1.25),"")</f>
        <v/>
      </c>
      <c r="BK237" s="325" t="str">
        <f aca="false">IF(BK$24=$AA237,($AG237*$AM237)+($AJ237*$AM237*1.25)+($AH237*$AN237)+($AK237*$AN237*1.25),"")</f>
        <v/>
      </c>
      <c r="BL237" s="326" t="str">
        <f aca="false">IF(BL$24=$AA237,($AG237*$AM237)+($AJ237*$AM237*1.25)+($AH237*$AN237)+($AK237*$AN237*1.25),"")</f>
        <v/>
      </c>
      <c r="BM237" s="327" t="str">
        <f aca="false">IF(CONCATENATE(BH237,BI237,BJ237,BK237,BL237)="",1,"")</f>
        <v/>
      </c>
      <c r="BN237" s="328"/>
      <c r="BO237" s="328"/>
      <c r="BP237" s="328"/>
      <c r="BQ237" s="328"/>
      <c r="BR237" s="47"/>
      <c r="BS237" s="127" t="n">
        <f aca="false">(AG237*AM237)+(AH237*AN237)+((AJ237*AM237)+(AK237*AN237)*1.25)</f>
        <v>0</v>
      </c>
      <c r="BT237" s="127" t="n">
        <f aca="false">(AG237*AP237)+(AH237*AQ237)+((AJ237*AP237)+(AK237*AQ237)*1.25)</f>
        <v>0</v>
      </c>
      <c r="BU237" s="329"/>
      <c r="BV237" s="129"/>
    </row>
    <row r="238" customFormat="false" ht="15" hidden="false" customHeight="false" outlineLevel="0" collapsed="false">
      <c r="A238" s="228"/>
      <c r="B238" s="229"/>
      <c r="C238" s="230"/>
      <c r="D238" s="231"/>
      <c r="E238" s="223" t="str">
        <f aca="false">IF(SUM(A238:D238)&gt;0,SUM(A238:D238),"")</f>
        <v/>
      </c>
      <c r="F238" s="224" t="str">
        <f aca="false">AD251</f>
        <v>GRANADO INVERNADERO</v>
      </c>
      <c r="G238" s="169"/>
      <c r="H238" s="169"/>
      <c r="I238" s="169"/>
      <c r="J238" s="169"/>
      <c r="K238" s="169"/>
      <c r="L238" s="169"/>
      <c r="M238" s="169"/>
      <c r="N238" s="169"/>
      <c r="O238" s="169"/>
      <c r="P238" s="169"/>
      <c r="Q238" s="169"/>
      <c r="R238" s="3"/>
      <c r="S238" s="3"/>
      <c r="T238" s="3"/>
      <c r="U238" s="3"/>
      <c r="V238" s="3"/>
      <c r="W238" s="3"/>
      <c r="X238" s="3"/>
      <c r="Y238" s="3"/>
      <c r="Z238" s="316" t="str">
        <f aca="false">IF(AF238&gt;0,RANK(AF238,AF$6:AF$422),"")</f>
        <v/>
      </c>
      <c r="AA238" s="134" t="n">
        <f aca="false">'O_MN, PE_UTA_UGM 2024'!N215</f>
        <v>2</v>
      </c>
      <c r="AB238" s="135" t="n">
        <f aca="false">'O_MN, PE_UTA_UGM 2024'!O215</f>
        <v>0</v>
      </c>
      <c r="AC238" s="317" t="n">
        <f aca="false">'O_MN, PE_UTA_UGM 2024'!C215</f>
        <v>209</v>
      </c>
      <c r="AD238" s="293" t="str">
        <f aca="false">IF(AB238=0,'O_MN, PE_UTA_UGM 2024'!F215,CONCATENATE('O_MN, PE_UTA_UGM 2024'!F215," ","INVERNADERO"))</f>
        <v>MANDARINO</v>
      </c>
      <c r="AE238" s="89"/>
      <c r="AF238" s="123" t="n">
        <f aca="false">SUM(AG238:AH238)+SUM(AJ238:AK238)</f>
        <v>0</v>
      </c>
      <c r="AG238" s="318" t="n">
        <f aca="false">A225</f>
        <v>0</v>
      </c>
      <c r="AH238" s="319" t="n">
        <f aca="false">B225</f>
        <v>0</v>
      </c>
      <c r="AI238" s="6"/>
      <c r="AJ238" s="320" t="n">
        <f aca="false">C225</f>
        <v>0</v>
      </c>
      <c r="AK238" s="320" t="n">
        <f aca="false">D225</f>
        <v>0</v>
      </c>
      <c r="AL238" s="237" t="s">
        <v>364</v>
      </c>
      <c r="AM238" s="299" t="n">
        <f aca="false">'O_MN, PE_UTA_UGM 2024'!J215</f>
        <v>1939.72</v>
      </c>
      <c r="AN238" s="299" t="n">
        <f aca="false">'O_MN, PE_UTA_UGM 2024'!K215</f>
        <v>6000</v>
      </c>
      <c r="AO238" s="300"/>
      <c r="AP238" s="299" t="n">
        <f aca="false">'O_MN, PE_UTA_UGM 2024'!H215</f>
        <v>480.81</v>
      </c>
      <c r="AQ238" s="299" t="n">
        <f aca="false">'O_MN, PE_UTA_UGM 2024'!I215</f>
        <v>1442.43</v>
      </c>
      <c r="AR238" s="301"/>
      <c r="AS238" s="302" t="n">
        <f aca="false">'O_MN, PE_UTA_UGM 2024'!L215</f>
        <v>0.0196</v>
      </c>
      <c r="AT238" s="302" t="n">
        <f aca="false">'O_MN, PE_UTA_UGM 2024'!M215</f>
        <v>0.05879</v>
      </c>
      <c r="AU238" s="45"/>
      <c r="AV238" s="321" t="n">
        <f aca="false">AG238*AM238</f>
        <v>0</v>
      </c>
      <c r="AW238" s="319" t="n">
        <f aca="false">AH238*AN238</f>
        <v>0</v>
      </c>
      <c r="AX238" s="320" t="n">
        <f aca="false">1.25*AJ238*AM238</f>
        <v>0</v>
      </c>
      <c r="AY238" s="322" t="n">
        <f aca="false">1.25*AK238*AN238</f>
        <v>0</v>
      </c>
      <c r="AZ238" s="323" t="n">
        <f aca="false">AG238*AP238</f>
        <v>0</v>
      </c>
      <c r="BA238" s="319" t="n">
        <f aca="false">AH238*AQ238</f>
        <v>0</v>
      </c>
      <c r="BB238" s="320" t="n">
        <f aca="false">1.25*AJ238*AP238</f>
        <v>0</v>
      </c>
      <c r="BC238" s="320" t="n">
        <f aca="false">1.25*AK238*AQ238</f>
        <v>0</v>
      </c>
      <c r="BD238" s="321" t="n">
        <f aca="false">AG238*AS238</f>
        <v>0</v>
      </c>
      <c r="BE238" s="319" t="n">
        <f aca="false">AH238*AT238</f>
        <v>0</v>
      </c>
      <c r="BF238" s="320" t="n">
        <f aca="false">AJ238*AS238</f>
        <v>0</v>
      </c>
      <c r="BG238" s="322" t="n">
        <f aca="false">AK238*AT238</f>
        <v>0</v>
      </c>
      <c r="BH238" s="324" t="str">
        <f aca="false">IF(BH$24=$AA238,($AG238*$AM238)+($AJ238*$AM238*1.25)+($AH238*$AN238)+($AK238*$AN238*1.25),"")</f>
        <v/>
      </c>
      <c r="BI238" s="325" t="n">
        <f aca="false">IF(BI$24=$AA238,($AG238*$AM238)+($AJ238*$AM238*1.25)+($AH238*$AN238)+($AK238*$AN238*1.25),"")</f>
        <v>0</v>
      </c>
      <c r="BJ238" s="325" t="str">
        <f aca="false">IF(BJ$24=$AA238,($AG238*$AM238)+($AJ238*$AM238*1.25)+($AH238*$AN238)+($AK238*$AN238*1.25),"")</f>
        <v/>
      </c>
      <c r="BK238" s="325" t="str">
        <f aca="false">IF(BK$24=$AA238,($AG238*$AM238)+($AJ238*$AM238*1.25)+($AH238*$AN238)+($AK238*$AN238*1.25),"")</f>
        <v/>
      </c>
      <c r="BL238" s="326" t="str">
        <f aca="false">IF(BL$24=$AA238,($AG238*$AM238)+($AJ238*$AM238*1.25)+($AH238*$AN238)+($AK238*$AN238*1.25),"")</f>
        <v/>
      </c>
      <c r="BM238" s="327" t="str">
        <f aca="false">IF(CONCATENATE(BH238,BI238,BJ238,BK238,BL238)="",1,"")</f>
        <v/>
      </c>
      <c r="BN238" s="328"/>
      <c r="BO238" s="328"/>
      <c r="BP238" s="328"/>
      <c r="BQ238" s="328"/>
      <c r="BR238" s="47"/>
      <c r="BS238" s="127" t="n">
        <f aca="false">(AG238*AM238)+(AH238*AN238)+((AJ238*AM238)+(AK238*AN238)*1.25)</f>
        <v>0</v>
      </c>
      <c r="BT238" s="127" t="n">
        <f aca="false">(AG238*AP238)+(AH238*AQ238)+((AJ238*AP238)+(AK238*AQ238)*1.25)</f>
        <v>0</v>
      </c>
      <c r="BU238" s="329"/>
      <c r="BV238" s="129"/>
    </row>
    <row r="239" customFormat="false" ht="15" hidden="false" customHeight="false" outlineLevel="0" collapsed="false">
      <c r="A239" s="228"/>
      <c r="B239" s="229"/>
      <c r="C239" s="230"/>
      <c r="D239" s="231"/>
      <c r="E239" s="223" t="str">
        <f aca="false">IF(SUM(A239:D239)&gt;0,SUM(A239:D239),"")</f>
        <v/>
      </c>
      <c r="F239" s="224" t="str">
        <f aca="false">AD252</f>
        <v>GRANADO INVERNADERO</v>
      </c>
      <c r="G239" s="169"/>
      <c r="H239" s="169"/>
      <c r="I239" s="169"/>
      <c r="J239" s="169"/>
      <c r="K239" s="169"/>
      <c r="L239" s="169"/>
      <c r="M239" s="169"/>
      <c r="N239" s="169"/>
      <c r="O239" s="169"/>
      <c r="P239" s="169"/>
      <c r="Q239" s="169"/>
      <c r="R239" s="3"/>
      <c r="S239" s="3"/>
      <c r="T239" s="3"/>
      <c r="U239" s="3"/>
      <c r="V239" s="3"/>
      <c r="W239" s="3"/>
      <c r="X239" s="3"/>
      <c r="Y239" s="3"/>
      <c r="Z239" s="316" t="str">
        <f aca="false">IF(AF239&gt;0,RANK(AF239,AF$6:AF$422),"")</f>
        <v/>
      </c>
      <c r="AA239" s="134" t="n">
        <f aca="false">'O_MN, PE_UTA_UGM 2024'!N216</f>
        <v>2</v>
      </c>
      <c r="AB239" s="135" t="n">
        <f aca="false">'O_MN, PE_UTA_UGM 2024'!O216</f>
        <v>0</v>
      </c>
      <c r="AC239" s="317" t="n">
        <f aca="false">'O_MN, PE_UTA_UGM 2024'!C216</f>
        <v>210</v>
      </c>
      <c r="AD239" s="293" t="str">
        <f aca="false">IF(AB239=0,'O_MN, PE_UTA_UGM 2024'!F216,CONCATENATE('O_MN, PE_UTA_UGM 2024'!F216," ","INVERNADERO"))</f>
        <v>MANDARINO HÍBRIDO</v>
      </c>
      <c r="AE239" s="89"/>
      <c r="AF239" s="123" t="n">
        <f aca="false">SUM(AG239:AH239)+SUM(AJ239:AK239)</f>
        <v>0</v>
      </c>
      <c r="AG239" s="318" t="n">
        <f aca="false">A226</f>
        <v>0</v>
      </c>
      <c r="AH239" s="319" t="n">
        <f aca="false">B226</f>
        <v>0</v>
      </c>
      <c r="AI239" s="6"/>
      <c r="AJ239" s="320" t="n">
        <f aca="false">C226</f>
        <v>0</v>
      </c>
      <c r="AK239" s="320" t="n">
        <f aca="false">D226</f>
        <v>0</v>
      </c>
      <c r="AL239" s="237" t="s">
        <v>365</v>
      </c>
      <c r="AM239" s="299" t="n">
        <f aca="false">'O_MN, PE_UTA_UGM 2024'!J216</f>
        <v>1939.72</v>
      </c>
      <c r="AN239" s="299" t="n">
        <f aca="false">'O_MN, PE_UTA_UGM 2024'!K216</f>
        <v>6000</v>
      </c>
      <c r="AO239" s="300"/>
      <c r="AP239" s="299" t="n">
        <f aca="false">'O_MN, PE_UTA_UGM 2024'!H216</f>
        <v>480.81</v>
      </c>
      <c r="AQ239" s="299" t="n">
        <f aca="false">'O_MN, PE_UTA_UGM 2024'!I216</f>
        <v>1442.43</v>
      </c>
      <c r="AR239" s="301"/>
      <c r="AS239" s="302" t="n">
        <f aca="false">'O_MN, PE_UTA_UGM 2024'!L216</f>
        <v>0.0196</v>
      </c>
      <c r="AT239" s="302" t="n">
        <f aca="false">'O_MN, PE_UTA_UGM 2024'!M216</f>
        <v>0.05879</v>
      </c>
      <c r="AU239" s="45"/>
      <c r="AV239" s="321" t="n">
        <f aca="false">AG239*AM239</f>
        <v>0</v>
      </c>
      <c r="AW239" s="319" t="n">
        <f aca="false">AH239*AN239</f>
        <v>0</v>
      </c>
      <c r="AX239" s="320" t="n">
        <f aca="false">1.25*AJ239*AM239</f>
        <v>0</v>
      </c>
      <c r="AY239" s="322" t="n">
        <f aca="false">1.25*AK239*AN239</f>
        <v>0</v>
      </c>
      <c r="AZ239" s="323" t="n">
        <f aca="false">AG239*AP239</f>
        <v>0</v>
      </c>
      <c r="BA239" s="319" t="n">
        <f aca="false">AH239*AQ239</f>
        <v>0</v>
      </c>
      <c r="BB239" s="320" t="n">
        <f aca="false">1.25*AJ239*AP239</f>
        <v>0</v>
      </c>
      <c r="BC239" s="320" t="n">
        <f aca="false">1.25*AK239*AQ239</f>
        <v>0</v>
      </c>
      <c r="BD239" s="321" t="n">
        <f aca="false">AG239*AS239</f>
        <v>0</v>
      </c>
      <c r="BE239" s="319" t="n">
        <f aca="false">AH239*AT239</f>
        <v>0</v>
      </c>
      <c r="BF239" s="320" t="n">
        <f aca="false">AJ239*AS239</f>
        <v>0</v>
      </c>
      <c r="BG239" s="322" t="n">
        <f aca="false">AK239*AT239</f>
        <v>0</v>
      </c>
      <c r="BH239" s="324" t="str">
        <f aca="false">IF(BH$24=$AA239,($AG239*$AM239)+($AJ239*$AM239*1.25)+($AH239*$AN239)+($AK239*$AN239*1.25),"")</f>
        <v/>
      </c>
      <c r="BI239" s="325" t="n">
        <f aca="false">IF(BI$24=$AA239,($AG239*$AM239)+($AJ239*$AM239*1.25)+($AH239*$AN239)+($AK239*$AN239*1.25),"")</f>
        <v>0</v>
      </c>
      <c r="BJ239" s="325" t="str">
        <f aca="false">IF(BJ$24=$AA239,($AG239*$AM239)+($AJ239*$AM239*1.25)+($AH239*$AN239)+($AK239*$AN239*1.25),"")</f>
        <v/>
      </c>
      <c r="BK239" s="325" t="str">
        <f aca="false">IF(BK$24=$AA239,($AG239*$AM239)+($AJ239*$AM239*1.25)+($AH239*$AN239)+($AK239*$AN239*1.25),"")</f>
        <v/>
      </c>
      <c r="BL239" s="326" t="str">
        <f aca="false">IF(BL$24=$AA239,($AG239*$AM239)+($AJ239*$AM239*1.25)+($AH239*$AN239)+($AK239*$AN239*1.25),"")</f>
        <v/>
      </c>
      <c r="BM239" s="327" t="str">
        <f aca="false">IF(CONCATENATE(BH239,BI239,BJ239,BK239,BL239)="",1,"")</f>
        <v/>
      </c>
      <c r="BN239" s="328"/>
      <c r="BO239" s="328"/>
      <c r="BP239" s="328"/>
      <c r="BQ239" s="328"/>
      <c r="BR239" s="47"/>
      <c r="BS239" s="127" t="n">
        <f aca="false">(AG239*AM239)+(AH239*AN239)+((AJ239*AM239)+(AK239*AN239)*1.25)</f>
        <v>0</v>
      </c>
      <c r="BT239" s="127" t="n">
        <f aca="false">(AG239*AP239)+(AH239*AQ239)+((AJ239*AP239)+(AK239*AQ239)*1.25)</f>
        <v>0</v>
      </c>
      <c r="BU239" s="329"/>
      <c r="BV239" s="129"/>
    </row>
    <row r="240" customFormat="false" ht="15" hidden="false" customHeight="false" outlineLevel="0" collapsed="false">
      <c r="A240" s="228"/>
      <c r="B240" s="229"/>
      <c r="C240" s="230"/>
      <c r="D240" s="231"/>
      <c r="E240" s="223" t="str">
        <f aca="false">IF(SUM(A240:D240)&gt;0,SUM(A240:D240),"")</f>
        <v/>
      </c>
      <c r="F240" s="224" t="str">
        <f aca="false">AD253</f>
        <v>HIGUERA</v>
      </c>
      <c r="G240" s="169"/>
      <c r="H240" s="169"/>
      <c r="I240" s="169"/>
      <c r="J240" s="169"/>
      <c r="K240" s="169"/>
      <c r="L240" s="169"/>
      <c r="M240" s="169"/>
      <c r="N240" s="169"/>
      <c r="O240" s="169"/>
      <c r="P240" s="169"/>
      <c r="Q240" s="169"/>
      <c r="R240" s="3"/>
      <c r="S240" s="3"/>
      <c r="T240" s="3"/>
      <c r="U240" s="3"/>
      <c r="V240" s="3"/>
      <c r="W240" s="3"/>
      <c r="X240" s="3"/>
      <c r="Y240" s="3"/>
      <c r="Z240" s="316" t="str">
        <f aca="false">IF(AF240&gt;0,RANK(AF240,AF$6:AF$422),"")</f>
        <v/>
      </c>
      <c r="AA240" s="134" t="n">
        <f aca="false">'O_MN, PE_UTA_UGM 2024'!N217</f>
        <v>2</v>
      </c>
      <c r="AB240" s="135" t="n">
        <f aca="false">'O_MN, PE_UTA_UGM 2024'!O217</f>
        <v>0</v>
      </c>
      <c r="AC240" s="317" t="n">
        <f aca="false">'O_MN, PE_UTA_UGM 2024'!C217</f>
        <v>211</v>
      </c>
      <c r="AD240" s="293" t="str">
        <f aca="false">IF(AB240=0,'O_MN, PE_UTA_UGM 2024'!F217,CONCATENATE('O_MN, PE_UTA_UGM 2024'!F217," ","INVERNADERO"))</f>
        <v>MEMBRILLO</v>
      </c>
      <c r="AE240" s="89"/>
      <c r="AF240" s="123" t="n">
        <f aca="false">SUM(AG240:AH240)+SUM(AJ240:AK240)</f>
        <v>0</v>
      </c>
      <c r="AG240" s="318" t="n">
        <f aca="false">A227</f>
        <v>0</v>
      </c>
      <c r="AH240" s="319" t="n">
        <f aca="false">B227</f>
        <v>0</v>
      </c>
      <c r="AI240" s="6"/>
      <c r="AJ240" s="320" t="n">
        <f aca="false">C227</f>
        <v>0</v>
      </c>
      <c r="AK240" s="320" t="n">
        <f aca="false">D227</f>
        <v>0</v>
      </c>
      <c r="AL240" s="237" t="s">
        <v>366</v>
      </c>
      <c r="AM240" s="299" t="n">
        <f aca="false">'O_MN, PE_UTA_UGM 2024'!J217</f>
        <v>1939.72</v>
      </c>
      <c r="AN240" s="299" t="n">
        <f aca="false">'O_MN, PE_UTA_UGM 2024'!K217</f>
        <v>6000</v>
      </c>
      <c r="AO240" s="300"/>
      <c r="AP240" s="299" t="n">
        <f aca="false">'O_MN, PE_UTA_UGM 2024'!H217</f>
        <v>480.81</v>
      </c>
      <c r="AQ240" s="299" t="n">
        <f aca="false">'O_MN, PE_UTA_UGM 2024'!I217</f>
        <v>1442.43</v>
      </c>
      <c r="AR240" s="301"/>
      <c r="AS240" s="302" t="n">
        <f aca="false">'O_MN, PE_UTA_UGM 2024'!L217</f>
        <v>0.0196</v>
      </c>
      <c r="AT240" s="302" t="n">
        <f aca="false">'O_MN, PE_UTA_UGM 2024'!M217</f>
        <v>0.05879</v>
      </c>
      <c r="AU240" s="45"/>
      <c r="AV240" s="321" t="n">
        <f aca="false">AG240*AM240</f>
        <v>0</v>
      </c>
      <c r="AW240" s="319" t="n">
        <f aca="false">AH240*AN240</f>
        <v>0</v>
      </c>
      <c r="AX240" s="320" t="n">
        <f aca="false">1.25*AJ240*AM240</f>
        <v>0</v>
      </c>
      <c r="AY240" s="322" t="n">
        <f aca="false">1.25*AK240*AN240</f>
        <v>0</v>
      </c>
      <c r="AZ240" s="323" t="n">
        <f aca="false">AG240*AP240</f>
        <v>0</v>
      </c>
      <c r="BA240" s="319" t="n">
        <f aca="false">AH240*AQ240</f>
        <v>0</v>
      </c>
      <c r="BB240" s="320" t="n">
        <f aca="false">1.25*AJ240*AP240</f>
        <v>0</v>
      </c>
      <c r="BC240" s="320" t="n">
        <f aca="false">1.25*AK240*AQ240</f>
        <v>0</v>
      </c>
      <c r="BD240" s="321" t="n">
        <f aca="false">AG240*AS240</f>
        <v>0</v>
      </c>
      <c r="BE240" s="319" t="n">
        <f aca="false">AH240*AT240</f>
        <v>0</v>
      </c>
      <c r="BF240" s="320" t="n">
        <f aca="false">AJ240*AS240</f>
        <v>0</v>
      </c>
      <c r="BG240" s="322" t="n">
        <f aca="false">AK240*AT240</f>
        <v>0</v>
      </c>
      <c r="BH240" s="324" t="str">
        <f aca="false">IF(BH$24=$AA240,($AG240*$AM240)+($AJ240*$AM240*1.25)+($AH240*$AN240)+($AK240*$AN240*1.25),"")</f>
        <v/>
      </c>
      <c r="BI240" s="325" t="n">
        <f aca="false">IF(BI$24=$AA240,($AG240*$AM240)+($AJ240*$AM240*1.25)+($AH240*$AN240)+($AK240*$AN240*1.25),"")</f>
        <v>0</v>
      </c>
      <c r="BJ240" s="325" t="str">
        <f aca="false">IF(BJ$24=$AA240,($AG240*$AM240)+($AJ240*$AM240*1.25)+($AH240*$AN240)+($AK240*$AN240*1.25),"")</f>
        <v/>
      </c>
      <c r="BK240" s="325" t="str">
        <f aca="false">IF(BK$24=$AA240,($AG240*$AM240)+($AJ240*$AM240*1.25)+($AH240*$AN240)+($AK240*$AN240*1.25),"")</f>
        <v/>
      </c>
      <c r="BL240" s="326" t="str">
        <f aca="false">IF(BL$24=$AA240,($AG240*$AM240)+($AJ240*$AM240*1.25)+($AH240*$AN240)+($AK240*$AN240*1.25),"")</f>
        <v/>
      </c>
      <c r="BM240" s="327" t="str">
        <f aca="false">IF(CONCATENATE(BH240,BI240,BJ240,BK240,BL240)="",1,"")</f>
        <v/>
      </c>
      <c r="BN240" s="328"/>
      <c r="BO240" s="328"/>
      <c r="BP240" s="328"/>
      <c r="BQ240" s="328"/>
      <c r="BR240" s="47"/>
      <c r="BS240" s="127" t="n">
        <f aca="false">(AG240*AM240)+(AH240*AN240)+((AJ240*AM240)+(AK240*AN240)*1.25)</f>
        <v>0</v>
      </c>
      <c r="BT240" s="127" t="n">
        <f aca="false">(AG240*AP240)+(AH240*AQ240)+((AJ240*AP240)+(AK240*AQ240)*1.25)</f>
        <v>0</v>
      </c>
      <c r="BU240" s="329"/>
      <c r="BV240" s="129"/>
    </row>
    <row r="241" customFormat="false" ht="15" hidden="false" customHeight="false" outlineLevel="0" collapsed="false">
      <c r="A241" s="228"/>
      <c r="B241" s="229"/>
      <c r="C241" s="230"/>
      <c r="D241" s="231"/>
      <c r="E241" s="223" t="str">
        <f aca="false">IF(SUM(A241:D241)&gt;0,SUM(A241:D241),"")</f>
        <v/>
      </c>
      <c r="F241" s="224" t="str">
        <f aca="false">AD254</f>
        <v>HIGUERA INVERNADERO</v>
      </c>
      <c r="G241" s="169"/>
      <c r="H241" s="169"/>
      <c r="I241" s="169"/>
      <c r="J241" s="169"/>
      <c r="K241" s="169"/>
      <c r="L241" s="169"/>
      <c r="M241" s="169"/>
      <c r="N241" s="169"/>
      <c r="O241" s="169"/>
      <c r="P241" s="169"/>
      <c r="Q241" s="169"/>
      <c r="R241" s="3"/>
      <c r="S241" s="3"/>
      <c r="T241" s="3"/>
      <c r="U241" s="3"/>
      <c r="V241" s="3"/>
      <c r="W241" s="3"/>
      <c r="X241" s="3"/>
      <c r="Y241" s="3"/>
      <c r="Z241" s="316" t="str">
        <f aca="false">IF(AF241&gt;0,RANK(AF241,AF$6:AF$422),"")</f>
        <v/>
      </c>
      <c r="AA241" s="134" t="n">
        <f aca="false">'O_MN, PE_UTA_UGM 2024'!N218</f>
        <v>2</v>
      </c>
      <c r="AB241" s="135" t="n">
        <f aca="false">'O_MN, PE_UTA_UGM 2024'!O218</f>
        <v>0</v>
      </c>
      <c r="AC241" s="317" t="n">
        <f aca="false">'O_MN, PE_UTA_UGM 2024'!C218</f>
        <v>212</v>
      </c>
      <c r="AD241" s="293" t="str">
        <f aca="false">IF(AB241=0,'O_MN, PE_UTA_UGM 2024'!F218,CONCATENATE('O_MN, PE_UTA_UGM 2024'!F218," ","INVERNADERO"))</f>
        <v>KIWI</v>
      </c>
      <c r="AE241" s="89"/>
      <c r="AF241" s="123" t="n">
        <f aca="false">SUM(AG241:AH241)+SUM(AJ241:AK241)</f>
        <v>0</v>
      </c>
      <c r="AG241" s="318" t="n">
        <f aca="false">A228</f>
        <v>0</v>
      </c>
      <c r="AH241" s="319" t="n">
        <f aca="false">B228</f>
        <v>0</v>
      </c>
      <c r="AI241" s="6"/>
      <c r="AJ241" s="320" t="n">
        <f aca="false">C228</f>
        <v>0</v>
      </c>
      <c r="AK241" s="320" t="n">
        <f aca="false">D228</f>
        <v>0</v>
      </c>
      <c r="AL241" s="237" t="s">
        <v>367</v>
      </c>
      <c r="AM241" s="299" t="n">
        <f aca="false">'O_MN, PE_UTA_UGM 2024'!J218</f>
        <v>1939.72</v>
      </c>
      <c r="AN241" s="299" t="n">
        <f aca="false">'O_MN, PE_UTA_UGM 2024'!K218</f>
        <v>6000</v>
      </c>
      <c r="AO241" s="300"/>
      <c r="AP241" s="299" t="n">
        <f aca="false">'O_MN, PE_UTA_UGM 2024'!H218</f>
        <v>480.81</v>
      </c>
      <c r="AQ241" s="299" t="n">
        <f aca="false">'O_MN, PE_UTA_UGM 2024'!I218</f>
        <v>1442.43</v>
      </c>
      <c r="AR241" s="301"/>
      <c r="AS241" s="302" t="n">
        <f aca="false">'O_MN, PE_UTA_UGM 2024'!L218</f>
        <v>0.0196</v>
      </c>
      <c r="AT241" s="302" t="n">
        <f aca="false">'O_MN, PE_UTA_UGM 2024'!M218</f>
        <v>0.05879</v>
      </c>
      <c r="AU241" s="45"/>
      <c r="AV241" s="321" t="n">
        <f aca="false">AG241*AM241</f>
        <v>0</v>
      </c>
      <c r="AW241" s="319" t="n">
        <f aca="false">AH241*AN241</f>
        <v>0</v>
      </c>
      <c r="AX241" s="320" t="n">
        <f aca="false">1.25*AJ241*AM241</f>
        <v>0</v>
      </c>
      <c r="AY241" s="322" t="n">
        <f aca="false">1.25*AK241*AN241</f>
        <v>0</v>
      </c>
      <c r="AZ241" s="323" t="n">
        <f aca="false">AG241*AP241</f>
        <v>0</v>
      </c>
      <c r="BA241" s="319" t="n">
        <f aca="false">AH241*AQ241</f>
        <v>0</v>
      </c>
      <c r="BB241" s="320" t="n">
        <f aca="false">1.25*AJ241*AP241</f>
        <v>0</v>
      </c>
      <c r="BC241" s="320" t="n">
        <f aca="false">1.25*AK241*AQ241</f>
        <v>0</v>
      </c>
      <c r="BD241" s="321" t="n">
        <f aca="false">AG241*AS241</f>
        <v>0</v>
      </c>
      <c r="BE241" s="319" t="n">
        <f aca="false">AH241*AT241</f>
        <v>0</v>
      </c>
      <c r="BF241" s="320" t="n">
        <f aca="false">AJ241*AS241</f>
        <v>0</v>
      </c>
      <c r="BG241" s="322" t="n">
        <f aca="false">AK241*AT241</f>
        <v>0</v>
      </c>
      <c r="BH241" s="324" t="str">
        <f aca="false">IF(BH$24=$AA241,($AG241*$AM241)+($AJ241*$AM241*1.25)+($AH241*$AN241)+($AK241*$AN241*1.25),"")</f>
        <v/>
      </c>
      <c r="BI241" s="325" t="n">
        <f aca="false">IF(BI$24=$AA241,($AG241*$AM241)+($AJ241*$AM241*1.25)+($AH241*$AN241)+($AK241*$AN241*1.25),"")</f>
        <v>0</v>
      </c>
      <c r="BJ241" s="325" t="str">
        <f aca="false">IF(BJ$24=$AA241,($AG241*$AM241)+($AJ241*$AM241*1.25)+($AH241*$AN241)+($AK241*$AN241*1.25),"")</f>
        <v/>
      </c>
      <c r="BK241" s="325" t="str">
        <f aca="false">IF(BK$24=$AA241,($AG241*$AM241)+($AJ241*$AM241*1.25)+($AH241*$AN241)+($AK241*$AN241*1.25),"")</f>
        <v/>
      </c>
      <c r="BL241" s="326" t="str">
        <f aca="false">IF(BL$24=$AA241,($AG241*$AM241)+($AJ241*$AM241*1.25)+($AH241*$AN241)+($AK241*$AN241*1.25),"")</f>
        <v/>
      </c>
      <c r="BM241" s="327" t="str">
        <f aca="false">IF(CONCATENATE(BH241,BI241,BJ241,BK241,BL241)="",1,"")</f>
        <v/>
      </c>
      <c r="BN241" s="328"/>
      <c r="BO241" s="328"/>
      <c r="BP241" s="328"/>
      <c r="BQ241" s="328"/>
      <c r="BR241" s="47"/>
      <c r="BS241" s="127" t="n">
        <f aca="false">(AG241*AM241)+(AH241*AN241)+((AJ241*AM241)+(AK241*AN241)*1.25)</f>
        <v>0</v>
      </c>
      <c r="BT241" s="127" t="n">
        <f aca="false">(AG241*AP241)+(AH241*AQ241)+((AJ241*AP241)+(AK241*AQ241)*1.25)</f>
        <v>0</v>
      </c>
      <c r="BU241" s="329"/>
      <c r="BV241" s="129"/>
    </row>
    <row r="242" customFormat="false" ht="15" hidden="false" customHeight="false" outlineLevel="0" collapsed="false">
      <c r="A242" s="228"/>
      <c r="B242" s="229"/>
      <c r="C242" s="230"/>
      <c r="D242" s="231"/>
      <c r="E242" s="223" t="str">
        <f aca="false">IF(SUM(A242:D242)&gt;0,SUM(A242:D242),"")</f>
        <v/>
      </c>
      <c r="F242" s="224" t="str">
        <f aca="false">AD255</f>
        <v>HIGUERA INVERNADERO</v>
      </c>
      <c r="G242" s="169"/>
      <c r="H242" s="169"/>
      <c r="I242" s="169"/>
      <c r="J242" s="169"/>
      <c r="K242" s="169"/>
      <c r="L242" s="169"/>
      <c r="M242" s="169"/>
      <c r="N242" s="169"/>
      <c r="O242" s="169"/>
      <c r="P242" s="169"/>
      <c r="Q242" s="169"/>
      <c r="R242" s="3"/>
      <c r="S242" s="3"/>
      <c r="T242" s="3"/>
      <c r="U242" s="3"/>
      <c r="V242" s="3"/>
      <c r="W242" s="3"/>
      <c r="X242" s="3"/>
      <c r="Y242" s="3"/>
      <c r="Z242" s="316" t="str">
        <f aca="false">IF(AF242&gt;0,RANK(AF242,AF$6:AF$422),"")</f>
        <v/>
      </c>
      <c r="AA242" s="134" t="n">
        <f aca="false">'O_MN, PE_UTA_UGM 2024'!N219</f>
        <v>2</v>
      </c>
      <c r="AB242" s="135" t="n">
        <f aca="false">'O_MN, PE_UTA_UGM 2024'!O219</f>
        <v>0</v>
      </c>
      <c r="AC242" s="317" t="n">
        <f aca="false">'O_MN, PE_UTA_UGM 2024'!C219</f>
        <v>213</v>
      </c>
      <c r="AD242" s="293" t="str">
        <f aca="false">IF(AB242=0,'O_MN, PE_UTA_UGM 2024'!F219,CONCATENATE('O_MN, PE_UTA_UGM 2024'!F219," ","INVERNADERO"))</f>
        <v>CAQUI o PALOSANTO</v>
      </c>
      <c r="AE242" s="89"/>
      <c r="AF242" s="123" t="n">
        <f aca="false">SUM(AG242:AH242)+SUM(AJ242:AK242)</f>
        <v>0</v>
      </c>
      <c r="AG242" s="318" t="n">
        <f aca="false">A229</f>
        <v>0</v>
      </c>
      <c r="AH242" s="319" t="n">
        <f aca="false">B229</f>
        <v>0</v>
      </c>
      <c r="AI242" s="6"/>
      <c r="AJ242" s="320" t="n">
        <f aca="false">C229</f>
        <v>0</v>
      </c>
      <c r="AK242" s="320" t="n">
        <f aca="false">D229</f>
        <v>0</v>
      </c>
      <c r="AL242" s="237" t="s">
        <v>368</v>
      </c>
      <c r="AM242" s="299" t="n">
        <f aca="false">'O_MN, PE_UTA_UGM 2024'!J219</f>
        <v>939.72</v>
      </c>
      <c r="AN242" s="299" t="n">
        <f aca="false">'O_MN, PE_UTA_UGM 2024'!K219</f>
        <v>2300</v>
      </c>
      <c r="AO242" s="300"/>
      <c r="AP242" s="299" t="n">
        <f aca="false">'O_MN, PE_UTA_UGM 2024'!H219</f>
        <v>480.81</v>
      </c>
      <c r="AQ242" s="299" t="n">
        <f aca="false">'O_MN, PE_UTA_UGM 2024'!I219</f>
        <v>1442.43</v>
      </c>
      <c r="AR242" s="301"/>
      <c r="AS242" s="302" t="n">
        <f aca="false">'O_MN, PE_UTA_UGM 2024'!L219</f>
        <v>0.0196</v>
      </c>
      <c r="AT242" s="302" t="n">
        <f aca="false">'O_MN, PE_UTA_UGM 2024'!M219</f>
        <v>0.05879</v>
      </c>
      <c r="AU242" s="45"/>
      <c r="AV242" s="321" t="n">
        <f aca="false">AG242*AM242</f>
        <v>0</v>
      </c>
      <c r="AW242" s="319" t="n">
        <f aca="false">AH242*AN242</f>
        <v>0</v>
      </c>
      <c r="AX242" s="320" t="n">
        <f aca="false">1.25*AJ242*AM242</f>
        <v>0</v>
      </c>
      <c r="AY242" s="322" t="n">
        <f aca="false">1.25*AK242*AN242</f>
        <v>0</v>
      </c>
      <c r="AZ242" s="323" t="n">
        <f aca="false">AG242*AP242</f>
        <v>0</v>
      </c>
      <c r="BA242" s="319" t="n">
        <f aca="false">AH242*AQ242</f>
        <v>0</v>
      </c>
      <c r="BB242" s="320" t="n">
        <f aca="false">1.25*AJ242*AP242</f>
        <v>0</v>
      </c>
      <c r="BC242" s="320" t="n">
        <f aca="false">1.25*AK242*AQ242</f>
        <v>0</v>
      </c>
      <c r="BD242" s="321" t="n">
        <f aca="false">AG242*AS242</f>
        <v>0</v>
      </c>
      <c r="BE242" s="319" t="n">
        <f aca="false">AH242*AT242</f>
        <v>0</v>
      </c>
      <c r="BF242" s="320" t="n">
        <f aca="false">AJ242*AS242</f>
        <v>0</v>
      </c>
      <c r="BG242" s="322" t="n">
        <f aca="false">AK242*AT242</f>
        <v>0</v>
      </c>
      <c r="BH242" s="324" t="str">
        <f aca="false">IF(BH$24=$AA242,($AG242*$AM242)+($AJ242*$AM242*1.25)+($AH242*$AN242)+($AK242*$AN242*1.25),"")</f>
        <v/>
      </c>
      <c r="BI242" s="325" t="n">
        <f aca="false">IF(BI$24=$AA242,($AG242*$AM242)+($AJ242*$AM242*1.25)+($AH242*$AN242)+($AK242*$AN242*1.25),"")</f>
        <v>0</v>
      </c>
      <c r="BJ242" s="325" t="str">
        <f aca="false">IF(BJ$24=$AA242,($AG242*$AM242)+($AJ242*$AM242*1.25)+($AH242*$AN242)+($AK242*$AN242*1.25),"")</f>
        <v/>
      </c>
      <c r="BK242" s="325" t="str">
        <f aca="false">IF(BK$24=$AA242,($AG242*$AM242)+($AJ242*$AM242*1.25)+($AH242*$AN242)+($AK242*$AN242*1.25),"")</f>
        <v/>
      </c>
      <c r="BL242" s="326" t="str">
        <f aca="false">IF(BL$24=$AA242,($AG242*$AM242)+($AJ242*$AM242*1.25)+($AH242*$AN242)+($AK242*$AN242*1.25),"")</f>
        <v/>
      </c>
      <c r="BM242" s="327" t="str">
        <f aca="false">IF(CONCATENATE(BH242,BI242,BJ242,BK242,BL242)="",1,"")</f>
        <v/>
      </c>
      <c r="BN242" s="328"/>
      <c r="BO242" s="328"/>
      <c r="BP242" s="328"/>
      <c r="BQ242" s="328"/>
      <c r="BR242" s="47"/>
      <c r="BS242" s="127" t="n">
        <f aca="false">(AG242*AM242)+(AH242*AN242)+((AJ242*AM242)+(AK242*AN242)*1.25)</f>
        <v>0</v>
      </c>
      <c r="BT242" s="127" t="n">
        <f aca="false">(AG242*AP242)+(AH242*AQ242)+((AJ242*AP242)+(AK242*AQ242)*1.25)</f>
        <v>0</v>
      </c>
      <c r="BU242" s="329"/>
      <c r="BV242" s="129"/>
    </row>
    <row r="243" customFormat="false" ht="15" hidden="false" customHeight="false" outlineLevel="0" collapsed="false">
      <c r="A243" s="228"/>
      <c r="B243" s="229"/>
      <c r="C243" s="230"/>
      <c r="D243" s="231"/>
      <c r="E243" s="223" t="str">
        <f aca="false">IF(SUM(A243:D243)&gt;0,SUM(A243:D243),"")</f>
        <v/>
      </c>
      <c r="F243" s="224" t="str">
        <f aca="false">AD256</f>
        <v>FRESA</v>
      </c>
      <c r="G243" s="169"/>
      <c r="H243" s="169"/>
      <c r="I243" s="169"/>
      <c r="J243" s="169"/>
      <c r="K243" s="169"/>
      <c r="L243" s="169"/>
      <c r="M243" s="169"/>
      <c r="N243" s="169"/>
      <c r="O243" s="169"/>
      <c r="P243" s="169"/>
      <c r="Q243" s="169"/>
      <c r="R243" s="3"/>
      <c r="S243" s="3"/>
      <c r="T243" s="3"/>
      <c r="U243" s="3"/>
      <c r="V243" s="3"/>
      <c r="W243" s="3"/>
      <c r="X243" s="3"/>
      <c r="Y243" s="3"/>
      <c r="Z243" s="316" t="str">
        <f aca="false">IF(AF243&gt;0,RANK(AF243,AF$6:AF$422),"")</f>
        <v/>
      </c>
      <c r="AA243" s="134" t="n">
        <f aca="false">'O_MN, PE_UTA_UGM 2024'!N220</f>
        <v>2</v>
      </c>
      <c r="AB243" s="135" t="n">
        <f aca="false">'O_MN, PE_UTA_UGM 2024'!O220</f>
        <v>0</v>
      </c>
      <c r="AC243" s="317" t="n">
        <f aca="false">'O_MN, PE_UTA_UGM 2024'!C220</f>
        <v>214</v>
      </c>
      <c r="AD243" s="293" t="str">
        <f aca="false">IF(AB243=0,'O_MN, PE_UTA_UGM 2024'!F220,CONCATENATE('O_MN, PE_UTA_UGM 2024'!F220," ","INVERNADERO"))</f>
        <v>NÍSPERO</v>
      </c>
      <c r="AE243" s="89"/>
      <c r="AF243" s="123" t="n">
        <f aca="false">SUM(AG243:AH243)+SUM(AJ243:AK243)</f>
        <v>0</v>
      </c>
      <c r="AG243" s="318" t="n">
        <f aca="false">A230</f>
        <v>0</v>
      </c>
      <c r="AH243" s="319" t="n">
        <f aca="false">B230</f>
        <v>0</v>
      </c>
      <c r="AI243" s="6"/>
      <c r="AJ243" s="320" t="n">
        <f aca="false">C230</f>
        <v>0</v>
      </c>
      <c r="AK243" s="320" t="n">
        <f aca="false">D230</f>
        <v>0</v>
      </c>
      <c r="AL243" s="237" t="s">
        <v>369</v>
      </c>
      <c r="AM243" s="299" t="n">
        <f aca="false">'O_MN, PE_UTA_UGM 2024'!J220</f>
        <v>1939.72</v>
      </c>
      <c r="AN243" s="299" t="n">
        <f aca="false">'O_MN, PE_UTA_UGM 2024'!K220</f>
        <v>6000</v>
      </c>
      <c r="AO243" s="300"/>
      <c r="AP243" s="299" t="n">
        <f aca="false">'O_MN, PE_UTA_UGM 2024'!H220</f>
        <v>480.81</v>
      </c>
      <c r="AQ243" s="299" t="n">
        <f aca="false">'O_MN, PE_UTA_UGM 2024'!I220</f>
        <v>1442.43</v>
      </c>
      <c r="AR243" s="301"/>
      <c r="AS243" s="302" t="n">
        <f aca="false">'O_MN, PE_UTA_UGM 2024'!L220</f>
        <v>0.0196</v>
      </c>
      <c r="AT243" s="302" t="n">
        <f aca="false">'O_MN, PE_UTA_UGM 2024'!M220</f>
        <v>0.05879</v>
      </c>
      <c r="AU243" s="45"/>
      <c r="AV243" s="321" t="n">
        <f aca="false">AG243*AM243</f>
        <v>0</v>
      </c>
      <c r="AW243" s="319" t="n">
        <f aca="false">AH243*AN243</f>
        <v>0</v>
      </c>
      <c r="AX243" s="320" t="n">
        <f aca="false">1.25*AJ243*AM243</f>
        <v>0</v>
      </c>
      <c r="AY243" s="322" t="n">
        <f aca="false">1.25*AK243*AN243</f>
        <v>0</v>
      </c>
      <c r="AZ243" s="323" t="n">
        <f aca="false">AG243*AP243</f>
        <v>0</v>
      </c>
      <c r="BA243" s="319" t="n">
        <f aca="false">AH243*AQ243</f>
        <v>0</v>
      </c>
      <c r="BB243" s="320" t="n">
        <f aca="false">1.25*AJ243*AP243</f>
        <v>0</v>
      </c>
      <c r="BC243" s="320" t="n">
        <f aca="false">1.25*AK243*AQ243</f>
        <v>0</v>
      </c>
      <c r="BD243" s="321" t="n">
        <f aca="false">AG243*AS243</f>
        <v>0</v>
      </c>
      <c r="BE243" s="319" t="n">
        <f aca="false">AH243*AT243</f>
        <v>0</v>
      </c>
      <c r="BF243" s="320" t="n">
        <f aca="false">AJ243*AS243</f>
        <v>0</v>
      </c>
      <c r="BG243" s="322" t="n">
        <f aca="false">AK243*AT243</f>
        <v>0</v>
      </c>
      <c r="BH243" s="324" t="str">
        <f aca="false">IF(BH$24=$AA243,($AG243*$AM243)+($AJ243*$AM243*1.25)+($AH243*$AN243)+($AK243*$AN243*1.25),"")</f>
        <v/>
      </c>
      <c r="BI243" s="325" t="n">
        <f aca="false">IF(BI$24=$AA243,($AG243*$AM243)+($AJ243*$AM243*1.25)+($AH243*$AN243)+($AK243*$AN243*1.25),"")</f>
        <v>0</v>
      </c>
      <c r="BJ243" s="325" t="str">
        <f aca="false">IF(BJ$24=$AA243,($AG243*$AM243)+($AJ243*$AM243*1.25)+($AH243*$AN243)+($AK243*$AN243*1.25),"")</f>
        <v/>
      </c>
      <c r="BK243" s="325" t="str">
        <f aca="false">IF(BK$24=$AA243,($AG243*$AM243)+($AJ243*$AM243*1.25)+($AH243*$AN243)+($AK243*$AN243*1.25),"")</f>
        <v/>
      </c>
      <c r="BL243" s="326" t="str">
        <f aca="false">IF(BL$24=$AA243,($AG243*$AM243)+($AJ243*$AM243*1.25)+($AH243*$AN243)+($AK243*$AN243*1.25),"")</f>
        <v/>
      </c>
      <c r="BM243" s="327" t="str">
        <f aca="false">IF(CONCATENATE(BH243,BI243,BJ243,BK243,BL243)="",1,"")</f>
        <v/>
      </c>
      <c r="BN243" s="328"/>
      <c r="BO243" s="328"/>
      <c r="BP243" s="328"/>
      <c r="BQ243" s="328"/>
      <c r="BR243" s="47"/>
      <c r="BS243" s="127" t="n">
        <f aca="false">(AG243*AM243)+(AH243*AN243)+((AJ243*AM243)+(AK243*AN243)*1.25)</f>
        <v>0</v>
      </c>
      <c r="BT243" s="127" t="n">
        <f aca="false">(AG243*AP243)+(AH243*AQ243)+((AJ243*AP243)+(AK243*AQ243)*1.25)</f>
        <v>0</v>
      </c>
      <c r="BU243" s="329"/>
      <c r="BV243" s="129"/>
    </row>
    <row r="244" customFormat="false" ht="15" hidden="false" customHeight="false" outlineLevel="0" collapsed="false">
      <c r="A244" s="228"/>
      <c r="B244" s="229"/>
      <c r="C244" s="230"/>
      <c r="D244" s="231"/>
      <c r="E244" s="223" t="str">
        <f aca="false">IF(SUM(A244:D244)&gt;0,SUM(A244:D244),"")</f>
        <v/>
      </c>
      <c r="F244" s="224" t="str">
        <f aca="false">AD257</f>
        <v>FRESA INVERNADERO</v>
      </c>
      <c r="G244" s="169"/>
      <c r="H244" s="169"/>
      <c r="I244" s="169"/>
      <c r="J244" s="169"/>
      <c r="K244" s="169"/>
      <c r="L244" s="169"/>
      <c r="M244" s="169"/>
      <c r="N244" s="169"/>
      <c r="O244" s="169"/>
      <c r="P244" s="169"/>
      <c r="Q244" s="169"/>
      <c r="R244" s="3"/>
      <c r="S244" s="3"/>
      <c r="T244" s="3"/>
      <c r="U244" s="3"/>
      <c r="V244" s="3"/>
      <c r="W244" s="3"/>
      <c r="X244" s="3"/>
      <c r="Y244" s="3"/>
      <c r="Z244" s="316" t="str">
        <f aca="false">IF(AF244&gt;0,RANK(AF244,AF$6:AF$422),"")</f>
        <v/>
      </c>
      <c r="AA244" s="134" t="n">
        <f aca="false">'O_MN, PE_UTA_UGM 2024'!N221</f>
        <v>2</v>
      </c>
      <c r="AB244" s="135" t="n">
        <f aca="false">'O_MN, PE_UTA_UGM 2024'!O221</f>
        <v>0</v>
      </c>
      <c r="AC244" s="317" t="n">
        <f aca="false">'O_MN, PE_UTA_UGM 2024'!C221</f>
        <v>215</v>
      </c>
      <c r="AD244" s="293" t="str">
        <f aca="false">IF(AB244=0,'O_MN, PE_UTA_UGM 2024'!F221,CONCATENATE('O_MN, PE_UTA_UGM 2024'!F221," ","INVERNADERO"))</f>
        <v>GROSELLERO</v>
      </c>
      <c r="AE244" s="89"/>
      <c r="AF244" s="123" t="n">
        <f aca="false">SUM(AG244:AH244)+SUM(AJ244:AK244)</f>
        <v>0</v>
      </c>
      <c r="AG244" s="318" t="n">
        <f aca="false">A231</f>
        <v>0</v>
      </c>
      <c r="AH244" s="319" t="n">
        <f aca="false">B231</f>
        <v>0</v>
      </c>
      <c r="AI244" s="6"/>
      <c r="AJ244" s="320" t="n">
        <f aca="false">C231</f>
        <v>0</v>
      </c>
      <c r="AK244" s="320" t="n">
        <f aca="false">D231</f>
        <v>0</v>
      </c>
      <c r="AL244" s="237" t="s">
        <v>370</v>
      </c>
      <c r="AM244" s="299" t="n">
        <f aca="false">'O_MN, PE_UTA_UGM 2024'!J221</f>
        <v>575</v>
      </c>
      <c r="AN244" s="299" t="n">
        <f aca="false">'O_MN, PE_UTA_UGM 2024'!K221</f>
        <v>5200</v>
      </c>
      <c r="AO244" s="300"/>
      <c r="AP244" s="299" t="n">
        <f aca="false">'O_MN, PE_UTA_UGM 2024'!H221</f>
        <v>360.61</v>
      </c>
      <c r="AQ244" s="299" t="n">
        <f aca="false">'O_MN, PE_UTA_UGM 2024'!I221</f>
        <v>1352.28</v>
      </c>
      <c r="AR244" s="301"/>
      <c r="AS244" s="302" t="n">
        <f aca="false">'O_MN, PE_UTA_UGM 2024'!L221</f>
        <v>0.0147</v>
      </c>
      <c r="AT244" s="302" t="n">
        <f aca="false">'O_MN, PE_UTA_UGM 2024'!M221</f>
        <v>0.05512</v>
      </c>
      <c r="AU244" s="45"/>
      <c r="AV244" s="321" t="n">
        <f aca="false">AG244*AM244</f>
        <v>0</v>
      </c>
      <c r="AW244" s="319" t="n">
        <f aca="false">AH244*AN244</f>
        <v>0</v>
      </c>
      <c r="AX244" s="320" t="n">
        <f aca="false">1.25*AJ244*AM244</f>
        <v>0</v>
      </c>
      <c r="AY244" s="322" t="n">
        <f aca="false">1.25*AK244*AN244</f>
        <v>0</v>
      </c>
      <c r="AZ244" s="323" t="n">
        <f aca="false">AG244*AP244</f>
        <v>0</v>
      </c>
      <c r="BA244" s="319" t="n">
        <f aca="false">AH244*AQ244</f>
        <v>0</v>
      </c>
      <c r="BB244" s="320" t="n">
        <f aca="false">1.25*AJ244*AP244</f>
        <v>0</v>
      </c>
      <c r="BC244" s="320" t="n">
        <f aca="false">1.25*AK244*AQ244</f>
        <v>0</v>
      </c>
      <c r="BD244" s="321" t="n">
        <f aca="false">AG244*AS244</f>
        <v>0</v>
      </c>
      <c r="BE244" s="319" t="n">
        <f aca="false">AH244*AT244</f>
        <v>0</v>
      </c>
      <c r="BF244" s="320" t="n">
        <f aca="false">AJ244*AS244</f>
        <v>0</v>
      </c>
      <c r="BG244" s="322" t="n">
        <f aca="false">AK244*AT244</f>
        <v>0</v>
      </c>
      <c r="BH244" s="324" t="str">
        <f aca="false">IF(BH$24=$AA244,($AG244*$AM244)+($AJ244*$AM244*1.25)+($AH244*$AN244)+($AK244*$AN244*1.25),"")</f>
        <v/>
      </c>
      <c r="BI244" s="325" t="n">
        <f aca="false">IF(BI$24=$AA244,($AG244*$AM244)+($AJ244*$AM244*1.25)+($AH244*$AN244)+($AK244*$AN244*1.25),"")</f>
        <v>0</v>
      </c>
      <c r="BJ244" s="325" t="str">
        <f aca="false">IF(BJ$24=$AA244,($AG244*$AM244)+($AJ244*$AM244*1.25)+($AH244*$AN244)+($AK244*$AN244*1.25),"")</f>
        <v/>
      </c>
      <c r="BK244" s="325" t="str">
        <f aca="false">IF(BK$24=$AA244,($AG244*$AM244)+($AJ244*$AM244*1.25)+($AH244*$AN244)+($AK244*$AN244*1.25),"")</f>
        <v/>
      </c>
      <c r="BL244" s="326" t="str">
        <f aca="false">IF(BL$24=$AA244,($AG244*$AM244)+($AJ244*$AM244*1.25)+($AH244*$AN244)+($AK244*$AN244*1.25),"")</f>
        <v/>
      </c>
      <c r="BM244" s="327" t="str">
        <f aca="false">IF(CONCATENATE(BH244,BI244,BJ244,BK244,BL244)="",1,"")</f>
        <v/>
      </c>
      <c r="BN244" s="328"/>
      <c r="BO244" s="328"/>
      <c r="BP244" s="328"/>
      <c r="BQ244" s="328"/>
      <c r="BR244" s="47"/>
      <c r="BS244" s="127" t="n">
        <f aca="false">(AG244*AM244)+(AH244*AN244)+((AJ244*AM244)+(AK244*AN244)*1.25)</f>
        <v>0</v>
      </c>
      <c r="BT244" s="127" t="n">
        <f aca="false">(AG244*AP244)+(AH244*AQ244)+((AJ244*AP244)+(AK244*AQ244)*1.25)</f>
        <v>0</v>
      </c>
      <c r="BU244" s="329"/>
      <c r="BV244" s="129"/>
    </row>
    <row r="245" customFormat="false" ht="15" hidden="false" customHeight="false" outlineLevel="0" collapsed="false">
      <c r="A245" s="228"/>
      <c r="B245" s="229"/>
      <c r="C245" s="230"/>
      <c r="D245" s="231"/>
      <c r="E245" s="223" t="str">
        <f aca="false">IF(SUM(A245:D245)&gt;0,SUM(A245:D245),"")</f>
        <v/>
      </c>
      <c r="F245" s="224" t="str">
        <f aca="false">AD258</f>
        <v>FRESA INVERNADERO</v>
      </c>
      <c r="G245" s="169"/>
      <c r="H245" s="169"/>
      <c r="I245" s="169"/>
      <c r="J245" s="169"/>
      <c r="K245" s="169"/>
      <c r="L245" s="169"/>
      <c r="M245" s="169"/>
      <c r="N245" s="169"/>
      <c r="O245" s="169"/>
      <c r="P245" s="169"/>
      <c r="Q245" s="169"/>
      <c r="R245" s="3"/>
      <c r="S245" s="3"/>
      <c r="T245" s="3"/>
      <c r="U245" s="3"/>
      <c r="V245" s="3"/>
      <c r="W245" s="3"/>
      <c r="X245" s="3"/>
      <c r="Y245" s="3"/>
      <c r="Z245" s="316" t="str">
        <f aca="false">IF(AF245&gt;0,RANK(AF245,AF$6:AF$422),"")</f>
        <v/>
      </c>
      <c r="AA245" s="134" t="n">
        <f aca="false">'O_MN, PE_UTA_UGM 2024'!N222</f>
        <v>2</v>
      </c>
      <c r="AB245" s="135" t="n">
        <f aca="false">'O_MN, PE_UTA_UGM 2024'!O222</f>
        <v>4</v>
      </c>
      <c r="AC245" s="317" t="n">
        <f aca="false">'O_MN, PE_UTA_UGM 2024'!C222</f>
        <v>215</v>
      </c>
      <c r="AD245" s="293" t="str">
        <f aca="false">IF(AB245=0,'O_MN, PE_UTA_UGM 2024'!F222,CONCATENATE('O_MN, PE_UTA_UGM 2024'!F222," ","INVERNADERO"))</f>
        <v>GROSELLERO INVERNADERO</v>
      </c>
      <c r="AE245" s="89"/>
      <c r="AF245" s="123" t="n">
        <f aca="false">SUM(AG245:AH245)+SUM(AJ245:AK245)</f>
        <v>0</v>
      </c>
      <c r="AG245" s="318" t="n">
        <f aca="false">A232</f>
        <v>0</v>
      </c>
      <c r="AH245" s="319" t="n">
        <f aca="false">B232</f>
        <v>0</v>
      </c>
      <c r="AI245" s="6"/>
      <c r="AJ245" s="320" t="n">
        <f aca="false">C232</f>
        <v>0</v>
      </c>
      <c r="AK245" s="320" t="n">
        <f aca="false">D232</f>
        <v>0</v>
      </c>
      <c r="AL245" s="237" t="s">
        <v>371</v>
      </c>
      <c r="AM245" s="299" t="n">
        <f aca="false">'O_MN, PE_UTA_UGM 2024'!J222</f>
        <v>0</v>
      </c>
      <c r="AN245" s="299" t="n">
        <f aca="false">'O_MN, PE_UTA_UGM 2024'!K222</f>
        <v>80000</v>
      </c>
      <c r="AO245" s="300"/>
      <c r="AP245" s="299" t="n">
        <f aca="false">'O_MN, PE_UTA_UGM 2024'!H222</f>
        <v>0</v>
      </c>
      <c r="AQ245" s="299" t="n">
        <f aca="false">'O_MN, PE_UTA_UGM 2024'!I222</f>
        <v>36060.73</v>
      </c>
      <c r="AR245" s="301"/>
      <c r="AS245" s="302" t="n">
        <f aca="false">'O_MN, PE_UTA_UGM 2024'!L222</f>
        <v>0</v>
      </c>
      <c r="AT245" s="302" t="n">
        <f aca="false">'O_MN, PE_UTA_UGM 2024'!M222</f>
        <v>1.46978</v>
      </c>
      <c r="AU245" s="45"/>
      <c r="AV245" s="321" t="n">
        <f aca="false">AG245*AM245</f>
        <v>0</v>
      </c>
      <c r="AW245" s="319" t="n">
        <f aca="false">AH245*AN245</f>
        <v>0</v>
      </c>
      <c r="AX245" s="320" t="n">
        <f aca="false">1.25*AJ245*AM245</f>
        <v>0</v>
      </c>
      <c r="AY245" s="322" t="n">
        <f aca="false">1.25*AK245*AN245</f>
        <v>0</v>
      </c>
      <c r="AZ245" s="323" t="n">
        <f aca="false">AG245*AP245</f>
        <v>0</v>
      </c>
      <c r="BA245" s="319" t="n">
        <f aca="false">AH245*AQ245</f>
        <v>0</v>
      </c>
      <c r="BB245" s="320" t="n">
        <f aca="false">1.25*AJ245*AP245</f>
        <v>0</v>
      </c>
      <c r="BC245" s="320" t="n">
        <f aca="false">1.25*AK245*AQ245</f>
        <v>0</v>
      </c>
      <c r="BD245" s="321" t="n">
        <f aca="false">AG245*AS245</f>
        <v>0</v>
      </c>
      <c r="BE245" s="319" t="n">
        <f aca="false">AH245*AT245</f>
        <v>0</v>
      </c>
      <c r="BF245" s="320" t="n">
        <f aca="false">AJ245*AS245</f>
        <v>0</v>
      </c>
      <c r="BG245" s="322" t="n">
        <f aca="false">AK245*AT245</f>
        <v>0</v>
      </c>
      <c r="BH245" s="324" t="str">
        <f aca="false">IF(BH$24=$AA245,($AG245*$AM245)+($AJ245*$AM245*1.25)+($AH245*$AN245)+($AK245*$AN245*1.25),"")</f>
        <v/>
      </c>
      <c r="BI245" s="325" t="n">
        <f aca="false">IF(BI$24=$AA245,($AG245*$AM245)+($AJ245*$AM245*1.25)+($AH245*$AN245)+($AK245*$AN245*1.25),"")</f>
        <v>0</v>
      </c>
      <c r="BJ245" s="325" t="str">
        <f aca="false">IF(BJ$24=$AA245,($AG245*$AM245)+($AJ245*$AM245*1.25)+($AH245*$AN245)+($AK245*$AN245*1.25),"")</f>
        <v/>
      </c>
      <c r="BK245" s="325" t="str">
        <f aca="false">IF(BK$24=$AA245,($AG245*$AM245)+($AJ245*$AM245*1.25)+($AH245*$AN245)+($AK245*$AN245*1.25),"")</f>
        <v/>
      </c>
      <c r="BL245" s="326" t="str">
        <f aca="false">IF(BL$24=$AA245,($AG245*$AM245)+($AJ245*$AM245*1.25)+($AH245*$AN245)+($AK245*$AN245*1.25),"")</f>
        <v/>
      </c>
      <c r="BM245" s="327" t="str">
        <f aca="false">IF(CONCATENATE(BH245,BI245,BJ245,BK245,BL245)="",1,"")</f>
        <v/>
      </c>
      <c r="BN245" s="328"/>
      <c r="BO245" s="328"/>
      <c r="BP245" s="328"/>
      <c r="BQ245" s="328"/>
      <c r="BR245" s="47"/>
      <c r="BS245" s="127" t="n">
        <f aca="false">(AG245*AM245)+(AH245*AN245)+((AJ245*AM245)+(AK245*AN245)*1.25)</f>
        <v>0</v>
      </c>
      <c r="BT245" s="127" t="n">
        <f aca="false">(AG245*AP245)+(AH245*AQ245)+((AJ245*AP245)+(AK245*AQ245)*1.25)</f>
        <v>0</v>
      </c>
      <c r="BU245" s="329"/>
      <c r="BV245" s="129"/>
    </row>
    <row r="246" customFormat="false" ht="15" hidden="false" customHeight="false" outlineLevel="0" collapsed="false">
      <c r="A246" s="228"/>
      <c r="B246" s="229"/>
      <c r="C246" s="230"/>
      <c r="D246" s="231"/>
      <c r="E246" s="223" t="str">
        <f aca="false">IF(SUM(A246:D246)&gt;0,SUM(A246:D246),"")</f>
        <v/>
      </c>
      <c r="F246" s="224" t="str">
        <f aca="false">AD259</f>
        <v>CAÑA DE AZÚCAR</v>
      </c>
      <c r="G246" s="169"/>
      <c r="H246" s="169"/>
      <c r="I246" s="169"/>
      <c r="J246" s="169"/>
      <c r="K246" s="169"/>
      <c r="L246" s="169"/>
      <c r="M246" s="169"/>
      <c r="N246" s="169"/>
      <c r="O246" s="169"/>
      <c r="P246" s="169"/>
      <c r="Q246" s="169"/>
      <c r="R246" s="3"/>
      <c r="S246" s="3"/>
      <c r="T246" s="3"/>
      <c r="U246" s="3"/>
      <c r="V246" s="3"/>
      <c r="W246" s="3"/>
      <c r="X246" s="3"/>
      <c r="Y246" s="3"/>
      <c r="Z246" s="316" t="str">
        <f aca="false">IF(AF246&gt;0,RANK(AF246,AF$6:AF$422),"")</f>
        <v/>
      </c>
      <c r="AA246" s="134" t="n">
        <f aca="false">'O_MN, PE_UTA_UGM 2024'!N223</f>
        <v>2</v>
      </c>
      <c r="AB246" s="135" t="n">
        <f aca="false">'O_MN, PE_UTA_UGM 2024'!O223</f>
        <v>19</v>
      </c>
      <c r="AC246" s="317" t="n">
        <f aca="false">'O_MN, PE_UTA_UGM 2024'!C223</f>
        <v>215</v>
      </c>
      <c r="AD246" s="293" t="str">
        <f aca="false">IF(AB246=0,'O_MN, PE_UTA_UGM 2024'!F223,CONCATENATE('O_MN, PE_UTA_UGM 2024'!F223," ","INVERNADERO"))</f>
        <v>GROSELLERO INVERNADERO</v>
      </c>
      <c r="AE246" s="89"/>
      <c r="AF246" s="123" t="n">
        <f aca="false">SUM(AG246:AH246)+SUM(AJ246:AK246)</f>
        <v>0</v>
      </c>
      <c r="AG246" s="318" t="n">
        <f aca="false">A233</f>
        <v>0</v>
      </c>
      <c r="AH246" s="319" t="n">
        <f aca="false">B233</f>
        <v>0</v>
      </c>
      <c r="AI246" s="6"/>
      <c r="AJ246" s="320" t="n">
        <f aca="false">C233</f>
        <v>0</v>
      </c>
      <c r="AK246" s="320" t="n">
        <f aca="false">D233</f>
        <v>0</v>
      </c>
      <c r="AL246" s="237" t="s">
        <v>372</v>
      </c>
      <c r="AM246" s="299" t="n">
        <f aca="false">'O_MN, PE_UTA_UGM 2024'!J223</f>
        <v>0</v>
      </c>
      <c r="AN246" s="299" t="n">
        <f aca="false">'O_MN, PE_UTA_UGM 2024'!K223</f>
        <v>80000</v>
      </c>
      <c r="AO246" s="300"/>
      <c r="AP246" s="299" t="n">
        <f aca="false">'O_MN, PE_UTA_UGM 2024'!H223</f>
        <v>0</v>
      </c>
      <c r="AQ246" s="299" t="n">
        <f aca="false">'O_MN, PE_UTA_UGM 2024'!I223</f>
        <v>36060.73</v>
      </c>
      <c r="AR246" s="301"/>
      <c r="AS246" s="302" t="n">
        <f aca="false">'O_MN, PE_UTA_UGM 2024'!L223</f>
        <v>0</v>
      </c>
      <c r="AT246" s="302" t="n">
        <f aca="false">'O_MN, PE_UTA_UGM 2024'!M223</f>
        <v>1.46978</v>
      </c>
      <c r="AU246" s="45"/>
      <c r="AV246" s="321" t="n">
        <f aca="false">AG246*AM246</f>
        <v>0</v>
      </c>
      <c r="AW246" s="319" t="n">
        <f aca="false">AH246*AN246</f>
        <v>0</v>
      </c>
      <c r="AX246" s="320" t="n">
        <f aca="false">1.25*AJ246*AM246</f>
        <v>0</v>
      </c>
      <c r="AY246" s="322" t="n">
        <f aca="false">1.25*AK246*AN246</f>
        <v>0</v>
      </c>
      <c r="AZ246" s="323" t="n">
        <f aca="false">AG246*AP246</f>
        <v>0</v>
      </c>
      <c r="BA246" s="319" t="n">
        <f aca="false">AH246*AQ246</f>
        <v>0</v>
      </c>
      <c r="BB246" s="320" t="n">
        <f aca="false">1.25*AJ246*AP246</f>
        <v>0</v>
      </c>
      <c r="BC246" s="320" t="n">
        <f aca="false">1.25*AK246*AQ246</f>
        <v>0</v>
      </c>
      <c r="BD246" s="321" t="n">
        <f aca="false">AG246*AS246</f>
        <v>0</v>
      </c>
      <c r="BE246" s="319" t="n">
        <f aca="false">AH246*AT246</f>
        <v>0</v>
      </c>
      <c r="BF246" s="320" t="n">
        <f aca="false">AJ246*AS246</f>
        <v>0</v>
      </c>
      <c r="BG246" s="322" t="n">
        <f aca="false">AK246*AT246</f>
        <v>0</v>
      </c>
      <c r="BH246" s="324" t="str">
        <f aca="false">IF(BH$24=$AA246,($AG246*$AM246)+($AJ246*$AM246*1.25)+($AH246*$AN246)+($AK246*$AN246*1.25),"")</f>
        <v/>
      </c>
      <c r="BI246" s="325" t="n">
        <f aca="false">IF(BI$24=$AA246,($AG246*$AM246)+($AJ246*$AM246*1.25)+($AH246*$AN246)+($AK246*$AN246*1.25),"")</f>
        <v>0</v>
      </c>
      <c r="BJ246" s="325" t="str">
        <f aca="false">IF(BJ$24=$AA246,($AG246*$AM246)+($AJ246*$AM246*1.25)+($AH246*$AN246)+($AK246*$AN246*1.25),"")</f>
        <v/>
      </c>
      <c r="BK246" s="325" t="str">
        <f aca="false">IF(BK$24=$AA246,($AG246*$AM246)+($AJ246*$AM246*1.25)+($AH246*$AN246)+($AK246*$AN246*1.25),"")</f>
        <v/>
      </c>
      <c r="BL246" s="326" t="str">
        <f aca="false">IF(BL$24=$AA246,($AG246*$AM246)+($AJ246*$AM246*1.25)+($AH246*$AN246)+($AK246*$AN246*1.25),"")</f>
        <v/>
      </c>
      <c r="BM246" s="327" t="str">
        <f aca="false">IF(CONCATENATE(BH246,BI246,BJ246,BK246,BL246)="",1,"")</f>
        <v/>
      </c>
      <c r="BN246" s="328"/>
      <c r="BO246" s="328"/>
      <c r="BP246" s="328"/>
      <c r="BQ246" s="328"/>
      <c r="BR246" s="47"/>
      <c r="BS246" s="127" t="n">
        <f aca="false">(AG246*AM246)+(AH246*AN246)+((AJ246*AM246)+(AK246*AN246)*1.25)</f>
        <v>0</v>
      </c>
      <c r="BT246" s="127" t="n">
        <f aca="false">(AG246*AP246)+(AH246*AQ246)+((AJ246*AP246)+(AK246*AQ246)*1.25)</f>
        <v>0</v>
      </c>
      <c r="BU246" s="329"/>
      <c r="BV246" s="129"/>
    </row>
    <row r="247" customFormat="false" ht="15" hidden="false" customHeight="false" outlineLevel="0" collapsed="false">
      <c r="A247" s="228"/>
      <c r="B247" s="229"/>
      <c r="C247" s="230"/>
      <c r="D247" s="231"/>
      <c r="E247" s="223" t="str">
        <f aca="false">IF(SUM(A247:D247)&gt;0,SUM(A247:D247),"")</f>
        <v/>
      </c>
      <c r="F247" s="224" t="str">
        <f aca="false">AD260</f>
        <v>QUINOA</v>
      </c>
      <c r="G247" s="169"/>
      <c r="H247" s="169"/>
      <c r="I247" s="169"/>
      <c r="J247" s="169"/>
      <c r="K247" s="169"/>
      <c r="L247" s="169"/>
      <c r="M247" s="169"/>
      <c r="N247" s="169"/>
      <c r="O247" s="169"/>
      <c r="P247" s="169"/>
      <c r="Q247" s="169"/>
      <c r="R247" s="3"/>
      <c r="S247" s="3"/>
      <c r="T247" s="3"/>
      <c r="U247" s="3"/>
      <c r="V247" s="3"/>
      <c r="W247" s="3"/>
      <c r="X247" s="3"/>
      <c r="Y247" s="3"/>
      <c r="Z247" s="316" t="str">
        <f aca="false">IF(AF247&gt;0,RANK(AF247,AF$6:AF$422),"")</f>
        <v/>
      </c>
      <c r="AA247" s="134" t="n">
        <f aca="false">'O_MN, PE_UTA_UGM 2024'!N224</f>
        <v>2</v>
      </c>
      <c r="AB247" s="135" t="n">
        <f aca="false">'O_MN, PE_UTA_UGM 2024'!O224</f>
        <v>0</v>
      </c>
      <c r="AC247" s="317" t="n">
        <f aca="false">'O_MN, PE_UTA_UGM 2024'!C224</f>
        <v>216</v>
      </c>
      <c r="AD247" s="293" t="str">
        <f aca="false">IF(AB247=0,'O_MN, PE_UTA_UGM 2024'!F224,CONCATENATE('O_MN, PE_UTA_UGM 2024'!F224," ","INVERNADERO"))</f>
        <v>ARÁNDANO</v>
      </c>
      <c r="AE247" s="89"/>
      <c r="AF247" s="123" t="n">
        <f aca="false">SUM(AG247:AH247)+SUM(AJ247:AK247)</f>
        <v>0</v>
      </c>
      <c r="AG247" s="318" t="n">
        <f aca="false">A234</f>
        <v>0</v>
      </c>
      <c r="AH247" s="319" t="n">
        <f aca="false">B234</f>
        <v>0</v>
      </c>
      <c r="AI247" s="6"/>
      <c r="AJ247" s="320" t="n">
        <f aca="false">C234</f>
        <v>0</v>
      </c>
      <c r="AK247" s="320" t="n">
        <f aca="false">D234</f>
        <v>0</v>
      </c>
      <c r="AL247" s="237" t="s">
        <v>373</v>
      </c>
      <c r="AM247" s="299" t="n">
        <f aca="false">'O_MN, PE_UTA_UGM 2024'!J224</f>
        <v>575</v>
      </c>
      <c r="AN247" s="299" t="n">
        <f aca="false">'O_MN, PE_UTA_UGM 2024'!K224</f>
        <v>5200</v>
      </c>
      <c r="AO247" s="300"/>
      <c r="AP247" s="299" t="n">
        <f aca="false">'O_MN, PE_UTA_UGM 2024'!H224</f>
        <v>360.61</v>
      </c>
      <c r="AQ247" s="299" t="n">
        <f aca="false">'O_MN, PE_UTA_UGM 2024'!I224</f>
        <v>1352.28</v>
      </c>
      <c r="AR247" s="301"/>
      <c r="AS247" s="302" t="n">
        <f aca="false">'O_MN, PE_UTA_UGM 2024'!L224</f>
        <v>0.0147</v>
      </c>
      <c r="AT247" s="302" t="n">
        <f aca="false">'O_MN, PE_UTA_UGM 2024'!M224</f>
        <v>0.05512</v>
      </c>
      <c r="AU247" s="45"/>
      <c r="AV247" s="321" t="n">
        <f aca="false">AG247*AM247</f>
        <v>0</v>
      </c>
      <c r="AW247" s="319" t="n">
        <f aca="false">AH247*AN247</f>
        <v>0</v>
      </c>
      <c r="AX247" s="320" t="n">
        <f aca="false">1.25*AJ247*AM247</f>
        <v>0</v>
      </c>
      <c r="AY247" s="322" t="n">
        <f aca="false">1.25*AK247*AN247</f>
        <v>0</v>
      </c>
      <c r="AZ247" s="323" t="n">
        <f aca="false">AG247*AP247</f>
        <v>0</v>
      </c>
      <c r="BA247" s="319" t="n">
        <f aca="false">AH247*AQ247</f>
        <v>0</v>
      </c>
      <c r="BB247" s="320" t="n">
        <f aca="false">1.25*AJ247*AP247</f>
        <v>0</v>
      </c>
      <c r="BC247" s="320" t="n">
        <f aca="false">1.25*AK247*AQ247</f>
        <v>0</v>
      </c>
      <c r="BD247" s="321" t="n">
        <f aca="false">AG247*AS247</f>
        <v>0</v>
      </c>
      <c r="BE247" s="319" t="n">
        <f aca="false">AH247*AT247</f>
        <v>0</v>
      </c>
      <c r="BF247" s="320" t="n">
        <f aca="false">AJ247*AS247</f>
        <v>0</v>
      </c>
      <c r="BG247" s="322" t="n">
        <f aca="false">AK247*AT247</f>
        <v>0</v>
      </c>
      <c r="BH247" s="324" t="str">
        <f aca="false">IF(BH$24=$AA247,($AG247*$AM247)+($AJ247*$AM247*1.25)+($AH247*$AN247)+($AK247*$AN247*1.25),"")</f>
        <v/>
      </c>
      <c r="BI247" s="325" t="n">
        <f aca="false">IF(BI$24=$AA247,($AG247*$AM247)+($AJ247*$AM247*1.25)+($AH247*$AN247)+($AK247*$AN247*1.25),"")</f>
        <v>0</v>
      </c>
      <c r="BJ247" s="325" t="str">
        <f aca="false">IF(BJ$24=$AA247,($AG247*$AM247)+($AJ247*$AM247*1.25)+($AH247*$AN247)+($AK247*$AN247*1.25),"")</f>
        <v/>
      </c>
      <c r="BK247" s="325" t="str">
        <f aca="false">IF(BK$24=$AA247,($AG247*$AM247)+($AJ247*$AM247*1.25)+($AH247*$AN247)+($AK247*$AN247*1.25),"")</f>
        <v/>
      </c>
      <c r="BL247" s="326" t="str">
        <f aca="false">IF(BL$24=$AA247,($AG247*$AM247)+($AJ247*$AM247*1.25)+($AH247*$AN247)+($AK247*$AN247*1.25),"")</f>
        <v/>
      </c>
      <c r="BM247" s="327" t="str">
        <f aca="false">IF(CONCATENATE(BH247,BI247,BJ247,BK247,BL247)="",1,"")</f>
        <v/>
      </c>
      <c r="BN247" s="328"/>
      <c r="BO247" s="328"/>
      <c r="BP247" s="328"/>
      <c r="BQ247" s="328"/>
      <c r="BR247" s="47"/>
      <c r="BS247" s="127" t="n">
        <f aca="false">(AG247*AM247)+(AH247*AN247)+((AJ247*AM247)+(AK247*AN247)*1.25)</f>
        <v>0</v>
      </c>
      <c r="BT247" s="127" t="n">
        <f aca="false">(AG247*AP247)+(AH247*AQ247)+((AJ247*AP247)+(AK247*AQ247)*1.25)</f>
        <v>0</v>
      </c>
      <c r="BU247" s="329"/>
      <c r="BV247" s="129"/>
    </row>
    <row r="248" customFormat="false" ht="15" hidden="false" customHeight="false" outlineLevel="0" collapsed="false">
      <c r="A248" s="228"/>
      <c r="B248" s="229"/>
      <c r="C248" s="230"/>
      <c r="D248" s="231"/>
      <c r="E248" s="223" t="str">
        <f aca="false">IF(SUM(A248:D248)&gt;0,SUM(A248:D248),"")</f>
        <v/>
      </c>
      <c r="F248" s="224" t="str">
        <f aca="false">AD261</f>
        <v>MISCANTHUS</v>
      </c>
      <c r="G248" s="169"/>
      <c r="H248" s="169"/>
      <c r="I248" s="169"/>
      <c r="J248" s="169"/>
      <c r="K248" s="169"/>
      <c r="L248" s="169"/>
      <c r="M248" s="169"/>
      <c r="N248" s="169"/>
      <c r="O248" s="169"/>
      <c r="P248" s="169"/>
      <c r="Q248" s="169"/>
      <c r="R248" s="3"/>
      <c r="S248" s="3"/>
      <c r="T248" s="3"/>
      <c r="U248" s="3"/>
      <c r="V248" s="3"/>
      <c r="W248" s="3"/>
      <c r="X248" s="3"/>
      <c r="Y248" s="3"/>
      <c r="Z248" s="316" t="str">
        <f aca="false">IF(AF248&gt;0,RANK(AF248,AF$6:AF$422),"")</f>
        <v/>
      </c>
      <c r="AA248" s="134" t="n">
        <f aca="false">'O_MN, PE_UTA_UGM 2024'!N225</f>
        <v>2</v>
      </c>
      <c r="AB248" s="135" t="n">
        <f aca="false">'O_MN, PE_UTA_UGM 2024'!O225</f>
        <v>4</v>
      </c>
      <c r="AC248" s="317" t="n">
        <f aca="false">'O_MN, PE_UTA_UGM 2024'!C225</f>
        <v>216</v>
      </c>
      <c r="AD248" s="293" t="str">
        <f aca="false">IF(AB248=0,'O_MN, PE_UTA_UGM 2024'!F225,CONCATENATE('O_MN, PE_UTA_UGM 2024'!F225," ","INVERNADERO"))</f>
        <v>ARÁNDANO INVERNADERO</v>
      </c>
      <c r="AE248" s="89"/>
      <c r="AF248" s="123" t="n">
        <f aca="false">SUM(AG248:AH248)+SUM(AJ248:AK248)</f>
        <v>0</v>
      </c>
      <c r="AG248" s="318" t="n">
        <f aca="false">A235</f>
        <v>0</v>
      </c>
      <c r="AH248" s="319" t="n">
        <f aca="false">B235</f>
        <v>0</v>
      </c>
      <c r="AI248" s="6"/>
      <c r="AJ248" s="320" t="n">
        <f aca="false">C235</f>
        <v>0</v>
      </c>
      <c r="AK248" s="320" t="n">
        <f aca="false">D235</f>
        <v>0</v>
      </c>
      <c r="AL248" s="237" t="s">
        <v>374</v>
      </c>
      <c r="AM248" s="299" t="n">
        <f aca="false">'O_MN, PE_UTA_UGM 2024'!J225</f>
        <v>0</v>
      </c>
      <c r="AN248" s="299" t="n">
        <f aca="false">'O_MN, PE_UTA_UGM 2024'!K225</f>
        <v>80000</v>
      </c>
      <c r="AO248" s="300"/>
      <c r="AP248" s="299" t="n">
        <f aca="false">'O_MN, PE_UTA_UGM 2024'!H225</f>
        <v>0</v>
      </c>
      <c r="AQ248" s="299" t="n">
        <f aca="false">'O_MN, PE_UTA_UGM 2024'!I225</f>
        <v>36060.73</v>
      </c>
      <c r="AR248" s="301"/>
      <c r="AS248" s="302" t="n">
        <f aca="false">'O_MN, PE_UTA_UGM 2024'!L225</f>
        <v>0</v>
      </c>
      <c r="AT248" s="302" t="n">
        <f aca="false">'O_MN, PE_UTA_UGM 2024'!M225</f>
        <v>1.46978</v>
      </c>
      <c r="AU248" s="45"/>
      <c r="AV248" s="321" t="n">
        <f aca="false">AG248*AM248</f>
        <v>0</v>
      </c>
      <c r="AW248" s="319" t="n">
        <f aca="false">AH248*AN248</f>
        <v>0</v>
      </c>
      <c r="AX248" s="320" t="n">
        <f aca="false">1.25*AJ248*AM248</f>
        <v>0</v>
      </c>
      <c r="AY248" s="322" t="n">
        <f aca="false">1.25*AK248*AN248</f>
        <v>0</v>
      </c>
      <c r="AZ248" s="323" t="n">
        <f aca="false">AG248*AP248</f>
        <v>0</v>
      </c>
      <c r="BA248" s="319" t="n">
        <f aca="false">AH248*AQ248</f>
        <v>0</v>
      </c>
      <c r="BB248" s="320" t="n">
        <f aca="false">1.25*AJ248*AP248</f>
        <v>0</v>
      </c>
      <c r="BC248" s="320" t="n">
        <f aca="false">1.25*AK248*AQ248</f>
        <v>0</v>
      </c>
      <c r="BD248" s="321" t="n">
        <f aca="false">AG248*AS248</f>
        <v>0</v>
      </c>
      <c r="BE248" s="319" t="n">
        <f aca="false">AH248*AT248</f>
        <v>0</v>
      </c>
      <c r="BF248" s="320" t="n">
        <f aca="false">AJ248*AS248</f>
        <v>0</v>
      </c>
      <c r="BG248" s="322" t="n">
        <f aca="false">AK248*AT248</f>
        <v>0</v>
      </c>
      <c r="BH248" s="324" t="str">
        <f aca="false">IF(BH$24=$AA248,($AG248*$AM248)+($AJ248*$AM248*1.25)+($AH248*$AN248)+($AK248*$AN248*1.25),"")</f>
        <v/>
      </c>
      <c r="BI248" s="325" t="n">
        <f aca="false">IF(BI$24=$AA248,($AG248*$AM248)+($AJ248*$AM248*1.25)+($AH248*$AN248)+($AK248*$AN248*1.25),"")</f>
        <v>0</v>
      </c>
      <c r="BJ248" s="325" t="str">
        <f aca="false">IF(BJ$24=$AA248,($AG248*$AM248)+($AJ248*$AM248*1.25)+($AH248*$AN248)+($AK248*$AN248*1.25),"")</f>
        <v/>
      </c>
      <c r="BK248" s="325" t="str">
        <f aca="false">IF(BK$24=$AA248,($AG248*$AM248)+($AJ248*$AM248*1.25)+($AH248*$AN248)+($AK248*$AN248*1.25),"")</f>
        <v/>
      </c>
      <c r="BL248" s="326" t="str">
        <f aca="false">IF(BL$24=$AA248,($AG248*$AM248)+($AJ248*$AM248*1.25)+($AH248*$AN248)+($AK248*$AN248*1.25),"")</f>
        <v/>
      </c>
      <c r="BM248" s="327" t="str">
        <f aca="false">IF(CONCATENATE(BH248,BI248,BJ248,BK248,BL248)="",1,"")</f>
        <v/>
      </c>
      <c r="BN248" s="328"/>
      <c r="BO248" s="328"/>
      <c r="BP248" s="328"/>
      <c r="BQ248" s="328"/>
      <c r="BR248" s="47"/>
      <c r="BS248" s="127" t="n">
        <f aca="false">(AG248*AM248)+(AH248*AN248)+((AJ248*AM248)+(AK248*AN248)*1.25)</f>
        <v>0</v>
      </c>
      <c r="BT248" s="127" t="n">
        <f aca="false">(AG248*AP248)+(AH248*AQ248)+((AJ248*AP248)+(AK248*AQ248)*1.25)</f>
        <v>0</v>
      </c>
      <c r="BU248" s="329"/>
      <c r="BV248" s="129"/>
    </row>
    <row r="249" customFormat="false" ht="15" hidden="false" customHeight="false" outlineLevel="0" collapsed="false">
      <c r="A249" s="228"/>
      <c r="B249" s="229"/>
      <c r="C249" s="230"/>
      <c r="D249" s="231"/>
      <c r="E249" s="223" t="str">
        <f aca="false">IF(SUM(A249:D249)&gt;0,SUM(A249:D249),"")</f>
        <v/>
      </c>
      <c r="F249" s="224" t="str">
        <f aca="false">AD262</f>
        <v>HUAXYACAC</v>
      </c>
      <c r="G249" s="169"/>
      <c r="H249" s="169"/>
      <c r="I249" s="169"/>
      <c r="J249" s="169"/>
      <c r="K249" s="169"/>
      <c r="L249" s="169"/>
      <c r="M249" s="169"/>
      <c r="N249" s="169"/>
      <c r="O249" s="169"/>
      <c r="P249" s="169"/>
      <c r="Q249" s="169"/>
      <c r="R249" s="3"/>
      <c r="S249" s="3"/>
      <c r="T249" s="3"/>
      <c r="U249" s="3"/>
      <c r="V249" s="3"/>
      <c r="W249" s="3"/>
      <c r="X249" s="3"/>
      <c r="Y249" s="3"/>
      <c r="Z249" s="316" t="str">
        <f aca="false">IF(AF249&gt;0,RANK(AF249,AF$6:AF$422),"")</f>
        <v/>
      </c>
      <c r="AA249" s="134" t="n">
        <f aca="false">'O_MN, PE_UTA_UGM 2024'!N226</f>
        <v>2</v>
      </c>
      <c r="AB249" s="135" t="n">
        <f aca="false">'O_MN, PE_UTA_UGM 2024'!O226</f>
        <v>19</v>
      </c>
      <c r="AC249" s="317" t="n">
        <f aca="false">'O_MN, PE_UTA_UGM 2024'!C226</f>
        <v>216</v>
      </c>
      <c r="AD249" s="293" t="str">
        <f aca="false">IF(AB249=0,'O_MN, PE_UTA_UGM 2024'!F226,CONCATENATE('O_MN, PE_UTA_UGM 2024'!F226," ","INVERNADERO"))</f>
        <v>ARÁNDANO INVERNADERO</v>
      </c>
      <c r="AE249" s="89"/>
      <c r="AF249" s="123" t="n">
        <f aca="false">SUM(AG249:AH249)+SUM(AJ249:AK249)</f>
        <v>0</v>
      </c>
      <c r="AG249" s="318" t="n">
        <f aca="false">A236</f>
        <v>0</v>
      </c>
      <c r="AH249" s="319" t="n">
        <f aca="false">B236</f>
        <v>0</v>
      </c>
      <c r="AI249" s="6"/>
      <c r="AJ249" s="320" t="n">
        <f aca="false">C236</f>
        <v>0</v>
      </c>
      <c r="AK249" s="320" t="n">
        <f aca="false">D236</f>
        <v>0</v>
      </c>
      <c r="AL249" s="237" t="s">
        <v>375</v>
      </c>
      <c r="AM249" s="299" t="n">
        <f aca="false">'O_MN, PE_UTA_UGM 2024'!J226</f>
        <v>0</v>
      </c>
      <c r="AN249" s="299" t="n">
        <f aca="false">'O_MN, PE_UTA_UGM 2024'!K226</f>
        <v>80000</v>
      </c>
      <c r="AO249" s="300"/>
      <c r="AP249" s="299" t="n">
        <f aca="false">'O_MN, PE_UTA_UGM 2024'!H226</f>
        <v>0</v>
      </c>
      <c r="AQ249" s="299" t="n">
        <f aca="false">'O_MN, PE_UTA_UGM 2024'!I226</f>
        <v>36060.73</v>
      </c>
      <c r="AR249" s="301"/>
      <c r="AS249" s="302" t="n">
        <f aca="false">'O_MN, PE_UTA_UGM 2024'!L226</f>
        <v>0</v>
      </c>
      <c r="AT249" s="302" t="n">
        <f aca="false">'O_MN, PE_UTA_UGM 2024'!M226</f>
        <v>1.46978</v>
      </c>
      <c r="AU249" s="45"/>
      <c r="AV249" s="321" t="n">
        <f aca="false">AG249*AM249</f>
        <v>0</v>
      </c>
      <c r="AW249" s="319" t="n">
        <f aca="false">AH249*AN249</f>
        <v>0</v>
      </c>
      <c r="AX249" s="320" t="n">
        <f aca="false">1.25*AJ249*AM249</f>
        <v>0</v>
      </c>
      <c r="AY249" s="322" t="n">
        <f aca="false">1.25*AK249*AN249</f>
        <v>0</v>
      </c>
      <c r="AZ249" s="323" t="n">
        <f aca="false">AG249*AP249</f>
        <v>0</v>
      </c>
      <c r="BA249" s="319" t="n">
        <f aca="false">AH249*AQ249</f>
        <v>0</v>
      </c>
      <c r="BB249" s="320" t="n">
        <f aca="false">1.25*AJ249*AP249</f>
        <v>0</v>
      </c>
      <c r="BC249" s="320" t="n">
        <f aca="false">1.25*AK249*AQ249</f>
        <v>0</v>
      </c>
      <c r="BD249" s="321" t="n">
        <f aca="false">AG249*AS249</f>
        <v>0</v>
      </c>
      <c r="BE249" s="319" t="n">
        <f aca="false">AH249*AT249</f>
        <v>0</v>
      </c>
      <c r="BF249" s="320" t="n">
        <f aca="false">AJ249*AS249</f>
        <v>0</v>
      </c>
      <c r="BG249" s="322" t="n">
        <f aca="false">AK249*AT249</f>
        <v>0</v>
      </c>
      <c r="BH249" s="324" t="str">
        <f aca="false">IF(BH$24=$AA249,($AG249*$AM249)+($AJ249*$AM249*1.25)+($AH249*$AN249)+($AK249*$AN249*1.25),"")</f>
        <v/>
      </c>
      <c r="BI249" s="325" t="n">
        <f aca="false">IF(BI$24=$AA249,($AG249*$AM249)+($AJ249*$AM249*1.25)+($AH249*$AN249)+($AK249*$AN249*1.25),"")</f>
        <v>0</v>
      </c>
      <c r="BJ249" s="325" t="str">
        <f aca="false">IF(BJ$24=$AA249,($AG249*$AM249)+($AJ249*$AM249*1.25)+($AH249*$AN249)+($AK249*$AN249*1.25),"")</f>
        <v/>
      </c>
      <c r="BK249" s="325" t="str">
        <f aca="false">IF(BK$24=$AA249,($AG249*$AM249)+($AJ249*$AM249*1.25)+($AH249*$AN249)+($AK249*$AN249*1.25),"")</f>
        <v/>
      </c>
      <c r="BL249" s="326" t="str">
        <f aca="false">IF(BL$24=$AA249,($AG249*$AM249)+($AJ249*$AM249*1.25)+($AH249*$AN249)+($AK249*$AN249*1.25),"")</f>
        <v/>
      </c>
      <c r="BM249" s="327" t="str">
        <f aca="false">IF(CONCATENATE(BH249,BI249,BJ249,BK249,BL249)="",1,"")</f>
        <v/>
      </c>
      <c r="BN249" s="328"/>
      <c r="BO249" s="328"/>
      <c r="BP249" s="328"/>
      <c r="BQ249" s="328"/>
      <c r="BR249" s="47"/>
      <c r="BS249" s="127" t="n">
        <f aca="false">(AG249*AM249)+(AH249*AN249)+((AJ249*AM249)+(AK249*AN249)*1.25)</f>
        <v>0</v>
      </c>
      <c r="BT249" s="127" t="n">
        <f aca="false">(AG249*AP249)+(AH249*AQ249)+((AJ249*AP249)+(AK249*AQ249)*1.25)</f>
        <v>0</v>
      </c>
      <c r="BU249" s="329"/>
      <c r="BV249" s="129"/>
    </row>
    <row r="250" customFormat="false" ht="15" hidden="false" customHeight="false" outlineLevel="0" collapsed="false">
      <c r="A250" s="228"/>
      <c r="B250" s="229"/>
      <c r="C250" s="230"/>
      <c r="D250" s="231"/>
      <c r="E250" s="223" t="str">
        <f aca="false">IF(SUM(A250:D250)&gt;0,SUM(A250:D250),"")</f>
        <v/>
      </c>
      <c r="F250" s="224" t="str">
        <f aca="false">AD263</f>
        <v>ALTRAMUZ AMARILLO</v>
      </c>
      <c r="G250" s="169"/>
      <c r="H250" s="169"/>
      <c r="I250" s="169"/>
      <c r="J250" s="169"/>
      <c r="K250" s="169"/>
      <c r="L250" s="169"/>
      <c r="M250" s="169"/>
      <c r="N250" s="169"/>
      <c r="O250" s="169"/>
      <c r="P250" s="169"/>
      <c r="Q250" s="169"/>
      <c r="R250" s="3"/>
      <c r="S250" s="3"/>
      <c r="T250" s="3"/>
      <c r="U250" s="3"/>
      <c r="V250" s="3"/>
      <c r="W250" s="3"/>
      <c r="X250" s="3"/>
      <c r="Y250" s="3"/>
      <c r="Z250" s="316" t="str">
        <f aca="false">IF(AF250&gt;0,RANK(AF250,AF$6:AF$422),"")</f>
        <v/>
      </c>
      <c r="AA250" s="134" t="n">
        <f aca="false">'O_MN, PE_UTA_UGM 2024'!N227</f>
        <v>2</v>
      </c>
      <c r="AB250" s="135" t="n">
        <f aca="false">'O_MN, PE_UTA_UGM 2024'!O227</f>
        <v>0</v>
      </c>
      <c r="AC250" s="317" t="n">
        <f aca="false">'O_MN, PE_UTA_UGM 2024'!C227</f>
        <v>217</v>
      </c>
      <c r="AD250" s="293" t="str">
        <f aca="false">IF(AB250=0,'O_MN, PE_UTA_UGM 2024'!F227,CONCATENATE('O_MN, PE_UTA_UGM 2024'!F227," ","INVERNADERO"))</f>
        <v>GRANADO</v>
      </c>
      <c r="AE250" s="89"/>
      <c r="AF250" s="123" t="n">
        <f aca="false">SUM(AG250:AH250)+SUM(AJ250:AK250)</f>
        <v>0</v>
      </c>
      <c r="AG250" s="318" t="n">
        <f aca="false">A237</f>
        <v>0</v>
      </c>
      <c r="AH250" s="319" t="n">
        <f aca="false">B237</f>
        <v>0</v>
      </c>
      <c r="AI250" s="6"/>
      <c r="AJ250" s="320" t="n">
        <f aca="false">C237</f>
        <v>0</v>
      </c>
      <c r="AK250" s="320" t="n">
        <f aca="false">D237</f>
        <v>0</v>
      </c>
      <c r="AL250" s="237" t="s">
        <v>376</v>
      </c>
      <c r="AM250" s="299" t="n">
        <f aca="false">'O_MN, PE_UTA_UGM 2024'!J227</f>
        <v>1939.72</v>
      </c>
      <c r="AN250" s="299" t="n">
        <f aca="false">'O_MN, PE_UTA_UGM 2024'!K227</f>
        <v>6000</v>
      </c>
      <c r="AO250" s="300"/>
      <c r="AP250" s="299" t="n">
        <f aca="false">'O_MN, PE_UTA_UGM 2024'!H227</f>
        <v>450.76</v>
      </c>
      <c r="AQ250" s="299" t="n">
        <f aca="false">'O_MN, PE_UTA_UGM 2024'!I227</f>
        <v>721.21</v>
      </c>
      <c r="AR250" s="301"/>
      <c r="AS250" s="302" t="n">
        <f aca="false">'O_MN, PE_UTA_UGM 2024'!L227</f>
        <v>0.01837</v>
      </c>
      <c r="AT250" s="302" t="n">
        <f aca="false">'O_MN, PE_UTA_UGM 2024'!M227</f>
        <v>0.0294</v>
      </c>
      <c r="AU250" s="45"/>
      <c r="AV250" s="321" t="n">
        <f aca="false">AG250*AM250</f>
        <v>0</v>
      </c>
      <c r="AW250" s="319" t="n">
        <f aca="false">AH250*AN250</f>
        <v>0</v>
      </c>
      <c r="AX250" s="320" t="n">
        <f aca="false">1.25*AJ250*AM250</f>
        <v>0</v>
      </c>
      <c r="AY250" s="322" t="n">
        <f aca="false">1.25*AK250*AN250</f>
        <v>0</v>
      </c>
      <c r="AZ250" s="323" t="n">
        <f aca="false">AG250*AP250</f>
        <v>0</v>
      </c>
      <c r="BA250" s="319" t="n">
        <f aca="false">AH250*AQ250</f>
        <v>0</v>
      </c>
      <c r="BB250" s="320" t="n">
        <f aca="false">1.25*AJ250*AP250</f>
        <v>0</v>
      </c>
      <c r="BC250" s="320" t="n">
        <f aca="false">1.25*AK250*AQ250</f>
        <v>0</v>
      </c>
      <c r="BD250" s="321" t="n">
        <f aca="false">AG250*AS250</f>
        <v>0</v>
      </c>
      <c r="BE250" s="319" t="n">
        <f aca="false">AH250*AT250</f>
        <v>0</v>
      </c>
      <c r="BF250" s="320" t="n">
        <f aca="false">AJ250*AS250</f>
        <v>0</v>
      </c>
      <c r="BG250" s="322" t="n">
        <f aca="false">AK250*AT250</f>
        <v>0</v>
      </c>
      <c r="BH250" s="324" t="str">
        <f aca="false">IF(BH$24=$AA250,($AG250*$AM250)+($AJ250*$AM250*1.25)+($AH250*$AN250)+($AK250*$AN250*1.25),"")</f>
        <v/>
      </c>
      <c r="BI250" s="325" t="n">
        <f aca="false">IF(BI$24=$AA250,($AG250*$AM250)+($AJ250*$AM250*1.25)+($AH250*$AN250)+($AK250*$AN250*1.25),"")</f>
        <v>0</v>
      </c>
      <c r="BJ250" s="325" t="str">
        <f aca="false">IF(BJ$24=$AA250,($AG250*$AM250)+($AJ250*$AM250*1.25)+($AH250*$AN250)+($AK250*$AN250*1.25),"")</f>
        <v/>
      </c>
      <c r="BK250" s="325" t="str">
        <f aca="false">IF(BK$24=$AA250,($AG250*$AM250)+($AJ250*$AM250*1.25)+($AH250*$AN250)+($AK250*$AN250*1.25),"")</f>
        <v/>
      </c>
      <c r="BL250" s="326" t="str">
        <f aca="false">IF(BL$24=$AA250,($AG250*$AM250)+($AJ250*$AM250*1.25)+($AH250*$AN250)+($AK250*$AN250*1.25),"")</f>
        <v/>
      </c>
      <c r="BM250" s="327" t="str">
        <f aca="false">IF(CONCATENATE(BH250,BI250,BJ250,BK250,BL250)="",1,"")</f>
        <v/>
      </c>
      <c r="BN250" s="328"/>
      <c r="BO250" s="328"/>
      <c r="BP250" s="328"/>
      <c r="BQ250" s="328"/>
      <c r="BR250" s="47"/>
      <c r="BS250" s="127" t="n">
        <f aca="false">(AG250*AM250)+(AH250*AN250)+((AJ250*AM250)+(AK250*AN250)*1.25)</f>
        <v>0</v>
      </c>
      <c r="BT250" s="127" t="n">
        <f aca="false">(AG250*AP250)+(AH250*AQ250)+((AJ250*AP250)+(AK250*AQ250)*1.25)</f>
        <v>0</v>
      </c>
      <c r="BU250" s="329"/>
      <c r="BV250" s="129"/>
    </row>
    <row r="251" customFormat="false" ht="15" hidden="false" customHeight="false" outlineLevel="0" collapsed="false">
      <c r="A251" s="228"/>
      <c r="B251" s="229"/>
      <c r="C251" s="230"/>
      <c r="D251" s="231"/>
      <c r="E251" s="223" t="str">
        <f aca="false">IF(SUM(A251:D251)&gt;0,SUM(A251:D251),"")</f>
        <v/>
      </c>
      <c r="F251" s="224" t="str">
        <f aca="false">AD264</f>
        <v>ALMORTA</v>
      </c>
      <c r="G251" s="169"/>
      <c r="H251" s="169"/>
      <c r="I251" s="169"/>
      <c r="J251" s="169"/>
      <c r="K251" s="169"/>
      <c r="L251" s="169"/>
      <c r="M251" s="169"/>
      <c r="N251" s="169"/>
      <c r="O251" s="169"/>
      <c r="P251" s="169"/>
      <c r="Q251" s="169"/>
      <c r="R251" s="3"/>
      <c r="S251" s="3"/>
      <c r="T251" s="3"/>
      <c r="U251" s="3"/>
      <c r="V251" s="3"/>
      <c r="W251" s="3"/>
      <c r="X251" s="3"/>
      <c r="Y251" s="3"/>
      <c r="Z251" s="316" t="str">
        <f aca="false">IF(AF251&gt;0,RANK(AF251,AF$6:AF$422),"")</f>
        <v/>
      </c>
      <c r="AA251" s="134" t="n">
        <f aca="false">'O_MN, PE_UTA_UGM 2024'!N228</f>
        <v>2</v>
      </c>
      <c r="AB251" s="135" t="n">
        <f aca="false">'O_MN, PE_UTA_UGM 2024'!O228</f>
        <v>4</v>
      </c>
      <c r="AC251" s="317" t="n">
        <f aca="false">'O_MN, PE_UTA_UGM 2024'!C228</f>
        <v>217</v>
      </c>
      <c r="AD251" s="293" t="str">
        <f aca="false">IF(AB251=0,'O_MN, PE_UTA_UGM 2024'!F228,CONCATENATE('O_MN, PE_UTA_UGM 2024'!F228," ","INVERNADERO"))</f>
        <v>GRANADO INVERNADERO</v>
      </c>
      <c r="AE251" s="89"/>
      <c r="AF251" s="123" t="n">
        <f aca="false">SUM(AG251:AH251)+SUM(AJ251:AK251)</f>
        <v>0</v>
      </c>
      <c r="AG251" s="318" t="n">
        <f aca="false">A238</f>
        <v>0</v>
      </c>
      <c r="AH251" s="319" t="n">
        <f aca="false">B238</f>
        <v>0</v>
      </c>
      <c r="AI251" s="6"/>
      <c r="AJ251" s="320" t="n">
        <f aca="false">C238</f>
        <v>0</v>
      </c>
      <c r="AK251" s="320" t="n">
        <f aca="false">D238</f>
        <v>0</v>
      </c>
      <c r="AL251" s="237" t="s">
        <v>377</v>
      </c>
      <c r="AM251" s="299" t="n">
        <f aca="false">'O_MN, PE_UTA_UGM 2024'!J228</f>
        <v>0</v>
      </c>
      <c r="AN251" s="299" t="n">
        <f aca="false">'O_MN, PE_UTA_UGM 2024'!K228</f>
        <v>80000</v>
      </c>
      <c r="AO251" s="300"/>
      <c r="AP251" s="299" t="n">
        <f aca="false">'O_MN, PE_UTA_UGM 2024'!H228</f>
        <v>0</v>
      </c>
      <c r="AQ251" s="299" t="n">
        <f aca="false">'O_MN, PE_UTA_UGM 2024'!I228</f>
        <v>36060.73</v>
      </c>
      <c r="AR251" s="301"/>
      <c r="AS251" s="302" t="n">
        <f aca="false">'O_MN, PE_UTA_UGM 2024'!L228</f>
        <v>0</v>
      </c>
      <c r="AT251" s="302" t="n">
        <f aca="false">'O_MN, PE_UTA_UGM 2024'!M228</f>
        <v>1.46978</v>
      </c>
      <c r="AU251" s="45"/>
      <c r="AV251" s="321" t="n">
        <f aca="false">AG251*AM251</f>
        <v>0</v>
      </c>
      <c r="AW251" s="319" t="n">
        <f aca="false">AH251*AN251</f>
        <v>0</v>
      </c>
      <c r="AX251" s="320" t="n">
        <f aca="false">1.25*AJ251*AM251</f>
        <v>0</v>
      </c>
      <c r="AY251" s="322" t="n">
        <f aca="false">1.25*AK251*AN251</f>
        <v>0</v>
      </c>
      <c r="AZ251" s="323" t="n">
        <f aca="false">AG251*AP251</f>
        <v>0</v>
      </c>
      <c r="BA251" s="319" t="n">
        <f aca="false">AH251*AQ251</f>
        <v>0</v>
      </c>
      <c r="BB251" s="320" t="n">
        <f aca="false">1.25*AJ251*AP251</f>
        <v>0</v>
      </c>
      <c r="BC251" s="320" t="n">
        <f aca="false">1.25*AK251*AQ251</f>
        <v>0</v>
      </c>
      <c r="BD251" s="321" t="n">
        <f aca="false">AG251*AS251</f>
        <v>0</v>
      </c>
      <c r="BE251" s="319" t="n">
        <f aca="false">AH251*AT251</f>
        <v>0</v>
      </c>
      <c r="BF251" s="320" t="n">
        <f aca="false">AJ251*AS251</f>
        <v>0</v>
      </c>
      <c r="BG251" s="322" t="n">
        <f aca="false">AK251*AT251</f>
        <v>0</v>
      </c>
      <c r="BH251" s="324" t="str">
        <f aca="false">IF(BH$24=$AA251,($AG251*$AM251)+($AJ251*$AM251*1.25)+($AH251*$AN251)+($AK251*$AN251*1.25),"")</f>
        <v/>
      </c>
      <c r="BI251" s="325" t="n">
        <f aca="false">IF(BI$24=$AA251,($AG251*$AM251)+($AJ251*$AM251*1.25)+($AH251*$AN251)+($AK251*$AN251*1.25),"")</f>
        <v>0</v>
      </c>
      <c r="BJ251" s="325" t="str">
        <f aca="false">IF(BJ$24=$AA251,($AG251*$AM251)+($AJ251*$AM251*1.25)+($AH251*$AN251)+($AK251*$AN251*1.25),"")</f>
        <v/>
      </c>
      <c r="BK251" s="325" t="str">
        <f aca="false">IF(BK$24=$AA251,($AG251*$AM251)+($AJ251*$AM251*1.25)+($AH251*$AN251)+($AK251*$AN251*1.25),"")</f>
        <v/>
      </c>
      <c r="BL251" s="326" t="str">
        <f aca="false">IF(BL$24=$AA251,($AG251*$AM251)+($AJ251*$AM251*1.25)+($AH251*$AN251)+($AK251*$AN251*1.25),"")</f>
        <v/>
      </c>
      <c r="BM251" s="327" t="str">
        <f aca="false">IF(CONCATENATE(BH251,BI251,BJ251,BK251,BL251)="",1,"")</f>
        <v/>
      </c>
      <c r="BN251" s="328"/>
      <c r="BO251" s="328"/>
      <c r="BP251" s="328"/>
      <c r="BQ251" s="328"/>
      <c r="BR251" s="47"/>
      <c r="BS251" s="127" t="n">
        <f aca="false">(AG251*AM251)+(AH251*AN251)+((AJ251*AM251)+(AK251*AN251)*1.25)</f>
        <v>0</v>
      </c>
      <c r="BT251" s="127" t="n">
        <f aca="false">(AG251*AP251)+(AH251*AQ251)+((AJ251*AP251)+(AK251*AQ251)*1.25)</f>
        <v>0</v>
      </c>
      <c r="BU251" s="329"/>
      <c r="BV251" s="129"/>
    </row>
    <row r="252" customFormat="false" ht="15" hidden="false" customHeight="false" outlineLevel="0" collapsed="false">
      <c r="A252" s="228"/>
      <c r="B252" s="229"/>
      <c r="C252" s="230"/>
      <c r="D252" s="231"/>
      <c r="E252" s="223" t="str">
        <f aca="false">IF(SUM(A252:D252)&gt;0,SUM(A252:D252),"")</f>
        <v/>
      </c>
      <c r="F252" s="224" t="str">
        <f aca="false">AD265</f>
        <v>TITARROS</v>
      </c>
      <c r="G252" s="169"/>
      <c r="H252" s="169"/>
      <c r="I252" s="169"/>
      <c r="J252" s="169"/>
      <c r="K252" s="169"/>
      <c r="L252" s="169"/>
      <c r="M252" s="169"/>
      <c r="N252" s="169"/>
      <c r="O252" s="169"/>
      <c r="P252" s="169"/>
      <c r="Q252" s="169"/>
      <c r="R252" s="3"/>
      <c r="S252" s="3"/>
      <c r="T252" s="3"/>
      <c r="U252" s="3"/>
      <c r="V252" s="3"/>
      <c r="W252" s="3"/>
      <c r="X252" s="3"/>
      <c r="Y252" s="3"/>
      <c r="Z252" s="316" t="str">
        <f aca="false">IF(AF252&gt;0,RANK(AF252,AF$6:AF$422),"")</f>
        <v/>
      </c>
      <c r="AA252" s="134" t="n">
        <f aca="false">'O_MN, PE_UTA_UGM 2024'!N229</f>
        <v>2</v>
      </c>
      <c r="AB252" s="135" t="n">
        <f aca="false">'O_MN, PE_UTA_UGM 2024'!O229</f>
        <v>19</v>
      </c>
      <c r="AC252" s="317" t="n">
        <f aca="false">'O_MN, PE_UTA_UGM 2024'!C229</f>
        <v>217</v>
      </c>
      <c r="AD252" s="293" t="str">
        <f aca="false">IF(AB252=0,'O_MN, PE_UTA_UGM 2024'!F229,CONCATENATE('O_MN, PE_UTA_UGM 2024'!F229," ","INVERNADERO"))</f>
        <v>GRANADO INVERNADERO</v>
      </c>
      <c r="AE252" s="89"/>
      <c r="AF252" s="123" t="n">
        <f aca="false">SUM(AG252:AH252)+SUM(AJ252:AK252)</f>
        <v>0</v>
      </c>
      <c r="AG252" s="318" t="n">
        <f aca="false">A239</f>
        <v>0</v>
      </c>
      <c r="AH252" s="319" t="n">
        <f aca="false">B239</f>
        <v>0</v>
      </c>
      <c r="AI252" s="6"/>
      <c r="AJ252" s="320" t="n">
        <f aca="false">C239</f>
        <v>0</v>
      </c>
      <c r="AK252" s="320" t="n">
        <f aca="false">D239</f>
        <v>0</v>
      </c>
      <c r="AL252" s="237" t="s">
        <v>378</v>
      </c>
      <c r="AM252" s="299" t="n">
        <f aca="false">'O_MN, PE_UTA_UGM 2024'!J229</f>
        <v>0</v>
      </c>
      <c r="AN252" s="299" t="n">
        <f aca="false">'O_MN, PE_UTA_UGM 2024'!K229</f>
        <v>80000</v>
      </c>
      <c r="AO252" s="300"/>
      <c r="AP252" s="299" t="n">
        <f aca="false">'O_MN, PE_UTA_UGM 2024'!H229</f>
        <v>0</v>
      </c>
      <c r="AQ252" s="299" t="n">
        <f aca="false">'O_MN, PE_UTA_UGM 2024'!I229</f>
        <v>36060.73</v>
      </c>
      <c r="AR252" s="301"/>
      <c r="AS252" s="302" t="n">
        <f aca="false">'O_MN, PE_UTA_UGM 2024'!L229</f>
        <v>0</v>
      </c>
      <c r="AT252" s="302" t="n">
        <f aca="false">'O_MN, PE_UTA_UGM 2024'!M229</f>
        <v>1.46978</v>
      </c>
      <c r="AU252" s="45"/>
      <c r="AV252" s="321" t="n">
        <f aca="false">AG252*AM252</f>
        <v>0</v>
      </c>
      <c r="AW252" s="319" t="n">
        <f aca="false">AH252*AN252</f>
        <v>0</v>
      </c>
      <c r="AX252" s="320" t="n">
        <f aca="false">1.25*AJ252*AM252</f>
        <v>0</v>
      </c>
      <c r="AY252" s="322" t="n">
        <f aca="false">1.25*AK252*AN252</f>
        <v>0</v>
      </c>
      <c r="AZ252" s="323" t="n">
        <f aca="false">AG252*AP252</f>
        <v>0</v>
      </c>
      <c r="BA252" s="319" t="n">
        <f aca="false">AH252*AQ252</f>
        <v>0</v>
      </c>
      <c r="BB252" s="320" t="n">
        <f aca="false">1.25*AJ252*AP252</f>
        <v>0</v>
      </c>
      <c r="BC252" s="320" t="n">
        <f aca="false">1.25*AK252*AQ252</f>
        <v>0</v>
      </c>
      <c r="BD252" s="321" t="n">
        <f aca="false">AG252*AS252</f>
        <v>0</v>
      </c>
      <c r="BE252" s="319" t="n">
        <f aca="false">AH252*AT252</f>
        <v>0</v>
      </c>
      <c r="BF252" s="320" t="n">
        <f aca="false">AJ252*AS252</f>
        <v>0</v>
      </c>
      <c r="BG252" s="322" t="n">
        <f aca="false">AK252*AT252</f>
        <v>0</v>
      </c>
      <c r="BH252" s="324" t="str">
        <f aca="false">IF(BH$24=$AA252,($AG252*$AM252)+($AJ252*$AM252*1.25)+($AH252*$AN252)+($AK252*$AN252*1.25),"")</f>
        <v/>
      </c>
      <c r="BI252" s="325" t="n">
        <f aca="false">IF(BI$24=$AA252,($AG252*$AM252)+($AJ252*$AM252*1.25)+($AH252*$AN252)+($AK252*$AN252*1.25),"")</f>
        <v>0</v>
      </c>
      <c r="BJ252" s="325" t="str">
        <f aca="false">IF(BJ$24=$AA252,($AG252*$AM252)+($AJ252*$AM252*1.25)+($AH252*$AN252)+($AK252*$AN252*1.25),"")</f>
        <v/>
      </c>
      <c r="BK252" s="325" t="str">
        <f aca="false">IF(BK$24=$AA252,($AG252*$AM252)+($AJ252*$AM252*1.25)+($AH252*$AN252)+($AK252*$AN252*1.25),"")</f>
        <v/>
      </c>
      <c r="BL252" s="326" t="str">
        <f aca="false">IF(BL$24=$AA252,($AG252*$AM252)+($AJ252*$AM252*1.25)+($AH252*$AN252)+($AK252*$AN252*1.25),"")</f>
        <v/>
      </c>
      <c r="BM252" s="327" t="str">
        <f aca="false">IF(CONCATENATE(BH252,BI252,BJ252,BK252,BL252)="",1,"")</f>
        <v/>
      </c>
      <c r="BN252" s="328"/>
      <c r="BO252" s="328"/>
      <c r="BP252" s="328"/>
      <c r="BQ252" s="328"/>
      <c r="BR252" s="47"/>
      <c r="BS252" s="127" t="n">
        <f aca="false">(AG252*AM252)+(AH252*AN252)+((AJ252*AM252)+(AK252*AN252)*1.25)</f>
        <v>0</v>
      </c>
      <c r="BT252" s="127" t="n">
        <f aca="false">(AG252*AP252)+(AH252*AQ252)+((AJ252*AP252)+(AK252*AQ252)*1.25)</f>
        <v>0</v>
      </c>
      <c r="BU252" s="329"/>
      <c r="BV252" s="129"/>
    </row>
    <row r="253" customFormat="false" ht="15" hidden="false" customHeight="false" outlineLevel="0" collapsed="false">
      <c r="A253" s="228"/>
      <c r="B253" s="229"/>
      <c r="C253" s="230"/>
      <c r="D253" s="231"/>
      <c r="E253" s="223" t="str">
        <f aca="false">IF(SUM(A253:D253)&gt;0,SUM(A253:D253),"")</f>
        <v/>
      </c>
      <c r="F253" s="224" t="str">
        <f aca="false">AD266</f>
        <v>MEZCLA AVENA-VEZA</v>
      </c>
      <c r="G253" s="169"/>
      <c r="H253" s="169"/>
      <c r="I253" s="169"/>
      <c r="J253" s="169"/>
      <c r="K253" s="169"/>
      <c r="L253" s="169"/>
      <c r="M253" s="169"/>
      <c r="N253" s="169"/>
      <c r="O253" s="169"/>
      <c r="P253" s="169"/>
      <c r="Q253" s="169"/>
      <c r="R253" s="3"/>
      <c r="S253" s="3"/>
      <c r="T253" s="3"/>
      <c r="U253" s="3"/>
      <c r="V253" s="3"/>
      <c r="W253" s="3"/>
      <c r="X253" s="3"/>
      <c r="Y253" s="3"/>
      <c r="Z253" s="316" t="str">
        <f aca="false">IF(AF253&gt;0,RANK(AF253,AF$6:AF$422),"")</f>
        <v/>
      </c>
      <c r="AA253" s="134" t="n">
        <f aca="false">'O_MN, PE_UTA_UGM 2024'!N230</f>
        <v>2</v>
      </c>
      <c r="AB253" s="135" t="n">
        <f aca="false">'O_MN, PE_UTA_UGM 2024'!O230</f>
        <v>0</v>
      </c>
      <c r="AC253" s="317" t="n">
        <f aca="false">'O_MN, PE_UTA_UGM 2024'!C230</f>
        <v>218</v>
      </c>
      <c r="AD253" s="293" t="str">
        <f aca="false">IF(AB253=0,'O_MN, PE_UTA_UGM 2024'!F230,CONCATENATE('O_MN, PE_UTA_UGM 2024'!F230," ","INVERNADERO"))</f>
        <v>HIGUERA</v>
      </c>
      <c r="AE253" s="89"/>
      <c r="AF253" s="123" t="n">
        <f aca="false">SUM(AG253:AH253)+SUM(AJ253:AK253)</f>
        <v>0</v>
      </c>
      <c r="AG253" s="318" t="n">
        <f aca="false">A240</f>
        <v>0</v>
      </c>
      <c r="AH253" s="319" t="n">
        <f aca="false">B240</f>
        <v>0</v>
      </c>
      <c r="AI253" s="6"/>
      <c r="AJ253" s="320" t="n">
        <f aca="false">C240</f>
        <v>0</v>
      </c>
      <c r="AK253" s="320" t="n">
        <f aca="false">D240</f>
        <v>0</v>
      </c>
      <c r="AL253" s="237" t="s">
        <v>379</v>
      </c>
      <c r="AM253" s="299" t="n">
        <f aca="false">'O_MN, PE_UTA_UGM 2024'!J230</f>
        <v>800</v>
      </c>
      <c r="AN253" s="299" t="n">
        <f aca="false">'O_MN, PE_UTA_UGM 2024'!K230</f>
        <v>5000</v>
      </c>
      <c r="AO253" s="300"/>
      <c r="AP253" s="299" t="n">
        <f aca="false">'O_MN, PE_UTA_UGM 2024'!H230</f>
        <v>450.76</v>
      </c>
      <c r="AQ253" s="299" t="n">
        <f aca="false">'O_MN, PE_UTA_UGM 2024'!I230</f>
        <v>721.21</v>
      </c>
      <c r="AR253" s="301"/>
      <c r="AS253" s="302" t="n">
        <f aca="false">'O_MN, PE_UTA_UGM 2024'!L230</f>
        <v>0.01837</v>
      </c>
      <c r="AT253" s="302" t="n">
        <f aca="false">'O_MN, PE_UTA_UGM 2024'!M230</f>
        <v>0.0294</v>
      </c>
      <c r="AU253" s="45"/>
      <c r="AV253" s="321" t="n">
        <f aca="false">AG253*AM253</f>
        <v>0</v>
      </c>
      <c r="AW253" s="319" t="n">
        <f aca="false">AH253*AN253</f>
        <v>0</v>
      </c>
      <c r="AX253" s="320" t="n">
        <f aca="false">1.25*AJ253*AM253</f>
        <v>0</v>
      </c>
      <c r="AY253" s="322" t="n">
        <f aca="false">1.25*AK253*AN253</f>
        <v>0</v>
      </c>
      <c r="AZ253" s="323" t="n">
        <f aca="false">AG253*AP253</f>
        <v>0</v>
      </c>
      <c r="BA253" s="319" t="n">
        <f aca="false">AH253*AQ253</f>
        <v>0</v>
      </c>
      <c r="BB253" s="320" t="n">
        <f aca="false">1.25*AJ253*AP253</f>
        <v>0</v>
      </c>
      <c r="BC253" s="320" t="n">
        <f aca="false">1.25*AK253*AQ253</f>
        <v>0</v>
      </c>
      <c r="BD253" s="321" t="n">
        <f aca="false">AG253*AS253</f>
        <v>0</v>
      </c>
      <c r="BE253" s="319" t="n">
        <f aca="false">AH253*AT253</f>
        <v>0</v>
      </c>
      <c r="BF253" s="320" t="n">
        <f aca="false">AJ253*AS253</f>
        <v>0</v>
      </c>
      <c r="BG253" s="322" t="n">
        <f aca="false">AK253*AT253</f>
        <v>0</v>
      </c>
      <c r="BH253" s="324" t="str">
        <f aca="false">IF(BH$24=$AA253,($AG253*$AM253)+($AJ253*$AM253*1.25)+($AH253*$AN253)+($AK253*$AN253*1.25),"")</f>
        <v/>
      </c>
      <c r="BI253" s="325" t="n">
        <f aca="false">IF(BI$24=$AA253,($AG253*$AM253)+($AJ253*$AM253*1.25)+($AH253*$AN253)+($AK253*$AN253*1.25),"")</f>
        <v>0</v>
      </c>
      <c r="BJ253" s="325" t="str">
        <f aca="false">IF(BJ$24=$AA253,($AG253*$AM253)+($AJ253*$AM253*1.25)+($AH253*$AN253)+($AK253*$AN253*1.25),"")</f>
        <v/>
      </c>
      <c r="BK253" s="325" t="str">
        <f aca="false">IF(BK$24=$AA253,($AG253*$AM253)+($AJ253*$AM253*1.25)+($AH253*$AN253)+($AK253*$AN253*1.25),"")</f>
        <v/>
      </c>
      <c r="BL253" s="326" t="str">
        <f aca="false">IF(BL$24=$AA253,($AG253*$AM253)+($AJ253*$AM253*1.25)+($AH253*$AN253)+($AK253*$AN253*1.25),"")</f>
        <v/>
      </c>
      <c r="BM253" s="327" t="str">
        <f aca="false">IF(CONCATENATE(BH253,BI253,BJ253,BK253,BL253)="",1,"")</f>
        <v/>
      </c>
      <c r="BN253" s="328"/>
      <c r="BO253" s="328"/>
      <c r="BP253" s="328"/>
      <c r="BQ253" s="328"/>
      <c r="BR253" s="47"/>
      <c r="BS253" s="127" t="n">
        <f aca="false">(AG253*AM253)+(AH253*AN253)+((AJ253*AM253)+(AK253*AN253)*1.25)</f>
        <v>0</v>
      </c>
      <c r="BT253" s="127" t="n">
        <f aca="false">(AG253*AP253)+(AH253*AQ253)+((AJ253*AP253)+(AK253*AQ253)*1.25)</f>
        <v>0</v>
      </c>
      <c r="BU253" s="329"/>
      <c r="BV253" s="129"/>
    </row>
    <row r="254" customFormat="false" ht="15" hidden="false" customHeight="false" outlineLevel="0" collapsed="false">
      <c r="A254" s="228"/>
      <c r="B254" s="229"/>
      <c r="C254" s="230"/>
      <c r="D254" s="231"/>
      <c r="E254" s="223" t="str">
        <f aca="false">IF(SUM(A254:D254)&gt;0,SUM(A254:D254),"")</f>
        <v/>
      </c>
      <c r="F254" s="224" t="str">
        <f aca="false">AD267</f>
        <v>MEZCLA TRITICALE-VEZA</v>
      </c>
      <c r="G254" s="169"/>
      <c r="H254" s="169"/>
      <c r="I254" s="169"/>
      <c r="J254" s="169"/>
      <c r="K254" s="169"/>
      <c r="L254" s="169"/>
      <c r="M254" s="169"/>
      <c r="N254" s="169"/>
      <c r="O254" s="169"/>
      <c r="P254" s="169"/>
      <c r="Q254" s="169"/>
      <c r="R254" s="3"/>
      <c r="S254" s="3"/>
      <c r="T254" s="3"/>
      <c r="U254" s="3"/>
      <c r="V254" s="3"/>
      <c r="W254" s="3"/>
      <c r="X254" s="3"/>
      <c r="Y254" s="3"/>
      <c r="Z254" s="316" t="str">
        <f aca="false">IF(AF254&gt;0,RANK(AF254,AF$6:AF$422),"")</f>
        <v/>
      </c>
      <c r="AA254" s="134" t="n">
        <f aca="false">'O_MN, PE_UTA_UGM 2024'!N231</f>
        <v>2</v>
      </c>
      <c r="AB254" s="135" t="n">
        <f aca="false">'O_MN, PE_UTA_UGM 2024'!O231</f>
        <v>4</v>
      </c>
      <c r="AC254" s="317" t="n">
        <f aca="false">'O_MN, PE_UTA_UGM 2024'!C231</f>
        <v>218</v>
      </c>
      <c r="AD254" s="293" t="str">
        <f aca="false">IF(AB254=0,'O_MN, PE_UTA_UGM 2024'!F231,CONCATENATE('O_MN, PE_UTA_UGM 2024'!F231," ","INVERNADERO"))</f>
        <v>HIGUERA INVERNADERO</v>
      </c>
      <c r="AE254" s="89"/>
      <c r="AF254" s="123" t="n">
        <f aca="false">SUM(AG254:AH254)+SUM(AJ254:AK254)</f>
        <v>0</v>
      </c>
      <c r="AG254" s="318" t="n">
        <f aca="false">A241</f>
        <v>0</v>
      </c>
      <c r="AH254" s="319" t="n">
        <f aca="false">B241</f>
        <v>0</v>
      </c>
      <c r="AI254" s="6"/>
      <c r="AJ254" s="320" t="n">
        <f aca="false">C241</f>
        <v>0</v>
      </c>
      <c r="AK254" s="320" t="n">
        <f aca="false">D241</f>
        <v>0</v>
      </c>
      <c r="AL254" s="237" t="s">
        <v>380</v>
      </c>
      <c r="AM254" s="299" t="n">
        <f aca="false">'O_MN, PE_UTA_UGM 2024'!J231</f>
        <v>0</v>
      </c>
      <c r="AN254" s="299" t="n">
        <f aca="false">'O_MN, PE_UTA_UGM 2024'!K231</f>
        <v>80000</v>
      </c>
      <c r="AO254" s="300"/>
      <c r="AP254" s="299" t="n">
        <f aca="false">'O_MN, PE_UTA_UGM 2024'!H231</f>
        <v>0</v>
      </c>
      <c r="AQ254" s="299" t="n">
        <f aca="false">'O_MN, PE_UTA_UGM 2024'!I231</f>
        <v>36060.73</v>
      </c>
      <c r="AR254" s="301"/>
      <c r="AS254" s="302" t="n">
        <f aca="false">'O_MN, PE_UTA_UGM 2024'!L231</f>
        <v>0</v>
      </c>
      <c r="AT254" s="302" t="n">
        <f aca="false">'O_MN, PE_UTA_UGM 2024'!M231</f>
        <v>1.46978</v>
      </c>
      <c r="AU254" s="45"/>
      <c r="AV254" s="321" t="n">
        <f aca="false">AG254*AM254</f>
        <v>0</v>
      </c>
      <c r="AW254" s="319" t="n">
        <f aca="false">AH254*AN254</f>
        <v>0</v>
      </c>
      <c r="AX254" s="320" t="n">
        <f aca="false">1.25*AJ254*AM254</f>
        <v>0</v>
      </c>
      <c r="AY254" s="322" t="n">
        <f aca="false">1.25*AK254*AN254</f>
        <v>0</v>
      </c>
      <c r="AZ254" s="323" t="n">
        <f aca="false">AG254*AP254</f>
        <v>0</v>
      </c>
      <c r="BA254" s="319" t="n">
        <f aca="false">AH254*AQ254</f>
        <v>0</v>
      </c>
      <c r="BB254" s="320" t="n">
        <f aca="false">1.25*AJ254*AP254</f>
        <v>0</v>
      </c>
      <c r="BC254" s="320" t="n">
        <f aca="false">1.25*AK254*AQ254</f>
        <v>0</v>
      </c>
      <c r="BD254" s="321" t="n">
        <f aca="false">AG254*AS254</f>
        <v>0</v>
      </c>
      <c r="BE254" s="319" t="n">
        <f aca="false">AH254*AT254</f>
        <v>0</v>
      </c>
      <c r="BF254" s="320" t="n">
        <f aca="false">AJ254*AS254</f>
        <v>0</v>
      </c>
      <c r="BG254" s="322" t="n">
        <f aca="false">AK254*AT254</f>
        <v>0</v>
      </c>
      <c r="BH254" s="324" t="str">
        <f aca="false">IF(BH$24=$AA254,($AG254*$AM254)+($AJ254*$AM254*1.25)+($AH254*$AN254)+($AK254*$AN254*1.25),"")</f>
        <v/>
      </c>
      <c r="BI254" s="325" t="n">
        <f aca="false">IF(BI$24=$AA254,($AG254*$AM254)+($AJ254*$AM254*1.25)+($AH254*$AN254)+($AK254*$AN254*1.25),"")</f>
        <v>0</v>
      </c>
      <c r="BJ254" s="325" t="str">
        <f aca="false">IF(BJ$24=$AA254,($AG254*$AM254)+($AJ254*$AM254*1.25)+($AH254*$AN254)+($AK254*$AN254*1.25),"")</f>
        <v/>
      </c>
      <c r="BK254" s="325" t="str">
        <f aca="false">IF(BK$24=$AA254,($AG254*$AM254)+($AJ254*$AM254*1.25)+($AH254*$AN254)+($AK254*$AN254*1.25),"")</f>
        <v/>
      </c>
      <c r="BL254" s="326" t="str">
        <f aca="false">IF(BL$24=$AA254,($AG254*$AM254)+($AJ254*$AM254*1.25)+($AH254*$AN254)+($AK254*$AN254*1.25),"")</f>
        <v/>
      </c>
      <c r="BM254" s="327" t="str">
        <f aca="false">IF(CONCATENATE(BH254,BI254,BJ254,BK254,BL254)="",1,"")</f>
        <v/>
      </c>
      <c r="BN254" s="328"/>
      <c r="BO254" s="328"/>
      <c r="BP254" s="328"/>
      <c r="BQ254" s="328"/>
      <c r="BR254" s="47"/>
      <c r="BS254" s="127" t="n">
        <f aca="false">(AG254*AM254)+(AH254*AN254)+((AJ254*AM254)+(AK254*AN254)*1.25)</f>
        <v>0</v>
      </c>
      <c r="BT254" s="127" t="n">
        <f aca="false">(AG254*AP254)+(AH254*AQ254)+((AJ254*AP254)+(AK254*AQ254)*1.25)</f>
        <v>0</v>
      </c>
      <c r="BU254" s="329"/>
      <c r="BV254" s="129"/>
    </row>
    <row r="255" customFormat="false" ht="15" hidden="false" customHeight="false" outlineLevel="0" collapsed="false">
      <c r="A255" s="228"/>
      <c r="B255" s="229"/>
      <c r="C255" s="230"/>
      <c r="D255" s="231"/>
      <c r="E255" s="223" t="str">
        <f aca="false">IF(SUM(A255:D255)&gt;0,SUM(A255:D255),"")</f>
        <v/>
      </c>
      <c r="F255" s="224" t="str">
        <f aca="false">AD268</f>
        <v>MEZCLA TRIGO-VEZA</v>
      </c>
      <c r="G255" s="169"/>
      <c r="H255" s="169"/>
      <c r="I255" s="169"/>
      <c r="J255" s="169"/>
      <c r="K255" s="169"/>
      <c r="L255" s="169"/>
      <c r="M255" s="169"/>
      <c r="N255" s="169"/>
      <c r="O255" s="169"/>
      <c r="P255" s="169"/>
      <c r="Q255" s="169"/>
      <c r="R255" s="3"/>
      <c r="S255" s="3"/>
      <c r="T255" s="3"/>
      <c r="U255" s="3"/>
      <c r="V255" s="3"/>
      <c r="W255" s="3"/>
      <c r="X255" s="3"/>
      <c r="Y255" s="3"/>
      <c r="Z255" s="316" t="str">
        <f aca="false">IF(AF255&gt;0,RANK(AF255,AF$6:AF$422),"")</f>
        <v/>
      </c>
      <c r="AA255" s="134" t="n">
        <f aca="false">'O_MN, PE_UTA_UGM 2024'!N232</f>
        <v>2</v>
      </c>
      <c r="AB255" s="135" t="n">
        <f aca="false">'O_MN, PE_UTA_UGM 2024'!O232</f>
        <v>19</v>
      </c>
      <c r="AC255" s="317" t="n">
        <f aca="false">'O_MN, PE_UTA_UGM 2024'!C232</f>
        <v>218</v>
      </c>
      <c r="AD255" s="293" t="str">
        <f aca="false">IF(AB255=0,'O_MN, PE_UTA_UGM 2024'!F232,CONCATENATE('O_MN, PE_UTA_UGM 2024'!F232," ","INVERNADERO"))</f>
        <v>HIGUERA INVERNADERO</v>
      </c>
      <c r="AE255" s="89"/>
      <c r="AF255" s="123" t="n">
        <f aca="false">SUM(AG255:AH255)+SUM(AJ255:AK255)</f>
        <v>0</v>
      </c>
      <c r="AG255" s="318" t="n">
        <f aca="false">A242</f>
        <v>0</v>
      </c>
      <c r="AH255" s="319" t="n">
        <f aca="false">B242</f>
        <v>0</v>
      </c>
      <c r="AI255" s="6"/>
      <c r="AJ255" s="320" t="n">
        <f aca="false">C242</f>
        <v>0</v>
      </c>
      <c r="AK255" s="320" t="n">
        <f aca="false">D242</f>
        <v>0</v>
      </c>
      <c r="AL255" s="237" t="s">
        <v>381</v>
      </c>
      <c r="AM255" s="299" t="n">
        <f aca="false">'O_MN, PE_UTA_UGM 2024'!J232</f>
        <v>0</v>
      </c>
      <c r="AN255" s="299" t="n">
        <f aca="false">'O_MN, PE_UTA_UGM 2024'!K232</f>
        <v>80000</v>
      </c>
      <c r="AO255" s="300"/>
      <c r="AP255" s="299" t="n">
        <f aca="false">'O_MN, PE_UTA_UGM 2024'!H232</f>
        <v>0</v>
      </c>
      <c r="AQ255" s="299" t="n">
        <f aca="false">'O_MN, PE_UTA_UGM 2024'!I232</f>
        <v>36060.73</v>
      </c>
      <c r="AR255" s="301"/>
      <c r="AS255" s="302" t="n">
        <f aca="false">'O_MN, PE_UTA_UGM 2024'!L232</f>
        <v>0</v>
      </c>
      <c r="AT255" s="302" t="n">
        <f aca="false">'O_MN, PE_UTA_UGM 2024'!M232</f>
        <v>1.46978</v>
      </c>
      <c r="AU255" s="45"/>
      <c r="AV255" s="321" t="n">
        <f aca="false">AG255*AM255</f>
        <v>0</v>
      </c>
      <c r="AW255" s="319" t="n">
        <f aca="false">AH255*AN255</f>
        <v>0</v>
      </c>
      <c r="AX255" s="320" t="n">
        <f aca="false">1.25*AJ255*AM255</f>
        <v>0</v>
      </c>
      <c r="AY255" s="322" t="n">
        <f aca="false">1.25*AK255*AN255</f>
        <v>0</v>
      </c>
      <c r="AZ255" s="323" t="n">
        <f aca="false">AG255*AP255</f>
        <v>0</v>
      </c>
      <c r="BA255" s="319" t="n">
        <f aca="false">AH255*AQ255</f>
        <v>0</v>
      </c>
      <c r="BB255" s="320" t="n">
        <f aca="false">1.25*AJ255*AP255</f>
        <v>0</v>
      </c>
      <c r="BC255" s="320" t="n">
        <f aca="false">1.25*AK255*AQ255</f>
        <v>0</v>
      </c>
      <c r="BD255" s="321" t="n">
        <f aca="false">AG255*AS255</f>
        <v>0</v>
      </c>
      <c r="BE255" s="319" t="n">
        <f aca="false">AH255*AT255</f>
        <v>0</v>
      </c>
      <c r="BF255" s="320" t="n">
        <f aca="false">AJ255*AS255</f>
        <v>0</v>
      </c>
      <c r="BG255" s="322" t="n">
        <f aca="false">AK255*AT255</f>
        <v>0</v>
      </c>
      <c r="BH255" s="324" t="str">
        <f aca="false">IF(BH$24=$AA255,($AG255*$AM255)+($AJ255*$AM255*1.25)+($AH255*$AN255)+($AK255*$AN255*1.25),"")</f>
        <v/>
      </c>
      <c r="BI255" s="325" t="n">
        <f aca="false">IF(BI$24=$AA255,($AG255*$AM255)+($AJ255*$AM255*1.25)+($AH255*$AN255)+($AK255*$AN255*1.25),"")</f>
        <v>0</v>
      </c>
      <c r="BJ255" s="325" t="str">
        <f aca="false">IF(BJ$24=$AA255,($AG255*$AM255)+($AJ255*$AM255*1.25)+($AH255*$AN255)+($AK255*$AN255*1.25),"")</f>
        <v/>
      </c>
      <c r="BK255" s="325" t="str">
        <f aca="false">IF(BK$24=$AA255,($AG255*$AM255)+($AJ255*$AM255*1.25)+($AH255*$AN255)+($AK255*$AN255*1.25),"")</f>
        <v/>
      </c>
      <c r="BL255" s="326" t="str">
        <f aca="false">IF(BL$24=$AA255,($AG255*$AM255)+($AJ255*$AM255*1.25)+($AH255*$AN255)+($AK255*$AN255*1.25),"")</f>
        <v/>
      </c>
      <c r="BM255" s="327" t="str">
        <f aca="false">IF(CONCATENATE(BH255,BI255,BJ255,BK255,BL255)="",1,"")</f>
        <v/>
      </c>
      <c r="BN255" s="328"/>
      <c r="BO255" s="328"/>
      <c r="BP255" s="328"/>
      <c r="BQ255" s="328"/>
      <c r="BR255" s="47"/>
      <c r="BS255" s="127" t="n">
        <f aca="false">(AG255*AM255)+(AH255*AN255)+((AJ255*AM255)+(AK255*AN255)*1.25)</f>
        <v>0</v>
      </c>
      <c r="BT255" s="127" t="n">
        <f aca="false">(AG255*AP255)+(AH255*AQ255)+((AJ255*AP255)+(AK255*AQ255)*1.25)</f>
        <v>0</v>
      </c>
      <c r="BU255" s="329"/>
      <c r="BV255" s="129"/>
    </row>
    <row r="256" customFormat="false" ht="15" hidden="false" customHeight="false" outlineLevel="0" collapsed="false">
      <c r="A256" s="228"/>
      <c r="B256" s="229"/>
      <c r="C256" s="230"/>
      <c r="D256" s="231"/>
      <c r="E256" s="223" t="str">
        <f aca="false">IF(SUM(A256:D256)&gt;0,SUM(A256:D256),"")</f>
        <v/>
      </c>
      <c r="F256" s="224" t="str">
        <f aca="false">AD269</f>
        <v>MEZCLA CEBADA-VEZA</v>
      </c>
      <c r="G256" s="169"/>
      <c r="H256" s="169"/>
      <c r="I256" s="169"/>
      <c r="J256" s="169"/>
      <c r="K256" s="169"/>
      <c r="L256" s="169"/>
      <c r="M256" s="169"/>
      <c r="N256" s="169"/>
      <c r="O256" s="169"/>
      <c r="P256" s="169"/>
      <c r="Q256" s="169"/>
      <c r="R256" s="3"/>
      <c r="S256" s="3"/>
      <c r="T256" s="3"/>
      <c r="U256" s="3"/>
      <c r="V256" s="3"/>
      <c r="W256" s="3"/>
      <c r="X256" s="3"/>
      <c r="Y256" s="3"/>
      <c r="Z256" s="316" t="str">
        <f aca="false">IF(AF256&gt;0,RANK(AF256,AF$6:AF$422),"")</f>
        <v/>
      </c>
      <c r="AA256" s="134" t="n">
        <f aca="false">'O_MN, PE_UTA_UGM 2024'!N233</f>
        <v>2</v>
      </c>
      <c r="AB256" s="135" t="n">
        <f aca="false">'O_MN, PE_UTA_UGM 2024'!O233</f>
        <v>0</v>
      </c>
      <c r="AC256" s="317" t="n">
        <f aca="false">'O_MN, PE_UTA_UGM 2024'!C233</f>
        <v>219</v>
      </c>
      <c r="AD256" s="293" t="str">
        <f aca="false">IF(AB256=0,'O_MN, PE_UTA_UGM 2024'!F233,CONCATENATE('O_MN, PE_UTA_UGM 2024'!F233," ","INVERNADERO"))</f>
        <v>FRESA</v>
      </c>
      <c r="AE256" s="89"/>
      <c r="AF256" s="123" t="n">
        <f aca="false">SUM(AG256:AH256)+SUM(AJ256:AK256)</f>
        <v>0</v>
      </c>
      <c r="AG256" s="318" t="n">
        <f aca="false">A243</f>
        <v>0</v>
      </c>
      <c r="AH256" s="319" t="n">
        <f aca="false">B243</f>
        <v>0</v>
      </c>
      <c r="AI256" s="6"/>
      <c r="AJ256" s="320" t="n">
        <f aca="false">C243</f>
        <v>0</v>
      </c>
      <c r="AK256" s="320" t="n">
        <f aca="false">D243</f>
        <v>0</v>
      </c>
      <c r="AL256" s="237" t="s">
        <v>382</v>
      </c>
      <c r="AM256" s="299" t="n">
        <f aca="false">'O_MN, PE_UTA_UGM 2024'!J233</f>
        <v>575</v>
      </c>
      <c r="AN256" s="299" t="n">
        <f aca="false">'O_MN, PE_UTA_UGM 2024'!K233</f>
        <v>5200</v>
      </c>
      <c r="AO256" s="300"/>
      <c r="AP256" s="299" t="n">
        <f aca="false">'O_MN, PE_UTA_UGM 2024'!H233</f>
        <v>360.61</v>
      </c>
      <c r="AQ256" s="299" t="n">
        <f aca="false">'O_MN, PE_UTA_UGM 2024'!I233</f>
        <v>1352.28</v>
      </c>
      <c r="AR256" s="301"/>
      <c r="AS256" s="302" t="n">
        <f aca="false">'O_MN, PE_UTA_UGM 2024'!L233</f>
        <v>0.0147</v>
      </c>
      <c r="AT256" s="302" t="n">
        <f aca="false">'O_MN, PE_UTA_UGM 2024'!M233</f>
        <v>0.05512</v>
      </c>
      <c r="AU256" s="45"/>
      <c r="AV256" s="321" t="n">
        <f aca="false">AG256*AM256</f>
        <v>0</v>
      </c>
      <c r="AW256" s="319" t="n">
        <f aca="false">AH256*AN256</f>
        <v>0</v>
      </c>
      <c r="AX256" s="320" t="n">
        <f aca="false">1.25*AJ256*AM256</f>
        <v>0</v>
      </c>
      <c r="AY256" s="322" t="n">
        <f aca="false">1.25*AK256*AN256</f>
        <v>0</v>
      </c>
      <c r="AZ256" s="323" t="n">
        <f aca="false">AG256*AP256</f>
        <v>0</v>
      </c>
      <c r="BA256" s="319" t="n">
        <f aca="false">AH256*AQ256</f>
        <v>0</v>
      </c>
      <c r="BB256" s="320" t="n">
        <f aca="false">1.25*AJ256*AP256</f>
        <v>0</v>
      </c>
      <c r="BC256" s="320" t="n">
        <f aca="false">1.25*AK256*AQ256</f>
        <v>0</v>
      </c>
      <c r="BD256" s="321" t="n">
        <f aca="false">AG256*AS256</f>
        <v>0</v>
      </c>
      <c r="BE256" s="319" t="n">
        <f aca="false">AH256*AT256</f>
        <v>0</v>
      </c>
      <c r="BF256" s="320" t="n">
        <f aca="false">AJ256*AS256</f>
        <v>0</v>
      </c>
      <c r="BG256" s="322" t="n">
        <f aca="false">AK256*AT256</f>
        <v>0</v>
      </c>
      <c r="BH256" s="324" t="str">
        <f aca="false">IF(BH$24=$AA256,($AG256*$AM256)+($AJ256*$AM256*1.25)+($AH256*$AN256)+($AK256*$AN256*1.25),"")</f>
        <v/>
      </c>
      <c r="BI256" s="325" t="n">
        <f aca="false">IF(BI$24=$AA256,($AG256*$AM256)+($AJ256*$AM256*1.25)+($AH256*$AN256)+($AK256*$AN256*1.25),"")</f>
        <v>0</v>
      </c>
      <c r="BJ256" s="325" t="str">
        <f aca="false">IF(BJ$24=$AA256,($AG256*$AM256)+($AJ256*$AM256*1.25)+($AH256*$AN256)+($AK256*$AN256*1.25),"")</f>
        <v/>
      </c>
      <c r="BK256" s="325" t="str">
        <f aca="false">IF(BK$24=$AA256,($AG256*$AM256)+($AJ256*$AM256*1.25)+($AH256*$AN256)+($AK256*$AN256*1.25),"")</f>
        <v/>
      </c>
      <c r="BL256" s="326" t="str">
        <f aca="false">IF(BL$24=$AA256,($AG256*$AM256)+($AJ256*$AM256*1.25)+($AH256*$AN256)+($AK256*$AN256*1.25),"")</f>
        <v/>
      </c>
      <c r="BM256" s="327" t="str">
        <f aca="false">IF(CONCATENATE(BH256,BI256,BJ256,BK256,BL256)="",1,"")</f>
        <v/>
      </c>
      <c r="BN256" s="328"/>
      <c r="BO256" s="328"/>
      <c r="BP256" s="328"/>
      <c r="BQ256" s="328"/>
      <c r="BR256" s="47"/>
      <c r="BS256" s="127" t="n">
        <f aca="false">(AG256*AM256)+(AH256*AN256)+((AJ256*AM256)+(AK256*AN256)*1.25)</f>
        <v>0</v>
      </c>
      <c r="BT256" s="127" t="n">
        <f aca="false">(AG256*AP256)+(AH256*AQ256)+((AJ256*AP256)+(AK256*AQ256)*1.25)</f>
        <v>0</v>
      </c>
      <c r="BU256" s="329"/>
      <c r="BV256" s="129"/>
    </row>
    <row r="257" customFormat="false" ht="15" hidden="false" customHeight="false" outlineLevel="0" collapsed="false">
      <c r="A257" s="228"/>
      <c r="B257" s="229"/>
      <c r="C257" s="230"/>
      <c r="D257" s="231"/>
      <c r="E257" s="223" t="str">
        <f aca="false">IF(SUM(A257:D257)&gt;0,SUM(A257:D257),"")</f>
        <v/>
      </c>
      <c r="F257" s="224" t="str">
        <f aca="false">AD270</f>
        <v>MEZCLA AVENA-ZULLA</v>
      </c>
      <c r="G257" s="169"/>
      <c r="H257" s="169"/>
      <c r="I257" s="169"/>
      <c r="J257" s="169"/>
      <c r="K257" s="169"/>
      <c r="L257" s="169"/>
      <c r="M257" s="169"/>
      <c r="N257" s="169"/>
      <c r="O257" s="169"/>
      <c r="P257" s="169"/>
      <c r="Q257" s="169"/>
      <c r="R257" s="3"/>
      <c r="S257" s="3"/>
      <c r="T257" s="3"/>
      <c r="U257" s="3"/>
      <c r="V257" s="3"/>
      <c r="W257" s="3"/>
      <c r="X257" s="3"/>
      <c r="Y257" s="3"/>
      <c r="Z257" s="316" t="str">
        <f aca="false">IF(AF257&gt;0,RANK(AF257,AF$6:AF$422),"")</f>
        <v/>
      </c>
      <c r="AA257" s="134" t="n">
        <f aca="false">'O_MN, PE_UTA_UGM 2024'!N234</f>
        <v>2</v>
      </c>
      <c r="AB257" s="135" t="n">
        <f aca="false">'O_MN, PE_UTA_UGM 2024'!O234</f>
        <v>4</v>
      </c>
      <c r="AC257" s="317" t="n">
        <f aca="false">'O_MN, PE_UTA_UGM 2024'!C234</f>
        <v>219</v>
      </c>
      <c r="AD257" s="293" t="str">
        <f aca="false">IF(AB257=0,'O_MN, PE_UTA_UGM 2024'!F234,CONCATENATE('O_MN, PE_UTA_UGM 2024'!F234," ","INVERNADERO"))</f>
        <v>FRESA INVERNADERO</v>
      </c>
      <c r="AE257" s="89"/>
      <c r="AF257" s="123" t="n">
        <f aca="false">SUM(AG257:AH257)+SUM(AJ257:AK257)</f>
        <v>0</v>
      </c>
      <c r="AG257" s="318" t="n">
        <f aca="false">A244</f>
        <v>0</v>
      </c>
      <c r="AH257" s="319" t="n">
        <f aca="false">B244</f>
        <v>0</v>
      </c>
      <c r="AI257" s="6"/>
      <c r="AJ257" s="320" t="n">
        <f aca="false">C244</f>
        <v>0</v>
      </c>
      <c r="AK257" s="320" t="n">
        <f aca="false">D244</f>
        <v>0</v>
      </c>
      <c r="AL257" s="237" t="s">
        <v>383</v>
      </c>
      <c r="AM257" s="299" t="n">
        <f aca="false">'O_MN, PE_UTA_UGM 2024'!J234</f>
        <v>0</v>
      </c>
      <c r="AN257" s="299" t="n">
        <f aca="false">'O_MN, PE_UTA_UGM 2024'!K234</f>
        <v>80000</v>
      </c>
      <c r="AO257" s="300"/>
      <c r="AP257" s="299" t="n">
        <f aca="false">'O_MN, PE_UTA_UGM 2024'!H234</f>
        <v>0</v>
      </c>
      <c r="AQ257" s="299" t="n">
        <f aca="false">'O_MN, PE_UTA_UGM 2024'!I234</f>
        <v>36060.73</v>
      </c>
      <c r="AR257" s="301"/>
      <c r="AS257" s="302" t="n">
        <f aca="false">'O_MN, PE_UTA_UGM 2024'!L234</f>
        <v>0</v>
      </c>
      <c r="AT257" s="302" t="n">
        <f aca="false">'O_MN, PE_UTA_UGM 2024'!M234</f>
        <v>1.46978</v>
      </c>
      <c r="AU257" s="45"/>
      <c r="AV257" s="321" t="n">
        <f aca="false">AG257*AM257</f>
        <v>0</v>
      </c>
      <c r="AW257" s="319" t="n">
        <f aca="false">AH257*AN257</f>
        <v>0</v>
      </c>
      <c r="AX257" s="320" t="n">
        <f aca="false">1.25*AJ257*AM257</f>
        <v>0</v>
      </c>
      <c r="AY257" s="322" t="n">
        <f aca="false">1.25*AK257*AN257</f>
        <v>0</v>
      </c>
      <c r="AZ257" s="323" t="n">
        <f aca="false">AG257*AP257</f>
        <v>0</v>
      </c>
      <c r="BA257" s="319" t="n">
        <f aca="false">AH257*AQ257</f>
        <v>0</v>
      </c>
      <c r="BB257" s="320" t="n">
        <f aca="false">1.25*AJ257*AP257</f>
        <v>0</v>
      </c>
      <c r="BC257" s="320" t="n">
        <f aca="false">1.25*AK257*AQ257</f>
        <v>0</v>
      </c>
      <c r="BD257" s="321" t="n">
        <f aca="false">AG257*AS257</f>
        <v>0</v>
      </c>
      <c r="BE257" s="319" t="n">
        <f aca="false">AH257*AT257</f>
        <v>0</v>
      </c>
      <c r="BF257" s="320" t="n">
        <f aca="false">AJ257*AS257</f>
        <v>0</v>
      </c>
      <c r="BG257" s="322" t="n">
        <f aca="false">AK257*AT257</f>
        <v>0</v>
      </c>
      <c r="BH257" s="324" t="str">
        <f aca="false">IF(BH$24=$AA257,($AG257*$AM257)+($AJ257*$AM257*1.25)+($AH257*$AN257)+($AK257*$AN257*1.25),"")</f>
        <v/>
      </c>
      <c r="BI257" s="325" t="n">
        <f aca="false">IF(BI$24=$AA257,($AG257*$AM257)+($AJ257*$AM257*1.25)+($AH257*$AN257)+($AK257*$AN257*1.25),"")</f>
        <v>0</v>
      </c>
      <c r="BJ257" s="325" t="str">
        <f aca="false">IF(BJ$24=$AA257,($AG257*$AM257)+($AJ257*$AM257*1.25)+($AH257*$AN257)+($AK257*$AN257*1.25),"")</f>
        <v/>
      </c>
      <c r="BK257" s="325" t="str">
        <f aca="false">IF(BK$24=$AA257,($AG257*$AM257)+($AJ257*$AM257*1.25)+($AH257*$AN257)+($AK257*$AN257*1.25),"")</f>
        <v/>
      </c>
      <c r="BL257" s="326" t="str">
        <f aca="false">IF(BL$24=$AA257,($AG257*$AM257)+($AJ257*$AM257*1.25)+($AH257*$AN257)+($AK257*$AN257*1.25),"")</f>
        <v/>
      </c>
      <c r="BM257" s="327" t="str">
        <f aca="false">IF(CONCATENATE(BH257,BI257,BJ257,BK257,BL257)="",1,"")</f>
        <v/>
      </c>
      <c r="BN257" s="328"/>
      <c r="BO257" s="328"/>
      <c r="BP257" s="328"/>
      <c r="BQ257" s="328"/>
      <c r="BR257" s="47"/>
      <c r="BS257" s="127" t="n">
        <f aca="false">(AG257*AM257)+(AH257*AN257)+((AJ257*AM257)+(AK257*AN257)*1.25)</f>
        <v>0</v>
      </c>
      <c r="BT257" s="127" t="n">
        <f aca="false">(AG257*AP257)+(AH257*AQ257)+((AJ257*AP257)+(AK257*AQ257)*1.25)</f>
        <v>0</v>
      </c>
      <c r="BU257" s="329"/>
      <c r="BV257" s="129"/>
    </row>
    <row r="258" customFormat="false" ht="15" hidden="false" customHeight="false" outlineLevel="0" collapsed="false">
      <c r="A258" s="228"/>
      <c r="B258" s="229"/>
      <c r="C258" s="230"/>
      <c r="D258" s="231"/>
      <c r="E258" s="223" t="str">
        <f aca="false">IF(SUM(A258:D258)&gt;0,SUM(A258:D258),"")</f>
        <v/>
      </c>
      <c r="F258" s="224" t="str">
        <f aca="false">AD271</f>
        <v>MEZCLA CEBADA-ZULLA</v>
      </c>
      <c r="G258" s="169"/>
      <c r="H258" s="169"/>
      <c r="I258" s="169"/>
      <c r="J258" s="169"/>
      <c r="K258" s="169"/>
      <c r="L258" s="169"/>
      <c r="M258" s="169"/>
      <c r="N258" s="169"/>
      <c r="O258" s="169"/>
      <c r="P258" s="169"/>
      <c r="Q258" s="169"/>
      <c r="R258" s="3"/>
      <c r="S258" s="3"/>
      <c r="T258" s="3"/>
      <c r="U258" s="3"/>
      <c r="V258" s="3"/>
      <c r="W258" s="3"/>
      <c r="X258" s="3"/>
      <c r="Y258" s="3"/>
      <c r="Z258" s="316" t="str">
        <f aca="false">IF(AF258&gt;0,RANK(AF258,AF$6:AF$422),"")</f>
        <v/>
      </c>
      <c r="AA258" s="134" t="n">
        <f aca="false">'O_MN, PE_UTA_UGM 2024'!N235</f>
        <v>2</v>
      </c>
      <c r="AB258" s="135" t="n">
        <f aca="false">'O_MN, PE_UTA_UGM 2024'!O235</f>
        <v>19</v>
      </c>
      <c r="AC258" s="317" t="n">
        <f aca="false">'O_MN, PE_UTA_UGM 2024'!C235</f>
        <v>219</v>
      </c>
      <c r="AD258" s="293" t="str">
        <f aca="false">IF(AB258=0,'O_MN, PE_UTA_UGM 2024'!F235,CONCATENATE('O_MN, PE_UTA_UGM 2024'!F235," ","INVERNADERO"))</f>
        <v>FRESA INVERNADERO</v>
      </c>
      <c r="AE258" s="89"/>
      <c r="AF258" s="123" t="n">
        <f aca="false">SUM(AG258:AH258)+SUM(AJ258:AK258)</f>
        <v>0</v>
      </c>
      <c r="AG258" s="318" t="n">
        <f aca="false">A245</f>
        <v>0</v>
      </c>
      <c r="AH258" s="319" t="n">
        <f aca="false">B245</f>
        <v>0</v>
      </c>
      <c r="AI258" s="6"/>
      <c r="AJ258" s="320" t="n">
        <f aca="false">C245</f>
        <v>0</v>
      </c>
      <c r="AK258" s="320" t="n">
        <f aca="false">D245</f>
        <v>0</v>
      </c>
      <c r="AL258" s="237" t="s">
        <v>384</v>
      </c>
      <c r="AM258" s="299" t="n">
        <f aca="false">'O_MN, PE_UTA_UGM 2024'!J235</f>
        <v>0</v>
      </c>
      <c r="AN258" s="299" t="n">
        <f aca="false">'O_MN, PE_UTA_UGM 2024'!K235</f>
        <v>80000</v>
      </c>
      <c r="AO258" s="300"/>
      <c r="AP258" s="299" t="n">
        <f aca="false">'O_MN, PE_UTA_UGM 2024'!H235</f>
        <v>0</v>
      </c>
      <c r="AQ258" s="299" t="n">
        <f aca="false">'O_MN, PE_UTA_UGM 2024'!I235</f>
        <v>36060.73</v>
      </c>
      <c r="AR258" s="301"/>
      <c r="AS258" s="302" t="n">
        <f aca="false">'O_MN, PE_UTA_UGM 2024'!L235</f>
        <v>0</v>
      </c>
      <c r="AT258" s="302" t="n">
        <f aca="false">'O_MN, PE_UTA_UGM 2024'!M235</f>
        <v>1.46978</v>
      </c>
      <c r="AU258" s="45"/>
      <c r="AV258" s="321" t="n">
        <f aca="false">AG258*AM258</f>
        <v>0</v>
      </c>
      <c r="AW258" s="319" t="n">
        <f aca="false">AH258*AN258</f>
        <v>0</v>
      </c>
      <c r="AX258" s="320" t="n">
        <f aca="false">1.25*AJ258*AM258</f>
        <v>0</v>
      </c>
      <c r="AY258" s="322" t="n">
        <f aca="false">1.25*AK258*AN258</f>
        <v>0</v>
      </c>
      <c r="AZ258" s="323" t="n">
        <f aca="false">AG258*AP258</f>
        <v>0</v>
      </c>
      <c r="BA258" s="319" t="n">
        <f aca="false">AH258*AQ258</f>
        <v>0</v>
      </c>
      <c r="BB258" s="320" t="n">
        <f aca="false">1.25*AJ258*AP258</f>
        <v>0</v>
      </c>
      <c r="BC258" s="320" t="n">
        <f aca="false">1.25*AK258*AQ258</f>
        <v>0</v>
      </c>
      <c r="BD258" s="321" t="n">
        <f aca="false">AG258*AS258</f>
        <v>0</v>
      </c>
      <c r="BE258" s="319" t="n">
        <f aca="false">AH258*AT258</f>
        <v>0</v>
      </c>
      <c r="BF258" s="320" t="n">
        <f aca="false">AJ258*AS258</f>
        <v>0</v>
      </c>
      <c r="BG258" s="322" t="n">
        <f aca="false">AK258*AT258</f>
        <v>0</v>
      </c>
      <c r="BH258" s="324" t="str">
        <f aca="false">IF(BH$24=$AA258,($AG258*$AM258)+($AJ258*$AM258*1.25)+($AH258*$AN258)+($AK258*$AN258*1.25),"")</f>
        <v/>
      </c>
      <c r="BI258" s="325" t="n">
        <f aca="false">IF(BI$24=$AA258,($AG258*$AM258)+($AJ258*$AM258*1.25)+($AH258*$AN258)+($AK258*$AN258*1.25),"")</f>
        <v>0</v>
      </c>
      <c r="BJ258" s="325" t="str">
        <f aca="false">IF(BJ$24=$AA258,($AG258*$AM258)+($AJ258*$AM258*1.25)+($AH258*$AN258)+($AK258*$AN258*1.25),"")</f>
        <v/>
      </c>
      <c r="BK258" s="325" t="str">
        <f aca="false">IF(BK$24=$AA258,($AG258*$AM258)+($AJ258*$AM258*1.25)+($AH258*$AN258)+($AK258*$AN258*1.25),"")</f>
        <v/>
      </c>
      <c r="BL258" s="326" t="str">
        <f aca="false">IF(BL$24=$AA258,($AG258*$AM258)+($AJ258*$AM258*1.25)+($AH258*$AN258)+($AK258*$AN258*1.25),"")</f>
        <v/>
      </c>
      <c r="BM258" s="327" t="str">
        <f aca="false">IF(CONCATENATE(BH258,BI258,BJ258,BK258,BL258)="",1,"")</f>
        <v/>
      </c>
      <c r="BN258" s="328"/>
      <c r="BO258" s="328"/>
      <c r="BP258" s="328"/>
      <c r="BQ258" s="328"/>
      <c r="BR258" s="47"/>
      <c r="BS258" s="127" t="n">
        <f aca="false">(AG258*AM258)+(AH258*AN258)+((AJ258*AM258)+(AK258*AN258)*1.25)</f>
        <v>0</v>
      </c>
      <c r="BT258" s="127" t="n">
        <f aca="false">(AG258*AP258)+(AH258*AQ258)+((AJ258*AP258)+(AK258*AQ258)*1.25)</f>
        <v>0</v>
      </c>
      <c r="BU258" s="329"/>
      <c r="BV258" s="129"/>
    </row>
    <row r="259" customFormat="false" ht="15" hidden="false" customHeight="false" outlineLevel="0" collapsed="false">
      <c r="A259" s="228"/>
      <c r="B259" s="229"/>
      <c r="C259" s="230"/>
      <c r="D259" s="231"/>
      <c r="E259" s="223" t="str">
        <f aca="false">IF(SUM(A259:D259)&gt;0,SUM(A259:D259),"")</f>
        <v/>
      </c>
      <c r="F259" s="224" t="str">
        <f aca="false">AD272</f>
        <v>CULTIVOS MIXTOS DE ESPECIES PRATENSES</v>
      </c>
      <c r="G259" s="169"/>
      <c r="H259" s="169"/>
      <c r="I259" s="169"/>
      <c r="J259" s="169"/>
      <c r="K259" s="169"/>
      <c r="L259" s="169"/>
      <c r="M259" s="169"/>
      <c r="N259" s="169"/>
      <c r="O259" s="169"/>
      <c r="P259" s="169"/>
      <c r="Q259" s="169"/>
      <c r="R259" s="3"/>
      <c r="S259" s="3"/>
      <c r="T259" s="3"/>
      <c r="U259" s="3"/>
      <c r="V259" s="3"/>
      <c r="W259" s="3"/>
      <c r="X259" s="3"/>
      <c r="Y259" s="3"/>
      <c r="Z259" s="316" t="str">
        <f aca="false">IF(AF259&gt;0,RANK(AF259,AF$6:AF$422),"")</f>
        <v/>
      </c>
      <c r="AA259" s="134" t="n">
        <f aca="false">'O_MN, PE_UTA_UGM 2024'!N236</f>
        <v>1</v>
      </c>
      <c r="AB259" s="135" t="n">
        <f aca="false">'O_MN, PE_UTA_UGM 2024'!O236</f>
        <v>0</v>
      </c>
      <c r="AC259" s="317" t="n">
        <f aca="false">'O_MN, PE_UTA_UGM 2024'!C236</f>
        <v>220</v>
      </c>
      <c r="AD259" s="293" t="str">
        <f aca="false">IF(AB259=0,'O_MN, PE_UTA_UGM 2024'!F236,CONCATENATE('O_MN, PE_UTA_UGM 2024'!F236," ","INVERNADERO"))</f>
        <v>CAÑA DE AZÚCAR</v>
      </c>
      <c r="AE259" s="89"/>
      <c r="AF259" s="123" t="n">
        <f aca="false">SUM(AG259:AH259)+SUM(AJ259:AK259)</f>
        <v>0</v>
      </c>
      <c r="AG259" s="318" t="n">
        <f aca="false">A246</f>
        <v>0</v>
      </c>
      <c r="AH259" s="319" t="n">
        <f aca="false">B246</f>
        <v>0</v>
      </c>
      <c r="AI259" s="6"/>
      <c r="AJ259" s="320" t="n">
        <f aca="false">C246</f>
        <v>0</v>
      </c>
      <c r="AK259" s="320" t="n">
        <f aca="false">D246</f>
        <v>0</v>
      </c>
      <c r="AL259" s="237" t="s">
        <v>385</v>
      </c>
      <c r="AM259" s="299" t="n">
        <f aca="false">'O_MN, PE_UTA_UGM 2024'!J236</f>
        <v>270.46</v>
      </c>
      <c r="AN259" s="299" t="n">
        <f aca="false">'O_MN, PE_UTA_UGM 2024'!K236</f>
        <v>600</v>
      </c>
      <c r="AO259" s="300"/>
      <c r="AP259" s="299" t="n">
        <f aca="false">'O_MN, PE_UTA_UGM 2024'!H236</f>
        <v>114.19</v>
      </c>
      <c r="AQ259" s="299" t="n">
        <f aca="false">'O_MN, PE_UTA_UGM 2024'!I236</f>
        <v>240.4</v>
      </c>
      <c r="AR259" s="301"/>
      <c r="AS259" s="302" t="n">
        <f aca="false">'O_MN, PE_UTA_UGM 2024'!L236</f>
        <v>0.00465</v>
      </c>
      <c r="AT259" s="302" t="n">
        <f aca="false">'O_MN, PE_UTA_UGM 2024'!M236</f>
        <v>0.0098</v>
      </c>
      <c r="AU259" s="45"/>
      <c r="AV259" s="321" t="n">
        <f aca="false">AG259*AM259</f>
        <v>0</v>
      </c>
      <c r="AW259" s="319" t="n">
        <f aca="false">AH259*AN259</f>
        <v>0</v>
      </c>
      <c r="AX259" s="320" t="n">
        <f aca="false">1.25*AJ259*AM259</f>
        <v>0</v>
      </c>
      <c r="AY259" s="322" t="n">
        <f aca="false">1.25*AK259*AN259</f>
        <v>0</v>
      </c>
      <c r="AZ259" s="323" t="n">
        <f aca="false">AG259*AP259</f>
        <v>0</v>
      </c>
      <c r="BA259" s="319" t="n">
        <f aca="false">AH259*AQ259</f>
        <v>0</v>
      </c>
      <c r="BB259" s="320" t="n">
        <f aca="false">1.25*AJ259*AP259</f>
        <v>0</v>
      </c>
      <c r="BC259" s="320" t="n">
        <f aca="false">1.25*AK259*AQ259</f>
        <v>0</v>
      </c>
      <c r="BD259" s="321" t="n">
        <f aca="false">AG259*AS259</f>
        <v>0</v>
      </c>
      <c r="BE259" s="319" t="n">
        <f aca="false">AH259*AT259</f>
        <v>0</v>
      </c>
      <c r="BF259" s="320" t="n">
        <f aca="false">AJ259*AS259</f>
        <v>0</v>
      </c>
      <c r="BG259" s="322" t="n">
        <f aca="false">AK259*AT259</f>
        <v>0</v>
      </c>
      <c r="BH259" s="324" t="n">
        <f aca="false">IF(BH$24=$AA259,($AG259*$AM259)+($AJ259*$AM259*1.25)+($AH259*$AN259)+($AK259*$AN259*1.25),"")</f>
        <v>0</v>
      </c>
      <c r="BI259" s="325" t="str">
        <f aca="false">IF(BI$24=$AA259,($AG259*$AM259)+($AJ259*$AM259*1.25)+($AH259*$AN259)+($AK259*$AN259*1.25),"")</f>
        <v/>
      </c>
      <c r="BJ259" s="325" t="str">
        <f aca="false">IF(BJ$24=$AA259,($AG259*$AM259)+($AJ259*$AM259*1.25)+($AH259*$AN259)+($AK259*$AN259*1.25),"")</f>
        <v/>
      </c>
      <c r="BK259" s="325" t="str">
        <f aca="false">IF(BK$24=$AA259,($AG259*$AM259)+($AJ259*$AM259*1.25)+($AH259*$AN259)+($AK259*$AN259*1.25),"")</f>
        <v/>
      </c>
      <c r="BL259" s="326" t="str">
        <f aca="false">IF(BL$24=$AA259,($AG259*$AM259)+($AJ259*$AM259*1.25)+($AH259*$AN259)+($AK259*$AN259*1.25),"")</f>
        <v/>
      </c>
      <c r="BM259" s="327" t="str">
        <f aca="false">IF(CONCATENATE(BH259,BI259,BJ259,BK259,BL259)="",1,"")</f>
        <v/>
      </c>
      <c r="BN259" s="328"/>
      <c r="BO259" s="328"/>
      <c r="BP259" s="328"/>
      <c r="BQ259" s="328"/>
      <c r="BR259" s="47"/>
      <c r="BS259" s="127" t="n">
        <f aca="false">(AG259*AM259)+(AH259*AN259)+((AJ259*AM259)+(AK259*AN259)*1.25)</f>
        <v>0</v>
      </c>
      <c r="BT259" s="127" t="n">
        <f aca="false">(AG259*AP259)+(AH259*AQ259)+((AJ259*AP259)+(AK259*AQ259)*1.25)</f>
        <v>0</v>
      </c>
      <c r="BU259" s="329"/>
      <c r="BV259" s="129"/>
    </row>
    <row r="260" customFormat="false" ht="15" hidden="false" customHeight="false" outlineLevel="0" collapsed="false">
      <c r="A260" s="228"/>
      <c r="B260" s="229"/>
      <c r="C260" s="230"/>
      <c r="D260" s="231"/>
      <c r="E260" s="223" t="str">
        <f aca="false">IF(SUM(A260:D260)&gt;0,SUM(A260:D260),"")</f>
        <v/>
      </c>
      <c r="F260" s="224" t="str">
        <f aca="false">AD273</f>
        <v>ALGARROBA</v>
      </c>
      <c r="G260" s="169"/>
      <c r="H260" s="169"/>
      <c r="I260" s="169"/>
      <c r="J260" s="169"/>
      <c r="K260" s="169"/>
      <c r="L260" s="169"/>
      <c r="M260" s="169"/>
      <c r="N260" s="169"/>
      <c r="O260" s="169"/>
      <c r="P260" s="169"/>
      <c r="Q260" s="169"/>
      <c r="R260" s="3"/>
      <c r="S260" s="3"/>
      <c r="T260" s="3"/>
      <c r="U260" s="3"/>
      <c r="V260" s="3"/>
      <c r="W260" s="3"/>
      <c r="X260" s="3"/>
      <c r="Y260" s="3"/>
      <c r="Z260" s="316" t="str">
        <f aca="false">IF(AF260&gt;0,RANK(AF260,AF$6:AF$422),"")</f>
        <v/>
      </c>
      <c r="AA260" s="134" t="n">
        <f aca="false">'O_MN, PE_UTA_UGM 2024'!N237</f>
        <v>1</v>
      </c>
      <c r="AB260" s="135" t="n">
        <f aca="false">'O_MN, PE_UTA_UGM 2024'!O237</f>
        <v>0</v>
      </c>
      <c r="AC260" s="317" t="n">
        <f aca="false">'O_MN, PE_UTA_UGM 2024'!C237</f>
        <v>222</v>
      </c>
      <c r="AD260" s="293" t="str">
        <f aca="false">IF(AB260=0,'O_MN, PE_UTA_UGM 2024'!F237,CONCATENATE('O_MN, PE_UTA_UGM 2024'!F237," ","INVERNADERO"))</f>
        <v>QUINOA</v>
      </c>
      <c r="AE260" s="89"/>
      <c r="AF260" s="123" t="n">
        <f aca="false">SUM(AG260:AH260)+SUM(AJ260:AK260)</f>
        <v>0</v>
      </c>
      <c r="AG260" s="318" t="n">
        <f aca="false">A247</f>
        <v>0</v>
      </c>
      <c r="AH260" s="319" t="n">
        <f aca="false">B247</f>
        <v>0</v>
      </c>
      <c r="AI260" s="6"/>
      <c r="AJ260" s="320" t="n">
        <f aca="false">C247</f>
        <v>0</v>
      </c>
      <c r="AK260" s="320" t="n">
        <f aca="false">D247</f>
        <v>0</v>
      </c>
      <c r="AL260" s="237" t="s">
        <v>386</v>
      </c>
      <c r="AM260" s="299" t="n">
        <f aca="false">'O_MN, PE_UTA_UGM 2024'!J237</f>
        <v>700</v>
      </c>
      <c r="AN260" s="299" t="n">
        <f aca="false">'O_MN, PE_UTA_UGM 2024'!K237</f>
        <v>1800</v>
      </c>
      <c r="AO260" s="300"/>
      <c r="AP260" s="299" t="n">
        <f aca="false">'O_MN, PE_UTA_UGM 2024'!H237</f>
        <v>114.19</v>
      </c>
      <c r="AQ260" s="299" t="n">
        <f aca="false">'O_MN, PE_UTA_UGM 2024'!I237</f>
        <v>240.4</v>
      </c>
      <c r="AR260" s="301"/>
      <c r="AS260" s="302" t="n">
        <f aca="false">'O_MN, PE_UTA_UGM 2024'!L237</f>
        <v>0.00465</v>
      </c>
      <c r="AT260" s="302" t="n">
        <f aca="false">'O_MN, PE_UTA_UGM 2024'!M237</f>
        <v>0.0098</v>
      </c>
      <c r="AU260" s="45"/>
      <c r="AV260" s="321" t="n">
        <f aca="false">AG260*AM260</f>
        <v>0</v>
      </c>
      <c r="AW260" s="319" t="n">
        <f aca="false">AH260*AN260</f>
        <v>0</v>
      </c>
      <c r="AX260" s="320" t="n">
        <f aca="false">1.25*AJ260*AM260</f>
        <v>0</v>
      </c>
      <c r="AY260" s="322" t="n">
        <f aca="false">1.25*AK260*AN260</f>
        <v>0</v>
      </c>
      <c r="AZ260" s="323" t="n">
        <f aca="false">AG260*AP260</f>
        <v>0</v>
      </c>
      <c r="BA260" s="319" t="n">
        <f aca="false">AH260*AQ260</f>
        <v>0</v>
      </c>
      <c r="BB260" s="320" t="n">
        <f aca="false">1.25*AJ260*AP260</f>
        <v>0</v>
      </c>
      <c r="BC260" s="320" t="n">
        <f aca="false">1.25*AK260*AQ260</f>
        <v>0</v>
      </c>
      <c r="BD260" s="321" t="n">
        <f aca="false">AG260*AS260</f>
        <v>0</v>
      </c>
      <c r="BE260" s="319" t="n">
        <f aca="false">AH260*AT260</f>
        <v>0</v>
      </c>
      <c r="BF260" s="320" t="n">
        <f aca="false">AJ260*AS260</f>
        <v>0</v>
      </c>
      <c r="BG260" s="322" t="n">
        <f aca="false">AK260*AT260</f>
        <v>0</v>
      </c>
      <c r="BH260" s="324" t="n">
        <f aca="false">IF(BH$24=$AA260,($AG260*$AM260)+($AJ260*$AM260*1.25)+($AH260*$AN260)+($AK260*$AN260*1.25),"")</f>
        <v>0</v>
      </c>
      <c r="BI260" s="325" t="str">
        <f aca="false">IF(BI$24=$AA260,($AG260*$AM260)+($AJ260*$AM260*1.25)+($AH260*$AN260)+($AK260*$AN260*1.25),"")</f>
        <v/>
      </c>
      <c r="BJ260" s="325" t="str">
        <f aca="false">IF(BJ$24=$AA260,($AG260*$AM260)+($AJ260*$AM260*1.25)+($AH260*$AN260)+($AK260*$AN260*1.25),"")</f>
        <v/>
      </c>
      <c r="BK260" s="325" t="str">
        <f aca="false">IF(BK$24=$AA260,($AG260*$AM260)+($AJ260*$AM260*1.25)+($AH260*$AN260)+($AK260*$AN260*1.25),"")</f>
        <v/>
      </c>
      <c r="BL260" s="326" t="str">
        <f aca="false">IF(BL$24=$AA260,($AG260*$AM260)+($AJ260*$AM260*1.25)+($AH260*$AN260)+($AK260*$AN260*1.25),"")</f>
        <v/>
      </c>
      <c r="BM260" s="327" t="str">
        <f aca="false">IF(CONCATENATE(BH260,BI260,BJ260,BK260,BL260)="",1,"")</f>
        <v/>
      </c>
      <c r="BN260" s="328"/>
      <c r="BO260" s="328"/>
      <c r="BP260" s="328"/>
      <c r="BQ260" s="328"/>
      <c r="BR260" s="47"/>
      <c r="BS260" s="127" t="n">
        <f aca="false">(AG260*AM260)+(AH260*AN260)+((AJ260*AM260)+(AK260*AN260)*1.25)</f>
        <v>0</v>
      </c>
      <c r="BT260" s="127" t="n">
        <f aca="false">(AG260*AP260)+(AH260*AQ260)+((AJ260*AP260)+(AK260*AQ260)*1.25)</f>
        <v>0</v>
      </c>
      <c r="BU260" s="329"/>
      <c r="BV260" s="129"/>
    </row>
    <row r="261" customFormat="false" ht="15" hidden="false" customHeight="false" outlineLevel="0" collapsed="false">
      <c r="A261" s="228"/>
      <c r="B261" s="229"/>
      <c r="C261" s="230"/>
      <c r="D261" s="231"/>
      <c r="E261" s="223" t="str">
        <f aca="false">IF(SUM(A261:D261)&gt;0,SUM(A261:D261),"")</f>
        <v/>
      </c>
      <c r="F261" s="224" t="str">
        <f aca="false">AD274</f>
        <v>ALVERJA</v>
      </c>
      <c r="G261" s="169"/>
      <c r="H261" s="169"/>
      <c r="I261" s="169"/>
      <c r="J261" s="169"/>
      <c r="K261" s="169"/>
      <c r="L261" s="169"/>
      <c r="M261" s="169"/>
      <c r="N261" s="169"/>
      <c r="O261" s="169"/>
      <c r="P261" s="169"/>
      <c r="Q261" s="169"/>
      <c r="R261" s="3"/>
      <c r="S261" s="3"/>
      <c r="T261" s="3"/>
      <c r="U261" s="3"/>
      <c r="V261" s="3"/>
      <c r="W261" s="3"/>
      <c r="X261" s="3"/>
      <c r="Y261" s="3"/>
      <c r="Z261" s="316" t="str">
        <f aca="false">IF(AF261&gt;0,RANK(AF261,AF$6:AF$422),"")</f>
        <v/>
      </c>
      <c r="AA261" s="134" t="n">
        <f aca="false">'O_MN, PE_UTA_UGM 2024'!N238</f>
        <v>1</v>
      </c>
      <c r="AB261" s="135" t="n">
        <f aca="false">'O_MN, PE_UTA_UGM 2024'!O238</f>
        <v>0</v>
      </c>
      <c r="AC261" s="317" t="n">
        <f aca="false">'O_MN, PE_UTA_UGM 2024'!C238</f>
        <v>223</v>
      </c>
      <c r="AD261" s="293" t="str">
        <f aca="false">IF(AB261=0,'O_MN, PE_UTA_UGM 2024'!F238,CONCATENATE('O_MN, PE_UTA_UGM 2024'!F238," ","INVERNADERO"))</f>
        <v>MISCANTHUS</v>
      </c>
      <c r="AE261" s="89"/>
      <c r="AF261" s="123" t="n">
        <f aca="false">SUM(AG261:AH261)+SUM(AJ261:AK261)</f>
        <v>0</v>
      </c>
      <c r="AG261" s="318" t="n">
        <f aca="false">A248</f>
        <v>0</v>
      </c>
      <c r="AH261" s="319" t="n">
        <f aca="false">B248</f>
        <v>0</v>
      </c>
      <c r="AI261" s="6"/>
      <c r="AJ261" s="320" t="n">
        <f aca="false">C248</f>
        <v>0</v>
      </c>
      <c r="AK261" s="320" t="n">
        <f aca="false">D248</f>
        <v>0</v>
      </c>
      <c r="AL261" s="237" t="s">
        <v>387</v>
      </c>
      <c r="AM261" s="299" t="n">
        <f aca="false">'O_MN, PE_UTA_UGM 2024'!J238</f>
        <v>700</v>
      </c>
      <c r="AN261" s="299" t="n">
        <f aca="false">'O_MN, PE_UTA_UGM 2024'!K238</f>
        <v>1800</v>
      </c>
      <c r="AO261" s="300"/>
      <c r="AP261" s="299" t="n">
        <f aca="false">'O_MN, PE_UTA_UGM 2024'!H238</f>
        <v>114.19</v>
      </c>
      <c r="AQ261" s="299" t="n">
        <f aca="false">'O_MN, PE_UTA_UGM 2024'!I238</f>
        <v>240.4</v>
      </c>
      <c r="AR261" s="301"/>
      <c r="AS261" s="302" t="n">
        <f aca="false">'O_MN, PE_UTA_UGM 2024'!L238</f>
        <v>0.00465</v>
      </c>
      <c r="AT261" s="302" t="n">
        <f aca="false">'O_MN, PE_UTA_UGM 2024'!M238</f>
        <v>0.0098</v>
      </c>
      <c r="AU261" s="45"/>
      <c r="AV261" s="321" t="n">
        <f aca="false">AG261*AM261</f>
        <v>0</v>
      </c>
      <c r="AW261" s="319" t="n">
        <f aca="false">AH261*AN261</f>
        <v>0</v>
      </c>
      <c r="AX261" s="320" t="n">
        <f aca="false">1.25*AJ261*AM261</f>
        <v>0</v>
      </c>
      <c r="AY261" s="322" t="n">
        <f aca="false">1.25*AK261*AN261</f>
        <v>0</v>
      </c>
      <c r="AZ261" s="323" t="n">
        <f aca="false">AG261*AP261</f>
        <v>0</v>
      </c>
      <c r="BA261" s="319" t="n">
        <f aca="false">AH261*AQ261</f>
        <v>0</v>
      </c>
      <c r="BB261" s="320" t="n">
        <f aca="false">1.25*AJ261*AP261</f>
        <v>0</v>
      </c>
      <c r="BC261" s="320" t="n">
        <f aca="false">1.25*AK261*AQ261</f>
        <v>0</v>
      </c>
      <c r="BD261" s="321" t="n">
        <f aca="false">AG261*AS261</f>
        <v>0</v>
      </c>
      <c r="BE261" s="319" t="n">
        <f aca="false">AH261*AT261</f>
        <v>0</v>
      </c>
      <c r="BF261" s="320" t="n">
        <f aca="false">AJ261*AS261</f>
        <v>0</v>
      </c>
      <c r="BG261" s="322" t="n">
        <f aca="false">AK261*AT261</f>
        <v>0</v>
      </c>
      <c r="BH261" s="324" t="n">
        <f aca="false">IF(BH$24=$AA261,($AG261*$AM261)+($AJ261*$AM261*1.25)+($AH261*$AN261)+($AK261*$AN261*1.25),"")</f>
        <v>0</v>
      </c>
      <c r="BI261" s="325" t="str">
        <f aca="false">IF(BI$24=$AA261,($AG261*$AM261)+($AJ261*$AM261*1.25)+($AH261*$AN261)+($AK261*$AN261*1.25),"")</f>
        <v/>
      </c>
      <c r="BJ261" s="325" t="str">
        <f aca="false">IF(BJ$24=$AA261,($AG261*$AM261)+($AJ261*$AM261*1.25)+($AH261*$AN261)+($AK261*$AN261*1.25),"")</f>
        <v/>
      </c>
      <c r="BK261" s="325" t="str">
        <f aca="false">IF(BK$24=$AA261,($AG261*$AM261)+($AJ261*$AM261*1.25)+($AH261*$AN261)+($AK261*$AN261*1.25),"")</f>
        <v/>
      </c>
      <c r="BL261" s="326" t="str">
        <f aca="false">IF(BL$24=$AA261,($AG261*$AM261)+($AJ261*$AM261*1.25)+($AH261*$AN261)+($AK261*$AN261*1.25),"")</f>
        <v/>
      </c>
      <c r="BM261" s="327" t="str">
        <f aca="false">IF(CONCATENATE(BH261,BI261,BJ261,BK261,BL261)="",1,"")</f>
        <v/>
      </c>
      <c r="BN261" s="328"/>
      <c r="BO261" s="328"/>
      <c r="BP261" s="328"/>
      <c r="BQ261" s="328"/>
      <c r="BR261" s="47"/>
      <c r="BS261" s="127" t="n">
        <f aca="false">(AG261*AM261)+(AH261*AN261)+((AJ261*AM261)+(AK261*AN261)*1.25)</f>
        <v>0</v>
      </c>
      <c r="BT261" s="127" t="n">
        <f aca="false">(AG261*AP261)+(AH261*AQ261)+((AJ261*AP261)+(AK261*AQ261)*1.25)</f>
        <v>0</v>
      </c>
      <c r="BU261" s="329"/>
      <c r="BV261" s="129"/>
    </row>
    <row r="262" customFormat="false" ht="15" hidden="false" customHeight="false" outlineLevel="0" collapsed="false">
      <c r="A262" s="228"/>
      <c r="B262" s="229"/>
      <c r="C262" s="230"/>
      <c r="D262" s="231"/>
      <c r="E262" s="223" t="str">
        <f aca="false">IF(SUM(A262:D262)&gt;0,SUM(A262:D262),"")</f>
        <v/>
      </c>
      <c r="F262" s="224" t="str">
        <f aca="false">AD275</f>
        <v>ALBERJÓN</v>
      </c>
      <c r="G262" s="169"/>
      <c r="H262" s="169"/>
      <c r="I262" s="169"/>
      <c r="J262" s="169"/>
      <c r="K262" s="169"/>
      <c r="L262" s="169"/>
      <c r="M262" s="169"/>
      <c r="N262" s="169"/>
      <c r="O262" s="169"/>
      <c r="P262" s="169"/>
      <c r="Q262" s="169"/>
      <c r="R262" s="3"/>
      <c r="S262" s="3"/>
      <c r="T262" s="3"/>
      <c r="U262" s="3"/>
      <c r="V262" s="3"/>
      <c r="W262" s="3"/>
      <c r="X262" s="3"/>
      <c r="Y262" s="3"/>
      <c r="Z262" s="316" t="str">
        <f aca="false">IF(AF262&gt;0,RANK(AF262,AF$6:AF$422),"")</f>
        <v/>
      </c>
      <c r="AA262" s="134" t="n">
        <f aca="false">'O_MN, PE_UTA_UGM 2024'!N239</f>
        <v>1</v>
      </c>
      <c r="AB262" s="135" t="n">
        <f aca="false">'O_MN, PE_UTA_UGM 2024'!O239</f>
        <v>0</v>
      </c>
      <c r="AC262" s="317" t="n">
        <f aca="false">'O_MN, PE_UTA_UGM 2024'!C239</f>
        <v>224</v>
      </c>
      <c r="AD262" s="293" t="str">
        <f aca="false">IF(AB262=0,'O_MN, PE_UTA_UGM 2024'!F239,CONCATENATE('O_MN, PE_UTA_UGM 2024'!F239," ","INVERNADERO"))</f>
        <v>HUAXYACAC</v>
      </c>
      <c r="AE262" s="89"/>
      <c r="AF262" s="123" t="n">
        <f aca="false">SUM(AG262:AH262)+SUM(AJ262:AK262)</f>
        <v>0</v>
      </c>
      <c r="AG262" s="318" t="n">
        <f aca="false">A249</f>
        <v>0</v>
      </c>
      <c r="AH262" s="319" t="n">
        <f aca="false">B249</f>
        <v>0</v>
      </c>
      <c r="AI262" s="6"/>
      <c r="AJ262" s="320" t="n">
        <f aca="false">C249</f>
        <v>0</v>
      </c>
      <c r="AK262" s="320" t="n">
        <f aca="false">D249</f>
        <v>0</v>
      </c>
      <c r="AL262" s="237" t="s">
        <v>388</v>
      </c>
      <c r="AM262" s="299" t="n">
        <f aca="false">'O_MN, PE_UTA_UGM 2024'!J239</f>
        <v>700</v>
      </c>
      <c r="AN262" s="299" t="n">
        <f aca="false">'O_MN, PE_UTA_UGM 2024'!K239</f>
        <v>1800</v>
      </c>
      <c r="AO262" s="300"/>
      <c r="AP262" s="299" t="n">
        <f aca="false">'O_MN, PE_UTA_UGM 2024'!H239</f>
        <v>114.19</v>
      </c>
      <c r="AQ262" s="299" t="n">
        <f aca="false">'O_MN, PE_UTA_UGM 2024'!I239</f>
        <v>240.4</v>
      </c>
      <c r="AR262" s="301"/>
      <c r="AS262" s="302" t="n">
        <f aca="false">'O_MN, PE_UTA_UGM 2024'!L239</f>
        <v>0.00465</v>
      </c>
      <c r="AT262" s="302" t="n">
        <f aca="false">'O_MN, PE_UTA_UGM 2024'!M239</f>
        <v>0.0098</v>
      </c>
      <c r="AU262" s="45"/>
      <c r="AV262" s="321" t="n">
        <f aca="false">AG262*AM262</f>
        <v>0</v>
      </c>
      <c r="AW262" s="319" t="n">
        <f aca="false">AH262*AN262</f>
        <v>0</v>
      </c>
      <c r="AX262" s="320" t="n">
        <f aca="false">1.25*AJ262*AM262</f>
        <v>0</v>
      </c>
      <c r="AY262" s="322" t="n">
        <f aca="false">1.25*AK262*AN262</f>
        <v>0</v>
      </c>
      <c r="AZ262" s="323" t="n">
        <f aca="false">AG262*AP262</f>
        <v>0</v>
      </c>
      <c r="BA262" s="319" t="n">
        <f aca="false">AH262*AQ262</f>
        <v>0</v>
      </c>
      <c r="BB262" s="320" t="n">
        <f aca="false">1.25*AJ262*AP262</f>
        <v>0</v>
      </c>
      <c r="BC262" s="320" t="n">
        <f aca="false">1.25*AK262*AQ262</f>
        <v>0</v>
      </c>
      <c r="BD262" s="321" t="n">
        <f aca="false">AG262*AS262</f>
        <v>0</v>
      </c>
      <c r="BE262" s="319" t="n">
        <f aca="false">AH262*AT262</f>
        <v>0</v>
      </c>
      <c r="BF262" s="320" t="n">
        <f aca="false">AJ262*AS262</f>
        <v>0</v>
      </c>
      <c r="BG262" s="322" t="n">
        <f aca="false">AK262*AT262</f>
        <v>0</v>
      </c>
      <c r="BH262" s="324" t="n">
        <f aca="false">IF(BH$24=$AA262,($AG262*$AM262)+($AJ262*$AM262*1.25)+($AH262*$AN262)+($AK262*$AN262*1.25),"")</f>
        <v>0</v>
      </c>
      <c r="BI262" s="325" t="str">
        <f aca="false">IF(BI$24=$AA262,($AG262*$AM262)+($AJ262*$AM262*1.25)+($AH262*$AN262)+($AK262*$AN262*1.25),"")</f>
        <v/>
      </c>
      <c r="BJ262" s="325" t="str">
        <f aca="false">IF(BJ$24=$AA262,($AG262*$AM262)+($AJ262*$AM262*1.25)+($AH262*$AN262)+($AK262*$AN262*1.25),"")</f>
        <v/>
      </c>
      <c r="BK262" s="325" t="str">
        <f aca="false">IF(BK$24=$AA262,($AG262*$AM262)+($AJ262*$AM262*1.25)+($AH262*$AN262)+($AK262*$AN262*1.25),"")</f>
        <v/>
      </c>
      <c r="BL262" s="326" t="str">
        <f aca="false">IF(BL$24=$AA262,($AG262*$AM262)+($AJ262*$AM262*1.25)+($AH262*$AN262)+($AK262*$AN262*1.25),"")</f>
        <v/>
      </c>
      <c r="BM262" s="327" t="str">
        <f aca="false">IF(CONCATENATE(BH262,BI262,BJ262,BK262,BL262)="",1,"")</f>
        <v/>
      </c>
      <c r="BN262" s="328"/>
      <c r="BO262" s="328"/>
      <c r="BP262" s="328"/>
      <c r="BQ262" s="328"/>
      <c r="BR262" s="47"/>
      <c r="BS262" s="127" t="n">
        <f aca="false">(AG262*AM262)+(AH262*AN262)+((AJ262*AM262)+(AK262*AN262)*1.25)</f>
        <v>0</v>
      </c>
      <c r="BT262" s="127" t="n">
        <f aca="false">(AG262*AP262)+(AH262*AQ262)+((AJ262*AP262)+(AK262*AQ262)*1.25)</f>
        <v>0</v>
      </c>
      <c r="BU262" s="329"/>
      <c r="BV262" s="129"/>
    </row>
    <row r="263" customFormat="false" ht="15" hidden="false" customHeight="false" outlineLevel="0" collapsed="false">
      <c r="A263" s="228"/>
      <c r="B263" s="229"/>
      <c r="C263" s="230"/>
      <c r="D263" s="231"/>
      <c r="E263" s="223" t="str">
        <f aca="false">IF(SUM(A263:D263)&gt;0,SUM(A263:D263),"")</f>
        <v/>
      </c>
      <c r="F263" s="224" t="str">
        <f aca="false">AD276</f>
        <v>AJEDREA</v>
      </c>
      <c r="G263" s="169"/>
      <c r="H263" s="169"/>
      <c r="I263" s="169"/>
      <c r="J263" s="169"/>
      <c r="K263" s="169"/>
      <c r="L263" s="169"/>
      <c r="M263" s="169"/>
      <c r="N263" s="169"/>
      <c r="O263" s="169"/>
      <c r="P263" s="169"/>
      <c r="Q263" s="169"/>
      <c r="R263" s="3"/>
      <c r="S263" s="3"/>
      <c r="T263" s="3"/>
      <c r="U263" s="3"/>
      <c r="V263" s="3"/>
      <c r="W263" s="3"/>
      <c r="X263" s="3"/>
      <c r="Y263" s="3"/>
      <c r="Z263" s="316" t="str">
        <f aca="false">IF(AF263&gt;0,RANK(AF263,AF$6:AF$422),"")</f>
        <v/>
      </c>
      <c r="AA263" s="134" t="n">
        <f aca="false">'O_MN, PE_UTA_UGM 2024'!N240</f>
        <v>1</v>
      </c>
      <c r="AB263" s="135" t="n">
        <f aca="false">'O_MN, PE_UTA_UGM 2024'!O240</f>
        <v>0</v>
      </c>
      <c r="AC263" s="317" t="n">
        <f aca="false">'O_MN, PE_UTA_UGM 2024'!C240</f>
        <v>238</v>
      </c>
      <c r="AD263" s="293" t="str">
        <f aca="false">IF(AB263=0,'O_MN, PE_UTA_UGM 2024'!F240,CONCATENATE('O_MN, PE_UTA_UGM 2024'!F240," ","INVERNADERO"))</f>
        <v>ALTRAMUZ AMARILLO</v>
      </c>
      <c r="AE263" s="89"/>
      <c r="AF263" s="123" t="n">
        <f aca="false">SUM(AG263:AH263)+SUM(AJ263:AK263)</f>
        <v>0</v>
      </c>
      <c r="AG263" s="318" t="n">
        <f aca="false">A250</f>
        <v>0</v>
      </c>
      <c r="AH263" s="319" t="n">
        <f aca="false">B250</f>
        <v>0</v>
      </c>
      <c r="AI263" s="6"/>
      <c r="AJ263" s="320" t="n">
        <f aca="false">C250</f>
        <v>0</v>
      </c>
      <c r="AK263" s="320" t="n">
        <f aca="false">D250</f>
        <v>0</v>
      </c>
      <c r="AL263" s="237" t="s">
        <v>389</v>
      </c>
      <c r="AM263" s="299" t="n">
        <f aca="false">'O_MN, PE_UTA_UGM 2024'!J240</f>
        <v>186.91</v>
      </c>
      <c r="AN263" s="299" t="n">
        <f aca="false">'O_MN, PE_UTA_UGM 2024'!K240</f>
        <v>540.36</v>
      </c>
      <c r="AO263" s="300"/>
      <c r="AP263" s="299" t="n">
        <f aca="false">'O_MN, PE_UTA_UGM 2024'!H240</f>
        <v>114.19</v>
      </c>
      <c r="AQ263" s="299" t="n">
        <f aca="false">'O_MN, PE_UTA_UGM 2024'!I240</f>
        <v>240.4</v>
      </c>
      <c r="AR263" s="301"/>
      <c r="AS263" s="302" t="n">
        <f aca="false">'O_MN, PE_UTA_UGM 2024'!L240</f>
        <v>0.00465</v>
      </c>
      <c r="AT263" s="302" t="n">
        <f aca="false">'O_MN, PE_UTA_UGM 2024'!M240</f>
        <v>0.0098</v>
      </c>
      <c r="AU263" s="45"/>
      <c r="AV263" s="321" t="n">
        <f aca="false">AG263*AM263</f>
        <v>0</v>
      </c>
      <c r="AW263" s="319" t="n">
        <f aca="false">AH263*AN263</f>
        <v>0</v>
      </c>
      <c r="AX263" s="320" t="n">
        <f aca="false">1.25*AJ263*AM263</f>
        <v>0</v>
      </c>
      <c r="AY263" s="322" t="n">
        <f aca="false">1.25*AK263*AN263</f>
        <v>0</v>
      </c>
      <c r="AZ263" s="323" t="n">
        <f aca="false">AG263*AP263</f>
        <v>0</v>
      </c>
      <c r="BA263" s="319" t="n">
        <f aca="false">AH263*AQ263</f>
        <v>0</v>
      </c>
      <c r="BB263" s="320" t="n">
        <f aca="false">1.25*AJ263*AP263</f>
        <v>0</v>
      </c>
      <c r="BC263" s="320" t="n">
        <f aca="false">1.25*AK263*AQ263</f>
        <v>0</v>
      </c>
      <c r="BD263" s="321" t="n">
        <f aca="false">AG263*AS263</f>
        <v>0</v>
      </c>
      <c r="BE263" s="319" t="n">
        <f aca="false">AH263*AT263</f>
        <v>0</v>
      </c>
      <c r="BF263" s="320" t="n">
        <f aca="false">AJ263*AS263</f>
        <v>0</v>
      </c>
      <c r="BG263" s="322" t="n">
        <f aca="false">AK263*AT263</f>
        <v>0</v>
      </c>
      <c r="BH263" s="324" t="n">
        <f aca="false">IF(BH$24=$AA263,($AG263*$AM263)+($AJ263*$AM263*1.25)+($AH263*$AN263)+($AK263*$AN263*1.25),"")</f>
        <v>0</v>
      </c>
      <c r="BI263" s="325" t="str">
        <f aca="false">IF(BI$24=$AA263,($AG263*$AM263)+($AJ263*$AM263*1.25)+($AH263*$AN263)+($AK263*$AN263*1.25),"")</f>
        <v/>
      </c>
      <c r="BJ263" s="325" t="str">
        <f aca="false">IF(BJ$24=$AA263,($AG263*$AM263)+($AJ263*$AM263*1.25)+($AH263*$AN263)+($AK263*$AN263*1.25),"")</f>
        <v/>
      </c>
      <c r="BK263" s="325" t="str">
        <f aca="false">IF(BK$24=$AA263,($AG263*$AM263)+($AJ263*$AM263*1.25)+($AH263*$AN263)+($AK263*$AN263*1.25),"")</f>
        <v/>
      </c>
      <c r="BL263" s="326" t="str">
        <f aca="false">IF(BL$24=$AA263,($AG263*$AM263)+($AJ263*$AM263*1.25)+($AH263*$AN263)+($AK263*$AN263*1.25),"")</f>
        <v/>
      </c>
      <c r="BM263" s="327" t="str">
        <f aca="false">IF(CONCATENATE(BH263,BI263,BJ263,BK263,BL263)="",1,"")</f>
        <v/>
      </c>
      <c r="BN263" s="328"/>
      <c r="BO263" s="328"/>
      <c r="BP263" s="328"/>
      <c r="BQ263" s="328"/>
      <c r="BR263" s="47"/>
      <c r="BS263" s="127" t="n">
        <f aca="false">(AG263*AM263)+(AH263*AN263)+((AJ263*AM263)+(AK263*AN263)*1.25)</f>
        <v>0</v>
      </c>
      <c r="BT263" s="127" t="n">
        <f aca="false">(AG263*AP263)+(AH263*AQ263)+((AJ263*AP263)+(AK263*AQ263)*1.25)</f>
        <v>0</v>
      </c>
      <c r="BU263" s="329"/>
      <c r="BV263" s="129"/>
    </row>
    <row r="264" customFormat="false" ht="15" hidden="false" customHeight="false" outlineLevel="0" collapsed="false">
      <c r="A264" s="228"/>
      <c r="B264" s="229"/>
      <c r="C264" s="230"/>
      <c r="D264" s="231"/>
      <c r="E264" s="223" t="str">
        <f aca="false">IF(SUM(A264:D264)&gt;0,SUM(A264:D264),"")</f>
        <v/>
      </c>
      <c r="F264" s="224" t="str">
        <f aca="false">AD277</f>
        <v>CILANTRO</v>
      </c>
      <c r="G264" s="169"/>
      <c r="H264" s="169"/>
      <c r="I264" s="169"/>
      <c r="J264" s="169"/>
      <c r="K264" s="169"/>
      <c r="L264" s="169"/>
      <c r="M264" s="169"/>
      <c r="N264" s="169"/>
      <c r="O264" s="169"/>
      <c r="P264" s="169"/>
      <c r="Q264" s="169"/>
      <c r="R264" s="3"/>
      <c r="S264" s="3"/>
      <c r="T264" s="3"/>
      <c r="U264" s="3"/>
      <c r="V264" s="3"/>
      <c r="W264" s="3"/>
      <c r="X264" s="3"/>
      <c r="Y264" s="3"/>
      <c r="Z264" s="316" t="str">
        <f aca="false">IF(AF264&gt;0,RANK(AF264,AF$6:AF$422),"")</f>
        <v/>
      </c>
      <c r="AA264" s="134" t="n">
        <f aca="false">'O_MN, PE_UTA_UGM 2024'!N241</f>
        <v>1</v>
      </c>
      <c r="AB264" s="135" t="n">
        <f aca="false">'O_MN, PE_UTA_UGM 2024'!O241</f>
        <v>0</v>
      </c>
      <c r="AC264" s="317" t="n">
        <f aca="false">'O_MN, PE_UTA_UGM 2024'!C241</f>
        <v>239</v>
      </c>
      <c r="AD264" s="293" t="str">
        <f aca="false">IF(AB264=0,'O_MN, PE_UTA_UGM 2024'!F241,CONCATENATE('O_MN, PE_UTA_UGM 2024'!F241," ","INVERNADERO"))</f>
        <v>ALMORTA</v>
      </c>
      <c r="AE264" s="89"/>
      <c r="AF264" s="123" t="n">
        <f aca="false">SUM(AG264:AH264)+SUM(AJ264:AK264)</f>
        <v>0</v>
      </c>
      <c r="AG264" s="318" t="n">
        <f aca="false">A251</f>
        <v>0</v>
      </c>
      <c r="AH264" s="319" t="n">
        <f aca="false">B251</f>
        <v>0</v>
      </c>
      <c r="AI264" s="6"/>
      <c r="AJ264" s="320" t="n">
        <f aca="false">C251</f>
        <v>0</v>
      </c>
      <c r="AK264" s="320" t="n">
        <f aca="false">D251</f>
        <v>0</v>
      </c>
      <c r="AL264" s="237" t="s">
        <v>390</v>
      </c>
      <c r="AM264" s="299" t="n">
        <f aca="false">'O_MN, PE_UTA_UGM 2024'!J241</f>
        <v>186.91</v>
      </c>
      <c r="AN264" s="299" t="n">
        <f aca="false">'O_MN, PE_UTA_UGM 2024'!K241</f>
        <v>540.36</v>
      </c>
      <c r="AO264" s="300"/>
      <c r="AP264" s="299" t="n">
        <f aca="false">'O_MN, PE_UTA_UGM 2024'!H241</f>
        <v>114.19</v>
      </c>
      <c r="AQ264" s="299" t="n">
        <f aca="false">'O_MN, PE_UTA_UGM 2024'!I241</f>
        <v>240.4</v>
      </c>
      <c r="AR264" s="301"/>
      <c r="AS264" s="302" t="n">
        <f aca="false">'O_MN, PE_UTA_UGM 2024'!L241</f>
        <v>0.00465</v>
      </c>
      <c r="AT264" s="302" t="n">
        <f aca="false">'O_MN, PE_UTA_UGM 2024'!M241</f>
        <v>0.0098</v>
      </c>
      <c r="AU264" s="45"/>
      <c r="AV264" s="321" t="n">
        <f aca="false">AG264*AM264</f>
        <v>0</v>
      </c>
      <c r="AW264" s="319" t="n">
        <f aca="false">AH264*AN264</f>
        <v>0</v>
      </c>
      <c r="AX264" s="320" t="n">
        <f aca="false">1.25*AJ264*AM264</f>
        <v>0</v>
      </c>
      <c r="AY264" s="322" t="n">
        <f aca="false">1.25*AK264*AN264</f>
        <v>0</v>
      </c>
      <c r="AZ264" s="323" t="n">
        <f aca="false">AG264*AP264</f>
        <v>0</v>
      </c>
      <c r="BA264" s="319" t="n">
        <f aca="false">AH264*AQ264</f>
        <v>0</v>
      </c>
      <c r="BB264" s="320" t="n">
        <f aca="false">1.25*AJ264*AP264</f>
        <v>0</v>
      </c>
      <c r="BC264" s="320" t="n">
        <f aca="false">1.25*AK264*AQ264</f>
        <v>0</v>
      </c>
      <c r="BD264" s="321" t="n">
        <f aca="false">AG264*AS264</f>
        <v>0</v>
      </c>
      <c r="BE264" s="319" t="n">
        <f aca="false">AH264*AT264</f>
        <v>0</v>
      </c>
      <c r="BF264" s="320" t="n">
        <f aca="false">AJ264*AS264</f>
        <v>0</v>
      </c>
      <c r="BG264" s="322" t="n">
        <f aca="false">AK264*AT264</f>
        <v>0</v>
      </c>
      <c r="BH264" s="324" t="n">
        <f aca="false">IF(BH$24=$AA264,($AG264*$AM264)+($AJ264*$AM264*1.25)+($AH264*$AN264)+($AK264*$AN264*1.25),"")</f>
        <v>0</v>
      </c>
      <c r="BI264" s="325" t="str">
        <f aca="false">IF(BI$24=$AA264,($AG264*$AM264)+($AJ264*$AM264*1.25)+($AH264*$AN264)+($AK264*$AN264*1.25),"")</f>
        <v/>
      </c>
      <c r="BJ264" s="325" t="str">
        <f aca="false">IF(BJ$24=$AA264,($AG264*$AM264)+($AJ264*$AM264*1.25)+($AH264*$AN264)+($AK264*$AN264*1.25),"")</f>
        <v/>
      </c>
      <c r="BK264" s="325" t="str">
        <f aca="false">IF(BK$24=$AA264,($AG264*$AM264)+($AJ264*$AM264*1.25)+($AH264*$AN264)+($AK264*$AN264*1.25),"")</f>
        <v/>
      </c>
      <c r="BL264" s="326" t="str">
        <f aca="false">IF(BL$24=$AA264,($AG264*$AM264)+($AJ264*$AM264*1.25)+($AH264*$AN264)+($AK264*$AN264*1.25),"")</f>
        <v/>
      </c>
      <c r="BM264" s="327" t="str">
        <f aca="false">IF(CONCATENATE(BH264,BI264,BJ264,BK264,BL264)="",1,"")</f>
        <v/>
      </c>
      <c r="BN264" s="328"/>
      <c r="BO264" s="328"/>
      <c r="BP264" s="328"/>
      <c r="BQ264" s="328"/>
      <c r="BR264" s="47"/>
      <c r="BS264" s="127" t="n">
        <f aca="false">(AG264*AM264)+(AH264*AN264)+((AJ264*AM264)+(AK264*AN264)*1.25)</f>
        <v>0</v>
      </c>
      <c r="BT264" s="127" t="n">
        <f aca="false">(AG264*AP264)+(AH264*AQ264)+((AJ264*AP264)+(AK264*AQ264)*1.25)</f>
        <v>0</v>
      </c>
      <c r="BU264" s="329"/>
      <c r="BV264" s="129"/>
    </row>
    <row r="265" customFormat="false" ht="15" hidden="false" customHeight="false" outlineLevel="0" collapsed="false">
      <c r="A265" s="228"/>
      <c r="B265" s="229"/>
      <c r="C265" s="230"/>
      <c r="D265" s="231"/>
      <c r="E265" s="223" t="str">
        <f aca="false">IF(SUM(A265:D265)&gt;0,SUM(A265:D265),"")</f>
        <v/>
      </c>
      <c r="F265" s="224" t="str">
        <f aca="false">AD278</f>
        <v>ANÍS DULCE</v>
      </c>
      <c r="G265" s="169"/>
      <c r="H265" s="169"/>
      <c r="I265" s="169"/>
      <c r="J265" s="169"/>
      <c r="K265" s="169"/>
      <c r="L265" s="169"/>
      <c r="M265" s="169"/>
      <c r="N265" s="169"/>
      <c r="O265" s="169"/>
      <c r="P265" s="169"/>
      <c r="Q265" s="169"/>
      <c r="R265" s="3"/>
      <c r="S265" s="3"/>
      <c r="T265" s="3"/>
      <c r="U265" s="3"/>
      <c r="V265" s="3"/>
      <c r="W265" s="3"/>
      <c r="X265" s="3"/>
      <c r="Y265" s="3"/>
      <c r="Z265" s="316" t="str">
        <f aca="false">IF(AF265&gt;0,RANK(AF265,AF$6:AF$422),"")</f>
        <v/>
      </c>
      <c r="AA265" s="134" t="n">
        <f aca="false">'O_MN, PE_UTA_UGM 2024'!N242</f>
        <v>1</v>
      </c>
      <c r="AB265" s="135" t="n">
        <f aca="false">'O_MN, PE_UTA_UGM 2024'!O242</f>
        <v>0</v>
      </c>
      <c r="AC265" s="317" t="n">
        <f aca="false">'O_MN, PE_UTA_UGM 2024'!C242</f>
        <v>240</v>
      </c>
      <c r="AD265" s="293" t="str">
        <f aca="false">IF(AB265=0,'O_MN, PE_UTA_UGM 2024'!F242,CONCATENATE('O_MN, PE_UTA_UGM 2024'!F242," ","INVERNADERO"))</f>
        <v>TITARROS</v>
      </c>
      <c r="AE265" s="89"/>
      <c r="AF265" s="123" t="n">
        <f aca="false">SUM(AG265:AH265)+SUM(AJ265:AK265)</f>
        <v>0</v>
      </c>
      <c r="AG265" s="318" t="n">
        <f aca="false">A252</f>
        <v>0</v>
      </c>
      <c r="AH265" s="319" t="n">
        <f aca="false">B252</f>
        <v>0</v>
      </c>
      <c r="AI265" s="6"/>
      <c r="AJ265" s="320" t="n">
        <f aca="false">C252</f>
        <v>0</v>
      </c>
      <c r="AK265" s="320" t="n">
        <f aca="false">D252</f>
        <v>0</v>
      </c>
      <c r="AL265" s="237" t="s">
        <v>391</v>
      </c>
      <c r="AM265" s="299" t="n">
        <f aca="false">'O_MN, PE_UTA_UGM 2024'!J242</f>
        <v>186.91</v>
      </c>
      <c r="AN265" s="299" t="n">
        <f aca="false">'O_MN, PE_UTA_UGM 2024'!K242</f>
        <v>540.36</v>
      </c>
      <c r="AO265" s="300"/>
      <c r="AP265" s="299" t="n">
        <f aca="false">'O_MN, PE_UTA_UGM 2024'!H242</f>
        <v>114.19</v>
      </c>
      <c r="AQ265" s="299" t="n">
        <f aca="false">'O_MN, PE_UTA_UGM 2024'!I242</f>
        <v>240.4</v>
      </c>
      <c r="AR265" s="301"/>
      <c r="AS265" s="302" t="n">
        <f aca="false">'O_MN, PE_UTA_UGM 2024'!L242</f>
        <v>0.00465</v>
      </c>
      <c r="AT265" s="302" t="n">
        <f aca="false">'O_MN, PE_UTA_UGM 2024'!M242</f>
        <v>0.0098</v>
      </c>
      <c r="AU265" s="45"/>
      <c r="AV265" s="321" t="n">
        <f aca="false">AG265*AM265</f>
        <v>0</v>
      </c>
      <c r="AW265" s="319" t="n">
        <f aca="false">AH265*AN265</f>
        <v>0</v>
      </c>
      <c r="AX265" s="320" t="n">
        <f aca="false">1.25*AJ265*AM265</f>
        <v>0</v>
      </c>
      <c r="AY265" s="322" t="n">
        <f aca="false">1.25*AK265*AN265</f>
        <v>0</v>
      </c>
      <c r="AZ265" s="323" t="n">
        <f aca="false">AG265*AP265</f>
        <v>0</v>
      </c>
      <c r="BA265" s="319" t="n">
        <f aca="false">AH265*AQ265</f>
        <v>0</v>
      </c>
      <c r="BB265" s="320" t="n">
        <f aca="false">1.25*AJ265*AP265</f>
        <v>0</v>
      </c>
      <c r="BC265" s="320" t="n">
        <f aca="false">1.25*AK265*AQ265</f>
        <v>0</v>
      </c>
      <c r="BD265" s="321" t="n">
        <f aca="false">AG265*AS265</f>
        <v>0</v>
      </c>
      <c r="BE265" s="319" t="n">
        <f aca="false">AH265*AT265</f>
        <v>0</v>
      </c>
      <c r="BF265" s="320" t="n">
        <f aca="false">AJ265*AS265</f>
        <v>0</v>
      </c>
      <c r="BG265" s="322" t="n">
        <f aca="false">AK265*AT265</f>
        <v>0</v>
      </c>
      <c r="BH265" s="324" t="n">
        <f aca="false">IF(BH$24=$AA265,($AG265*$AM265)+($AJ265*$AM265*1.25)+($AH265*$AN265)+($AK265*$AN265*1.25),"")</f>
        <v>0</v>
      </c>
      <c r="BI265" s="325" t="str">
        <f aca="false">IF(BI$24=$AA265,($AG265*$AM265)+($AJ265*$AM265*1.25)+($AH265*$AN265)+($AK265*$AN265*1.25),"")</f>
        <v/>
      </c>
      <c r="BJ265" s="325" t="str">
        <f aca="false">IF(BJ$24=$AA265,($AG265*$AM265)+($AJ265*$AM265*1.25)+($AH265*$AN265)+($AK265*$AN265*1.25),"")</f>
        <v/>
      </c>
      <c r="BK265" s="325" t="str">
        <f aca="false">IF(BK$24=$AA265,($AG265*$AM265)+($AJ265*$AM265*1.25)+($AH265*$AN265)+($AK265*$AN265*1.25),"")</f>
        <v/>
      </c>
      <c r="BL265" s="326" t="str">
        <f aca="false">IF(BL$24=$AA265,($AG265*$AM265)+($AJ265*$AM265*1.25)+($AH265*$AN265)+($AK265*$AN265*1.25),"")</f>
        <v/>
      </c>
      <c r="BM265" s="327" t="str">
        <f aca="false">IF(CONCATENATE(BH265,BI265,BJ265,BK265,BL265)="",1,"")</f>
        <v/>
      </c>
      <c r="BN265" s="328"/>
      <c r="BO265" s="328"/>
      <c r="BP265" s="328"/>
      <c r="BQ265" s="328"/>
      <c r="BR265" s="47"/>
      <c r="BS265" s="127" t="n">
        <f aca="false">(AG265*AM265)+(AH265*AN265)+((AJ265*AM265)+(AK265*AN265)*1.25)</f>
        <v>0</v>
      </c>
      <c r="BT265" s="127" t="n">
        <f aca="false">(AG265*AP265)+(AH265*AQ265)+((AJ265*AP265)+(AK265*AQ265)*1.25)</f>
        <v>0</v>
      </c>
      <c r="BU265" s="329"/>
      <c r="BV265" s="129"/>
    </row>
    <row r="266" customFormat="false" ht="15" hidden="false" customHeight="false" outlineLevel="0" collapsed="false">
      <c r="A266" s="228"/>
      <c r="B266" s="229"/>
      <c r="C266" s="230"/>
      <c r="D266" s="231"/>
      <c r="E266" s="223" t="str">
        <f aca="false">IF(SUM(A266:D266)&gt;0,SUM(A266:D266),"")</f>
        <v/>
      </c>
      <c r="F266" s="224" t="str">
        <f aca="false">AD279</f>
        <v>ENELDO</v>
      </c>
      <c r="G266" s="169"/>
      <c r="H266" s="169"/>
      <c r="I266" s="169"/>
      <c r="J266" s="169"/>
      <c r="K266" s="169"/>
      <c r="L266" s="169"/>
      <c r="M266" s="169"/>
      <c r="N266" s="169"/>
      <c r="O266" s="169"/>
      <c r="P266" s="169"/>
      <c r="Q266" s="169"/>
      <c r="R266" s="3"/>
      <c r="S266" s="3"/>
      <c r="T266" s="3"/>
      <c r="U266" s="3"/>
      <c r="V266" s="3"/>
      <c r="W266" s="3"/>
      <c r="X266" s="3"/>
      <c r="Y266" s="3"/>
      <c r="Z266" s="316" t="str">
        <f aca="false">IF(AF266&gt;0,RANK(AF266,AF$6:AF$422),"")</f>
        <v/>
      </c>
      <c r="AA266" s="134" t="n">
        <f aca="false">'O_MN, PE_UTA_UGM 2024'!N243</f>
        <v>1</v>
      </c>
      <c r="AB266" s="135" t="n">
        <f aca="false">'O_MN, PE_UTA_UGM 2024'!O243</f>
        <v>0</v>
      </c>
      <c r="AC266" s="317" t="n">
        <f aca="false">'O_MN, PE_UTA_UGM 2024'!C243</f>
        <v>241</v>
      </c>
      <c r="AD266" s="293" t="str">
        <f aca="false">IF(AB266=0,'O_MN, PE_UTA_UGM 2024'!F243,CONCATENATE('O_MN, PE_UTA_UGM 2024'!F243," ","INVERNADERO"))</f>
        <v>MEZCLA AVENA-VEZA</v>
      </c>
      <c r="AE266" s="89"/>
      <c r="AF266" s="123" t="n">
        <f aca="false">SUM(AG266:AH266)+SUM(AJ266:AK266)</f>
        <v>0</v>
      </c>
      <c r="AG266" s="318" t="n">
        <f aca="false">A253</f>
        <v>0</v>
      </c>
      <c r="AH266" s="319" t="n">
        <f aca="false">B253</f>
        <v>0</v>
      </c>
      <c r="AI266" s="6"/>
      <c r="AJ266" s="320" t="n">
        <f aca="false">C253</f>
        <v>0</v>
      </c>
      <c r="AK266" s="320" t="n">
        <f aca="false">D253</f>
        <v>0</v>
      </c>
      <c r="AL266" s="237" t="s">
        <v>392</v>
      </c>
      <c r="AM266" s="299" t="n">
        <f aca="false">'O_MN, PE_UTA_UGM 2024'!J243</f>
        <v>400</v>
      </c>
      <c r="AN266" s="299" t="n">
        <f aca="false">'O_MN, PE_UTA_UGM 2024'!K243</f>
        <v>1000</v>
      </c>
      <c r="AO266" s="300"/>
      <c r="AP266" s="299" t="n">
        <f aca="false">'O_MN, PE_UTA_UGM 2024'!H243</f>
        <v>114.19</v>
      </c>
      <c r="AQ266" s="299" t="n">
        <f aca="false">'O_MN, PE_UTA_UGM 2024'!I243</f>
        <v>240.4</v>
      </c>
      <c r="AR266" s="301"/>
      <c r="AS266" s="302" t="n">
        <f aca="false">'O_MN, PE_UTA_UGM 2024'!L243</f>
        <v>0.00465</v>
      </c>
      <c r="AT266" s="302" t="n">
        <f aca="false">'O_MN, PE_UTA_UGM 2024'!M243</f>
        <v>0.0098</v>
      </c>
      <c r="AU266" s="45"/>
      <c r="AV266" s="321" t="n">
        <f aca="false">AG266*AM266</f>
        <v>0</v>
      </c>
      <c r="AW266" s="319" t="n">
        <f aca="false">AH266*AN266</f>
        <v>0</v>
      </c>
      <c r="AX266" s="320" t="n">
        <f aca="false">1.25*AJ266*AM266</f>
        <v>0</v>
      </c>
      <c r="AY266" s="322" t="n">
        <f aca="false">1.25*AK266*AN266</f>
        <v>0</v>
      </c>
      <c r="AZ266" s="323" t="n">
        <f aca="false">AG266*AP266</f>
        <v>0</v>
      </c>
      <c r="BA266" s="319" t="n">
        <f aca="false">AH266*AQ266</f>
        <v>0</v>
      </c>
      <c r="BB266" s="320" t="n">
        <f aca="false">1.25*AJ266*AP266</f>
        <v>0</v>
      </c>
      <c r="BC266" s="320" t="n">
        <f aca="false">1.25*AK266*AQ266</f>
        <v>0</v>
      </c>
      <c r="BD266" s="321" t="n">
        <f aca="false">AG266*AS266</f>
        <v>0</v>
      </c>
      <c r="BE266" s="319" t="n">
        <f aca="false">AH266*AT266</f>
        <v>0</v>
      </c>
      <c r="BF266" s="320" t="n">
        <f aca="false">AJ266*AS266</f>
        <v>0</v>
      </c>
      <c r="BG266" s="322" t="n">
        <f aca="false">AK266*AT266</f>
        <v>0</v>
      </c>
      <c r="BH266" s="324" t="n">
        <f aca="false">IF(BH$24=$AA266,($AG266*$AM266)+($AJ266*$AM266*1.25)+($AH266*$AN266)+($AK266*$AN266*1.25),"")</f>
        <v>0</v>
      </c>
      <c r="BI266" s="325" t="str">
        <f aca="false">IF(BI$24=$AA266,($AG266*$AM266)+($AJ266*$AM266*1.25)+($AH266*$AN266)+($AK266*$AN266*1.25),"")</f>
        <v/>
      </c>
      <c r="BJ266" s="325" t="str">
        <f aca="false">IF(BJ$24=$AA266,($AG266*$AM266)+($AJ266*$AM266*1.25)+($AH266*$AN266)+($AK266*$AN266*1.25),"")</f>
        <v/>
      </c>
      <c r="BK266" s="325" t="str">
        <f aca="false">IF(BK$24=$AA266,($AG266*$AM266)+($AJ266*$AM266*1.25)+($AH266*$AN266)+($AK266*$AN266*1.25),"")</f>
        <v/>
      </c>
      <c r="BL266" s="326" t="str">
        <f aca="false">IF(BL$24=$AA266,($AG266*$AM266)+($AJ266*$AM266*1.25)+($AH266*$AN266)+($AK266*$AN266*1.25),"")</f>
        <v/>
      </c>
      <c r="BM266" s="327" t="str">
        <f aca="false">IF(CONCATENATE(BH266,BI266,BJ266,BK266,BL266)="",1,"")</f>
        <v/>
      </c>
      <c r="BN266" s="328"/>
      <c r="BO266" s="328"/>
      <c r="BP266" s="328"/>
      <c r="BQ266" s="328"/>
      <c r="BR266" s="47"/>
      <c r="BS266" s="127" t="n">
        <f aca="false">(AG266*AM266)+(AH266*AN266)+((AJ266*AM266)+(AK266*AN266)*1.25)</f>
        <v>0</v>
      </c>
      <c r="BT266" s="127" t="n">
        <f aca="false">(AG266*AP266)+(AH266*AQ266)+((AJ266*AP266)+(AK266*AQ266)*1.25)</f>
        <v>0</v>
      </c>
      <c r="BU266" s="329"/>
      <c r="BV266" s="129"/>
    </row>
    <row r="267" customFormat="false" ht="15" hidden="false" customHeight="false" outlineLevel="0" collapsed="false">
      <c r="A267" s="228"/>
      <c r="B267" s="229"/>
      <c r="C267" s="230"/>
      <c r="D267" s="231"/>
      <c r="E267" s="223" t="str">
        <f aca="false">IF(SUM(A267:D267)&gt;0,SUM(A267:D267),"")</f>
        <v/>
      </c>
      <c r="F267" s="224" t="str">
        <f aca="false">AD280</f>
        <v>VALERIANA</v>
      </c>
      <c r="G267" s="169"/>
      <c r="H267" s="169"/>
      <c r="I267" s="169"/>
      <c r="J267" s="169"/>
      <c r="K267" s="169"/>
      <c r="L267" s="169"/>
      <c r="M267" s="169"/>
      <c r="N267" s="169"/>
      <c r="O267" s="169"/>
      <c r="P267" s="169"/>
      <c r="Q267" s="169"/>
      <c r="R267" s="3"/>
      <c r="S267" s="3"/>
      <c r="T267" s="3"/>
      <c r="U267" s="3"/>
      <c r="V267" s="3"/>
      <c r="W267" s="3"/>
      <c r="X267" s="3"/>
      <c r="Y267" s="3"/>
      <c r="Z267" s="316" t="str">
        <f aca="false">IF(AF267&gt;0,RANK(AF267,AF$6:AF$422),"")</f>
        <v/>
      </c>
      <c r="AA267" s="134" t="n">
        <f aca="false">'O_MN, PE_UTA_UGM 2024'!N244</f>
        <v>1</v>
      </c>
      <c r="AB267" s="135" t="n">
        <f aca="false">'O_MN, PE_UTA_UGM 2024'!O244</f>
        <v>0</v>
      </c>
      <c r="AC267" s="317" t="n">
        <f aca="false">'O_MN, PE_UTA_UGM 2024'!C244</f>
        <v>242</v>
      </c>
      <c r="AD267" s="293" t="str">
        <f aca="false">IF(AB267=0,'O_MN, PE_UTA_UGM 2024'!F244,CONCATENATE('O_MN, PE_UTA_UGM 2024'!F244," ","INVERNADERO"))</f>
        <v>MEZCLA TRITICALE-VEZA</v>
      </c>
      <c r="AE267" s="89"/>
      <c r="AF267" s="123" t="n">
        <f aca="false">SUM(AG267:AH267)+SUM(AJ267:AK267)</f>
        <v>0</v>
      </c>
      <c r="AG267" s="318" t="n">
        <f aca="false">A254</f>
        <v>0</v>
      </c>
      <c r="AH267" s="319" t="n">
        <f aca="false">B254</f>
        <v>0</v>
      </c>
      <c r="AI267" s="6"/>
      <c r="AJ267" s="320" t="n">
        <f aca="false">C254</f>
        <v>0</v>
      </c>
      <c r="AK267" s="320" t="n">
        <f aca="false">D254</f>
        <v>0</v>
      </c>
      <c r="AL267" s="237" t="s">
        <v>393</v>
      </c>
      <c r="AM267" s="299" t="n">
        <f aca="false">'O_MN, PE_UTA_UGM 2024'!J244</f>
        <v>400</v>
      </c>
      <c r="AN267" s="299" t="n">
        <f aca="false">'O_MN, PE_UTA_UGM 2024'!K244</f>
        <v>1000</v>
      </c>
      <c r="AO267" s="300"/>
      <c r="AP267" s="299" t="n">
        <f aca="false">'O_MN, PE_UTA_UGM 2024'!H244</f>
        <v>114.19</v>
      </c>
      <c r="AQ267" s="299" t="n">
        <f aca="false">'O_MN, PE_UTA_UGM 2024'!I244</f>
        <v>240.4</v>
      </c>
      <c r="AR267" s="301"/>
      <c r="AS267" s="302" t="n">
        <f aca="false">'O_MN, PE_UTA_UGM 2024'!L244</f>
        <v>0.00465</v>
      </c>
      <c r="AT267" s="302" t="n">
        <f aca="false">'O_MN, PE_UTA_UGM 2024'!M244</f>
        <v>0.0098</v>
      </c>
      <c r="AU267" s="45"/>
      <c r="AV267" s="321" t="n">
        <f aca="false">AG267*AM267</f>
        <v>0</v>
      </c>
      <c r="AW267" s="319" t="n">
        <f aca="false">AH267*AN267</f>
        <v>0</v>
      </c>
      <c r="AX267" s="320" t="n">
        <f aca="false">1.25*AJ267*AM267</f>
        <v>0</v>
      </c>
      <c r="AY267" s="322" t="n">
        <f aca="false">1.25*AK267*AN267</f>
        <v>0</v>
      </c>
      <c r="AZ267" s="323" t="n">
        <f aca="false">AG267*AP267</f>
        <v>0</v>
      </c>
      <c r="BA267" s="319" t="n">
        <f aca="false">AH267*AQ267</f>
        <v>0</v>
      </c>
      <c r="BB267" s="320" t="n">
        <f aca="false">1.25*AJ267*AP267</f>
        <v>0</v>
      </c>
      <c r="BC267" s="320" t="n">
        <f aca="false">1.25*AK267*AQ267</f>
        <v>0</v>
      </c>
      <c r="BD267" s="321" t="n">
        <f aca="false">AG267*AS267</f>
        <v>0</v>
      </c>
      <c r="BE267" s="319" t="n">
        <f aca="false">AH267*AT267</f>
        <v>0</v>
      </c>
      <c r="BF267" s="320" t="n">
        <f aca="false">AJ267*AS267</f>
        <v>0</v>
      </c>
      <c r="BG267" s="322" t="n">
        <f aca="false">AK267*AT267</f>
        <v>0</v>
      </c>
      <c r="BH267" s="324" t="n">
        <f aca="false">IF(BH$24=$AA267,($AG267*$AM267)+($AJ267*$AM267*1.25)+($AH267*$AN267)+($AK267*$AN267*1.25),"")</f>
        <v>0</v>
      </c>
      <c r="BI267" s="325" t="str">
        <f aca="false">IF(BI$24=$AA267,($AG267*$AM267)+($AJ267*$AM267*1.25)+($AH267*$AN267)+($AK267*$AN267*1.25),"")</f>
        <v/>
      </c>
      <c r="BJ267" s="325" t="str">
        <f aca="false">IF(BJ$24=$AA267,($AG267*$AM267)+($AJ267*$AM267*1.25)+($AH267*$AN267)+($AK267*$AN267*1.25),"")</f>
        <v/>
      </c>
      <c r="BK267" s="325" t="str">
        <f aca="false">IF(BK$24=$AA267,($AG267*$AM267)+($AJ267*$AM267*1.25)+($AH267*$AN267)+($AK267*$AN267*1.25),"")</f>
        <v/>
      </c>
      <c r="BL267" s="326" t="str">
        <f aca="false">IF(BL$24=$AA267,($AG267*$AM267)+($AJ267*$AM267*1.25)+($AH267*$AN267)+($AK267*$AN267*1.25),"")</f>
        <v/>
      </c>
      <c r="BM267" s="327" t="str">
        <f aca="false">IF(CONCATENATE(BH267,BI267,BJ267,BK267,BL267)="",1,"")</f>
        <v/>
      </c>
      <c r="BN267" s="328"/>
      <c r="BO267" s="328"/>
      <c r="BP267" s="328"/>
      <c r="BQ267" s="328"/>
      <c r="BR267" s="47"/>
      <c r="BS267" s="127" t="n">
        <f aca="false">(AG267*AM267)+(AH267*AN267)+((AJ267*AM267)+(AK267*AN267)*1.25)</f>
        <v>0</v>
      </c>
      <c r="BT267" s="127" t="n">
        <f aca="false">(AG267*AP267)+(AH267*AQ267)+((AJ267*AP267)+(AK267*AQ267)*1.25)</f>
        <v>0</v>
      </c>
      <c r="BU267" s="329"/>
      <c r="BV267" s="129"/>
    </row>
    <row r="268" customFormat="false" ht="15" hidden="false" customHeight="false" outlineLevel="0" collapsed="false">
      <c r="A268" s="228"/>
      <c r="B268" s="229"/>
      <c r="C268" s="230"/>
      <c r="D268" s="231"/>
      <c r="E268" s="223" t="str">
        <f aca="false">IF(SUM(A268:D268)&gt;0,SUM(A268:D268),"")</f>
        <v/>
      </c>
      <c r="F268" s="224" t="str">
        <f aca="false">AD281</f>
        <v>ARTEMISA</v>
      </c>
      <c r="G268" s="169"/>
      <c r="H268" s="169"/>
      <c r="I268" s="169"/>
      <c r="J268" s="169"/>
      <c r="K268" s="169"/>
      <c r="L268" s="169"/>
      <c r="M268" s="169"/>
      <c r="N268" s="169"/>
      <c r="O268" s="169"/>
      <c r="P268" s="169"/>
      <c r="Q268" s="169"/>
      <c r="R268" s="3"/>
      <c r="S268" s="3"/>
      <c r="T268" s="3"/>
      <c r="U268" s="3"/>
      <c r="V268" s="3"/>
      <c r="W268" s="3"/>
      <c r="X268" s="3"/>
      <c r="Y268" s="3"/>
      <c r="Z268" s="316" t="str">
        <f aca="false">IF(AF268&gt;0,RANK(AF268,AF$6:AF$422),"")</f>
        <v/>
      </c>
      <c r="AA268" s="134" t="n">
        <f aca="false">'O_MN, PE_UTA_UGM 2024'!N245</f>
        <v>1</v>
      </c>
      <c r="AB268" s="135" t="n">
        <f aca="false">'O_MN, PE_UTA_UGM 2024'!O245</f>
        <v>0</v>
      </c>
      <c r="AC268" s="317" t="n">
        <f aca="false">'O_MN, PE_UTA_UGM 2024'!C245</f>
        <v>243</v>
      </c>
      <c r="AD268" s="293" t="str">
        <f aca="false">IF(AB268=0,'O_MN, PE_UTA_UGM 2024'!F245,CONCATENATE('O_MN, PE_UTA_UGM 2024'!F245," ","INVERNADERO"))</f>
        <v>MEZCLA TRIGO-VEZA</v>
      </c>
      <c r="AE268" s="89"/>
      <c r="AF268" s="123" t="n">
        <f aca="false">SUM(AG268:AH268)+SUM(AJ268:AK268)</f>
        <v>0</v>
      </c>
      <c r="AG268" s="318" t="n">
        <f aca="false">A255</f>
        <v>0</v>
      </c>
      <c r="AH268" s="319" t="n">
        <f aca="false">B255</f>
        <v>0</v>
      </c>
      <c r="AI268" s="6"/>
      <c r="AJ268" s="320" t="n">
        <f aca="false">C255</f>
        <v>0</v>
      </c>
      <c r="AK268" s="320" t="n">
        <f aca="false">D255</f>
        <v>0</v>
      </c>
      <c r="AL268" s="237" t="s">
        <v>394</v>
      </c>
      <c r="AM268" s="299" t="n">
        <f aca="false">'O_MN, PE_UTA_UGM 2024'!J245</f>
        <v>400</v>
      </c>
      <c r="AN268" s="299" t="n">
        <f aca="false">'O_MN, PE_UTA_UGM 2024'!K245</f>
        <v>1000</v>
      </c>
      <c r="AO268" s="300"/>
      <c r="AP268" s="299" t="n">
        <f aca="false">'O_MN, PE_UTA_UGM 2024'!H245</f>
        <v>114.19</v>
      </c>
      <c r="AQ268" s="299" t="n">
        <f aca="false">'O_MN, PE_UTA_UGM 2024'!I245</f>
        <v>240.4</v>
      </c>
      <c r="AR268" s="301"/>
      <c r="AS268" s="302" t="n">
        <f aca="false">'O_MN, PE_UTA_UGM 2024'!L245</f>
        <v>0.00465</v>
      </c>
      <c r="AT268" s="302" t="n">
        <f aca="false">'O_MN, PE_UTA_UGM 2024'!M245</f>
        <v>0.0098</v>
      </c>
      <c r="AU268" s="45"/>
      <c r="AV268" s="321" t="n">
        <f aca="false">AG268*AM268</f>
        <v>0</v>
      </c>
      <c r="AW268" s="319" t="n">
        <f aca="false">AH268*AN268</f>
        <v>0</v>
      </c>
      <c r="AX268" s="320" t="n">
        <f aca="false">1.25*AJ268*AM268</f>
        <v>0</v>
      </c>
      <c r="AY268" s="322" t="n">
        <f aca="false">1.25*AK268*AN268</f>
        <v>0</v>
      </c>
      <c r="AZ268" s="323" t="n">
        <f aca="false">AG268*AP268</f>
        <v>0</v>
      </c>
      <c r="BA268" s="319" t="n">
        <f aca="false">AH268*AQ268</f>
        <v>0</v>
      </c>
      <c r="BB268" s="320" t="n">
        <f aca="false">1.25*AJ268*AP268</f>
        <v>0</v>
      </c>
      <c r="BC268" s="320" t="n">
        <f aca="false">1.25*AK268*AQ268</f>
        <v>0</v>
      </c>
      <c r="BD268" s="321" t="n">
        <f aca="false">AG268*AS268</f>
        <v>0</v>
      </c>
      <c r="BE268" s="319" t="n">
        <f aca="false">AH268*AT268</f>
        <v>0</v>
      </c>
      <c r="BF268" s="320" t="n">
        <f aca="false">AJ268*AS268</f>
        <v>0</v>
      </c>
      <c r="BG268" s="322" t="n">
        <f aca="false">AK268*AT268</f>
        <v>0</v>
      </c>
      <c r="BH268" s="324" t="n">
        <f aca="false">IF(BH$24=$AA268,($AG268*$AM268)+($AJ268*$AM268*1.25)+($AH268*$AN268)+($AK268*$AN268*1.25),"")</f>
        <v>0</v>
      </c>
      <c r="BI268" s="325" t="str">
        <f aca="false">IF(BI$24=$AA268,($AG268*$AM268)+($AJ268*$AM268*1.25)+($AH268*$AN268)+($AK268*$AN268*1.25),"")</f>
        <v/>
      </c>
      <c r="BJ268" s="325" t="str">
        <f aca="false">IF(BJ$24=$AA268,($AG268*$AM268)+($AJ268*$AM268*1.25)+($AH268*$AN268)+($AK268*$AN268*1.25),"")</f>
        <v/>
      </c>
      <c r="BK268" s="325" t="str">
        <f aca="false">IF(BK$24=$AA268,($AG268*$AM268)+($AJ268*$AM268*1.25)+($AH268*$AN268)+($AK268*$AN268*1.25),"")</f>
        <v/>
      </c>
      <c r="BL268" s="326" t="str">
        <f aca="false">IF(BL$24=$AA268,($AG268*$AM268)+($AJ268*$AM268*1.25)+($AH268*$AN268)+($AK268*$AN268*1.25),"")</f>
        <v/>
      </c>
      <c r="BM268" s="327" t="str">
        <f aca="false">IF(CONCATENATE(BH268,BI268,BJ268,BK268,BL268)="",1,"")</f>
        <v/>
      </c>
      <c r="BN268" s="328"/>
      <c r="BO268" s="328"/>
      <c r="BP268" s="328"/>
      <c r="BQ268" s="328"/>
      <c r="BR268" s="47"/>
      <c r="BS268" s="127" t="n">
        <f aca="false">(AG268*AM268)+(AH268*AN268)+((AJ268*AM268)+(AK268*AN268)*1.25)</f>
        <v>0</v>
      </c>
      <c r="BT268" s="127" t="n">
        <f aca="false">(AG268*AP268)+(AH268*AQ268)+((AJ268*AP268)+(AK268*AQ268)*1.25)</f>
        <v>0</v>
      </c>
      <c r="BU268" s="329"/>
      <c r="BV268" s="129"/>
    </row>
    <row r="269" customFormat="false" ht="15" hidden="false" customHeight="false" outlineLevel="0" collapsed="false">
      <c r="A269" s="228"/>
      <c r="B269" s="229"/>
      <c r="C269" s="230"/>
      <c r="D269" s="231"/>
      <c r="E269" s="223" t="str">
        <f aca="false">IF(SUM(A269:D269)&gt;0,SUM(A269:D269),"")</f>
        <v/>
      </c>
      <c r="F269" s="224" t="str">
        <f aca="false">AD282</f>
        <v>GENCIANA</v>
      </c>
      <c r="G269" s="169"/>
      <c r="H269" s="169"/>
      <c r="I269" s="169"/>
      <c r="J269" s="169"/>
      <c r="K269" s="169"/>
      <c r="L269" s="169"/>
      <c r="M269" s="169"/>
      <c r="N269" s="169"/>
      <c r="O269" s="169"/>
      <c r="P269" s="169"/>
      <c r="Q269" s="169"/>
      <c r="R269" s="3"/>
      <c r="S269" s="3"/>
      <c r="T269" s="3"/>
      <c r="U269" s="3"/>
      <c r="V269" s="3"/>
      <c r="W269" s="3"/>
      <c r="X269" s="3"/>
      <c r="Y269" s="3"/>
      <c r="Z269" s="316" t="str">
        <f aca="false">IF(AF269&gt;0,RANK(AF269,AF$6:AF$422),"")</f>
        <v/>
      </c>
      <c r="AA269" s="134" t="n">
        <f aca="false">'O_MN, PE_UTA_UGM 2024'!N246</f>
        <v>1</v>
      </c>
      <c r="AB269" s="135" t="n">
        <f aca="false">'O_MN, PE_UTA_UGM 2024'!O246</f>
        <v>0</v>
      </c>
      <c r="AC269" s="317" t="n">
        <f aca="false">'O_MN, PE_UTA_UGM 2024'!C246</f>
        <v>244</v>
      </c>
      <c r="AD269" s="293" t="str">
        <f aca="false">IF(AB269=0,'O_MN, PE_UTA_UGM 2024'!F246,CONCATENATE('O_MN, PE_UTA_UGM 2024'!F246," ","INVERNADERO"))</f>
        <v>MEZCLA CEBADA-VEZA</v>
      </c>
      <c r="AE269" s="89"/>
      <c r="AF269" s="123" t="n">
        <f aca="false">SUM(AG269:AH269)+SUM(AJ269:AK269)</f>
        <v>0</v>
      </c>
      <c r="AG269" s="318" t="n">
        <f aca="false">A256</f>
        <v>0</v>
      </c>
      <c r="AH269" s="319" t="n">
        <f aca="false">B256</f>
        <v>0</v>
      </c>
      <c r="AI269" s="6"/>
      <c r="AJ269" s="320" t="n">
        <f aca="false">C256</f>
        <v>0</v>
      </c>
      <c r="AK269" s="320" t="n">
        <f aca="false">D256</f>
        <v>0</v>
      </c>
      <c r="AL269" s="237" t="s">
        <v>395</v>
      </c>
      <c r="AM269" s="299" t="n">
        <f aca="false">'O_MN, PE_UTA_UGM 2024'!J246</f>
        <v>400</v>
      </c>
      <c r="AN269" s="299" t="n">
        <f aca="false">'O_MN, PE_UTA_UGM 2024'!K246</f>
        <v>1000</v>
      </c>
      <c r="AO269" s="300"/>
      <c r="AP269" s="299" t="n">
        <f aca="false">'O_MN, PE_UTA_UGM 2024'!H246</f>
        <v>114.19</v>
      </c>
      <c r="AQ269" s="299" t="n">
        <f aca="false">'O_MN, PE_UTA_UGM 2024'!I246</f>
        <v>240.4</v>
      </c>
      <c r="AR269" s="301"/>
      <c r="AS269" s="302" t="n">
        <f aca="false">'O_MN, PE_UTA_UGM 2024'!L246</f>
        <v>0.00465</v>
      </c>
      <c r="AT269" s="302" t="n">
        <f aca="false">'O_MN, PE_UTA_UGM 2024'!M246</f>
        <v>0.0098</v>
      </c>
      <c r="AU269" s="45"/>
      <c r="AV269" s="321" t="n">
        <f aca="false">AG269*AM269</f>
        <v>0</v>
      </c>
      <c r="AW269" s="319" t="n">
        <f aca="false">AH269*AN269</f>
        <v>0</v>
      </c>
      <c r="AX269" s="320" t="n">
        <f aca="false">1.25*AJ269*AM269</f>
        <v>0</v>
      </c>
      <c r="AY269" s="322" t="n">
        <f aca="false">1.25*AK269*AN269</f>
        <v>0</v>
      </c>
      <c r="AZ269" s="323" t="n">
        <f aca="false">AG269*AP269</f>
        <v>0</v>
      </c>
      <c r="BA269" s="319" t="n">
        <f aca="false">AH269*AQ269</f>
        <v>0</v>
      </c>
      <c r="BB269" s="320" t="n">
        <f aca="false">1.25*AJ269*AP269</f>
        <v>0</v>
      </c>
      <c r="BC269" s="320" t="n">
        <f aca="false">1.25*AK269*AQ269</f>
        <v>0</v>
      </c>
      <c r="BD269" s="321" t="n">
        <f aca="false">AG269*AS269</f>
        <v>0</v>
      </c>
      <c r="BE269" s="319" t="n">
        <f aca="false">AH269*AT269</f>
        <v>0</v>
      </c>
      <c r="BF269" s="320" t="n">
        <f aca="false">AJ269*AS269</f>
        <v>0</v>
      </c>
      <c r="BG269" s="322" t="n">
        <f aca="false">AK269*AT269</f>
        <v>0</v>
      </c>
      <c r="BH269" s="324" t="n">
        <f aca="false">IF(BH$24=$AA269,($AG269*$AM269)+($AJ269*$AM269*1.25)+($AH269*$AN269)+($AK269*$AN269*1.25),"")</f>
        <v>0</v>
      </c>
      <c r="BI269" s="325" t="str">
        <f aca="false">IF(BI$24=$AA269,($AG269*$AM269)+($AJ269*$AM269*1.25)+($AH269*$AN269)+($AK269*$AN269*1.25),"")</f>
        <v/>
      </c>
      <c r="BJ269" s="325" t="str">
        <f aca="false">IF(BJ$24=$AA269,($AG269*$AM269)+($AJ269*$AM269*1.25)+($AH269*$AN269)+($AK269*$AN269*1.25),"")</f>
        <v/>
      </c>
      <c r="BK269" s="325" t="str">
        <f aca="false">IF(BK$24=$AA269,($AG269*$AM269)+($AJ269*$AM269*1.25)+($AH269*$AN269)+($AK269*$AN269*1.25),"")</f>
        <v/>
      </c>
      <c r="BL269" s="326" t="str">
        <f aca="false">IF(BL$24=$AA269,($AG269*$AM269)+($AJ269*$AM269*1.25)+($AH269*$AN269)+($AK269*$AN269*1.25),"")</f>
        <v/>
      </c>
      <c r="BM269" s="327" t="str">
        <f aca="false">IF(CONCATENATE(BH269,BI269,BJ269,BK269,BL269)="",1,"")</f>
        <v/>
      </c>
      <c r="BN269" s="328"/>
      <c r="BO269" s="328"/>
      <c r="BP269" s="328"/>
      <c r="BQ269" s="328"/>
      <c r="BR269" s="47"/>
      <c r="BS269" s="127" t="n">
        <f aca="false">(AG269*AM269)+(AH269*AN269)+((AJ269*AM269)+(AK269*AN269)*1.25)</f>
        <v>0</v>
      </c>
      <c r="BT269" s="127" t="n">
        <f aca="false">(AG269*AP269)+(AH269*AQ269)+((AJ269*AP269)+(AK269*AQ269)*1.25)</f>
        <v>0</v>
      </c>
      <c r="BU269" s="329"/>
      <c r="BV269" s="129"/>
    </row>
    <row r="270" customFormat="false" ht="15" hidden="false" customHeight="false" outlineLevel="0" collapsed="false">
      <c r="A270" s="228"/>
      <c r="B270" s="229"/>
      <c r="C270" s="230"/>
      <c r="D270" s="231"/>
      <c r="E270" s="223" t="str">
        <f aca="false">IF(SUM(A270:D270)&gt;0,SUM(A270:D270),"")</f>
        <v/>
      </c>
      <c r="F270" s="224" t="str">
        <f aca="false">AD283</f>
        <v>HISOPO</v>
      </c>
      <c r="G270" s="169"/>
      <c r="H270" s="169"/>
      <c r="I270" s="169"/>
      <c r="J270" s="169"/>
      <c r="K270" s="169"/>
      <c r="L270" s="169"/>
      <c r="M270" s="169"/>
      <c r="N270" s="169"/>
      <c r="O270" s="169"/>
      <c r="P270" s="169"/>
      <c r="Q270" s="169"/>
      <c r="R270" s="3"/>
      <c r="S270" s="3"/>
      <c r="T270" s="3"/>
      <c r="U270" s="3"/>
      <c r="V270" s="3"/>
      <c r="W270" s="3"/>
      <c r="X270" s="3"/>
      <c r="Y270" s="3"/>
      <c r="Z270" s="316" t="str">
        <f aca="false">IF(AF270&gt;0,RANK(AF270,AF$6:AF$422),"")</f>
        <v/>
      </c>
      <c r="AA270" s="134" t="n">
        <f aca="false">'O_MN, PE_UTA_UGM 2024'!N247</f>
        <v>1</v>
      </c>
      <c r="AB270" s="135" t="n">
        <f aca="false">'O_MN, PE_UTA_UGM 2024'!O247</f>
        <v>0</v>
      </c>
      <c r="AC270" s="317" t="n">
        <f aca="false">'O_MN, PE_UTA_UGM 2024'!C247</f>
        <v>245</v>
      </c>
      <c r="AD270" s="293" t="str">
        <f aca="false">IF(AB270=0,'O_MN, PE_UTA_UGM 2024'!F247,CONCATENATE('O_MN, PE_UTA_UGM 2024'!F247," ","INVERNADERO"))</f>
        <v>MEZCLA AVENA-ZULLA</v>
      </c>
      <c r="AE270" s="89"/>
      <c r="AF270" s="123" t="n">
        <f aca="false">SUM(AG270:AH270)+SUM(AJ270:AK270)</f>
        <v>0</v>
      </c>
      <c r="AG270" s="318" t="n">
        <f aca="false">A257</f>
        <v>0</v>
      </c>
      <c r="AH270" s="319" t="n">
        <f aca="false">B257</f>
        <v>0</v>
      </c>
      <c r="AI270" s="6"/>
      <c r="AJ270" s="320" t="n">
        <f aca="false">C257</f>
        <v>0</v>
      </c>
      <c r="AK270" s="320" t="n">
        <f aca="false">D257</f>
        <v>0</v>
      </c>
      <c r="AL270" s="237" t="s">
        <v>396</v>
      </c>
      <c r="AM270" s="299" t="n">
        <f aca="false">'O_MN, PE_UTA_UGM 2024'!J247</f>
        <v>400</v>
      </c>
      <c r="AN270" s="299" t="n">
        <f aca="false">'O_MN, PE_UTA_UGM 2024'!K247</f>
        <v>1000</v>
      </c>
      <c r="AO270" s="300"/>
      <c r="AP270" s="299" t="n">
        <f aca="false">'O_MN, PE_UTA_UGM 2024'!H247</f>
        <v>114.19</v>
      </c>
      <c r="AQ270" s="299" t="n">
        <f aca="false">'O_MN, PE_UTA_UGM 2024'!I247</f>
        <v>240.4</v>
      </c>
      <c r="AR270" s="301"/>
      <c r="AS270" s="302" t="n">
        <f aca="false">'O_MN, PE_UTA_UGM 2024'!L247</f>
        <v>0.00465</v>
      </c>
      <c r="AT270" s="302" t="n">
        <f aca="false">'O_MN, PE_UTA_UGM 2024'!M247</f>
        <v>0.0098</v>
      </c>
      <c r="AU270" s="45"/>
      <c r="AV270" s="321" t="n">
        <f aca="false">AG270*AM270</f>
        <v>0</v>
      </c>
      <c r="AW270" s="319" t="n">
        <f aca="false">AH270*AN270</f>
        <v>0</v>
      </c>
      <c r="AX270" s="320" t="n">
        <f aca="false">1.25*AJ270*AM270</f>
        <v>0</v>
      </c>
      <c r="AY270" s="322" t="n">
        <f aca="false">1.25*AK270*AN270</f>
        <v>0</v>
      </c>
      <c r="AZ270" s="323" t="n">
        <f aca="false">AG270*AP270</f>
        <v>0</v>
      </c>
      <c r="BA270" s="319" t="n">
        <f aca="false">AH270*AQ270</f>
        <v>0</v>
      </c>
      <c r="BB270" s="320" t="n">
        <f aca="false">1.25*AJ270*AP270</f>
        <v>0</v>
      </c>
      <c r="BC270" s="320" t="n">
        <f aca="false">1.25*AK270*AQ270</f>
        <v>0</v>
      </c>
      <c r="BD270" s="321" t="n">
        <f aca="false">AG270*AS270</f>
        <v>0</v>
      </c>
      <c r="BE270" s="319" t="n">
        <f aca="false">AH270*AT270</f>
        <v>0</v>
      </c>
      <c r="BF270" s="320" t="n">
        <f aca="false">AJ270*AS270</f>
        <v>0</v>
      </c>
      <c r="BG270" s="322" t="n">
        <f aca="false">AK270*AT270</f>
        <v>0</v>
      </c>
      <c r="BH270" s="324" t="n">
        <f aca="false">IF(BH$24=$AA270,($AG270*$AM270)+($AJ270*$AM270*1.25)+($AH270*$AN270)+($AK270*$AN270*1.25),"")</f>
        <v>0</v>
      </c>
      <c r="BI270" s="325" t="str">
        <f aca="false">IF(BI$24=$AA270,($AG270*$AM270)+($AJ270*$AM270*1.25)+($AH270*$AN270)+($AK270*$AN270*1.25),"")</f>
        <v/>
      </c>
      <c r="BJ270" s="325" t="str">
        <f aca="false">IF(BJ$24=$AA270,($AG270*$AM270)+($AJ270*$AM270*1.25)+($AH270*$AN270)+($AK270*$AN270*1.25),"")</f>
        <v/>
      </c>
      <c r="BK270" s="325" t="str">
        <f aca="false">IF(BK$24=$AA270,($AG270*$AM270)+($AJ270*$AM270*1.25)+($AH270*$AN270)+($AK270*$AN270*1.25),"")</f>
        <v/>
      </c>
      <c r="BL270" s="326" t="str">
        <f aca="false">IF(BL$24=$AA270,($AG270*$AM270)+($AJ270*$AM270*1.25)+($AH270*$AN270)+($AK270*$AN270*1.25),"")</f>
        <v/>
      </c>
      <c r="BM270" s="327" t="str">
        <f aca="false">IF(CONCATENATE(BH270,BI270,BJ270,BK270,BL270)="",1,"")</f>
        <v/>
      </c>
      <c r="BN270" s="328"/>
      <c r="BO270" s="328"/>
      <c r="BP270" s="328"/>
      <c r="BQ270" s="328"/>
      <c r="BR270" s="47"/>
      <c r="BS270" s="127" t="n">
        <f aca="false">(AG270*AM270)+(AH270*AN270)+((AJ270*AM270)+(AK270*AN270)*1.25)</f>
        <v>0</v>
      </c>
      <c r="BT270" s="127" t="n">
        <f aca="false">(AG270*AP270)+(AH270*AQ270)+((AJ270*AP270)+(AK270*AQ270)*1.25)</f>
        <v>0</v>
      </c>
      <c r="BU270" s="329"/>
      <c r="BV270" s="129"/>
    </row>
    <row r="271" customFormat="false" ht="15" hidden="false" customHeight="false" outlineLevel="0" collapsed="false">
      <c r="A271" s="228"/>
      <c r="B271" s="229"/>
      <c r="C271" s="230"/>
      <c r="D271" s="231"/>
      <c r="E271" s="223" t="str">
        <f aca="false">IF(SUM(A271:D271)&gt;0,SUM(A271:D271),"")</f>
        <v/>
      </c>
      <c r="F271" s="224" t="str">
        <f aca="false">AD284</f>
        <v>HINOJO</v>
      </c>
      <c r="G271" s="169"/>
      <c r="H271" s="169"/>
      <c r="I271" s="169"/>
      <c r="J271" s="169"/>
      <c r="K271" s="169"/>
      <c r="L271" s="169"/>
      <c r="M271" s="169"/>
      <c r="N271" s="169"/>
      <c r="O271" s="169"/>
      <c r="P271" s="169"/>
      <c r="Q271" s="169"/>
      <c r="R271" s="3"/>
      <c r="S271" s="3"/>
      <c r="T271" s="3"/>
      <c r="U271" s="3"/>
      <c r="V271" s="3"/>
      <c r="W271" s="3"/>
      <c r="X271" s="3"/>
      <c r="Y271" s="3"/>
      <c r="Z271" s="316" t="str">
        <f aca="false">IF(AF271&gt;0,RANK(AF271,AF$6:AF$422),"")</f>
        <v/>
      </c>
      <c r="AA271" s="134" t="n">
        <f aca="false">'O_MN, PE_UTA_UGM 2024'!N248</f>
        <v>1</v>
      </c>
      <c r="AB271" s="135" t="n">
        <f aca="false">'O_MN, PE_UTA_UGM 2024'!O248</f>
        <v>0</v>
      </c>
      <c r="AC271" s="317" t="n">
        <f aca="false">'O_MN, PE_UTA_UGM 2024'!C248</f>
        <v>246</v>
      </c>
      <c r="AD271" s="293" t="str">
        <f aca="false">IF(AB271=0,'O_MN, PE_UTA_UGM 2024'!F248,CONCATENATE('O_MN, PE_UTA_UGM 2024'!F248," ","INVERNADERO"))</f>
        <v>MEZCLA CEBADA-ZULLA</v>
      </c>
      <c r="AE271" s="89"/>
      <c r="AF271" s="123" t="n">
        <f aca="false">SUM(AG271:AH271)+SUM(AJ271:AK271)</f>
        <v>0</v>
      </c>
      <c r="AG271" s="318" t="n">
        <f aca="false">A258</f>
        <v>0</v>
      </c>
      <c r="AH271" s="319" t="n">
        <f aca="false">B258</f>
        <v>0</v>
      </c>
      <c r="AI271" s="6"/>
      <c r="AJ271" s="320" t="n">
        <f aca="false">C258</f>
        <v>0</v>
      </c>
      <c r="AK271" s="320" t="n">
        <f aca="false">D258</f>
        <v>0</v>
      </c>
      <c r="AL271" s="237" t="s">
        <v>397</v>
      </c>
      <c r="AM271" s="299" t="n">
        <f aca="false">'O_MN, PE_UTA_UGM 2024'!J248</f>
        <v>400</v>
      </c>
      <c r="AN271" s="299" t="n">
        <f aca="false">'O_MN, PE_UTA_UGM 2024'!K248</f>
        <v>1000</v>
      </c>
      <c r="AO271" s="300"/>
      <c r="AP271" s="299" t="n">
        <f aca="false">'O_MN, PE_UTA_UGM 2024'!H248</f>
        <v>114.19</v>
      </c>
      <c r="AQ271" s="299" t="n">
        <f aca="false">'O_MN, PE_UTA_UGM 2024'!I248</f>
        <v>240.4</v>
      </c>
      <c r="AR271" s="301"/>
      <c r="AS271" s="302" t="n">
        <f aca="false">'O_MN, PE_UTA_UGM 2024'!L248</f>
        <v>0.00465</v>
      </c>
      <c r="AT271" s="302" t="n">
        <f aca="false">'O_MN, PE_UTA_UGM 2024'!M248</f>
        <v>0.0098</v>
      </c>
      <c r="AU271" s="45"/>
      <c r="AV271" s="321" t="n">
        <f aca="false">AG271*AM271</f>
        <v>0</v>
      </c>
      <c r="AW271" s="319" t="n">
        <f aca="false">AH271*AN271</f>
        <v>0</v>
      </c>
      <c r="AX271" s="320" t="n">
        <f aca="false">1.25*AJ271*AM271</f>
        <v>0</v>
      </c>
      <c r="AY271" s="322" t="n">
        <f aca="false">1.25*AK271*AN271</f>
        <v>0</v>
      </c>
      <c r="AZ271" s="323" t="n">
        <f aca="false">AG271*AP271</f>
        <v>0</v>
      </c>
      <c r="BA271" s="319" t="n">
        <f aca="false">AH271*AQ271</f>
        <v>0</v>
      </c>
      <c r="BB271" s="320" t="n">
        <f aca="false">1.25*AJ271*AP271</f>
        <v>0</v>
      </c>
      <c r="BC271" s="320" t="n">
        <f aca="false">1.25*AK271*AQ271</f>
        <v>0</v>
      </c>
      <c r="BD271" s="321" t="n">
        <f aca="false">AG271*AS271</f>
        <v>0</v>
      </c>
      <c r="BE271" s="319" t="n">
        <f aca="false">AH271*AT271</f>
        <v>0</v>
      </c>
      <c r="BF271" s="320" t="n">
        <f aca="false">AJ271*AS271</f>
        <v>0</v>
      </c>
      <c r="BG271" s="322" t="n">
        <f aca="false">AK271*AT271</f>
        <v>0</v>
      </c>
      <c r="BH271" s="324" t="n">
        <f aca="false">IF(BH$24=$AA271,($AG271*$AM271)+($AJ271*$AM271*1.25)+($AH271*$AN271)+($AK271*$AN271*1.25),"")</f>
        <v>0</v>
      </c>
      <c r="BI271" s="325" t="str">
        <f aca="false">IF(BI$24=$AA271,($AG271*$AM271)+($AJ271*$AM271*1.25)+($AH271*$AN271)+($AK271*$AN271*1.25),"")</f>
        <v/>
      </c>
      <c r="BJ271" s="325" t="str">
        <f aca="false">IF(BJ$24=$AA271,($AG271*$AM271)+($AJ271*$AM271*1.25)+($AH271*$AN271)+($AK271*$AN271*1.25),"")</f>
        <v/>
      </c>
      <c r="BK271" s="325" t="str">
        <f aca="false">IF(BK$24=$AA271,($AG271*$AM271)+($AJ271*$AM271*1.25)+($AH271*$AN271)+($AK271*$AN271*1.25),"")</f>
        <v/>
      </c>
      <c r="BL271" s="326" t="str">
        <f aca="false">IF(BL$24=$AA271,($AG271*$AM271)+($AJ271*$AM271*1.25)+($AH271*$AN271)+($AK271*$AN271*1.25),"")</f>
        <v/>
      </c>
      <c r="BM271" s="327" t="str">
        <f aca="false">IF(CONCATENATE(BH271,BI271,BJ271,BK271,BL271)="",1,"")</f>
        <v/>
      </c>
      <c r="BN271" s="328"/>
      <c r="BO271" s="328"/>
      <c r="BP271" s="328"/>
      <c r="BQ271" s="328"/>
      <c r="BR271" s="47"/>
      <c r="BS271" s="127" t="n">
        <f aca="false">(AG271*AM271)+(AH271*AN271)+((AJ271*AM271)+(AK271*AN271)*1.25)</f>
        <v>0</v>
      </c>
      <c r="BT271" s="127" t="n">
        <f aca="false">(AG271*AP271)+(AH271*AQ271)+((AJ271*AP271)+(AK271*AQ271)*1.25)</f>
        <v>0</v>
      </c>
      <c r="BU271" s="329"/>
      <c r="BV271" s="129"/>
    </row>
    <row r="272" customFormat="false" ht="15" hidden="false" customHeight="false" outlineLevel="0" collapsed="false">
      <c r="A272" s="228"/>
      <c r="B272" s="229"/>
      <c r="C272" s="230"/>
      <c r="D272" s="231"/>
      <c r="E272" s="223" t="str">
        <f aca="false">IF(SUM(A272:D272)&gt;0,SUM(A272:D272),"")</f>
        <v/>
      </c>
      <c r="F272" s="224" t="str">
        <f aca="false">AD285</f>
        <v>PEREJIL</v>
      </c>
      <c r="G272" s="169"/>
      <c r="H272" s="169"/>
      <c r="I272" s="169"/>
      <c r="J272" s="169"/>
      <c r="K272" s="169"/>
      <c r="L272" s="169"/>
      <c r="M272" s="169"/>
      <c r="N272" s="169"/>
      <c r="O272" s="169"/>
      <c r="P272" s="169"/>
      <c r="Q272" s="169"/>
      <c r="R272" s="3"/>
      <c r="S272" s="3"/>
      <c r="T272" s="3"/>
      <c r="U272" s="3"/>
      <c r="V272" s="3"/>
      <c r="W272" s="3"/>
      <c r="X272" s="3"/>
      <c r="Y272" s="3"/>
      <c r="Z272" s="316" t="str">
        <f aca="false">IF(AF272&gt;0,RANK(AF272,AF$6:AF$422),"")</f>
        <v/>
      </c>
      <c r="AA272" s="134" t="n">
        <f aca="false">'O_MN, PE_UTA_UGM 2024'!N249</f>
        <v>1</v>
      </c>
      <c r="AB272" s="135" t="n">
        <f aca="false">'O_MN, PE_UTA_UGM 2024'!O249</f>
        <v>0</v>
      </c>
      <c r="AC272" s="317" t="n">
        <f aca="false">'O_MN, PE_UTA_UGM 2024'!C249</f>
        <v>247</v>
      </c>
      <c r="AD272" s="293" t="str">
        <f aca="false">IF(AB272=0,'O_MN, PE_UTA_UGM 2024'!F249,CONCATENATE('O_MN, PE_UTA_UGM 2024'!F249," ","INVERNADERO"))</f>
        <v>CULTIVOS MIXTOS DE ESPECIES PRATENSES</v>
      </c>
      <c r="AE272" s="89"/>
      <c r="AF272" s="123" t="n">
        <f aca="false">SUM(AG272:AH272)+SUM(AJ272:AK272)</f>
        <v>0</v>
      </c>
      <c r="AG272" s="318" t="n">
        <f aca="false">A259</f>
        <v>0</v>
      </c>
      <c r="AH272" s="319" t="n">
        <f aca="false">B259</f>
        <v>0</v>
      </c>
      <c r="AI272" s="6"/>
      <c r="AJ272" s="320" t="n">
        <f aca="false">C259</f>
        <v>0</v>
      </c>
      <c r="AK272" s="320" t="n">
        <f aca="false">D259</f>
        <v>0</v>
      </c>
      <c r="AL272" s="237" t="s">
        <v>398</v>
      </c>
      <c r="AM272" s="299" t="n">
        <f aca="false">'O_MN, PE_UTA_UGM 2024'!J249</f>
        <v>400</v>
      </c>
      <c r="AN272" s="299" t="n">
        <f aca="false">'O_MN, PE_UTA_UGM 2024'!K249</f>
        <v>1000</v>
      </c>
      <c r="AO272" s="300"/>
      <c r="AP272" s="299" t="n">
        <f aca="false">'O_MN, PE_UTA_UGM 2024'!H249</f>
        <v>114.19</v>
      </c>
      <c r="AQ272" s="299" t="n">
        <f aca="false">'O_MN, PE_UTA_UGM 2024'!I249</f>
        <v>270.46</v>
      </c>
      <c r="AR272" s="301"/>
      <c r="AS272" s="302" t="n">
        <f aca="false">'O_MN, PE_UTA_UGM 2024'!L249</f>
        <v>0.00465</v>
      </c>
      <c r="AT272" s="302" t="n">
        <f aca="false">'O_MN, PE_UTA_UGM 2024'!M249</f>
        <v>0.01102</v>
      </c>
      <c r="AU272" s="45"/>
      <c r="AV272" s="321" t="n">
        <f aca="false">AG272*AM272</f>
        <v>0</v>
      </c>
      <c r="AW272" s="319" t="n">
        <f aca="false">AH272*AN272</f>
        <v>0</v>
      </c>
      <c r="AX272" s="320" t="n">
        <f aca="false">1.25*AJ272*AM272</f>
        <v>0</v>
      </c>
      <c r="AY272" s="322" t="n">
        <f aca="false">1.25*AK272*AN272</f>
        <v>0</v>
      </c>
      <c r="AZ272" s="323" t="n">
        <f aca="false">AG272*AP272</f>
        <v>0</v>
      </c>
      <c r="BA272" s="319" t="n">
        <f aca="false">AH272*AQ272</f>
        <v>0</v>
      </c>
      <c r="BB272" s="320" t="n">
        <f aca="false">1.25*AJ272*AP272</f>
        <v>0</v>
      </c>
      <c r="BC272" s="320" t="n">
        <f aca="false">1.25*AK272*AQ272</f>
        <v>0</v>
      </c>
      <c r="BD272" s="321" t="n">
        <f aca="false">AG272*AS272</f>
        <v>0</v>
      </c>
      <c r="BE272" s="319" t="n">
        <f aca="false">AH272*AT272</f>
        <v>0</v>
      </c>
      <c r="BF272" s="320" t="n">
        <f aca="false">AJ272*AS272</f>
        <v>0</v>
      </c>
      <c r="BG272" s="322" t="n">
        <f aca="false">AK272*AT272</f>
        <v>0</v>
      </c>
      <c r="BH272" s="324" t="n">
        <f aca="false">IF(BH$24=$AA272,($AG272*$AM272)+($AJ272*$AM272*1.25)+($AH272*$AN272)+($AK272*$AN272*1.25),"")</f>
        <v>0</v>
      </c>
      <c r="BI272" s="325" t="str">
        <f aca="false">IF(BI$24=$AA272,($AG272*$AM272)+($AJ272*$AM272*1.25)+($AH272*$AN272)+($AK272*$AN272*1.25),"")</f>
        <v/>
      </c>
      <c r="BJ272" s="325" t="str">
        <f aca="false">IF(BJ$24=$AA272,($AG272*$AM272)+($AJ272*$AM272*1.25)+($AH272*$AN272)+($AK272*$AN272*1.25),"")</f>
        <v/>
      </c>
      <c r="BK272" s="325" t="str">
        <f aca="false">IF(BK$24=$AA272,($AG272*$AM272)+($AJ272*$AM272*1.25)+($AH272*$AN272)+($AK272*$AN272*1.25),"")</f>
        <v/>
      </c>
      <c r="BL272" s="326" t="str">
        <f aca="false">IF(BL$24=$AA272,($AG272*$AM272)+($AJ272*$AM272*1.25)+($AH272*$AN272)+($AK272*$AN272*1.25),"")</f>
        <v/>
      </c>
      <c r="BM272" s="327" t="str">
        <f aca="false">IF(CONCATENATE(BH272,BI272,BJ272,BK272,BL272)="",1,"")</f>
        <v/>
      </c>
      <c r="BN272" s="328"/>
      <c r="BO272" s="328"/>
      <c r="BP272" s="328"/>
      <c r="BQ272" s="328"/>
      <c r="BR272" s="47"/>
      <c r="BS272" s="127" t="n">
        <f aca="false">(AG272*AM272)+(AH272*AN272)+((AJ272*AM272)+(AK272*AN272)*1.25)</f>
        <v>0</v>
      </c>
      <c r="BT272" s="127" t="n">
        <f aca="false">(AG272*AP272)+(AH272*AQ272)+((AJ272*AP272)+(AK272*AQ272)*1.25)</f>
        <v>0</v>
      </c>
      <c r="BU272" s="329"/>
      <c r="BV272" s="129"/>
    </row>
    <row r="273" customFormat="false" ht="15" hidden="false" customHeight="false" outlineLevel="0" collapsed="false">
      <c r="A273" s="228"/>
      <c r="B273" s="229"/>
      <c r="C273" s="230"/>
      <c r="D273" s="231"/>
      <c r="E273" s="223" t="str">
        <f aca="false">IF(SUM(A273:D273)&gt;0,SUM(A273:D273),"")</f>
        <v/>
      </c>
      <c r="F273" s="224" t="str">
        <f aca="false">AD286</f>
        <v>AZAFRÁN</v>
      </c>
      <c r="G273" s="169"/>
      <c r="H273" s="169"/>
      <c r="I273" s="169"/>
      <c r="J273" s="169"/>
      <c r="K273" s="169"/>
      <c r="L273" s="169"/>
      <c r="M273" s="169"/>
      <c r="N273" s="169"/>
      <c r="O273" s="169"/>
      <c r="P273" s="169"/>
      <c r="Q273" s="169"/>
      <c r="R273" s="3"/>
      <c r="S273" s="3"/>
      <c r="T273" s="3"/>
      <c r="U273" s="3"/>
      <c r="V273" s="3"/>
      <c r="W273" s="3"/>
      <c r="X273" s="3"/>
      <c r="Y273" s="3"/>
      <c r="Z273" s="316" t="str">
        <f aca="false">IF(AF273&gt;0,RANK(AF273,AF$6:AF$422),"")</f>
        <v/>
      </c>
      <c r="AA273" s="134" t="n">
        <f aca="false">'O_MN, PE_UTA_UGM 2024'!N250</f>
        <v>1</v>
      </c>
      <c r="AB273" s="135" t="n">
        <f aca="false">'O_MN, PE_UTA_UGM 2024'!O250</f>
        <v>0</v>
      </c>
      <c r="AC273" s="317" t="n">
        <f aca="false">'O_MN, PE_UTA_UGM 2024'!C250</f>
        <v>248</v>
      </c>
      <c r="AD273" s="293" t="str">
        <f aca="false">IF(AB273=0,'O_MN, PE_UTA_UGM 2024'!F250,CONCATENATE('O_MN, PE_UTA_UGM 2024'!F250," ","INVERNADERO"))</f>
        <v>ALGARROBA</v>
      </c>
      <c r="AE273" s="89"/>
      <c r="AF273" s="123" t="n">
        <f aca="false">SUM(AG273:AH273)+SUM(AJ273:AK273)</f>
        <v>0</v>
      </c>
      <c r="AG273" s="318" t="n">
        <f aca="false">A260</f>
        <v>0</v>
      </c>
      <c r="AH273" s="319" t="n">
        <f aca="false">B260</f>
        <v>0</v>
      </c>
      <c r="AI273" s="6"/>
      <c r="AJ273" s="320" t="n">
        <f aca="false">C260</f>
        <v>0</v>
      </c>
      <c r="AK273" s="320" t="n">
        <f aca="false">D260</f>
        <v>0</v>
      </c>
      <c r="AL273" s="237" t="s">
        <v>399</v>
      </c>
      <c r="AM273" s="299" t="n">
        <f aca="false">'O_MN, PE_UTA_UGM 2024'!J250</f>
        <v>500</v>
      </c>
      <c r="AN273" s="299" t="n">
        <f aca="false">'O_MN, PE_UTA_UGM 2024'!K250</f>
        <v>1500</v>
      </c>
      <c r="AO273" s="300"/>
      <c r="AP273" s="299" t="n">
        <f aca="false">'O_MN, PE_UTA_UGM 2024'!H250</f>
        <v>450.76</v>
      </c>
      <c r="AQ273" s="299" t="n">
        <f aca="false">'O_MN, PE_UTA_UGM 2024'!I250</f>
        <v>721.21</v>
      </c>
      <c r="AR273" s="301"/>
      <c r="AS273" s="302" t="n">
        <f aca="false">'O_MN, PE_UTA_UGM 2024'!L250</f>
        <v>0.01837</v>
      </c>
      <c r="AT273" s="302" t="n">
        <f aca="false">'O_MN, PE_UTA_UGM 2024'!M250</f>
        <v>0.0294</v>
      </c>
      <c r="AU273" s="45"/>
      <c r="AV273" s="321" t="n">
        <f aca="false">AG273*AM273</f>
        <v>0</v>
      </c>
      <c r="AW273" s="319" t="n">
        <f aca="false">AH273*AN273</f>
        <v>0</v>
      </c>
      <c r="AX273" s="320" t="n">
        <f aca="false">1.25*AJ273*AM273</f>
        <v>0</v>
      </c>
      <c r="AY273" s="322" t="n">
        <f aca="false">1.25*AK273*AN273</f>
        <v>0</v>
      </c>
      <c r="AZ273" s="323" t="n">
        <f aca="false">AG273*AP273</f>
        <v>0</v>
      </c>
      <c r="BA273" s="319" t="n">
        <f aca="false">AH273*AQ273</f>
        <v>0</v>
      </c>
      <c r="BB273" s="320" t="n">
        <f aca="false">1.25*AJ273*AP273</f>
        <v>0</v>
      </c>
      <c r="BC273" s="320" t="n">
        <f aca="false">1.25*AK273*AQ273</f>
        <v>0</v>
      </c>
      <c r="BD273" s="321" t="n">
        <f aca="false">AG273*AS273</f>
        <v>0</v>
      </c>
      <c r="BE273" s="319" t="n">
        <f aca="false">AH273*AT273</f>
        <v>0</v>
      </c>
      <c r="BF273" s="320" t="n">
        <f aca="false">AJ273*AS273</f>
        <v>0</v>
      </c>
      <c r="BG273" s="322" t="n">
        <f aca="false">AK273*AT273</f>
        <v>0</v>
      </c>
      <c r="BH273" s="324" t="n">
        <f aca="false">IF(BH$24=$AA273,($AG273*$AM273)+($AJ273*$AM273*1.25)+($AH273*$AN273)+($AK273*$AN273*1.25),"")</f>
        <v>0</v>
      </c>
      <c r="BI273" s="325" t="str">
        <f aca="false">IF(BI$24=$AA273,($AG273*$AM273)+($AJ273*$AM273*1.25)+($AH273*$AN273)+($AK273*$AN273*1.25),"")</f>
        <v/>
      </c>
      <c r="BJ273" s="325" t="str">
        <f aca="false">IF(BJ$24=$AA273,($AG273*$AM273)+($AJ273*$AM273*1.25)+($AH273*$AN273)+($AK273*$AN273*1.25),"")</f>
        <v/>
      </c>
      <c r="BK273" s="325" t="str">
        <f aca="false">IF(BK$24=$AA273,($AG273*$AM273)+($AJ273*$AM273*1.25)+($AH273*$AN273)+($AK273*$AN273*1.25),"")</f>
        <v/>
      </c>
      <c r="BL273" s="326" t="str">
        <f aca="false">IF(BL$24=$AA273,($AG273*$AM273)+($AJ273*$AM273*1.25)+($AH273*$AN273)+($AK273*$AN273*1.25),"")</f>
        <v/>
      </c>
      <c r="BM273" s="327" t="str">
        <f aca="false">IF(CONCATENATE(BH273,BI273,BJ273,BK273,BL273)="",1,"")</f>
        <v/>
      </c>
      <c r="BN273" s="328"/>
      <c r="BO273" s="328"/>
      <c r="BP273" s="328"/>
      <c r="BQ273" s="328"/>
      <c r="BR273" s="47"/>
      <c r="BS273" s="127" t="n">
        <f aca="false">(AG273*AM273)+(AH273*AN273)+((AJ273*AM273)+(AK273*AN273)*1.25)</f>
        <v>0</v>
      </c>
      <c r="BT273" s="127" t="n">
        <f aca="false">(AG273*AP273)+(AH273*AQ273)+((AJ273*AP273)+(AK273*AQ273)*1.25)</f>
        <v>0</v>
      </c>
      <c r="BU273" s="329"/>
      <c r="BV273" s="129"/>
    </row>
    <row r="274" customFormat="false" ht="15" hidden="false" customHeight="false" outlineLevel="0" collapsed="false">
      <c r="A274" s="228"/>
      <c r="B274" s="229"/>
      <c r="C274" s="230"/>
      <c r="D274" s="231"/>
      <c r="E274" s="223" t="str">
        <f aca="false">IF(SUM(A274:D274)&gt;0,SUM(A274:D274),"")</f>
        <v/>
      </c>
      <c r="F274" s="224" t="str">
        <f aca="false">AD287</f>
        <v>TOMILLO</v>
      </c>
      <c r="G274" s="169"/>
      <c r="H274" s="169"/>
      <c r="I274" s="169"/>
      <c r="J274" s="169"/>
      <c r="K274" s="169"/>
      <c r="L274" s="169"/>
      <c r="M274" s="169"/>
      <c r="N274" s="169"/>
      <c r="O274" s="169"/>
      <c r="P274" s="169"/>
      <c r="Q274" s="169"/>
      <c r="R274" s="3"/>
      <c r="S274" s="3"/>
      <c r="T274" s="3"/>
      <c r="U274" s="3"/>
      <c r="V274" s="3"/>
      <c r="W274" s="3"/>
      <c r="X274" s="3"/>
      <c r="Y274" s="3"/>
      <c r="Z274" s="316" t="str">
        <f aca="false">IF(AF274&gt;0,RANK(AF274,AF$6:AF$422),"")</f>
        <v/>
      </c>
      <c r="AA274" s="134" t="n">
        <f aca="false">'O_MN, PE_UTA_UGM 2024'!N251</f>
        <v>1</v>
      </c>
      <c r="AB274" s="135" t="n">
        <f aca="false">'O_MN, PE_UTA_UGM 2024'!O251</f>
        <v>0</v>
      </c>
      <c r="AC274" s="317" t="n">
        <f aca="false">'O_MN, PE_UTA_UGM 2024'!C251</f>
        <v>249</v>
      </c>
      <c r="AD274" s="293" t="str">
        <f aca="false">IF(AB274=0,'O_MN, PE_UTA_UGM 2024'!F251,CONCATENATE('O_MN, PE_UTA_UGM 2024'!F251," ","INVERNADERO"))</f>
        <v>ALVERJA</v>
      </c>
      <c r="AE274" s="89"/>
      <c r="AF274" s="123" t="n">
        <f aca="false">SUM(AG274:AH274)+SUM(AJ274:AK274)</f>
        <v>0</v>
      </c>
      <c r="AG274" s="318" t="n">
        <f aca="false">A261</f>
        <v>0</v>
      </c>
      <c r="AH274" s="319" t="n">
        <f aca="false">B261</f>
        <v>0</v>
      </c>
      <c r="AI274" s="6"/>
      <c r="AJ274" s="320" t="n">
        <f aca="false">C261</f>
        <v>0</v>
      </c>
      <c r="AK274" s="320" t="n">
        <f aca="false">D261</f>
        <v>0</v>
      </c>
      <c r="AL274" s="237" t="s">
        <v>400</v>
      </c>
      <c r="AM274" s="299" t="n">
        <f aca="false">'O_MN, PE_UTA_UGM 2024'!J251</f>
        <v>500</v>
      </c>
      <c r="AN274" s="299" t="n">
        <f aca="false">'O_MN, PE_UTA_UGM 2024'!K251</f>
        <v>1500</v>
      </c>
      <c r="AO274" s="300"/>
      <c r="AP274" s="299" t="n">
        <f aca="false">'O_MN, PE_UTA_UGM 2024'!H251</f>
        <v>114.19</v>
      </c>
      <c r="AQ274" s="299" t="n">
        <f aca="false">'O_MN, PE_UTA_UGM 2024'!I251</f>
        <v>240.4</v>
      </c>
      <c r="AR274" s="301"/>
      <c r="AS274" s="302" t="n">
        <f aca="false">'O_MN, PE_UTA_UGM 2024'!L251</f>
        <v>0.00465</v>
      </c>
      <c r="AT274" s="302" t="n">
        <f aca="false">'O_MN, PE_UTA_UGM 2024'!M251</f>
        <v>0.0098</v>
      </c>
      <c r="AU274" s="45"/>
      <c r="AV274" s="321" t="n">
        <f aca="false">AG274*AM274</f>
        <v>0</v>
      </c>
      <c r="AW274" s="319" t="n">
        <f aca="false">AH274*AN274</f>
        <v>0</v>
      </c>
      <c r="AX274" s="320" t="n">
        <f aca="false">1.25*AJ274*AM274</f>
        <v>0</v>
      </c>
      <c r="AY274" s="322" t="n">
        <f aca="false">1.25*AK274*AN274</f>
        <v>0</v>
      </c>
      <c r="AZ274" s="323" t="n">
        <f aca="false">AG274*AP274</f>
        <v>0</v>
      </c>
      <c r="BA274" s="319" t="n">
        <f aca="false">AH274*AQ274</f>
        <v>0</v>
      </c>
      <c r="BB274" s="320" t="n">
        <f aca="false">1.25*AJ274*AP274</f>
        <v>0</v>
      </c>
      <c r="BC274" s="320" t="n">
        <f aca="false">1.25*AK274*AQ274</f>
        <v>0</v>
      </c>
      <c r="BD274" s="321" t="n">
        <f aca="false">AG274*AS274</f>
        <v>0</v>
      </c>
      <c r="BE274" s="319" t="n">
        <f aca="false">AH274*AT274</f>
        <v>0</v>
      </c>
      <c r="BF274" s="320" t="n">
        <f aca="false">AJ274*AS274</f>
        <v>0</v>
      </c>
      <c r="BG274" s="322" t="n">
        <f aca="false">AK274*AT274</f>
        <v>0</v>
      </c>
      <c r="BH274" s="324" t="n">
        <f aca="false">IF(BH$24=$AA274,($AG274*$AM274)+($AJ274*$AM274*1.25)+($AH274*$AN274)+($AK274*$AN274*1.25),"")</f>
        <v>0</v>
      </c>
      <c r="BI274" s="325" t="str">
        <f aca="false">IF(BI$24=$AA274,($AG274*$AM274)+($AJ274*$AM274*1.25)+($AH274*$AN274)+($AK274*$AN274*1.25),"")</f>
        <v/>
      </c>
      <c r="BJ274" s="325" t="str">
        <f aca="false">IF(BJ$24=$AA274,($AG274*$AM274)+($AJ274*$AM274*1.25)+($AH274*$AN274)+($AK274*$AN274*1.25),"")</f>
        <v/>
      </c>
      <c r="BK274" s="325" t="str">
        <f aca="false">IF(BK$24=$AA274,($AG274*$AM274)+($AJ274*$AM274*1.25)+($AH274*$AN274)+($AK274*$AN274*1.25),"")</f>
        <v/>
      </c>
      <c r="BL274" s="326" t="str">
        <f aca="false">IF(BL$24=$AA274,($AG274*$AM274)+($AJ274*$AM274*1.25)+($AH274*$AN274)+($AK274*$AN274*1.25),"")</f>
        <v/>
      </c>
      <c r="BM274" s="327" t="str">
        <f aca="false">IF(CONCATENATE(BH274,BI274,BJ274,BK274,BL274)="",1,"")</f>
        <v/>
      </c>
      <c r="BN274" s="328"/>
      <c r="BO274" s="328"/>
      <c r="BP274" s="328"/>
      <c r="BQ274" s="328"/>
      <c r="BR274" s="47"/>
      <c r="BS274" s="127" t="n">
        <f aca="false">(AG274*AM274)+(AH274*AN274)+((AJ274*AM274)+(AK274*AN274)*1.25)</f>
        <v>0</v>
      </c>
      <c r="BT274" s="127" t="n">
        <f aca="false">(AG274*AP274)+(AH274*AQ274)+((AJ274*AP274)+(AK274*AQ274)*1.25)</f>
        <v>0</v>
      </c>
      <c r="BU274" s="329"/>
      <c r="BV274" s="129"/>
    </row>
    <row r="275" customFormat="false" ht="15" hidden="false" customHeight="false" outlineLevel="0" collapsed="false">
      <c r="A275" s="228"/>
      <c r="B275" s="229"/>
      <c r="C275" s="230"/>
      <c r="D275" s="231"/>
      <c r="E275" s="223" t="str">
        <f aca="false">IF(SUM(A275:D275)&gt;0,SUM(A275:D275),"")</f>
        <v/>
      </c>
      <c r="F275" s="224" t="str">
        <f aca="false">AD288</f>
        <v>ALBAHACA</v>
      </c>
      <c r="G275" s="169"/>
      <c r="H275" s="169"/>
      <c r="I275" s="169"/>
      <c r="J275" s="169"/>
      <c r="K275" s="169"/>
      <c r="L275" s="169"/>
      <c r="M275" s="169"/>
      <c r="N275" s="169"/>
      <c r="O275" s="169"/>
      <c r="P275" s="169"/>
      <c r="Q275" s="169"/>
      <c r="R275" s="3"/>
      <c r="S275" s="3"/>
      <c r="T275" s="3"/>
      <c r="U275" s="3"/>
      <c r="V275" s="3"/>
      <c r="W275" s="3"/>
      <c r="X275" s="3"/>
      <c r="Y275" s="3"/>
      <c r="Z275" s="316" t="str">
        <f aca="false">IF(AF275&gt;0,RANK(AF275,AF$6:AF$422),"")</f>
        <v/>
      </c>
      <c r="AA275" s="134" t="n">
        <f aca="false">'O_MN, PE_UTA_UGM 2024'!N252</f>
        <v>1</v>
      </c>
      <c r="AB275" s="135" t="n">
        <f aca="false">'O_MN, PE_UTA_UGM 2024'!O252</f>
        <v>0</v>
      </c>
      <c r="AC275" s="317" t="n">
        <f aca="false">'O_MN, PE_UTA_UGM 2024'!C252</f>
        <v>250</v>
      </c>
      <c r="AD275" s="293" t="str">
        <f aca="false">IF(AB275=0,'O_MN, PE_UTA_UGM 2024'!F252,CONCATENATE('O_MN, PE_UTA_UGM 2024'!F252," ","INVERNADERO"))</f>
        <v>ALBERJÓN</v>
      </c>
      <c r="AE275" s="89"/>
      <c r="AF275" s="123" t="n">
        <f aca="false">SUM(AG275:AH275)+SUM(AJ275:AK275)</f>
        <v>0</v>
      </c>
      <c r="AG275" s="318" t="n">
        <f aca="false">A262</f>
        <v>0</v>
      </c>
      <c r="AH275" s="319" t="n">
        <f aca="false">B262</f>
        <v>0</v>
      </c>
      <c r="AI275" s="6"/>
      <c r="AJ275" s="320" t="n">
        <f aca="false">C262</f>
        <v>0</v>
      </c>
      <c r="AK275" s="320" t="n">
        <f aca="false">D262</f>
        <v>0</v>
      </c>
      <c r="AL275" s="237" t="s">
        <v>401</v>
      </c>
      <c r="AM275" s="299" t="n">
        <f aca="false">'O_MN, PE_UTA_UGM 2024'!J252</f>
        <v>500</v>
      </c>
      <c r="AN275" s="299" t="n">
        <f aca="false">'O_MN, PE_UTA_UGM 2024'!K252</f>
        <v>1500</v>
      </c>
      <c r="AO275" s="300"/>
      <c r="AP275" s="299" t="n">
        <f aca="false">'O_MN, PE_UTA_UGM 2024'!H252</f>
        <v>114.19</v>
      </c>
      <c r="AQ275" s="299" t="n">
        <f aca="false">'O_MN, PE_UTA_UGM 2024'!I252</f>
        <v>240.4</v>
      </c>
      <c r="AR275" s="301"/>
      <c r="AS275" s="302" t="n">
        <f aca="false">'O_MN, PE_UTA_UGM 2024'!L252</f>
        <v>0.00465</v>
      </c>
      <c r="AT275" s="302" t="n">
        <f aca="false">'O_MN, PE_UTA_UGM 2024'!M252</f>
        <v>0.0098</v>
      </c>
      <c r="AU275" s="45"/>
      <c r="AV275" s="321" t="n">
        <f aca="false">AG275*AM275</f>
        <v>0</v>
      </c>
      <c r="AW275" s="319" t="n">
        <f aca="false">AH275*AN275</f>
        <v>0</v>
      </c>
      <c r="AX275" s="320" t="n">
        <f aca="false">1.25*AJ275*AM275</f>
        <v>0</v>
      </c>
      <c r="AY275" s="322" t="n">
        <f aca="false">1.25*AK275*AN275</f>
        <v>0</v>
      </c>
      <c r="AZ275" s="323" t="n">
        <f aca="false">AG275*AP275</f>
        <v>0</v>
      </c>
      <c r="BA275" s="319" t="n">
        <f aca="false">AH275*AQ275</f>
        <v>0</v>
      </c>
      <c r="BB275" s="320" t="n">
        <f aca="false">1.25*AJ275*AP275</f>
        <v>0</v>
      </c>
      <c r="BC275" s="320" t="n">
        <f aca="false">1.25*AK275*AQ275</f>
        <v>0</v>
      </c>
      <c r="BD275" s="321" t="n">
        <f aca="false">AG275*AS275</f>
        <v>0</v>
      </c>
      <c r="BE275" s="319" t="n">
        <f aca="false">AH275*AT275</f>
        <v>0</v>
      </c>
      <c r="BF275" s="320" t="n">
        <f aca="false">AJ275*AS275</f>
        <v>0</v>
      </c>
      <c r="BG275" s="322" t="n">
        <f aca="false">AK275*AT275</f>
        <v>0</v>
      </c>
      <c r="BH275" s="324" t="n">
        <f aca="false">IF(BH$24=$AA275,($AG275*$AM275)+($AJ275*$AM275*1.25)+($AH275*$AN275)+($AK275*$AN275*1.25),"")</f>
        <v>0</v>
      </c>
      <c r="BI275" s="325" t="str">
        <f aca="false">IF(BI$24=$AA275,($AG275*$AM275)+($AJ275*$AM275*1.25)+($AH275*$AN275)+($AK275*$AN275*1.25),"")</f>
        <v/>
      </c>
      <c r="BJ275" s="325" t="str">
        <f aca="false">IF(BJ$24=$AA275,($AG275*$AM275)+($AJ275*$AM275*1.25)+($AH275*$AN275)+($AK275*$AN275*1.25),"")</f>
        <v/>
      </c>
      <c r="BK275" s="325" t="str">
        <f aca="false">IF(BK$24=$AA275,($AG275*$AM275)+($AJ275*$AM275*1.25)+($AH275*$AN275)+($AK275*$AN275*1.25),"")</f>
        <v/>
      </c>
      <c r="BL275" s="326" t="str">
        <f aca="false">IF(BL$24=$AA275,($AG275*$AM275)+($AJ275*$AM275*1.25)+($AH275*$AN275)+($AK275*$AN275*1.25),"")</f>
        <v/>
      </c>
      <c r="BM275" s="327" t="str">
        <f aca="false">IF(CONCATENATE(BH275,BI275,BJ275,BK275,BL275)="",1,"")</f>
        <v/>
      </c>
      <c r="BN275" s="328"/>
      <c r="BO275" s="328"/>
      <c r="BP275" s="328"/>
      <c r="BQ275" s="328"/>
      <c r="BR275" s="47"/>
      <c r="BS275" s="127" t="n">
        <f aca="false">(AG275*AM275)+(AH275*AN275)+((AJ275*AM275)+(AK275*AN275)*1.25)</f>
        <v>0</v>
      </c>
      <c r="BT275" s="127" t="n">
        <f aca="false">(AG275*AP275)+(AH275*AQ275)+((AJ275*AP275)+(AK275*AQ275)*1.25)</f>
        <v>0</v>
      </c>
      <c r="BU275" s="329"/>
      <c r="BV275" s="129"/>
    </row>
    <row r="276" customFormat="false" ht="15" hidden="false" customHeight="false" outlineLevel="0" collapsed="false">
      <c r="A276" s="228"/>
      <c r="B276" s="229"/>
      <c r="C276" s="230"/>
      <c r="D276" s="231"/>
      <c r="E276" s="223" t="str">
        <f aca="false">IF(SUM(A276:D276)&gt;0,SUM(A276:D276),"")</f>
        <v/>
      </c>
      <c r="F276" s="224" t="str">
        <f aca="false">AD289</f>
        <v>MELISA O TORONJIL</v>
      </c>
      <c r="G276" s="169"/>
      <c r="H276" s="169"/>
      <c r="I276" s="169"/>
      <c r="J276" s="169"/>
      <c r="K276" s="169"/>
      <c r="L276" s="169"/>
      <c r="M276" s="169"/>
      <c r="N276" s="169"/>
      <c r="O276" s="169"/>
      <c r="P276" s="169"/>
      <c r="Q276" s="169"/>
      <c r="R276" s="3"/>
      <c r="S276" s="3"/>
      <c r="T276" s="3"/>
      <c r="U276" s="3"/>
      <c r="V276" s="3"/>
      <c r="W276" s="3"/>
      <c r="X276" s="3"/>
      <c r="Y276" s="3"/>
      <c r="Z276" s="316" t="str">
        <f aca="false">IF(AF276&gt;0,RANK(AF276,AF$6:AF$422),"")</f>
        <v/>
      </c>
      <c r="AA276" s="134" t="n">
        <f aca="false">'O_MN, PE_UTA_UGM 2024'!N253</f>
        <v>5</v>
      </c>
      <c r="AB276" s="135" t="n">
        <f aca="false">'O_MN, PE_UTA_UGM 2024'!O253</f>
        <v>0</v>
      </c>
      <c r="AC276" s="317" t="n">
        <f aca="false">'O_MN, PE_UTA_UGM 2024'!C253</f>
        <v>251</v>
      </c>
      <c r="AD276" s="293" t="str">
        <f aca="false">IF(AB276=0,'O_MN, PE_UTA_UGM 2024'!F253,CONCATENATE('O_MN, PE_UTA_UGM 2024'!F253," ","INVERNADERO"))</f>
        <v>AJEDREA</v>
      </c>
      <c r="AE276" s="89"/>
      <c r="AF276" s="123" t="n">
        <f aca="false">SUM(AG276:AH276)+SUM(AJ276:AK276)</f>
        <v>0</v>
      </c>
      <c r="AG276" s="318" t="n">
        <f aca="false">A263</f>
        <v>0</v>
      </c>
      <c r="AH276" s="319" t="n">
        <f aca="false">B263</f>
        <v>0</v>
      </c>
      <c r="AI276" s="6"/>
      <c r="AJ276" s="320" t="n">
        <f aca="false">C263</f>
        <v>0</v>
      </c>
      <c r="AK276" s="320" t="n">
        <f aca="false">D263</f>
        <v>0</v>
      </c>
      <c r="AL276" s="237" t="s">
        <v>402</v>
      </c>
      <c r="AM276" s="299" t="n">
        <f aca="false">'O_MN, PE_UTA_UGM 2024'!J253</f>
        <v>1000</v>
      </c>
      <c r="AN276" s="299" t="n">
        <f aca="false">'O_MN, PE_UTA_UGM 2024'!K253</f>
        <v>3800</v>
      </c>
      <c r="AO276" s="300"/>
      <c r="AP276" s="299" t="n">
        <f aca="false">'O_MN, PE_UTA_UGM 2024'!H253</f>
        <v>114.19</v>
      </c>
      <c r="AQ276" s="299" t="n">
        <f aca="false">'O_MN, PE_UTA_UGM 2024'!I253</f>
        <v>240.4</v>
      </c>
      <c r="AR276" s="301"/>
      <c r="AS276" s="302" t="n">
        <f aca="false">'O_MN, PE_UTA_UGM 2024'!L253</f>
        <v>0.00465</v>
      </c>
      <c r="AT276" s="302" t="n">
        <f aca="false">'O_MN, PE_UTA_UGM 2024'!M253</f>
        <v>0.0098</v>
      </c>
      <c r="AU276" s="45"/>
      <c r="AV276" s="321" t="n">
        <f aca="false">AG276*AM276</f>
        <v>0</v>
      </c>
      <c r="AW276" s="319" t="n">
        <f aca="false">AH276*AN276</f>
        <v>0</v>
      </c>
      <c r="AX276" s="320" t="n">
        <f aca="false">1.25*AJ276*AM276</f>
        <v>0</v>
      </c>
      <c r="AY276" s="322" t="n">
        <f aca="false">1.25*AK276*AN276</f>
        <v>0</v>
      </c>
      <c r="AZ276" s="323" t="n">
        <f aca="false">AG276*AP276</f>
        <v>0</v>
      </c>
      <c r="BA276" s="319" t="n">
        <f aca="false">AH276*AQ276</f>
        <v>0</v>
      </c>
      <c r="BB276" s="320" t="n">
        <f aca="false">1.25*AJ276*AP276</f>
        <v>0</v>
      </c>
      <c r="BC276" s="320" t="n">
        <f aca="false">1.25*AK276*AQ276</f>
        <v>0</v>
      </c>
      <c r="BD276" s="321" t="n">
        <f aca="false">AG276*AS276</f>
        <v>0</v>
      </c>
      <c r="BE276" s="319" t="n">
        <f aca="false">AH276*AT276</f>
        <v>0</v>
      </c>
      <c r="BF276" s="320" t="n">
        <f aca="false">AJ276*AS276</f>
        <v>0</v>
      </c>
      <c r="BG276" s="322" t="n">
        <f aca="false">AK276*AT276</f>
        <v>0</v>
      </c>
      <c r="BH276" s="324" t="str">
        <f aca="false">IF(BH$24=$AA276,($AG276*$AM276)+($AJ276*$AM276*1.25)+($AH276*$AN276)+($AK276*$AN276*1.25),"")</f>
        <v/>
      </c>
      <c r="BI276" s="325" t="str">
        <f aca="false">IF(BI$24=$AA276,($AG276*$AM276)+($AJ276*$AM276*1.25)+($AH276*$AN276)+($AK276*$AN276*1.25),"")</f>
        <v/>
      </c>
      <c r="BJ276" s="325" t="str">
        <f aca="false">IF(BJ$24=$AA276,($AG276*$AM276)+($AJ276*$AM276*1.25)+($AH276*$AN276)+($AK276*$AN276*1.25),"")</f>
        <v/>
      </c>
      <c r="BK276" s="325" t="str">
        <f aca="false">IF(BK$24=$AA276,($AG276*$AM276)+($AJ276*$AM276*1.25)+($AH276*$AN276)+($AK276*$AN276*1.25),"")</f>
        <v/>
      </c>
      <c r="BL276" s="326" t="n">
        <f aca="false">IF(BL$24=$AA276,($AG276*$AM276)+($AJ276*$AM276*1.25)+($AH276*$AN276)+($AK276*$AN276*1.25),"")</f>
        <v>0</v>
      </c>
      <c r="BM276" s="327" t="str">
        <f aca="false">IF(CONCATENATE(BH276,BI276,BJ276,BK276,BL276)="",1,"")</f>
        <v/>
      </c>
      <c r="BN276" s="328"/>
      <c r="BO276" s="328"/>
      <c r="BP276" s="328"/>
      <c r="BQ276" s="328"/>
      <c r="BR276" s="47"/>
      <c r="BS276" s="127" t="n">
        <f aca="false">(AG276*AM276)+(AH276*AN276)+((AJ276*AM276)+(AK276*AN276)*1.25)</f>
        <v>0</v>
      </c>
      <c r="BT276" s="127" t="n">
        <f aca="false">(AG276*AP276)+(AH276*AQ276)+((AJ276*AP276)+(AK276*AQ276)*1.25)</f>
        <v>0</v>
      </c>
      <c r="BU276" s="329"/>
      <c r="BV276" s="129"/>
    </row>
    <row r="277" customFormat="false" ht="15" hidden="false" customHeight="false" outlineLevel="0" collapsed="false">
      <c r="A277" s="228"/>
      <c r="B277" s="229"/>
      <c r="C277" s="230"/>
      <c r="D277" s="231"/>
      <c r="E277" s="223" t="str">
        <f aca="false">IF(SUM(A277:D277)&gt;0,SUM(A277:D277),"")</f>
        <v/>
      </c>
      <c r="F277" s="224" t="str">
        <f aca="false">AD290</f>
        <v>MENTA</v>
      </c>
      <c r="G277" s="169"/>
      <c r="H277" s="169"/>
      <c r="I277" s="169"/>
      <c r="J277" s="169"/>
      <c r="K277" s="169"/>
      <c r="L277" s="169"/>
      <c r="M277" s="169"/>
      <c r="N277" s="169"/>
      <c r="O277" s="169"/>
      <c r="P277" s="169"/>
      <c r="Q277" s="169"/>
      <c r="R277" s="3"/>
      <c r="S277" s="3"/>
      <c r="T277" s="3"/>
      <c r="U277" s="3"/>
      <c r="V277" s="3"/>
      <c r="W277" s="3"/>
      <c r="X277" s="3"/>
      <c r="Y277" s="3"/>
      <c r="Z277" s="316" t="str">
        <f aca="false">IF(AF277&gt;0,RANK(AF277,AF$6:AF$422),"")</f>
        <v/>
      </c>
      <c r="AA277" s="134" t="n">
        <f aca="false">'O_MN, PE_UTA_UGM 2024'!N254</f>
        <v>5</v>
      </c>
      <c r="AB277" s="135" t="n">
        <f aca="false">'O_MN, PE_UTA_UGM 2024'!O254</f>
        <v>0</v>
      </c>
      <c r="AC277" s="317" t="n">
        <f aca="false">'O_MN, PE_UTA_UGM 2024'!C254</f>
        <v>252</v>
      </c>
      <c r="AD277" s="293" t="str">
        <f aca="false">IF(AB277=0,'O_MN, PE_UTA_UGM 2024'!F254,CONCATENATE('O_MN, PE_UTA_UGM 2024'!F254," ","INVERNADERO"))</f>
        <v>CILANTRO</v>
      </c>
      <c r="AE277" s="89"/>
      <c r="AF277" s="123" t="n">
        <f aca="false">SUM(AG277:AH277)+SUM(AJ277:AK277)</f>
        <v>0</v>
      </c>
      <c r="AG277" s="318" t="n">
        <f aca="false">A264</f>
        <v>0</v>
      </c>
      <c r="AH277" s="319" t="n">
        <f aca="false">B264</f>
        <v>0</v>
      </c>
      <c r="AI277" s="6"/>
      <c r="AJ277" s="320" t="n">
        <f aca="false">C264</f>
        <v>0</v>
      </c>
      <c r="AK277" s="320" t="n">
        <f aca="false">D264</f>
        <v>0</v>
      </c>
      <c r="AL277" s="237" t="s">
        <v>403</v>
      </c>
      <c r="AM277" s="299" t="n">
        <f aca="false">'O_MN, PE_UTA_UGM 2024'!J254</f>
        <v>1000</v>
      </c>
      <c r="AN277" s="299" t="n">
        <f aca="false">'O_MN, PE_UTA_UGM 2024'!K254</f>
        <v>3800</v>
      </c>
      <c r="AO277" s="300"/>
      <c r="AP277" s="299" t="n">
        <f aca="false">'O_MN, PE_UTA_UGM 2024'!H254</f>
        <v>114.19</v>
      </c>
      <c r="AQ277" s="299" t="n">
        <f aca="false">'O_MN, PE_UTA_UGM 2024'!I254</f>
        <v>240.4</v>
      </c>
      <c r="AR277" s="301"/>
      <c r="AS277" s="302" t="n">
        <f aca="false">'O_MN, PE_UTA_UGM 2024'!L254</f>
        <v>0.00465</v>
      </c>
      <c r="AT277" s="302" t="n">
        <f aca="false">'O_MN, PE_UTA_UGM 2024'!M254</f>
        <v>0.0098</v>
      </c>
      <c r="AU277" s="45"/>
      <c r="AV277" s="321" t="n">
        <f aca="false">AG277*AM277</f>
        <v>0</v>
      </c>
      <c r="AW277" s="319" t="n">
        <f aca="false">AH277*AN277</f>
        <v>0</v>
      </c>
      <c r="AX277" s="320" t="n">
        <f aca="false">1.25*AJ277*AM277</f>
        <v>0</v>
      </c>
      <c r="AY277" s="322" t="n">
        <f aca="false">1.25*AK277*AN277</f>
        <v>0</v>
      </c>
      <c r="AZ277" s="323" t="n">
        <f aca="false">AG277*AP277</f>
        <v>0</v>
      </c>
      <c r="BA277" s="319" t="n">
        <f aca="false">AH277*AQ277</f>
        <v>0</v>
      </c>
      <c r="BB277" s="320" t="n">
        <f aca="false">1.25*AJ277*AP277</f>
        <v>0</v>
      </c>
      <c r="BC277" s="320" t="n">
        <f aca="false">1.25*AK277*AQ277</f>
        <v>0</v>
      </c>
      <c r="BD277" s="321" t="n">
        <f aca="false">AG277*AS277</f>
        <v>0</v>
      </c>
      <c r="BE277" s="319" t="n">
        <f aca="false">AH277*AT277</f>
        <v>0</v>
      </c>
      <c r="BF277" s="320" t="n">
        <f aca="false">AJ277*AS277</f>
        <v>0</v>
      </c>
      <c r="BG277" s="322" t="n">
        <f aca="false">AK277*AT277</f>
        <v>0</v>
      </c>
      <c r="BH277" s="324" t="str">
        <f aca="false">IF(BH$24=$AA277,($AG277*$AM277)+($AJ277*$AM277*1.25)+($AH277*$AN277)+($AK277*$AN277*1.25),"")</f>
        <v/>
      </c>
      <c r="BI277" s="325" t="str">
        <f aca="false">IF(BI$24=$AA277,($AG277*$AM277)+($AJ277*$AM277*1.25)+($AH277*$AN277)+($AK277*$AN277*1.25),"")</f>
        <v/>
      </c>
      <c r="BJ277" s="325" t="str">
        <f aca="false">IF(BJ$24=$AA277,($AG277*$AM277)+($AJ277*$AM277*1.25)+($AH277*$AN277)+($AK277*$AN277*1.25),"")</f>
        <v/>
      </c>
      <c r="BK277" s="325" t="str">
        <f aca="false">IF(BK$24=$AA277,($AG277*$AM277)+($AJ277*$AM277*1.25)+($AH277*$AN277)+($AK277*$AN277*1.25),"")</f>
        <v/>
      </c>
      <c r="BL277" s="326" t="n">
        <f aca="false">IF(BL$24=$AA277,($AG277*$AM277)+($AJ277*$AM277*1.25)+($AH277*$AN277)+($AK277*$AN277*1.25),"")</f>
        <v>0</v>
      </c>
      <c r="BM277" s="327" t="str">
        <f aca="false">IF(CONCATENATE(BH277,BI277,BJ277,BK277,BL277)="",1,"")</f>
        <v/>
      </c>
      <c r="BN277" s="328"/>
      <c r="BO277" s="328"/>
      <c r="BP277" s="328"/>
      <c r="BQ277" s="328"/>
      <c r="BR277" s="47"/>
      <c r="BS277" s="127" t="n">
        <f aca="false">(AG277*AM277)+(AH277*AN277)+((AJ277*AM277)+(AK277*AN277)*1.25)</f>
        <v>0</v>
      </c>
      <c r="BT277" s="127" t="n">
        <f aca="false">(AG277*AP277)+(AH277*AQ277)+((AJ277*AP277)+(AK277*AQ277)*1.25)</f>
        <v>0</v>
      </c>
      <c r="BU277" s="329"/>
      <c r="BV277" s="129"/>
    </row>
    <row r="278" customFormat="false" ht="15" hidden="false" customHeight="false" outlineLevel="0" collapsed="false">
      <c r="A278" s="219"/>
      <c r="B278" s="220"/>
      <c r="C278" s="221"/>
      <c r="D278" s="222"/>
      <c r="E278" s="223" t="str">
        <f aca="false">IF(SUM(A278:D278)&gt;0,SUM(A278:D278),"")</f>
        <v/>
      </c>
      <c r="F278" s="224" t="str">
        <f aca="false">AD291</f>
        <v>ORÉGANO</v>
      </c>
      <c r="G278" s="169"/>
      <c r="H278" s="169"/>
      <c r="I278" s="169"/>
      <c r="J278" s="169"/>
      <c r="K278" s="169"/>
      <c r="L278" s="169"/>
      <c r="M278" s="169"/>
      <c r="N278" s="169"/>
      <c r="O278" s="169"/>
      <c r="P278" s="169"/>
      <c r="Q278" s="169"/>
      <c r="R278" s="3"/>
      <c r="S278" s="3"/>
      <c r="T278" s="3"/>
      <c r="U278" s="3"/>
      <c r="V278" s="3"/>
      <c r="W278" s="3"/>
      <c r="X278" s="3"/>
      <c r="Y278" s="3"/>
      <c r="Z278" s="316" t="str">
        <f aca="false">IF(AF278&gt;0,RANK(AF278,AF$6:AF$422),"")</f>
        <v/>
      </c>
      <c r="AA278" s="134" t="n">
        <f aca="false">'O_MN, PE_UTA_UGM 2024'!N255</f>
        <v>5</v>
      </c>
      <c r="AB278" s="135" t="n">
        <f aca="false">'O_MN, PE_UTA_UGM 2024'!O255</f>
        <v>0</v>
      </c>
      <c r="AC278" s="317" t="n">
        <f aca="false">'O_MN, PE_UTA_UGM 2024'!C255</f>
        <v>253</v>
      </c>
      <c r="AD278" s="293" t="str">
        <f aca="false">IF(AB278=0,'O_MN, PE_UTA_UGM 2024'!F255,CONCATENATE('O_MN, PE_UTA_UGM 2024'!F255," ","INVERNADERO"))</f>
        <v>ANÍS DULCE</v>
      </c>
      <c r="AE278" s="89"/>
      <c r="AF278" s="123" t="n">
        <f aca="false">SUM(AG278:AH278)+SUM(AJ278:AK278)</f>
        <v>0</v>
      </c>
      <c r="AG278" s="318" t="n">
        <f aca="false">A265</f>
        <v>0</v>
      </c>
      <c r="AH278" s="319" t="n">
        <f aca="false">B265</f>
        <v>0</v>
      </c>
      <c r="AI278" s="6"/>
      <c r="AJ278" s="320" t="n">
        <f aca="false">C265</f>
        <v>0</v>
      </c>
      <c r="AK278" s="320" t="n">
        <f aca="false">D265</f>
        <v>0</v>
      </c>
      <c r="AL278" s="237" t="s">
        <v>404</v>
      </c>
      <c r="AM278" s="299" t="n">
        <f aca="false">'O_MN, PE_UTA_UGM 2024'!J255</f>
        <v>1000</v>
      </c>
      <c r="AN278" s="299" t="n">
        <f aca="false">'O_MN, PE_UTA_UGM 2024'!K255</f>
        <v>3800</v>
      </c>
      <c r="AO278" s="300"/>
      <c r="AP278" s="299" t="n">
        <f aca="false">'O_MN, PE_UTA_UGM 2024'!H255</f>
        <v>114.19</v>
      </c>
      <c r="AQ278" s="299" t="n">
        <f aca="false">'O_MN, PE_UTA_UGM 2024'!I255</f>
        <v>240.4</v>
      </c>
      <c r="AR278" s="301"/>
      <c r="AS278" s="302" t="n">
        <f aca="false">'O_MN, PE_UTA_UGM 2024'!L255</f>
        <v>0.00465</v>
      </c>
      <c r="AT278" s="302" t="n">
        <f aca="false">'O_MN, PE_UTA_UGM 2024'!M255</f>
        <v>0.0098</v>
      </c>
      <c r="AU278" s="45"/>
      <c r="AV278" s="321" t="n">
        <f aca="false">AG278*AM278</f>
        <v>0</v>
      </c>
      <c r="AW278" s="319" t="n">
        <f aca="false">AH278*AN278</f>
        <v>0</v>
      </c>
      <c r="AX278" s="320" t="n">
        <f aca="false">1.25*AJ278*AM278</f>
        <v>0</v>
      </c>
      <c r="AY278" s="322" t="n">
        <f aca="false">1.25*AK278*AN278</f>
        <v>0</v>
      </c>
      <c r="AZ278" s="323" t="n">
        <f aca="false">AG278*AP278</f>
        <v>0</v>
      </c>
      <c r="BA278" s="319" t="n">
        <f aca="false">AH278*AQ278</f>
        <v>0</v>
      </c>
      <c r="BB278" s="320" t="n">
        <f aca="false">1.25*AJ278*AP278</f>
        <v>0</v>
      </c>
      <c r="BC278" s="320" t="n">
        <f aca="false">1.25*AK278*AQ278</f>
        <v>0</v>
      </c>
      <c r="BD278" s="321" t="n">
        <f aca="false">AG278*AS278</f>
        <v>0</v>
      </c>
      <c r="BE278" s="319" t="n">
        <f aca="false">AH278*AT278</f>
        <v>0</v>
      </c>
      <c r="BF278" s="320" t="n">
        <f aca="false">AJ278*AS278</f>
        <v>0</v>
      </c>
      <c r="BG278" s="322" t="n">
        <f aca="false">AK278*AT278</f>
        <v>0</v>
      </c>
      <c r="BH278" s="324" t="str">
        <f aca="false">IF(BH$24=$AA278,($AG278*$AM278)+($AJ278*$AM278*1.25)+($AH278*$AN278)+($AK278*$AN278*1.25),"")</f>
        <v/>
      </c>
      <c r="BI278" s="325" t="str">
        <f aca="false">IF(BI$24=$AA278,($AG278*$AM278)+($AJ278*$AM278*1.25)+($AH278*$AN278)+($AK278*$AN278*1.25),"")</f>
        <v/>
      </c>
      <c r="BJ278" s="325" t="str">
        <f aca="false">IF(BJ$24=$AA278,($AG278*$AM278)+($AJ278*$AM278*1.25)+($AH278*$AN278)+($AK278*$AN278*1.25),"")</f>
        <v/>
      </c>
      <c r="BK278" s="325" t="str">
        <f aca="false">IF(BK$24=$AA278,($AG278*$AM278)+($AJ278*$AM278*1.25)+($AH278*$AN278)+($AK278*$AN278*1.25),"")</f>
        <v/>
      </c>
      <c r="BL278" s="326" t="n">
        <f aca="false">IF(BL$24=$AA278,($AG278*$AM278)+($AJ278*$AM278*1.25)+($AH278*$AN278)+($AK278*$AN278*1.25),"")</f>
        <v>0</v>
      </c>
      <c r="BM278" s="327" t="str">
        <f aca="false">IF(CONCATENATE(BH278,BI278,BJ278,BK278,BL278)="",1,"")</f>
        <v/>
      </c>
      <c r="BN278" s="328"/>
      <c r="BO278" s="328"/>
      <c r="BP278" s="328"/>
      <c r="BQ278" s="328"/>
      <c r="BR278" s="47"/>
      <c r="BS278" s="127" t="n">
        <f aca="false">(AG278*AM278)+(AH278*AN278)+((AJ278*AM278)+(AK278*AN278)*1.25)</f>
        <v>0</v>
      </c>
      <c r="BT278" s="127" t="n">
        <f aca="false">(AG278*AP278)+(AH278*AQ278)+((AJ278*AP278)+(AK278*AQ278)*1.25)</f>
        <v>0</v>
      </c>
      <c r="BU278" s="329"/>
      <c r="BV278" s="129"/>
    </row>
    <row r="279" customFormat="false" ht="15" hidden="false" customHeight="false" outlineLevel="0" collapsed="false">
      <c r="A279" s="228"/>
      <c r="B279" s="229"/>
      <c r="C279" s="230"/>
      <c r="D279" s="231"/>
      <c r="E279" s="223" t="str">
        <f aca="false">IF(SUM(A279:D279)&gt;0,SUM(A279:D279),"")</f>
        <v/>
      </c>
      <c r="F279" s="224" t="str">
        <f aca="false">AD292</f>
        <v>SALVIA</v>
      </c>
      <c r="G279" s="169"/>
      <c r="H279" s="169"/>
      <c r="I279" s="169"/>
      <c r="J279" s="169"/>
      <c r="K279" s="169"/>
      <c r="L279" s="169"/>
      <c r="M279" s="169"/>
      <c r="N279" s="169"/>
      <c r="O279" s="169"/>
      <c r="P279" s="169"/>
      <c r="Q279" s="169"/>
      <c r="R279" s="3"/>
      <c r="S279" s="3"/>
      <c r="T279" s="3"/>
      <c r="U279" s="3"/>
      <c r="V279" s="3"/>
      <c r="W279" s="3"/>
      <c r="X279" s="3"/>
      <c r="Y279" s="3"/>
      <c r="Z279" s="316" t="str">
        <f aca="false">IF(AF279&gt;0,RANK(AF279,AF$6:AF$422),"")</f>
        <v/>
      </c>
      <c r="AA279" s="134" t="n">
        <f aca="false">'O_MN, PE_UTA_UGM 2024'!N256</f>
        <v>5</v>
      </c>
      <c r="AB279" s="135" t="n">
        <f aca="false">'O_MN, PE_UTA_UGM 2024'!O256</f>
        <v>0</v>
      </c>
      <c r="AC279" s="317" t="n">
        <f aca="false">'O_MN, PE_UTA_UGM 2024'!C256</f>
        <v>254</v>
      </c>
      <c r="AD279" s="293" t="str">
        <f aca="false">IF(AB279=0,'O_MN, PE_UTA_UGM 2024'!F256,CONCATENATE('O_MN, PE_UTA_UGM 2024'!F256," ","INVERNADERO"))</f>
        <v>ENELDO</v>
      </c>
      <c r="AE279" s="89"/>
      <c r="AF279" s="123" t="n">
        <f aca="false">SUM(AG279:AH279)+SUM(AJ279:AK279)</f>
        <v>0</v>
      </c>
      <c r="AG279" s="318" t="n">
        <f aca="false">A266</f>
        <v>0</v>
      </c>
      <c r="AH279" s="319" t="n">
        <f aca="false">B266</f>
        <v>0</v>
      </c>
      <c r="AI279" s="6"/>
      <c r="AJ279" s="320" t="n">
        <f aca="false">C266</f>
        <v>0</v>
      </c>
      <c r="AK279" s="320" t="n">
        <f aca="false">D266</f>
        <v>0</v>
      </c>
      <c r="AL279" s="237" t="s">
        <v>405</v>
      </c>
      <c r="AM279" s="299" t="n">
        <f aca="false">'O_MN, PE_UTA_UGM 2024'!J256</f>
        <v>1000</v>
      </c>
      <c r="AN279" s="299" t="n">
        <f aca="false">'O_MN, PE_UTA_UGM 2024'!K256</f>
        <v>3800</v>
      </c>
      <c r="AO279" s="300"/>
      <c r="AP279" s="299" t="n">
        <f aca="false">'O_MN, PE_UTA_UGM 2024'!H256</f>
        <v>114.19</v>
      </c>
      <c r="AQ279" s="299" t="n">
        <f aca="false">'O_MN, PE_UTA_UGM 2024'!I256</f>
        <v>240.4</v>
      </c>
      <c r="AR279" s="301"/>
      <c r="AS279" s="302" t="n">
        <f aca="false">'O_MN, PE_UTA_UGM 2024'!L256</f>
        <v>0.00465</v>
      </c>
      <c r="AT279" s="302" t="n">
        <f aca="false">'O_MN, PE_UTA_UGM 2024'!M256</f>
        <v>0.0098</v>
      </c>
      <c r="AU279" s="45"/>
      <c r="AV279" s="321" t="n">
        <f aca="false">AG279*AM279</f>
        <v>0</v>
      </c>
      <c r="AW279" s="319" t="n">
        <f aca="false">AH279*AN279</f>
        <v>0</v>
      </c>
      <c r="AX279" s="320" t="n">
        <f aca="false">1.25*AJ279*AM279</f>
        <v>0</v>
      </c>
      <c r="AY279" s="322" t="n">
        <f aca="false">1.25*AK279*AN279</f>
        <v>0</v>
      </c>
      <c r="AZ279" s="323" t="n">
        <f aca="false">AG279*AP279</f>
        <v>0</v>
      </c>
      <c r="BA279" s="319" t="n">
        <f aca="false">AH279*AQ279</f>
        <v>0</v>
      </c>
      <c r="BB279" s="320" t="n">
        <f aca="false">1.25*AJ279*AP279</f>
        <v>0</v>
      </c>
      <c r="BC279" s="320" t="n">
        <f aca="false">1.25*AK279*AQ279</f>
        <v>0</v>
      </c>
      <c r="BD279" s="321" t="n">
        <f aca="false">AG279*AS279</f>
        <v>0</v>
      </c>
      <c r="BE279" s="319" t="n">
        <f aca="false">AH279*AT279</f>
        <v>0</v>
      </c>
      <c r="BF279" s="320" t="n">
        <f aca="false">AJ279*AS279</f>
        <v>0</v>
      </c>
      <c r="BG279" s="322" t="n">
        <f aca="false">AK279*AT279</f>
        <v>0</v>
      </c>
      <c r="BH279" s="324" t="str">
        <f aca="false">IF(BH$24=$AA279,($AG279*$AM279)+($AJ279*$AM279*1.25)+($AH279*$AN279)+($AK279*$AN279*1.25),"")</f>
        <v/>
      </c>
      <c r="BI279" s="325" t="str">
        <f aca="false">IF(BI$24=$AA279,($AG279*$AM279)+($AJ279*$AM279*1.25)+($AH279*$AN279)+($AK279*$AN279*1.25),"")</f>
        <v/>
      </c>
      <c r="BJ279" s="325" t="str">
        <f aca="false">IF(BJ$24=$AA279,($AG279*$AM279)+($AJ279*$AM279*1.25)+($AH279*$AN279)+($AK279*$AN279*1.25),"")</f>
        <v/>
      </c>
      <c r="BK279" s="325" t="str">
        <f aca="false">IF(BK$24=$AA279,($AG279*$AM279)+($AJ279*$AM279*1.25)+($AH279*$AN279)+($AK279*$AN279*1.25),"")</f>
        <v/>
      </c>
      <c r="BL279" s="326" t="n">
        <f aca="false">IF(BL$24=$AA279,($AG279*$AM279)+($AJ279*$AM279*1.25)+($AH279*$AN279)+($AK279*$AN279*1.25),"")</f>
        <v>0</v>
      </c>
      <c r="BM279" s="327" t="str">
        <f aca="false">IF(CONCATENATE(BH279,BI279,BJ279,BK279,BL279)="",1,"")</f>
        <v/>
      </c>
      <c r="BN279" s="328"/>
      <c r="BO279" s="328"/>
      <c r="BP279" s="328"/>
      <c r="BQ279" s="328"/>
      <c r="BR279" s="47"/>
      <c r="BS279" s="127" t="n">
        <f aca="false">(AG279*AM279)+(AH279*AN279)+((AJ279*AM279)+(AK279*AN279)*1.25)</f>
        <v>0</v>
      </c>
      <c r="BT279" s="127" t="n">
        <f aca="false">(AG279*AP279)+(AH279*AQ279)+((AJ279*AP279)+(AK279*AQ279)*1.25)</f>
        <v>0</v>
      </c>
      <c r="BU279" s="329"/>
      <c r="BV279" s="129"/>
    </row>
    <row r="280" customFormat="false" ht="15" hidden="false" customHeight="false" outlineLevel="0" collapsed="false">
      <c r="A280" s="228"/>
      <c r="B280" s="229"/>
      <c r="C280" s="230"/>
      <c r="D280" s="231"/>
      <c r="E280" s="223" t="str">
        <f aca="false">IF(SUM(A280:D280)&gt;0,SUM(A280:D280),"")</f>
        <v/>
      </c>
      <c r="F280" s="224" t="str">
        <f aca="false">AD293</f>
        <v>PERIFOLLO</v>
      </c>
      <c r="G280" s="169"/>
      <c r="H280" s="169"/>
      <c r="I280" s="169"/>
      <c r="J280" s="169"/>
      <c r="K280" s="169"/>
      <c r="L280" s="169"/>
      <c r="M280" s="169"/>
      <c r="N280" s="169"/>
      <c r="O280" s="169"/>
      <c r="P280" s="169"/>
      <c r="Q280" s="169"/>
      <c r="R280" s="3"/>
      <c r="S280" s="3"/>
      <c r="T280" s="3"/>
      <c r="U280" s="3"/>
      <c r="V280" s="3"/>
      <c r="W280" s="3"/>
      <c r="X280" s="3"/>
      <c r="Y280" s="3"/>
      <c r="Z280" s="316" t="str">
        <f aca="false">IF(AF280&gt;0,RANK(AF280,AF$6:AF$422),"")</f>
        <v/>
      </c>
      <c r="AA280" s="134" t="n">
        <f aca="false">'O_MN, PE_UTA_UGM 2024'!N257</f>
        <v>5</v>
      </c>
      <c r="AB280" s="135" t="n">
        <f aca="false">'O_MN, PE_UTA_UGM 2024'!O257</f>
        <v>0</v>
      </c>
      <c r="AC280" s="317" t="n">
        <f aca="false">'O_MN, PE_UTA_UGM 2024'!C257</f>
        <v>256</v>
      </c>
      <c r="AD280" s="293" t="str">
        <f aca="false">IF(AB280=0,'O_MN, PE_UTA_UGM 2024'!F257,CONCATENATE('O_MN, PE_UTA_UGM 2024'!F257," ","INVERNADERO"))</f>
        <v>VALERIANA</v>
      </c>
      <c r="AE280" s="89"/>
      <c r="AF280" s="123" t="n">
        <f aca="false">SUM(AG280:AH280)+SUM(AJ280:AK280)</f>
        <v>0</v>
      </c>
      <c r="AG280" s="318" t="n">
        <f aca="false">A267</f>
        <v>0</v>
      </c>
      <c r="AH280" s="319" t="n">
        <f aca="false">B267</f>
        <v>0</v>
      </c>
      <c r="AI280" s="6"/>
      <c r="AJ280" s="320" t="n">
        <f aca="false">C267</f>
        <v>0</v>
      </c>
      <c r="AK280" s="320" t="n">
        <f aca="false">D267</f>
        <v>0</v>
      </c>
      <c r="AL280" s="237" t="s">
        <v>406</v>
      </c>
      <c r="AM280" s="299" t="n">
        <f aca="false">'O_MN, PE_UTA_UGM 2024'!J257</f>
        <v>1000</v>
      </c>
      <c r="AN280" s="299" t="n">
        <f aca="false">'O_MN, PE_UTA_UGM 2024'!K257</f>
        <v>3800</v>
      </c>
      <c r="AO280" s="300"/>
      <c r="AP280" s="299" t="n">
        <f aca="false">'O_MN, PE_UTA_UGM 2024'!H257</f>
        <v>114.19</v>
      </c>
      <c r="AQ280" s="299" t="n">
        <f aca="false">'O_MN, PE_UTA_UGM 2024'!I257</f>
        <v>240.4</v>
      </c>
      <c r="AR280" s="301"/>
      <c r="AS280" s="302" t="n">
        <f aca="false">'O_MN, PE_UTA_UGM 2024'!L257</f>
        <v>0.00465</v>
      </c>
      <c r="AT280" s="302" t="n">
        <f aca="false">'O_MN, PE_UTA_UGM 2024'!M257</f>
        <v>0.0098</v>
      </c>
      <c r="AU280" s="45"/>
      <c r="AV280" s="321" t="n">
        <f aca="false">AG280*AM280</f>
        <v>0</v>
      </c>
      <c r="AW280" s="319" t="n">
        <f aca="false">AH280*AN280</f>
        <v>0</v>
      </c>
      <c r="AX280" s="320" t="n">
        <f aca="false">1.25*AJ280*AM280</f>
        <v>0</v>
      </c>
      <c r="AY280" s="322" t="n">
        <f aca="false">1.25*AK280*AN280</f>
        <v>0</v>
      </c>
      <c r="AZ280" s="323" t="n">
        <f aca="false">AG280*AP280</f>
        <v>0</v>
      </c>
      <c r="BA280" s="319" t="n">
        <f aca="false">AH280*AQ280</f>
        <v>0</v>
      </c>
      <c r="BB280" s="320" t="n">
        <f aca="false">1.25*AJ280*AP280</f>
        <v>0</v>
      </c>
      <c r="BC280" s="320" t="n">
        <f aca="false">1.25*AK280*AQ280</f>
        <v>0</v>
      </c>
      <c r="BD280" s="321" t="n">
        <f aca="false">AG280*AS280</f>
        <v>0</v>
      </c>
      <c r="BE280" s="319" t="n">
        <f aca="false">AH280*AT280</f>
        <v>0</v>
      </c>
      <c r="BF280" s="320" t="n">
        <f aca="false">AJ280*AS280</f>
        <v>0</v>
      </c>
      <c r="BG280" s="322" t="n">
        <f aca="false">AK280*AT280</f>
        <v>0</v>
      </c>
      <c r="BH280" s="324" t="str">
        <f aca="false">IF(BH$24=$AA280,($AG280*$AM280)+($AJ280*$AM280*1.25)+($AH280*$AN280)+($AK280*$AN280*1.25),"")</f>
        <v/>
      </c>
      <c r="BI280" s="325" t="str">
        <f aca="false">IF(BI$24=$AA280,($AG280*$AM280)+($AJ280*$AM280*1.25)+($AH280*$AN280)+($AK280*$AN280*1.25),"")</f>
        <v/>
      </c>
      <c r="BJ280" s="325" t="str">
        <f aca="false">IF(BJ$24=$AA280,($AG280*$AM280)+($AJ280*$AM280*1.25)+($AH280*$AN280)+($AK280*$AN280*1.25),"")</f>
        <v/>
      </c>
      <c r="BK280" s="325" t="str">
        <f aca="false">IF(BK$24=$AA280,($AG280*$AM280)+($AJ280*$AM280*1.25)+($AH280*$AN280)+($AK280*$AN280*1.25),"")</f>
        <v/>
      </c>
      <c r="BL280" s="326" t="n">
        <f aca="false">IF(BL$24=$AA280,($AG280*$AM280)+($AJ280*$AM280*1.25)+($AH280*$AN280)+($AK280*$AN280*1.25),"")</f>
        <v>0</v>
      </c>
      <c r="BM280" s="327" t="str">
        <f aca="false">IF(CONCATENATE(BH280,BI280,BJ280,BK280,BL280)="",1,"")</f>
        <v/>
      </c>
      <c r="BN280" s="328"/>
      <c r="BO280" s="328"/>
      <c r="BP280" s="328"/>
      <c r="BQ280" s="328"/>
      <c r="BR280" s="47"/>
      <c r="BS280" s="127" t="n">
        <f aca="false">(AG280*AM280)+(AH280*AN280)+((AJ280*AM280)+(AK280*AN280)*1.25)</f>
        <v>0</v>
      </c>
      <c r="BT280" s="127" t="n">
        <f aca="false">(AG280*AP280)+(AH280*AQ280)+((AJ280*AP280)+(AK280*AQ280)*1.25)</f>
        <v>0</v>
      </c>
      <c r="BU280" s="329"/>
      <c r="BV280" s="129"/>
    </row>
    <row r="281" customFormat="false" ht="15" hidden="false" customHeight="false" outlineLevel="0" collapsed="false">
      <c r="A281" s="228"/>
      <c r="B281" s="229"/>
      <c r="C281" s="230"/>
      <c r="D281" s="231"/>
      <c r="E281" s="223" t="str">
        <f aca="false">IF(SUM(A281:D281)&gt;0,SUM(A281:D281),"")</f>
        <v/>
      </c>
      <c r="F281" s="224" t="str">
        <f aca="false">AD294</f>
        <v>ESTRAGÓN</v>
      </c>
      <c r="G281" s="169"/>
      <c r="H281" s="169"/>
      <c r="I281" s="169"/>
      <c r="J281" s="169"/>
      <c r="K281" s="169"/>
      <c r="L281" s="169"/>
      <c r="M281" s="169"/>
      <c r="N281" s="169"/>
      <c r="O281" s="169"/>
      <c r="P281" s="169"/>
      <c r="Q281" s="169"/>
      <c r="R281" s="3"/>
      <c r="S281" s="3"/>
      <c r="T281" s="3"/>
      <c r="U281" s="3"/>
      <c r="V281" s="3"/>
      <c r="W281" s="3"/>
      <c r="X281" s="3"/>
      <c r="Y281" s="3"/>
      <c r="Z281" s="316" t="str">
        <f aca="false">IF(AF281&gt;0,RANK(AF281,AF$6:AF$422),"")</f>
        <v/>
      </c>
      <c r="AA281" s="134" t="n">
        <f aca="false">'O_MN, PE_UTA_UGM 2024'!N258</f>
        <v>5</v>
      </c>
      <c r="AB281" s="135" t="n">
        <f aca="false">'O_MN, PE_UTA_UGM 2024'!O258</f>
        <v>0</v>
      </c>
      <c r="AC281" s="317" t="n">
        <f aca="false">'O_MN, PE_UTA_UGM 2024'!C258</f>
        <v>257</v>
      </c>
      <c r="AD281" s="293" t="str">
        <f aca="false">IF(AB281=0,'O_MN, PE_UTA_UGM 2024'!F258,CONCATENATE('O_MN, PE_UTA_UGM 2024'!F258," ","INVERNADERO"))</f>
        <v>ARTEMISA</v>
      </c>
      <c r="AE281" s="89"/>
      <c r="AF281" s="123" t="n">
        <f aca="false">SUM(AG281:AH281)+SUM(AJ281:AK281)</f>
        <v>0</v>
      </c>
      <c r="AG281" s="318" t="n">
        <f aca="false">A268</f>
        <v>0</v>
      </c>
      <c r="AH281" s="319" t="n">
        <f aca="false">B268</f>
        <v>0</v>
      </c>
      <c r="AI281" s="6"/>
      <c r="AJ281" s="320" t="n">
        <f aca="false">C268</f>
        <v>0</v>
      </c>
      <c r="AK281" s="320" t="n">
        <f aca="false">D268</f>
        <v>0</v>
      </c>
      <c r="AL281" s="237" t="s">
        <v>407</v>
      </c>
      <c r="AM281" s="299" t="n">
        <f aca="false">'O_MN, PE_UTA_UGM 2024'!J258</f>
        <v>1000</v>
      </c>
      <c r="AN281" s="299" t="n">
        <f aca="false">'O_MN, PE_UTA_UGM 2024'!K258</f>
        <v>3800</v>
      </c>
      <c r="AO281" s="300"/>
      <c r="AP281" s="299" t="n">
        <f aca="false">'O_MN, PE_UTA_UGM 2024'!H258</f>
        <v>114.19</v>
      </c>
      <c r="AQ281" s="299" t="n">
        <f aca="false">'O_MN, PE_UTA_UGM 2024'!I258</f>
        <v>240.4</v>
      </c>
      <c r="AR281" s="301"/>
      <c r="AS281" s="302" t="n">
        <f aca="false">'O_MN, PE_UTA_UGM 2024'!L258</f>
        <v>0.00465</v>
      </c>
      <c r="AT281" s="302" t="n">
        <f aca="false">'O_MN, PE_UTA_UGM 2024'!M258</f>
        <v>0.0098</v>
      </c>
      <c r="AU281" s="45"/>
      <c r="AV281" s="321" t="n">
        <f aca="false">AG281*AM281</f>
        <v>0</v>
      </c>
      <c r="AW281" s="319" t="n">
        <f aca="false">AH281*AN281</f>
        <v>0</v>
      </c>
      <c r="AX281" s="320" t="n">
        <f aca="false">1.25*AJ281*AM281</f>
        <v>0</v>
      </c>
      <c r="AY281" s="322" t="n">
        <f aca="false">1.25*AK281*AN281</f>
        <v>0</v>
      </c>
      <c r="AZ281" s="323" t="n">
        <f aca="false">AG281*AP281</f>
        <v>0</v>
      </c>
      <c r="BA281" s="319" t="n">
        <f aca="false">AH281*AQ281</f>
        <v>0</v>
      </c>
      <c r="BB281" s="320" t="n">
        <f aca="false">1.25*AJ281*AP281</f>
        <v>0</v>
      </c>
      <c r="BC281" s="320" t="n">
        <f aca="false">1.25*AK281*AQ281</f>
        <v>0</v>
      </c>
      <c r="BD281" s="321" t="n">
        <f aca="false">AG281*AS281</f>
        <v>0</v>
      </c>
      <c r="BE281" s="319" t="n">
        <f aca="false">AH281*AT281</f>
        <v>0</v>
      </c>
      <c r="BF281" s="320" t="n">
        <f aca="false">AJ281*AS281</f>
        <v>0</v>
      </c>
      <c r="BG281" s="322" t="n">
        <f aca="false">AK281*AT281</f>
        <v>0</v>
      </c>
      <c r="BH281" s="324" t="str">
        <f aca="false">IF(BH$24=$AA281,($AG281*$AM281)+($AJ281*$AM281*1.25)+($AH281*$AN281)+($AK281*$AN281*1.25),"")</f>
        <v/>
      </c>
      <c r="BI281" s="325" t="str">
        <f aca="false">IF(BI$24=$AA281,($AG281*$AM281)+($AJ281*$AM281*1.25)+($AH281*$AN281)+($AK281*$AN281*1.25),"")</f>
        <v/>
      </c>
      <c r="BJ281" s="325" t="str">
        <f aca="false">IF(BJ$24=$AA281,($AG281*$AM281)+($AJ281*$AM281*1.25)+($AH281*$AN281)+($AK281*$AN281*1.25),"")</f>
        <v/>
      </c>
      <c r="BK281" s="325" t="str">
        <f aca="false">IF(BK$24=$AA281,($AG281*$AM281)+($AJ281*$AM281*1.25)+($AH281*$AN281)+($AK281*$AN281*1.25),"")</f>
        <v/>
      </c>
      <c r="BL281" s="326" t="n">
        <f aca="false">IF(BL$24=$AA281,($AG281*$AM281)+($AJ281*$AM281*1.25)+($AH281*$AN281)+($AK281*$AN281*1.25),"")</f>
        <v>0</v>
      </c>
      <c r="BM281" s="327" t="str">
        <f aca="false">IF(CONCATENATE(BH281,BI281,BJ281,BK281,BL281)="",1,"")</f>
        <v/>
      </c>
      <c r="BN281" s="328"/>
      <c r="BO281" s="328"/>
      <c r="BP281" s="328"/>
      <c r="BQ281" s="328"/>
      <c r="BR281" s="47"/>
      <c r="BS281" s="127" t="n">
        <f aca="false">(AG281*AM281)+(AH281*AN281)+((AJ281*AM281)+(AK281*AN281)*1.25)</f>
        <v>0</v>
      </c>
      <c r="BT281" s="127" t="n">
        <f aca="false">(AG281*AP281)+(AH281*AQ281)+((AJ281*AP281)+(AK281*AQ281)*1.25)</f>
        <v>0</v>
      </c>
      <c r="BU281" s="329"/>
      <c r="BV281" s="129"/>
    </row>
    <row r="282" customFormat="false" ht="15" hidden="false" customHeight="false" outlineLevel="0" collapsed="false">
      <c r="A282" s="228"/>
      <c r="B282" s="229"/>
      <c r="C282" s="230"/>
      <c r="D282" s="231"/>
      <c r="E282" s="223" t="str">
        <f aca="false">IF(SUM(A282:D282)&gt;0,SUM(A282:D282),"")</f>
        <v/>
      </c>
      <c r="F282" s="224" t="str">
        <f aca="false">AD295</f>
        <v>MEJORANA</v>
      </c>
      <c r="G282" s="169"/>
      <c r="H282" s="169"/>
      <c r="I282" s="169"/>
      <c r="J282" s="169"/>
      <c r="K282" s="169"/>
      <c r="L282" s="169"/>
      <c r="M282" s="169"/>
      <c r="N282" s="169"/>
      <c r="O282" s="169"/>
      <c r="P282" s="169"/>
      <c r="Q282" s="169"/>
      <c r="R282" s="3"/>
      <c r="S282" s="3"/>
      <c r="T282" s="3"/>
      <c r="U282" s="3"/>
      <c r="V282" s="3"/>
      <c r="W282" s="3"/>
      <c r="X282" s="3"/>
      <c r="Y282" s="3"/>
      <c r="Z282" s="316" t="str">
        <f aca="false">IF(AF282&gt;0,RANK(AF282,AF$6:AF$422),"")</f>
        <v/>
      </c>
      <c r="AA282" s="134" t="n">
        <f aca="false">'O_MN, PE_UTA_UGM 2024'!N259</f>
        <v>5</v>
      </c>
      <c r="AB282" s="135" t="n">
        <f aca="false">'O_MN, PE_UTA_UGM 2024'!O259</f>
        <v>0</v>
      </c>
      <c r="AC282" s="317" t="n">
        <f aca="false">'O_MN, PE_UTA_UGM 2024'!C259</f>
        <v>258</v>
      </c>
      <c r="AD282" s="293" t="str">
        <f aca="false">IF(AB282=0,'O_MN, PE_UTA_UGM 2024'!F259,CONCATENATE('O_MN, PE_UTA_UGM 2024'!F259," ","INVERNADERO"))</f>
        <v>GENCIANA</v>
      </c>
      <c r="AE282" s="89"/>
      <c r="AF282" s="123" t="n">
        <f aca="false">SUM(AG282:AH282)+SUM(AJ282:AK282)</f>
        <v>0</v>
      </c>
      <c r="AG282" s="318" t="n">
        <f aca="false">A269</f>
        <v>0</v>
      </c>
      <c r="AH282" s="319" t="n">
        <f aca="false">B269</f>
        <v>0</v>
      </c>
      <c r="AI282" s="6"/>
      <c r="AJ282" s="320" t="n">
        <f aca="false">C269</f>
        <v>0</v>
      </c>
      <c r="AK282" s="320" t="n">
        <f aca="false">D269</f>
        <v>0</v>
      </c>
      <c r="AL282" s="237" t="s">
        <v>408</v>
      </c>
      <c r="AM282" s="299" t="n">
        <f aca="false">'O_MN, PE_UTA_UGM 2024'!J259</f>
        <v>1000</v>
      </c>
      <c r="AN282" s="299" t="n">
        <f aca="false">'O_MN, PE_UTA_UGM 2024'!K259</f>
        <v>3800</v>
      </c>
      <c r="AO282" s="300"/>
      <c r="AP282" s="299" t="n">
        <f aca="false">'O_MN, PE_UTA_UGM 2024'!H259</f>
        <v>114.19</v>
      </c>
      <c r="AQ282" s="299" t="n">
        <f aca="false">'O_MN, PE_UTA_UGM 2024'!I259</f>
        <v>240.4</v>
      </c>
      <c r="AR282" s="301"/>
      <c r="AS282" s="302" t="n">
        <f aca="false">'O_MN, PE_UTA_UGM 2024'!L259</f>
        <v>0.00465</v>
      </c>
      <c r="AT282" s="302" t="n">
        <f aca="false">'O_MN, PE_UTA_UGM 2024'!M259</f>
        <v>0.0098</v>
      </c>
      <c r="AU282" s="45"/>
      <c r="AV282" s="321" t="n">
        <f aca="false">AG282*AM282</f>
        <v>0</v>
      </c>
      <c r="AW282" s="319" t="n">
        <f aca="false">AH282*AN282</f>
        <v>0</v>
      </c>
      <c r="AX282" s="320" t="n">
        <f aca="false">1.25*AJ282*AM282</f>
        <v>0</v>
      </c>
      <c r="AY282" s="322" t="n">
        <f aca="false">1.25*AK282*AN282</f>
        <v>0</v>
      </c>
      <c r="AZ282" s="323" t="n">
        <f aca="false">AG282*AP282</f>
        <v>0</v>
      </c>
      <c r="BA282" s="319" t="n">
        <f aca="false">AH282*AQ282</f>
        <v>0</v>
      </c>
      <c r="BB282" s="320" t="n">
        <f aca="false">1.25*AJ282*AP282</f>
        <v>0</v>
      </c>
      <c r="BC282" s="320" t="n">
        <f aca="false">1.25*AK282*AQ282</f>
        <v>0</v>
      </c>
      <c r="BD282" s="321" t="n">
        <f aca="false">AG282*AS282</f>
        <v>0</v>
      </c>
      <c r="BE282" s="319" t="n">
        <f aca="false">AH282*AT282</f>
        <v>0</v>
      </c>
      <c r="BF282" s="320" t="n">
        <f aca="false">AJ282*AS282</f>
        <v>0</v>
      </c>
      <c r="BG282" s="322" t="n">
        <f aca="false">AK282*AT282</f>
        <v>0</v>
      </c>
      <c r="BH282" s="324" t="str">
        <f aca="false">IF(BH$24=$AA282,($AG282*$AM282)+($AJ282*$AM282*1.25)+($AH282*$AN282)+($AK282*$AN282*1.25),"")</f>
        <v/>
      </c>
      <c r="BI282" s="325" t="str">
        <f aca="false">IF(BI$24=$AA282,($AG282*$AM282)+($AJ282*$AM282*1.25)+($AH282*$AN282)+($AK282*$AN282*1.25),"")</f>
        <v/>
      </c>
      <c r="BJ282" s="325" t="str">
        <f aca="false">IF(BJ$24=$AA282,($AG282*$AM282)+($AJ282*$AM282*1.25)+($AH282*$AN282)+($AK282*$AN282*1.25),"")</f>
        <v/>
      </c>
      <c r="BK282" s="325" t="str">
        <f aca="false">IF(BK$24=$AA282,($AG282*$AM282)+($AJ282*$AM282*1.25)+($AH282*$AN282)+($AK282*$AN282*1.25),"")</f>
        <v/>
      </c>
      <c r="BL282" s="326" t="n">
        <f aca="false">IF(BL$24=$AA282,($AG282*$AM282)+($AJ282*$AM282*1.25)+($AH282*$AN282)+($AK282*$AN282*1.25),"")</f>
        <v>0</v>
      </c>
      <c r="BM282" s="327" t="str">
        <f aca="false">IF(CONCATENATE(BH282,BI282,BJ282,BK282,BL282)="",1,"")</f>
        <v/>
      </c>
      <c r="BN282" s="328"/>
      <c r="BO282" s="328"/>
      <c r="BP282" s="328"/>
      <c r="BQ282" s="328"/>
      <c r="BR282" s="47"/>
      <c r="BS282" s="127" t="n">
        <f aca="false">(AG282*AM282)+(AH282*AN282)+((AJ282*AM282)+(AK282*AN282)*1.25)</f>
        <v>0</v>
      </c>
      <c r="BT282" s="127" t="n">
        <f aca="false">(AG282*AP282)+(AH282*AQ282)+((AJ282*AP282)+(AK282*AQ282)*1.25)</f>
        <v>0</v>
      </c>
      <c r="BU282" s="329"/>
      <c r="BV282" s="129"/>
    </row>
    <row r="283" customFormat="false" ht="15" hidden="false" customHeight="false" outlineLevel="0" collapsed="false">
      <c r="A283" s="228"/>
      <c r="B283" s="229"/>
      <c r="C283" s="230"/>
      <c r="D283" s="231"/>
      <c r="E283" s="223" t="str">
        <f aca="false">IF(SUM(A283:D283)&gt;0,SUM(A283:D283),"")</f>
        <v/>
      </c>
      <c r="F283" s="224" t="str">
        <f aca="false">AD296</f>
        <v>CALÉNDULA</v>
      </c>
      <c r="G283" s="169"/>
      <c r="H283" s="169"/>
      <c r="I283" s="169"/>
      <c r="J283" s="169"/>
      <c r="K283" s="169"/>
      <c r="L283" s="169"/>
      <c r="M283" s="169"/>
      <c r="N283" s="169"/>
      <c r="O283" s="169"/>
      <c r="P283" s="169"/>
      <c r="Q283" s="169"/>
      <c r="R283" s="3"/>
      <c r="S283" s="3"/>
      <c r="T283" s="3"/>
      <c r="U283" s="3"/>
      <c r="V283" s="3"/>
      <c r="W283" s="3"/>
      <c r="X283" s="3"/>
      <c r="Y283" s="3"/>
      <c r="Z283" s="316" t="str">
        <f aca="false">IF(AF283&gt;0,RANK(AF283,AF$6:AF$422),"")</f>
        <v/>
      </c>
      <c r="AA283" s="134" t="n">
        <f aca="false">'O_MN, PE_UTA_UGM 2024'!N260</f>
        <v>5</v>
      </c>
      <c r="AB283" s="135" t="n">
        <f aca="false">'O_MN, PE_UTA_UGM 2024'!O260</f>
        <v>0</v>
      </c>
      <c r="AC283" s="317" t="n">
        <f aca="false">'O_MN, PE_UTA_UGM 2024'!C260</f>
        <v>259</v>
      </c>
      <c r="AD283" s="293" t="str">
        <f aca="false">IF(AB283=0,'O_MN, PE_UTA_UGM 2024'!F260,CONCATENATE('O_MN, PE_UTA_UGM 2024'!F260," ","INVERNADERO"))</f>
        <v>HISOPO</v>
      </c>
      <c r="AE283" s="89"/>
      <c r="AF283" s="123" t="n">
        <f aca="false">SUM(AG283:AH283)+SUM(AJ283:AK283)</f>
        <v>0</v>
      </c>
      <c r="AG283" s="318" t="n">
        <f aca="false">A270</f>
        <v>0</v>
      </c>
      <c r="AH283" s="319" t="n">
        <f aca="false">B270</f>
        <v>0</v>
      </c>
      <c r="AI283" s="6"/>
      <c r="AJ283" s="320" t="n">
        <f aca="false">C270</f>
        <v>0</v>
      </c>
      <c r="AK283" s="320" t="n">
        <f aca="false">D270</f>
        <v>0</v>
      </c>
      <c r="AL283" s="237" t="s">
        <v>409</v>
      </c>
      <c r="AM283" s="299" t="n">
        <f aca="false">'O_MN, PE_UTA_UGM 2024'!J260</f>
        <v>1000</v>
      </c>
      <c r="AN283" s="299" t="n">
        <f aca="false">'O_MN, PE_UTA_UGM 2024'!K260</f>
        <v>3800</v>
      </c>
      <c r="AO283" s="300"/>
      <c r="AP283" s="299" t="n">
        <f aca="false">'O_MN, PE_UTA_UGM 2024'!H260</f>
        <v>114.19</v>
      </c>
      <c r="AQ283" s="299" t="n">
        <f aca="false">'O_MN, PE_UTA_UGM 2024'!I260</f>
        <v>240.4</v>
      </c>
      <c r="AR283" s="301"/>
      <c r="AS283" s="302" t="n">
        <f aca="false">'O_MN, PE_UTA_UGM 2024'!L260</f>
        <v>0.00465</v>
      </c>
      <c r="AT283" s="302" t="n">
        <f aca="false">'O_MN, PE_UTA_UGM 2024'!M260</f>
        <v>0.0098</v>
      </c>
      <c r="AU283" s="45"/>
      <c r="AV283" s="321" t="n">
        <f aca="false">AG283*AM283</f>
        <v>0</v>
      </c>
      <c r="AW283" s="319" t="n">
        <f aca="false">AH283*AN283</f>
        <v>0</v>
      </c>
      <c r="AX283" s="320" t="n">
        <f aca="false">1.25*AJ283*AM283</f>
        <v>0</v>
      </c>
      <c r="AY283" s="322" t="n">
        <f aca="false">1.25*AK283*AN283</f>
        <v>0</v>
      </c>
      <c r="AZ283" s="323" t="n">
        <f aca="false">AG283*AP283</f>
        <v>0</v>
      </c>
      <c r="BA283" s="319" t="n">
        <f aca="false">AH283*AQ283</f>
        <v>0</v>
      </c>
      <c r="BB283" s="320" t="n">
        <f aca="false">1.25*AJ283*AP283</f>
        <v>0</v>
      </c>
      <c r="BC283" s="320" t="n">
        <f aca="false">1.25*AK283*AQ283</f>
        <v>0</v>
      </c>
      <c r="BD283" s="321" t="n">
        <f aca="false">AG283*AS283</f>
        <v>0</v>
      </c>
      <c r="BE283" s="319" t="n">
        <f aca="false">AH283*AT283</f>
        <v>0</v>
      </c>
      <c r="BF283" s="320" t="n">
        <f aca="false">AJ283*AS283</f>
        <v>0</v>
      </c>
      <c r="BG283" s="322" t="n">
        <f aca="false">AK283*AT283</f>
        <v>0</v>
      </c>
      <c r="BH283" s="324" t="str">
        <f aca="false">IF(BH$24=$AA283,($AG283*$AM283)+($AJ283*$AM283*1.25)+($AH283*$AN283)+($AK283*$AN283*1.25),"")</f>
        <v/>
      </c>
      <c r="BI283" s="325" t="str">
        <f aca="false">IF(BI$24=$AA283,($AG283*$AM283)+($AJ283*$AM283*1.25)+($AH283*$AN283)+($AK283*$AN283*1.25),"")</f>
        <v/>
      </c>
      <c r="BJ283" s="325" t="str">
        <f aca="false">IF(BJ$24=$AA283,($AG283*$AM283)+($AJ283*$AM283*1.25)+($AH283*$AN283)+($AK283*$AN283*1.25),"")</f>
        <v/>
      </c>
      <c r="BK283" s="325" t="str">
        <f aca="false">IF(BK$24=$AA283,($AG283*$AM283)+($AJ283*$AM283*1.25)+($AH283*$AN283)+($AK283*$AN283*1.25),"")</f>
        <v/>
      </c>
      <c r="BL283" s="326" t="n">
        <f aca="false">IF(BL$24=$AA283,($AG283*$AM283)+($AJ283*$AM283*1.25)+($AH283*$AN283)+($AK283*$AN283*1.25),"")</f>
        <v>0</v>
      </c>
      <c r="BM283" s="327" t="str">
        <f aca="false">IF(CONCATENATE(BH283,BI283,BJ283,BK283,BL283)="",1,"")</f>
        <v/>
      </c>
      <c r="BN283" s="328"/>
      <c r="BO283" s="328"/>
      <c r="BP283" s="328"/>
      <c r="BQ283" s="328"/>
      <c r="BR283" s="47"/>
      <c r="BS283" s="127" t="n">
        <f aca="false">(AG283*AM283)+(AH283*AN283)+((AJ283*AM283)+(AK283*AN283)*1.25)</f>
        <v>0</v>
      </c>
      <c r="BT283" s="127" t="n">
        <f aca="false">(AG283*AP283)+(AH283*AQ283)+((AJ283*AP283)+(AK283*AQ283)*1.25)</f>
        <v>0</v>
      </c>
      <c r="BU283" s="329"/>
      <c r="BV283" s="129"/>
    </row>
    <row r="284" customFormat="false" ht="15" hidden="false" customHeight="false" outlineLevel="0" collapsed="false">
      <c r="A284" s="228"/>
      <c r="B284" s="229"/>
      <c r="C284" s="230"/>
      <c r="D284" s="231"/>
      <c r="E284" s="223" t="str">
        <f aca="false">IF(SUM(A284:D284)&gt;0,SUM(A284:D284),"")</f>
        <v/>
      </c>
      <c r="F284" s="224" t="str">
        <f aca="false">AD297</f>
        <v>COMINO</v>
      </c>
      <c r="G284" s="169"/>
      <c r="H284" s="169"/>
      <c r="I284" s="169"/>
      <c r="J284" s="169"/>
      <c r="K284" s="169"/>
      <c r="L284" s="169"/>
      <c r="M284" s="169"/>
      <c r="N284" s="169"/>
      <c r="O284" s="169"/>
      <c r="P284" s="169"/>
      <c r="Q284" s="169"/>
      <c r="R284" s="3"/>
      <c r="S284" s="3"/>
      <c r="T284" s="3"/>
      <c r="U284" s="3"/>
      <c r="V284" s="3"/>
      <c r="W284" s="3"/>
      <c r="X284" s="3"/>
      <c r="Y284" s="3"/>
      <c r="Z284" s="316" t="str">
        <f aca="false">IF(AF284&gt;0,RANK(AF284,AF$6:AF$422),"")</f>
        <v/>
      </c>
      <c r="AA284" s="134" t="n">
        <f aca="false">'O_MN, PE_UTA_UGM 2024'!N261</f>
        <v>5</v>
      </c>
      <c r="AB284" s="135" t="n">
        <f aca="false">'O_MN, PE_UTA_UGM 2024'!O261</f>
        <v>0</v>
      </c>
      <c r="AC284" s="317" t="n">
        <f aca="false">'O_MN, PE_UTA_UGM 2024'!C261</f>
        <v>260</v>
      </c>
      <c r="AD284" s="293" t="str">
        <f aca="false">IF(AB284=0,'O_MN, PE_UTA_UGM 2024'!F261,CONCATENATE('O_MN, PE_UTA_UGM 2024'!F261," ","INVERNADERO"))</f>
        <v>HINOJO</v>
      </c>
      <c r="AE284" s="89"/>
      <c r="AF284" s="123" t="n">
        <f aca="false">SUM(AG284:AH284)+SUM(AJ284:AK284)</f>
        <v>0</v>
      </c>
      <c r="AG284" s="318" t="n">
        <f aca="false">A271</f>
        <v>0</v>
      </c>
      <c r="AH284" s="319" t="n">
        <f aca="false">B271</f>
        <v>0</v>
      </c>
      <c r="AI284" s="6"/>
      <c r="AJ284" s="320" t="n">
        <f aca="false">C271</f>
        <v>0</v>
      </c>
      <c r="AK284" s="320" t="n">
        <f aca="false">D271</f>
        <v>0</v>
      </c>
      <c r="AL284" s="237" t="s">
        <v>410</v>
      </c>
      <c r="AM284" s="299" t="n">
        <f aca="false">'O_MN, PE_UTA_UGM 2024'!J261</f>
        <v>1000</v>
      </c>
      <c r="AN284" s="299" t="n">
        <f aca="false">'O_MN, PE_UTA_UGM 2024'!K261</f>
        <v>3800</v>
      </c>
      <c r="AO284" s="300"/>
      <c r="AP284" s="299" t="n">
        <f aca="false">'O_MN, PE_UTA_UGM 2024'!H261</f>
        <v>114.19</v>
      </c>
      <c r="AQ284" s="299" t="n">
        <f aca="false">'O_MN, PE_UTA_UGM 2024'!I261</f>
        <v>240.4</v>
      </c>
      <c r="AR284" s="301"/>
      <c r="AS284" s="302" t="n">
        <f aca="false">'O_MN, PE_UTA_UGM 2024'!L261</f>
        <v>0.00465</v>
      </c>
      <c r="AT284" s="302" t="n">
        <f aca="false">'O_MN, PE_UTA_UGM 2024'!M261</f>
        <v>0.0098</v>
      </c>
      <c r="AU284" s="45"/>
      <c r="AV284" s="321" t="n">
        <f aca="false">AG284*AM284</f>
        <v>0</v>
      </c>
      <c r="AW284" s="319" t="n">
        <f aca="false">AH284*AN284</f>
        <v>0</v>
      </c>
      <c r="AX284" s="320" t="n">
        <f aca="false">1.25*AJ284*AM284</f>
        <v>0</v>
      </c>
      <c r="AY284" s="322" t="n">
        <f aca="false">1.25*AK284*AN284</f>
        <v>0</v>
      </c>
      <c r="AZ284" s="323" t="n">
        <f aca="false">AG284*AP284</f>
        <v>0</v>
      </c>
      <c r="BA284" s="319" t="n">
        <f aca="false">AH284*AQ284</f>
        <v>0</v>
      </c>
      <c r="BB284" s="320" t="n">
        <f aca="false">1.25*AJ284*AP284</f>
        <v>0</v>
      </c>
      <c r="BC284" s="320" t="n">
        <f aca="false">1.25*AK284*AQ284</f>
        <v>0</v>
      </c>
      <c r="BD284" s="321" t="n">
        <f aca="false">AG284*AS284</f>
        <v>0</v>
      </c>
      <c r="BE284" s="319" t="n">
        <f aca="false">AH284*AT284</f>
        <v>0</v>
      </c>
      <c r="BF284" s="320" t="n">
        <f aca="false">AJ284*AS284</f>
        <v>0</v>
      </c>
      <c r="BG284" s="322" t="n">
        <f aca="false">AK284*AT284</f>
        <v>0</v>
      </c>
      <c r="BH284" s="324" t="str">
        <f aca="false">IF(BH$24=$AA284,($AG284*$AM284)+($AJ284*$AM284*1.25)+($AH284*$AN284)+($AK284*$AN284*1.25),"")</f>
        <v/>
      </c>
      <c r="BI284" s="325" t="str">
        <f aca="false">IF(BI$24=$AA284,($AG284*$AM284)+($AJ284*$AM284*1.25)+($AH284*$AN284)+($AK284*$AN284*1.25),"")</f>
        <v/>
      </c>
      <c r="BJ284" s="325" t="str">
        <f aca="false">IF(BJ$24=$AA284,($AG284*$AM284)+($AJ284*$AM284*1.25)+($AH284*$AN284)+($AK284*$AN284*1.25),"")</f>
        <v/>
      </c>
      <c r="BK284" s="325" t="str">
        <f aca="false">IF(BK$24=$AA284,($AG284*$AM284)+($AJ284*$AM284*1.25)+($AH284*$AN284)+($AK284*$AN284*1.25),"")</f>
        <v/>
      </c>
      <c r="BL284" s="326" t="n">
        <f aca="false">IF(BL$24=$AA284,($AG284*$AM284)+($AJ284*$AM284*1.25)+($AH284*$AN284)+($AK284*$AN284*1.25),"")</f>
        <v>0</v>
      </c>
      <c r="BM284" s="327" t="str">
        <f aca="false">IF(CONCATENATE(BH284,BI284,BJ284,BK284,BL284)="",1,"")</f>
        <v/>
      </c>
      <c r="BN284" s="328"/>
      <c r="BO284" s="328"/>
      <c r="BP284" s="328"/>
      <c r="BQ284" s="328"/>
      <c r="BR284" s="47"/>
      <c r="BS284" s="127" t="n">
        <f aca="false">(AG284*AM284)+(AH284*AN284)+((AJ284*AM284)+(AK284*AN284)*1.25)</f>
        <v>0</v>
      </c>
      <c r="BT284" s="127" t="n">
        <f aca="false">(AG284*AP284)+(AH284*AQ284)+((AJ284*AP284)+(AK284*AQ284)*1.25)</f>
        <v>0</v>
      </c>
      <c r="BU284" s="329"/>
      <c r="BV284" s="129"/>
    </row>
    <row r="285" customFormat="false" ht="15" hidden="false" customHeight="false" outlineLevel="0" collapsed="false">
      <c r="A285" s="228"/>
      <c r="B285" s="229"/>
      <c r="C285" s="230"/>
      <c r="D285" s="231"/>
      <c r="E285" s="223" t="str">
        <f aca="false">IF(SUM(A285:D285)&gt;0,SUM(A285:D285),"")</f>
        <v/>
      </c>
      <c r="F285" s="224" t="str">
        <f aca="false">AD298</f>
        <v>ESTEVIA</v>
      </c>
      <c r="G285" s="169"/>
      <c r="H285" s="169"/>
      <c r="I285" s="169"/>
      <c r="J285" s="169"/>
      <c r="K285" s="169"/>
      <c r="L285" s="169"/>
      <c r="M285" s="169"/>
      <c r="N285" s="169"/>
      <c r="O285" s="169"/>
      <c r="P285" s="169"/>
      <c r="Q285" s="169"/>
      <c r="R285" s="3"/>
      <c r="S285" s="3"/>
      <c r="T285" s="3"/>
      <c r="U285" s="3"/>
      <c r="V285" s="3"/>
      <c r="W285" s="3"/>
      <c r="X285" s="3"/>
      <c r="Y285" s="3"/>
      <c r="Z285" s="316" t="str">
        <f aca="false">IF(AF285&gt;0,RANK(AF285,AF$6:AF$422),"")</f>
        <v/>
      </c>
      <c r="AA285" s="134" t="n">
        <f aca="false">'O_MN, PE_UTA_UGM 2024'!N262</f>
        <v>5</v>
      </c>
      <c r="AB285" s="135" t="n">
        <f aca="false">'O_MN, PE_UTA_UGM 2024'!O262</f>
        <v>0</v>
      </c>
      <c r="AC285" s="317" t="n">
        <f aca="false">'O_MN, PE_UTA_UGM 2024'!C262</f>
        <v>261</v>
      </c>
      <c r="AD285" s="293" t="str">
        <f aca="false">IF(AB285=0,'O_MN, PE_UTA_UGM 2024'!F262,CONCATENATE('O_MN, PE_UTA_UGM 2024'!F262," ","INVERNADERO"))</f>
        <v>PEREJIL</v>
      </c>
      <c r="AE285" s="89"/>
      <c r="AF285" s="123" t="n">
        <f aca="false">SUM(AG285:AH285)+SUM(AJ285:AK285)</f>
        <v>0</v>
      </c>
      <c r="AG285" s="318" t="n">
        <f aca="false">A272</f>
        <v>0</v>
      </c>
      <c r="AH285" s="319" t="n">
        <f aca="false">B272</f>
        <v>0</v>
      </c>
      <c r="AI285" s="6"/>
      <c r="AJ285" s="320" t="n">
        <f aca="false">C272</f>
        <v>0</v>
      </c>
      <c r="AK285" s="320" t="n">
        <f aca="false">D272</f>
        <v>0</v>
      </c>
      <c r="AL285" s="237" t="s">
        <v>411</v>
      </c>
      <c r="AM285" s="299" t="n">
        <f aca="false">'O_MN, PE_UTA_UGM 2024'!J262</f>
        <v>1000</v>
      </c>
      <c r="AN285" s="299" t="n">
        <f aca="false">'O_MN, PE_UTA_UGM 2024'!K262</f>
        <v>3800</v>
      </c>
      <c r="AO285" s="300"/>
      <c r="AP285" s="299" t="n">
        <f aca="false">'O_MN, PE_UTA_UGM 2024'!H262</f>
        <v>114.19</v>
      </c>
      <c r="AQ285" s="299" t="n">
        <f aca="false">'O_MN, PE_UTA_UGM 2024'!I262</f>
        <v>240.4</v>
      </c>
      <c r="AR285" s="301"/>
      <c r="AS285" s="302" t="n">
        <f aca="false">'O_MN, PE_UTA_UGM 2024'!L262</f>
        <v>0.00465</v>
      </c>
      <c r="AT285" s="302" t="n">
        <f aca="false">'O_MN, PE_UTA_UGM 2024'!M262</f>
        <v>0.0098</v>
      </c>
      <c r="AU285" s="45"/>
      <c r="AV285" s="321" t="n">
        <f aca="false">AG285*AM285</f>
        <v>0</v>
      </c>
      <c r="AW285" s="319" t="n">
        <f aca="false">AH285*AN285</f>
        <v>0</v>
      </c>
      <c r="AX285" s="320" t="n">
        <f aca="false">1.25*AJ285*AM285</f>
        <v>0</v>
      </c>
      <c r="AY285" s="322" t="n">
        <f aca="false">1.25*AK285*AN285</f>
        <v>0</v>
      </c>
      <c r="AZ285" s="323" t="n">
        <f aca="false">AG285*AP285</f>
        <v>0</v>
      </c>
      <c r="BA285" s="319" t="n">
        <f aca="false">AH285*AQ285</f>
        <v>0</v>
      </c>
      <c r="BB285" s="320" t="n">
        <f aca="false">1.25*AJ285*AP285</f>
        <v>0</v>
      </c>
      <c r="BC285" s="320" t="n">
        <f aca="false">1.25*AK285*AQ285</f>
        <v>0</v>
      </c>
      <c r="BD285" s="321" t="n">
        <f aca="false">AG285*AS285</f>
        <v>0</v>
      </c>
      <c r="BE285" s="319" t="n">
        <f aca="false">AH285*AT285</f>
        <v>0</v>
      </c>
      <c r="BF285" s="320" t="n">
        <f aca="false">AJ285*AS285</f>
        <v>0</v>
      </c>
      <c r="BG285" s="322" t="n">
        <f aca="false">AK285*AT285</f>
        <v>0</v>
      </c>
      <c r="BH285" s="324" t="str">
        <f aca="false">IF(BH$24=$AA285,($AG285*$AM285)+($AJ285*$AM285*1.25)+($AH285*$AN285)+($AK285*$AN285*1.25),"")</f>
        <v/>
      </c>
      <c r="BI285" s="325" t="str">
        <f aca="false">IF(BI$24=$AA285,($AG285*$AM285)+($AJ285*$AM285*1.25)+($AH285*$AN285)+($AK285*$AN285*1.25),"")</f>
        <v/>
      </c>
      <c r="BJ285" s="325" t="str">
        <f aca="false">IF(BJ$24=$AA285,($AG285*$AM285)+($AJ285*$AM285*1.25)+($AH285*$AN285)+($AK285*$AN285*1.25),"")</f>
        <v/>
      </c>
      <c r="BK285" s="325" t="str">
        <f aca="false">IF(BK$24=$AA285,($AG285*$AM285)+($AJ285*$AM285*1.25)+($AH285*$AN285)+($AK285*$AN285*1.25),"")</f>
        <v/>
      </c>
      <c r="BL285" s="326" t="n">
        <f aca="false">IF(BL$24=$AA285,($AG285*$AM285)+($AJ285*$AM285*1.25)+($AH285*$AN285)+($AK285*$AN285*1.25),"")</f>
        <v>0</v>
      </c>
      <c r="BM285" s="327" t="str">
        <f aca="false">IF(CONCATENATE(BH285,BI285,BJ285,BK285,BL285)="",1,"")</f>
        <v/>
      </c>
      <c r="BN285" s="328"/>
      <c r="BO285" s="328"/>
      <c r="BP285" s="328"/>
      <c r="BQ285" s="328"/>
      <c r="BR285" s="47"/>
      <c r="BS285" s="127" t="n">
        <f aca="false">(AG285*AM285)+(AH285*AN285)+((AJ285*AM285)+(AK285*AN285)*1.25)</f>
        <v>0</v>
      </c>
      <c r="BT285" s="127" t="n">
        <f aca="false">(AG285*AP285)+(AH285*AQ285)+((AJ285*AP285)+(AK285*AQ285)*1.25)</f>
        <v>0</v>
      </c>
      <c r="BU285" s="329"/>
      <c r="BV285" s="129"/>
    </row>
    <row r="286" customFormat="false" ht="15" hidden="false" customHeight="false" outlineLevel="0" collapsed="false">
      <c r="A286" s="228"/>
      <c r="B286" s="229"/>
      <c r="C286" s="230"/>
      <c r="D286" s="231"/>
      <c r="E286" s="223" t="str">
        <f aca="false">IF(SUM(A286:D286)&gt;0,SUM(A286:D286),"")</f>
        <v/>
      </c>
      <c r="F286" s="224" t="str">
        <f aca="false">AD299</f>
        <v>HIPÉRICO</v>
      </c>
      <c r="G286" s="169"/>
      <c r="H286" s="169"/>
      <c r="I286" s="169"/>
      <c r="J286" s="169"/>
      <c r="K286" s="169"/>
      <c r="L286" s="169"/>
      <c r="M286" s="169"/>
      <c r="N286" s="169"/>
      <c r="O286" s="169"/>
      <c r="P286" s="169"/>
      <c r="Q286" s="169"/>
      <c r="R286" s="3"/>
      <c r="S286" s="3"/>
      <c r="T286" s="3"/>
      <c r="U286" s="3"/>
      <c r="V286" s="3"/>
      <c r="W286" s="3"/>
      <c r="X286" s="3"/>
      <c r="Y286" s="3"/>
      <c r="Z286" s="316" t="str">
        <f aca="false">IF(AF286&gt;0,RANK(AF286,AF$6:AF$422),"")</f>
        <v/>
      </c>
      <c r="AA286" s="134" t="n">
        <f aca="false">'O_MN, PE_UTA_UGM 2024'!N263</f>
        <v>5</v>
      </c>
      <c r="AB286" s="135" t="n">
        <f aca="false">'O_MN, PE_UTA_UGM 2024'!O263</f>
        <v>0</v>
      </c>
      <c r="AC286" s="317" t="n">
        <f aca="false">'O_MN, PE_UTA_UGM 2024'!C263</f>
        <v>262</v>
      </c>
      <c r="AD286" s="293" t="str">
        <f aca="false">IF(AB286=0,'O_MN, PE_UTA_UGM 2024'!F263,CONCATENATE('O_MN, PE_UTA_UGM 2024'!F263," ","INVERNADERO"))</f>
        <v>AZAFRÁN</v>
      </c>
      <c r="AE286" s="89"/>
      <c r="AF286" s="123" t="n">
        <f aca="false">SUM(AG286:AH286)+SUM(AJ286:AK286)</f>
        <v>0</v>
      </c>
      <c r="AG286" s="318" t="n">
        <f aca="false">A273</f>
        <v>0</v>
      </c>
      <c r="AH286" s="319" t="n">
        <f aca="false">B273</f>
        <v>0</v>
      </c>
      <c r="AI286" s="6"/>
      <c r="AJ286" s="320" t="n">
        <f aca="false">C273</f>
        <v>0</v>
      </c>
      <c r="AK286" s="320" t="n">
        <f aca="false">D273</f>
        <v>0</v>
      </c>
      <c r="AL286" s="237" t="s">
        <v>412</v>
      </c>
      <c r="AM286" s="299" t="n">
        <f aca="false">'O_MN, PE_UTA_UGM 2024'!J263</f>
        <v>5431.36</v>
      </c>
      <c r="AN286" s="299" t="n">
        <f aca="false">'O_MN, PE_UTA_UGM 2024'!K263</f>
        <v>12000</v>
      </c>
      <c r="AO286" s="300"/>
      <c r="AP286" s="299" t="n">
        <f aca="false">'O_MN, PE_UTA_UGM 2024'!H263</f>
        <v>2000</v>
      </c>
      <c r="AQ286" s="299" t="n">
        <f aca="false">'O_MN, PE_UTA_UGM 2024'!I263</f>
        <v>2500</v>
      </c>
      <c r="AR286" s="301"/>
      <c r="AS286" s="302" t="n">
        <f aca="false">'O_MN, PE_UTA_UGM 2024'!L263</f>
        <v>0.08152</v>
      </c>
      <c r="AT286" s="302" t="n">
        <f aca="false">'O_MN, PE_UTA_UGM 2024'!M263</f>
        <v>0.1019</v>
      </c>
      <c r="AU286" s="45"/>
      <c r="AV286" s="321" t="n">
        <f aca="false">AG286*AM286</f>
        <v>0</v>
      </c>
      <c r="AW286" s="319" t="n">
        <f aca="false">AH286*AN286</f>
        <v>0</v>
      </c>
      <c r="AX286" s="320" t="n">
        <f aca="false">1.25*AJ286*AM286</f>
        <v>0</v>
      </c>
      <c r="AY286" s="322" t="n">
        <f aca="false">1.25*AK286*AN286</f>
        <v>0</v>
      </c>
      <c r="AZ286" s="323" t="n">
        <f aca="false">AG286*AP286</f>
        <v>0</v>
      </c>
      <c r="BA286" s="319" t="n">
        <f aca="false">AH286*AQ286</f>
        <v>0</v>
      </c>
      <c r="BB286" s="320" t="n">
        <f aca="false">1.25*AJ286*AP286</f>
        <v>0</v>
      </c>
      <c r="BC286" s="320" t="n">
        <f aca="false">1.25*AK286*AQ286</f>
        <v>0</v>
      </c>
      <c r="BD286" s="321" t="n">
        <f aca="false">AG286*AS286</f>
        <v>0</v>
      </c>
      <c r="BE286" s="319" t="n">
        <f aca="false">AH286*AT286</f>
        <v>0</v>
      </c>
      <c r="BF286" s="320" t="n">
        <f aca="false">AJ286*AS286</f>
        <v>0</v>
      </c>
      <c r="BG286" s="322" t="n">
        <f aca="false">AK286*AT286</f>
        <v>0</v>
      </c>
      <c r="BH286" s="324" t="str">
        <f aca="false">IF(BH$24=$AA286,($AG286*$AM286)+($AJ286*$AM286*1.25)+($AH286*$AN286)+($AK286*$AN286*1.25),"")</f>
        <v/>
      </c>
      <c r="BI286" s="325" t="str">
        <f aca="false">IF(BI$24=$AA286,($AG286*$AM286)+($AJ286*$AM286*1.25)+($AH286*$AN286)+($AK286*$AN286*1.25),"")</f>
        <v/>
      </c>
      <c r="BJ286" s="325" t="str">
        <f aca="false">IF(BJ$24=$AA286,($AG286*$AM286)+($AJ286*$AM286*1.25)+($AH286*$AN286)+($AK286*$AN286*1.25),"")</f>
        <v/>
      </c>
      <c r="BK286" s="325" t="str">
        <f aca="false">IF(BK$24=$AA286,($AG286*$AM286)+($AJ286*$AM286*1.25)+($AH286*$AN286)+($AK286*$AN286*1.25),"")</f>
        <v/>
      </c>
      <c r="BL286" s="326" t="n">
        <f aca="false">IF(BL$24=$AA286,($AG286*$AM286)+($AJ286*$AM286*1.25)+($AH286*$AN286)+($AK286*$AN286*1.25),"")</f>
        <v>0</v>
      </c>
      <c r="BM286" s="327" t="str">
        <f aca="false">IF(CONCATENATE(BH286,BI286,BJ286,BK286,BL286)="",1,"")</f>
        <v/>
      </c>
      <c r="BN286" s="328"/>
      <c r="BO286" s="328"/>
      <c r="BP286" s="328"/>
      <c r="BQ286" s="328"/>
      <c r="BR286" s="47"/>
      <c r="BS286" s="127" t="n">
        <f aca="false">(AG286*AM286)+(AH286*AN286)+((AJ286*AM286)+(AK286*AN286)*1.25)</f>
        <v>0</v>
      </c>
      <c r="BT286" s="127" t="n">
        <f aca="false">(AG286*AP286)+(AH286*AQ286)+((AJ286*AP286)+(AK286*AQ286)*1.25)</f>
        <v>0</v>
      </c>
      <c r="BU286" s="329"/>
      <c r="BV286" s="129"/>
    </row>
    <row r="287" customFormat="false" ht="15" hidden="false" customHeight="false" outlineLevel="0" collapsed="false">
      <c r="A287" s="228"/>
      <c r="B287" s="229"/>
      <c r="C287" s="230"/>
      <c r="D287" s="231"/>
      <c r="E287" s="223" t="str">
        <f aca="false">IF(SUM(A287:D287)&gt;0,SUM(A287:D287),"")</f>
        <v/>
      </c>
      <c r="F287" s="224" t="str">
        <f aca="false">AD300</f>
        <v>HIERBABUENA</v>
      </c>
      <c r="G287" s="169"/>
      <c r="H287" s="169"/>
      <c r="I287" s="169"/>
      <c r="J287" s="169"/>
      <c r="K287" s="169"/>
      <c r="L287" s="169"/>
      <c r="M287" s="169"/>
      <c r="N287" s="169"/>
      <c r="O287" s="169"/>
      <c r="P287" s="169"/>
      <c r="Q287" s="169"/>
      <c r="R287" s="3"/>
      <c r="S287" s="3"/>
      <c r="T287" s="3"/>
      <c r="U287" s="3"/>
      <c r="V287" s="3"/>
      <c r="W287" s="3"/>
      <c r="X287" s="3"/>
      <c r="Y287" s="3"/>
      <c r="Z287" s="316" t="str">
        <f aca="false">IF(AF287&gt;0,RANK(AF287,AF$6:AF$422),"")</f>
        <v/>
      </c>
      <c r="AA287" s="134" t="n">
        <f aca="false">'O_MN, PE_UTA_UGM 2024'!N264</f>
        <v>5</v>
      </c>
      <c r="AB287" s="135" t="n">
        <f aca="false">'O_MN, PE_UTA_UGM 2024'!O264</f>
        <v>0</v>
      </c>
      <c r="AC287" s="317" t="n">
        <f aca="false">'O_MN, PE_UTA_UGM 2024'!C264</f>
        <v>263</v>
      </c>
      <c r="AD287" s="293" t="str">
        <f aca="false">IF(AB287=0,'O_MN, PE_UTA_UGM 2024'!F264,CONCATENATE('O_MN, PE_UTA_UGM 2024'!F264," ","INVERNADERO"))</f>
        <v>TOMILLO</v>
      </c>
      <c r="AE287" s="89"/>
      <c r="AF287" s="123" t="n">
        <f aca="false">SUM(AG287:AH287)+SUM(AJ287:AK287)</f>
        <v>0</v>
      </c>
      <c r="AG287" s="318" t="n">
        <f aca="false">A274</f>
        <v>0</v>
      </c>
      <c r="AH287" s="319" t="n">
        <f aca="false">B274</f>
        <v>0</v>
      </c>
      <c r="AI287" s="6"/>
      <c r="AJ287" s="320" t="n">
        <f aca="false">C274</f>
        <v>0</v>
      </c>
      <c r="AK287" s="320" t="n">
        <f aca="false">D274</f>
        <v>0</v>
      </c>
      <c r="AL287" s="237" t="s">
        <v>413</v>
      </c>
      <c r="AM287" s="299" t="n">
        <f aca="false">'O_MN, PE_UTA_UGM 2024'!J264</f>
        <v>1000</v>
      </c>
      <c r="AN287" s="299" t="n">
        <f aca="false">'O_MN, PE_UTA_UGM 2024'!K264</f>
        <v>3800</v>
      </c>
      <c r="AO287" s="300"/>
      <c r="AP287" s="299" t="n">
        <f aca="false">'O_MN, PE_UTA_UGM 2024'!H264</f>
        <v>114.19</v>
      </c>
      <c r="AQ287" s="299" t="n">
        <f aca="false">'O_MN, PE_UTA_UGM 2024'!I264</f>
        <v>240.4</v>
      </c>
      <c r="AR287" s="301"/>
      <c r="AS287" s="302" t="n">
        <f aca="false">'O_MN, PE_UTA_UGM 2024'!L264</f>
        <v>0.00465</v>
      </c>
      <c r="AT287" s="302" t="n">
        <f aca="false">'O_MN, PE_UTA_UGM 2024'!M264</f>
        <v>0.0098</v>
      </c>
      <c r="AU287" s="45"/>
      <c r="AV287" s="321" t="n">
        <f aca="false">AG287*AM287</f>
        <v>0</v>
      </c>
      <c r="AW287" s="319" t="n">
        <f aca="false">AH287*AN287</f>
        <v>0</v>
      </c>
      <c r="AX287" s="320" t="n">
        <f aca="false">1.25*AJ287*AM287</f>
        <v>0</v>
      </c>
      <c r="AY287" s="322" t="n">
        <f aca="false">1.25*AK287*AN287</f>
        <v>0</v>
      </c>
      <c r="AZ287" s="323" t="n">
        <f aca="false">AG287*AP287</f>
        <v>0</v>
      </c>
      <c r="BA287" s="319" t="n">
        <f aca="false">AH287*AQ287</f>
        <v>0</v>
      </c>
      <c r="BB287" s="320" t="n">
        <f aca="false">1.25*AJ287*AP287</f>
        <v>0</v>
      </c>
      <c r="BC287" s="320" t="n">
        <f aca="false">1.25*AK287*AQ287</f>
        <v>0</v>
      </c>
      <c r="BD287" s="321" t="n">
        <f aca="false">AG287*AS287</f>
        <v>0</v>
      </c>
      <c r="BE287" s="319" t="n">
        <f aca="false">AH287*AT287</f>
        <v>0</v>
      </c>
      <c r="BF287" s="320" t="n">
        <f aca="false">AJ287*AS287</f>
        <v>0</v>
      </c>
      <c r="BG287" s="322" t="n">
        <f aca="false">AK287*AT287</f>
        <v>0</v>
      </c>
      <c r="BH287" s="324" t="str">
        <f aca="false">IF(BH$24=$AA287,($AG287*$AM287)+($AJ287*$AM287*1.25)+($AH287*$AN287)+($AK287*$AN287*1.25),"")</f>
        <v/>
      </c>
      <c r="BI287" s="325" t="str">
        <f aca="false">IF(BI$24=$AA287,($AG287*$AM287)+($AJ287*$AM287*1.25)+($AH287*$AN287)+($AK287*$AN287*1.25),"")</f>
        <v/>
      </c>
      <c r="BJ287" s="325" t="str">
        <f aca="false">IF(BJ$24=$AA287,($AG287*$AM287)+($AJ287*$AM287*1.25)+($AH287*$AN287)+($AK287*$AN287*1.25),"")</f>
        <v/>
      </c>
      <c r="BK287" s="325" t="str">
        <f aca="false">IF(BK$24=$AA287,($AG287*$AM287)+($AJ287*$AM287*1.25)+($AH287*$AN287)+($AK287*$AN287*1.25),"")</f>
        <v/>
      </c>
      <c r="BL287" s="326" t="n">
        <f aca="false">IF(BL$24=$AA287,($AG287*$AM287)+($AJ287*$AM287*1.25)+($AH287*$AN287)+($AK287*$AN287*1.25),"")</f>
        <v>0</v>
      </c>
      <c r="BM287" s="327" t="str">
        <f aca="false">IF(CONCATENATE(BH287,BI287,BJ287,BK287,BL287)="",1,"")</f>
        <v/>
      </c>
      <c r="BN287" s="328"/>
      <c r="BO287" s="328"/>
      <c r="BP287" s="328"/>
      <c r="BQ287" s="328"/>
      <c r="BR287" s="47"/>
      <c r="BS287" s="127" t="n">
        <f aca="false">(AG287*AM287)+(AH287*AN287)+((AJ287*AM287)+(AK287*AN287)*1.25)</f>
        <v>0</v>
      </c>
      <c r="BT287" s="127" t="n">
        <f aca="false">(AG287*AP287)+(AH287*AQ287)+((AJ287*AP287)+(AK287*AQ287)*1.25)</f>
        <v>0</v>
      </c>
      <c r="BU287" s="329"/>
      <c r="BV287" s="129"/>
    </row>
    <row r="288" customFormat="false" ht="15" hidden="false" customHeight="false" outlineLevel="0" collapsed="false">
      <c r="A288" s="228"/>
      <c r="B288" s="229"/>
      <c r="C288" s="230"/>
      <c r="D288" s="231"/>
      <c r="E288" s="223" t="str">
        <f aca="false">IF(SUM(A288:D288)&gt;0,SUM(A288:D288),"")</f>
        <v/>
      </c>
      <c r="F288" s="224" t="str">
        <f aca="false">AD301</f>
        <v>VERBENA</v>
      </c>
      <c r="G288" s="169"/>
      <c r="H288" s="169"/>
      <c r="I288" s="169"/>
      <c r="J288" s="169"/>
      <c r="K288" s="169"/>
      <c r="L288" s="169"/>
      <c r="M288" s="169"/>
      <c r="N288" s="169"/>
      <c r="O288" s="169"/>
      <c r="P288" s="169"/>
      <c r="Q288" s="169"/>
      <c r="R288" s="3"/>
      <c r="S288" s="3"/>
      <c r="T288" s="3"/>
      <c r="U288" s="3"/>
      <c r="V288" s="3"/>
      <c r="W288" s="3"/>
      <c r="X288" s="3"/>
      <c r="Y288" s="3"/>
      <c r="Z288" s="316" t="str">
        <f aca="false">IF(AF288&gt;0,RANK(AF288,AF$6:AF$422),"")</f>
        <v/>
      </c>
      <c r="AA288" s="134" t="n">
        <f aca="false">'O_MN, PE_UTA_UGM 2024'!N265</f>
        <v>5</v>
      </c>
      <c r="AB288" s="135" t="n">
        <f aca="false">'O_MN, PE_UTA_UGM 2024'!O265</f>
        <v>0</v>
      </c>
      <c r="AC288" s="317" t="n">
        <f aca="false">'O_MN, PE_UTA_UGM 2024'!C265</f>
        <v>264</v>
      </c>
      <c r="AD288" s="293" t="str">
        <f aca="false">IF(AB288=0,'O_MN, PE_UTA_UGM 2024'!F265,CONCATENATE('O_MN, PE_UTA_UGM 2024'!F265," ","INVERNADERO"))</f>
        <v>ALBAHACA</v>
      </c>
      <c r="AE288" s="89"/>
      <c r="AF288" s="123" t="n">
        <f aca="false">SUM(AG288:AH288)+SUM(AJ288:AK288)</f>
        <v>0</v>
      </c>
      <c r="AG288" s="318" t="n">
        <f aca="false">A275</f>
        <v>0</v>
      </c>
      <c r="AH288" s="319" t="n">
        <f aca="false">B275</f>
        <v>0</v>
      </c>
      <c r="AI288" s="6"/>
      <c r="AJ288" s="320" t="n">
        <f aca="false">C275</f>
        <v>0</v>
      </c>
      <c r="AK288" s="320" t="n">
        <f aca="false">D275</f>
        <v>0</v>
      </c>
      <c r="AL288" s="237" t="s">
        <v>414</v>
      </c>
      <c r="AM288" s="299" t="n">
        <f aca="false">'O_MN, PE_UTA_UGM 2024'!J265</f>
        <v>1000</v>
      </c>
      <c r="AN288" s="299" t="n">
        <f aca="false">'O_MN, PE_UTA_UGM 2024'!K265</f>
        <v>3800</v>
      </c>
      <c r="AO288" s="300"/>
      <c r="AP288" s="299" t="n">
        <f aca="false">'O_MN, PE_UTA_UGM 2024'!H265</f>
        <v>114.19</v>
      </c>
      <c r="AQ288" s="299" t="n">
        <f aca="false">'O_MN, PE_UTA_UGM 2024'!I265</f>
        <v>240.4</v>
      </c>
      <c r="AR288" s="301"/>
      <c r="AS288" s="302" t="n">
        <f aca="false">'O_MN, PE_UTA_UGM 2024'!L265</f>
        <v>0.00465</v>
      </c>
      <c r="AT288" s="302" t="n">
        <f aca="false">'O_MN, PE_UTA_UGM 2024'!M265</f>
        <v>0.0098</v>
      </c>
      <c r="AU288" s="45"/>
      <c r="AV288" s="321" t="n">
        <f aca="false">AG288*AM288</f>
        <v>0</v>
      </c>
      <c r="AW288" s="319" t="n">
        <f aca="false">AH288*AN288</f>
        <v>0</v>
      </c>
      <c r="AX288" s="320" t="n">
        <f aca="false">1.25*AJ288*AM288</f>
        <v>0</v>
      </c>
      <c r="AY288" s="322" t="n">
        <f aca="false">1.25*AK288*AN288</f>
        <v>0</v>
      </c>
      <c r="AZ288" s="323" t="n">
        <f aca="false">AG288*AP288</f>
        <v>0</v>
      </c>
      <c r="BA288" s="319" t="n">
        <f aca="false">AH288*AQ288</f>
        <v>0</v>
      </c>
      <c r="BB288" s="320" t="n">
        <f aca="false">1.25*AJ288*AP288</f>
        <v>0</v>
      </c>
      <c r="BC288" s="320" t="n">
        <f aca="false">1.25*AK288*AQ288</f>
        <v>0</v>
      </c>
      <c r="BD288" s="321" t="n">
        <f aca="false">AG288*AS288</f>
        <v>0</v>
      </c>
      <c r="BE288" s="319" t="n">
        <f aca="false">AH288*AT288</f>
        <v>0</v>
      </c>
      <c r="BF288" s="320" t="n">
        <f aca="false">AJ288*AS288</f>
        <v>0</v>
      </c>
      <c r="BG288" s="322" t="n">
        <f aca="false">AK288*AT288</f>
        <v>0</v>
      </c>
      <c r="BH288" s="324" t="str">
        <f aca="false">IF(BH$24=$AA288,($AG288*$AM288)+($AJ288*$AM288*1.25)+($AH288*$AN288)+($AK288*$AN288*1.25),"")</f>
        <v/>
      </c>
      <c r="BI288" s="325" t="str">
        <f aca="false">IF(BI$24=$AA288,($AG288*$AM288)+($AJ288*$AM288*1.25)+($AH288*$AN288)+($AK288*$AN288*1.25),"")</f>
        <v/>
      </c>
      <c r="BJ288" s="325" t="str">
        <f aca="false">IF(BJ$24=$AA288,($AG288*$AM288)+($AJ288*$AM288*1.25)+($AH288*$AN288)+($AK288*$AN288*1.25),"")</f>
        <v/>
      </c>
      <c r="BK288" s="325" t="str">
        <f aca="false">IF(BK$24=$AA288,($AG288*$AM288)+($AJ288*$AM288*1.25)+($AH288*$AN288)+($AK288*$AN288*1.25),"")</f>
        <v/>
      </c>
      <c r="BL288" s="326" t="n">
        <f aca="false">IF(BL$24=$AA288,($AG288*$AM288)+($AJ288*$AM288*1.25)+($AH288*$AN288)+($AK288*$AN288*1.25),"")</f>
        <v>0</v>
      </c>
      <c r="BM288" s="327" t="str">
        <f aca="false">IF(CONCATENATE(BH288,BI288,BJ288,BK288,BL288)="",1,"")</f>
        <v/>
      </c>
      <c r="BN288" s="328"/>
      <c r="BO288" s="328"/>
      <c r="BP288" s="328"/>
      <c r="BQ288" s="328"/>
      <c r="BR288" s="47"/>
      <c r="BS288" s="127" t="n">
        <f aca="false">(AG288*AM288)+(AH288*AN288)+((AJ288*AM288)+(AK288*AN288)*1.25)</f>
        <v>0</v>
      </c>
      <c r="BT288" s="127" t="n">
        <f aca="false">(AG288*AP288)+(AH288*AQ288)+((AJ288*AP288)+(AK288*AQ288)*1.25)</f>
        <v>0</v>
      </c>
      <c r="BU288" s="329"/>
      <c r="BV288" s="129"/>
    </row>
    <row r="289" customFormat="false" ht="15" hidden="false" customHeight="false" outlineLevel="0" collapsed="false">
      <c r="A289" s="228"/>
      <c r="B289" s="229"/>
      <c r="C289" s="230"/>
      <c r="D289" s="231"/>
      <c r="E289" s="223" t="str">
        <f aca="false">IF(SUM(A289:D289)&gt;0,SUM(A289:D289),"")</f>
        <v/>
      </c>
      <c r="F289" s="224" t="str">
        <f aca="false">AD302</f>
        <v>FRUTOS DEL BOSQUE</v>
      </c>
      <c r="G289" s="169"/>
      <c r="H289" s="169"/>
      <c r="I289" s="169"/>
      <c r="J289" s="169"/>
      <c r="K289" s="169"/>
      <c r="L289" s="169"/>
      <c r="M289" s="169"/>
      <c r="N289" s="169"/>
      <c r="O289" s="169"/>
      <c r="P289" s="169"/>
      <c r="Q289" s="169"/>
      <c r="R289" s="3"/>
      <c r="S289" s="3"/>
      <c r="T289" s="3"/>
      <c r="U289" s="3"/>
      <c r="V289" s="3"/>
      <c r="W289" s="3"/>
      <c r="X289" s="3"/>
      <c r="Y289" s="3"/>
      <c r="Z289" s="316" t="str">
        <f aca="false">IF(AF289&gt;0,RANK(AF289,AF$6:AF$422),"")</f>
        <v/>
      </c>
      <c r="AA289" s="134" t="n">
        <f aca="false">'O_MN, PE_UTA_UGM 2024'!N266</f>
        <v>5</v>
      </c>
      <c r="AB289" s="135" t="n">
        <f aca="false">'O_MN, PE_UTA_UGM 2024'!O266</f>
        <v>0</v>
      </c>
      <c r="AC289" s="317" t="n">
        <f aca="false">'O_MN, PE_UTA_UGM 2024'!C266</f>
        <v>265</v>
      </c>
      <c r="AD289" s="293" t="str">
        <f aca="false">IF(AB289=0,'O_MN, PE_UTA_UGM 2024'!F266,CONCATENATE('O_MN, PE_UTA_UGM 2024'!F266," ","INVERNADERO"))</f>
        <v>MELISA O TORONJIL</v>
      </c>
      <c r="AE289" s="89"/>
      <c r="AF289" s="123" t="n">
        <f aca="false">SUM(AG289:AH289)+SUM(AJ289:AK289)</f>
        <v>0</v>
      </c>
      <c r="AG289" s="318" t="n">
        <f aca="false">A276</f>
        <v>0</v>
      </c>
      <c r="AH289" s="319" t="n">
        <f aca="false">B276</f>
        <v>0</v>
      </c>
      <c r="AI289" s="6"/>
      <c r="AJ289" s="320" t="n">
        <f aca="false">C276</f>
        <v>0</v>
      </c>
      <c r="AK289" s="320" t="n">
        <f aca="false">D276</f>
        <v>0</v>
      </c>
      <c r="AL289" s="237" t="s">
        <v>415</v>
      </c>
      <c r="AM289" s="299" t="n">
        <f aca="false">'O_MN, PE_UTA_UGM 2024'!J266</f>
        <v>1000</v>
      </c>
      <c r="AN289" s="299" t="n">
        <f aca="false">'O_MN, PE_UTA_UGM 2024'!K266</f>
        <v>3800</v>
      </c>
      <c r="AO289" s="300"/>
      <c r="AP289" s="299" t="n">
        <f aca="false">'O_MN, PE_UTA_UGM 2024'!H266</f>
        <v>114.19</v>
      </c>
      <c r="AQ289" s="299" t="n">
        <f aca="false">'O_MN, PE_UTA_UGM 2024'!I266</f>
        <v>240.4</v>
      </c>
      <c r="AR289" s="301"/>
      <c r="AS289" s="302" t="n">
        <f aca="false">'O_MN, PE_UTA_UGM 2024'!L266</f>
        <v>0.00465</v>
      </c>
      <c r="AT289" s="302" t="n">
        <f aca="false">'O_MN, PE_UTA_UGM 2024'!M266</f>
        <v>0.0098</v>
      </c>
      <c r="AU289" s="45"/>
      <c r="AV289" s="321" t="n">
        <f aca="false">AG289*AM289</f>
        <v>0</v>
      </c>
      <c r="AW289" s="319" t="n">
        <f aca="false">AH289*AN289</f>
        <v>0</v>
      </c>
      <c r="AX289" s="320" t="n">
        <f aca="false">1.25*AJ289*AM289</f>
        <v>0</v>
      </c>
      <c r="AY289" s="322" t="n">
        <f aca="false">1.25*AK289*AN289</f>
        <v>0</v>
      </c>
      <c r="AZ289" s="323" t="n">
        <f aca="false">AG289*AP289</f>
        <v>0</v>
      </c>
      <c r="BA289" s="319" t="n">
        <f aca="false">AH289*AQ289</f>
        <v>0</v>
      </c>
      <c r="BB289" s="320" t="n">
        <f aca="false">1.25*AJ289*AP289</f>
        <v>0</v>
      </c>
      <c r="BC289" s="320" t="n">
        <f aca="false">1.25*AK289*AQ289</f>
        <v>0</v>
      </c>
      <c r="BD289" s="321" t="n">
        <f aca="false">AG289*AS289</f>
        <v>0</v>
      </c>
      <c r="BE289" s="319" t="n">
        <f aca="false">AH289*AT289</f>
        <v>0</v>
      </c>
      <c r="BF289" s="320" t="n">
        <f aca="false">AJ289*AS289</f>
        <v>0</v>
      </c>
      <c r="BG289" s="322" t="n">
        <f aca="false">AK289*AT289</f>
        <v>0</v>
      </c>
      <c r="BH289" s="324" t="str">
        <f aca="false">IF(BH$24=$AA289,($AG289*$AM289)+($AJ289*$AM289*1.25)+($AH289*$AN289)+($AK289*$AN289*1.25),"")</f>
        <v/>
      </c>
      <c r="BI289" s="325" t="str">
        <f aca="false">IF(BI$24=$AA289,($AG289*$AM289)+($AJ289*$AM289*1.25)+($AH289*$AN289)+($AK289*$AN289*1.25),"")</f>
        <v/>
      </c>
      <c r="BJ289" s="325" t="str">
        <f aca="false">IF(BJ$24=$AA289,($AG289*$AM289)+($AJ289*$AM289*1.25)+($AH289*$AN289)+($AK289*$AN289*1.25),"")</f>
        <v/>
      </c>
      <c r="BK289" s="325" t="str">
        <f aca="false">IF(BK$24=$AA289,($AG289*$AM289)+($AJ289*$AM289*1.25)+($AH289*$AN289)+($AK289*$AN289*1.25),"")</f>
        <v/>
      </c>
      <c r="BL289" s="326" t="n">
        <f aca="false">IF(BL$24=$AA289,($AG289*$AM289)+($AJ289*$AM289*1.25)+($AH289*$AN289)+($AK289*$AN289*1.25),"")</f>
        <v>0</v>
      </c>
      <c r="BM289" s="327" t="str">
        <f aca="false">IF(CONCATENATE(BH289,BI289,BJ289,BK289,BL289)="",1,"")</f>
        <v/>
      </c>
      <c r="BN289" s="328"/>
      <c r="BO289" s="328"/>
      <c r="BP289" s="328"/>
      <c r="BQ289" s="328"/>
      <c r="BR289" s="47"/>
      <c r="BS289" s="127" t="n">
        <f aca="false">(AG289*AM289)+(AH289*AN289)+((AJ289*AM289)+(AK289*AN289)*1.25)</f>
        <v>0</v>
      </c>
      <c r="BT289" s="127" t="n">
        <f aca="false">(AG289*AP289)+(AH289*AQ289)+((AJ289*AP289)+(AK289*AQ289)*1.25)</f>
        <v>0</v>
      </c>
      <c r="BU289" s="329"/>
      <c r="BV289" s="129"/>
    </row>
    <row r="290" customFormat="false" ht="15" hidden="false" customHeight="false" outlineLevel="0" collapsed="false">
      <c r="A290" s="228"/>
      <c r="B290" s="229"/>
      <c r="C290" s="230"/>
      <c r="D290" s="231"/>
      <c r="E290" s="223" t="str">
        <f aca="false">IF(SUM(A290:D290)&gt;0,SUM(A290:D290),"")</f>
        <v/>
      </c>
      <c r="F290" s="224" t="str">
        <f aca="false">AD303</f>
        <v>ESPÁRRAGO</v>
      </c>
      <c r="G290" s="169"/>
      <c r="H290" s="169"/>
      <c r="I290" s="169"/>
      <c r="J290" s="169"/>
      <c r="K290" s="169"/>
      <c r="L290" s="169"/>
      <c r="M290" s="169"/>
      <c r="N290" s="169"/>
      <c r="O290" s="169"/>
      <c r="P290" s="169"/>
      <c r="Q290" s="169"/>
      <c r="R290" s="3"/>
      <c r="S290" s="3"/>
      <c r="T290" s="3"/>
      <c r="U290" s="3"/>
      <c r="V290" s="3"/>
      <c r="W290" s="3"/>
      <c r="X290" s="3"/>
      <c r="Y290" s="3"/>
      <c r="Z290" s="316" t="str">
        <f aca="false">IF(AF290&gt;0,RANK(AF290,AF$6:AF$422),"")</f>
        <v/>
      </c>
      <c r="AA290" s="134" t="n">
        <f aca="false">'O_MN, PE_UTA_UGM 2024'!N267</f>
        <v>5</v>
      </c>
      <c r="AB290" s="135" t="n">
        <f aca="false">'O_MN, PE_UTA_UGM 2024'!O267</f>
        <v>0</v>
      </c>
      <c r="AC290" s="317" t="n">
        <f aca="false">'O_MN, PE_UTA_UGM 2024'!C267</f>
        <v>266</v>
      </c>
      <c r="AD290" s="293" t="str">
        <f aca="false">IF(AB290=0,'O_MN, PE_UTA_UGM 2024'!F267,CONCATENATE('O_MN, PE_UTA_UGM 2024'!F267," ","INVERNADERO"))</f>
        <v>MENTA</v>
      </c>
      <c r="AE290" s="89"/>
      <c r="AF290" s="123" t="n">
        <f aca="false">SUM(AG290:AH290)+SUM(AJ290:AK290)</f>
        <v>0</v>
      </c>
      <c r="AG290" s="318" t="n">
        <f aca="false">A277</f>
        <v>0</v>
      </c>
      <c r="AH290" s="319" t="n">
        <f aca="false">B277</f>
        <v>0</v>
      </c>
      <c r="AI290" s="6"/>
      <c r="AJ290" s="320" t="n">
        <f aca="false">C277</f>
        <v>0</v>
      </c>
      <c r="AK290" s="320" t="n">
        <f aca="false">D277</f>
        <v>0</v>
      </c>
      <c r="AL290" s="237" t="s">
        <v>416</v>
      </c>
      <c r="AM290" s="299" t="n">
        <f aca="false">'O_MN, PE_UTA_UGM 2024'!J267</f>
        <v>1000</v>
      </c>
      <c r="AN290" s="299" t="n">
        <f aca="false">'O_MN, PE_UTA_UGM 2024'!K267</f>
        <v>3800</v>
      </c>
      <c r="AO290" s="300"/>
      <c r="AP290" s="299" t="n">
        <f aca="false">'O_MN, PE_UTA_UGM 2024'!H267</f>
        <v>114.19</v>
      </c>
      <c r="AQ290" s="299" t="n">
        <f aca="false">'O_MN, PE_UTA_UGM 2024'!I267</f>
        <v>240.4</v>
      </c>
      <c r="AR290" s="301"/>
      <c r="AS290" s="302" t="n">
        <f aca="false">'O_MN, PE_UTA_UGM 2024'!L267</f>
        <v>0.00465</v>
      </c>
      <c r="AT290" s="302" t="n">
        <f aca="false">'O_MN, PE_UTA_UGM 2024'!M267</f>
        <v>0.0098</v>
      </c>
      <c r="AU290" s="45"/>
      <c r="AV290" s="321" t="n">
        <f aca="false">AG290*AM290</f>
        <v>0</v>
      </c>
      <c r="AW290" s="319" t="n">
        <f aca="false">AH290*AN290</f>
        <v>0</v>
      </c>
      <c r="AX290" s="320" t="n">
        <f aca="false">1.25*AJ290*AM290</f>
        <v>0</v>
      </c>
      <c r="AY290" s="322" t="n">
        <f aca="false">1.25*AK290*AN290</f>
        <v>0</v>
      </c>
      <c r="AZ290" s="323" t="n">
        <f aca="false">AG290*AP290</f>
        <v>0</v>
      </c>
      <c r="BA290" s="319" t="n">
        <f aca="false">AH290*AQ290</f>
        <v>0</v>
      </c>
      <c r="BB290" s="320" t="n">
        <f aca="false">1.25*AJ290*AP290</f>
        <v>0</v>
      </c>
      <c r="BC290" s="320" t="n">
        <f aca="false">1.25*AK290*AQ290</f>
        <v>0</v>
      </c>
      <c r="BD290" s="321" t="n">
        <f aca="false">AG290*AS290</f>
        <v>0</v>
      </c>
      <c r="BE290" s="319" t="n">
        <f aca="false">AH290*AT290</f>
        <v>0</v>
      </c>
      <c r="BF290" s="320" t="n">
        <f aca="false">AJ290*AS290</f>
        <v>0</v>
      </c>
      <c r="BG290" s="322" t="n">
        <f aca="false">AK290*AT290</f>
        <v>0</v>
      </c>
      <c r="BH290" s="324" t="str">
        <f aca="false">IF(BH$24=$AA290,($AG290*$AM290)+($AJ290*$AM290*1.25)+($AH290*$AN290)+($AK290*$AN290*1.25),"")</f>
        <v/>
      </c>
      <c r="BI290" s="325" t="str">
        <f aca="false">IF(BI$24=$AA290,($AG290*$AM290)+($AJ290*$AM290*1.25)+($AH290*$AN290)+($AK290*$AN290*1.25),"")</f>
        <v/>
      </c>
      <c r="BJ290" s="325" t="str">
        <f aca="false">IF(BJ$24=$AA290,($AG290*$AM290)+($AJ290*$AM290*1.25)+($AH290*$AN290)+($AK290*$AN290*1.25),"")</f>
        <v/>
      </c>
      <c r="BK290" s="325" t="str">
        <f aca="false">IF(BK$24=$AA290,($AG290*$AM290)+($AJ290*$AM290*1.25)+($AH290*$AN290)+($AK290*$AN290*1.25),"")</f>
        <v/>
      </c>
      <c r="BL290" s="326" t="n">
        <f aca="false">IF(BL$24=$AA290,($AG290*$AM290)+($AJ290*$AM290*1.25)+($AH290*$AN290)+($AK290*$AN290*1.25),"")</f>
        <v>0</v>
      </c>
      <c r="BM290" s="327" t="str">
        <f aca="false">IF(CONCATENATE(BH290,BI290,BJ290,BK290,BL290)="",1,"")</f>
        <v/>
      </c>
      <c r="BN290" s="328"/>
      <c r="BO290" s="328"/>
      <c r="BP290" s="328"/>
      <c r="BQ290" s="328"/>
      <c r="BR290" s="47"/>
      <c r="BS290" s="127" t="n">
        <f aca="false">(AG290*AM290)+(AH290*AN290)+((AJ290*AM290)+(AK290*AN290)*1.25)</f>
        <v>0</v>
      </c>
      <c r="BT290" s="127" t="n">
        <f aca="false">(AG290*AP290)+(AH290*AQ290)+((AJ290*AP290)+(AK290*AQ290)*1.25)</f>
        <v>0</v>
      </c>
      <c r="BU290" s="329"/>
      <c r="BV290" s="129"/>
    </row>
    <row r="291" customFormat="false" ht="15" hidden="false" customHeight="false" outlineLevel="0" collapsed="false">
      <c r="A291" s="228"/>
      <c r="B291" s="229"/>
      <c r="C291" s="230"/>
      <c r="D291" s="231"/>
      <c r="E291" s="223" t="str">
        <f aca="false">IF(SUM(A291:D291)&gt;0,SUM(A291:D291),"")</f>
        <v/>
      </c>
      <c r="F291" s="224" t="str">
        <f aca="false">AD304</f>
        <v>ESPÁRRAGO INVERNADERO</v>
      </c>
      <c r="G291" s="169"/>
      <c r="H291" s="169"/>
      <c r="I291" s="169"/>
      <c r="J291" s="169"/>
      <c r="K291" s="169"/>
      <c r="L291" s="169"/>
      <c r="M291" s="169"/>
      <c r="N291" s="169"/>
      <c r="O291" s="169"/>
      <c r="P291" s="169"/>
      <c r="Q291" s="169"/>
      <c r="R291" s="3"/>
      <c r="S291" s="3"/>
      <c r="T291" s="3"/>
      <c r="U291" s="3"/>
      <c r="V291" s="3"/>
      <c r="W291" s="3"/>
      <c r="X291" s="3"/>
      <c r="Y291" s="3"/>
      <c r="Z291" s="316" t="str">
        <f aca="false">IF(AF291&gt;0,RANK(AF291,AF$6:AF$422),"")</f>
        <v/>
      </c>
      <c r="AA291" s="134" t="n">
        <f aca="false">'O_MN, PE_UTA_UGM 2024'!N268</f>
        <v>5</v>
      </c>
      <c r="AB291" s="135" t="n">
        <f aca="false">'O_MN, PE_UTA_UGM 2024'!O268</f>
        <v>0</v>
      </c>
      <c r="AC291" s="317" t="n">
        <f aca="false">'O_MN, PE_UTA_UGM 2024'!C268</f>
        <v>267</v>
      </c>
      <c r="AD291" s="293" t="str">
        <f aca="false">IF(AB291=0,'O_MN, PE_UTA_UGM 2024'!F268,CONCATENATE('O_MN, PE_UTA_UGM 2024'!F268," ","INVERNADERO"))</f>
        <v>ORÉGANO</v>
      </c>
      <c r="AE291" s="89"/>
      <c r="AF291" s="123" t="n">
        <f aca="false">SUM(AG291:AH291)+SUM(AJ291:AK291)</f>
        <v>0</v>
      </c>
      <c r="AG291" s="318" t="n">
        <f aca="false">A278</f>
        <v>0</v>
      </c>
      <c r="AH291" s="319" t="n">
        <f aca="false">B278</f>
        <v>0</v>
      </c>
      <c r="AI291" s="6"/>
      <c r="AJ291" s="320" t="n">
        <f aca="false">C278</f>
        <v>0</v>
      </c>
      <c r="AK291" s="320" t="n">
        <f aca="false">D278</f>
        <v>0</v>
      </c>
      <c r="AL291" s="237" t="s">
        <v>417</v>
      </c>
      <c r="AM291" s="299" t="n">
        <f aca="false">'O_MN, PE_UTA_UGM 2024'!J268</f>
        <v>1000</v>
      </c>
      <c r="AN291" s="299" t="n">
        <f aca="false">'O_MN, PE_UTA_UGM 2024'!K268</f>
        <v>3800</v>
      </c>
      <c r="AO291" s="300"/>
      <c r="AP291" s="299" t="n">
        <f aca="false">'O_MN, PE_UTA_UGM 2024'!H268</f>
        <v>114.19</v>
      </c>
      <c r="AQ291" s="299" t="n">
        <f aca="false">'O_MN, PE_UTA_UGM 2024'!I268</f>
        <v>240.4</v>
      </c>
      <c r="AR291" s="301"/>
      <c r="AS291" s="302" t="n">
        <f aca="false">'O_MN, PE_UTA_UGM 2024'!L268</f>
        <v>0.00465</v>
      </c>
      <c r="AT291" s="302" t="n">
        <f aca="false">'O_MN, PE_UTA_UGM 2024'!M268</f>
        <v>0.0098</v>
      </c>
      <c r="AU291" s="45"/>
      <c r="AV291" s="321" t="n">
        <f aca="false">AG291*AM291</f>
        <v>0</v>
      </c>
      <c r="AW291" s="319" t="n">
        <f aca="false">AH291*AN291</f>
        <v>0</v>
      </c>
      <c r="AX291" s="320" t="n">
        <f aca="false">1.25*AJ291*AM291</f>
        <v>0</v>
      </c>
      <c r="AY291" s="322" t="n">
        <f aca="false">1.25*AK291*AN291</f>
        <v>0</v>
      </c>
      <c r="AZ291" s="323" t="n">
        <f aca="false">AG291*AP291</f>
        <v>0</v>
      </c>
      <c r="BA291" s="319" t="n">
        <f aca="false">AH291*AQ291</f>
        <v>0</v>
      </c>
      <c r="BB291" s="320" t="n">
        <f aca="false">1.25*AJ291*AP291</f>
        <v>0</v>
      </c>
      <c r="BC291" s="320" t="n">
        <f aca="false">1.25*AK291*AQ291</f>
        <v>0</v>
      </c>
      <c r="BD291" s="321" t="n">
        <f aca="false">AG291*AS291</f>
        <v>0</v>
      </c>
      <c r="BE291" s="319" t="n">
        <f aca="false">AH291*AT291</f>
        <v>0</v>
      </c>
      <c r="BF291" s="320" t="n">
        <f aca="false">AJ291*AS291</f>
        <v>0</v>
      </c>
      <c r="BG291" s="322" t="n">
        <f aca="false">AK291*AT291</f>
        <v>0</v>
      </c>
      <c r="BH291" s="324" t="str">
        <f aca="false">IF(BH$24=$AA291,($AG291*$AM291)+($AJ291*$AM291*1.25)+($AH291*$AN291)+($AK291*$AN291*1.25),"")</f>
        <v/>
      </c>
      <c r="BI291" s="325" t="str">
        <f aca="false">IF(BI$24=$AA291,($AG291*$AM291)+($AJ291*$AM291*1.25)+($AH291*$AN291)+($AK291*$AN291*1.25),"")</f>
        <v/>
      </c>
      <c r="BJ291" s="325" t="str">
        <f aca="false">IF(BJ$24=$AA291,($AG291*$AM291)+($AJ291*$AM291*1.25)+($AH291*$AN291)+($AK291*$AN291*1.25),"")</f>
        <v/>
      </c>
      <c r="BK291" s="325" t="str">
        <f aca="false">IF(BK$24=$AA291,($AG291*$AM291)+($AJ291*$AM291*1.25)+($AH291*$AN291)+($AK291*$AN291*1.25),"")</f>
        <v/>
      </c>
      <c r="BL291" s="326" t="n">
        <f aca="false">IF(BL$24=$AA291,($AG291*$AM291)+($AJ291*$AM291*1.25)+($AH291*$AN291)+($AK291*$AN291*1.25),"")</f>
        <v>0</v>
      </c>
      <c r="BM291" s="327" t="str">
        <f aca="false">IF(CONCATENATE(BH291,BI291,BJ291,BK291,BL291)="",1,"")</f>
        <v/>
      </c>
      <c r="BN291" s="328"/>
      <c r="BO291" s="328"/>
      <c r="BP291" s="328"/>
      <c r="BQ291" s="328"/>
      <c r="BR291" s="47"/>
      <c r="BS291" s="127" t="n">
        <f aca="false">(AG291*AM291)+(AH291*AN291)+((AJ291*AM291)+(AK291*AN291)*1.25)</f>
        <v>0</v>
      </c>
      <c r="BT291" s="127" t="n">
        <f aca="false">(AG291*AP291)+(AH291*AQ291)+((AJ291*AP291)+(AK291*AQ291)*1.25)</f>
        <v>0</v>
      </c>
      <c r="BU291" s="329"/>
      <c r="BV291" s="129"/>
    </row>
    <row r="292" customFormat="false" ht="15" hidden="false" customHeight="false" outlineLevel="0" collapsed="false">
      <c r="A292" s="228"/>
      <c r="B292" s="229"/>
      <c r="C292" s="230"/>
      <c r="D292" s="231"/>
      <c r="E292" s="223" t="str">
        <f aca="false">IF(SUM(A292:D292)&gt;0,SUM(A292:D292),"")</f>
        <v/>
      </c>
      <c r="F292" s="224" t="str">
        <f aca="false">AD305</f>
        <v>ESPÁRRAGO INVERNADERO</v>
      </c>
      <c r="G292" s="169"/>
      <c r="H292" s="169"/>
      <c r="I292" s="169"/>
      <c r="J292" s="169"/>
      <c r="K292" s="169"/>
      <c r="L292" s="169"/>
      <c r="M292" s="169"/>
      <c r="N292" s="169"/>
      <c r="O292" s="169"/>
      <c r="P292" s="169"/>
      <c r="Q292" s="169"/>
      <c r="R292" s="3"/>
      <c r="S292" s="3"/>
      <c r="T292" s="3"/>
      <c r="U292" s="3"/>
      <c r="V292" s="3"/>
      <c r="W292" s="3"/>
      <c r="X292" s="3"/>
      <c r="Y292" s="3"/>
      <c r="Z292" s="316" t="str">
        <f aca="false">IF(AF292&gt;0,RANK(AF292,AF$6:AF$422),"")</f>
        <v/>
      </c>
      <c r="AA292" s="134" t="n">
        <f aca="false">'O_MN, PE_UTA_UGM 2024'!N269</f>
        <v>5</v>
      </c>
      <c r="AB292" s="135" t="n">
        <f aca="false">'O_MN, PE_UTA_UGM 2024'!O269</f>
        <v>0</v>
      </c>
      <c r="AC292" s="317" t="n">
        <f aca="false">'O_MN, PE_UTA_UGM 2024'!C269</f>
        <v>268</v>
      </c>
      <c r="AD292" s="293" t="str">
        <f aca="false">IF(AB292=0,'O_MN, PE_UTA_UGM 2024'!F269,CONCATENATE('O_MN, PE_UTA_UGM 2024'!F269," ","INVERNADERO"))</f>
        <v>SALVIA</v>
      </c>
      <c r="AE292" s="89"/>
      <c r="AF292" s="123" t="n">
        <f aca="false">SUM(AG292:AH292)+SUM(AJ292:AK292)</f>
        <v>0</v>
      </c>
      <c r="AG292" s="318" t="n">
        <f aca="false">A279</f>
        <v>0</v>
      </c>
      <c r="AH292" s="319" t="n">
        <f aca="false">B279</f>
        <v>0</v>
      </c>
      <c r="AI292" s="6"/>
      <c r="AJ292" s="320" t="n">
        <f aca="false">C279</f>
        <v>0</v>
      </c>
      <c r="AK292" s="320" t="n">
        <f aca="false">D279</f>
        <v>0</v>
      </c>
      <c r="AL292" s="237" t="s">
        <v>418</v>
      </c>
      <c r="AM292" s="299" t="n">
        <f aca="false">'O_MN, PE_UTA_UGM 2024'!J269</f>
        <v>1000</v>
      </c>
      <c r="AN292" s="299" t="n">
        <f aca="false">'O_MN, PE_UTA_UGM 2024'!K269</f>
        <v>3800</v>
      </c>
      <c r="AO292" s="300"/>
      <c r="AP292" s="299" t="n">
        <f aca="false">'O_MN, PE_UTA_UGM 2024'!H269</f>
        <v>114.19</v>
      </c>
      <c r="AQ292" s="299" t="n">
        <f aca="false">'O_MN, PE_UTA_UGM 2024'!I269</f>
        <v>240.4</v>
      </c>
      <c r="AR292" s="301"/>
      <c r="AS292" s="302" t="n">
        <f aca="false">'O_MN, PE_UTA_UGM 2024'!L269</f>
        <v>0.00465</v>
      </c>
      <c r="AT292" s="302" t="n">
        <f aca="false">'O_MN, PE_UTA_UGM 2024'!M269</f>
        <v>0.0098</v>
      </c>
      <c r="AU292" s="45"/>
      <c r="AV292" s="321" t="n">
        <f aca="false">AG292*AM292</f>
        <v>0</v>
      </c>
      <c r="AW292" s="319" t="n">
        <f aca="false">AH292*AN292</f>
        <v>0</v>
      </c>
      <c r="AX292" s="320" t="n">
        <f aca="false">1.25*AJ292*AM292</f>
        <v>0</v>
      </c>
      <c r="AY292" s="322" t="n">
        <f aca="false">1.25*AK292*AN292</f>
        <v>0</v>
      </c>
      <c r="AZ292" s="323" t="n">
        <f aca="false">AG292*AP292</f>
        <v>0</v>
      </c>
      <c r="BA292" s="319" t="n">
        <f aca="false">AH292*AQ292</f>
        <v>0</v>
      </c>
      <c r="BB292" s="320" t="n">
        <f aca="false">1.25*AJ292*AP292</f>
        <v>0</v>
      </c>
      <c r="BC292" s="320" t="n">
        <f aca="false">1.25*AK292*AQ292</f>
        <v>0</v>
      </c>
      <c r="BD292" s="321" t="n">
        <f aca="false">AG292*AS292</f>
        <v>0</v>
      </c>
      <c r="BE292" s="319" t="n">
        <f aca="false">AH292*AT292</f>
        <v>0</v>
      </c>
      <c r="BF292" s="320" t="n">
        <f aca="false">AJ292*AS292</f>
        <v>0</v>
      </c>
      <c r="BG292" s="322" t="n">
        <f aca="false">AK292*AT292</f>
        <v>0</v>
      </c>
      <c r="BH292" s="324" t="str">
        <f aca="false">IF(BH$24=$AA292,($AG292*$AM292)+($AJ292*$AM292*1.25)+($AH292*$AN292)+($AK292*$AN292*1.25),"")</f>
        <v/>
      </c>
      <c r="BI292" s="325" t="str">
        <f aca="false">IF(BI$24=$AA292,($AG292*$AM292)+($AJ292*$AM292*1.25)+($AH292*$AN292)+($AK292*$AN292*1.25),"")</f>
        <v/>
      </c>
      <c r="BJ292" s="325" t="str">
        <f aca="false">IF(BJ$24=$AA292,($AG292*$AM292)+($AJ292*$AM292*1.25)+($AH292*$AN292)+($AK292*$AN292*1.25),"")</f>
        <v/>
      </c>
      <c r="BK292" s="325" t="str">
        <f aca="false">IF(BK$24=$AA292,($AG292*$AM292)+($AJ292*$AM292*1.25)+($AH292*$AN292)+($AK292*$AN292*1.25),"")</f>
        <v/>
      </c>
      <c r="BL292" s="326" t="n">
        <f aca="false">IF(BL$24=$AA292,($AG292*$AM292)+($AJ292*$AM292*1.25)+($AH292*$AN292)+($AK292*$AN292*1.25),"")</f>
        <v>0</v>
      </c>
      <c r="BM292" s="327" t="str">
        <f aca="false">IF(CONCATENATE(BH292,BI292,BJ292,BK292,BL292)="",1,"")</f>
        <v/>
      </c>
      <c r="BN292" s="328"/>
      <c r="BO292" s="328"/>
      <c r="BP292" s="328"/>
      <c r="BQ292" s="328"/>
      <c r="BR292" s="47"/>
      <c r="BS292" s="127" t="n">
        <f aca="false">(AG292*AM292)+(AH292*AN292)+((AJ292*AM292)+(AK292*AN292)*1.25)</f>
        <v>0</v>
      </c>
      <c r="BT292" s="127" t="n">
        <f aca="false">(AG292*AP292)+(AH292*AQ292)+((AJ292*AP292)+(AK292*AQ292)*1.25)</f>
        <v>0</v>
      </c>
      <c r="BU292" s="329"/>
      <c r="BV292" s="129"/>
    </row>
    <row r="293" customFormat="false" ht="15" hidden="false" customHeight="false" outlineLevel="0" collapsed="false">
      <c r="A293" s="228"/>
      <c r="B293" s="229"/>
      <c r="C293" s="230"/>
      <c r="D293" s="231"/>
      <c r="E293" s="223" t="str">
        <f aca="false">IF(SUM(A293:D293)&gt;0,SUM(A293:D293),"")</f>
        <v/>
      </c>
      <c r="F293" s="224" t="str">
        <f aca="false">AD306</f>
        <v>TRUFA</v>
      </c>
      <c r="G293" s="169"/>
      <c r="H293" s="169"/>
      <c r="I293" s="169"/>
      <c r="J293" s="169"/>
      <c r="K293" s="169"/>
      <c r="L293" s="169"/>
      <c r="M293" s="169"/>
      <c r="N293" s="169"/>
      <c r="O293" s="169"/>
      <c r="P293" s="169"/>
      <c r="Q293" s="169"/>
      <c r="R293" s="3"/>
      <c r="S293" s="3"/>
      <c r="T293" s="3"/>
      <c r="U293" s="3"/>
      <c r="V293" s="3"/>
      <c r="W293" s="3"/>
      <c r="X293" s="3"/>
      <c r="Y293" s="3"/>
      <c r="Z293" s="316" t="str">
        <f aca="false">IF(AF293&gt;0,RANK(AF293,AF$6:AF$422),"")</f>
        <v/>
      </c>
      <c r="AA293" s="134" t="n">
        <f aca="false">'O_MN, PE_UTA_UGM 2024'!N270</f>
        <v>5</v>
      </c>
      <c r="AB293" s="135" t="n">
        <f aca="false">'O_MN, PE_UTA_UGM 2024'!O270</f>
        <v>0</v>
      </c>
      <c r="AC293" s="317" t="n">
        <f aca="false">'O_MN, PE_UTA_UGM 2024'!C270</f>
        <v>269</v>
      </c>
      <c r="AD293" s="293" t="str">
        <f aca="false">IF(AB293=0,'O_MN, PE_UTA_UGM 2024'!F270,CONCATENATE('O_MN, PE_UTA_UGM 2024'!F270," ","INVERNADERO"))</f>
        <v>PERIFOLLO</v>
      </c>
      <c r="AE293" s="89"/>
      <c r="AF293" s="123" t="n">
        <f aca="false">SUM(AG293:AH293)+SUM(AJ293:AK293)</f>
        <v>0</v>
      </c>
      <c r="AG293" s="318" t="n">
        <f aca="false">A280</f>
        <v>0</v>
      </c>
      <c r="AH293" s="319" t="n">
        <f aca="false">B280</f>
        <v>0</v>
      </c>
      <c r="AI293" s="6"/>
      <c r="AJ293" s="320" t="n">
        <f aca="false">C280</f>
        <v>0</v>
      </c>
      <c r="AK293" s="320" t="n">
        <f aca="false">D280</f>
        <v>0</v>
      </c>
      <c r="AL293" s="237" t="s">
        <v>419</v>
      </c>
      <c r="AM293" s="299" t="n">
        <f aca="false">'O_MN, PE_UTA_UGM 2024'!J270</f>
        <v>1000</v>
      </c>
      <c r="AN293" s="299" t="n">
        <f aca="false">'O_MN, PE_UTA_UGM 2024'!K270</f>
        <v>3800</v>
      </c>
      <c r="AO293" s="300"/>
      <c r="AP293" s="299" t="n">
        <f aca="false">'O_MN, PE_UTA_UGM 2024'!H270</f>
        <v>114.19</v>
      </c>
      <c r="AQ293" s="299" t="n">
        <f aca="false">'O_MN, PE_UTA_UGM 2024'!I270</f>
        <v>240.4</v>
      </c>
      <c r="AR293" s="301"/>
      <c r="AS293" s="302" t="n">
        <f aca="false">'O_MN, PE_UTA_UGM 2024'!L270</f>
        <v>0.00465</v>
      </c>
      <c r="AT293" s="302" t="n">
        <f aca="false">'O_MN, PE_UTA_UGM 2024'!M270</f>
        <v>0.0098</v>
      </c>
      <c r="AU293" s="45"/>
      <c r="AV293" s="321" t="n">
        <f aca="false">AG293*AM293</f>
        <v>0</v>
      </c>
      <c r="AW293" s="319" t="n">
        <f aca="false">AH293*AN293</f>
        <v>0</v>
      </c>
      <c r="AX293" s="320" t="n">
        <f aca="false">1.25*AJ293*AM293</f>
        <v>0</v>
      </c>
      <c r="AY293" s="322" t="n">
        <f aca="false">1.25*AK293*AN293</f>
        <v>0</v>
      </c>
      <c r="AZ293" s="323" t="n">
        <f aca="false">AG293*AP293</f>
        <v>0</v>
      </c>
      <c r="BA293" s="319" t="n">
        <f aca="false">AH293*AQ293</f>
        <v>0</v>
      </c>
      <c r="BB293" s="320" t="n">
        <f aca="false">1.25*AJ293*AP293</f>
        <v>0</v>
      </c>
      <c r="BC293" s="320" t="n">
        <f aca="false">1.25*AK293*AQ293</f>
        <v>0</v>
      </c>
      <c r="BD293" s="321" t="n">
        <f aca="false">AG293*AS293</f>
        <v>0</v>
      </c>
      <c r="BE293" s="319" t="n">
        <f aca="false">AH293*AT293</f>
        <v>0</v>
      </c>
      <c r="BF293" s="320" t="n">
        <f aca="false">AJ293*AS293</f>
        <v>0</v>
      </c>
      <c r="BG293" s="322" t="n">
        <f aca="false">AK293*AT293</f>
        <v>0</v>
      </c>
      <c r="BH293" s="324" t="str">
        <f aca="false">IF(BH$24=$AA293,($AG293*$AM293)+($AJ293*$AM293*1.25)+($AH293*$AN293)+($AK293*$AN293*1.25),"")</f>
        <v/>
      </c>
      <c r="BI293" s="325" t="str">
        <f aca="false">IF(BI$24=$AA293,($AG293*$AM293)+($AJ293*$AM293*1.25)+($AH293*$AN293)+($AK293*$AN293*1.25),"")</f>
        <v/>
      </c>
      <c r="BJ293" s="325" t="str">
        <f aca="false">IF(BJ$24=$AA293,($AG293*$AM293)+($AJ293*$AM293*1.25)+($AH293*$AN293)+($AK293*$AN293*1.25),"")</f>
        <v/>
      </c>
      <c r="BK293" s="325" t="str">
        <f aca="false">IF(BK$24=$AA293,($AG293*$AM293)+($AJ293*$AM293*1.25)+($AH293*$AN293)+($AK293*$AN293*1.25),"")</f>
        <v/>
      </c>
      <c r="BL293" s="326" t="n">
        <f aca="false">IF(BL$24=$AA293,($AG293*$AM293)+($AJ293*$AM293*1.25)+($AH293*$AN293)+($AK293*$AN293*1.25),"")</f>
        <v>0</v>
      </c>
      <c r="BM293" s="327" t="str">
        <f aca="false">IF(CONCATENATE(BH293,BI293,BJ293,BK293,BL293)="",1,"")</f>
        <v/>
      </c>
      <c r="BN293" s="328"/>
      <c r="BO293" s="328"/>
      <c r="BP293" s="328"/>
      <c r="BQ293" s="328"/>
      <c r="BR293" s="47"/>
      <c r="BS293" s="127" t="n">
        <f aca="false">(AG293*AM293)+(AH293*AN293)+((AJ293*AM293)+(AK293*AN293)*1.25)</f>
        <v>0</v>
      </c>
      <c r="BT293" s="127" t="n">
        <f aca="false">(AG293*AP293)+(AH293*AQ293)+((AJ293*AP293)+(AK293*AQ293)*1.25)</f>
        <v>0</v>
      </c>
      <c r="BU293" s="329"/>
      <c r="BV293" s="129"/>
    </row>
    <row r="294" customFormat="false" ht="15" hidden="false" customHeight="false" outlineLevel="0" collapsed="false">
      <c r="A294" s="228"/>
      <c r="B294" s="229"/>
      <c r="C294" s="230"/>
      <c r="D294" s="231"/>
      <c r="E294" s="223" t="str">
        <f aca="false">IF(SUM(A294:D294)&gt;0,SUM(A294:D294),"")</f>
        <v/>
      </c>
      <c r="F294" s="224" t="str">
        <f aca="false">AD307</f>
        <v>LAVANDA</v>
      </c>
      <c r="G294" s="169"/>
      <c r="H294" s="169"/>
      <c r="I294" s="169"/>
      <c r="J294" s="169"/>
      <c r="K294" s="169"/>
      <c r="L294" s="169"/>
      <c r="M294" s="169"/>
      <c r="N294" s="169"/>
      <c r="O294" s="169"/>
      <c r="P294" s="169"/>
      <c r="Q294" s="169"/>
      <c r="R294" s="3"/>
      <c r="S294" s="3"/>
      <c r="T294" s="3"/>
      <c r="U294" s="3"/>
      <c r="V294" s="3"/>
      <c r="W294" s="3"/>
      <c r="X294" s="3"/>
      <c r="Y294" s="3"/>
      <c r="Z294" s="316" t="str">
        <f aca="false">IF(AF294&gt;0,RANK(AF294,AF$6:AF$422),"")</f>
        <v/>
      </c>
      <c r="AA294" s="134" t="n">
        <f aca="false">'O_MN, PE_UTA_UGM 2024'!N271</f>
        <v>5</v>
      </c>
      <c r="AB294" s="135" t="n">
        <f aca="false">'O_MN, PE_UTA_UGM 2024'!O271</f>
        <v>0</v>
      </c>
      <c r="AC294" s="317" t="n">
        <f aca="false">'O_MN, PE_UTA_UGM 2024'!C271</f>
        <v>270</v>
      </c>
      <c r="AD294" s="293" t="str">
        <f aca="false">IF(AB294=0,'O_MN, PE_UTA_UGM 2024'!F271,CONCATENATE('O_MN, PE_UTA_UGM 2024'!F271," ","INVERNADERO"))</f>
        <v>ESTRAGÓN</v>
      </c>
      <c r="AE294" s="89"/>
      <c r="AF294" s="123" t="n">
        <f aca="false">SUM(AG294:AH294)+SUM(AJ294:AK294)</f>
        <v>0</v>
      </c>
      <c r="AG294" s="318" t="n">
        <f aca="false">A281</f>
        <v>0</v>
      </c>
      <c r="AH294" s="319" t="n">
        <f aca="false">B281</f>
        <v>0</v>
      </c>
      <c r="AI294" s="6"/>
      <c r="AJ294" s="320" t="n">
        <f aca="false">C281</f>
        <v>0</v>
      </c>
      <c r="AK294" s="320" t="n">
        <f aca="false">D281</f>
        <v>0</v>
      </c>
      <c r="AL294" s="237" t="s">
        <v>420</v>
      </c>
      <c r="AM294" s="299" t="n">
        <f aca="false">'O_MN, PE_UTA_UGM 2024'!J271</f>
        <v>1000</v>
      </c>
      <c r="AN294" s="299" t="n">
        <f aca="false">'O_MN, PE_UTA_UGM 2024'!K271</f>
        <v>3800</v>
      </c>
      <c r="AO294" s="300"/>
      <c r="AP294" s="299" t="n">
        <f aca="false">'O_MN, PE_UTA_UGM 2024'!H271</f>
        <v>114.19</v>
      </c>
      <c r="AQ294" s="299" t="n">
        <f aca="false">'O_MN, PE_UTA_UGM 2024'!I271</f>
        <v>240.4</v>
      </c>
      <c r="AR294" s="301"/>
      <c r="AS294" s="302" t="n">
        <f aca="false">'O_MN, PE_UTA_UGM 2024'!L271</f>
        <v>0.00465</v>
      </c>
      <c r="AT294" s="302" t="n">
        <f aca="false">'O_MN, PE_UTA_UGM 2024'!M271</f>
        <v>0.0098</v>
      </c>
      <c r="AU294" s="45"/>
      <c r="AV294" s="321" t="n">
        <f aca="false">AG294*AM294</f>
        <v>0</v>
      </c>
      <c r="AW294" s="319" t="n">
        <f aca="false">AH294*AN294</f>
        <v>0</v>
      </c>
      <c r="AX294" s="320" t="n">
        <f aca="false">1.25*AJ294*AM294</f>
        <v>0</v>
      </c>
      <c r="AY294" s="322" t="n">
        <f aca="false">1.25*AK294*AN294</f>
        <v>0</v>
      </c>
      <c r="AZ294" s="323" t="n">
        <f aca="false">AG294*AP294</f>
        <v>0</v>
      </c>
      <c r="BA294" s="319" t="n">
        <f aca="false">AH294*AQ294</f>
        <v>0</v>
      </c>
      <c r="BB294" s="320" t="n">
        <f aca="false">1.25*AJ294*AP294</f>
        <v>0</v>
      </c>
      <c r="BC294" s="320" t="n">
        <f aca="false">1.25*AK294*AQ294</f>
        <v>0</v>
      </c>
      <c r="BD294" s="321" t="n">
        <f aca="false">AG294*AS294</f>
        <v>0</v>
      </c>
      <c r="BE294" s="319" t="n">
        <f aca="false">AH294*AT294</f>
        <v>0</v>
      </c>
      <c r="BF294" s="320" t="n">
        <f aca="false">AJ294*AS294</f>
        <v>0</v>
      </c>
      <c r="BG294" s="322" t="n">
        <f aca="false">AK294*AT294</f>
        <v>0</v>
      </c>
      <c r="BH294" s="324" t="str">
        <f aca="false">IF(BH$24=$AA294,($AG294*$AM294)+($AJ294*$AM294*1.25)+($AH294*$AN294)+($AK294*$AN294*1.25),"")</f>
        <v/>
      </c>
      <c r="BI294" s="325" t="str">
        <f aca="false">IF(BI$24=$AA294,($AG294*$AM294)+($AJ294*$AM294*1.25)+($AH294*$AN294)+($AK294*$AN294*1.25),"")</f>
        <v/>
      </c>
      <c r="BJ294" s="325" t="str">
        <f aca="false">IF(BJ$24=$AA294,($AG294*$AM294)+($AJ294*$AM294*1.25)+($AH294*$AN294)+($AK294*$AN294*1.25),"")</f>
        <v/>
      </c>
      <c r="BK294" s="325" t="str">
        <f aca="false">IF(BK$24=$AA294,($AG294*$AM294)+($AJ294*$AM294*1.25)+($AH294*$AN294)+($AK294*$AN294*1.25),"")</f>
        <v/>
      </c>
      <c r="BL294" s="326" t="n">
        <f aca="false">IF(BL$24=$AA294,($AG294*$AM294)+($AJ294*$AM294*1.25)+($AH294*$AN294)+($AK294*$AN294*1.25),"")</f>
        <v>0</v>
      </c>
      <c r="BM294" s="327" t="str">
        <f aca="false">IF(CONCATENATE(BH294,BI294,BJ294,BK294,BL294)="",1,"")</f>
        <v/>
      </c>
      <c r="BN294" s="328"/>
      <c r="BO294" s="328"/>
      <c r="BP294" s="328"/>
      <c r="BQ294" s="328"/>
      <c r="BR294" s="47"/>
      <c r="BS294" s="127" t="n">
        <f aca="false">(AG294*AM294)+(AH294*AN294)+((AJ294*AM294)+(AK294*AN294)*1.25)</f>
        <v>0</v>
      </c>
      <c r="BT294" s="127" t="n">
        <f aca="false">(AG294*AP294)+(AH294*AQ294)+((AJ294*AP294)+(AK294*AQ294)*1.25)</f>
        <v>0</v>
      </c>
      <c r="BU294" s="329"/>
      <c r="BV294" s="129"/>
    </row>
    <row r="295" customFormat="false" ht="15" hidden="false" customHeight="false" outlineLevel="0" collapsed="false">
      <c r="A295" s="228"/>
      <c r="B295" s="229"/>
      <c r="C295" s="230"/>
      <c r="D295" s="231"/>
      <c r="E295" s="223" t="str">
        <f aca="false">IF(SUM(A295:D295)&gt;0,SUM(A295:D295),"")</f>
        <v/>
      </c>
      <c r="F295" s="224" t="str">
        <f aca="false">AD308</f>
        <v>LAVANDÍN</v>
      </c>
      <c r="G295" s="169"/>
      <c r="H295" s="169"/>
      <c r="I295" s="169"/>
      <c r="J295" s="169"/>
      <c r="K295" s="169"/>
      <c r="L295" s="169"/>
      <c r="M295" s="169"/>
      <c r="N295" s="169"/>
      <c r="O295" s="169"/>
      <c r="P295" s="169"/>
      <c r="Q295" s="169"/>
      <c r="R295" s="3"/>
      <c r="S295" s="3"/>
      <c r="T295" s="3"/>
      <c r="U295" s="3"/>
      <c r="V295" s="3"/>
      <c r="W295" s="3"/>
      <c r="X295" s="3"/>
      <c r="Y295" s="3"/>
      <c r="Z295" s="316" t="str">
        <f aca="false">IF(AF295&gt;0,RANK(AF295,AF$6:AF$422),"")</f>
        <v/>
      </c>
      <c r="AA295" s="134" t="n">
        <f aca="false">'O_MN, PE_UTA_UGM 2024'!N272</f>
        <v>5</v>
      </c>
      <c r="AB295" s="135" t="n">
        <f aca="false">'O_MN, PE_UTA_UGM 2024'!O272</f>
        <v>0</v>
      </c>
      <c r="AC295" s="317" t="n">
        <f aca="false">'O_MN, PE_UTA_UGM 2024'!C272</f>
        <v>271</v>
      </c>
      <c r="AD295" s="293" t="str">
        <f aca="false">IF(AB295=0,'O_MN, PE_UTA_UGM 2024'!F272,CONCATENATE('O_MN, PE_UTA_UGM 2024'!F272," ","INVERNADERO"))</f>
        <v>MEJORANA</v>
      </c>
      <c r="AE295" s="89"/>
      <c r="AF295" s="123" t="n">
        <f aca="false">SUM(AG295:AH295)+SUM(AJ295:AK295)</f>
        <v>0</v>
      </c>
      <c r="AG295" s="318" t="n">
        <f aca="false">A282</f>
        <v>0</v>
      </c>
      <c r="AH295" s="319" t="n">
        <f aca="false">B282</f>
        <v>0</v>
      </c>
      <c r="AI295" s="6"/>
      <c r="AJ295" s="320" t="n">
        <f aca="false">C282</f>
        <v>0</v>
      </c>
      <c r="AK295" s="320" t="n">
        <f aca="false">D282</f>
        <v>0</v>
      </c>
      <c r="AL295" s="237" t="s">
        <v>421</v>
      </c>
      <c r="AM295" s="299" t="n">
        <f aca="false">'O_MN, PE_UTA_UGM 2024'!J272</f>
        <v>1000</v>
      </c>
      <c r="AN295" s="299" t="n">
        <f aca="false">'O_MN, PE_UTA_UGM 2024'!K272</f>
        <v>3800</v>
      </c>
      <c r="AO295" s="300"/>
      <c r="AP295" s="299" t="n">
        <f aca="false">'O_MN, PE_UTA_UGM 2024'!H272</f>
        <v>114.19</v>
      </c>
      <c r="AQ295" s="299" t="n">
        <f aca="false">'O_MN, PE_UTA_UGM 2024'!I272</f>
        <v>240.4</v>
      </c>
      <c r="AR295" s="301"/>
      <c r="AS295" s="302" t="n">
        <f aca="false">'O_MN, PE_UTA_UGM 2024'!L272</f>
        <v>0.00465</v>
      </c>
      <c r="AT295" s="302" t="n">
        <f aca="false">'O_MN, PE_UTA_UGM 2024'!M272</f>
        <v>0.0098</v>
      </c>
      <c r="AU295" s="45"/>
      <c r="AV295" s="321" t="n">
        <f aca="false">AG295*AM295</f>
        <v>0</v>
      </c>
      <c r="AW295" s="319" t="n">
        <f aca="false">AH295*AN295</f>
        <v>0</v>
      </c>
      <c r="AX295" s="320" t="n">
        <f aca="false">1.25*AJ295*AM295</f>
        <v>0</v>
      </c>
      <c r="AY295" s="322" t="n">
        <f aca="false">1.25*AK295*AN295</f>
        <v>0</v>
      </c>
      <c r="AZ295" s="323" t="n">
        <f aca="false">AG295*AP295</f>
        <v>0</v>
      </c>
      <c r="BA295" s="319" t="n">
        <f aca="false">AH295*AQ295</f>
        <v>0</v>
      </c>
      <c r="BB295" s="320" t="n">
        <f aca="false">1.25*AJ295*AP295</f>
        <v>0</v>
      </c>
      <c r="BC295" s="320" t="n">
        <f aca="false">1.25*AK295*AQ295</f>
        <v>0</v>
      </c>
      <c r="BD295" s="321" t="n">
        <f aca="false">AG295*AS295</f>
        <v>0</v>
      </c>
      <c r="BE295" s="319" t="n">
        <f aca="false">AH295*AT295</f>
        <v>0</v>
      </c>
      <c r="BF295" s="320" t="n">
        <f aca="false">AJ295*AS295</f>
        <v>0</v>
      </c>
      <c r="BG295" s="322" t="n">
        <f aca="false">AK295*AT295</f>
        <v>0</v>
      </c>
      <c r="BH295" s="324" t="str">
        <f aca="false">IF(BH$24=$AA295,($AG295*$AM295)+($AJ295*$AM295*1.25)+($AH295*$AN295)+($AK295*$AN295*1.25),"")</f>
        <v/>
      </c>
      <c r="BI295" s="325" t="str">
        <f aca="false">IF(BI$24=$AA295,($AG295*$AM295)+($AJ295*$AM295*1.25)+($AH295*$AN295)+($AK295*$AN295*1.25),"")</f>
        <v/>
      </c>
      <c r="BJ295" s="325" t="str">
        <f aca="false">IF(BJ$24=$AA295,($AG295*$AM295)+($AJ295*$AM295*1.25)+($AH295*$AN295)+($AK295*$AN295*1.25),"")</f>
        <v/>
      </c>
      <c r="BK295" s="325" t="str">
        <f aca="false">IF(BK$24=$AA295,($AG295*$AM295)+($AJ295*$AM295*1.25)+($AH295*$AN295)+($AK295*$AN295*1.25),"")</f>
        <v/>
      </c>
      <c r="BL295" s="326" t="n">
        <f aca="false">IF(BL$24=$AA295,($AG295*$AM295)+($AJ295*$AM295*1.25)+($AH295*$AN295)+($AK295*$AN295*1.25),"")</f>
        <v>0</v>
      </c>
      <c r="BM295" s="327" t="str">
        <f aca="false">IF(CONCATENATE(BH295,BI295,BJ295,BK295,BL295)="",1,"")</f>
        <v/>
      </c>
      <c r="BN295" s="328"/>
      <c r="BO295" s="328"/>
      <c r="BP295" s="328"/>
      <c r="BQ295" s="328"/>
      <c r="BR295" s="47"/>
      <c r="BS295" s="127" t="n">
        <f aca="false">(AG295*AM295)+(AH295*AN295)+((AJ295*AM295)+(AK295*AN295)*1.25)</f>
        <v>0</v>
      </c>
      <c r="BT295" s="127" t="n">
        <f aca="false">(AG295*AP295)+(AH295*AQ295)+((AJ295*AP295)+(AK295*AQ295)*1.25)</f>
        <v>0</v>
      </c>
      <c r="BU295" s="329"/>
      <c r="BV295" s="129"/>
    </row>
    <row r="296" customFormat="false" ht="15" hidden="false" customHeight="false" outlineLevel="0" collapsed="false">
      <c r="A296" s="228"/>
      <c r="B296" s="229"/>
      <c r="C296" s="230"/>
      <c r="D296" s="231"/>
      <c r="E296" s="223" t="str">
        <f aca="false">IF(SUM(A296:D296)&gt;0,SUM(A296:D296),"")</f>
        <v/>
      </c>
      <c r="F296" s="224" t="str">
        <f aca="false">AD309</f>
        <v>ALCAPARRA</v>
      </c>
      <c r="G296" s="169"/>
      <c r="H296" s="169"/>
      <c r="I296" s="169"/>
      <c r="J296" s="169"/>
      <c r="K296" s="169"/>
      <c r="L296" s="169"/>
      <c r="M296" s="169"/>
      <c r="N296" s="169"/>
      <c r="O296" s="169"/>
      <c r="P296" s="169"/>
      <c r="Q296" s="169"/>
      <c r="R296" s="3"/>
      <c r="S296" s="3"/>
      <c r="T296" s="3"/>
      <c r="U296" s="3"/>
      <c r="V296" s="3"/>
      <c r="W296" s="3"/>
      <c r="X296" s="3"/>
      <c r="Y296" s="3"/>
      <c r="Z296" s="316" t="str">
        <f aca="false">IF(AF296&gt;0,RANK(AF296,AF$6:AF$422),"")</f>
        <v/>
      </c>
      <c r="AA296" s="134" t="n">
        <f aca="false">'O_MN, PE_UTA_UGM 2024'!N273</f>
        <v>5</v>
      </c>
      <c r="AB296" s="135" t="n">
        <f aca="false">'O_MN, PE_UTA_UGM 2024'!O273</f>
        <v>0</v>
      </c>
      <c r="AC296" s="317" t="n">
        <f aca="false">'O_MN, PE_UTA_UGM 2024'!C273</f>
        <v>272</v>
      </c>
      <c r="AD296" s="293" t="str">
        <f aca="false">IF(AB296=0,'O_MN, PE_UTA_UGM 2024'!F273,CONCATENATE('O_MN, PE_UTA_UGM 2024'!F273," ","INVERNADERO"))</f>
        <v>CALÉNDULA</v>
      </c>
      <c r="AE296" s="89"/>
      <c r="AF296" s="123" t="n">
        <f aca="false">SUM(AG296:AH296)+SUM(AJ296:AK296)</f>
        <v>0</v>
      </c>
      <c r="AG296" s="318" t="n">
        <f aca="false">A283</f>
        <v>0</v>
      </c>
      <c r="AH296" s="319" t="n">
        <f aca="false">B283</f>
        <v>0</v>
      </c>
      <c r="AI296" s="6"/>
      <c r="AJ296" s="320" t="n">
        <f aca="false">C283</f>
        <v>0</v>
      </c>
      <c r="AK296" s="320" t="n">
        <f aca="false">D283</f>
        <v>0</v>
      </c>
      <c r="AL296" s="237" t="s">
        <v>422</v>
      </c>
      <c r="AM296" s="299" t="n">
        <f aca="false">'O_MN, PE_UTA_UGM 2024'!J273</f>
        <v>1000</v>
      </c>
      <c r="AN296" s="299" t="n">
        <f aca="false">'O_MN, PE_UTA_UGM 2024'!K273</f>
        <v>3800</v>
      </c>
      <c r="AO296" s="300"/>
      <c r="AP296" s="299" t="n">
        <f aca="false">'O_MN, PE_UTA_UGM 2024'!H273</f>
        <v>114.19</v>
      </c>
      <c r="AQ296" s="299" t="n">
        <f aca="false">'O_MN, PE_UTA_UGM 2024'!I273</f>
        <v>240.4</v>
      </c>
      <c r="AR296" s="301"/>
      <c r="AS296" s="302" t="n">
        <f aca="false">'O_MN, PE_UTA_UGM 2024'!L273</f>
        <v>0.00465</v>
      </c>
      <c r="AT296" s="302" t="n">
        <f aca="false">'O_MN, PE_UTA_UGM 2024'!M273</f>
        <v>0.0098</v>
      </c>
      <c r="AU296" s="45"/>
      <c r="AV296" s="321" t="n">
        <f aca="false">AG296*AM296</f>
        <v>0</v>
      </c>
      <c r="AW296" s="319" t="n">
        <f aca="false">AH296*AN296</f>
        <v>0</v>
      </c>
      <c r="AX296" s="320" t="n">
        <f aca="false">1.25*AJ296*AM296</f>
        <v>0</v>
      </c>
      <c r="AY296" s="322" t="n">
        <f aca="false">1.25*AK296*AN296</f>
        <v>0</v>
      </c>
      <c r="AZ296" s="323" t="n">
        <f aca="false">AG296*AP296</f>
        <v>0</v>
      </c>
      <c r="BA296" s="319" t="n">
        <f aca="false">AH296*AQ296</f>
        <v>0</v>
      </c>
      <c r="BB296" s="320" t="n">
        <f aca="false">1.25*AJ296*AP296</f>
        <v>0</v>
      </c>
      <c r="BC296" s="320" t="n">
        <f aca="false">1.25*AK296*AQ296</f>
        <v>0</v>
      </c>
      <c r="BD296" s="321" t="n">
        <f aca="false">AG296*AS296</f>
        <v>0</v>
      </c>
      <c r="BE296" s="319" t="n">
        <f aca="false">AH296*AT296</f>
        <v>0</v>
      </c>
      <c r="BF296" s="320" t="n">
        <f aca="false">AJ296*AS296</f>
        <v>0</v>
      </c>
      <c r="BG296" s="322" t="n">
        <f aca="false">AK296*AT296</f>
        <v>0</v>
      </c>
      <c r="BH296" s="324" t="str">
        <f aca="false">IF(BH$24=$AA296,($AG296*$AM296)+($AJ296*$AM296*1.25)+($AH296*$AN296)+($AK296*$AN296*1.25),"")</f>
        <v/>
      </c>
      <c r="BI296" s="325" t="str">
        <f aca="false">IF(BI$24=$AA296,($AG296*$AM296)+($AJ296*$AM296*1.25)+($AH296*$AN296)+($AK296*$AN296*1.25),"")</f>
        <v/>
      </c>
      <c r="BJ296" s="325" t="str">
        <f aca="false">IF(BJ$24=$AA296,($AG296*$AM296)+($AJ296*$AM296*1.25)+($AH296*$AN296)+($AK296*$AN296*1.25),"")</f>
        <v/>
      </c>
      <c r="BK296" s="325" t="str">
        <f aca="false">IF(BK$24=$AA296,($AG296*$AM296)+($AJ296*$AM296*1.25)+($AH296*$AN296)+($AK296*$AN296*1.25),"")</f>
        <v/>
      </c>
      <c r="BL296" s="326" t="n">
        <f aca="false">IF(BL$24=$AA296,($AG296*$AM296)+($AJ296*$AM296*1.25)+($AH296*$AN296)+($AK296*$AN296*1.25),"")</f>
        <v>0</v>
      </c>
      <c r="BM296" s="327" t="str">
        <f aca="false">IF(CONCATENATE(BH296,BI296,BJ296,BK296,BL296)="",1,"")</f>
        <v/>
      </c>
      <c r="BN296" s="328"/>
      <c r="BO296" s="328"/>
      <c r="BP296" s="328"/>
      <c r="BQ296" s="328"/>
      <c r="BR296" s="47"/>
      <c r="BS296" s="127" t="n">
        <f aca="false">(AG296*AM296)+(AH296*AN296)+((AJ296*AM296)+(AK296*AN296)*1.25)</f>
        <v>0</v>
      </c>
      <c r="BT296" s="127" t="n">
        <f aca="false">(AG296*AP296)+(AH296*AQ296)+((AJ296*AP296)+(AK296*AQ296)*1.25)</f>
        <v>0</v>
      </c>
      <c r="BU296" s="329"/>
      <c r="BV296" s="129"/>
    </row>
    <row r="297" customFormat="false" ht="15" hidden="false" customHeight="false" outlineLevel="0" collapsed="false">
      <c r="A297" s="228"/>
      <c r="B297" s="229"/>
      <c r="C297" s="230"/>
      <c r="D297" s="231"/>
      <c r="E297" s="223" t="str">
        <f aca="false">IF(SUM(A297:D297)&gt;0,SUM(A297:D297),"")</f>
        <v/>
      </c>
      <c r="F297" s="224" t="str">
        <f aca="false">AD310</f>
        <v>AJENJO</v>
      </c>
      <c r="G297" s="169"/>
      <c r="H297" s="169"/>
      <c r="I297" s="169"/>
      <c r="J297" s="169"/>
      <c r="K297" s="169"/>
      <c r="L297" s="169"/>
      <c r="M297" s="169"/>
      <c r="N297" s="169"/>
      <c r="O297" s="169"/>
      <c r="P297" s="169"/>
      <c r="Q297" s="169"/>
      <c r="R297" s="3"/>
      <c r="S297" s="3"/>
      <c r="T297" s="3"/>
      <c r="U297" s="3"/>
      <c r="V297" s="3"/>
      <c r="W297" s="3"/>
      <c r="X297" s="3"/>
      <c r="Y297" s="3"/>
      <c r="Z297" s="316" t="str">
        <f aca="false">IF(AF297&gt;0,RANK(AF297,AF$6:AF$422),"")</f>
        <v/>
      </c>
      <c r="AA297" s="134" t="n">
        <f aca="false">'O_MN, PE_UTA_UGM 2024'!N274</f>
        <v>5</v>
      </c>
      <c r="AB297" s="135" t="n">
        <f aca="false">'O_MN, PE_UTA_UGM 2024'!O274</f>
        <v>0</v>
      </c>
      <c r="AC297" s="317" t="n">
        <f aca="false">'O_MN, PE_UTA_UGM 2024'!C274</f>
        <v>273</v>
      </c>
      <c r="AD297" s="293" t="str">
        <f aca="false">IF(AB297=0,'O_MN, PE_UTA_UGM 2024'!F274,CONCATENATE('O_MN, PE_UTA_UGM 2024'!F274," ","INVERNADERO"))</f>
        <v>COMINO</v>
      </c>
      <c r="AE297" s="89"/>
      <c r="AF297" s="123" t="n">
        <f aca="false">SUM(AG297:AH297)+SUM(AJ297:AK297)</f>
        <v>0</v>
      </c>
      <c r="AG297" s="318" t="n">
        <f aca="false">A284</f>
        <v>0</v>
      </c>
      <c r="AH297" s="319" t="n">
        <f aca="false">B284</f>
        <v>0</v>
      </c>
      <c r="AI297" s="6"/>
      <c r="AJ297" s="320" t="n">
        <f aca="false">C284</f>
        <v>0</v>
      </c>
      <c r="AK297" s="320" t="n">
        <f aca="false">D284</f>
        <v>0</v>
      </c>
      <c r="AL297" s="237" t="s">
        <v>423</v>
      </c>
      <c r="AM297" s="299" t="n">
        <f aca="false">'O_MN, PE_UTA_UGM 2024'!J274</f>
        <v>1000</v>
      </c>
      <c r="AN297" s="299" t="n">
        <f aca="false">'O_MN, PE_UTA_UGM 2024'!K274</f>
        <v>3800</v>
      </c>
      <c r="AO297" s="300"/>
      <c r="AP297" s="299" t="n">
        <f aca="false">'O_MN, PE_UTA_UGM 2024'!H274</f>
        <v>114.19</v>
      </c>
      <c r="AQ297" s="299" t="n">
        <f aca="false">'O_MN, PE_UTA_UGM 2024'!I274</f>
        <v>240.4</v>
      </c>
      <c r="AR297" s="301"/>
      <c r="AS297" s="302" t="n">
        <f aca="false">'O_MN, PE_UTA_UGM 2024'!L274</f>
        <v>0.00465</v>
      </c>
      <c r="AT297" s="302" t="n">
        <f aca="false">'O_MN, PE_UTA_UGM 2024'!M274</f>
        <v>0.0098</v>
      </c>
      <c r="AU297" s="45"/>
      <c r="AV297" s="321" t="n">
        <f aca="false">AG297*AM297</f>
        <v>0</v>
      </c>
      <c r="AW297" s="319" t="n">
        <f aca="false">AH297*AN297</f>
        <v>0</v>
      </c>
      <c r="AX297" s="320" t="n">
        <f aca="false">1.25*AJ297*AM297</f>
        <v>0</v>
      </c>
      <c r="AY297" s="322" t="n">
        <f aca="false">1.25*AK297*AN297</f>
        <v>0</v>
      </c>
      <c r="AZ297" s="323" t="n">
        <f aca="false">AG297*AP297</f>
        <v>0</v>
      </c>
      <c r="BA297" s="319" t="n">
        <f aca="false">AH297*AQ297</f>
        <v>0</v>
      </c>
      <c r="BB297" s="320" t="n">
        <f aca="false">1.25*AJ297*AP297</f>
        <v>0</v>
      </c>
      <c r="BC297" s="320" t="n">
        <f aca="false">1.25*AK297*AQ297</f>
        <v>0</v>
      </c>
      <c r="BD297" s="321" t="n">
        <f aca="false">AG297*AS297</f>
        <v>0</v>
      </c>
      <c r="BE297" s="319" t="n">
        <f aca="false">AH297*AT297</f>
        <v>0</v>
      </c>
      <c r="BF297" s="320" t="n">
        <f aca="false">AJ297*AS297</f>
        <v>0</v>
      </c>
      <c r="BG297" s="322" t="n">
        <f aca="false">AK297*AT297</f>
        <v>0</v>
      </c>
      <c r="BH297" s="324" t="str">
        <f aca="false">IF(BH$24=$AA297,($AG297*$AM297)+($AJ297*$AM297*1.25)+($AH297*$AN297)+($AK297*$AN297*1.25),"")</f>
        <v/>
      </c>
      <c r="BI297" s="325" t="str">
        <f aca="false">IF(BI$24=$AA297,($AG297*$AM297)+($AJ297*$AM297*1.25)+($AH297*$AN297)+($AK297*$AN297*1.25),"")</f>
        <v/>
      </c>
      <c r="BJ297" s="325" t="str">
        <f aca="false">IF(BJ$24=$AA297,($AG297*$AM297)+($AJ297*$AM297*1.25)+($AH297*$AN297)+($AK297*$AN297*1.25),"")</f>
        <v/>
      </c>
      <c r="BK297" s="325" t="str">
        <f aca="false">IF(BK$24=$AA297,($AG297*$AM297)+($AJ297*$AM297*1.25)+($AH297*$AN297)+($AK297*$AN297*1.25),"")</f>
        <v/>
      </c>
      <c r="BL297" s="326" t="n">
        <f aca="false">IF(BL$24=$AA297,($AG297*$AM297)+($AJ297*$AM297*1.25)+($AH297*$AN297)+($AK297*$AN297*1.25),"")</f>
        <v>0</v>
      </c>
      <c r="BM297" s="327" t="str">
        <f aca="false">IF(CONCATENATE(BH297,BI297,BJ297,BK297,BL297)="",1,"")</f>
        <v/>
      </c>
      <c r="BN297" s="328"/>
      <c r="BO297" s="328"/>
      <c r="BP297" s="328"/>
      <c r="BQ297" s="328"/>
      <c r="BR297" s="47"/>
      <c r="BS297" s="127" t="n">
        <f aca="false">(AG297*AM297)+(AH297*AN297)+((AJ297*AM297)+(AK297*AN297)*1.25)</f>
        <v>0</v>
      </c>
      <c r="BT297" s="127" t="n">
        <f aca="false">(AG297*AP297)+(AH297*AQ297)+((AJ297*AP297)+(AK297*AQ297)*1.25)</f>
        <v>0</v>
      </c>
      <c r="BU297" s="329"/>
      <c r="BV297" s="129"/>
    </row>
    <row r="298" customFormat="false" ht="15" hidden="false" customHeight="false" outlineLevel="0" collapsed="false">
      <c r="A298" s="228"/>
      <c r="B298" s="229"/>
      <c r="C298" s="230"/>
      <c r="D298" s="231"/>
      <c r="E298" s="223" t="str">
        <f aca="false">IF(SUM(A298:D298)&gt;0,SUM(A298:D298),"")</f>
        <v/>
      </c>
      <c r="F298" s="224" t="str">
        <f aca="false">AD311</f>
        <v>ESPLIEGO</v>
      </c>
      <c r="G298" s="169"/>
      <c r="H298" s="169"/>
      <c r="I298" s="169"/>
      <c r="J298" s="169"/>
      <c r="K298" s="169"/>
      <c r="L298" s="169"/>
      <c r="M298" s="169"/>
      <c r="N298" s="169"/>
      <c r="O298" s="169"/>
      <c r="P298" s="169"/>
      <c r="Q298" s="169"/>
      <c r="R298" s="3"/>
      <c r="S298" s="3"/>
      <c r="T298" s="3"/>
      <c r="U298" s="3"/>
      <c r="V298" s="3"/>
      <c r="W298" s="3"/>
      <c r="X298" s="3"/>
      <c r="Y298" s="3"/>
      <c r="Z298" s="316" t="str">
        <f aca="false">IF(AF298&gt;0,RANK(AF298,AF$6:AF$422),"")</f>
        <v/>
      </c>
      <c r="AA298" s="134" t="n">
        <f aca="false">'O_MN, PE_UTA_UGM 2024'!N275</f>
        <v>5</v>
      </c>
      <c r="AB298" s="135" t="n">
        <f aca="false">'O_MN, PE_UTA_UGM 2024'!O275</f>
        <v>0</v>
      </c>
      <c r="AC298" s="317" t="n">
        <f aca="false">'O_MN, PE_UTA_UGM 2024'!C275</f>
        <v>274</v>
      </c>
      <c r="AD298" s="293" t="str">
        <f aca="false">IF(AB298=0,'O_MN, PE_UTA_UGM 2024'!F275,CONCATENATE('O_MN, PE_UTA_UGM 2024'!F275," ","INVERNADERO"))</f>
        <v>ESTEVIA</v>
      </c>
      <c r="AE298" s="89"/>
      <c r="AF298" s="123" t="n">
        <f aca="false">SUM(AG298:AH298)+SUM(AJ298:AK298)</f>
        <v>0</v>
      </c>
      <c r="AG298" s="318" t="n">
        <f aca="false">A285</f>
        <v>0</v>
      </c>
      <c r="AH298" s="319" t="n">
        <f aca="false">B285</f>
        <v>0</v>
      </c>
      <c r="AI298" s="6"/>
      <c r="AJ298" s="320" t="n">
        <f aca="false">C285</f>
        <v>0</v>
      </c>
      <c r="AK298" s="320" t="n">
        <f aca="false">D285</f>
        <v>0</v>
      </c>
      <c r="AL298" s="237" t="s">
        <v>424</v>
      </c>
      <c r="AM298" s="299" t="n">
        <f aca="false">'O_MN, PE_UTA_UGM 2024'!J275</f>
        <v>1000</v>
      </c>
      <c r="AN298" s="299" t="n">
        <f aca="false">'O_MN, PE_UTA_UGM 2024'!K275</f>
        <v>3800</v>
      </c>
      <c r="AO298" s="300"/>
      <c r="AP298" s="299" t="n">
        <f aca="false">'O_MN, PE_UTA_UGM 2024'!H275</f>
        <v>114.19</v>
      </c>
      <c r="AQ298" s="299" t="n">
        <f aca="false">'O_MN, PE_UTA_UGM 2024'!I275</f>
        <v>240.4</v>
      </c>
      <c r="AR298" s="301"/>
      <c r="AS298" s="302" t="n">
        <f aca="false">'O_MN, PE_UTA_UGM 2024'!L275</f>
        <v>0.00465</v>
      </c>
      <c r="AT298" s="302" t="n">
        <f aca="false">'O_MN, PE_UTA_UGM 2024'!M275</f>
        <v>0.0098</v>
      </c>
      <c r="AU298" s="45"/>
      <c r="AV298" s="321" t="n">
        <f aca="false">AG298*AM298</f>
        <v>0</v>
      </c>
      <c r="AW298" s="319" t="n">
        <f aca="false">AH298*AN298</f>
        <v>0</v>
      </c>
      <c r="AX298" s="320" t="n">
        <f aca="false">1.25*AJ298*AM298</f>
        <v>0</v>
      </c>
      <c r="AY298" s="322" t="n">
        <f aca="false">1.25*AK298*AN298</f>
        <v>0</v>
      </c>
      <c r="AZ298" s="323" t="n">
        <f aca="false">AG298*AP298</f>
        <v>0</v>
      </c>
      <c r="BA298" s="319" t="n">
        <f aca="false">AH298*AQ298</f>
        <v>0</v>
      </c>
      <c r="BB298" s="320" t="n">
        <f aca="false">1.25*AJ298*AP298</f>
        <v>0</v>
      </c>
      <c r="BC298" s="320" t="n">
        <f aca="false">1.25*AK298*AQ298</f>
        <v>0</v>
      </c>
      <c r="BD298" s="321" t="n">
        <f aca="false">AG298*AS298</f>
        <v>0</v>
      </c>
      <c r="BE298" s="319" t="n">
        <f aca="false">AH298*AT298</f>
        <v>0</v>
      </c>
      <c r="BF298" s="320" t="n">
        <f aca="false">AJ298*AS298</f>
        <v>0</v>
      </c>
      <c r="BG298" s="322" t="n">
        <f aca="false">AK298*AT298</f>
        <v>0</v>
      </c>
      <c r="BH298" s="324" t="str">
        <f aca="false">IF(BH$24=$AA298,($AG298*$AM298)+($AJ298*$AM298*1.25)+($AH298*$AN298)+($AK298*$AN298*1.25),"")</f>
        <v/>
      </c>
      <c r="BI298" s="325" t="str">
        <f aca="false">IF(BI$24=$AA298,($AG298*$AM298)+($AJ298*$AM298*1.25)+($AH298*$AN298)+($AK298*$AN298*1.25),"")</f>
        <v/>
      </c>
      <c r="BJ298" s="325" t="str">
        <f aca="false">IF(BJ$24=$AA298,($AG298*$AM298)+($AJ298*$AM298*1.25)+($AH298*$AN298)+($AK298*$AN298*1.25),"")</f>
        <v/>
      </c>
      <c r="BK298" s="325" t="str">
        <f aca="false">IF(BK$24=$AA298,($AG298*$AM298)+($AJ298*$AM298*1.25)+($AH298*$AN298)+($AK298*$AN298*1.25),"")</f>
        <v/>
      </c>
      <c r="BL298" s="326" t="n">
        <f aca="false">IF(BL$24=$AA298,($AG298*$AM298)+($AJ298*$AM298*1.25)+($AH298*$AN298)+($AK298*$AN298*1.25),"")</f>
        <v>0</v>
      </c>
      <c r="BM298" s="327" t="str">
        <f aca="false">IF(CONCATENATE(BH298,BI298,BJ298,BK298,BL298)="",1,"")</f>
        <v/>
      </c>
      <c r="BN298" s="328"/>
      <c r="BO298" s="328"/>
      <c r="BP298" s="328"/>
      <c r="BQ298" s="328"/>
      <c r="BR298" s="47"/>
      <c r="BS298" s="127" t="n">
        <f aca="false">(AG298*AM298)+(AH298*AN298)+((AJ298*AM298)+(AK298*AN298)*1.25)</f>
        <v>0</v>
      </c>
      <c r="BT298" s="127" t="n">
        <f aca="false">(AG298*AP298)+(AH298*AQ298)+((AJ298*AP298)+(AK298*AQ298)*1.25)</f>
        <v>0</v>
      </c>
      <c r="BU298" s="329"/>
      <c r="BV298" s="129"/>
    </row>
    <row r="299" customFormat="false" ht="15" hidden="false" customHeight="false" outlineLevel="0" collapsed="false">
      <c r="A299" s="228"/>
      <c r="B299" s="229"/>
      <c r="C299" s="230"/>
      <c r="D299" s="231"/>
      <c r="E299" s="223" t="str">
        <f aca="false">IF(SUM(A299:D299)&gt;0,SUM(A299:D299),"")</f>
        <v/>
      </c>
      <c r="F299" s="224" t="str">
        <f aca="false">AD312</f>
        <v>HELICRISO</v>
      </c>
      <c r="G299" s="169"/>
      <c r="H299" s="169"/>
      <c r="I299" s="169"/>
      <c r="J299" s="169"/>
      <c r="K299" s="169"/>
      <c r="L299" s="169"/>
      <c r="M299" s="169"/>
      <c r="N299" s="169"/>
      <c r="O299" s="169"/>
      <c r="P299" s="169"/>
      <c r="Q299" s="169"/>
      <c r="R299" s="3"/>
      <c r="S299" s="3"/>
      <c r="T299" s="3"/>
      <c r="U299" s="3"/>
      <c r="V299" s="3"/>
      <c r="W299" s="3"/>
      <c r="X299" s="3"/>
      <c r="Y299" s="3"/>
      <c r="Z299" s="316" t="str">
        <f aca="false">IF(AF299&gt;0,RANK(AF299,AF$6:AF$422),"")</f>
        <v/>
      </c>
      <c r="AA299" s="134" t="n">
        <f aca="false">'O_MN, PE_UTA_UGM 2024'!N276</f>
        <v>5</v>
      </c>
      <c r="AB299" s="135" t="n">
        <f aca="false">'O_MN, PE_UTA_UGM 2024'!O276</f>
        <v>0</v>
      </c>
      <c r="AC299" s="317" t="n">
        <f aca="false">'O_MN, PE_UTA_UGM 2024'!C276</f>
        <v>275</v>
      </c>
      <c r="AD299" s="293" t="str">
        <f aca="false">IF(AB299=0,'O_MN, PE_UTA_UGM 2024'!F276,CONCATENATE('O_MN, PE_UTA_UGM 2024'!F276," ","INVERNADERO"))</f>
        <v>HIPÉRICO</v>
      </c>
      <c r="AE299" s="89"/>
      <c r="AF299" s="123" t="n">
        <f aca="false">SUM(AG299:AH299)+SUM(AJ299:AK299)</f>
        <v>0</v>
      </c>
      <c r="AG299" s="318" t="n">
        <f aca="false">A286</f>
        <v>0</v>
      </c>
      <c r="AH299" s="319" t="n">
        <f aca="false">B286</f>
        <v>0</v>
      </c>
      <c r="AI299" s="6"/>
      <c r="AJ299" s="320" t="n">
        <f aca="false">C286</f>
        <v>0</v>
      </c>
      <c r="AK299" s="320" t="n">
        <f aca="false">D286</f>
        <v>0</v>
      </c>
      <c r="AL299" s="237" t="s">
        <v>425</v>
      </c>
      <c r="AM299" s="299" t="n">
        <f aca="false">'O_MN, PE_UTA_UGM 2024'!J276</f>
        <v>1000</v>
      </c>
      <c r="AN299" s="299" t="n">
        <f aca="false">'O_MN, PE_UTA_UGM 2024'!K276</f>
        <v>3800</v>
      </c>
      <c r="AO299" s="300"/>
      <c r="AP299" s="299" t="n">
        <f aca="false">'O_MN, PE_UTA_UGM 2024'!H276</f>
        <v>114.19</v>
      </c>
      <c r="AQ299" s="299" t="n">
        <f aca="false">'O_MN, PE_UTA_UGM 2024'!I276</f>
        <v>240.4</v>
      </c>
      <c r="AR299" s="301"/>
      <c r="AS299" s="302" t="n">
        <f aca="false">'O_MN, PE_UTA_UGM 2024'!L276</f>
        <v>0.00465</v>
      </c>
      <c r="AT299" s="302" t="n">
        <f aca="false">'O_MN, PE_UTA_UGM 2024'!M276</f>
        <v>0.0098</v>
      </c>
      <c r="AU299" s="45"/>
      <c r="AV299" s="321" t="n">
        <f aca="false">AG299*AM299</f>
        <v>0</v>
      </c>
      <c r="AW299" s="319" t="n">
        <f aca="false">AH299*AN299</f>
        <v>0</v>
      </c>
      <c r="AX299" s="320" t="n">
        <f aca="false">1.25*AJ299*AM299</f>
        <v>0</v>
      </c>
      <c r="AY299" s="322" t="n">
        <f aca="false">1.25*AK299*AN299</f>
        <v>0</v>
      </c>
      <c r="AZ299" s="323" t="n">
        <f aca="false">AG299*AP299</f>
        <v>0</v>
      </c>
      <c r="BA299" s="319" t="n">
        <f aca="false">AH299*AQ299</f>
        <v>0</v>
      </c>
      <c r="BB299" s="320" t="n">
        <f aca="false">1.25*AJ299*AP299</f>
        <v>0</v>
      </c>
      <c r="BC299" s="320" t="n">
        <f aca="false">1.25*AK299*AQ299</f>
        <v>0</v>
      </c>
      <c r="BD299" s="321" t="n">
        <f aca="false">AG299*AS299</f>
        <v>0</v>
      </c>
      <c r="BE299" s="319" t="n">
        <f aca="false">AH299*AT299</f>
        <v>0</v>
      </c>
      <c r="BF299" s="320" t="n">
        <f aca="false">AJ299*AS299</f>
        <v>0</v>
      </c>
      <c r="BG299" s="322" t="n">
        <f aca="false">AK299*AT299</f>
        <v>0</v>
      </c>
      <c r="BH299" s="324" t="str">
        <f aca="false">IF(BH$24=$AA299,($AG299*$AM299)+($AJ299*$AM299*1.25)+($AH299*$AN299)+($AK299*$AN299*1.25),"")</f>
        <v/>
      </c>
      <c r="BI299" s="325" t="str">
        <f aca="false">IF(BI$24=$AA299,($AG299*$AM299)+($AJ299*$AM299*1.25)+($AH299*$AN299)+($AK299*$AN299*1.25),"")</f>
        <v/>
      </c>
      <c r="BJ299" s="325" t="str">
        <f aca="false">IF(BJ$24=$AA299,($AG299*$AM299)+($AJ299*$AM299*1.25)+($AH299*$AN299)+($AK299*$AN299*1.25),"")</f>
        <v/>
      </c>
      <c r="BK299" s="325" t="str">
        <f aca="false">IF(BK$24=$AA299,($AG299*$AM299)+($AJ299*$AM299*1.25)+($AH299*$AN299)+($AK299*$AN299*1.25),"")</f>
        <v/>
      </c>
      <c r="BL299" s="326" t="n">
        <f aca="false">IF(BL$24=$AA299,($AG299*$AM299)+($AJ299*$AM299*1.25)+($AH299*$AN299)+($AK299*$AN299*1.25),"")</f>
        <v>0</v>
      </c>
      <c r="BM299" s="327" t="str">
        <f aca="false">IF(CONCATENATE(BH299,BI299,BJ299,BK299,BL299)="",1,"")</f>
        <v/>
      </c>
      <c r="BN299" s="328"/>
      <c r="BO299" s="328"/>
      <c r="BP299" s="328"/>
      <c r="BQ299" s="328"/>
      <c r="BR299" s="47"/>
      <c r="BS299" s="127" t="n">
        <f aca="false">(AG299*AM299)+(AH299*AN299)+((AJ299*AM299)+(AK299*AN299)*1.25)</f>
        <v>0</v>
      </c>
      <c r="BT299" s="127" t="n">
        <f aca="false">(AG299*AP299)+(AH299*AQ299)+((AJ299*AP299)+(AK299*AQ299)*1.25)</f>
        <v>0</v>
      </c>
      <c r="BU299" s="329"/>
      <c r="BV299" s="129"/>
    </row>
    <row r="300" customFormat="false" ht="15" hidden="false" customHeight="false" outlineLevel="0" collapsed="false">
      <c r="A300" s="228"/>
      <c r="B300" s="229"/>
      <c r="C300" s="230"/>
      <c r="D300" s="231"/>
      <c r="E300" s="223" t="str">
        <f aca="false">IF(SUM(A300:D300)&gt;0,SUM(A300:D300),"")</f>
        <v/>
      </c>
      <c r="F300" s="224" t="str">
        <f aca="false">AD313</f>
        <v>HIERBALUISA</v>
      </c>
      <c r="G300" s="169"/>
      <c r="H300" s="169"/>
      <c r="I300" s="169"/>
      <c r="J300" s="169"/>
      <c r="K300" s="169"/>
      <c r="L300" s="169"/>
      <c r="M300" s="169"/>
      <c r="N300" s="169"/>
      <c r="O300" s="169"/>
      <c r="P300" s="169"/>
      <c r="Q300" s="169"/>
      <c r="R300" s="3"/>
      <c r="S300" s="3"/>
      <c r="T300" s="3"/>
      <c r="U300" s="3"/>
      <c r="V300" s="3"/>
      <c r="W300" s="3"/>
      <c r="X300" s="3"/>
      <c r="Y300" s="3"/>
      <c r="Z300" s="316" t="str">
        <f aca="false">IF(AF300&gt;0,RANK(AF300,AF$6:AF$422),"")</f>
        <v/>
      </c>
      <c r="AA300" s="134" t="n">
        <f aca="false">'O_MN, PE_UTA_UGM 2024'!N277</f>
        <v>5</v>
      </c>
      <c r="AB300" s="135" t="n">
        <f aca="false">'O_MN, PE_UTA_UGM 2024'!O277</f>
        <v>0</v>
      </c>
      <c r="AC300" s="317" t="n">
        <f aca="false">'O_MN, PE_UTA_UGM 2024'!C277</f>
        <v>276</v>
      </c>
      <c r="AD300" s="293" t="str">
        <f aca="false">IF(AB300=0,'O_MN, PE_UTA_UGM 2024'!F277,CONCATENATE('O_MN, PE_UTA_UGM 2024'!F277," ","INVERNADERO"))</f>
        <v>HIERBABUENA</v>
      </c>
      <c r="AE300" s="89"/>
      <c r="AF300" s="123" t="n">
        <f aca="false">SUM(AG300:AH300)+SUM(AJ300:AK300)</f>
        <v>0</v>
      </c>
      <c r="AG300" s="318" t="n">
        <f aca="false">A287</f>
        <v>0</v>
      </c>
      <c r="AH300" s="319" t="n">
        <f aca="false">B287</f>
        <v>0</v>
      </c>
      <c r="AI300" s="6"/>
      <c r="AJ300" s="320" t="n">
        <f aca="false">C287</f>
        <v>0</v>
      </c>
      <c r="AK300" s="320" t="n">
        <f aca="false">D287</f>
        <v>0</v>
      </c>
      <c r="AL300" s="237" t="s">
        <v>426</v>
      </c>
      <c r="AM300" s="299" t="n">
        <f aca="false">'O_MN, PE_UTA_UGM 2024'!J277</f>
        <v>1000</v>
      </c>
      <c r="AN300" s="299" t="n">
        <f aca="false">'O_MN, PE_UTA_UGM 2024'!K277</f>
        <v>3800</v>
      </c>
      <c r="AO300" s="300"/>
      <c r="AP300" s="299" t="n">
        <f aca="false">'O_MN, PE_UTA_UGM 2024'!H277</f>
        <v>114.19</v>
      </c>
      <c r="AQ300" s="299" t="n">
        <f aca="false">'O_MN, PE_UTA_UGM 2024'!I277</f>
        <v>240.4</v>
      </c>
      <c r="AR300" s="301"/>
      <c r="AS300" s="302" t="n">
        <f aca="false">'O_MN, PE_UTA_UGM 2024'!L277</f>
        <v>0.00465</v>
      </c>
      <c r="AT300" s="302" t="n">
        <f aca="false">'O_MN, PE_UTA_UGM 2024'!M277</f>
        <v>0.0098</v>
      </c>
      <c r="AU300" s="45"/>
      <c r="AV300" s="321" t="n">
        <f aca="false">AG300*AM300</f>
        <v>0</v>
      </c>
      <c r="AW300" s="319" t="n">
        <f aca="false">AH300*AN300</f>
        <v>0</v>
      </c>
      <c r="AX300" s="320" t="n">
        <f aca="false">1.25*AJ300*AM300</f>
        <v>0</v>
      </c>
      <c r="AY300" s="322" t="n">
        <f aca="false">1.25*AK300*AN300</f>
        <v>0</v>
      </c>
      <c r="AZ300" s="323" t="n">
        <f aca="false">AG300*AP300</f>
        <v>0</v>
      </c>
      <c r="BA300" s="319" t="n">
        <f aca="false">AH300*AQ300</f>
        <v>0</v>
      </c>
      <c r="BB300" s="320" t="n">
        <f aca="false">1.25*AJ300*AP300</f>
        <v>0</v>
      </c>
      <c r="BC300" s="320" t="n">
        <f aca="false">1.25*AK300*AQ300</f>
        <v>0</v>
      </c>
      <c r="BD300" s="321" t="n">
        <f aca="false">AG300*AS300</f>
        <v>0</v>
      </c>
      <c r="BE300" s="319" t="n">
        <f aca="false">AH300*AT300</f>
        <v>0</v>
      </c>
      <c r="BF300" s="320" t="n">
        <f aca="false">AJ300*AS300</f>
        <v>0</v>
      </c>
      <c r="BG300" s="322" t="n">
        <f aca="false">AK300*AT300</f>
        <v>0</v>
      </c>
      <c r="BH300" s="324" t="str">
        <f aca="false">IF(BH$24=$AA300,($AG300*$AM300)+($AJ300*$AM300*1.25)+($AH300*$AN300)+($AK300*$AN300*1.25),"")</f>
        <v/>
      </c>
      <c r="BI300" s="325" t="str">
        <f aca="false">IF(BI$24=$AA300,($AG300*$AM300)+($AJ300*$AM300*1.25)+($AH300*$AN300)+($AK300*$AN300*1.25),"")</f>
        <v/>
      </c>
      <c r="BJ300" s="325" t="str">
        <f aca="false">IF(BJ$24=$AA300,($AG300*$AM300)+($AJ300*$AM300*1.25)+($AH300*$AN300)+($AK300*$AN300*1.25),"")</f>
        <v/>
      </c>
      <c r="BK300" s="325" t="str">
        <f aca="false">IF(BK$24=$AA300,($AG300*$AM300)+($AJ300*$AM300*1.25)+($AH300*$AN300)+($AK300*$AN300*1.25),"")</f>
        <v/>
      </c>
      <c r="BL300" s="326" t="n">
        <f aca="false">IF(BL$24=$AA300,($AG300*$AM300)+($AJ300*$AM300*1.25)+($AH300*$AN300)+($AK300*$AN300*1.25),"")</f>
        <v>0</v>
      </c>
      <c r="BM300" s="327" t="str">
        <f aca="false">IF(CONCATENATE(BH300,BI300,BJ300,BK300,BL300)="",1,"")</f>
        <v/>
      </c>
      <c r="BN300" s="328"/>
      <c r="BO300" s="328"/>
      <c r="BP300" s="328"/>
      <c r="BQ300" s="328"/>
      <c r="BR300" s="47"/>
      <c r="BS300" s="127" t="n">
        <f aca="false">(AG300*AM300)+(AH300*AN300)+((AJ300*AM300)+(AK300*AN300)*1.25)</f>
        <v>0</v>
      </c>
      <c r="BT300" s="127" t="n">
        <f aca="false">(AG300*AP300)+(AH300*AQ300)+((AJ300*AP300)+(AK300*AQ300)*1.25)</f>
        <v>0</v>
      </c>
      <c r="BU300" s="329"/>
      <c r="BV300" s="129"/>
    </row>
    <row r="301" customFormat="false" ht="15" hidden="false" customHeight="false" outlineLevel="0" collapsed="false">
      <c r="A301" s="228"/>
      <c r="B301" s="229"/>
      <c r="C301" s="230"/>
      <c r="D301" s="231"/>
      <c r="E301" s="223" t="str">
        <f aca="false">IF(SUM(A301:D301)&gt;0,SUM(A301:D301),"")</f>
        <v/>
      </c>
      <c r="F301" s="224" t="str">
        <f aca="false">AD314</f>
        <v>ROMERO</v>
      </c>
      <c r="G301" s="169"/>
      <c r="H301" s="169"/>
      <c r="I301" s="169"/>
      <c r="J301" s="169"/>
      <c r="K301" s="169"/>
      <c r="L301" s="169"/>
      <c r="M301" s="169"/>
      <c r="N301" s="169"/>
      <c r="O301" s="169"/>
      <c r="P301" s="169"/>
      <c r="Q301" s="169"/>
      <c r="R301" s="3"/>
      <c r="S301" s="3"/>
      <c r="T301" s="3"/>
      <c r="U301" s="3"/>
      <c r="V301" s="3"/>
      <c r="W301" s="3"/>
      <c r="X301" s="3"/>
      <c r="Y301" s="3"/>
      <c r="Z301" s="316" t="str">
        <f aca="false">IF(AF301&gt;0,RANK(AF301,AF$6:AF$422),"")</f>
        <v/>
      </c>
      <c r="AA301" s="134" t="n">
        <f aca="false">'O_MN, PE_UTA_UGM 2024'!N278</f>
        <v>5</v>
      </c>
      <c r="AB301" s="135" t="n">
        <f aca="false">'O_MN, PE_UTA_UGM 2024'!O278</f>
        <v>0</v>
      </c>
      <c r="AC301" s="317" t="n">
        <f aca="false">'O_MN, PE_UTA_UGM 2024'!C278</f>
        <v>277</v>
      </c>
      <c r="AD301" s="293" t="str">
        <f aca="false">IF(AB301=0,'O_MN, PE_UTA_UGM 2024'!F278,CONCATENATE('O_MN, PE_UTA_UGM 2024'!F278," ","INVERNADERO"))</f>
        <v>VERBENA</v>
      </c>
      <c r="AE301" s="89"/>
      <c r="AF301" s="123" t="n">
        <f aca="false">SUM(AG301:AH301)+SUM(AJ301:AK301)</f>
        <v>0</v>
      </c>
      <c r="AG301" s="318" t="n">
        <f aca="false">A288</f>
        <v>0</v>
      </c>
      <c r="AH301" s="319" t="n">
        <f aca="false">B288</f>
        <v>0</v>
      </c>
      <c r="AI301" s="6"/>
      <c r="AJ301" s="320" t="n">
        <f aca="false">C288</f>
        <v>0</v>
      </c>
      <c r="AK301" s="320" t="n">
        <f aca="false">D288</f>
        <v>0</v>
      </c>
      <c r="AL301" s="237" t="s">
        <v>427</v>
      </c>
      <c r="AM301" s="299" t="n">
        <f aca="false">'O_MN, PE_UTA_UGM 2024'!J278</f>
        <v>1000</v>
      </c>
      <c r="AN301" s="299" t="n">
        <f aca="false">'O_MN, PE_UTA_UGM 2024'!K278</f>
        <v>3800</v>
      </c>
      <c r="AO301" s="300"/>
      <c r="AP301" s="299" t="n">
        <f aca="false">'O_MN, PE_UTA_UGM 2024'!H278</f>
        <v>114.19</v>
      </c>
      <c r="AQ301" s="299" t="n">
        <f aca="false">'O_MN, PE_UTA_UGM 2024'!I278</f>
        <v>240.4</v>
      </c>
      <c r="AR301" s="301"/>
      <c r="AS301" s="302" t="n">
        <f aca="false">'O_MN, PE_UTA_UGM 2024'!L278</f>
        <v>0.00465</v>
      </c>
      <c r="AT301" s="302" t="n">
        <f aca="false">'O_MN, PE_UTA_UGM 2024'!M278</f>
        <v>0.0098</v>
      </c>
      <c r="AU301" s="45"/>
      <c r="AV301" s="321" t="n">
        <f aca="false">AG301*AM301</f>
        <v>0</v>
      </c>
      <c r="AW301" s="319" t="n">
        <f aca="false">AH301*AN301</f>
        <v>0</v>
      </c>
      <c r="AX301" s="320" t="n">
        <f aca="false">1.25*AJ301*AM301</f>
        <v>0</v>
      </c>
      <c r="AY301" s="322" t="n">
        <f aca="false">1.25*AK301*AN301</f>
        <v>0</v>
      </c>
      <c r="AZ301" s="323" t="n">
        <f aca="false">AG301*AP301</f>
        <v>0</v>
      </c>
      <c r="BA301" s="319" t="n">
        <f aca="false">AH301*AQ301</f>
        <v>0</v>
      </c>
      <c r="BB301" s="320" t="n">
        <f aca="false">1.25*AJ301*AP301</f>
        <v>0</v>
      </c>
      <c r="BC301" s="320" t="n">
        <f aca="false">1.25*AK301*AQ301</f>
        <v>0</v>
      </c>
      <c r="BD301" s="321" t="n">
        <f aca="false">AG301*AS301</f>
        <v>0</v>
      </c>
      <c r="BE301" s="319" t="n">
        <f aca="false">AH301*AT301</f>
        <v>0</v>
      </c>
      <c r="BF301" s="320" t="n">
        <f aca="false">AJ301*AS301</f>
        <v>0</v>
      </c>
      <c r="BG301" s="322" t="n">
        <f aca="false">AK301*AT301</f>
        <v>0</v>
      </c>
      <c r="BH301" s="324" t="str">
        <f aca="false">IF(BH$24=$AA301,($AG301*$AM301)+($AJ301*$AM301*1.25)+($AH301*$AN301)+($AK301*$AN301*1.25),"")</f>
        <v/>
      </c>
      <c r="BI301" s="325" t="str">
        <f aca="false">IF(BI$24=$AA301,($AG301*$AM301)+($AJ301*$AM301*1.25)+($AH301*$AN301)+($AK301*$AN301*1.25),"")</f>
        <v/>
      </c>
      <c r="BJ301" s="325" t="str">
        <f aca="false">IF(BJ$24=$AA301,($AG301*$AM301)+($AJ301*$AM301*1.25)+($AH301*$AN301)+($AK301*$AN301*1.25),"")</f>
        <v/>
      </c>
      <c r="BK301" s="325" t="str">
        <f aca="false">IF(BK$24=$AA301,($AG301*$AM301)+($AJ301*$AM301*1.25)+($AH301*$AN301)+($AK301*$AN301*1.25),"")</f>
        <v/>
      </c>
      <c r="BL301" s="326" t="n">
        <f aca="false">IF(BL$24=$AA301,($AG301*$AM301)+($AJ301*$AM301*1.25)+($AH301*$AN301)+($AK301*$AN301*1.25),"")</f>
        <v>0</v>
      </c>
      <c r="BM301" s="327" t="str">
        <f aca="false">IF(CONCATENATE(BH301,BI301,BJ301,BK301,BL301)="",1,"")</f>
        <v/>
      </c>
      <c r="BN301" s="328"/>
      <c r="BO301" s="328"/>
      <c r="BP301" s="328"/>
      <c r="BQ301" s="328"/>
      <c r="BR301" s="47"/>
      <c r="BS301" s="127" t="n">
        <f aca="false">(AG301*AM301)+(AH301*AN301)+((AJ301*AM301)+(AK301*AN301)*1.25)</f>
        <v>0</v>
      </c>
      <c r="BT301" s="127" t="n">
        <f aca="false">(AG301*AP301)+(AH301*AQ301)+((AJ301*AP301)+(AK301*AQ301)*1.25)</f>
        <v>0</v>
      </c>
      <c r="BU301" s="329"/>
      <c r="BV301" s="129"/>
    </row>
    <row r="302" customFormat="false" ht="15" hidden="false" customHeight="false" outlineLevel="0" collapsed="false">
      <c r="A302" s="228"/>
      <c r="B302" s="229"/>
      <c r="C302" s="230"/>
      <c r="D302" s="231"/>
      <c r="E302" s="223" t="str">
        <f aca="false">IF(SUM(A302:D302)&gt;0,SUM(A302:D302),"")</f>
        <v/>
      </c>
      <c r="F302" s="224" t="str">
        <f aca="false">AD315</f>
        <v>SANTOLINA</v>
      </c>
      <c r="G302" s="169"/>
      <c r="H302" s="169"/>
      <c r="I302" s="169"/>
      <c r="J302" s="169"/>
      <c r="K302" s="169"/>
      <c r="L302" s="169"/>
      <c r="M302" s="169"/>
      <c r="N302" s="169"/>
      <c r="O302" s="169"/>
      <c r="P302" s="169"/>
      <c r="Q302" s="169"/>
      <c r="R302" s="3"/>
      <c r="S302" s="3"/>
      <c r="T302" s="3"/>
      <c r="U302" s="3"/>
      <c r="V302" s="3"/>
      <c r="W302" s="3"/>
      <c r="X302" s="3"/>
      <c r="Y302" s="3"/>
      <c r="Z302" s="316" t="str">
        <f aca="false">IF(AF302&gt;0,RANK(AF302,AF$6:AF$422),"")</f>
        <v/>
      </c>
      <c r="AA302" s="134" t="n">
        <f aca="false">'O_MN, PE_UTA_UGM 2024'!N279</f>
        <v>2</v>
      </c>
      <c r="AB302" s="135" t="n">
        <f aca="false">'O_MN, PE_UTA_UGM 2024'!O279</f>
        <v>0</v>
      </c>
      <c r="AC302" s="317" t="n">
        <f aca="false">'O_MN, PE_UTA_UGM 2024'!C279</f>
        <v>278</v>
      </c>
      <c r="AD302" s="293" t="str">
        <f aca="false">IF(AB302=0,'O_MN, PE_UTA_UGM 2024'!F279,CONCATENATE('O_MN, PE_UTA_UGM 2024'!F279," ","INVERNADERO"))</f>
        <v>FRUTOS DEL BOSQUE</v>
      </c>
      <c r="AE302" s="89"/>
      <c r="AF302" s="123" t="n">
        <f aca="false">SUM(AG302:AH302)+SUM(AJ302:AK302)</f>
        <v>0</v>
      </c>
      <c r="AG302" s="318" t="n">
        <f aca="false">A289</f>
        <v>0</v>
      </c>
      <c r="AH302" s="319" t="n">
        <f aca="false">B289</f>
        <v>0</v>
      </c>
      <c r="AI302" s="6"/>
      <c r="AJ302" s="320" t="n">
        <f aca="false">C289</f>
        <v>0</v>
      </c>
      <c r="AK302" s="320" t="n">
        <f aca="false">D289</f>
        <v>0</v>
      </c>
      <c r="AL302" s="237" t="s">
        <v>428</v>
      </c>
      <c r="AM302" s="299" t="n">
        <f aca="false">'O_MN, PE_UTA_UGM 2024'!J279</f>
        <v>1000</v>
      </c>
      <c r="AN302" s="299" t="n">
        <f aca="false">'O_MN, PE_UTA_UGM 2024'!K279</f>
        <v>3800</v>
      </c>
      <c r="AO302" s="300"/>
      <c r="AP302" s="299" t="n">
        <f aca="false">'O_MN, PE_UTA_UGM 2024'!H279</f>
        <v>450.76</v>
      </c>
      <c r="AQ302" s="299" t="n">
        <f aca="false">'O_MN, PE_UTA_UGM 2024'!I279</f>
        <v>721.21</v>
      </c>
      <c r="AR302" s="301"/>
      <c r="AS302" s="302" t="n">
        <f aca="false">'O_MN, PE_UTA_UGM 2024'!L279</f>
        <v>0.01837</v>
      </c>
      <c r="AT302" s="302" t="n">
        <f aca="false">'O_MN, PE_UTA_UGM 2024'!M279</f>
        <v>0.0294</v>
      </c>
      <c r="AU302" s="45"/>
      <c r="AV302" s="321" t="n">
        <f aca="false">AG302*AM302</f>
        <v>0</v>
      </c>
      <c r="AW302" s="319" t="n">
        <f aca="false">AH302*AN302</f>
        <v>0</v>
      </c>
      <c r="AX302" s="320" t="n">
        <f aca="false">1.25*AJ302*AM302</f>
        <v>0</v>
      </c>
      <c r="AY302" s="322" t="n">
        <f aca="false">1.25*AK302*AN302</f>
        <v>0</v>
      </c>
      <c r="AZ302" s="323" t="n">
        <f aca="false">AG302*AP302</f>
        <v>0</v>
      </c>
      <c r="BA302" s="319" t="n">
        <f aca="false">AH302*AQ302</f>
        <v>0</v>
      </c>
      <c r="BB302" s="320" t="n">
        <f aca="false">1.25*AJ302*AP302</f>
        <v>0</v>
      </c>
      <c r="BC302" s="320" t="n">
        <f aca="false">1.25*AK302*AQ302</f>
        <v>0</v>
      </c>
      <c r="BD302" s="321" t="n">
        <f aca="false">AG302*AS302</f>
        <v>0</v>
      </c>
      <c r="BE302" s="319" t="n">
        <f aca="false">AH302*AT302</f>
        <v>0</v>
      </c>
      <c r="BF302" s="320" t="n">
        <f aca="false">AJ302*AS302</f>
        <v>0</v>
      </c>
      <c r="BG302" s="322" t="n">
        <f aca="false">AK302*AT302</f>
        <v>0</v>
      </c>
      <c r="BH302" s="324" t="str">
        <f aca="false">IF(BH$24=$AA302,($AG302*$AM302)+($AJ302*$AM302*1.25)+($AH302*$AN302)+($AK302*$AN302*1.25),"")</f>
        <v/>
      </c>
      <c r="BI302" s="325" t="n">
        <f aca="false">IF(BI$24=$AA302,($AG302*$AM302)+($AJ302*$AM302*1.25)+($AH302*$AN302)+($AK302*$AN302*1.25),"")</f>
        <v>0</v>
      </c>
      <c r="BJ302" s="325" t="str">
        <f aca="false">IF(BJ$24=$AA302,($AG302*$AM302)+($AJ302*$AM302*1.25)+($AH302*$AN302)+($AK302*$AN302*1.25),"")</f>
        <v/>
      </c>
      <c r="BK302" s="325" t="str">
        <f aca="false">IF(BK$24=$AA302,($AG302*$AM302)+($AJ302*$AM302*1.25)+($AH302*$AN302)+($AK302*$AN302*1.25),"")</f>
        <v/>
      </c>
      <c r="BL302" s="326" t="str">
        <f aca="false">IF(BL$24=$AA302,($AG302*$AM302)+($AJ302*$AM302*1.25)+($AH302*$AN302)+($AK302*$AN302*1.25),"")</f>
        <v/>
      </c>
      <c r="BM302" s="327" t="str">
        <f aca="false">IF(CONCATENATE(BH302,BI302,BJ302,BK302,BL302)="",1,"")</f>
        <v/>
      </c>
      <c r="BN302" s="328"/>
      <c r="BO302" s="328"/>
      <c r="BP302" s="328"/>
      <c r="BQ302" s="328"/>
      <c r="BR302" s="47"/>
      <c r="BS302" s="127" t="n">
        <f aca="false">(AG302*AM302)+(AH302*AN302)+((AJ302*AM302)+(AK302*AN302)*1.25)</f>
        <v>0</v>
      </c>
      <c r="BT302" s="127" t="n">
        <f aca="false">(AG302*AP302)+(AH302*AQ302)+((AJ302*AP302)+(AK302*AQ302)*1.25)</f>
        <v>0</v>
      </c>
      <c r="BU302" s="329"/>
      <c r="BV302" s="129"/>
    </row>
    <row r="303" customFormat="false" ht="15" hidden="false" customHeight="false" outlineLevel="0" collapsed="false">
      <c r="A303" s="228"/>
      <c r="B303" s="229"/>
      <c r="C303" s="230"/>
      <c r="D303" s="231"/>
      <c r="E303" s="223" t="str">
        <f aca="false">IF(SUM(A303:D303)&gt;0,SUM(A303:D303),"")</f>
        <v/>
      </c>
      <c r="F303" s="224" t="str">
        <f aca="false">AD316</f>
        <v>MEZCLA CEBADA-GUISANTE</v>
      </c>
      <c r="G303" s="169"/>
      <c r="H303" s="169"/>
      <c r="I303" s="169"/>
      <c r="J303" s="169"/>
      <c r="K303" s="169"/>
      <c r="L303" s="169"/>
      <c r="M303" s="169"/>
      <c r="N303" s="169"/>
      <c r="O303" s="169"/>
      <c r="P303" s="169"/>
      <c r="Q303" s="169"/>
      <c r="R303" s="3"/>
      <c r="S303" s="3"/>
      <c r="T303" s="3"/>
      <c r="U303" s="3"/>
      <c r="V303" s="3"/>
      <c r="W303" s="3"/>
      <c r="X303" s="3"/>
      <c r="Y303" s="3"/>
      <c r="Z303" s="316" t="str">
        <f aca="false">IF(AF303&gt;0,RANK(AF303,AF$6:AF$422),"")</f>
        <v/>
      </c>
      <c r="AA303" s="134" t="n">
        <f aca="false">'O_MN, PE_UTA_UGM 2024'!N280</f>
        <v>4</v>
      </c>
      <c r="AB303" s="135" t="n">
        <f aca="false">'O_MN, PE_UTA_UGM 2024'!O280</f>
        <v>0</v>
      </c>
      <c r="AC303" s="317" t="n">
        <f aca="false">'O_MN, PE_UTA_UGM 2024'!C280</f>
        <v>279</v>
      </c>
      <c r="AD303" s="293" t="str">
        <f aca="false">IF(AB303=0,'O_MN, PE_UTA_UGM 2024'!F280,CONCATENATE('O_MN, PE_UTA_UGM 2024'!F280," ","INVERNADERO"))</f>
        <v>ESPÁRRAGO</v>
      </c>
      <c r="AE303" s="89"/>
      <c r="AF303" s="123" t="n">
        <f aca="false">SUM(AG303:AH303)+SUM(AJ303:AK303)</f>
        <v>0</v>
      </c>
      <c r="AG303" s="318" t="n">
        <f aca="false">A290</f>
        <v>0</v>
      </c>
      <c r="AH303" s="319" t="n">
        <f aca="false">B290</f>
        <v>0</v>
      </c>
      <c r="AI303" s="6"/>
      <c r="AJ303" s="320" t="n">
        <f aca="false">C290</f>
        <v>0</v>
      </c>
      <c r="AK303" s="320" t="n">
        <f aca="false">D290</f>
        <v>0</v>
      </c>
      <c r="AL303" s="237" t="s">
        <v>429</v>
      </c>
      <c r="AM303" s="299" t="n">
        <f aca="false">'O_MN, PE_UTA_UGM 2024'!J280</f>
        <v>947.29</v>
      </c>
      <c r="AN303" s="299" t="n">
        <f aca="false">'O_MN, PE_UTA_UGM 2024'!K280</f>
        <v>7200</v>
      </c>
      <c r="AO303" s="300"/>
      <c r="AP303" s="299" t="n">
        <f aca="false">'O_MN, PE_UTA_UGM 2024'!H280</f>
        <v>901.92</v>
      </c>
      <c r="AQ303" s="299" t="n">
        <f aca="false">'O_MN, PE_UTA_UGM 2024'!I280</f>
        <v>2404.05</v>
      </c>
      <c r="AR303" s="301"/>
      <c r="AS303" s="302" t="n">
        <f aca="false">'O_MN, PE_UTA_UGM 2024'!L280</f>
        <v>0.03676</v>
      </c>
      <c r="AT303" s="302" t="n">
        <f aca="false">'O_MN, PE_UTA_UGM 2024'!M280</f>
        <v>0.09799</v>
      </c>
      <c r="AU303" s="45"/>
      <c r="AV303" s="321" t="n">
        <f aca="false">AG303*AM303</f>
        <v>0</v>
      </c>
      <c r="AW303" s="319" t="n">
        <f aca="false">AH303*AN303</f>
        <v>0</v>
      </c>
      <c r="AX303" s="320" t="n">
        <f aca="false">1.25*AJ303*AM303</f>
        <v>0</v>
      </c>
      <c r="AY303" s="322" t="n">
        <f aca="false">1.25*AK303*AN303</f>
        <v>0</v>
      </c>
      <c r="AZ303" s="323" t="n">
        <f aca="false">AG303*AP303</f>
        <v>0</v>
      </c>
      <c r="BA303" s="319" t="n">
        <f aca="false">AH303*AQ303</f>
        <v>0</v>
      </c>
      <c r="BB303" s="320" t="n">
        <f aca="false">1.25*AJ303*AP303</f>
        <v>0</v>
      </c>
      <c r="BC303" s="320" t="n">
        <f aca="false">1.25*AK303*AQ303</f>
        <v>0</v>
      </c>
      <c r="BD303" s="321" t="n">
        <f aca="false">AG303*AS303</f>
        <v>0</v>
      </c>
      <c r="BE303" s="319" t="n">
        <f aca="false">AH303*AT303</f>
        <v>0</v>
      </c>
      <c r="BF303" s="320" t="n">
        <f aca="false">AJ303*AS303</f>
        <v>0</v>
      </c>
      <c r="BG303" s="322" t="n">
        <f aca="false">AK303*AT303</f>
        <v>0</v>
      </c>
      <c r="BH303" s="324" t="str">
        <f aca="false">IF(BH$24=$AA303,($AG303*$AM303)+($AJ303*$AM303*1.25)+($AH303*$AN303)+($AK303*$AN303*1.25),"")</f>
        <v/>
      </c>
      <c r="BI303" s="325" t="str">
        <f aca="false">IF(BI$24=$AA303,($AG303*$AM303)+($AJ303*$AM303*1.25)+($AH303*$AN303)+($AK303*$AN303*1.25),"")</f>
        <v/>
      </c>
      <c r="BJ303" s="325" t="str">
        <f aca="false">IF(BJ$24=$AA303,($AG303*$AM303)+($AJ303*$AM303*1.25)+($AH303*$AN303)+($AK303*$AN303*1.25),"")</f>
        <v/>
      </c>
      <c r="BK303" s="325" t="n">
        <f aca="false">IF(BK$24=$AA303,($AG303*$AM303)+($AJ303*$AM303*1.25)+($AH303*$AN303)+($AK303*$AN303*1.25),"")</f>
        <v>0</v>
      </c>
      <c r="BL303" s="326" t="str">
        <f aca="false">IF(BL$24=$AA303,($AG303*$AM303)+($AJ303*$AM303*1.25)+($AH303*$AN303)+($AK303*$AN303*1.25),"")</f>
        <v/>
      </c>
      <c r="BM303" s="327" t="str">
        <f aca="false">IF(CONCATENATE(BH303,BI303,BJ303,BK303,BL303)="",1,"")</f>
        <v/>
      </c>
      <c r="BN303" s="328"/>
      <c r="BO303" s="328"/>
      <c r="BP303" s="328"/>
      <c r="BQ303" s="328"/>
      <c r="BR303" s="47"/>
      <c r="BS303" s="127" t="n">
        <f aca="false">(AG303*AM303)+(AH303*AN303)+((AJ303*AM303)+(AK303*AN303)*1.25)</f>
        <v>0</v>
      </c>
      <c r="BT303" s="127" t="n">
        <f aca="false">(AG303*AP303)+(AH303*AQ303)+((AJ303*AP303)+(AK303*AQ303)*1.25)</f>
        <v>0</v>
      </c>
      <c r="BU303" s="329"/>
      <c r="BV303" s="129"/>
    </row>
    <row r="304" customFormat="false" ht="15" hidden="false" customHeight="false" outlineLevel="0" collapsed="false">
      <c r="A304" s="228"/>
      <c r="B304" s="229"/>
      <c r="C304" s="230"/>
      <c r="D304" s="231"/>
      <c r="E304" s="223" t="str">
        <f aca="false">IF(SUM(A304:D304)&gt;0,SUM(A304:D304),"")</f>
        <v/>
      </c>
      <c r="F304" s="224" t="str">
        <f aca="false">AD317</f>
        <v>MEZCLA AVENA-GUISANTE</v>
      </c>
      <c r="G304" s="169"/>
      <c r="H304" s="169"/>
      <c r="I304" s="169"/>
      <c r="J304" s="169"/>
      <c r="K304" s="169"/>
      <c r="L304" s="169"/>
      <c r="M304" s="169"/>
      <c r="N304" s="169"/>
      <c r="O304" s="169"/>
      <c r="P304" s="169"/>
      <c r="Q304" s="169"/>
      <c r="R304" s="3"/>
      <c r="S304" s="3"/>
      <c r="T304" s="3"/>
      <c r="U304" s="3"/>
      <c r="V304" s="3"/>
      <c r="W304" s="3"/>
      <c r="X304" s="3"/>
      <c r="Y304" s="3"/>
      <c r="Z304" s="316" t="str">
        <f aca="false">IF(AF304&gt;0,RANK(AF304,AF$6:AF$422),"")</f>
        <v/>
      </c>
      <c r="AA304" s="134" t="n">
        <f aca="false">'O_MN, PE_UTA_UGM 2024'!N281</f>
        <v>4</v>
      </c>
      <c r="AB304" s="135" t="n">
        <f aca="false">'O_MN, PE_UTA_UGM 2024'!O281</f>
        <v>4</v>
      </c>
      <c r="AC304" s="317" t="n">
        <f aca="false">'O_MN, PE_UTA_UGM 2024'!C281</f>
        <v>279</v>
      </c>
      <c r="AD304" s="293" t="str">
        <f aca="false">IF(AB304=0,'O_MN, PE_UTA_UGM 2024'!F281,CONCATENATE('O_MN, PE_UTA_UGM 2024'!F281," ","INVERNADERO"))</f>
        <v>ESPÁRRAGO INVERNADERO</v>
      </c>
      <c r="AE304" s="89"/>
      <c r="AF304" s="123" t="n">
        <f aca="false">SUM(AG304:AH304)+SUM(AJ304:AK304)</f>
        <v>0</v>
      </c>
      <c r="AG304" s="318" t="n">
        <f aca="false">A291</f>
        <v>0</v>
      </c>
      <c r="AH304" s="319" t="n">
        <f aca="false">B291</f>
        <v>0</v>
      </c>
      <c r="AI304" s="6"/>
      <c r="AJ304" s="320" t="n">
        <f aca="false">C291</f>
        <v>0</v>
      </c>
      <c r="AK304" s="320" t="n">
        <f aca="false">D291</f>
        <v>0</v>
      </c>
      <c r="AL304" s="237" t="s">
        <v>430</v>
      </c>
      <c r="AM304" s="299" t="n">
        <f aca="false">'O_MN, PE_UTA_UGM 2024'!J281</f>
        <v>0</v>
      </c>
      <c r="AN304" s="299" t="n">
        <f aca="false">'O_MN, PE_UTA_UGM 2024'!K281</f>
        <v>80000</v>
      </c>
      <c r="AO304" s="300"/>
      <c r="AP304" s="299" t="n">
        <f aca="false">'O_MN, PE_UTA_UGM 2024'!H281</f>
        <v>0</v>
      </c>
      <c r="AQ304" s="299" t="n">
        <f aca="false">'O_MN, PE_UTA_UGM 2024'!I281</f>
        <v>36060.73</v>
      </c>
      <c r="AR304" s="301"/>
      <c r="AS304" s="302" t="n">
        <f aca="false">'O_MN, PE_UTA_UGM 2024'!L281</f>
        <v>0</v>
      </c>
      <c r="AT304" s="302" t="n">
        <f aca="false">'O_MN, PE_UTA_UGM 2024'!M281</f>
        <v>1.46978</v>
      </c>
      <c r="AU304" s="45"/>
      <c r="AV304" s="321" t="n">
        <f aca="false">AG304*AM304</f>
        <v>0</v>
      </c>
      <c r="AW304" s="319" t="n">
        <f aca="false">AH304*AN304</f>
        <v>0</v>
      </c>
      <c r="AX304" s="320" t="n">
        <f aca="false">1.25*AJ304*AM304</f>
        <v>0</v>
      </c>
      <c r="AY304" s="322" t="n">
        <f aca="false">1.25*AK304*AN304</f>
        <v>0</v>
      </c>
      <c r="AZ304" s="323" t="n">
        <f aca="false">AG304*AP304</f>
        <v>0</v>
      </c>
      <c r="BA304" s="319" t="n">
        <f aca="false">AH304*AQ304</f>
        <v>0</v>
      </c>
      <c r="BB304" s="320" t="n">
        <f aca="false">1.25*AJ304*AP304</f>
        <v>0</v>
      </c>
      <c r="BC304" s="320" t="n">
        <f aca="false">1.25*AK304*AQ304</f>
        <v>0</v>
      </c>
      <c r="BD304" s="321" t="n">
        <f aca="false">AG304*AS304</f>
        <v>0</v>
      </c>
      <c r="BE304" s="319" t="n">
        <f aca="false">AH304*AT304</f>
        <v>0</v>
      </c>
      <c r="BF304" s="320" t="n">
        <f aca="false">AJ304*AS304</f>
        <v>0</v>
      </c>
      <c r="BG304" s="322" t="n">
        <f aca="false">AK304*AT304</f>
        <v>0</v>
      </c>
      <c r="BH304" s="324" t="str">
        <f aca="false">IF(BH$24=$AA304,($AG304*$AM304)+($AJ304*$AM304*1.25)+($AH304*$AN304)+($AK304*$AN304*1.25),"")</f>
        <v/>
      </c>
      <c r="BI304" s="325" t="str">
        <f aca="false">IF(BI$24=$AA304,($AG304*$AM304)+($AJ304*$AM304*1.25)+($AH304*$AN304)+($AK304*$AN304*1.25),"")</f>
        <v/>
      </c>
      <c r="BJ304" s="325" t="str">
        <f aca="false">IF(BJ$24=$AA304,($AG304*$AM304)+($AJ304*$AM304*1.25)+($AH304*$AN304)+($AK304*$AN304*1.25),"")</f>
        <v/>
      </c>
      <c r="BK304" s="325" t="n">
        <f aca="false">IF(BK$24=$AA304,($AG304*$AM304)+($AJ304*$AM304*1.25)+($AH304*$AN304)+($AK304*$AN304*1.25),"")</f>
        <v>0</v>
      </c>
      <c r="BL304" s="326" t="str">
        <f aca="false">IF(BL$24=$AA304,($AG304*$AM304)+($AJ304*$AM304*1.25)+($AH304*$AN304)+($AK304*$AN304*1.25),"")</f>
        <v/>
      </c>
      <c r="BM304" s="327" t="str">
        <f aca="false">IF(CONCATENATE(BH304,BI304,BJ304,BK304,BL304)="",1,"")</f>
        <v/>
      </c>
      <c r="BN304" s="328"/>
      <c r="BO304" s="328"/>
      <c r="BP304" s="328"/>
      <c r="BQ304" s="328"/>
      <c r="BR304" s="47"/>
      <c r="BS304" s="127" t="n">
        <f aca="false">(AG304*AM304)+(AH304*AN304)+((AJ304*AM304)+(AK304*AN304)*1.25)</f>
        <v>0</v>
      </c>
      <c r="BT304" s="127" t="n">
        <f aca="false">(AG304*AP304)+(AH304*AQ304)+((AJ304*AP304)+(AK304*AQ304)*1.25)</f>
        <v>0</v>
      </c>
      <c r="BU304" s="329"/>
      <c r="BV304" s="129"/>
    </row>
    <row r="305" customFormat="false" ht="15" hidden="false" customHeight="false" outlineLevel="0" collapsed="false">
      <c r="A305" s="228"/>
      <c r="B305" s="229"/>
      <c r="C305" s="230"/>
      <c r="D305" s="231"/>
      <c r="E305" s="223" t="str">
        <f aca="false">IF(SUM(A305:D305)&gt;0,SUM(A305:D305),"")</f>
        <v/>
      </c>
      <c r="F305" s="224" t="str">
        <f aca="false">AD318</f>
        <v>COL CHINA</v>
      </c>
      <c r="G305" s="169"/>
      <c r="H305" s="169"/>
      <c r="I305" s="169"/>
      <c r="J305" s="169"/>
      <c r="K305" s="169"/>
      <c r="L305" s="169"/>
      <c r="M305" s="169"/>
      <c r="N305" s="169"/>
      <c r="O305" s="169"/>
      <c r="P305" s="169"/>
      <c r="Q305" s="169"/>
      <c r="R305" s="3"/>
      <c r="S305" s="3"/>
      <c r="T305" s="3"/>
      <c r="U305" s="3"/>
      <c r="V305" s="3"/>
      <c r="W305" s="3"/>
      <c r="X305" s="3"/>
      <c r="Y305" s="3"/>
      <c r="Z305" s="316" t="str">
        <f aca="false">IF(AF305&gt;0,RANK(AF305,AF$6:AF$422),"")</f>
        <v/>
      </c>
      <c r="AA305" s="134" t="n">
        <f aca="false">'O_MN, PE_UTA_UGM 2024'!N282</f>
        <v>4</v>
      </c>
      <c r="AB305" s="135" t="n">
        <f aca="false">'O_MN, PE_UTA_UGM 2024'!O282</f>
        <v>19</v>
      </c>
      <c r="AC305" s="317" t="n">
        <f aca="false">'O_MN, PE_UTA_UGM 2024'!C282</f>
        <v>279</v>
      </c>
      <c r="AD305" s="293" t="str">
        <f aca="false">IF(AB305=0,'O_MN, PE_UTA_UGM 2024'!F282,CONCATENATE('O_MN, PE_UTA_UGM 2024'!F282," ","INVERNADERO"))</f>
        <v>ESPÁRRAGO INVERNADERO</v>
      </c>
      <c r="AE305" s="89"/>
      <c r="AF305" s="123" t="n">
        <f aca="false">SUM(AG305:AH305)+SUM(AJ305:AK305)</f>
        <v>0</v>
      </c>
      <c r="AG305" s="318" t="n">
        <f aca="false">A292</f>
        <v>0</v>
      </c>
      <c r="AH305" s="319" t="n">
        <f aca="false">B292</f>
        <v>0</v>
      </c>
      <c r="AI305" s="6"/>
      <c r="AJ305" s="320" t="n">
        <f aca="false">C292</f>
        <v>0</v>
      </c>
      <c r="AK305" s="320" t="n">
        <f aca="false">D292</f>
        <v>0</v>
      </c>
      <c r="AL305" s="237" t="s">
        <v>431</v>
      </c>
      <c r="AM305" s="299" t="n">
        <f aca="false">'O_MN, PE_UTA_UGM 2024'!J282</f>
        <v>0</v>
      </c>
      <c r="AN305" s="299" t="n">
        <f aca="false">'O_MN, PE_UTA_UGM 2024'!K282</f>
        <v>80000</v>
      </c>
      <c r="AO305" s="300"/>
      <c r="AP305" s="299" t="n">
        <f aca="false">'O_MN, PE_UTA_UGM 2024'!H282</f>
        <v>0</v>
      </c>
      <c r="AQ305" s="299" t="n">
        <f aca="false">'O_MN, PE_UTA_UGM 2024'!I282</f>
        <v>36060.73</v>
      </c>
      <c r="AR305" s="301"/>
      <c r="AS305" s="302" t="n">
        <f aca="false">'O_MN, PE_UTA_UGM 2024'!L282</f>
        <v>0</v>
      </c>
      <c r="AT305" s="302" t="n">
        <f aca="false">'O_MN, PE_UTA_UGM 2024'!M282</f>
        <v>1.46978</v>
      </c>
      <c r="AU305" s="45"/>
      <c r="AV305" s="321" t="n">
        <f aca="false">AG305*AM305</f>
        <v>0</v>
      </c>
      <c r="AW305" s="319" t="n">
        <f aca="false">AH305*AN305</f>
        <v>0</v>
      </c>
      <c r="AX305" s="320" t="n">
        <f aca="false">1.25*AJ305*AM305</f>
        <v>0</v>
      </c>
      <c r="AY305" s="322" t="n">
        <f aca="false">1.25*AK305*AN305</f>
        <v>0</v>
      </c>
      <c r="AZ305" s="323" t="n">
        <f aca="false">AG305*AP305</f>
        <v>0</v>
      </c>
      <c r="BA305" s="319" t="n">
        <f aca="false">AH305*AQ305</f>
        <v>0</v>
      </c>
      <c r="BB305" s="320" t="n">
        <f aca="false">1.25*AJ305*AP305</f>
        <v>0</v>
      </c>
      <c r="BC305" s="320" t="n">
        <f aca="false">1.25*AK305*AQ305</f>
        <v>0</v>
      </c>
      <c r="BD305" s="321" t="n">
        <f aca="false">AG305*AS305</f>
        <v>0</v>
      </c>
      <c r="BE305" s="319" t="n">
        <f aca="false">AH305*AT305</f>
        <v>0</v>
      </c>
      <c r="BF305" s="320" t="n">
        <f aca="false">AJ305*AS305</f>
        <v>0</v>
      </c>
      <c r="BG305" s="322" t="n">
        <f aca="false">AK305*AT305</f>
        <v>0</v>
      </c>
      <c r="BH305" s="324" t="str">
        <f aca="false">IF(BH$24=$AA305,($AG305*$AM305)+($AJ305*$AM305*1.25)+($AH305*$AN305)+($AK305*$AN305*1.25),"")</f>
        <v/>
      </c>
      <c r="BI305" s="325" t="str">
        <f aca="false">IF(BI$24=$AA305,($AG305*$AM305)+($AJ305*$AM305*1.25)+($AH305*$AN305)+($AK305*$AN305*1.25),"")</f>
        <v/>
      </c>
      <c r="BJ305" s="325" t="str">
        <f aca="false">IF(BJ$24=$AA305,($AG305*$AM305)+($AJ305*$AM305*1.25)+($AH305*$AN305)+($AK305*$AN305*1.25),"")</f>
        <v/>
      </c>
      <c r="BK305" s="325" t="n">
        <f aca="false">IF(BK$24=$AA305,($AG305*$AM305)+($AJ305*$AM305*1.25)+($AH305*$AN305)+($AK305*$AN305*1.25),"")</f>
        <v>0</v>
      </c>
      <c r="BL305" s="326" t="str">
        <f aca="false">IF(BL$24=$AA305,($AG305*$AM305)+($AJ305*$AM305*1.25)+($AH305*$AN305)+($AK305*$AN305*1.25),"")</f>
        <v/>
      </c>
      <c r="BM305" s="327" t="str">
        <f aca="false">IF(CONCATENATE(BH305,BI305,BJ305,BK305,BL305)="",1,"")</f>
        <v/>
      </c>
      <c r="BN305" s="328"/>
      <c r="BO305" s="328"/>
      <c r="BP305" s="328"/>
      <c r="BQ305" s="328"/>
      <c r="BR305" s="47"/>
      <c r="BS305" s="127" t="n">
        <f aca="false">(AG305*AM305)+(AH305*AN305)+((AJ305*AM305)+(AK305*AN305)*1.25)</f>
        <v>0</v>
      </c>
      <c r="BT305" s="127" t="n">
        <f aca="false">(AG305*AP305)+(AH305*AQ305)+((AJ305*AP305)+(AK305*AQ305)*1.25)</f>
        <v>0</v>
      </c>
      <c r="BU305" s="329"/>
      <c r="BV305" s="129"/>
    </row>
    <row r="306" customFormat="false" ht="15" hidden="false" customHeight="false" outlineLevel="0" collapsed="false">
      <c r="A306" s="228"/>
      <c r="B306" s="229"/>
      <c r="C306" s="230"/>
      <c r="D306" s="231"/>
      <c r="E306" s="223" t="str">
        <f aca="false">IF(SUM(A306:D306)&gt;0,SUM(A306:D306),"")</f>
        <v/>
      </c>
      <c r="F306" s="224" t="str">
        <f aca="false">AD319</f>
        <v>COL CHINA INVERNADERO</v>
      </c>
      <c r="G306" s="169"/>
      <c r="H306" s="169"/>
      <c r="I306" s="169"/>
      <c r="J306" s="169"/>
      <c r="K306" s="169"/>
      <c r="L306" s="169"/>
      <c r="M306" s="169"/>
      <c r="N306" s="169"/>
      <c r="O306" s="169"/>
      <c r="P306" s="169"/>
      <c r="Q306" s="169"/>
      <c r="R306" s="3"/>
      <c r="S306" s="3"/>
      <c r="T306" s="3"/>
      <c r="U306" s="3"/>
      <c r="V306" s="3"/>
      <c r="W306" s="3"/>
      <c r="X306" s="3"/>
      <c r="Y306" s="3"/>
      <c r="Z306" s="316" t="str">
        <f aca="false">IF(AF306&gt;0,RANK(AF306,AF$6:AF$422),"")</f>
        <v/>
      </c>
      <c r="AA306" s="134" t="n">
        <f aca="false">'O_MN, PE_UTA_UGM 2024'!N283</f>
        <v>3</v>
      </c>
      <c r="AB306" s="135" t="n">
        <f aca="false">'O_MN, PE_UTA_UGM 2024'!O283</f>
        <v>0</v>
      </c>
      <c r="AC306" s="317" t="n">
        <f aca="false">'O_MN, PE_UTA_UGM 2024'!C283</f>
        <v>280</v>
      </c>
      <c r="AD306" s="293" t="str">
        <f aca="false">IF(AB306=0,'O_MN, PE_UTA_UGM 2024'!F283,CONCATENATE('O_MN, PE_UTA_UGM 2024'!F283," ","INVERNADERO"))</f>
        <v>TRUFA</v>
      </c>
      <c r="AE306" s="89"/>
      <c r="AF306" s="123" t="n">
        <f aca="false">SUM(AG306:AH306)+SUM(AJ306:AK306)</f>
        <v>0</v>
      </c>
      <c r="AG306" s="318" t="n">
        <f aca="false">A293</f>
        <v>0</v>
      </c>
      <c r="AH306" s="319" t="n">
        <f aca="false">B293</f>
        <v>0</v>
      </c>
      <c r="AI306" s="6"/>
      <c r="AJ306" s="320" t="n">
        <f aca="false">C293</f>
        <v>0</v>
      </c>
      <c r="AK306" s="320" t="n">
        <f aca="false">D293</f>
        <v>0</v>
      </c>
      <c r="AL306" s="237" t="s">
        <v>432</v>
      </c>
      <c r="AM306" s="299" t="n">
        <f aca="false">'O_MN, PE_UTA_UGM 2024'!J283</f>
        <v>2000</v>
      </c>
      <c r="AN306" s="299" t="n">
        <f aca="false">'O_MN, PE_UTA_UGM 2024'!K283</f>
        <v>6000</v>
      </c>
      <c r="AO306" s="300"/>
      <c r="AP306" s="299" t="n">
        <f aca="false">'O_MN, PE_UTA_UGM 2024'!H283</f>
        <v>450.76</v>
      </c>
      <c r="AQ306" s="299" t="n">
        <f aca="false">'O_MN, PE_UTA_UGM 2024'!I283</f>
        <v>721.21</v>
      </c>
      <c r="AR306" s="301"/>
      <c r="AS306" s="302" t="n">
        <f aca="false">'O_MN, PE_UTA_UGM 2024'!L283</f>
        <v>0.01837</v>
      </c>
      <c r="AT306" s="302" t="n">
        <f aca="false">'O_MN, PE_UTA_UGM 2024'!M283</f>
        <v>0.0294</v>
      </c>
      <c r="AU306" s="45"/>
      <c r="AV306" s="321" t="n">
        <f aca="false">AG306*AM306</f>
        <v>0</v>
      </c>
      <c r="AW306" s="319" t="n">
        <f aca="false">AH306*AN306</f>
        <v>0</v>
      </c>
      <c r="AX306" s="320" t="n">
        <f aca="false">1.25*AJ306*AM306</f>
        <v>0</v>
      </c>
      <c r="AY306" s="322" t="n">
        <f aca="false">1.25*AK306*AN306</f>
        <v>0</v>
      </c>
      <c r="AZ306" s="323" t="n">
        <f aca="false">AG306*AP306</f>
        <v>0</v>
      </c>
      <c r="BA306" s="319" t="n">
        <f aca="false">AH306*AQ306</f>
        <v>0</v>
      </c>
      <c r="BB306" s="320" t="n">
        <f aca="false">1.25*AJ306*AP306</f>
        <v>0</v>
      </c>
      <c r="BC306" s="320" t="n">
        <f aca="false">1.25*AK306*AQ306</f>
        <v>0</v>
      </c>
      <c r="BD306" s="321" t="n">
        <f aca="false">AG306*AS306</f>
        <v>0</v>
      </c>
      <c r="BE306" s="319" t="n">
        <f aca="false">AH306*AT306</f>
        <v>0</v>
      </c>
      <c r="BF306" s="320" t="n">
        <f aca="false">AJ306*AS306</f>
        <v>0</v>
      </c>
      <c r="BG306" s="322" t="n">
        <f aca="false">AK306*AT306</f>
        <v>0</v>
      </c>
      <c r="BH306" s="324" t="str">
        <f aca="false">IF(BH$24=$AA306,($AG306*$AM306)+($AJ306*$AM306*1.25)+($AH306*$AN306)+($AK306*$AN306*1.25),"")</f>
        <v/>
      </c>
      <c r="BI306" s="325" t="str">
        <f aca="false">IF(BI$24=$AA306,($AG306*$AM306)+($AJ306*$AM306*1.25)+($AH306*$AN306)+($AK306*$AN306*1.25),"")</f>
        <v/>
      </c>
      <c r="BJ306" s="325" t="n">
        <f aca="false">IF(BJ$24=$AA306,($AG306*$AM306)+($AJ306*$AM306*1.25)+($AH306*$AN306)+($AK306*$AN306*1.25),"")</f>
        <v>0</v>
      </c>
      <c r="BK306" s="325" t="str">
        <f aca="false">IF(BK$24=$AA306,($AG306*$AM306)+($AJ306*$AM306*1.25)+($AH306*$AN306)+($AK306*$AN306*1.25),"")</f>
        <v/>
      </c>
      <c r="BL306" s="326" t="str">
        <f aca="false">IF(BL$24=$AA306,($AG306*$AM306)+($AJ306*$AM306*1.25)+($AH306*$AN306)+($AK306*$AN306*1.25),"")</f>
        <v/>
      </c>
      <c r="BM306" s="327" t="str">
        <f aca="false">IF(CONCATENATE(BH306,BI306,BJ306,BK306,BL306)="",1,"")</f>
        <v/>
      </c>
      <c r="BN306" s="328"/>
      <c r="BO306" s="328"/>
      <c r="BP306" s="328"/>
      <c r="BQ306" s="328"/>
      <c r="BR306" s="47"/>
      <c r="BS306" s="127" t="n">
        <f aca="false">(AG306*AM306)+(AH306*AN306)+((AJ306*AM306)+(AK306*AN306)*1.25)</f>
        <v>0</v>
      </c>
      <c r="BT306" s="127" t="n">
        <f aca="false">(AG306*AP306)+(AH306*AQ306)+((AJ306*AP306)+(AK306*AQ306)*1.25)</f>
        <v>0</v>
      </c>
      <c r="BU306" s="329"/>
      <c r="BV306" s="129"/>
    </row>
    <row r="307" customFormat="false" ht="15" hidden="false" customHeight="false" outlineLevel="0" collapsed="false">
      <c r="A307" s="228"/>
      <c r="B307" s="229"/>
      <c r="C307" s="230"/>
      <c r="D307" s="231"/>
      <c r="E307" s="223" t="str">
        <f aca="false">IF(SUM(A307:D307)&gt;0,SUM(A307:D307),"")</f>
        <v/>
      </c>
      <c r="F307" s="224" t="str">
        <f aca="false">AD320</f>
        <v>COL CHINA INVERNADERO</v>
      </c>
      <c r="G307" s="169"/>
      <c r="H307" s="169"/>
      <c r="I307" s="169"/>
      <c r="J307" s="169"/>
      <c r="K307" s="169"/>
      <c r="L307" s="169"/>
      <c r="M307" s="169"/>
      <c r="N307" s="169"/>
      <c r="O307" s="169"/>
      <c r="P307" s="169"/>
      <c r="Q307" s="169"/>
      <c r="R307" s="3"/>
      <c r="S307" s="3"/>
      <c r="T307" s="3"/>
      <c r="U307" s="3"/>
      <c r="V307" s="3"/>
      <c r="W307" s="3"/>
      <c r="X307" s="3"/>
      <c r="Y307" s="3"/>
      <c r="Z307" s="316" t="str">
        <f aca="false">IF(AF307&gt;0,RANK(AF307,AF$6:AF$422),"")</f>
        <v/>
      </c>
      <c r="AA307" s="134" t="n">
        <f aca="false">'O_MN, PE_UTA_UGM 2024'!N284</f>
        <v>5</v>
      </c>
      <c r="AB307" s="135" t="n">
        <f aca="false">'O_MN, PE_UTA_UGM 2024'!O284</f>
        <v>0</v>
      </c>
      <c r="AC307" s="317" t="n">
        <f aca="false">'O_MN, PE_UTA_UGM 2024'!C284</f>
        <v>281</v>
      </c>
      <c r="AD307" s="293" t="str">
        <f aca="false">IF(AB307=0,'O_MN, PE_UTA_UGM 2024'!F284,CONCATENATE('O_MN, PE_UTA_UGM 2024'!F284," ","INVERNADERO"))</f>
        <v>LAVANDA</v>
      </c>
      <c r="AE307" s="89"/>
      <c r="AF307" s="123" t="n">
        <f aca="false">SUM(AG307:AH307)+SUM(AJ307:AK307)</f>
        <v>0</v>
      </c>
      <c r="AG307" s="318" t="n">
        <f aca="false">A294</f>
        <v>0</v>
      </c>
      <c r="AH307" s="319" t="n">
        <f aca="false">B294</f>
        <v>0</v>
      </c>
      <c r="AI307" s="6"/>
      <c r="AJ307" s="320" t="n">
        <f aca="false">C294</f>
        <v>0</v>
      </c>
      <c r="AK307" s="320" t="n">
        <f aca="false">D294</f>
        <v>0</v>
      </c>
      <c r="AL307" s="237" t="s">
        <v>433</v>
      </c>
      <c r="AM307" s="299" t="n">
        <f aca="false">'O_MN, PE_UTA_UGM 2024'!J284</f>
        <v>1000</v>
      </c>
      <c r="AN307" s="299" t="n">
        <f aca="false">'O_MN, PE_UTA_UGM 2024'!K284</f>
        <v>3800</v>
      </c>
      <c r="AO307" s="300"/>
      <c r="AP307" s="299" t="n">
        <f aca="false">'O_MN, PE_UTA_UGM 2024'!H284</f>
        <v>114.19</v>
      </c>
      <c r="AQ307" s="299" t="n">
        <f aca="false">'O_MN, PE_UTA_UGM 2024'!I284</f>
        <v>240.4</v>
      </c>
      <c r="AR307" s="301"/>
      <c r="AS307" s="302" t="n">
        <f aca="false">'O_MN, PE_UTA_UGM 2024'!L284</f>
        <v>0.00465</v>
      </c>
      <c r="AT307" s="302" t="n">
        <f aca="false">'O_MN, PE_UTA_UGM 2024'!M284</f>
        <v>0.0098</v>
      </c>
      <c r="AU307" s="45"/>
      <c r="AV307" s="321" t="n">
        <f aca="false">AG307*AM307</f>
        <v>0</v>
      </c>
      <c r="AW307" s="319" t="n">
        <f aca="false">AH307*AN307</f>
        <v>0</v>
      </c>
      <c r="AX307" s="320" t="n">
        <f aca="false">1.25*AJ307*AM307</f>
        <v>0</v>
      </c>
      <c r="AY307" s="322" t="n">
        <f aca="false">1.25*AK307*AN307</f>
        <v>0</v>
      </c>
      <c r="AZ307" s="323" t="n">
        <f aca="false">AG307*AP307</f>
        <v>0</v>
      </c>
      <c r="BA307" s="319" t="n">
        <f aca="false">AH307*AQ307</f>
        <v>0</v>
      </c>
      <c r="BB307" s="320" t="n">
        <f aca="false">1.25*AJ307*AP307</f>
        <v>0</v>
      </c>
      <c r="BC307" s="320" t="n">
        <f aca="false">1.25*AK307*AQ307</f>
        <v>0</v>
      </c>
      <c r="BD307" s="321" t="n">
        <f aca="false">AG307*AS307</f>
        <v>0</v>
      </c>
      <c r="BE307" s="319" t="n">
        <f aca="false">AH307*AT307</f>
        <v>0</v>
      </c>
      <c r="BF307" s="320" t="n">
        <f aca="false">AJ307*AS307</f>
        <v>0</v>
      </c>
      <c r="BG307" s="322" t="n">
        <f aca="false">AK307*AT307</f>
        <v>0</v>
      </c>
      <c r="BH307" s="324" t="str">
        <f aca="false">IF(BH$24=$AA307,($AG307*$AM307)+($AJ307*$AM307*1.25)+($AH307*$AN307)+($AK307*$AN307*1.25),"")</f>
        <v/>
      </c>
      <c r="BI307" s="325" t="str">
        <f aca="false">IF(BI$24=$AA307,($AG307*$AM307)+($AJ307*$AM307*1.25)+($AH307*$AN307)+($AK307*$AN307*1.25),"")</f>
        <v/>
      </c>
      <c r="BJ307" s="325" t="str">
        <f aca="false">IF(BJ$24=$AA307,($AG307*$AM307)+($AJ307*$AM307*1.25)+($AH307*$AN307)+($AK307*$AN307*1.25),"")</f>
        <v/>
      </c>
      <c r="BK307" s="325" t="str">
        <f aca="false">IF(BK$24=$AA307,($AG307*$AM307)+($AJ307*$AM307*1.25)+($AH307*$AN307)+($AK307*$AN307*1.25),"")</f>
        <v/>
      </c>
      <c r="BL307" s="326" t="n">
        <f aca="false">IF(BL$24=$AA307,($AG307*$AM307)+($AJ307*$AM307*1.25)+($AH307*$AN307)+($AK307*$AN307*1.25),"")</f>
        <v>0</v>
      </c>
      <c r="BM307" s="327" t="str">
        <f aca="false">IF(CONCATENATE(BH307,BI307,BJ307,BK307,BL307)="",1,"")</f>
        <v/>
      </c>
      <c r="BN307" s="328"/>
      <c r="BO307" s="328"/>
      <c r="BP307" s="328"/>
      <c r="BQ307" s="328"/>
      <c r="BR307" s="47"/>
      <c r="BS307" s="127" t="n">
        <f aca="false">(AG307*AM307)+(AH307*AN307)+((AJ307*AM307)+(AK307*AN307)*1.25)</f>
        <v>0</v>
      </c>
      <c r="BT307" s="127" t="n">
        <f aca="false">(AG307*AP307)+(AH307*AQ307)+((AJ307*AP307)+(AK307*AQ307)*1.25)</f>
        <v>0</v>
      </c>
      <c r="BU307" s="329"/>
      <c r="BV307" s="129"/>
    </row>
    <row r="308" customFormat="false" ht="15" hidden="false" customHeight="false" outlineLevel="0" collapsed="false">
      <c r="A308" s="228"/>
      <c r="B308" s="229"/>
      <c r="C308" s="230"/>
      <c r="D308" s="231"/>
      <c r="E308" s="223" t="str">
        <f aca="false">IF(SUM(A308:D308)&gt;0,SUM(A308:D308),"")</f>
        <v/>
      </c>
      <c r="F308" s="224" t="str">
        <f aca="false">AD321</f>
        <v>MEZCLA AVENA-TRIGO</v>
      </c>
      <c r="G308" s="169"/>
      <c r="H308" s="169"/>
      <c r="I308" s="169"/>
      <c r="J308" s="169"/>
      <c r="K308" s="169"/>
      <c r="L308" s="169"/>
      <c r="M308" s="169"/>
      <c r="N308" s="169"/>
      <c r="O308" s="169"/>
      <c r="P308" s="169"/>
      <c r="Q308" s="169"/>
      <c r="R308" s="3"/>
      <c r="S308" s="3"/>
      <c r="T308" s="3"/>
      <c r="U308" s="3"/>
      <c r="V308" s="3"/>
      <c r="W308" s="3"/>
      <c r="X308" s="3"/>
      <c r="Y308" s="3"/>
      <c r="Z308" s="316" t="str">
        <f aca="false">IF(AF308&gt;0,RANK(AF308,AF$6:AF$422),"")</f>
        <v/>
      </c>
      <c r="AA308" s="134" t="n">
        <f aca="false">'O_MN, PE_UTA_UGM 2024'!N285</f>
        <v>5</v>
      </c>
      <c r="AB308" s="135" t="n">
        <f aca="false">'O_MN, PE_UTA_UGM 2024'!O285</f>
        <v>0</v>
      </c>
      <c r="AC308" s="317" t="n">
        <f aca="false">'O_MN, PE_UTA_UGM 2024'!C285</f>
        <v>282</v>
      </c>
      <c r="AD308" s="293" t="str">
        <f aca="false">IF(AB308=0,'O_MN, PE_UTA_UGM 2024'!F285,CONCATENATE('O_MN, PE_UTA_UGM 2024'!F285," ","INVERNADERO"))</f>
        <v>LAVANDÍN</v>
      </c>
      <c r="AE308" s="89"/>
      <c r="AF308" s="123" t="n">
        <f aca="false">SUM(AG308:AH308)+SUM(AJ308:AK308)</f>
        <v>0</v>
      </c>
      <c r="AG308" s="318" t="n">
        <f aca="false">A295</f>
        <v>0</v>
      </c>
      <c r="AH308" s="319" t="n">
        <f aca="false">B295</f>
        <v>0</v>
      </c>
      <c r="AI308" s="6"/>
      <c r="AJ308" s="320" t="n">
        <f aca="false">C295</f>
        <v>0</v>
      </c>
      <c r="AK308" s="320" t="n">
        <f aca="false">D295</f>
        <v>0</v>
      </c>
      <c r="AL308" s="237" t="s">
        <v>434</v>
      </c>
      <c r="AM308" s="299" t="n">
        <f aca="false">'O_MN, PE_UTA_UGM 2024'!J285</f>
        <v>1000</v>
      </c>
      <c r="AN308" s="299" t="n">
        <f aca="false">'O_MN, PE_UTA_UGM 2024'!K285</f>
        <v>3800</v>
      </c>
      <c r="AO308" s="300"/>
      <c r="AP308" s="299" t="n">
        <f aca="false">'O_MN, PE_UTA_UGM 2024'!H285</f>
        <v>114.19</v>
      </c>
      <c r="AQ308" s="299" t="n">
        <f aca="false">'O_MN, PE_UTA_UGM 2024'!I285</f>
        <v>240.4</v>
      </c>
      <c r="AR308" s="301"/>
      <c r="AS308" s="302" t="n">
        <f aca="false">'O_MN, PE_UTA_UGM 2024'!L285</f>
        <v>0.00465</v>
      </c>
      <c r="AT308" s="302" t="n">
        <f aca="false">'O_MN, PE_UTA_UGM 2024'!M285</f>
        <v>0.0098</v>
      </c>
      <c r="AU308" s="45"/>
      <c r="AV308" s="321" t="n">
        <f aca="false">AG308*AM308</f>
        <v>0</v>
      </c>
      <c r="AW308" s="319" t="n">
        <f aca="false">AH308*AN308</f>
        <v>0</v>
      </c>
      <c r="AX308" s="320" t="n">
        <f aca="false">1.25*AJ308*AM308</f>
        <v>0</v>
      </c>
      <c r="AY308" s="322" t="n">
        <f aca="false">1.25*AK308*AN308</f>
        <v>0</v>
      </c>
      <c r="AZ308" s="323" t="n">
        <f aca="false">AG308*AP308</f>
        <v>0</v>
      </c>
      <c r="BA308" s="319" t="n">
        <f aca="false">AH308*AQ308</f>
        <v>0</v>
      </c>
      <c r="BB308" s="320" t="n">
        <f aca="false">1.25*AJ308*AP308</f>
        <v>0</v>
      </c>
      <c r="BC308" s="320" t="n">
        <f aca="false">1.25*AK308*AQ308</f>
        <v>0</v>
      </c>
      <c r="BD308" s="321" t="n">
        <f aca="false">AG308*AS308</f>
        <v>0</v>
      </c>
      <c r="BE308" s="319" t="n">
        <f aca="false">AH308*AT308</f>
        <v>0</v>
      </c>
      <c r="BF308" s="320" t="n">
        <f aca="false">AJ308*AS308</f>
        <v>0</v>
      </c>
      <c r="BG308" s="322" t="n">
        <f aca="false">AK308*AT308</f>
        <v>0</v>
      </c>
      <c r="BH308" s="324" t="str">
        <f aca="false">IF(BH$24=$AA308,($AG308*$AM308)+($AJ308*$AM308*1.25)+($AH308*$AN308)+($AK308*$AN308*1.25),"")</f>
        <v/>
      </c>
      <c r="BI308" s="325" t="str">
        <f aca="false">IF(BI$24=$AA308,($AG308*$AM308)+($AJ308*$AM308*1.25)+($AH308*$AN308)+($AK308*$AN308*1.25),"")</f>
        <v/>
      </c>
      <c r="BJ308" s="325" t="str">
        <f aca="false">IF(BJ$24=$AA308,($AG308*$AM308)+($AJ308*$AM308*1.25)+($AH308*$AN308)+($AK308*$AN308*1.25),"")</f>
        <v/>
      </c>
      <c r="BK308" s="325" t="str">
        <f aca="false">IF(BK$24=$AA308,($AG308*$AM308)+($AJ308*$AM308*1.25)+($AH308*$AN308)+($AK308*$AN308*1.25),"")</f>
        <v/>
      </c>
      <c r="BL308" s="326" t="n">
        <f aca="false">IF(BL$24=$AA308,($AG308*$AM308)+($AJ308*$AM308*1.25)+($AH308*$AN308)+($AK308*$AN308*1.25),"")</f>
        <v>0</v>
      </c>
      <c r="BM308" s="327" t="str">
        <f aca="false">IF(CONCATENATE(BH308,BI308,BJ308,BK308,BL308)="",1,"")</f>
        <v/>
      </c>
      <c r="BN308" s="328"/>
      <c r="BO308" s="328"/>
      <c r="BP308" s="328"/>
      <c r="BQ308" s="328"/>
      <c r="BR308" s="47"/>
      <c r="BS308" s="127" t="n">
        <f aca="false">(AG308*AM308)+(AH308*AN308)+((AJ308*AM308)+(AK308*AN308)*1.25)</f>
        <v>0</v>
      </c>
      <c r="BT308" s="127" t="n">
        <f aca="false">(AG308*AP308)+(AH308*AQ308)+((AJ308*AP308)+(AK308*AQ308)*1.25)</f>
        <v>0</v>
      </c>
      <c r="BU308" s="329"/>
      <c r="BV308" s="129"/>
    </row>
    <row r="309" customFormat="false" ht="15" hidden="false" customHeight="false" outlineLevel="0" collapsed="false">
      <c r="A309" s="228"/>
      <c r="B309" s="229"/>
      <c r="C309" s="230"/>
      <c r="D309" s="231"/>
      <c r="E309" s="223" t="str">
        <f aca="false">IF(SUM(A309:D309)&gt;0,SUM(A309:D309),"")</f>
        <v/>
      </c>
      <c r="F309" s="224" t="str">
        <f aca="false">AD322</f>
        <v>MEZCLA AVENA-CEBADA</v>
      </c>
      <c r="G309" s="169"/>
      <c r="H309" s="169"/>
      <c r="I309" s="169"/>
      <c r="J309" s="169"/>
      <c r="K309" s="169"/>
      <c r="L309" s="169"/>
      <c r="M309" s="169"/>
      <c r="N309" s="169"/>
      <c r="O309" s="169"/>
      <c r="P309" s="169"/>
      <c r="Q309" s="169"/>
      <c r="R309" s="3"/>
      <c r="S309" s="3"/>
      <c r="T309" s="3"/>
      <c r="U309" s="3"/>
      <c r="V309" s="3"/>
      <c r="W309" s="3"/>
      <c r="X309" s="3"/>
      <c r="Y309" s="3"/>
      <c r="Z309" s="316" t="str">
        <f aca="false">IF(AF309&gt;0,RANK(AF309,AF$6:AF$422),"")</f>
        <v/>
      </c>
      <c r="AA309" s="134" t="n">
        <f aca="false">'O_MN, PE_UTA_UGM 2024'!N286</f>
        <v>5</v>
      </c>
      <c r="AB309" s="135" t="n">
        <f aca="false">'O_MN, PE_UTA_UGM 2024'!O286</f>
        <v>0</v>
      </c>
      <c r="AC309" s="317" t="n">
        <f aca="false">'O_MN, PE_UTA_UGM 2024'!C286</f>
        <v>283</v>
      </c>
      <c r="AD309" s="293" t="str">
        <f aca="false">IF(AB309=0,'O_MN, PE_UTA_UGM 2024'!F286,CONCATENATE('O_MN, PE_UTA_UGM 2024'!F286," ","INVERNADERO"))</f>
        <v>ALCAPARRA</v>
      </c>
      <c r="AE309" s="89"/>
      <c r="AF309" s="123" t="n">
        <f aca="false">SUM(AG309:AH309)+SUM(AJ309:AK309)</f>
        <v>0</v>
      </c>
      <c r="AG309" s="318" t="n">
        <f aca="false">A296</f>
        <v>0</v>
      </c>
      <c r="AH309" s="319" t="n">
        <f aca="false">B296</f>
        <v>0</v>
      </c>
      <c r="AI309" s="6"/>
      <c r="AJ309" s="320" t="n">
        <f aca="false">C296</f>
        <v>0</v>
      </c>
      <c r="AK309" s="320" t="n">
        <f aca="false">D296</f>
        <v>0</v>
      </c>
      <c r="AL309" s="237" t="s">
        <v>435</v>
      </c>
      <c r="AM309" s="299" t="n">
        <f aca="false">'O_MN, PE_UTA_UGM 2024'!J286</f>
        <v>1000</v>
      </c>
      <c r="AN309" s="299" t="n">
        <f aca="false">'O_MN, PE_UTA_UGM 2024'!K286</f>
        <v>3800</v>
      </c>
      <c r="AO309" s="300"/>
      <c r="AP309" s="299" t="n">
        <f aca="false">'O_MN, PE_UTA_UGM 2024'!H286</f>
        <v>360.61</v>
      </c>
      <c r="AQ309" s="299" t="n">
        <f aca="false">'O_MN, PE_UTA_UGM 2024'!I286</f>
        <v>1352.28</v>
      </c>
      <c r="AR309" s="301"/>
      <c r="AS309" s="302" t="n">
        <f aca="false">'O_MN, PE_UTA_UGM 2024'!L286</f>
        <v>0.0147</v>
      </c>
      <c r="AT309" s="302" t="n">
        <f aca="false">'O_MN, PE_UTA_UGM 2024'!M286</f>
        <v>0.05512</v>
      </c>
      <c r="AU309" s="45"/>
      <c r="AV309" s="321" t="n">
        <f aca="false">AG309*AM309</f>
        <v>0</v>
      </c>
      <c r="AW309" s="319" t="n">
        <f aca="false">AH309*AN309</f>
        <v>0</v>
      </c>
      <c r="AX309" s="320" t="n">
        <f aca="false">1.25*AJ309*AM309</f>
        <v>0</v>
      </c>
      <c r="AY309" s="322" t="n">
        <f aca="false">1.25*AK309*AN309</f>
        <v>0</v>
      </c>
      <c r="AZ309" s="323" t="n">
        <f aca="false">AG309*AP309</f>
        <v>0</v>
      </c>
      <c r="BA309" s="319" t="n">
        <f aca="false">AH309*AQ309</f>
        <v>0</v>
      </c>
      <c r="BB309" s="320" t="n">
        <f aca="false">1.25*AJ309*AP309</f>
        <v>0</v>
      </c>
      <c r="BC309" s="320" t="n">
        <f aca="false">1.25*AK309*AQ309</f>
        <v>0</v>
      </c>
      <c r="BD309" s="321" t="n">
        <f aca="false">AG309*AS309</f>
        <v>0</v>
      </c>
      <c r="BE309" s="319" t="n">
        <f aca="false">AH309*AT309</f>
        <v>0</v>
      </c>
      <c r="BF309" s="320" t="n">
        <f aca="false">AJ309*AS309</f>
        <v>0</v>
      </c>
      <c r="BG309" s="322" t="n">
        <f aca="false">AK309*AT309</f>
        <v>0</v>
      </c>
      <c r="BH309" s="324" t="str">
        <f aca="false">IF(BH$24=$AA309,($AG309*$AM309)+($AJ309*$AM309*1.25)+($AH309*$AN309)+($AK309*$AN309*1.25),"")</f>
        <v/>
      </c>
      <c r="BI309" s="325" t="str">
        <f aca="false">IF(BI$24=$AA309,($AG309*$AM309)+($AJ309*$AM309*1.25)+($AH309*$AN309)+($AK309*$AN309*1.25),"")</f>
        <v/>
      </c>
      <c r="BJ309" s="325" t="str">
        <f aca="false">IF(BJ$24=$AA309,($AG309*$AM309)+($AJ309*$AM309*1.25)+($AH309*$AN309)+($AK309*$AN309*1.25),"")</f>
        <v/>
      </c>
      <c r="BK309" s="325" t="str">
        <f aca="false">IF(BK$24=$AA309,($AG309*$AM309)+($AJ309*$AM309*1.25)+($AH309*$AN309)+($AK309*$AN309*1.25),"")</f>
        <v/>
      </c>
      <c r="BL309" s="326" t="n">
        <f aca="false">IF(BL$24=$AA309,($AG309*$AM309)+($AJ309*$AM309*1.25)+($AH309*$AN309)+($AK309*$AN309*1.25),"")</f>
        <v>0</v>
      </c>
      <c r="BM309" s="327" t="str">
        <f aca="false">IF(CONCATENATE(BH309,BI309,BJ309,BK309,BL309)="",1,"")</f>
        <v/>
      </c>
      <c r="BN309" s="328"/>
      <c r="BO309" s="328"/>
      <c r="BP309" s="328"/>
      <c r="BQ309" s="328"/>
      <c r="BR309" s="47"/>
      <c r="BS309" s="127" t="n">
        <f aca="false">(AG309*AM309)+(AH309*AN309)+((AJ309*AM309)+(AK309*AN309)*1.25)</f>
        <v>0</v>
      </c>
      <c r="BT309" s="127" t="n">
        <f aca="false">(AG309*AP309)+(AH309*AQ309)+((AJ309*AP309)+(AK309*AQ309)*1.25)</f>
        <v>0</v>
      </c>
      <c r="BU309" s="329"/>
      <c r="BV309" s="129"/>
    </row>
    <row r="310" customFormat="false" ht="15" hidden="false" customHeight="false" outlineLevel="0" collapsed="false">
      <c r="A310" s="228"/>
      <c r="B310" s="229"/>
      <c r="C310" s="230"/>
      <c r="D310" s="231"/>
      <c r="E310" s="223" t="str">
        <f aca="false">IF(SUM(A310:D310)&gt;0,SUM(A310:D310),"")</f>
        <v/>
      </c>
      <c r="F310" s="224" t="str">
        <f aca="false">AD323</f>
        <v>MEZCLA AVENA-TRITICALE</v>
      </c>
      <c r="G310" s="169"/>
      <c r="H310" s="169"/>
      <c r="I310" s="169"/>
      <c r="J310" s="169"/>
      <c r="K310" s="169"/>
      <c r="L310" s="169"/>
      <c r="M310" s="169"/>
      <c r="N310" s="169"/>
      <c r="O310" s="169"/>
      <c r="P310" s="169"/>
      <c r="Q310" s="169"/>
      <c r="R310" s="3"/>
      <c r="S310" s="3"/>
      <c r="T310" s="3"/>
      <c r="U310" s="3"/>
      <c r="V310" s="3"/>
      <c r="W310" s="3"/>
      <c r="X310" s="3"/>
      <c r="Y310" s="3"/>
      <c r="Z310" s="316" t="str">
        <f aca="false">IF(AF310&gt;0,RANK(AF310,AF$6:AF$422),"")</f>
        <v/>
      </c>
      <c r="AA310" s="134" t="n">
        <f aca="false">'O_MN, PE_UTA_UGM 2024'!N287</f>
        <v>5</v>
      </c>
      <c r="AB310" s="135" t="n">
        <f aca="false">'O_MN, PE_UTA_UGM 2024'!O287</f>
        <v>0</v>
      </c>
      <c r="AC310" s="317" t="n">
        <f aca="false">'O_MN, PE_UTA_UGM 2024'!C287</f>
        <v>284</v>
      </c>
      <c r="AD310" s="293" t="str">
        <f aca="false">IF(AB310=0,'O_MN, PE_UTA_UGM 2024'!F287,CONCATENATE('O_MN, PE_UTA_UGM 2024'!F287," ","INVERNADERO"))</f>
        <v>AJENJO</v>
      </c>
      <c r="AE310" s="89"/>
      <c r="AF310" s="123" t="n">
        <f aca="false">SUM(AG310:AH310)+SUM(AJ310:AK310)</f>
        <v>0</v>
      </c>
      <c r="AG310" s="318" t="n">
        <f aca="false">A297</f>
        <v>0</v>
      </c>
      <c r="AH310" s="319" t="n">
        <f aca="false">B297</f>
        <v>0</v>
      </c>
      <c r="AI310" s="6"/>
      <c r="AJ310" s="320" t="n">
        <f aca="false">C297</f>
        <v>0</v>
      </c>
      <c r="AK310" s="320" t="n">
        <f aca="false">D297</f>
        <v>0</v>
      </c>
      <c r="AL310" s="237" t="s">
        <v>436</v>
      </c>
      <c r="AM310" s="299" t="n">
        <f aca="false">'O_MN, PE_UTA_UGM 2024'!J287</f>
        <v>1000</v>
      </c>
      <c r="AN310" s="299" t="n">
        <f aca="false">'O_MN, PE_UTA_UGM 2024'!K287</f>
        <v>3800</v>
      </c>
      <c r="AO310" s="300"/>
      <c r="AP310" s="299" t="n">
        <f aca="false">'O_MN, PE_UTA_UGM 2024'!H287</f>
        <v>450.76</v>
      </c>
      <c r="AQ310" s="299" t="n">
        <f aca="false">'O_MN, PE_UTA_UGM 2024'!I287</f>
        <v>721.21</v>
      </c>
      <c r="AR310" s="301"/>
      <c r="AS310" s="302" t="n">
        <f aca="false">'O_MN, PE_UTA_UGM 2024'!L287</f>
        <v>0.01837</v>
      </c>
      <c r="AT310" s="302" t="n">
        <f aca="false">'O_MN, PE_UTA_UGM 2024'!M287</f>
        <v>0.0294</v>
      </c>
      <c r="AU310" s="45"/>
      <c r="AV310" s="321" t="n">
        <f aca="false">AG310*AM310</f>
        <v>0</v>
      </c>
      <c r="AW310" s="319" t="n">
        <f aca="false">AH310*AN310</f>
        <v>0</v>
      </c>
      <c r="AX310" s="320" t="n">
        <f aca="false">1.25*AJ310*AM310</f>
        <v>0</v>
      </c>
      <c r="AY310" s="322" t="n">
        <f aca="false">1.25*AK310*AN310</f>
        <v>0</v>
      </c>
      <c r="AZ310" s="323" t="n">
        <f aca="false">AG310*AP310</f>
        <v>0</v>
      </c>
      <c r="BA310" s="319" t="n">
        <f aca="false">AH310*AQ310</f>
        <v>0</v>
      </c>
      <c r="BB310" s="320" t="n">
        <f aca="false">1.25*AJ310*AP310</f>
        <v>0</v>
      </c>
      <c r="BC310" s="320" t="n">
        <f aca="false">1.25*AK310*AQ310</f>
        <v>0</v>
      </c>
      <c r="BD310" s="321" t="n">
        <f aca="false">AG310*AS310</f>
        <v>0</v>
      </c>
      <c r="BE310" s="319" t="n">
        <f aca="false">AH310*AT310</f>
        <v>0</v>
      </c>
      <c r="BF310" s="320" t="n">
        <f aca="false">AJ310*AS310</f>
        <v>0</v>
      </c>
      <c r="BG310" s="322" t="n">
        <f aca="false">AK310*AT310</f>
        <v>0</v>
      </c>
      <c r="BH310" s="324" t="str">
        <f aca="false">IF(BH$24=$AA310,($AG310*$AM310)+($AJ310*$AM310*1.25)+($AH310*$AN310)+($AK310*$AN310*1.25),"")</f>
        <v/>
      </c>
      <c r="BI310" s="325" t="str">
        <f aca="false">IF(BI$24=$AA310,($AG310*$AM310)+($AJ310*$AM310*1.25)+($AH310*$AN310)+($AK310*$AN310*1.25),"")</f>
        <v/>
      </c>
      <c r="BJ310" s="325" t="str">
        <f aca="false">IF(BJ$24=$AA310,($AG310*$AM310)+($AJ310*$AM310*1.25)+($AH310*$AN310)+($AK310*$AN310*1.25),"")</f>
        <v/>
      </c>
      <c r="BK310" s="325" t="str">
        <f aca="false">IF(BK$24=$AA310,($AG310*$AM310)+($AJ310*$AM310*1.25)+($AH310*$AN310)+($AK310*$AN310*1.25),"")</f>
        <v/>
      </c>
      <c r="BL310" s="326" t="n">
        <f aca="false">IF(BL$24=$AA310,($AG310*$AM310)+($AJ310*$AM310*1.25)+($AH310*$AN310)+($AK310*$AN310*1.25),"")</f>
        <v>0</v>
      </c>
      <c r="BM310" s="327" t="str">
        <f aca="false">IF(CONCATENATE(BH310,BI310,BJ310,BK310,BL310)="",1,"")</f>
        <v/>
      </c>
      <c r="BN310" s="328"/>
      <c r="BO310" s="328"/>
      <c r="BP310" s="328"/>
      <c r="BQ310" s="328"/>
      <c r="BR310" s="47"/>
      <c r="BS310" s="127" t="n">
        <f aca="false">(AG310*AM310)+(AH310*AN310)+((AJ310*AM310)+(AK310*AN310)*1.25)</f>
        <v>0</v>
      </c>
      <c r="BT310" s="127" t="n">
        <f aca="false">(AG310*AP310)+(AH310*AQ310)+((AJ310*AP310)+(AK310*AQ310)*1.25)</f>
        <v>0</v>
      </c>
      <c r="BU310" s="329"/>
      <c r="BV310" s="129"/>
    </row>
    <row r="311" customFormat="false" ht="15" hidden="false" customHeight="false" outlineLevel="0" collapsed="false">
      <c r="A311" s="228"/>
      <c r="B311" s="229"/>
      <c r="C311" s="230"/>
      <c r="D311" s="231"/>
      <c r="E311" s="223" t="str">
        <f aca="false">IF(SUM(A311:D311)&gt;0,SUM(A311:D311),"")</f>
        <v/>
      </c>
      <c r="F311" s="224" t="str">
        <f aca="false">AD324</f>
        <v>MALVAVISCO</v>
      </c>
      <c r="G311" s="169"/>
      <c r="H311" s="169"/>
      <c r="I311" s="169"/>
      <c r="J311" s="169"/>
      <c r="K311" s="169"/>
      <c r="L311" s="169"/>
      <c r="M311" s="169"/>
      <c r="N311" s="169"/>
      <c r="O311" s="169"/>
      <c r="P311" s="169"/>
      <c r="Q311" s="169"/>
      <c r="R311" s="3"/>
      <c r="S311" s="3"/>
      <c r="T311" s="3"/>
      <c r="U311" s="3"/>
      <c r="V311" s="3"/>
      <c r="W311" s="3"/>
      <c r="X311" s="3"/>
      <c r="Y311" s="3"/>
      <c r="Z311" s="316" t="str">
        <f aca="false">IF(AF311&gt;0,RANK(AF311,AF$6:AF$422),"")</f>
        <v/>
      </c>
      <c r="AA311" s="134" t="n">
        <f aca="false">'O_MN, PE_UTA_UGM 2024'!N288</f>
        <v>5</v>
      </c>
      <c r="AB311" s="135" t="n">
        <f aca="false">'O_MN, PE_UTA_UGM 2024'!O288</f>
        <v>0</v>
      </c>
      <c r="AC311" s="317" t="n">
        <f aca="false">'O_MN, PE_UTA_UGM 2024'!C288</f>
        <v>285</v>
      </c>
      <c r="AD311" s="293" t="str">
        <f aca="false">IF(AB311=0,'O_MN, PE_UTA_UGM 2024'!F288,CONCATENATE('O_MN, PE_UTA_UGM 2024'!F288," ","INVERNADERO"))</f>
        <v>ESPLIEGO</v>
      </c>
      <c r="AE311" s="89"/>
      <c r="AF311" s="123" t="n">
        <f aca="false">SUM(AG311:AH311)+SUM(AJ311:AK311)</f>
        <v>0</v>
      </c>
      <c r="AG311" s="318" t="n">
        <f aca="false">A298</f>
        <v>0</v>
      </c>
      <c r="AH311" s="319" t="n">
        <f aca="false">B298</f>
        <v>0</v>
      </c>
      <c r="AI311" s="6"/>
      <c r="AJ311" s="320" t="n">
        <f aca="false">C298</f>
        <v>0</v>
      </c>
      <c r="AK311" s="320" t="n">
        <f aca="false">D298</f>
        <v>0</v>
      </c>
      <c r="AL311" s="237" t="s">
        <v>437</v>
      </c>
      <c r="AM311" s="299" t="n">
        <f aca="false">'O_MN, PE_UTA_UGM 2024'!J288</f>
        <v>1000</v>
      </c>
      <c r="AN311" s="299" t="n">
        <f aca="false">'O_MN, PE_UTA_UGM 2024'!K288</f>
        <v>3800</v>
      </c>
      <c r="AO311" s="300"/>
      <c r="AP311" s="299" t="n">
        <f aca="false">'O_MN, PE_UTA_UGM 2024'!H288</f>
        <v>114.19</v>
      </c>
      <c r="AQ311" s="299" t="n">
        <f aca="false">'O_MN, PE_UTA_UGM 2024'!I288</f>
        <v>240.4</v>
      </c>
      <c r="AR311" s="301"/>
      <c r="AS311" s="302" t="n">
        <f aca="false">'O_MN, PE_UTA_UGM 2024'!L288</f>
        <v>0.00465</v>
      </c>
      <c r="AT311" s="302" t="n">
        <f aca="false">'O_MN, PE_UTA_UGM 2024'!M288</f>
        <v>0.0098</v>
      </c>
      <c r="AU311" s="45"/>
      <c r="AV311" s="321" t="n">
        <f aca="false">AG311*AM311</f>
        <v>0</v>
      </c>
      <c r="AW311" s="319" t="n">
        <f aca="false">AH311*AN311</f>
        <v>0</v>
      </c>
      <c r="AX311" s="320" t="n">
        <f aca="false">1.25*AJ311*AM311</f>
        <v>0</v>
      </c>
      <c r="AY311" s="322" t="n">
        <f aca="false">1.25*AK311*AN311</f>
        <v>0</v>
      </c>
      <c r="AZ311" s="323" t="n">
        <f aca="false">AG311*AP311</f>
        <v>0</v>
      </c>
      <c r="BA311" s="319" t="n">
        <f aca="false">AH311*AQ311</f>
        <v>0</v>
      </c>
      <c r="BB311" s="320" t="n">
        <f aca="false">1.25*AJ311*AP311</f>
        <v>0</v>
      </c>
      <c r="BC311" s="320" t="n">
        <f aca="false">1.25*AK311*AQ311</f>
        <v>0</v>
      </c>
      <c r="BD311" s="321" t="n">
        <f aca="false">AG311*AS311</f>
        <v>0</v>
      </c>
      <c r="BE311" s="319" t="n">
        <f aca="false">AH311*AT311</f>
        <v>0</v>
      </c>
      <c r="BF311" s="320" t="n">
        <f aca="false">AJ311*AS311</f>
        <v>0</v>
      </c>
      <c r="BG311" s="322" t="n">
        <f aca="false">AK311*AT311</f>
        <v>0</v>
      </c>
      <c r="BH311" s="324" t="str">
        <f aca="false">IF(BH$24=$AA311,($AG311*$AM311)+($AJ311*$AM311*1.25)+($AH311*$AN311)+($AK311*$AN311*1.25),"")</f>
        <v/>
      </c>
      <c r="BI311" s="325" t="str">
        <f aca="false">IF(BI$24=$AA311,($AG311*$AM311)+($AJ311*$AM311*1.25)+($AH311*$AN311)+($AK311*$AN311*1.25),"")</f>
        <v/>
      </c>
      <c r="BJ311" s="325" t="str">
        <f aca="false">IF(BJ$24=$AA311,($AG311*$AM311)+($AJ311*$AM311*1.25)+($AH311*$AN311)+($AK311*$AN311*1.25),"")</f>
        <v/>
      </c>
      <c r="BK311" s="325" t="str">
        <f aca="false">IF(BK$24=$AA311,($AG311*$AM311)+($AJ311*$AM311*1.25)+($AH311*$AN311)+($AK311*$AN311*1.25),"")</f>
        <v/>
      </c>
      <c r="BL311" s="326" t="n">
        <f aca="false">IF(BL$24=$AA311,($AG311*$AM311)+($AJ311*$AM311*1.25)+($AH311*$AN311)+($AK311*$AN311*1.25),"")</f>
        <v>0</v>
      </c>
      <c r="BM311" s="327" t="str">
        <f aca="false">IF(CONCATENATE(BH311,BI311,BJ311,BK311,BL311)="",1,"")</f>
        <v/>
      </c>
      <c r="BN311" s="328"/>
      <c r="BO311" s="328"/>
      <c r="BP311" s="328"/>
      <c r="BQ311" s="328"/>
      <c r="BR311" s="47"/>
      <c r="BS311" s="127" t="n">
        <f aca="false">(AG311*AM311)+(AH311*AN311)+((AJ311*AM311)+(AK311*AN311)*1.25)</f>
        <v>0</v>
      </c>
      <c r="BT311" s="127" t="n">
        <f aca="false">(AG311*AP311)+(AH311*AQ311)+((AJ311*AP311)+(AK311*AQ311)*1.25)</f>
        <v>0</v>
      </c>
      <c r="BU311" s="329"/>
      <c r="BV311" s="129"/>
    </row>
    <row r="312" customFormat="false" ht="15" hidden="false" customHeight="false" outlineLevel="0" collapsed="false">
      <c r="A312" s="228"/>
      <c r="B312" s="229"/>
      <c r="C312" s="230"/>
      <c r="D312" s="231"/>
      <c r="E312" s="223" t="str">
        <f aca="false">IF(SUM(A312:D312)&gt;0,SUM(A312:D312),"")</f>
        <v/>
      </c>
      <c r="F312" s="224" t="str">
        <f aca="false">AD325</f>
        <v>MANZANILLA AMARGA</v>
      </c>
      <c r="G312" s="169"/>
      <c r="H312" s="169"/>
      <c r="I312" s="169"/>
      <c r="J312" s="169"/>
      <c r="K312" s="169"/>
      <c r="L312" s="169"/>
      <c r="M312" s="169"/>
      <c r="N312" s="169"/>
      <c r="O312" s="169"/>
      <c r="P312" s="169"/>
      <c r="Q312" s="169"/>
      <c r="R312" s="3"/>
      <c r="S312" s="3"/>
      <c r="T312" s="3"/>
      <c r="U312" s="3"/>
      <c r="V312" s="3"/>
      <c r="W312" s="3"/>
      <c r="X312" s="3"/>
      <c r="Y312" s="3"/>
      <c r="Z312" s="316" t="str">
        <f aca="false">IF(AF312&gt;0,RANK(AF312,AF$6:AF$422),"")</f>
        <v/>
      </c>
      <c r="AA312" s="134" t="n">
        <f aca="false">'O_MN, PE_UTA_UGM 2024'!N289</f>
        <v>5</v>
      </c>
      <c r="AB312" s="135" t="n">
        <f aca="false">'O_MN, PE_UTA_UGM 2024'!O289</f>
        <v>0</v>
      </c>
      <c r="AC312" s="317" t="n">
        <f aca="false">'O_MN, PE_UTA_UGM 2024'!C289</f>
        <v>286</v>
      </c>
      <c r="AD312" s="293" t="str">
        <f aca="false">IF(AB312=0,'O_MN, PE_UTA_UGM 2024'!F289,CONCATENATE('O_MN, PE_UTA_UGM 2024'!F289," ","INVERNADERO"))</f>
        <v>HELICRISO</v>
      </c>
      <c r="AE312" s="89"/>
      <c r="AF312" s="123" t="n">
        <f aca="false">SUM(AG312:AH312)+SUM(AJ312:AK312)</f>
        <v>0</v>
      </c>
      <c r="AG312" s="318" t="n">
        <f aca="false">A299</f>
        <v>0</v>
      </c>
      <c r="AH312" s="319" t="n">
        <f aca="false">B299</f>
        <v>0</v>
      </c>
      <c r="AI312" s="6"/>
      <c r="AJ312" s="320" t="n">
        <f aca="false">C299</f>
        <v>0</v>
      </c>
      <c r="AK312" s="320" t="n">
        <f aca="false">D299</f>
        <v>0</v>
      </c>
      <c r="AL312" s="237" t="s">
        <v>438</v>
      </c>
      <c r="AM312" s="299" t="n">
        <f aca="false">'O_MN, PE_UTA_UGM 2024'!J289</f>
        <v>1000</v>
      </c>
      <c r="AN312" s="299" t="n">
        <f aca="false">'O_MN, PE_UTA_UGM 2024'!K289</f>
        <v>3800</v>
      </c>
      <c r="AO312" s="300"/>
      <c r="AP312" s="299" t="n">
        <f aca="false">'O_MN, PE_UTA_UGM 2024'!H289</f>
        <v>114.19</v>
      </c>
      <c r="AQ312" s="299" t="n">
        <f aca="false">'O_MN, PE_UTA_UGM 2024'!I289</f>
        <v>240.4</v>
      </c>
      <c r="AR312" s="301"/>
      <c r="AS312" s="302" t="n">
        <f aca="false">'O_MN, PE_UTA_UGM 2024'!L289</f>
        <v>0.00465</v>
      </c>
      <c r="AT312" s="302" t="n">
        <f aca="false">'O_MN, PE_UTA_UGM 2024'!M289</f>
        <v>0.0098</v>
      </c>
      <c r="AU312" s="45"/>
      <c r="AV312" s="321" t="n">
        <f aca="false">AG312*AM312</f>
        <v>0</v>
      </c>
      <c r="AW312" s="319" t="n">
        <f aca="false">AH312*AN312</f>
        <v>0</v>
      </c>
      <c r="AX312" s="320" t="n">
        <f aca="false">1.25*AJ312*AM312</f>
        <v>0</v>
      </c>
      <c r="AY312" s="322" t="n">
        <f aca="false">1.25*AK312*AN312</f>
        <v>0</v>
      </c>
      <c r="AZ312" s="323" t="n">
        <f aca="false">AG312*AP312</f>
        <v>0</v>
      </c>
      <c r="BA312" s="319" t="n">
        <f aca="false">AH312*AQ312</f>
        <v>0</v>
      </c>
      <c r="BB312" s="320" t="n">
        <f aca="false">1.25*AJ312*AP312</f>
        <v>0</v>
      </c>
      <c r="BC312" s="320" t="n">
        <f aca="false">1.25*AK312*AQ312</f>
        <v>0</v>
      </c>
      <c r="BD312" s="321" t="n">
        <f aca="false">AG312*AS312</f>
        <v>0</v>
      </c>
      <c r="BE312" s="319" t="n">
        <f aca="false">AH312*AT312</f>
        <v>0</v>
      </c>
      <c r="BF312" s="320" t="n">
        <f aca="false">AJ312*AS312</f>
        <v>0</v>
      </c>
      <c r="BG312" s="322" t="n">
        <f aca="false">AK312*AT312</f>
        <v>0</v>
      </c>
      <c r="BH312" s="324" t="str">
        <f aca="false">IF(BH$24=$AA312,($AG312*$AM312)+($AJ312*$AM312*1.25)+($AH312*$AN312)+($AK312*$AN312*1.25),"")</f>
        <v/>
      </c>
      <c r="BI312" s="325" t="str">
        <f aca="false">IF(BI$24=$AA312,($AG312*$AM312)+($AJ312*$AM312*1.25)+($AH312*$AN312)+($AK312*$AN312*1.25),"")</f>
        <v/>
      </c>
      <c r="BJ312" s="325" t="str">
        <f aca="false">IF(BJ$24=$AA312,($AG312*$AM312)+($AJ312*$AM312*1.25)+($AH312*$AN312)+($AK312*$AN312*1.25),"")</f>
        <v/>
      </c>
      <c r="BK312" s="325" t="str">
        <f aca="false">IF(BK$24=$AA312,($AG312*$AM312)+($AJ312*$AM312*1.25)+($AH312*$AN312)+($AK312*$AN312*1.25),"")</f>
        <v/>
      </c>
      <c r="BL312" s="326" t="n">
        <f aca="false">IF(BL$24=$AA312,($AG312*$AM312)+($AJ312*$AM312*1.25)+($AH312*$AN312)+($AK312*$AN312*1.25),"")</f>
        <v>0</v>
      </c>
      <c r="BM312" s="327" t="str">
        <f aca="false">IF(CONCATENATE(BH312,BI312,BJ312,BK312,BL312)="",1,"")</f>
        <v/>
      </c>
      <c r="BN312" s="328"/>
      <c r="BO312" s="328"/>
      <c r="BP312" s="328"/>
      <c r="BQ312" s="328"/>
      <c r="BR312" s="47"/>
      <c r="BS312" s="127" t="n">
        <f aca="false">(AG312*AM312)+(AH312*AN312)+((AJ312*AM312)+(AK312*AN312)*1.25)</f>
        <v>0</v>
      </c>
      <c r="BT312" s="127" t="n">
        <f aca="false">(AG312*AP312)+(AH312*AQ312)+((AJ312*AP312)+(AK312*AQ312)*1.25)</f>
        <v>0</v>
      </c>
      <c r="BU312" s="329"/>
      <c r="BV312" s="129"/>
    </row>
    <row r="313" customFormat="false" ht="15" hidden="false" customHeight="false" outlineLevel="0" collapsed="false">
      <c r="A313" s="228"/>
      <c r="B313" s="229"/>
      <c r="C313" s="230"/>
      <c r="D313" s="231"/>
      <c r="E313" s="223" t="str">
        <f aca="false">IF(SUM(A313:D313)&gt;0,SUM(A313:D313),"")</f>
        <v/>
      </c>
      <c r="F313" s="224" t="str">
        <f aca="false">AD326</f>
        <v>MANZANILLA DULCE</v>
      </c>
      <c r="G313" s="169"/>
      <c r="H313" s="169"/>
      <c r="I313" s="169"/>
      <c r="J313" s="169"/>
      <c r="K313" s="169"/>
      <c r="L313" s="169"/>
      <c r="M313" s="169"/>
      <c r="N313" s="169"/>
      <c r="O313" s="169"/>
      <c r="P313" s="169"/>
      <c r="Q313" s="169"/>
      <c r="R313" s="3"/>
      <c r="S313" s="3"/>
      <c r="T313" s="3"/>
      <c r="U313" s="3"/>
      <c r="V313" s="3"/>
      <c r="W313" s="3"/>
      <c r="X313" s="3"/>
      <c r="Y313" s="3"/>
      <c r="Z313" s="316" t="str">
        <f aca="false">IF(AF313&gt;0,RANK(AF313,AF$6:AF$422),"")</f>
        <v/>
      </c>
      <c r="AA313" s="134" t="n">
        <f aca="false">'O_MN, PE_UTA_UGM 2024'!N290</f>
        <v>5</v>
      </c>
      <c r="AB313" s="135" t="n">
        <f aca="false">'O_MN, PE_UTA_UGM 2024'!O290</f>
        <v>0</v>
      </c>
      <c r="AC313" s="317" t="n">
        <f aca="false">'O_MN, PE_UTA_UGM 2024'!C290</f>
        <v>287</v>
      </c>
      <c r="AD313" s="293" t="str">
        <f aca="false">IF(AB313=0,'O_MN, PE_UTA_UGM 2024'!F290,CONCATENATE('O_MN, PE_UTA_UGM 2024'!F290," ","INVERNADERO"))</f>
        <v>HIERBALUISA</v>
      </c>
      <c r="AE313" s="89"/>
      <c r="AF313" s="123" t="n">
        <f aca="false">SUM(AG313:AH313)+SUM(AJ313:AK313)</f>
        <v>0</v>
      </c>
      <c r="AG313" s="318" t="n">
        <f aca="false">A300</f>
        <v>0</v>
      </c>
      <c r="AH313" s="319" t="n">
        <f aca="false">B300</f>
        <v>0</v>
      </c>
      <c r="AI313" s="6"/>
      <c r="AJ313" s="320" t="n">
        <f aca="false">C300</f>
        <v>0</v>
      </c>
      <c r="AK313" s="320" t="n">
        <f aca="false">D300</f>
        <v>0</v>
      </c>
      <c r="AL313" s="237" t="s">
        <v>439</v>
      </c>
      <c r="AM313" s="299" t="n">
        <f aca="false">'O_MN, PE_UTA_UGM 2024'!J290</f>
        <v>1000</v>
      </c>
      <c r="AN313" s="299" t="n">
        <f aca="false">'O_MN, PE_UTA_UGM 2024'!K290</f>
        <v>3800</v>
      </c>
      <c r="AO313" s="300"/>
      <c r="AP313" s="299" t="n">
        <f aca="false">'O_MN, PE_UTA_UGM 2024'!H290</f>
        <v>114.19</v>
      </c>
      <c r="AQ313" s="299" t="n">
        <f aca="false">'O_MN, PE_UTA_UGM 2024'!I290</f>
        <v>240.4</v>
      </c>
      <c r="AR313" s="301"/>
      <c r="AS313" s="302" t="n">
        <f aca="false">'O_MN, PE_UTA_UGM 2024'!L290</f>
        <v>0.00465</v>
      </c>
      <c r="AT313" s="302" t="n">
        <f aca="false">'O_MN, PE_UTA_UGM 2024'!M290</f>
        <v>0.0098</v>
      </c>
      <c r="AU313" s="45"/>
      <c r="AV313" s="321" t="n">
        <f aca="false">AG313*AM313</f>
        <v>0</v>
      </c>
      <c r="AW313" s="319" t="n">
        <f aca="false">AH313*AN313</f>
        <v>0</v>
      </c>
      <c r="AX313" s="320" t="n">
        <f aca="false">1.25*AJ313*AM313</f>
        <v>0</v>
      </c>
      <c r="AY313" s="322" t="n">
        <f aca="false">1.25*AK313*AN313</f>
        <v>0</v>
      </c>
      <c r="AZ313" s="323" t="n">
        <f aca="false">AG313*AP313</f>
        <v>0</v>
      </c>
      <c r="BA313" s="319" t="n">
        <f aca="false">AH313*AQ313</f>
        <v>0</v>
      </c>
      <c r="BB313" s="320" t="n">
        <f aca="false">1.25*AJ313*AP313</f>
        <v>0</v>
      </c>
      <c r="BC313" s="320" t="n">
        <f aca="false">1.25*AK313*AQ313</f>
        <v>0</v>
      </c>
      <c r="BD313" s="321" t="n">
        <f aca="false">AG313*AS313</f>
        <v>0</v>
      </c>
      <c r="BE313" s="319" t="n">
        <f aca="false">AH313*AT313</f>
        <v>0</v>
      </c>
      <c r="BF313" s="320" t="n">
        <f aca="false">AJ313*AS313</f>
        <v>0</v>
      </c>
      <c r="BG313" s="322" t="n">
        <f aca="false">AK313*AT313</f>
        <v>0</v>
      </c>
      <c r="BH313" s="324" t="str">
        <f aca="false">IF(BH$24=$AA313,($AG313*$AM313)+($AJ313*$AM313*1.25)+($AH313*$AN313)+($AK313*$AN313*1.25),"")</f>
        <v/>
      </c>
      <c r="BI313" s="325" t="str">
        <f aca="false">IF(BI$24=$AA313,($AG313*$AM313)+($AJ313*$AM313*1.25)+($AH313*$AN313)+($AK313*$AN313*1.25),"")</f>
        <v/>
      </c>
      <c r="BJ313" s="325" t="str">
        <f aca="false">IF(BJ$24=$AA313,($AG313*$AM313)+($AJ313*$AM313*1.25)+($AH313*$AN313)+($AK313*$AN313*1.25),"")</f>
        <v/>
      </c>
      <c r="BK313" s="325" t="str">
        <f aca="false">IF(BK$24=$AA313,($AG313*$AM313)+($AJ313*$AM313*1.25)+($AH313*$AN313)+($AK313*$AN313*1.25),"")</f>
        <v/>
      </c>
      <c r="BL313" s="326" t="n">
        <f aca="false">IF(BL$24=$AA313,($AG313*$AM313)+($AJ313*$AM313*1.25)+($AH313*$AN313)+($AK313*$AN313*1.25),"")</f>
        <v>0</v>
      </c>
      <c r="BM313" s="327" t="str">
        <f aca="false">IF(CONCATENATE(BH313,BI313,BJ313,BK313,BL313)="",1,"")</f>
        <v/>
      </c>
      <c r="BN313" s="328"/>
      <c r="BO313" s="328"/>
      <c r="BP313" s="328"/>
      <c r="BQ313" s="328"/>
      <c r="BR313" s="47"/>
      <c r="BS313" s="127" t="n">
        <f aca="false">(AG313*AM313)+(AH313*AN313)+((AJ313*AM313)+(AK313*AN313)*1.25)</f>
        <v>0</v>
      </c>
      <c r="BT313" s="127" t="n">
        <f aca="false">(AG313*AP313)+(AH313*AQ313)+((AJ313*AP313)+(AK313*AQ313)*1.25)</f>
        <v>0</v>
      </c>
      <c r="BU313" s="329"/>
      <c r="BV313" s="129"/>
    </row>
    <row r="314" customFormat="false" ht="15" hidden="false" customHeight="false" outlineLevel="0" collapsed="false">
      <c r="A314" s="228"/>
      <c r="B314" s="229"/>
      <c r="C314" s="230"/>
      <c r="D314" s="231"/>
      <c r="E314" s="223" t="str">
        <f aca="false">IF(SUM(A314:D314)&gt;0,SUM(A314:D314),"")</f>
        <v/>
      </c>
      <c r="F314" s="224" t="str">
        <f aca="false">AD327</f>
        <v>MILENRAMA</v>
      </c>
      <c r="G314" s="169"/>
      <c r="H314" s="169"/>
      <c r="I314" s="169"/>
      <c r="J314" s="169"/>
      <c r="K314" s="169"/>
      <c r="L314" s="169"/>
      <c r="M314" s="169"/>
      <c r="N314" s="169"/>
      <c r="O314" s="169"/>
      <c r="P314" s="169"/>
      <c r="Q314" s="169"/>
      <c r="R314" s="3"/>
      <c r="S314" s="3"/>
      <c r="T314" s="3"/>
      <c r="U314" s="3"/>
      <c r="V314" s="3"/>
      <c r="W314" s="3"/>
      <c r="X314" s="3"/>
      <c r="Y314" s="3"/>
      <c r="Z314" s="316" t="str">
        <f aca="false">IF(AF314&gt;0,RANK(AF314,AF$6:AF$422),"")</f>
        <v/>
      </c>
      <c r="AA314" s="134" t="n">
        <f aca="false">'O_MN, PE_UTA_UGM 2024'!N291</f>
        <v>5</v>
      </c>
      <c r="AB314" s="135" t="n">
        <f aca="false">'O_MN, PE_UTA_UGM 2024'!O291</f>
        <v>0</v>
      </c>
      <c r="AC314" s="317" t="n">
        <f aca="false">'O_MN, PE_UTA_UGM 2024'!C291</f>
        <v>288</v>
      </c>
      <c r="AD314" s="293" t="str">
        <f aca="false">IF(AB314=0,'O_MN, PE_UTA_UGM 2024'!F291,CONCATENATE('O_MN, PE_UTA_UGM 2024'!F291," ","INVERNADERO"))</f>
        <v>ROMERO</v>
      </c>
      <c r="AE314" s="89"/>
      <c r="AF314" s="123" t="n">
        <f aca="false">SUM(AG314:AH314)+SUM(AJ314:AK314)</f>
        <v>0</v>
      </c>
      <c r="AG314" s="318" t="n">
        <f aca="false">A301</f>
        <v>0</v>
      </c>
      <c r="AH314" s="319" t="n">
        <f aca="false">B301</f>
        <v>0</v>
      </c>
      <c r="AI314" s="6"/>
      <c r="AJ314" s="320" t="n">
        <f aca="false">C301</f>
        <v>0</v>
      </c>
      <c r="AK314" s="320" t="n">
        <f aca="false">D301</f>
        <v>0</v>
      </c>
      <c r="AL314" s="237" t="s">
        <v>440</v>
      </c>
      <c r="AM314" s="299" t="n">
        <f aca="false">'O_MN, PE_UTA_UGM 2024'!J291</f>
        <v>1000</v>
      </c>
      <c r="AN314" s="299" t="n">
        <f aca="false">'O_MN, PE_UTA_UGM 2024'!K291</f>
        <v>3800</v>
      </c>
      <c r="AO314" s="300"/>
      <c r="AP314" s="299" t="n">
        <f aca="false">'O_MN, PE_UTA_UGM 2024'!H291</f>
        <v>114.19</v>
      </c>
      <c r="AQ314" s="299" t="n">
        <f aca="false">'O_MN, PE_UTA_UGM 2024'!I291</f>
        <v>240.4</v>
      </c>
      <c r="AR314" s="301"/>
      <c r="AS314" s="302" t="n">
        <f aca="false">'O_MN, PE_UTA_UGM 2024'!L291</f>
        <v>0.00465</v>
      </c>
      <c r="AT314" s="302" t="n">
        <f aca="false">'O_MN, PE_UTA_UGM 2024'!M291</f>
        <v>0.0098</v>
      </c>
      <c r="AU314" s="45"/>
      <c r="AV314" s="321" t="n">
        <f aca="false">AG314*AM314</f>
        <v>0</v>
      </c>
      <c r="AW314" s="319" t="n">
        <f aca="false">AH314*AN314</f>
        <v>0</v>
      </c>
      <c r="AX314" s="320" t="n">
        <f aca="false">1.25*AJ314*AM314</f>
        <v>0</v>
      </c>
      <c r="AY314" s="322" t="n">
        <f aca="false">1.25*AK314*AN314</f>
        <v>0</v>
      </c>
      <c r="AZ314" s="323" t="n">
        <f aca="false">AG314*AP314</f>
        <v>0</v>
      </c>
      <c r="BA314" s="319" t="n">
        <f aca="false">AH314*AQ314</f>
        <v>0</v>
      </c>
      <c r="BB314" s="320" t="n">
        <f aca="false">1.25*AJ314*AP314</f>
        <v>0</v>
      </c>
      <c r="BC314" s="320" t="n">
        <f aca="false">1.25*AK314*AQ314</f>
        <v>0</v>
      </c>
      <c r="BD314" s="321" t="n">
        <f aca="false">AG314*AS314</f>
        <v>0</v>
      </c>
      <c r="BE314" s="319" t="n">
        <f aca="false">AH314*AT314</f>
        <v>0</v>
      </c>
      <c r="BF314" s="320" t="n">
        <f aca="false">AJ314*AS314</f>
        <v>0</v>
      </c>
      <c r="BG314" s="322" t="n">
        <f aca="false">AK314*AT314</f>
        <v>0</v>
      </c>
      <c r="BH314" s="324" t="str">
        <f aca="false">IF(BH$24=$AA314,($AG314*$AM314)+($AJ314*$AM314*1.25)+($AH314*$AN314)+($AK314*$AN314*1.25),"")</f>
        <v/>
      </c>
      <c r="BI314" s="325" t="str">
        <f aca="false">IF(BI$24=$AA314,($AG314*$AM314)+($AJ314*$AM314*1.25)+($AH314*$AN314)+($AK314*$AN314*1.25),"")</f>
        <v/>
      </c>
      <c r="BJ314" s="325" t="str">
        <f aca="false">IF(BJ$24=$AA314,($AG314*$AM314)+($AJ314*$AM314*1.25)+($AH314*$AN314)+($AK314*$AN314*1.25),"")</f>
        <v/>
      </c>
      <c r="BK314" s="325" t="str">
        <f aca="false">IF(BK$24=$AA314,($AG314*$AM314)+($AJ314*$AM314*1.25)+($AH314*$AN314)+($AK314*$AN314*1.25),"")</f>
        <v/>
      </c>
      <c r="BL314" s="326" t="n">
        <f aca="false">IF(BL$24=$AA314,($AG314*$AM314)+($AJ314*$AM314*1.25)+($AH314*$AN314)+($AK314*$AN314*1.25),"")</f>
        <v>0</v>
      </c>
      <c r="BM314" s="327" t="str">
        <f aca="false">IF(CONCATENATE(BH314,BI314,BJ314,BK314,BL314)="",1,"")</f>
        <v/>
      </c>
      <c r="BN314" s="328"/>
      <c r="BO314" s="328"/>
      <c r="BP314" s="328"/>
      <c r="BQ314" s="328"/>
      <c r="BR314" s="47"/>
      <c r="BS314" s="127" t="n">
        <f aca="false">(AG314*AM314)+(AH314*AN314)+((AJ314*AM314)+(AK314*AN314)*1.25)</f>
        <v>0</v>
      </c>
      <c r="BT314" s="127" t="n">
        <f aca="false">(AG314*AP314)+(AH314*AQ314)+((AJ314*AP314)+(AK314*AQ314)*1.25)</f>
        <v>0</v>
      </c>
      <c r="BU314" s="329"/>
      <c r="BV314" s="129"/>
    </row>
    <row r="315" customFormat="false" ht="15" hidden="false" customHeight="false" outlineLevel="0" collapsed="false">
      <c r="A315" s="228"/>
      <c r="B315" s="229"/>
      <c r="C315" s="230"/>
      <c r="D315" s="231"/>
      <c r="E315" s="223" t="str">
        <f aca="false">IF(SUM(A315:D315)&gt;0,SUM(A315:D315),"")</f>
        <v/>
      </c>
      <c r="F315" s="224" t="str">
        <f aca="false">AD328</f>
        <v>POLEO</v>
      </c>
      <c r="G315" s="169"/>
      <c r="H315" s="169"/>
      <c r="I315" s="169"/>
      <c r="J315" s="169"/>
      <c r="K315" s="169"/>
      <c r="L315" s="169"/>
      <c r="M315" s="169"/>
      <c r="N315" s="169"/>
      <c r="O315" s="169"/>
      <c r="P315" s="169"/>
      <c r="Q315" s="169"/>
      <c r="R315" s="3"/>
      <c r="S315" s="3"/>
      <c r="T315" s="3"/>
      <c r="U315" s="3"/>
      <c r="V315" s="3"/>
      <c r="W315" s="3"/>
      <c r="X315" s="3"/>
      <c r="Y315" s="3"/>
      <c r="Z315" s="316" t="str">
        <f aca="false">IF(AF315&gt;0,RANK(AF315,AF$6:AF$422),"")</f>
        <v/>
      </c>
      <c r="AA315" s="134" t="n">
        <f aca="false">'O_MN, PE_UTA_UGM 2024'!N292</f>
        <v>5</v>
      </c>
      <c r="AB315" s="135" t="n">
        <f aca="false">'O_MN, PE_UTA_UGM 2024'!O292</f>
        <v>0</v>
      </c>
      <c r="AC315" s="317" t="n">
        <f aca="false">'O_MN, PE_UTA_UGM 2024'!C292</f>
        <v>289</v>
      </c>
      <c r="AD315" s="293" t="str">
        <f aca="false">IF(AB315=0,'O_MN, PE_UTA_UGM 2024'!F292,CONCATENATE('O_MN, PE_UTA_UGM 2024'!F292," ","INVERNADERO"))</f>
        <v>SANTOLINA</v>
      </c>
      <c r="AE315" s="89"/>
      <c r="AF315" s="123" t="n">
        <f aca="false">SUM(AG315:AH315)+SUM(AJ315:AK315)</f>
        <v>0</v>
      </c>
      <c r="AG315" s="318" t="n">
        <f aca="false">A302</f>
        <v>0</v>
      </c>
      <c r="AH315" s="319" t="n">
        <f aca="false">B302</f>
        <v>0</v>
      </c>
      <c r="AI315" s="6"/>
      <c r="AJ315" s="320" t="n">
        <f aca="false">C302</f>
        <v>0</v>
      </c>
      <c r="AK315" s="320" t="n">
        <f aca="false">D302</f>
        <v>0</v>
      </c>
      <c r="AL315" s="237" t="s">
        <v>441</v>
      </c>
      <c r="AM315" s="299" t="n">
        <f aca="false">'O_MN, PE_UTA_UGM 2024'!J292</f>
        <v>1000</v>
      </c>
      <c r="AN315" s="299" t="n">
        <f aca="false">'O_MN, PE_UTA_UGM 2024'!K292</f>
        <v>3800</v>
      </c>
      <c r="AO315" s="300"/>
      <c r="AP315" s="299" t="n">
        <f aca="false">'O_MN, PE_UTA_UGM 2024'!H292</f>
        <v>114.19</v>
      </c>
      <c r="AQ315" s="299" t="n">
        <f aca="false">'O_MN, PE_UTA_UGM 2024'!I292</f>
        <v>240.4</v>
      </c>
      <c r="AR315" s="301"/>
      <c r="AS315" s="302" t="n">
        <f aca="false">'O_MN, PE_UTA_UGM 2024'!L292</f>
        <v>0.00465</v>
      </c>
      <c r="AT315" s="302" t="n">
        <f aca="false">'O_MN, PE_UTA_UGM 2024'!M292</f>
        <v>0.0098</v>
      </c>
      <c r="AU315" s="45"/>
      <c r="AV315" s="321" t="n">
        <f aca="false">AG315*AM315</f>
        <v>0</v>
      </c>
      <c r="AW315" s="319" t="n">
        <f aca="false">AH315*AN315</f>
        <v>0</v>
      </c>
      <c r="AX315" s="320" t="n">
        <f aca="false">1.25*AJ315*AM315</f>
        <v>0</v>
      </c>
      <c r="AY315" s="322" t="n">
        <f aca="false">1.25*AK315*AN315</f>
        <v>0</v>
      </c>
      <c r="AZ315" s="323" t="n">
        <f aca="false">AG315*AP315</f>
        <v>0</v>
      </c>
      <c r="BA315" s="319" t="n">
        <f aca="false">AH315*AQ315</f>
        <v>0</v>
      </c>
      <c r="BB315" s="320" t="n">
        <f aca="false">1.25*AJ315*AP315</f>
        <v>0</v>
      </c>
      <c r="BC315" s="320" t="n">
        <f aca="false">1.25*AK315*AQ315</f>
        <v>0</v>
      </c>
      <c r="BD315" s="321" t="n">
        <f aca="false">AG315*AS315</f>
        <v>0</v>
      </c>
      <c r="BE315" s="319" t="n">
        <f aca="false">AH315*AT315</f>
        <v>0</v>
      </c>
      <c r="BF315" s="320" t="n">
        <f aca="false">AJ315*AS315</f>
        <v>0</v>
      </c>
      <c r="BG315" s="322" t="n">
        <f aca="false">AK315*AT315</f>
        <v>0</v>
      </c>
      <c r="BH315" s="324" t="str">
        <f aca="false">IF(BH$24=$AA315,($AG315*$AM315)+($AJ315*$AM315*1.25)+($AH315*$AN315)+($AK315*$AN315*1.25),"")</f>
        <v/>
      </c>
      <c r="BI315" s="325" t="str">
        <f aca="false">IF(BI$24=$AA315,($AG315*$AM315)+($AJ315*$AM315*1.25)+($AH315*$AN315)+($AK315*$AN315*1.25),"")</f>
        <v/>
      </c>
      <c r="BJ315" s="325" t="str">
        <f aca="false">IF(BJ$24=$AA315,($AG315*$AM315)+($AJ315*$AM315*1.25)+($AH315*$AN315)+($AK315*$AN315*1.25),"")</f>
        <v/>
      </c>
      <c r="BK315" s="325" t="str">
        <f aca="false">IF(BK$24=$AA315,($AG315*$AM315)+($AJ315*$AM315*1.25)+($AH315*$AN315)+($AK315*$AN315*1.25),"")</f>
        <v/>
      </c>
      <c r="BL315" s="326" t="n">
        <f aca="false">IF(BL$24=$AA315,($AG315*$AM315)+($AJ315*$AM315*1.25)+($AH315*$AN315)+($AK315*$AN315*1.25),"")</f>
        <v>0</v>
      </c>
      <c r="BM315" s="327" t="str">
        <f aca="false">IF(CONCATENATE(BH315,BI315,BJ315,BK315,BL315)="",1,"")</f>
        <v/>
      </c>
      <c r="BN315" s="328"/>
      <c r="BO315" s="328"/>
      <c r="BP315" s="328"/>
      <c r="BQ315" s="328"/>
      <c r="BR315" s="47"/>
      <c r="BS315" s="127" t="n">
        <f aca="false">(AG315*AM315)+(AH315*AN315)+((AJ315*AM315)+(AK315*AN315)*1.25)</f>
        <v>0</v>
      </c>
      <c r="BT315" s="127" t="n">
        <f aca="false">(AG315*AP315)+(AH315*AQ315)+((AJ315*AP315)+(AK315*AQ315)*1.25)</f>
        <v>0</v>
      </c>
      <c r="BU315" s="329"/>
      <c r="BV315" s="129"/>
    </row>
    <row r="316" customFormat="false" ht="15" hidden="false" customHeight="false" outlineLevel="0" collapsed="false">
      <c r="A316" s="228"/>
      <c r="B316" s="229"/>
      <c r="C316" s="230"/>
      <c r="D316" s="231"/>
      <c r="E316" s="223" t="str">
        <f aca="false">IF(SUM(A316:D316)&gt;0,SUM(A316:D316),"")</f>
        <v/>
      </c>
      <c r="F316" s="224" t="str">
        <f aca="false">AD329</f>
        <v>TRIGO KHORASAN</v>
      </c>
      <c r="G316" s="169"/>
      <c r="H316" s="169"/>
      <c r="I316" s="169"/>
      <c r="J316" s="169"/>
      <c r="K316" s="169"/>
      <c r="L316" s="169"/>
      <c r="M316" s="169"/>
      <c r="N316" s="169"/>
      <c r="O316" s="169"/>
      <c r="P316" s="169"/>
      <c r="Q316" s="169"/>
      <c r="R316" s="3"/>
      <c r="S316" s="3"/>
      <c r="T316" s="3"/>
      <c r="U316" s="3"/>
      <c r="V316" s="3"/>
      <c r="W316" s="3"/>
      <c r="X316" s="3"/>
      <c r="Y316" s="3"/>
      <c r="Z316" s="316" t="str">
        <f aca="false">IF(AF316&gt;0,RANK(AF316,AF$6:AF$422),"")</f>
        <v/>
      </c>
      <c r="AA316" s="134" t="n">
        <f aca="false">'O_MN, PE_UTA_UGM 2024'!N293</f>
        <v>1</v>
      </c>
      <c r="AB316" s="135" t="n">
        <f aca="false">'O_MN, PE_UTA_UGM 2024'!O293</f>
        <v>0</v>
      </c>
      <c r="AC316" s="317" t="n">
        <f aca="false">'O_MN, PE_UTA_UGM 2024'!C293</f>
        <v>298</v>
      </c>
      <c r="AD316" s="293" t="str">
        <f aca="false">IF(AB316=0,'O_MN, PE_UTA_UGM 2024'!F293,CONCATENATE('O_MN, PE_UTA_UGM 2024'!F293," ","INVERNADERO"))</f>
        <v>MEZCLA CEBADA-GUISANTE</v>
      </c>
      <c r="AE316" s="89"/>
      <c r="AF316" s="123" t="n">
        <f aca="false">SUM(AG316:AH316)+SUM(AJ316:AK316)</f>
        <v>0</v>
      </c>
      <c r="AG316" s="318" t="n">
        <f aca="false">A303</f>
        <v>0</v>
      </c>
      <c r="AH316" s="319" t="n">
        <f aca="false">B303</f>
        <v>0</v>
      </c>
      <c r="AI316" s="6"/>
      <c r="AJ316" s="320" t="n">
        <f aca="false">C303</f>
        <v>0</v>
      </c>
      <c r="AK316" s="320" t="n">
        <f aca="false">D303</f>
        <v>0</v>
      </c>
      <c r="AL316" s="237" t="s">
        <v>442</v>
      </c>
      <c r="AM316" s="299" t="n">
        <f aca="false">'O_MN, PE_UTA_UGM 2024'!J293</f>
        <v>400</v>
      </c>
      <c r="AN316" s="299" t="n">
        <f aca="false">'O_MN, PE_UTA_UGM 2024'!K293</f>
        <v>1000</v>
      </c>
      <c r="AO316" s="300"/>
      <c r="AP316" s="299" t="n">
        <f aca="false">'O_MN, PE_UTA_UGM 2024'!H293</f>
        <v>114.19</v>
      </c>
      <c r="AQ316" s="299" t="n">
        <f aca="false">'O_MN, PE_UTA_UGM 2024'!I293</f>
        <v>240.4</v>
      </c>
      <c r="AR316" s="301"/>
      <c r="AS316" s="302" t="n">
        <f aca="false">'O_MN, PE_UTA_UGM 2024'!L293</f>
        <v>0.00465</v>
      </c>
      <c r="AT316" s="302" t="n">
        <f aca="false">'O_MN, PE_UTA_UGM 2024'!M293</f>
        <v>0.0098</v>
      </c>
      <c r="AU316" s="45"/>
      <c r="AV316" s="321" t="n">
        <f aca="false">AG316*AM316</f>
        <v>0</v>
      </c>
      <c r="AW316" s="319" t="n">
        <f aca="false">AH316*AN316</f>
        <v>0</v>
      </c>
      <c r="AX316" s="320" t="n">
        <f aca="false">1.25*AJ316*AM316</f>
        <v>0</v>
      </c>
      <c r="AY316" s="322" t="n">
        <f aca="false">1.25*AK316*AN316</f>
        <v>0</v>
      </c>
      <c r="AZ316" s="323" t="n">
        <f aca="false">AG316*AP316</f>
        <v>0</v>
      </c>
      <c r="BA316" s="319" t="n">
        <f aca="false">AH316*AQ316</f>
        <v>0</v>
      </c>
      <c r="BB316" s="320" t="n">
        <f aca="false">1.25*AJ316*AP316</f>
        <v>0</v>
      </c>
      <c r="BC316" s="320" t="n">
        <f aca="false">1.25*AK316*AQ316</f>
        <v>0</v>
      </c>
      <c r="BD316" s="321" t="n">
        <f aca="false">AG316*AS316</f>
        <v>0</v>
      </c>
      <c r="BE316" s="319" t="n">
        <f aca="false">AH316*AT316</f>
        <v>0</v>
      </c>
      <c r="BF316" s="320" t="n">
        <f aca="false">AJ316*AS316</f>
        <v>0</v>
      </c>
      <c r="BG316" s="322" t="n">
        <f aca="false">AK316*AT316</f>
        <v>0</v>
      </c>
      <c r="BH316" s="324" t="n">
        <f aca="false">IF(BH$24=$AA316,($AG316*$AM316)+($AJ316*$AM316*1.25)+($AH316*$AN316)+($AK316*$AN316*1.25),"")</f>
        <v>0</v>
      </c>
      <c r="BI316" s="325" t="str">
        <f aca="false">IF(BI$24=$AA316,($AG316*$AM316)+($AJ316*$AM316*1.25)+($AH316*$AN316)+($AK316*$AN316*1.25),"")</f>
        <v/>
      </c>
      <c r="BJ316" s="325" t="str">
        <f aca="false">IF(BJ$24=$AA316,($AG316*$AM316)+($AJ316*$AM316*1.25)+($AH316*$AN316)+($AK316*$AN316*1.25),"")</f>
        <v/>
      </c>
      <c r="BK316" s="325" t="str">
        <f aca="false">IF(BK$24=$AA316,($AG316*$AM316)+($AJ316*$AM316*1.25)+($AH316*$AN316)+($AK316*$AN316*1.25),"")</f>
        <v/>
      </c>
      <c r="BL316" s="326" t="str">
        <f aca="false">IF(BL$24=$AA316,($AG316*$AM316)+($AJ316*$AM316*1.25)+($AH316*$AN316)+($AK316*$AN316*1.25),"")</f>
        <v/>
      </c>
      <c r="BM316" s="327" t="str">
        <f aca="false">IF(CONCATENATE(BH316,BI316,BJ316,BK316,BL316)="",1,"")</f>
        <v/>
      </c>
      <c r="BN316" s="328"/>
      <c r="BO316" s="328"/>
      <c r="BP316" s="328"/>
      <c r="BQ316" s="328"/>
      <c r="BR316" s="47"/>
      <c r="BS316" s="127" t="n">
        <f aca="false">(AG316*AM316)+(AH316*AN316)+((AJ316*AM316)+(AK316*AN316)*1.25)</f>
        <v>0</v>
      </c>
      <c r="BT316" s="127" t="n">
        <f aca="false">(AG316*AP316)+(AH316*AQ316)+((AJ316*AP316)+(AK316*AQ316)*1.25)</f>
        <v>0</v>
      </c>
      <c r="BU316" s="329"/>
      <c r="BV316" s="129"/>
    </row>
    <row r="317" customFormat="false" ht="15" hidden="false" customHeight="false" outlineLevel="0" collapsed="false">
      <c r="A317" s="219"/>
      <c r="B317" s="220"/>
      <c r="C317" s="221"/>
      <c r="D317" s="222"/>
      <c r="E317" s="223" t="str">
        <f aca="false">IF(SUM(A317:D317)&gt;0,SUM(A317:D317),"")</f>
        <v/>
      </c>
      <c r="F317" s="224" t="str">
        <f aca="false">AD330</f>
        <v>PASTO DEL SUDÁN</v>
      </c>
      <c r="G317" s="169"/>
      <c r="H317" s="169"/>
      <c r="I317" s="169"/>
      <c r="J317" s="169"/>
      <c r="K317" s="169"/>
      <c r="L317" s="169"/>
      <c r="M317" s="169"/>
      <c r="N317" s="169"/>
      <c r="O317" s="169"/>
      <c r="P317" s="169"/>
      <c r="Q317" s="169"/>
      <c r="R317" s="3"/>
      <c r="S317" s="3"/>
      <c r="T317" s="3"/>
      <c r="U317" s="3"/>
      <c r="V317" s="3"/>
      <c r="W317" s="3"/>
      <c r="X317" s="3"/>
      <c r="Y317" s="3"/>
      <c r="Z317" s="316" t="str">
        <f aca="false">IF(AF317&gt;0,RANK(AF317,AF$6:AF$422),"")</f>
        <v/>
      </c>
      <c r="AA317" s="134" t="n">
        <f aca="false">'O_MN, PE_UTA_UGM 2024'!N294</f>
        <v>1</v>
      </c>
      <c r="AB317" s="135" t="n">
        <f aca="false">'O_MN, PE_UTA_UGM 2024'!O294</f>
        <v>0</v>
      </c>
      <c r="AC317" s="317" t="n">
        <f aca="false">'O_MN, PE_UTA_UGM 2024'!C294</f>
        <v>299</v>
      </c>
      <c r="AD317" s="293" t="str">
        <f aca="false">IF(AB317=0,'O_MN, PE_UTA_UGM 2024'!F294,CONCATENATE('O_MN, PE_UTA_UGM 2024'!F294," ","INVERNADERO"))</f>
        <v>MEZCLA AVENA-GUISANTE</v>
      </c>
      <c r="AE317" s="89"/>
      <c r="AF317" s="123" t="n">
        <f aca="false">SUM(AG317:AH317)+SUM(AJ317:AK317)</f>
        <v>0</v>
      </c>
      <c r="AG317" s="318" t="n">
        <f aca="false">A304</f>
        <v>0</v>
      </c>
      <c r="AH317" s="319" t="n">
        <f aca="false">B304</f>
        <v>0</v>
      </c>
      <c r="AI317" s="6"/>
      <c r="AJ317" s="320" t="n">
        <f aca="false">C304</f>
        <v>0</v>
      </c>
      <c r="AK317" s="320" t="n">
        <f aca="false">D304</f>
        <v>0</v>
      </c>
      <c r="AL317" s="237" t="s">
        <v>443</v>
      </c>
      <c r="AM317" s="299" t="n">
        <f aca="false">'O_MN, PE_UTA_UGM 2024'!J294</f>
        <v>400</v>
      </c>
      <c r="AN317" s="299" t="n">
        <f aca="false">'O_MN, PE_UTA_UGM 2024'!K294</f>
        <v>1000</v>
      </c>
      <c r="AO317" s="300"/>
      <c r="AP317" s="299" t="n">
        <f aca="false">'O_MN, PE_UTA_UGM 2024'!H294</f>
        <v>114.19</v>
      </c>
      <c r="AQ317" s="299" t="n">
        <f aca="false">'O_MN, PE_UTA_UGM 2024'!I294</f>
        <v>240.4</v>
      </c>
      <c r="AR317" s="301"/>
      <c r="AS317" s="302" t="n">
        <f aca="false">'O_MN, PE_UTA_UGM 2024'!L294</f>
        <v>0.00465</v>
      </c>
      <c r="AT317" s="302" t="n">
        <f aca="false">'O_MN, PE_UTA_UGM 2024'!M294</f>
        <v>0.0098</v>
      </c>
      <c r="AU317" s="45"/>
      <c r="AV317" s="321" t="n">
        <f aca="false">AG317*AM317</f>
        <v>0</v>
      </c>
      <c r="AW317" s="319" t="n">
        <f aca="false">AH317*AN317</f>
        <v>0</v>
      </c>
      <c r="AX317" s="320" t="n">
        <f aca="false">1.25*AJ317*AM317</f>
        <v>0</v>
      </c>
      <c r="AY317" s="322" t="n">
        <f aca="false">1.25*AK317*AN317</f>
        <v>0</v>
      </c>
      <c r="AZ317" s="323" t="n">
        <f aca="false">AG317*AP317</f>
        <v>0</v>
      </c>
      <c r="BA317" s="319" t="n">
        <f aca="false">AH317*AQ317</f>
        <v>0</v>
      </c>
      <c r="BB317" s="320" t="n">
        <f aca="false">1.25*AJ317*AP317</f>
        <v>0</v>
      </c>
      <c r="BC317" s="320" t="n">
        <f aca="false">1.25*AK317*AQ317</f>
        <v>0</v>
      </c>
      <c r="BD317" s="321" t="n">
        <f aca="false">AG317*AS317</f>
        <v>0</v>
      </c>
      <c r="BE317" s="319" t="n">
        <f aca="false">AH317*AT317</f>
        <v>0</v>
      </c>
      <c r="BF317" s="320" t="n">
        <f aca="false">AJ317*AS317</f>
        <v>0</v>
      </c>
      <c r="BG317" s="322" t="n">
        <f aca="false">AK317*AT317</f>
        <v>0</v>
      </c>
      <c r="BH317" s="324" t="n">
        <f aca="false">IF(BH$24=$AA317,($AG317*$AM317)+($AJ317*$AM317*1.25)+($AH317*$AN317)+($AK317*$AN317*1.25),"")</f>
        <v>0</v>
      </c>
      <c r="BI317" s="325" t="str">
        <f aca="false">IF(BI$24=$AA317,($AG317*$AM317)+($AJ317*$AM317*1.25)+($AH317*$AN317)+($AK317*$AN317*1.25),"")</f>
        <v/>
      </c>
      <c r="BJ317" s="325" t="str">
        <f aca="false">IF(BJ$24=$AA317,($AG317*$AM317)+($AJ317*$AM317*1.25)+($AH317*$AN317)+($AK317*$AN317*1.25),"")</f>
        <v/>
      </c>
      <c r="BK317" s="325" t="str">
        <f aca="false">IF(BK$24=$AA317,($AG317*$AM317)+($AJ317*$AM317*1.25)+($AH317*$AN317)+($AK317*$AN317*1.25),"")</f>
        <v/>
      </c>
      <c r="BL317" s="326" t="str">
        <f aca="false">IF(BL$24=$AA317,($AG317*$AM317)+($AJ317*$AM317*1.25)+($AH317*$AN317)+($AK317*$AN317*1.25),"")</f>
        <v/>
      </c>
      <c r="BM317" s="327" t="str">
        <f aca="false">IF(CONCATENATE(BH317,BI317,BJ317,BK317,BL317)="",1,"")</f>
        <v/>
      </c>
      <c r="BN317" s="328"/>
      <c r="BO317" s="328"/>
      <c r="BP317" s="328"/>
      <c r="BQ317" s="328"/>
      <c r="BR317" s="47"/>
      <c r="BS317" s="127" t="n">
        <f aca="false">(AG317*AM317)+(AH317*AN317)+((AJ317*AM317)+(AK317*AN317)*1.25)</f>
        <v>0</v>
      </c>
      <c r="BT317" s="127" t="n">
        <f aca="false">(AG317*AP317)+(AH317*AQ317)+((AJ317*AP317)+(AK317*AQ317)*1.25)</f>
        <v>0</v>
      </c>
      <c r="BU317" s="329"/>
      <c r="BV317" s="129"/>
    </row>
    <row r="318" customFormat="false" ht="15" hidden="false" customHeight="false" outlineLevel="0" collapsed="false">
      <c r="A318" s="228"/>
      <c r="B318" s="229"/>
      <c r="C318" s="230"/>
      <c r="D318" s="231"/>
      <c r="E318" s="223" t="str">
        <f aca="false">IF(SUM(A318:D318)&gt;0,SUM(A318:D318),"")</f>
        <v/>
      </c>
      <c r="F318" s="224" t="str">
        <f aca="false">AD331</f>
        <v>AMARANTO</v>
      </c>
      <c r="G318" s="169"/>
      <c r="H318" s="169"/>
      <c r="I318" s="169"/>
      <c r="J318" s="169"/>
      <c r="K318" s="169"/>
      <c r="L318" s="169"/>
      <c r="M318" s="169"/>
      <c r="N318" s="169"/>
      <c r="O318" s="169"/>
      <c r="P318" s="169"/>
      <c r="Q318" s="169"/>
      <c r="R318" s="3"/>
      <c r="S318" s="3"/>
      <c r="T318" s="3"/>
      <c r="U318" s="3"/>
      <c r="V318" s="3"/>
      <c r="W318" s="3"/>
      <c r="X318" s="3"/>
      <c r="Y318" s="3"/>
      <c r="Z318" s="316" t="str">
        <f aca="false">IF(AF318&gt;0,RANK(AF318,AF$6:AF$422),"")</f>
        <v/>
      </c>
      <c r="AA318" s="134" t="n">
        <f aca="false">'O_MN, PE_UTA_UGM 2024'!N295</f>
        <v>4</v>
      </c>
      <c r="AB318" s="135" t="n">
        <f aca="false">'O_MN, PE_UTA_UGM 2024'!O295</f>
        <v>0</v>
      </c>
      <c r="AC318" s="317" t="n">
        <f aca="false">'O_MN, PE_UTA_UGM 2024'!C295</f>
        <v>304</v>
      </c>
      <c r="AD318" s="293" t="str">
        <f aca="false">IF(AB318=0,'O_MN, PE_UTA_UGM 2024'!F295,CONCATENATE('O_MN, PE_UTA_UGM 2024'!F295," ","INVERNADERO"))</f>
        <v>COL CHINA</v>
      </c>
      <c r="AE318" s="89"/>
      <c r="AF318" s="123" t="n">
        <f aca="false">SUM(AG318:AH318)+SUM(AJ318:AK318)</f>
        <v>0</v>
      </c>
      <c r="AG318" s="318" t="n">
        <f aca="false">A305</f>
        <v>0</v>
      </c>
      <c r="AH318" s="319" t="n">
        <f aca="false">B305</f>
        <v>0</v>
      </c>
      <c r="AI318" s="6"/>
      <c r="AJ318" s="320" t="n">
        <f aca="false">C305</f>
        <v>0</v>
      </c>
      <c r="AK318" s="320" t="n">
        <f aca="false">D305</f>
        <v>0</v>
      </c>
      <c r="AL318" s="226"/>
      <c r="AM318" s="299" t="n">
        <f aca="false">'O_MN, PE_UTA_UGM 2024'!J295</f>
        <v>500</v>
      </c>
      <c r="AN318" s="299" t="n">
        <f aca="false">'O_MN, PE_UTA_UGM 2024'!K295</f>
        <v>1300</v>
      </c>
      <c r="AO318" s="300"/>
      <c r="AP318" s="299" t="n">
        <f aca="false">'O_MN, PE_UTA_UGM 2024'!H295</f>
        <v>300.51</v>
      </c>
      <c r="AQ318" s="299" t="n">
        <f aca="false">'O_MN, PE_UTA_UGM 2024'!I295</f>
        <v>901.52</v>
      </c>
      <c r="AR318" s="301"/>
      <c r="AS318" s="302" t="n">
        <f aca="false">'O_MN, PE_UTA_UGM 2024'!L295</f>
        <v>0.01225</v>
      </c>
      <c r="AT318" s="302" t="n">
        <f aca="false">'O_MN, PE_UTA_UGM 2024'!M295</f>
        <v>0.03674</v>
      </c>
      <c r="AU318" s="45"/>
      <c r="AV318" s="321" t="n">
        <f aca="false">AG318*AM318</f>
        <v>0</v>
      </c>
      <c r="AW318" s="319" t="n">
        <f aca="false">AH318*AN318</f>
        <v>0</v>
      </c>
      <c r="AX318" s="320" t="n">
        <f aca="false">1.25*AJ318*AM318</f>
        <v>0</v>
      </c>
      <c r="AY318" s="322" t="n">
        <f aca="false">1.25*AK318*AN318</f>
        <v>0</v>
      </c>
      <c r="AZ318" s="323" t="n">
        <f aca="false">AG318*AP318</f>
        <v>0</v>
      </c>
      <c r="BA318" s="319" t="n">
        <f aca="false">AH318*AQ318</f>
        <v>0</v>
      </c>
      <c r="BB318" s="320" t="n">
        <f aca="false">1.25*AJ318*AP318</f>
        <v>0</v>
      </c>
      <c r="BC318" s="320" t="n">
        <f aca="false">1.25*AK318*AQ318</f>
        <v>0</v>
      </c>
      <c r="BD318" s="321" t="n">
        <f aca="false">AG318*AS318</f>
        <v>0</v>
      </c>
      <c r="BE318" s="319" t="n">
        <f aca="false">AH318*AT318</f>
        <v>0</v>
      </c>
      <c r="BF318" s="320" t="n">
        <f aca="false">AJ318*AS318</f>
        <v>0</v>
      </c>
      <c r="BG318" s="322" t="n">
        <f aca="false">AK318*AT318</f>
        <v>0</v>
      </c>
      <c r="BH318" s="324" t="str">
        <f aca="false">IF(BH$24=$AA318,($AG318*$AM318)+($AJ318*$AM318*1.25)+($AH318*$AN318)+($AK318*$AN318*1.25),"")</f>
        <v/>
      </c>
      <c r="BI318" s="325" t="str">
        <f aca="false">IF(BI$24=$AA318,($AG318*$AM318)+($AJ318*$AM318*1.25)+($AH318*$AN318)+($AK318*$AN318*1.25),"")</f>
        <v/>
      </c>
      <c r="BJ318" s="325" t="str">
        <f aca="false">IF(BJ$24=$AA318,($AG318*$AM318)+($AJ318*$AM318*1.25)+($AH318*$AN318)+($AK318*$AN318*1.25),"")</f>
        <v/>
      </c>
      <c r="BK318" s="325" t="n">
        <f aca="false">IF(BK$24=$AA318,($AG318*$AM318)+($AJ318*$AM318*1.25)+($AH318*$AN318)+($AK318*$AN318*1.25),"")</f>
        <v>0</v>
      </c>
      <c r="BL318" s="326" t="str">
        <f aca="false">IF(BL$24=$AA318,($AG318*$AM318)+($AJ318*$AM318*1.25)+($AH318*$AN318)+($AK318*$AN318*1.25),"")</f>
        <v/>
      </c>
      <c r="BM318" s="327" t="str">
        <f aca="false">IF(CONCATENATE(BH318,BI318,BJ318,BK318,BL318)="",1,"")</f>
        <v/>
      </c>
      <c r="BN318" s="328"/>
      <c r="BO318" s="328"/>
      <c r="BP318" s="328"/>
      <c r="BQ318" s="328"/>
      <c r="BR318" s="47"/>
      <c r="BS318" s="50"/>
      <c r="BT318" s="50"/>
      <c r="BU318" s="50"/>
      <c r="BV318" s="50"/>
    </row>
    <row r="319" customFormat="false" ht="15" hidden="false" customHeight="false" outlineLevel="0" collapsed="false">
      <c r="A319" s="228"/>
      <c r="B319" s="229"/>
      <c r="C319" s="230"/>
      <c r="D319" s="231"/>
      <c r="E319" s="223" t="str">
        <f aca="false">IF(SUM(A319:D319)&gt;0,SUM(A319:D319),"")</f>
        <v/>
      </c>
      <c r="F319" s="224" t="str">
        <f aca="false">AD332</f>
        <v>MORINGA</v>
      </c>
      <c r="G319" s="169"/>
      <c r="H319" s="169"/>
      <c r="I319" s="169"/>
      <c r="J319" s="169"/>
      <c r="K319" s="169"/>
      <c r="L319" s="169"/>
      <c r="M319" s="169"/>
      <c r="N319" s="169"/>
      <c r="O319" s="169"/>
      <c r="P319" s="169"/>
      <c r="Q319" s="169"/>
      <c r="R319" s="3"/>
      <c r="S319" s="3"/>
      <c r="T319" s="3"/>
      <c r="U319" s="3"/>
      <c r="V319" s="3"/>
      <c r="W319" s="3"/>
      <c r="X319" s="3"/>
      <c r="Y319" s="3"/>
      <c r="Z319" s="316" t="str">
        <f aca="false">IF(AF319&gt;0,RANK(AF319,AF$6:AF$422),"")</f>
        <v/>
      </c>
      <c r="AA319" s="134" t="n">
        <f aca="false">'O_MN, PE_UTA_UGM 2024'!N296</f>
        <v>4</v>
      </c>
      <c r="AB319" s="135" t="n">
        <f aca="false">'O_MN, PE_UTA_UGM 2024'!O296</f>
        <v>4</v>
      </c>
      <c r="AC319" s="317" t="n">
        <f aca="false">'O_MN, PE_UTA_UGM 2024'!C296</f>
        <v>304</v>
      </c>
      <c r="AD319" s="293" t="str">
        <f aca="false">IF(AB319=0,'O_MN, PE_UTA_UGM 2024'!F296,CONCATENATE('O_MN, PE_UTA_UGM 2024'!F296," ","INVERNADERO"))</f>
        <v>COL CHINA INVERNADERO</v>
      </c>
      <c r="AE319" s="89"/>
      <c r="AF319" s="123" t="n">
        <f aca="false">SUM(AG319:AH319)+SUM(AJ319:AK319)</f>
        <v>0</v>
      </c>
      <c r="AG319" s="318" t="n">
        <f aca="false">A306</f>
        <v>0</v>
      </c>
      <c r="AH319" s="319" t="n">
        <f aca="false">B306</f>
        <v>0</v>
      </c>
      <c r="AI319" s="6"/>
      <c r="AJ319" s="320" t="n">
        <f aca="false">C306</f>
        <v>0</v>
      </c>
      <c r="AK319" s="320" t="n">
        <f aca="false">D306</f>
        <v>0</v>
      </c>
      <c r="AL319" s="226"/>
      <c r="AM319" s="299" t="n">
        <f aca="false">'O_MN, PE_UTA_UGM 2024'!J296</f>
        <v>0</v>
      </c>
      <c r="AN319" s="299" t="n">
        <f aca="false">'O_MN, PE_UTA_UGM 2024'!K296</f>
        <v>80000</v>
      </c>
      <c r="AO319" s="300"/>
      <c r="AP319" s="299" t="n">
        <f aca="false">'O_MN, PE_UTA_UGM 2024'!H296</f>
        <v>0</v>
      </c>
      <c r="AQ319" s="299" t="n">
        <f aca="false">'O_MN, PE_UTA_UGM 2024'!I296</f>
        <v>36060.73</v>
      </c>
      <c r="AR319" s="301"/>
      <c r="AS319" s="302" t="n">
        <f aca="false">'O_MN, PE_UTA_UGM 2024'!L296</f>
        <v>0</v>
      </c>
      <c r="AT319" s="302" t="n">
        <f aca="false">'O_MN, PE_UTA_UGM 2024'!M296</f>
        <v>1.46978</v>
      </c>
      <c r="AU319" s="45"/>
      <c r="AV319" s="321" t="n">
        <f aca="false">AG319*AM319</f>
        <v>0</v>
      </c>
      <c r="AW319" s="319" t="n">
        <f aca="false">AH319*AN319</f>
        <v>0</v>
      </c>
      <c r="AX319" s="320" t="n">
        <f aca="false">1.25*AJ319*AM319</f>
        <v>0</v>
      </c>
      <c r="AY319" s="322" t="n">
        <f aca="false">1.25*AK319*AN319</f>
        <v>0</v>
      </c>
      <c r="AZ319" s="323" t="n">
        <f aca="false">AG319*AP319</f>
        <v>0</v>
      </c>
      <c r="BA319" s="319" t="n">
        <f aca="false">AH319*AQ319</f>
        <v>0</v>
      </c>
      <c r="BB319" s="320" t="n">
        <f aca="false">1.25*AJ319*AP319</f>
        <v>0</v>
      </c>
      <c r="BC319" s="320" t="n">
        <f aca="false">1.25*AK319*AQ319</f>
        <v>0</v>
      </c>
      <c r="BD319" s="321" t="n">
        <f aca="false">AG319*AS319</f>
        <v>0</v>
      </c>
      <c r="BE319" s="319" t="n">
        <f aca="false">AH319*AT319</f>
        <v>0</v>
      </c>
      <c r="BF319" s="320" t="n">
        <f aca="false">AJ319*AS319</f>
        <v>0</v>
      </c>
      <c r="BG319" s="322" t="n">
        <f aca="false">AK319*AT319</f>
        <v>0</v>
      </c>
      <c r="BH319" s="324" t="str">
        <f aca="false">IF(BH$24=$AA319,($AG319*$AM319)+($AJ319*$AM319*1.25)+($AH319*$AN319)+($AK319*$AN319*1.25),"")</f>
        <v/>
      </c>
      <c r="BI319" s="325" t="str">
        <f aca="false">IF(BI$24=$AA319,($AG319*$AM319)+($AJ319*$AM319*1.25)+($AH319*$AN319)+($AK319*$AN319*1.25),"")</f>
        <v/>
      </c>
      <c r="BJ319" s="325" t="str">
        <f aca="false">IF(BJ$24=$AA319,($AG319*$AM319)+($AJ319*$AM319*1.25)+($AH319*$AN319)+($AK319*$AN319*1.25),"")</f>
        <v/>
      </c>
      <c r="BK319" s="325" t="n">
        <f aca="false">IF(BK$24=$AA319,($AG319*$AM319)+($AJ319*$AM319*1.25)+($AH319*$AN319)+($AK319*$AN319*1.25),"")</f>
        <v>0</v>
      </c>
      <c r="BL319" s="326" t="str">
        <f aca="false">IF(BL$24=$AA319,($AG319*$AM319)+($AJ319*$AM319*1.25)+($AH319*$AN319)+($AK319*$AN319*1.25),"")</f>
        <v/>
      </c>
      <c r="BM319" s="327" t="str">
        <f aca="false">IF(CONCATENATE(BH319,BI319,BJ319,BK319,BL319)="",1,"")</f>
        <v/>
      </c>
      <c r="BN319" s="328"/>
      <c r="BO319" s="328"/>
      <c r="BP319" s="328"/>
      <c r="BQ319" s="328"/>
      <c r="BR319" s="47"/>
      <c r="BS319" s="50"/>
      <c r="BT319" s="50"/>
      <c r="BU319" s="50"/>
      <c r="BV319" s="50"/>
    </row>
    <row r="320" customFormat="false" ht="15" hidden="false" customHeight="false" outlineLevel="0" collapsed="false">
      <c r="A320" s="228"/>
      <c r="B320" s="229"/>
      <c r="C320" s="230"/>
      <c r="D320" s="231"/>
      <c r="E320" s="223" t="str">
        <f aca="false">IF(SUM(A320:D320)&gt;0,SUM(A320:D320),"")</f>
        <v/>
      </c>
      <c r="F320" s="224" t="str">
        <f aca="false">AD333</f>
        <v>MOSTAZA</v>
      </c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3"/>
      <c r="S320" s="3"/>
      <c r="T320" s="3"/>
      <c r="U320" s="3"/>
      <c r="V320" s="3"/>
      <c r="W320" s="3"/>
      <c r="X320" s="3"/>
      <c r="Y320" s="3"/>
      <c r="Z320" s="316" t="str">
        <f aca="false">IF(AF320&gt;0,RANK(AF320,AF$6:AF$422),"")</f>
        <v/>
      </c>
      <c r="AA320" s="134" t="n">
        <f aca="false">'O_MN, PE_UTA_UGM 2024'!N297</f>
        <v>4</v>
      </c>
      <c r="AB320" s="135" t="n">
        <f aca="false">'O_MN, PE_UTA_UGM 2024'!O297</f>
        <v>19</v>
      </c>
      <c r="AC320" s="317" t="n">
        <f aca="false">'O_MN, PE_UTA_UGM 2024'!C297</f>
        <v>304</v>
      </c>
      <c r="AD320" s="293" t="str">
        <f aca="false">IF(AB320=0,'O_MN, PE_UTA_UGM 2024'!F297,CONCATENATE('O_MN, PE_UTA_UGM 2024'!F297," ","INVERNADERO"))</f>
        <v>COL CHINA INVERNADERO</v>
      </c>
      <c r="AE320" s="89"/>
      <c r="AF320" s="123" t="n">
        <f aca="false">SUM(AG320:AH320)+SUM(AJ320:AK320)</f>
        <v>0</v>
      </c>
      <c r="AG320" s="318" t="n">
        <f aca="false">A307</f>
        <v>0</v>
      </c>
      <c r="AH320" s="319" t="n">
        <f aca="false">B307</f>
        <v>0</v>
      </c>
      <c r="AI320" s="6"/>
      <c r="AJ320" s="320" t="n">
        <f aca="false">C307</f>
        <v>0</v>
      </c>
      <c r="AK320" s="320" t="n">
        <f aca="false">D307</f>
        <v>0</v>
      </c>
      <c r="AL320" s="226"/>
      <c r="AM320" s="299" t="n">
        <f aca="false">'O_MN, PE_UTA_UGM 2024'!J297</f>
        <v>0</v>
      </c>
      <c r="AN320" s="299" t="n">
        <f aca="false">'O_MN, PE_UTA_UGM 2024'!K297</f>
        <v>80000</v>
      </c>
      <c r="AO320" s="300"/>
      <c r="AP320" s="299" t="n">
        <f aca="false">'O_MN, PE_UTA_UGM 2024'!H297</f>
        <v>0</v>
      </c>
      <c r="AQ320" s="299" t="n">
        <f aca="false">'O_MN, PE_UTA_UGM 2024'!I297</f>
        <v>36060.73</v>
      </c>
      <c r="AR320" s="301"/>
      <c r="AS320" s="302" t="n">
        <f aca="false">'O_MN, PE_UTA_UGM 2024'!L297</f>
        <v>0</v>
      </c>
      <c r="AT320" s="302" t="n">
        <f aca="false">'O_MN, PE_UTA_UGM 2024'!M297</f>
        <v>1.46978</v>
      </c>
      <c r="AU320" s="45"/>
      <c r="AV320" s="321" t="n">
        <f aca="false">AG320*AM320</f>
        <v>0</v>
      </c>
      <c r="AW320" s="319" t="n">
        <f aca="false">AH320*AN320</f>
        <v>0</v>
      </c>
      <c r="AX320" s="320" t="n">
        <f aca="false">1.25*AJ320*AM320</f>
        <v>0</v>
      </c>
      <c r="AY320" s="322" t="n">
        <f aca="false">1.25*AK320*AN320</f>
        <v>0</v>
      </c>
      <c r="AZ320" s="323" t="n">
        <f aca="false">AG320*AP320</f>
        <v>0</v>
      </c>
      <c r="BA320" s="319" t="n">
        <f aca="false">AH320*AQ320</f>
        <v>0</v>
      </c>
      <c r="BB320" s="320" t="n">
        <f aca="false">1.25*AJ320*AP320</f>
        <v>0</v>
      </c>
      <c r="BC320" s="320" t="n">
        <f aca="false">1.25*AK320*AQ320</f>
        <v>0</v>
      </c>
      <c r="BD320" s="321" t="n">
        <f aca="false">AG320*AS320</f>
        <v>0</v>
      </c>
      <c r="BE320" s="319" t="n">
        <f aca="false">AH320*AT320</f>
        <v>0</v>
      </c>
      <c r="BF320" s="320" t="n">
        <f aca="false">AJ320*AS320</f>
        <v>0</v>
      </c>
      <c r="BG320" s="322" t="n">
        <f aca="false">AK320*AT320</f>
        <v>0</v>
      </c>
      <c r="BH320" s="324" t="str">
        <f aca="false">IF(BH$24=$AA320,($AG320*$AM320)+($AJ320*$AM320*1.25)+($AH320*$AN320)+($AK320*$AN320*1.25),"")</f>
        <v/>
      </c>
      <c r="BI320" s="325" t="str">
        <f aca="false">IF(BI$24=$AA320,($AG320*$AM320)+($AJ320*$AM320*1.25)+($AH320*$AN320)+($AK320*$AN320*1.25),"")</f>
        <v/>
      </c>
      <c r="BJ320" s="325" t="str">
        <f aca="false">IF(BJ$24=$AA320,($AG320*$AM320)+($AJ320*$AM320*1.25)+($AH320*$AN320)+($AK320*$AN320*1.25),"")</f>
        <v/>
      </c>
      <c r="BK320" s="325" t="n">
        <f aca="false">IF(BK$24=$AA320,($AG320*$AM320)+($AJ320*$AM320*1.25)+($AH320*$AN320)+($AK320*$AN320*1.25),"")</f>
        <v>0</v>
      </c>
      <c r="BL320" s="326" t="str">
        <f aca="false">IF(BL$24=$AA320,($AG320*$AM320)+($AJ320*$AM320*1.25)+($AH320*$AN320)+($AK320*$AN320*1.25),"")</f>
        <v/>
      </c>
      <c r="BM320" s="327" t="str">
        <f aca="false">IF(CONCATENATE(BH320,BI320,BJ320,BK320,BL320)="",1,"")</f>
        <v/>
      </c>
      <c r="BN320" s="328"/>
      <c r="BO320" s="328"/>
      <c r="BP320" s="328"/>
      <c r="BQ320" s="328"/>
      <c r="BR320" s="47"/>
      <c r="BS320" s="50"/>
      <c r="BT320" s="50"/>
      <c r="BU320" s="50"/>
      <c r="BV320" s="50"/>
    </row>
    <row r="321" customFormat="false" ht="15" hidden="false" customHeight="false" outlineLevel="0" collapsed="false">
      <c r="A321" s="228"/>
      <c r="B321" s="229"/>
      <c r="C321" s="230"/>
      <c r="D321" s="231"/>
      <c r="E321" s="223" t="str">
        <f aca="false">IF(SUM(A321:D321)&gt;0,SUM(A321:D321),"")</f>
        <v/>
      </c>
      <c r="F321" s="224" t="str">
        <f aca="false">AD334</f>
        <v>MEZCLA ALGARROBA-AVENA</v>
      </c>
      <c r="G321" s="169"/>
      <c r="H321" s="169"/>
      <c r="I321" s="169"/>
      <c r="J321" s="169"/>
      <c r="K321" s="169"/>
      <c r="L321" s="169"/>
      <c r="M321" s="169"/>
      <c r="N321" s="169"/>
      <c r="O321" s="169"/>
      <c r="P321" s="169"/>
      <c r="Q321" s="169"/>
      <c r="R321" s="3"/>
      <c r="S321" s="3"/>
      <c r="T321" s="3"/>
      <c r="U321" s="3"/>
      <c r="V321" s="3"/>
      <c r="W321" s="3"/>
      <c r="X321" s="3"/>
      <c r="Y321" s="3"/>
      <c r="Z321" s="316" t="str">
        <f aca="false">IF(AF321&gt;0,RANK(AF321,AF$6:AF$422),"")</f>
        <v/>
      </c>
      <c r="AA321" s="134" t="n">
        <f aca="false">'O_MN, PE_UTA_UGM 2024'!N298</f>
        <v>1</v>
      </c>
      <c r="AB321" s="135" t="n">
        <f aca="false">'O_MN, PE_UTA_UGM 2024'!O298</f>
        <v>0</v>
      </c>
      <c r="AC321" s="317" t="n">
        <f aca="false">'O_MN, PE_UTA_UGM 2024'!C298</f>
        <v>305</v>
      </c>
      <c r="AD321" s="293" t="str">
        <f aca="false">IF(AB321=0,'O_MN, PE_UTA_UGM 2024'!F298,CONCATENATE('O_MN, PE_UTA_UGM 2024'!F298," ","INVERNADERO"))</f>
        <v>MEZCLA AVENA-TRIGO</v>
      </c>
      <c r="AE321" s="89"/>
      <c r="AF321" s="123" t="n">
        <f aca="false">SUM(AG321:AH321)+SUM(AJ321:AK321)</f>
        <v>0</v>
      </c>
      <c r="AG321" s="318" t="n">
        <f aca="false">A308</f>
        <v>0</v>
      </c>
      <c r="AH321" s="319" t="n">
        <f aca="false">B308</f>
        <v>0</v>
      </c>
      <c r="AI321" s="6"/>
      <c r="AJ321" s="320" t="n">
        <f aca="false">C308</f>
        <v>0</v>
      </c>
      <c r="AK321" s="320" t="n">
        <f aca="false">D308</f>
        <v>0</v>
      </c>
      <c r="AL321" s="226"/>
      <c r="AM321" s="299" t="n">
        <f aca="false">'O_MN, PE_UTA_UGM 2024'!J298</f>
        <v>400</v>
      </c>
      <c r="AN321" s="299" t="n">
        <f aca="false">'O_MN, PE_UTA_UGM 2024'!K298</f>
        <v>1000</v>
      </c>
      <c r="AO321" s="300"/>
      <c r="AP321" s="299" t="n">
        <f aca="false">'O_MN, PE_UTA_UGM 2024'!H298</f>
        <v>114.19</v>
      </c>
      <c r="AQ321" s="299" t="n">
        <f aca="false">'O_MN, PE_UTA_UGM 2024'!I298</f>
        <v>240.4</v>
      </c>
      <c r="AR321" s="301"/>
      <c r="AS321" s="302" t="n">
        <f aca="false">'O_MN, PE_UTA_UGM 2024'!L298</f>
        <v>0.00465</v>
      </c>
      <c r="AT321" s="302" t="n">
        <f aca="false">'O_MN, PE_UTA_UGM 2024'!M298</f>
        <v>0.0098</v>
      </c>
      <c r="AU321" s="45"/>
      <c r="AV321" s="321" t="n">
        <f aca="false">AG321*AM321</f>
        <v>0</v>
      </c>
      <c r="AW321" s="319" t="n">
        <f aca="false">AH321*AN321</f>
        <v>0</v>
      </c>
      <c r="AX321" s="320" t="n">
        <f aca="false">1.25*AJ321*AM321</f>
        <v>0</v>
      </c>
      <c r="AY321" s="322" t="n">
        <f aca="false">1.25*AK321*AN321</f>
        <v>0</v>
      </c>
      <c r="AZ321" s="323" t="n">
        <f aca="false">AG321*AP321</f>
        <v>0</v>
      </c>
      <c r="BA321" s="319" t="n">
        <f aca="false">AH321*AQ321</f>
        <v>0</v>
      </c>
      <c r="BB321" s="320" t="n">
        <f aca="false">1.25*AJ321*AP321</f>
        <v>0</v>
      </c>
      <c r="BC321" s="320" t="n">
        <f aca="false">1.25*AK321*AQ321</f>
        <v>0</v>
      </c>
      <c r="BD321" s="321" t="n">
        <f aca="false">AG321*AS321</f>
        <v>0</v>
      </c>
      <c r="BE321" s="319" t="n">
        <f aca="false">AH321*AT321</f>
        <v>0</v>
      </c>
      <c r="BF321" s="320" t="n">
        <f aca="false">AJ321*AS321</f>
        <v>0</v>
      </c>
      <c r="BG321" s="322" t="n">
        <f aca="false">AK321*AT321</f>
        <v>0</v>
      </c>
      <c r="BH321" s="324" t="n">
        <f aca="false">IF(BH$24=$AA321,($AG321*$AM321)+($AJ321*$AM321*1.25)+($AH321*$AN321)+($AK321*$AN321*1.25),"")</f>
        <v>0</v>
      </c>
      <c r="BI321" s="325" t="str">
        <f aca="false">IF(BI$24=$AA321,($AG321*$AM321)+($AJ321*$AM321*1.25)+($AH321*$AN321)+($AK321*$AN321*1.25),"")</f>
        <v/>
      </c>
      <c r="BJ321" s="325" t="str">
        <f aca="false">IF(BJ$24=$AA321,($AG321*$AM321)+($AJ321*$AM321*1.25)+($AH321*$AN321)+($AK321*$AN321*1.25),"")</f>
        <v/>
      </c>
      <c r="BK321" s="325" t="str">
        <f aca="false">IF(BK$24=$AA321,($AG321*$AM321)+($AJ321*$AM321*1.25)+($AH321*$AN321)+($AK321*$AN321*1.25),"")</f>
        <v/>
      </c>
      <c r="BL321" s="326" t="str">
        <f aca="false">IF(BL$24=$AA321,($AG321*$AM321)+($AJ321*$AM321*1.25)+($AH321*$AN321)+($AK321*$AN321*1.25),"")</f>
        <v/>
      </c>
      <c r="BM321" s="327" t="str">
        <f aca="false">IF(CONCATENATE(BH321,BI321,BJ321,BK321,BL321)="",1,"")</f>
        <v/>
      </c>
      <c r="BN321" s="328"/>
      <c r="BO321" s="328"/>
      <c r="BP321" s="328"/>
      <c r="BQ321" s="328"/>
      <c r="BR321" s="47"/>
      <c r="BS321" s="50"/>
      <c r="BT321" s="50"/>
      <c r="BU321" s="50"/>
      <c r="BV321" s="50"/>
    </row>
    <row r="322" customFormat="false" ht="15" hidden="false" customHeight="false" outlineLevel="0" collapsed="false">
      <c r="A322" s="228"/>
      <c r="B322" s="229"/>
      <c r="C322" s="230"/>
      <c r="D322" s="231"/>
      <c r="E322" s="223" t="str">
        <f aca="false">IF(SUM(A322:D322)&gt;0,SUM(A322:D322),"")</f>
        <v/>
      </c>
      <c r="F322" s="224" t="str">
        <f aca="false">AD335</f>
        <v>MEZCLA ALGARROBA-CEBADA</v>
      </c>
      <c r="G322" s="169"/>
      <c r="H322" s="169"/>
      <c r="I322" s="169"/>
      <c r="J322" s="169"/>
      <c r="K322" s="169"/>
      <c r="L322" s="169"/>
      <c r="M322" s="169"/>
      <c r="N322" s="169"/>
      <c r="O322" s="169"/>
      <c r="P322" s="169"/>
      <c r="Q322" s="169"/>
      <c r="R322" s="3"/>
      <c r="S322" s="3"/>
      <c r="T322" s="3"/>
      <c r="U322" s="3"/>
      <c r="V322" s="3"/>
      <c r="W322" s="3"/>
      <c r="X322" s="3"/>
      <c r="Y322" s="3"/>
      <c r="Z322" s="316" t="str">
        <f aca="false">IF(AF322&gt;0,RANK(AF322,AF$6:AF$422),"")</f>
        <v/>
      </c>
      <c r="AA322" s="134" t="n">
        <f aca="false">'O_MN, PE_UTA_UGM 2024'!N299</f>
        <v>1</v>
      </c>
      <c r="AB322" s="135" t="n">
        <f aca="false">'O_MN, PE_UTA_UGM 2024'!O299</f>
        <v>0</v>
      </c>
      <c r="AC322" s="317" t="n">
        <f aca="false">'O_MN, PE_UTA_UGM 2024'!C299</f>
        <v>306</v>
      </c>
      <c r="AD322" s="293" t="str">
        <f aca="false">IF(AB322=0,'O_MN, PE_UTA_UGM 2024'!F299,CONCATENATE('O_MN, PE_UTA_UGM 2024'!F299," ","INVERNADERO"))</f>
        <v>MEZCLA AVENA-CEBADA</v>
      </c>
      <c r="AE322" s="89"/>
      <c r="AF322" s="123" t="n">
        <f aca="false">SUM(AG322:AH322)+SUM(AJ322:AK322)</f>
        <v>0</v>
      </c>
      <c r="AG322" s="318" t="n">
        <f aca="false">A309</f>
        <v>0</v>
      </c>
      <c r="AH322" s="319" t="n">
        <f aca="false">B309</f>
        <v>0</v>
      </c>
      <c r="AI322" s="6"/>
      <c r="AJ322" s="320" t="n">
        <f aca="false">C309</f>
        <v>0</v>
      </c>
      <c r="AK322" s="320" t="n">
        <f aca="false">D309</f>
        <v>0</v>
      </c>
      <c r="AL322" s="226"/>
      <c r="AM322" s="299" t="n">
        <f aca="false">'O_MN, PE_UTA_UGM 2024'!J299</f>
        <v>400</v>
      </c>
      <c r="AN322" s="299" t="n">
        <f aca="false">'O_MN, PE_UTA_UGM 2024'!K299</f>
        <v>1000</v>
      </c>
      <c r="AO322" s="300"/>
      <c r="AP322" s="299" t="n">
        <f aca="false">'O_MN, PE_UTA_UGM 2024'!H299</f>
        <v>114.19</v>
      </c>
      <c r="AQ322" s="299" t="n">
        <f aca="false">'O_MN, PE_UTA_UGM 2024'!I299</f>
        <v>240.4</v>
      </c>
      <c r="AR322" s="301"/>
      <c r="AS322" s="302" t="n">
        <f aca="false">'O_MN, PE_UTA_UGM 2024'!L299</f>
        <v>0.00465</v>
      </c>
      <c r="AT322" s="302" t="n">
        <f aca="false">'O_MN, PE_UTA_UGM 2024'!M299</f>
        <v>0.0098</v>
      </c>
      <c r="AU322" s="45"/>
      <c r="AV322" s="321" t="n">
        <f aca="false">AG322*AM322</f>
        <v>0</v>
      </c>
      <c r="AW322" s="319" t="n">
        <f aca="false">AH322*AN322</f>
        <v>0</v>
      </c>
      <c r="AX322" s="320" t="n">
        <f aca="false">1.25*AJ322*AM322</f>
        <v>0</v>
      </c>
      <c r="AY322" s="322" t="n">
        <f aca="false">1.25*AK322*AN322</f>
        <v>0</v>
      </c>
      <c r="AZ322" s="323" t="n">
        <f aca="false">AG322*AP322</f>
        <v>0</v>
      </c>
      <c r="BA322" s="319" t="n">
        <f aca="false">AH322*AQ322</f>
        <v>0</v>
      </c>
      <c r="BB322" s="320" t="n">
        <f aca="false">1.25*AJ322*AP322</f>
        <v>0</v>
      </c>
      <c r="BC322" s="320" t="n">
        <f aca="false">1.25*AK322*AQ322</f>
        <v>0</v>
      </c>
      <c r="BD322" s="321" t="n">
        <f aca="false">AG322*AS322</f>
        <v>0</v>
      </c>
      <c r="BE322" s="319" t="n">
        <f aca="false">AH322*AT322</f>
        <v>0</v>
      </c>
      <c r="BF322" s="320" t="n">
        <f aca="false">AJ322*AS322</f>
        <v>0</v>
      </c>
      <c r="BG322" s="322" t="n">
        <f aca="false">AK322*AT322</f>
        <v>0</v>
      </c>
      <c r="BH322" s="324" t="n">
        <f aca="false">IF(BH$24=$AA322,($AG322*$AM322)+($AJ322*$AM322*1.25)+($AH322*$AN322)+($AK322*$AN322*1.25),"")</f>
        <v>0</v>
      </c>
      <c r="BI322" s="325" t="str">
        <f aca="false">IF(BI$24=$AA322,($AG322*$AM322)+($AJ322*$AM322*1.25)+($AH322*$AN322)+($AK322*$AN322*1.25),"")</f>
        <v/>
      </c>
      <c r="BJ322" s="325" t="str">
        <f aca="false">IF(BJ$24=$AA322,($AG322*$AM322)+($AJ322*$AM322*1.25)+($AH322*$AN322)+($AK322*$AN322*1.25),"")</f>
        <v/>
      </c>
      <c r="BK322" s="325" t="str">
        <f aca="false">IF(BK$24=$AA322,($AG322*$AM322)+($AJ322*$AM322*1.25)+($AH322*$AN322)+($AK322*$AN322*1.25),"")</f>
        <v/>
      </c>
      <c r="BL322" s="326" t="str">
        <f aca="false">IF(BL$24=$AA322,($AG322*$AM322)+($AJ322*$AM322*1.25)+($AH322*$AN322)+($AK322*$AN322*1.25),"")</f>
        <v/>
      </c>
      <c r="BM322" s="327" t="str">
        <f aca="false">IF(CONCATENATE(BH322,BI322,BJ322,BK322,BL322)="",1,"")</f>
        <v/>
      </c>
      <c r="BN322" s="328"/>
      <c r="BO322" s="328"/>
      <c r="BP322" s="328"/>
      <c r="BQ322" s="328"/>
      <c r="BR322" s="47"/>
      <c r="BS322" s="50"/>
      <c r="BT322" s="50"/>
      <c r="BU322" s="50"/>
      <c r="BV322" s="50"/>
    </row>
    <row r="323" customFormat="false" ht="15" hidden="false" customHeight="false" outlineLevel="0" collapsed="false">
      <c r="A323" s="228"/>
      <c r="B323" s="229"/>
      <c r="C323" s="230"/>
      <c r="D323" s="231"/>
      <c r="E323" s="223" t="str">
        <f aca="false">IF(SUM(A323:D323)&gt;0,SUM(A323:D323),"")</f>
        <v/>
      </c>
      <c r="F323" s="224" t="str">
        <f aca="false">AD336</f>
        <v>MEZCLA RAYGRASS-VEZA</v>
      </c>
      <c r="G323" s="169"/>
      <c r="H323" s="169"/>
      <c r="I323" s="169"/>
      <c r="J323" s="169"/>
      <c r="K323" s="169"/>
      <c r="L323" s="169"/>
      <c r="M323" s="169"/>
      <c r="N323" s="169"/>
      <c r="O323" s="169"/>
      <c r="P323" s="169"/>
      <c r="Q323" s="169"/>
      <c r="R323" s="3"/>
      <c r="S323" s="3"/>
      <c r="T323" s="3"/>
      <c r="U323" s="3"/>
      <c r="V323" s="3"/>
      <c r="W323" s="3"/>
      <c r="X323" s="3"/>
      <c r="Y323" s="3"/>
      <c r="Z323" s="316" t="str">
        <f aca="false">IF(AF323&gt;0,RANK(AF323,AF$6:AF$422),"")</f>
        <v/>
      </c>
      <c r="AA323" s="134" t="n">
        <f aca="false">'O_MN, PE_UTA_UGM 2024'!N300</f>
        <v>1</v>
      </c>
      <c r="AB323" s="135" t="n">
        <f aca="false">'O_MN, PE_UTA_UGM 2024'!O300</f>
        <v>0</v>
      </c>
      <c r="AC323" s="317" t="n">
        <f aca="false">'O_MN, PE_UTA_UGM 2024'!C300</f>
        <v>307</v>
      </c>
      <c r="AD323" s="293" t="str">
        <f aca="false">IF(AB323=0,'O_MN, PE_UTA_UGM 2024'!F300,CONCATENATE('O_MN, PE_UTA_UGM 2024'!F300," ","INVERNADERO"))</f>
        <v>MEZCLA AVENA-TRITICALE</v>
      </c>
      <c r="AE323" s="89"/>
      <c r="AF323" s="123" t="n">
        <f aca="false">SUM(AG323:AH323)+SUM(AJ323:AK323)</f>
        <v>0</v>
      </c>
      <c r="AG323" s="318" t="n">
        <f aca="false">A310</f>
        <v>0</v>
      </c>
      <c r="AH323" s="319" t="n">
        <f aca="false">B310</f>
        <v>0</v>
      </c>
      <c r="AI323" s="6"/>
      <c r="AJ323" s="320" t="n">
        <f aca="false">C310</f>
        <v>0</v>
      </c>
      <c r="AK323" s="320" t="n">
        <f aca="false">D310</f>
        <v>0</v>
      </c>
      <c r="AL323" s="226"/>
      <c r="AM323" s="299" t="n">
        <f aca="false">'O_MN, PE_UTA_UGM 2024'!J300</f>
        <v>400</v>
      </c>
      <c r="AN323" s="299" t="n">
        <f aca="false">'O_MN, PE_UTA_UGM 2024'!K300</f>
        <v>1000</v>
      </c>
      <c r="AO323" s="300"/>
      <c r="AP323" s="299" t="n">
        <f aca="false">'O_MN, PE_UTA_UGM 2024'!H300</f>
        <v>114.19</v>
      </c>
      <c r="AQ323" s="299" t="n">
        <f aca="false">'O_MN, PE_UTA_UGM 2024'!I300</f>
        <v>240.4</v>
      </c>
      <c r="AR323" s="301"/>
      <c r="AS323" s="302" t="n">
        <f aca="false">'O_MN, PE_UTA_UGM 2024'!L300</f>
        <v>0.00465</v>
      </c>
      <c r="AT323" s="302" t="n">
        <f aca="false">'O_MN, PE_UTA_UGM 2024'!M300</f>
        <v>0.0098</v>
      </c>
      <c r="AU323" s="45"/>
      <c r="AV323" s="321" t="n">
        <f aca="false">AG323*AM323</f>
        <v>0</v>
      </c>
      <c r="AW323" s="319" t="n">
        <f aca="false">AH323*AN323</f>
        <v>0</v>
      </c>
      <c r="AX323" s="320" t="n">
        <f aca="false">1.25*AJ323*AM323</f>
        <v>0</v>
      </c>
      <c r="AY323" s="322" t="n">
        <f aca="false">1.25*AK323*AN323</f>
        <v>0</v>
      </c>
      <c r="AZ323" s="323" t="n">
        <f aca="false">AG323*AP323</f>
        <v>0</v>
      </c>
      <c r="BA323" s="319" t="n">
        <f aca="false">AH323*AQ323</f>
        <v>0</v>
      </c>
      <c r="BB323" s="320" t="n">
        <f aca="false">1.25*AJ323*AP323</f>
        <v>0</v>
      </c>
      <c r="BC323" s="320" t="n">
        <f aca="false">1.25*AK323*AQ323</f>
        <v>0</v>
      </c>
      <c r="BD323" s="321" t="n">
        <f aca="false">AG323*AS323</f>
        <v>0</v>
      </c>
      <c r="BE323" s="319" t="n">
        <f aca="false">AH323*AT323</f>
        <v>0</v>
      </c>
      <c r="BF323" s="320" t="n">
        <f aca="false">AJ323*AS323</f>
        <v>0</v>
      </c>
      <c r="BG323" s="322" t="n">
        <f aca="false">AK323*AT323</f>
        <v>0</v>
      </c>
      <c r="BH323" s="324" t="n">
        <f aca="false">IF(BH$24=$AA323,($AG323*$AM323)+($AJ323*$AM323*1.25)+($AH323*$AN323)+($AK323*$AN323*1.25),"")</f>
        <v>0</v>
      </c>
      <c r="BI323" s="325" t="str">
        <f aca="false">IF(BI$24=$AA323,($AG323*$AM323)+($AJ323*$AM323*1.25)+($AH323*$AN323)+($AK323*$AN323*1.25),"")</f>
        <v/>
      </c>
      <c r="BJ323" s="325" t="str">
        <f aca="false">IF(BJ$24=$AA323,($AG323*$AM323)+($AJ323*$AM323*1.25)+($AH323*$AN323)+($AK323*$AN323*1.25),"")</f>
        <v/>
      </c>
      <c r="BK323" s="325" t="str">
        <f aca="false">IF(BK$24=$AA323,($AG323*$AM323)+($AJ323*$AM323*1.25)+($AH323*$AN323)+($AK323*$AN323*1.25),"")</f>
        <v/>
      </c>
      <c r="BL323" s="326" t="str">
        <f aca="false">IF(BL$24=$AA323,($AG323*$AM323)+($AJ323*$AM323*1.25)+($AH323*$AN323)+($AK323*$AN323*1.25),"")</f>
        <v/>
      </c>
      <c r="BM323" s="327" t="str">
        <f aca="false">IF(CONCATENATE(BH323,BI323,BJ323,BK323,BL323)="",1,"")</f>
        <v/>
      </c>
      <c r="BN323" s="328"/>
      <c r="BO323" s="328"/>
      <c r="BP323" s="328"/>
      <c r="BQ323" s="328"/>
      <c r="BR323" s="47"/>
      <c r="BS323" s="50"/>
      <c r="BT323" s="50"/>
      <c r="BU323" s="50"/>
      <c r="BV323" s="50"/>
    </row>
    <row r="324" customFormat="false" ht="15" hidden="false" customHeight="false" outlineLevel="0" collapsed="false">
      <c r="A324" s="228"/>
      <c r="B324" s="229"/>
      <c r="C324" s="230"/>
      <c r="D324" s="231"/>
      <c r="E324" s="223" t="str">
        <f aca="false">IF(SUM(A324:D324)&gt;0,SUM(A324:D324),"")</f>
        <v/>
      </c>
      <c r="F324" s="224" t="str">
        <f aca="false">AD337</f>
        <v>MEZCLA AVENA-YEROS</v>
      </c>
      <c r="G324" s="169"/>
      <c r="H324" s="169"/>
      <c r="I324" s="169"/>
      <c r="J324" s="169"/>
      <c r="K324" s="169"/>
      <c r="L324" s="169"/>
      <c r="M324" s="169"/>
      <c r="N324" s="169"/>
      <c r="O324" s="169"/>
      <c r="P324" s="169"/>
      <c r="Q324" s="169"/>
      <c r="R324" s="3"/>
      <c r="S324" s="3"/>
      <c r="T324" s="3"/>
      <c r="U324" s="3"/>
      <c r="V324" s="3"/>
      <c r="W324" s="3"/>
      <c r="X324" s="3"/>
      <c r="Y324" s="3"/>
      <c r="Z324" s="316" t="str">
        <f aca="false">IF(AF324&gt;0,RANK(AF324,AF$6:AF$422),"")</f>
        <v/>
      </c>
      <c r="AA324" s="134" t="n">
        <f aca="false">'O_MN, PE_UTA_UGM 2024'!N301</f>
        <v>5</v>
      </c>
      <c r="AB324" s="135" t="n">
        <f aca="false">'O_MN, PE_UTA_UGM 2024'!O301</f>
        <v>0</v>
      </c>
      <c r="AC324" s="317" t="n">
        <f aca="false">'O_MN, PE_UTA_UGM 2024'!C301</f>
        <v>316</v>
      </c>
      <c r="AD324" s="293" t="str">
        <f aca="false">IF(AB324=0,'O_MN, PE_UTA_UGM 2024'!F301,CONCATENATE('O_MN, PE_UTA_UGM 2024'!F301," ","INVERNADERO"))</f>
        <v>MALVAVISCO</v>
      </c>
      <c r="AE324" s="89"/>
      <c r="AF324" s="123" t="n">
        <f aca="false">SUM(AG324:AH324)+SUM(AJ324:AK324)</f>
        <v>0</v>
      </c>
      <c r="AG324" s="318" t="n">
        <f aca="false">A311</f>
        <v>0</v>
      </c>
      <c r="AH324" s="319" t="n">
        <f aca="false">B311</f>
        <v>0</v>
      </c>
      <c r="AI324" s="6"/>
      <c r="AJ324" s="320" t="n">
        <f aca="false">C311</f>
        <v>0</v>
      </c>
      <c r="AK324" s="320" t="n">
        <f aca="false">D311</f>
        <v>0</v>
      </c>
      <c r="AL324" s="226"/>
      <c r="AM324" s="299" t="n">
        <f aca="false">'O_MN, PE_UTA_UGM 2024'!J301</f>
        <v>1939.8</v>
      </c>
      <c r="AN324" s="299" t="n">
        <f aca="false">'O_MN, PE_UTA_UGM 2024'!K301</f>
        <v>6000</v>
      </c>
      <c r="AO324" s="300"/>
      <c r="AP324" s="299" t="n">
        <f aca="false">'O_MN, PE_UTA_UGM 2024'!H301</f>
        <v>480.81</v>
      </c>
      <c r="AQ324" s="299" t="n">
        <f aca="false">'O_MN, PE_UTA_UGM 2024'!I301</f>
        <v>1442.43</v>
      </c>
      <c r="AR324" s="301"/>
      <c r="AS324" s="302" t="n">
        <f aca="false">'O_MN, PE_UTA_UGM 2024'!L301</f>
        <v>0.0196</v>
      </c>
      <c r="AT324" s="302" t="n">
        <f aca="false">'O_MN, PE_UTA_UGM 2024'!M301</f>
        <v>0.05879</v>
      </c>
      <c r="AU324" s="45"/>
      <c r="AV324" s="321" t="n">
        <f aca="false">AG324*AM324</f>
        <v>0</v>
      </c>
      <c r="AW324" s="319" t="n">
        <f aca="false">AH324*AN324</f>
        <v>0</v>
      </c>
      <c r="AX324" s="320" t="n">
        <f aca="false">1.25*AJ324*AM324</f>
        <v>0</v>
      </c>
      <c r="AY324" s="322" t="n">
        <f aca="false">1.25*AK324*AN324</f>
        <v>0</v>
      </c>
      <c r="AZ324" s="323" t="n">
        <f aca="false">AG324*AP324</f>
        <v>0</v>
      </c>
      <c r="BA324" s="319" t="n">
        <f aca="false">AH324*AQ324</f>
        <v>0</v>
      </c>
      <c r="BB324" s="320" t="n">
        <f aca="false">1.25*AJ324*AP324</f>
        <v>0</v>
      </c>
      <c r="BC324" s="320" t="n">
        <f aca="false">1.25*AK324*AQ324</f>
        <v>0</v>
      </c>
      <c r="BD324" s="321" t="n">
        <f aca="false">AG324*AS324</f>
        <v>0</v>
      </c>
      <c r="BE324" s="319" t="n">
        <f aca="false">AH324*AT324</f>
        <v>0</v>
      </c>
      <c r="BF324" s="320" t="n">
        <f aca="false">AJ324*AS324</f>
        <v>0</v>
      </c>
      <c r="BG324" s="322" t="n">
        <f aca="false">AK324*AT324</f>
        <v>0</v>
      </c>
      <c r="BH324" s="324" t="str">
        <f aca="false">IF(BH$24=$AA324,($AG324*$AM324)+($AJ324*$AM324*1.25)+($AH324*$AN324)+($AK324*$AN324*1.25),"")</f>
        <v/>
      </c>
      <c r="BI324" s="325" t="str">
        <f aca="false">IF(BI$24=$AA324,($AG324*$AM324)+($AJ324*$AM324*1.25)+($AH324*$AN324)+($AK324*$AN324*1.25),"")</f>
        <v/>
      </c>
      <c r="BJ324" s="325" t="str">
        <f aca="false">IF(BJ$24=$AA324,($AG324*$AM324)+($AJ324*$AM324*1.25)+($AH324*$AN324)+($AK324*$AN324*1.25),"")</f>
        <v/>
      </c>
      <c r="BK324" s="325" t="str">
        <f aca="false">IF(BK$24=$AA324,($AG324*$AM324)+($AJ324*$AM324*1.25)+($AH324*$AN324)+($AK324*$AN324*1.25),"")</f>
        <v/>
      </c>
      <c r="BL324" s="326" t="n">
        <f aca="false">IF(BL$24=$AA324,($AG324*$AM324)+($AJ324*$AM324*1.25)+($AH324*$AN324)+($AK324*$AN324*1.25),"")</f>
        <v>0</v>
      </c>
      <c r="BM324" s="327" t="str">
        <f aca="false">IF(CONCATENATE(BH324,BI324,BJ324,BK324,BL324)="",1,"")</f>
        <v/>
      </c>
      <c r="BN324" s="328"/>
      <c r="BO324" s="328"/>
      <c r="BP324" s="328"/>
      <c r="BQ324" s="328"/>
      <c r="BR324" s="47"/>
      <c r="BS324" s="50"/>
      <c r="BT324" s="50"/>
      <c r="BU324" s="50"/>
      <c r="BV324" s="50"/>
    </row>
    <row r="325" customFormat="false" ht="15" hidden="false" customHeight="false" outlineLevel="0" collapsed="false">
      <c r="A325" s="228"/>
      <c r="B325" s="229"/>
      <c r="C325" s="230"/>
      <c r="D325" s="231"/>
      <c r="E325" s="223" t="str">
        <f aca="false">IF(SUM(A325:D325)&gt;0,SUM(A325:D325),"")</f>
        <v/>
      </c>
      <c r="F325" s="224" t="str">
        <f aca="false">AD338</f>
        <v>MEZCLA CEBADA-YEROS</v>
      </c>
      <c r="G325" s="169"/>
      <c r="H325" s="169"/>
      <c r="I325" s="169"/>
      <c r="J325" s="169"/>
      <c r="K325" s="169"/>
      <c r="L325" s="169"/>
      <c r="M325" s="169"/>
      <c r="N325" s="169"/>
      <c r="O325" s="169"/>
      <c r="P325" s="169"/>
      <c r="Q325" s="169"/>
      <c r="R325" s="3"/>
      <c r="S325" s="3"/>
      <c r="T325" s="3"/>
      <c r="U325" s="3"/>
      <c r="V325" s="3"/>
      <c r="W325" s="3"/>
      <c r="X325" s="3"/>
      <c r="Y325" s="3"/>
      <c r="Z325" s="316" t="str">
        <f aca="false">IF(AF325&gt;0,RANK(AF325,AF$6:AF$422),"")</f>
        <v/>
      </c>
      <c r="AA325" s="134" t="n">
        <f aca="false">'O_MN, PE_UTA_UGM 2024'!N302</f>
        <v>5</v>
      </c>
      <c r="AB325" s="135" t="n">
        <f aca="false">'O_MN, PE_UTA_UGM 2024'!O302</f>
        <v>0</v>
      </c>
      <c r="AC325" s="317" t="n">
        <f aca="false">'O_MN, PE_UTA_UGM 2024'!C302</f>
        <v>317</v>
      </c>
      <c r="AD325" s="293" t="str">
        <f aca="false">IF(AB325=0,'O_MN, PE_UTA_UGM 2024'!F302,CONCATENATE('O_MN, PE_UTA_UGM 2024'!F302," ","INVERNADERO"))</f>
        <v>MANZANILLA AMARGA</v>
      </c>
      <c r="AE325" s="89"/>
      <c r="AF325" s="123" t="n">
        <f aca="false">SUM(AG325:AH325)+SUM(AJ325:AK325)</f>
        <v>0</v>
      </c>
      <c r="AG325" s="318" t="n">
        <f aca="false">A312</f>
        <v>0</v>
      </c>
      <c r="AH325" s="319" t="n">
        <f aca="false">B312</f>
        <v>0</v>
      </c>
      <c r="AI325" s="6"/>
      <c r="AJ325" s="320" t="n">
        <f aca="false">C312</f>
        <v>0</v>
      </c>
      <c r="AK325" s="320" t="n">
        <f aca="false">D312</f>
        <v>0</v>
      </c>
      <c r="AL325" s="226"/>
      <c r="AM325" s="299" t="n">
        <f aca="false">'O_MN, PE_UTA_UGM 2024'!J302</f>
        <v>700</v>
      </c>
      <c r="AN325" s="299" t="n">
        <f aca="false">'O_MN, PE_UTA_UGM 2024'!K302</f>
        <v>1800</v>
      </c>
      <c r="AO325" s="300"/>
      <c r="AP325" s="299" t="n">
        <f aca="false">'O_MN, PE_UTA_UGM 2024'!H302</f>
        <v>114.19</v>
      </c>
      <c r="AQ325" s="299" t="n">
        <f aca="false">'O_MN, PE_UTA_UGM 2024'!I302</f>
        <v>240.4</v>
      </c>
      <c r="AR325" s="301"/>
      <c r="AS325" s="302" t="n">
        <f aca="false">'O_MN, PE_UTA_UGM 2024'!L302</f>
        <v>0.00465</v>
      </c>
      <c r="AT325" s="302" t="n">
        <f aca="false">'O_MN, PE_UTA_UGM 2024'!M302</f>
        <v>0.0098</v>
      </c>
      <c r="AU325" s="45"/>
      <c r="AV325" s="321" t="n">
        <f aca="false">AG325*AM325</f>
        <v>0</v>
      </c>
      <c r="AW325" s="319" t="n">
        <f aca="false">AH325*AN325</f>
        <v>0</v>
      </c>
      <c r="AX325" s="320" t="n">
        <f aca="false">1.25*AJ325*AM325</f>
        <v>0</v>
      </c>
      <c r="AY325" s="322" t="n">
        <f aca="false">1.25*AK325*AN325</f>
        <v>0</v>
      </c>
      <c r="AZ325" s="323" t="n">
        <f aca="false">AG325*AP325</f>
        <v>0</v>
      </c>
      <c r="BA325" s="319" t="n">
        <f aca="false">AH325*AQ325</f>
        <v>0</v>
      </c>
      <c r="BB325" s="320" t="n">
        <f aca="false">1.25*AJ325*AP325</f>
        <v>0</v>
      </c>
      <c r="BC325" s="320" t="n">
        <f aca="false">1.25*AK325*AQ325</f>
        <v>0</v>
      </c>
      <c r="BD325" s="321" t="n">
        <f aca="false">AG325*AS325</f>
        <v>0</v>
      </c>
      <c r="BE325" s="319" t="n">
        <f aca="false">AH325*AT325</f>
        <v>0</v>
      </c>
      <c r="BF325" s="320" t="n">
        <f aca="false">AJ325*AS325</f>
        <v>0</v>
      </c>
      <c r="BG325" s="322" t="n">
        <f aca="false">AK325*AT325</f>
        <v>0</v>
      </c>
      <c r="BH325" s="324" t="str">
        <f aca="false">IF(BH$24=$AA325,($AG325*$AM325)+($AJ325*$AM325*1.25)+($AH325*$AN325)+($AK325*$AN325*1.25),"")</f>
        <v/>
      </c>
      <c r="BI325" s="325" t="str">
        <f aca="false">IF(BI$24=$AA325,($AG325*$AM325)+($AJ325*$AM325*1.25)+($AH325*$AN325)+($AK325*$AN325*1.25),"")</f>
        <v/>
      </c>
      <c r="BJ325" s="325" t="str">
        <f aca="false">IF(BJ$24=$AA325,($AG325*$AM325)+($AJ325*$AM325*1.25)+($AH325*$AN325)+($AK325*$AN325*1.25),"")</f>
        <v/>
      </c>
      <c r="BK325" s="325" t="str">
        <f aca="false">IF(BK$24=$AA325,($AG325*$AM325)+($AJ325*$AM325*1.25)+($AH325*$AN325)+($AK325*$AN325*1.25),"")</f>
        <v/>
      </c>
      <c r="BL325" s="326" t="n">
        <f aca="false">IF(BL$24=$AA325,($AG325*$AM325)+($AJ325*$AM325*1.25)+($AH325*$AN325)+($AK325*$AN325*1.25),"")</f>
        <v>0</v>
      </c>
      <c r="BM325" s="327" t="str">
        <f aca="false">IF(CONCATENATE(BH325,BI325,BJ325,BK325,BL325)="",1,"")</f>
        <v/>
      </c>
      <c r="BN325" s="328"/>
      <c r="BO325" s="328"/>
      <c r="BP325" s="328"/>
      <c r="BQ325" s="328"/>
      <c r="BR325" s="47"/>
      <c r="BS325" s="50"/>
      <c r="BT325" s="50"/>
      <c r="BU325" s="50"/>
      <c r="BV325" s="50"/>
    </row>
    <row r="326" customFormat="false" ht="15" hidden="false" customHeight="false" outlineLevel="0" collapsed="false">
      <c r="A326" s="228"/>
      <c r="B326" s="229"/>
      <c r="C326" s="230"/>
      <c r="D326" s="231"/>
      <c r="E326" s="223" t="str">
        <f aca="false">IF(SUM(A326:D326)&gt;0,SUM(A326:D326),"")</f>
        <v/>
      </c>
      <c r="F326" s="224" t="str">
        <f aca="false">AD339</f>
        <v>SILPHIUM</v>
      </c>
      <c r="G326" s="169"/>
      <c r="H326" s="169"/>
      <c r="I326" s="169"/>
      <c r="J326" s="169"/>
      <c r="K326" s="169"/>
      <c r="L326" s="169"/>
      <c r="M326" s="169"/>
      <c r="N326" s="169"/>
      <c r="O326" s="169"/>
      <c r="P326" s="169"/>
      <c r="Q326" s="169"/>
      <c r="R326" s="3"/>
      <c r="S326" s="3"/>
      <c r="T326" s="3"/>
      <c r="U326" s="3"/>
      <c r="V326" s="3"/>
      <c r="W326" s="3"/>
      <c r="X326" s="3"/>
      <c r="Y326" s="3"/>
      <c r="Z326" s="316" t="str">
        <f aca="false">IF(AF326&gt;0,RANK(AF326,AF$6:AF$422),"")</f>
        <v/>
      </c>
      <c r="AA326" s="134" t="n">
        <f aca="false">'O_MN, PE_UTA_UGM 2024'!N303</f>
        <v>5</v>
      </c>
      <c r="AB326" s="135" t="n">
        <f aca="false">'O_MN, PE_UTA_UGM 2024'!O303</f>
        <v>0</v>
      </c>
      <c r="AC326" s="317" t="n">
        <f aca="false">'O_MN, PE_UTA_UGM 2024'!C303</f>
        <v>318</v>
      </c>
      <c r="AD326" s="293" t="str">
        <f aca="false">IF(AB326=0,'O_MN, PE_UTA_UGM 2024'!F303,CONCATENATE('O_MN, PE_UTA_UGM 2024'!F303," ","INVERNADERO"))</f>
        <v>MANZANILLA DULCE</v>
      </c>
      <c r="AE326" s="89"/>
      <c r="AF326" s="123" t="n">
        <f aca="false">SUM(AG326:AH326)+SUM(AJ326:AK326)</f>
        <v>0</v>
      </c>
      <c r="AG326" s="318" t="n">
        <f aca="false">A313</f>
        <v>0</v>
      </c>
      <c r="AH326" s="319" t="n">
        <f aca="false">B313</f>
        <v>0</v>
      </c>
      <c r="AI326" s="6"/>
      <c r="AJ326" s="320" t="n">
        <f aca="false">C313</f>
        <v>0</v>
      </c>
      <c r="AK326" s="320" t="n">
        <f aca="false">D313</f>
        <v>0</v>
      </c>
      <c r="AL326" s="176"/>
      <c r="AM326" s="299" t="n">
        <f aca="false">'O_MN, PE_UTA_UGM 2024'!J303</f>
        <v>700</v>
      </c>
      <c r="AN326" s="299" t="n">
        <f aca="false">'O_MN, PE_UTA_UGM 2024'!K303</f>
        <v>1800</v>
      </c>
      <c r="AO326" s="300"/>
      <c r="AP326" s="299" t="n">
        <f aca="false">'O_MN, PE_UTA_UGM 2024'!H303</f>
        <v>114.19</v>
      </c>
      <c r="AQ326" s="299" t="n">
        <f aca="false">'O_MN, PE_UTA_UGM 2024'!I303</f>
        <v>240.4</v>
      </c>
      <c r="AR326" s="301"/>
      <c r="AS326" s="302" t="n">
        <f aca="false">'O_MN, PE_UTA_UGM 2024'!L303</f>
        <v>0.00465</v>
      </c>
      <c r="AT326" s="302" t="n">
        <f aca="false">'O_MN, PE_UTA_UGM 2024'!M303</f>
        <v>0.0098</v>
      </c>
      <c r="AU326" s="3"/>
      <c r="AV326" s="321" t="n">
        <f aca="false">AG326*AM326</f>
        <v>0</v>
      </c>
      <c r="AW326" s="319" t="n">
        <f aca="false">AH326*AN326</f>
        <v>0</v>
      </c>
      <c r="AX326" s="320" t="n">
        <f aca="false">1.25*AJ326*AM326</f>
        <v>0</v>
      </c>
      <c r="AY326" s="322" t="n">
        <f aca="false">1.25*AK326*AN326</f>
        <v>0</v>
      </c>
      <c r="AZ326" s="323" t="n">
        <f aca="false">AG326*AP326</f>
        <v>0</v>
      </c>
      <c r="BA326" s="319" t="n">
        <f aca="false">AH326*AQ326</f>
        <v>0</v>
      </c>
      <c r="BB326" s="320" t="n">
        <f aca="false">1.25*AJ326*AP326</f>
        <v>0</v>
      </c>
      <c r="BC326" s="320" t="n">
        <f aca="false">1.25*AK326*AQ326</f>
        <v>0</v>
      </c>
      <c r="BD326" s="321" t="n">
        <f aca="false">AG326*AS326</f>
        <v>0</v>
      </c>
      <c r="BE326" s="319" t="n">
        <f aca="false">AH326*AT326</f>
        <v>0</v>
      </c>
      <c r="BF326" s="320" t="n">
        <f aca="false">AJ326*AS326</f>
        <v>0</v>
      </c>
      <c r="BG326" s="322" t="n">
        <f aca="false">AK326*AT326</f>
        <v>0</v>
      </c>
      <c r="BH326" s="324" t="str">
        <f aca="false">IF(BH$24=$AA326,($AG326*$AM326)+($AJ326*$AM326*1.25)+($AH326*$AN326)+($AK326*$AN326*1.25),"")</f>
        <v/>
      </c>
      <c r="BI326" s="325" t="str">
        <f aca="false">IF(BI$24=$AA326,($AG326*$AM326)+($AJ326*$AM326*1.25)+($AH326*$AN326)+($AK326*$AN326*1.25),"")</f>
        <v/>
      </c>
      <c r="BJ326" s="325" t="str">
        <f aca="false">IF(BJ$24=$AA326,($AG326*$AM326)+($AJ326*$AM326*1.25)+($AH326*$AN326)+($AK326*$AN326*1.25),"")</f>
        <v/>
      </c>
      <c r="BK326" s="325" t="str">
        <f aca="false">IF(BK$24=$AA326,($AG326*$AM326)+($AJ326*$AM326*1.25)+($AH326*$AN326)+($AK326*$AN326*1.25),"")</f>
        <v/>
      </c>
      <c r="BL326" s="326" t="n">
        <f aca="false">IF(BL$24=$AA326,($AG326*$AM326)+($AJ326*$AM326*1.25)+($AH326*$AN326)+($AK326*$AN326*1.25),"")</f>
        <v>0</v>
      </c>
      <c r="BM326" s="327" t="str">
        <f aca="false">IF(CONCATENATE(BH326,BI326,BJ326,BK326,BL326)="",1,"")</f>
        <v/>
      </c>
      <c r="BN326" s="328"/>
      <c r="BO326" s="328"/>
      <c r="BP326" s="328"/>
      <c r="BQ326" s="328"/>
      <c r="BR326" s="6"/>
      <c r="BS326" s="9"/>
      <c r="BT326" s="9"/>
      <c r="BU326" s="9"/>
      <c r="BV326" s="9"/>
    </row>
    <row r="327" customFormat="false" ht="15" hidden="false" customHeight="false" outlineLevel="0" collapsed="false">
      <c r="A327" s="228"/>
      <c r="B327" s="229"/>
      <c r="C327" s="230"/>
      <c r="D327" s="231"/>
      <c r="E327" s="223" t="str">
        <f aca="false">IF(SUM(A327:D327)&gt;0,SUM(A327:D327),"")</f>
        <v/>
      </c>
      <c r="F327" s="224" t="str">
        <f aca="false">AD340</f>
        <v>AGUACATE</v>
      </c>
      <c r="G327" s="169"/>
      <c r="H327" s="169"/>
      <c r="I327" s="169"/>
      <c r="J327" s="169"/>
      <c r="K327" s="169"/>
      <c r="L327" s="169"/>
      <c r="M327" s="169"/>
      <c r="N327" s="169"/>
      <c r="O327" s="169"/>
      <c r="P327" s="169"/>
      <c r="Q327" s="169"/>
      <c r="R327" s="3"/>
      <c r="S327" s="3"/>
      <c r="T327" s="3"/>
      <c r="U327" s="3"/>
      <c r="V327" s="3"/>
      <c r="W327" s="3"/>
      <c r="X327" s="3"/>
      <c r="Y327" s="3"/>
      <c r="Z327" s="316" t="str">
        <f aca="false">IF(AF327&gt;0,RANK(AF327,AF$6:AF$422),"")</f>
        <v/>
      </c>
      <c r="AA327" s="134" t="n">
        <f aca="false">'O_MN, PE_UTA_UGM 2024'!N304</f>
        <v>5</v>
      </c>
      <c r="AB327" s="135" t="n">
        <f aca="false">'O_MN, PE_UTA_UGM 2024'!O304</f>
        <v>0</v>
      </c>
      <c r="AC327" s="317" t="n">
        <f aca="false">'O_MN, PE_UTA_UGM 2024'!C304</f>
        <v>319</v>
      </c>
      <c r="AD327" s="293" t="str">
        <f aca="false">IF(AB327=0,'O_MN, PE_UTA_UGM 2024'!F304,CONCATENATE('O_MN, PE_UTA_UGM 2024'!F304," ","INVERNADERO"))</f>
        <v>MILENRAMA</v>
      </c>
      <c r="AE327" s="89"/>
      <c r="AF327" s="123" t="n">
        <f aca="false">SUM(AG327:AH327)+SUM(AJ327:AK327)</f>
        <v>0</v>
      </c>
      <c r="AG327" s="318" t="n">
        <f aca="false">A314</f>
        <v>0</v>
      </c>
      <c r="AH327" s="319" t="n">
        <f aca="false">B314</f>
        <v>0</v>
      </c>
      <c r="AI327" s="6"/>
      <c r="AJ327" s="320" t="n">
        <f aca="false">C314</f>
        <v>0</v>
      </c>
      <c r="AK327" s="320" t="n">
        <f aca="false">D314</f>
        <v>0</v>
      </c>
      <c r="AL327" s="176"/>
      <c r="AM327" s="299" t="n">
        <f aca="false">'O_MN, PE_UTA_UGM 2024'!J304</f>
        <v>700</v>
      </c>
      <c r="AN327" s="299" t="n">
        <f aca="false">'O_MN, PE_UTA_UGM 2024'!K304</f>
        <v>1800</v>
      </c>
      <c r="AO327" s="300"/>
      <c r="AP327" s="299" t="n">
        <f aca="false">'O_MN, PE_UTA_UGM 2024'!H304</f>
        <v>114.19</v>
      </c>
      <c r="AQ327" s="299" t="n">
        <f aca="false">'O_MN, PE_UTA_UGM 2024'!I304</f>
        <v>240.4</v>
      </c>
      <c r="AR327" s="301"/>
      <c r="AS327" s="302" t="n">
        <f aca="false">'O_MN, PE_UTA_UGM 2024'!L304</f>
        <v>0.00465</v>
      </c>
      <c r="AT327" s="302" t="n">
        <f aca="false">'O_MN, PE_UTA_UGM 2024'!M304</f>
        <v>0.0098</v>
      </c>
      <c r="AU327" s="3"/>
      <c r="AV327" s="321" t="n">
        <f aca="false">AG327*AM327</f>
        <v>0</v>
      </c>
      <c r="AW327" s="319" t="n">
        <f aca="false">AH327*AN327</f>
        <v>0</v>
      </c>
      <c r="AX327" s="320" t="n">
        <f aca="false">1.25*AJ327*AM327</f>
        <v>0</v>
      </c>
      <c r="AY327" s="322" t="n">
        <f aca="false">1.25*AK327*AN327</f>
        <v>0</v>
      </c>
      <c r="AZ327" s="323" t="n">
        <f aca="false">AG327*AP327</f>
        <v>0</v>
      </c>
      <c r="BA327" s="319" t="n">
        <f aca="false">AH327*AQ327</f>
        <v>0</v>
      </c>
      <c r="BB327" s="320" t="n">
        <f aca="false">1.25*AJ327*AP327</f>
        <v>0</v>
      </c>
      <c r="BC327" s="320" t="n">
        <f aca="false">1.25*AK327*AQ327</f>
        <v>0</v>
      </c>
      <c r="BD327" s="321" t="n">
        <f aca="false">AG327*AS327</f>
        <v>0</v>
      </c>
      <c r="BE327" s="319" t="n">
        <f aca="false">AH327*AT327</f>
        <v>0</v>
      </c>
      <c r="BF327" s="320" t="n">
        <f aca="false">AJ327*AS327</f>
        <v>0</v>
      </c>
      <c r="BG327" s="322" t="n">
        <f aca="false">AK327*AT327</f>
        <v>0</v>
      </c>
      <c r="BH327" s="324" t="str">
        <f aca="false">IF(BH$24=$AA327,($AG327*$AM327)+($AJ327*$AM327*1.25)+($AH327*$AN327)+($AK327*$AN327*1.25),"")</f>
        <v/>
      </c>
      <c r="BI327" s="325" t="str">
        <f aca="false">IF(BI$24=$AA327,($AG327*$AM327)+($AJ327*$AM327*1.25)+($AH327*$AN327)+($AK327*$AN327*1.25),"")</f>
        <v/>
      </c>
      <c r="BJ327" s="325" t="str">
        <f aca="false">IF(BJ$24=$AA327,($AG327*$AM327)+($AJ327*$AM327*1.25)+($AH327*$AN327)+($AK327*$AN327*1.25),"")</f>
        <v/>
      </c>
      <c r="BK327" s="325" t="str">
        <f aca="false">IF(BK$24=$AA327,($AG327*$AM327)+($AJ327*$AM327*1.25)+($AH327*$AN327)+($AK327*$AN327*1.25),"")</f>
        <v/>
      </c>
      <c r="BL327" s="326" t="n">
        <f aca="false">IF(BL$24=$AA327,($AG327*$AM327)+($AJ327*$AM327*1.25)+($AH327*$AN327)+($AK327*$AN327*1.25),"")</f>
        <v>0</v>
      </c>
      <c r="BM327" s="327" t="str">
        <f aca="false">IF(CONCATENATE(BH327,BI327,BJ327,BK327,BL327)="",1,"")</f>
        <v/>
      </c>
      <c r="BN327" s="328"/>
      <c r="BO327" s="328"/>
      <c r="BP327" s="328"/>
      <c r="BQ327" s="328"/>
      <c r="BR327" s="6"/>
      <c r="BS327" s="9"/>
      <c r="BT327" s="9"/>
      <c r="BU327" s="9"/>
      <c r="BV327" s="9"/>
    </row>
    <row r="328" customFormat="false" ht="15" hidden="false" customHeight="false" outlineLevel="0" collapsed="false">
      <c r="A328" s="228"/>
      <c r="B328" s="229"/>
      <c r="C328" s="230"/>
      <c r="D328" s="231"/>
      <c r="E328" s="223" t="str">
        <f aca="false">IF(SUM(A328:D328)&gt;0,SUM(A328:D328),"")</f>
        <v/>
      </c>
      <c r="F328" s="224" t="str">
        <f aca="false">AD341</f>
        <v>MANGO</v>
      </c>
      <c r="G328" s="169"/>
      <c r="H328" s="169"/>
      <c r="I328" s="169"/>
      <c r="J328" s="169"/>
      <c r="K328" s="169"/>
      <c r="L328" s="169"/>
      <c r="M328" s="169"/>
      <c r="N328" s="169"/>
      <c r="O328" s="169"/>
      <c r="P328" s="169"/>
      <c r="Q328" s="169"/>
      <c r="R328" s="3"/>
      <c r="S328" s="3"/>
      <c r="T328" s="3"/>
      <c r="U328" s="3"/>
      <c r="V328" s="3"/>
      <c r="W328" s="3"/>
      <c r="X328" s="3"/>
      <c r="Y328" s="3"/>
      <c r="Z328" s="316" t="str">
        <f aca="false">IF(AF328&gt;0,RANK(AF328,AF$6:AF$422),"")</f>
        <v/>
      </c>
      <c r="AA328" s="134" t="n">
        <f aca="false">'O_MN, PE_UTA_UGM 2024'!N305</f>
        <v>5</v>
      </c>
      <c r="AB328" s="135" t="n">
        <f aca="false">'O_MN, PE_UTA_UGM 2024'!O305</f>
        <v>0</v>
      </c>
      <c r="AC328" s="317" t="n">
        <f aca="false">'O_MN, PE_UTA_UGM 2024'!C305</f>
        <v>320</v>
      </c>
      <c r="AD328" s="293" t="str">
        <f aca="false">IF(AB328=0,'O_MN, PE_UTA_UGM 2024'!F305,CONCATENATE('O_MN, PE_UTA_UGM 2024'!F305," ","INVERNADERO"))</f>
        <v>POLEO</v>
      </c>
      <c r="AE328" s="89"/>
      <c r="AF328" s="123" t="n">
        <f aca="false">SUM(AG328:AH328)+SUM(AJ328:AK328)</f>
        <v>0</v>
      </c>
      <c r="AG328" s="318" t="n">
        <f aca="false">A315</f>
        <v>0</v>
      </c>
      <c r="AH328" s="319" t="n">
        <f aca="false">B315</f>
        <v>0</v>
      </c>
      <c r="AI328" s="6"/>
      <c r="AJ328" s="320" t="n">
        <f aca="false">C315</f>
        <v>0</v>
      </c>
      <c r="AK328" s="320" t="n">
        <f aca="false">D315</f>
        <v>0</v>
      </c>
      <c r="AL328" s="176"/>
      <c r="AM328" s="299" t="n">
        <f aca="false">'O_MN, PE_UTA_UGM 2024'!J305</f>
        <v>700</v>
      </c>
      <c r="AN328" s="299" t="n">
        <f aca="false">'O_MN, PE_UTA_UGM 2024'!K305</f>
        <v>1800</v>
      </c>
      <c r="AO328" s="300"/>
      <c r="AP328" s="299" t="n">
        <f aca="false">'O_MN, PE_UTA_UGM 2024'!H305</f>
        <v>114.19</v>
      </c>
      <c r="AQ328" s="299" t="n">
        <f aca="false">'O_MN, PE_UTA_UGM 2024'!I305</f>
        <v>240.4</v>
      </c>
      <c r="AR328" s="301"/>
      <c r="AS328" s="302" t="n">
        <f aca="false">'O_MN, PE_UTA_UGM 2024'!L305</f>
        <v>0.00465</v>
      </c>
      <c r="AT328" s="302" t="n">
        <f aca="false">'O_MN, PE_UTA_UGM 2024'!M305</f>
        <v>0.0098</v>
      </c>
      <c r="AU328" s="3"/>
      <c r="AV328" s="321" t="n">
        <f aca="false">AG328*AM328</f>
        <v>0</v>
      </c>
      <c r="AW328" s="319" t="n">
        <f aca="false">AH328*AN328</f>
        <v>0</v>
      </c>
      <c r="AX328" s="320" t="n">
        <f aca="false">1.25*AJ328*AM328</f>
        <v>0</v>
      </c>
      <c r="AY328" s="322" t="n">
        <f aca="false">1.25*AK328*AN328</f>
        <v>0</v>
      </c>
      <c r="AZ328" s="323" t="n">
        <f aca="false">AG328*AP328</f>
        <v>0</v>
      </c>
      <c r="BA328" s="319" t="n">
        <f aca="false">AH328*AQ328</f>
        <v>0</v>
      </c>
      <c r="BB328" s="320" t="n">
        <f aca="false">1.25*AJ328*AP328</f>
        <v>0</v>
      </c>
      <c r="BC328" s="320" t="n">
        <f aca="false">1.25*AK328*AQ328</f>
        <v>0</v>
      </c>
      <c r="BD328" s="321" t="n">
        <f aca="false">AG328*AS328</f>
        <v>0</v>
      </c>
      <c r="BE328" s="319" t="n">
        <f aca="false">AH328*AT328</f>
        <v>0</v>
      </c>
      <c r="BF328" s="320" t="n">
        <f aca="false">AJ328*AS328</f>
        <v>0</v>
      </c>
      <c r="BG328" s="322" t="n">
        <f aca="false">AK328*AT328</f>
        <v>0</v>
      </c>
      <c r="BH328" s="324" t="str">
        <f aca="false">IF(BH$24=$AA328,($AG328*$AM328)+($AJ328*$AM328*1.25)+($AH328*$AN328)+($AK328*$AN328*1.25),"")</f>
        <v/>
      </c>
      <c r="BI328" s="325" t="str">
        <f aca="false">IF(BI$24=$AA328,($AG328*$AM328)+($AJ328*$AM328*1.25)+($AH328*$AN328)+($AK328*$AN328*1.25),"")</f>
        <v/>
      </c>
      <c r="BJ328" s="325" t="str">
        <f aca="false">IF(BJ$24=$AA328,($AG328*$AM328)+($AJ328*$AM328*1.25)+($AH328*$AN328)+($AK328*$AN328*1.25),"")</f>
        <v/>
      </c>
      <c r="BK328" s="325" t="str">
        <f aca="false">IF(BK$24=$AA328,($AG328*$AM328)+($AJ328*$AM328*1.25)+($AH328*$AN328)+($AK328*$AN328*1.25),"")</f>
        <v/>
      </c>
      <c r="BL328" s="326" t="n">
        <f aca="false">IF(BL$24=$AA328,($AG328*$AM328)+($AJ328*$AM328*1.25)+($AH328*$AN328)+($AK328*$AN328*1.25),"")</f>
        <v>0</v>
      </c>
      <c r="BM328" s="327" t="str">
        <f aca="false">IF(CONCATENATE(BH328,BI328,BJ328,BK328,BL328)="",1,"")</f>
        <v/>
      </c>
      <c r="BN328" s="328"/>
      <c r="BO328" s="328"/>
      <c r="BP328" s="328"/>
      <c r="BQ328" s="328"/>
      <c r="BR328" s="6"/>
      <c r="BS328" s="9"/>
      <c r="BT328" s="9"/>
      <c r="BU328" s="9"/>
      <c r="BV328" s="9"/>
    </row>
    <row r="329" customFormat="false" ht="15" hidden="false" customHeight="false" outlineLevel="0" collapsed="false">
      <c r="A329" s="228"/>
      <c r="B329" s="229"/>
      <c r="C329" s="230"/>
      <c r="D329" s="231"/>
      <c r="E329" s="223" t="str">
        <f aca="false">IF(SUM(A329:D329)&gt;0,SUM(A329:D329),"")</f>
        <v/>
      </c>
      <c r="F329" s="224" t="str">
        <f aca="false">AD342</f>
        <v>CHIRIMOYO</v>
      </c>
      <c r="G329" s="169"/>
      <c r="H329" s="169"/>
      <c r="I329" s="169"/>
      <c r="J329" s="169"/>
      <c r="K329" s="169"/>
      <c r="L329" s="169"/>
      <c r="M329" s="169"/>
      <c r="N329" s="169"/>
      <c r="O329" s="169"/>
      <c r="P329" s="169"/>
      <c r="Q329" s="169"/>
      <c r="R329" s="3"/>
      <c r="S329" s="3"/>
      <c r="T329" s="3"/>
      <c r="U329" s="3"/>
      <c r="V329" s="3"/>
      <c r="W329" s="3"/>
      <c r="X329" s="3"/>
      <c r="Y329" s="3"/>
      <c r="Z329" s="316" t="str">
        <f aca="false">IF(AF329&gt;0,RANK(AF329,AF$6:AF$422),"")</f>
        <v/>
      </c>
      <c r="AA329" s="134" t="n">
        <f aca="false">'O_MN, PE_UTA_UGM 2024'!N306</f>
        <v>1</v>
      </c>
      <c r="AB329" s="135" t="n">
        <f aca="false">'O_MN, PE_UTA_UGM 2024'!O306</f>
        <v>0</v>
      </c>
      <c r="AC329" s="317" t="n">
        <f aca="false">'O_MN, PE_UTA_UGM 2024'!C306</f>
        <v>325</v>
      </c>
      <c r="AD329" s="293" t="str">
        <f aca="false">IF(AB329=0,'O_MN, PE_UTA_UGM 2024'!F306,CONCATENATE('O_MN, PE_UTA_UGM 2024'!F306," ","INVERNADERO"))</f>
        <v>TRIGO KHORASAN</v>
      </c>
      <c r="AE329" s="89"/>
      <c r="AF329" s="123" t="n">
        <f aca="false">SUM(AG329:AH329)+SUM(AJ329:AK329)</f>
        <v>0</v>
      </c>
      <c r="AG329" s="318" t="n">
        <f aca="false">A316</f>
        <v>0</v>
      </c>
      <c r="AH329" s="319" t="n">
        <f aca="false">B316</f>
        <v>0</v>
      </c>
      <c r="AI329" s="6"/>
      <c r="AJ329" s="320" t="n">
        <f aca="false">C316</f>
        <v>0</v>
      </c>
      <c r="AK329" s="320" t="n">
        <f aca="false">D316</f>
        <v>0</v>
      </c>
      <c r="AL329" s="176"/>
      <c r="AM329" s="299" t="n">
        <f aca="false">'O_MN, PE_UTA_UGM 2024'!J306</f>
        <v>358.58</v>
      </c>
      <c r="AN329" s="299" t="n">
        <f aca="false">'O_MN, PE_UTA_UGM 2024'!K306</f>
        <v>1000</v>
      </c>
      <c r="AO329" s="300"/>
      <c r="AP329" s="299" t="n">
        <f aca="false">'O_MN, PE_UTA_UGM 2024'!H306</f>
        <v>114.19</v>
      </c>
      <c r="AQ329" s="299" t="n">
        <f aca="false">'O_MN, PE_UTA_UGM 2024'!I306</f>
        <v>240.4</v>
      </c>
      <c r="AR329" s="301"/>
      <c r="AS329" s="302" t="n">
        <f aca="false">'O_MN, PE_UTA_UGM 2024'!L306</f>
        <v>0.00465</v>
      </c>
      <c r="AT329" s="302" t="n">
        <f aca="false">'O_MN, PE_UTA_UGM 2024'!M306</f>
        <v>0.0098</v>
      </c>
      <c r="AU329" s="3"/>
      <c r="AV329" s="321" t="n">
        <f aca="false">AG329*AM329</f>
        <v>0</v>
      </c>
      <c r="AW329" s="319" t="n">
        <f aca="false">AH329*AN329</f>
        <v>0</v>
      </c>
      <c r="AX329" s="320" t="n">
        <f aca="false">1.25*AJ329*AM329</f>
        <v>0</v>
      </c>
      <c r="AY329" s="322" t="n">
        <f aca="false">1.25*AK329*AN329</f>
        <v>0</v>
      </c>
      <c r="AZ329" s="323" t="n">
        <f aca="false">AG329*AP329</f>
        <v>0</v>
      </c>
      <c r="BA329" s="319" t="n">
        <f aca="false">AH329*AQ329</f>
        <v>0</v>
      </c>
      <c r="BB329" s="320" t="n">
        <f aca="false">1.25*AJ329*AP329</f>
        <v>0</v>
      </c>
      <c r="BC329" s="320" t="n">
        <f aca="false">1.25*AK329*AQ329</f>
        <v>0</v>
      </c>
      <c r="BD329" s="321" t="n">
        <f aca="false">AG329*AS329</f>
        <v>0</v>
      </c>
      <c r="BE329" s="319" t="n">
        <f aca="false">AH329*AT329</f>
        <v>0</v>
      </c>
      <c r="BF329" s="320" t="n">
        <f aca="false">AJ329*AS329</f>
        <v>0</v>
      </c>
      <c r="BG329" s="322" t="n">
        <f aca="false">AK329*AT329</f>
        <v>0</v>
      </c>
      <c r="BH329" s="324" t="n">
        <f aca="false">IF(BH$24=$AA329,($AG329*$AM329)+($AJ329*$AM329*1.25)+($AH329*$AN329)+($AK329*$AN329*1.25),"")</f>
        <v>0</v>
      </c>
      <c r="BI329" s="325" t="str">
        <f aca="false">IF(BI$24=$AA329,($AG329*$AM329)+($AJ329*$AM329*1.25)+($AH329*$AN329)+($AK329*$AN329*1.25),"")</f>
        <v/>
      </c>
      <c r="BJ329" s="325" t="str">
        <f aca="false">IF(BJ$24=$AA329,($AG329*$AM329)+($AJ329*$AM329*1.25)+($AH329*$AN329)+($AK329*$AN329*1.25),"")</f>
        <v/>
      </c>
      <c r="BK329" s="325" t="str">
        <f aca="false">IF(BK$24=$AA329,($AG329*$AM329)+($AJ329*$AM329*1.25)+($AH329*$AN329)+($AK329*$AN329*1.25),"")</f>
        <v/>
      </c>
      <c r="BL329" s="326" t="str">
        <f aca="false">IF(BL$24=$AA329,($AG329*$AM329)+($AJ329*$AM329*1.25)+($AH329*$AN329)+($AK329*$AN329*1.25),"")</f>
        <v/>
      </c>
      <c r="BM329" s="327" t="str">
        <f aca="false">IF(CONCATENATE(BH329,BI329,BJ329,BK329,BL329)="",1,"")</f>
        <v/>
      </c>
      <c r="BN329" s="328"/>
      <c r="BO329" s="328"/>
      <c r="BP329" s="328"/>
      <c r="BQ329" s="328"/>
      <c r="BR329" s="6"/>
      <c r="BS329" s="9"/>
      <c r="BT329" s="9"/>
      <c r="BU329" s="9"/>
      <c r="BV329" s="9"/>
    </row>
    <row r="330" customFormat="false" ht="15" hidden="false" customHeight="false" outlineLevel="0" collapsed="false">
      <c r="A330" s="228"/>
      <c r="B330" s="229"/>
      <c r="C330" s="230"/>
      <c r="D330" s="231"/>
      <c r="E330" s="223" t="str">
        <f aca="false">IF(SUM(A330:D330)&gt;0,SUM(A330:D330),"")</f>
        <v/>
      </c>
      <c r="F330" s="224" t="str">
        <f aca="false">AD343</f>
        <v>PAPAYA</v>
      </c>
      <c r="G330" s="169"/>
      <c r="H330" s="169"/>
      <c r="I330" s="169"/>
      <c r="J330" s="169"/>
      <c r="K330" s="169"/>
      <c r="L330" s="169"/>
      <c r="M330" s="169"/>
      <c r="N330" s="169"/>
      <c r="O330" s="169"/>
      <c r="P330" s="169"/>
      <c r="Q330" s="169"/>
      <c r="R330" s="3"/>
      <c r="S330" s="3"/>
      <c r="T330" s="3"/>
      <c r="U330" s="3"/>
      <c r="V330" s="3"/>
      <c r="W330" s="3"/>
      <c r="X330" s="3"/>
      <c r="Y330" s="3"/>
      <c r="Z330" s="316" t="str">
        <f aca="false">IF(AF330&gt;0,RANK(AF330,AF$6:AF$422),"")</f>
        <v/>
      </c>
      <c r="AA330" s="134" t="n">
        <f aca="false">'O_MN, PE_UTA_UGM 2024'!N307</f>
        <v>1</v>
      </c>
      <c r="AB330" s="135" t="n">
        <f aca="false">'O_MN, PE_UTA_UGM 2024'!O307</f>
        <v>0</v>
      </c>
      <c r="AC330" s="317" t="n">
        <f aca="false">'O_MN, PE_UTA_UGM 2024'!C307</f>
        <v>328</v>
      </c>
      <c r="AD330" s="293" t="str">
        <f aca="false">IF(AB330=0,'O_MN, PE_UTA_UGM 2024'!F307,CONCATENATE('O_MN, PE_UTA_UGM 2024'!F307," ","INVERNADERO"))</f>
        <v>PASTO DEL SUDÁN</v>
      </c>
      <c r="AE330" s="89"/>
      <c r="AF330" s="123" t="n">
        <f aca="false">SUM(AG330:AH330)+SUM(AJ330:AK330)</f>
        <v>0</v>
      </c>
      <c r="AG330" s="318" t="n">
        <f aca="false">A317</f>
        <v>0</v>
      </c>
      <c r="AH330" s="319" t="n">
        <f aca="false">B317</f>
        <v>0</v>
      </c>
      <c r="AI330" s="6"/>
      <c r="AJ330" s="320" t="n">
        <f aca="false">C317</f>
        <v>0</v>
      </c>
      <c r="AK330" s="320" t="n">
        <f aca="false">D317</f>
        <v>0</v>
      </c>
      <c r="AL330" s="176"/>
      <c r="AM330" s="299" t="n">
        <f aca="false">'O_MN, PE_UTA_UGM 2024'!J307</f>
        <v>400</v>
      </c>
      <c r="AN330" s="299" t="n">
        <f aca="false">'O_MN, PE_UTA_UGM 2024'!K307</f>
        <v>800</v>
      </c>
      <c r="AO330" s="300"/>
      <c r="AP330" s="299" t="n">
        <f aca="false">'O_MN, PE_UTA_UGM 2024'!H307</f>
        <v>114.19</v>
      </c>
      <c r="AQ330" s="299" t="n">
        <f aca="false">'O_MN, PE_UTA_UGM 2024'!I307</f>
        <v>240.4</v>
      </c>
      <c r="AR330" s="301"/>
      <c r="AS330" s="302" t="n">
        <f aca="false">'O_MN, PE_UTA_UGM 2024'!L307</f>
        <v>0.00465</v>
      </c>
      <c r="AT330" s="302" t="n">
        <f aca="false">'O_MN, PE_UTA_UGM 2024'!M307</f>
        <v>0.0098</v>
      </c>
      <c r="AU330" s="3"/>
      <c r="AV330" s="321" t="n">
        <f aca="false">AG330*AM330</f>
        <v>0</v>
      </c>
      <c r="AW330" s="319" t="n">
        <f aca="false">AH330*AN330</f>
        <v>0</v>
      </c>
      <c r="AX330" s="320" t="n">
        <f aca="false">1.25*AJ330*AM330</f>
        <v>0</v>
      </c>
      <c r="AY330" s="322" t="n">
        <f aca="false">1.25*AK330*AN330</f>
        <v>0</v>
      </c>
      <c r="AZ330" s="323" t="n">
        <f aca="false">AG330*AP330</f>
        <v>0</v>
      </c>
      <c r="BA330" s="319" t="n">
        <f aca="false">AH330*AQ330</f>
        <v>0</v>
      </c>
      <c r="BB330" s="320" t="n">
        <f aca="false">1.25*AJ330*AP330</f>
        <v>0</v>
      </c>
      <c r="BC330" s="320" t="n">
        <f aca="false">1.25*AK330*AQ330</f>
        <v>0</v>
      </c>
      <c r="BD330" s="321" t="n">
        <f aca="false">AG330*AS330</f>
        <v>0</v>
      </c>
      <c r="BE330" s="319" t="n">
        <f aca="false">AH330*AT330</f>
        <v>0</v>
      </c>
      <c r="BF330" s="320" t="n">
        <f aca="false">AJ330*AS330</f>
        <v>0</v>
      </c>
      <c r="BG330" s="322" t="n">
        <f aca="false">AK330*AT330</f>
        <v>0</v>
      </c>
      <c r="BH330" s="324" t="n">
        <f aca="false">IF(BH$24=$AA330,($AG330*$AM330)+($AJ330*$AM330*1.25)+($AH330*$AN330)+($AK330*$AN330*1.25),"")</f>
        <v>0</v>
      </c>
      <c r="BI330" s="325" t="str">
        <f aca="false">IF(BI$24=$AA330,($AG330*$AM330)+($AJ330*$AM330*1.25)+($AH330*$AN330)+($AK330*$AN330*1.25),"")</f>
        <v/>
      </c>
      <c r="BJ330" s="325" t="str">
        <f aca="false">IF(BJ$24=$AA330,($AG330*$AM330)+($AJ330*$AM330*1.25)+($AH330*$AN330)+($AK330*$AN330*1.25),"")</f>
        <v/>
      </c>
      <c r="BK330" s="325" t="str">
        <f aca="false">IF(BK$24=$AA330,($AG330*$AM330)+($AJ330*$AM330*1.25)+($AH330*$AN330)+($AK330*$AN330*1.25),"")</f>
        <v/>
      </c>
      <c r="BL330" s="326" t="str">
        <f aca="false">IF(BL$24=$AA330,($AG330*$AM330)+($AJ330*$AM330*1.25)+($AH330*$AN330)+($AK330*$AN330*1.25),"")</f>
        <v/>
      </c>
      <c r="BM330" s="327" t="str">
        <f aca="false">IF(CONCATENATE(BH330,BI330,BJ330,BK330,BL330)="",1,"")</f>
        <v/>
      </c>
      <c r="BN330" s="328"/>
      <c r="BO330" s="328"/>
      <c r="BP330" s="328"/>
      <c r="BQ330" s="328"/>
      <c r="BR330" s="6"/>
      <c r="BS330" s="9"/>
      <c r="BT330" s="9"/>
      <c r="BU330" s="9"/>
      <c r="BV330" s="9"/>
    </row>
    <row r="331" customFormat="false" ht="15" hidden="false" customHeight="false" outlineLevel="0" collapsed="false">
      <c r="A331" s="228"/>
      <c r="B331" s="229"/>
      <c r="C331" s="230"/>
      <c r="D331" s="231"/>
      <c r="E331" s="223" t="str">
        <f aca="false">IF(SUM(A331:D331)&gt;0,SUM(A331:D331),"")</f>
        <v/>
      </c>
      <c r="F331" s="224" t="str">
        <f aca="false">AD344</f>
        <v>MORERA</v>
      </c>
      <c r="G331" s="169"/>
      <c r="H331" s="169"/>
      <c r="I331" s="169"/>
      <c r="J331" s="169"/>
      <c r="K331" s="169"/>
      <c r="L331" s="169"/>
      <c r="M331" s="169"/>
      <c r="N331" s="169"/>
      <c r="O331" s="169"/>
      <c r="P331" s="169"/>
      <c r="Q331" s="169"/>
      <c r="R331" s="3"/>
      <c r="S331" s="3"/>
      <c r="T331" s="3"/>
      <c r="U331" s="3"/>
      <c r="V331" s="3"/>
      <c r="W331" s="3"/>
      <c r="X331" s="3"/>
      <c r="Y331" s="3"/>
      <c r="Z331" s="316" t="str">
        <f aca="false">IF(AF331&gt;0,RANK(AF331,AF$6:AF$422),"")</f>
        <v/>
      </c>
      <c r="AA331" s="134" t="n">
        <f aca="false">'O_MN, PE_UTA_UGM 2024'!N308</f>
        <v>1</v>
      </c>
      <c r="AB331" s="135" t="n">
        <f aca="false">'O_MN, PE_UTA_UGM 2024'!O308</f>
        <v>0</v>
      </c>
      <c r="AC331" s="317" t="n">
        <f aca="false">'O_MN, PE_UTA_UGM 2024'!C308</f>
        <v>329</v>
      </c>
      <c r="AD331" s="293" t="str">
        <f aca="false">IF(AB331=0,'O_MN, PE_UTA_UGM 2024'!F308,CONCATENATE('O_MN, PE_UTA_UGM 2024'!F308," ","INVERNADERO"))</f>
        <v>AMARANTO</v>
      </c>
      <c r="AE331" s="89"/>
      <c r="AF331" s="123" t="n">
        <f aca="false">SUM(AG331:AH331)+SUM(AJ331:AK331)</f>
        <v>0</v>
      </c>
      <c r="AG331" s="318" t="n">
        <f aca="false">A318</f>
        <v>0</v>
      </c>
      <c r="AH331" s="319" t="n">
        <f aca="false">B318</f>
        <v>0</v>
      </c>
      <c r="AI331" s="6"/>
      <c r="AJ331" s="320" t="n">
        <f aca="false">C318</f>
        <v>0</v>
      </c>
      <c r="AK331" s="320" t="n">
        <f aca="false">D318</f>
        <v>0</v>
      </c>
      <c r="AL331" s="176"/>
      <c r="AM331" s="299" t="n">
        <f aca="false">'O_MN, PE_UTA_UGM 2024'!J308</f>
        <v>522.73</v>
      </c>
      <c r="AN331" s="299" t="n">
        <f aca="false">'O_MN, PE_UTA_UGM 2024'!K308</f>
        <v>1000</v>
      </c>
      <c r="AO331" s="300"/>
      <c r="AP331" s="299" t="n">
        <f aca="false">'O_MN, PE_UTA_UGM 2024'!H308</f>
        <v>114.19</v>
      </c>
      <c r="AQ331" s="299" t="n">
        <f aca="false">'O_MN, PE_UTA_UGM 2024'!I308</f>
        <v>240.4</v>
      </c>
      <c r="AR331" s="301"/>
      <c r="AS331" s="302" t="n">
        <f aca="false">'O_MN, PE_UTA_UGM 2024'!L308</f>
        <v>0.00465</v>
      </c>
      <c r="AT331" s="302" t="n">
        <f aca="false">'O_MN, PE_UTA_UGM 2024'!M308</f>
        <v>0.0098</v>
      </c>
      <c r="AU331" s="3"/>
      <c r="AV331" s="321" t="n">
        <f aca="false">AG331*AM331</f>
        <v>0</v>
      </c>
      <c r="AW331" s="319" t="n">
        <f aca="false">AH331*AN331</f>
        <v>0</v>
      </c>
      <c r="AX331" s="320" t="n">
        <f aca="false">1.25*AJ331*AM331</f>
        <v>0</v>
      </c>
      <c r="AY331" s="322" t="n">
        <f aca="false">1.25*AK331*AN331</f>
        <v>0</v>
      </c>
      <c r="AZ331" s="323" t="n">
        <f aca="false">AG331*AP331</f>
        <v>0</v>
      </c>
      <c r="BA331" s="319" t="n">
        <f aca="false">AH331*AQ331</f>
        <v>0</v>
      </c>
      <c r="BB331" s="320" t="n">
        <f aca="false">1.25*AJ331*AP331</f>
        <v>0</v>
      </c>
      <c r="BC331" s="320" t="n">
        <f aca="false">1.25*AK331*AQ331</f>
        <v>0</v>
      </c>
      <c r="BD331" s="321" t="n">
        <f aca="false">AG331*AS331</f>
        <v>0</v>
      </c>
      <c r="BE331" s="319" t="n">
        <f aca="false">AH331*AT331</f>
        <v>0</v>
      </c>
      <c r="BF331" s="320" t="n">
        <f aca="false">AJ331*AS331</f>
        <v>0</v>
      </c>
      <c r="BG331" s="322" t="n">
        <f aca="false">AK331*AT331</f>
        <v>0</v>
      </c>
      <c r="BH331" s="324" t="n">
        <f aca="false">IF(BH$24=$AA331,($AG331*$AM331)+($AJ331*$AM331*1.25)+($AH331*$AN331)+($AK331*$AN331*1.25),"")</f>
        <v>0</v>
      </c>
      <c r="BI331" s="325" t="str">
        <f aca="false">IF(BI$24=$AA331,($AG331*$AM331)+($AJ331*$AM331*1.25)+($AH331*$AN331)+($AK331*$AN331*1.25),"")</f>
        <v/>
      </c>
      <c r="BJ331" s="325" t="str">
        <f aca="false">IF(BJ$24=$AA331,($AG331*$AM331)+($AJ331*$AM331*1.25)+($AH331*$AN331)+($AK331*$AN331*1.25),"")</f>
        <v/>
      </c>
      <c r="BK331" s="325" t="str">
        <f aca="false">IF(BK$24=$AA331,($AG331*$AM331)+($AJ331*$AM331*1.25)+($AH331*$AN331)+($AK331*$AN331*1.25),"")</f>
        <v/>
      </c>
      <c r="BL331" s="326" t="str">
        <f aca="false">IF(BL$24=$AA331,($AG331*$AM331)+($AJ331*$AM331*1.25)+($AH331*$AN331)+($AK331*$AN331*1.25),"")</f>
        <v/>
      </c>
      <c r="BM331" s="327" t="str">
        <f aca="false">IF(CONCATENATE(BH331,BI331,BJ331,BK331,BL331)="",1,"")</f>
        <v/>
      </c>
      <c r="BN331" s="328"/>
      <c r="BO331" s="328"/>
      <c r="BP331" s="328"/>
      <c r="BQ331" s="328"/>
      <c r="BR331" s="6"/>
      <c r="BS331" s="9"/>
      <c r="BT331" s="9"/>
      <c r="BU331" s="9"/>
      <c r="BV331" s="9"/>
    </row>
    <row r="332" customFormat="false" ht="15" hidden="false" customHeight="false" outlineLevel="0" collapsed="false">
      <c r="A332" s="228"/>
      <c r="B332" s="229"/>
      <c r="C332" s="230"/>
      <c r="D332" s="231"/>
      <c r="E332" s="223" t="str">
        <f aca="false">IF(SUM(A332:D332)&gt;0,SUM(A332:D332),"")</f>
        <v/>
      </c>
      <c r="F332" s="224" t="str">
        <f aca="false">AD345</f>
        <v>VIÑA - FRUTAL</v>
      </c>
      <c r="G332" s="169"/>
      <c r="H332" s="169"/>
      <c r="I332" s="169"/>
      <c r="J332" s="169"/>
      <c r="K332" s="169"/>
      <c r="L332" s="169"/>
      <c r="M332" s="169"/>
      <c r="N332" s="169"/>
      <c r="O332" s="169"/>
      <c r="P332" s="169"/>
      <c r="Q332" s="169"/>
      <c r="R332" s="3"/>
      <c r="S332" s="3"/>
      <c r="T332" s="3"/>
      <c r="U332" s="3"/>
      <c r="V332" s="3"/>
      <c r="W332" s="3"/>
      <c r="X332" s="3"/>
      <c r="Y332" s="3"/>
      <c r="Z332" s="316" t="str">
        <f aca="false">IF(AF332&gt;0,RANK(AF332,AF$6:AF$422),"")</f>
        <v/>
      </c>
      <c r="AA332" s="134" t="n">
        <f aca="false">'O_MN, PE_UTA_UGM 2024'!N309</f>
        <v>1</v>
      </c>
      <c r="AB332" s="135" t="n">
        <f aca="false">'O_MN, PE_UTA_UGM 2024'!O309</f>
        <v>0</v>
      </c>
      <c r="AC332" s="317" t="n">
        <f aca="false">'O_MN, PE_UTA_UGM 2024'!C309</f>
        <v>331</v>
      </c>
      <c r="AD332" s="293" t="str">
        <f aca="false">IF(AB332=0,'O_MN, PE_UTA_UGM 2024'!F309,CONCATENATE('O_MN, PE_UTA_UGM 2024'!F309," ","INVERNADERO"))</f>
        <v>MORINGA</v>
      </c>
      <c r="AE332" s="89"/>
      <c r="AF332" s="123" t="n">
        <f aca="false">SUM(AG332:AH332)+SUM(AJ332:AK332)</f>
        <v>0</v>
      </c>
      <c r="AG332" s="318" t="n">
        <f aca="false">A319</f>
        <v>0</v>
      </c>
      <c r="AH332" s="319" t="n">
        <f aca="false">B319</f>
        <v>0</v>
      </c>
      <c r="AI332" s="6"/>
      <c r="AJ332" s="320" t="n">
        <f aca="false">C319</f>
        <v>0</v>
      </c>
      <c r="AK332" s="320" t="n">
        <f aca="false">D319</f>
        <v>0</v>
      </c>
      <c r="AL332" s="176"/>
      <c r="AM332" s="299" t="n">
        <f aca="false">'O_MN, PE_UTA_UGM 2024'!J309</f>
        <v>522.73</v>
      </c>
      <c r="AN332" s="299" t="n">
        <f aca="false">'O_MN, PE_UTA_UGM 2024'!K309</f>
        <v>1200</v>
      </c>
      <c r="AO332" s="300"/>
      <c r="AP332" s="299" t="n">
        <f aca="false">'O_MN, PE_UTA_UGM 2024'!H309</f>
        <v>114.19</v>
      </c>
      <c r="AQ332" s="299" t="n">
        <f aca="false">'O_MN, PE_UTA_UGM 2024'!I309</f>
        <v>240.4</v>
      </c>
      <c r="AR332" s="301"/>
      <c r="AS332" s="302" t="n">
        <f aca="false">'O_MN, PE_UTA_UGM 2024'!L309</f>
        <v>0.00465</v>
      </c>
      <c r="AT332" s="302" t="n">
        <f aca="false">'O_MN, PE_UTA_UGM 2024'!M309</f>
        <v>0.0098</v>
      </c>
      <c r="AU332" s="3"/>
      <c r="AV332" s="321" t="n">
        <f aca="false">AG332*AM332</f>
        <v>0</v>
      </c>
      <c r="AW332" s="319" t="n">
        <f aca="false">AH332*AN332</f>
        <v>0</v>
      </c>
      <c r="AX332" s="320" t="n">
        <f aca="false">1.25*AJ332*AM332</f>
        <v>0</v>
      </c>
      <c r="AY332" s="322" t="n">
        <f aca="false">1.25*AK332*AN332</f>
        <v>0</v>
      </c>
      <c r="AZ332" s="323" t="n">
        <f aca="false">AG332*AP332</f>
        <v>0</v>
      </c>
      <c r="BA332" s="319" t="n">
        <f aca="false">AH332*AQ332</f>
        <v>0</v>
      </c>
      <c r="BB332" s="320" t="n">
        <f aca="false">1.25*AJ332*AP332</f>
        <v>0</v>
      </c>
      <c r="BC332" s="320" t="n">
        <f aca="false">1.25*AK332*AQ332</f>
        <v>0</v>
      </c>
      <c r="BD332" s="321" t="n">
        <f aca="false">AG332*AS332</f>
        <v>0</v>
      </c>
      <c r="BE332" s="319" t="n">
        <f aca="false">AH332*AT332</f>
        <v>0</v>
      </c>
      <c r="BF332" s="320" t="n">
        <f aca="false">AJ332*AS332</f>
        <v>0</v>
      </c>
      <c r="BG332" s="322" t="n">
        <f aca="false">AK332*AT332</f>
        <v>0</v>
      </c>
      <c r="BH332" s="324" t="n">
        <f aca="false">IF(BH$24=$AA332,($AG332*$AM332)+($AJ332*$AM332*1.25)+($AH332*$AN332)+($AK332*$AN332*1.25),"")</f>
        <v>0</v>
      </c>
      <c r="BI332" s="325" t="str">
        <f aca="false">IF(BI$24=$AA332,($AG332*$AM332)+($AJ332*$AM332*1.25)+($AH332*$AN332)+($AK332*$AN332*1.25),"")</f>
        <v/>
      </c>
      <c r="BJ332" s="325" t="str">
        <f aca="false">IF(BJ$24=$AA332,($AG332*$AM332)+($AJ332*$AM332*1.25)+($AH332*$AN332)+($AK332*$AN332*1.25),"")</f>
        <v/>
      </c>
      <c r="BK332" s="325" t="str">
        <f aca="false">IF(BK$24=$AA332,($AG332*$AM332)+($AJ332*$AM332*1.25)+($AH332*$AN332)+($AK332*$AN332*1.25),"")</f>
        <v/>
      </c>
      <c r="BL332" s="326" t="str">
        <f aca="false">IF(BL$24=$AA332,($AG332*$AM332)+($AJ332*$AM332*1.25)+($AH332*$AN332)+($AK332*$AN332*1.25),"")</f>
        <v/>
      </c>
      <c r="BM332" s="327" t="str">
        <f aca="false">IF(CONCATENATE(BH332,BI332,BJ332,BK332,BL332)="",1,"")</f>
        <v/>
      </c>
      <c r="BN332" s="328"/>
      <c r="BO332" s="328"/>
      <c r="BP332" s="328"/>
      <c r="BQ332" s="328"/>
      <c r="BR332" s="6"/>
      <c r="BS332" s="9"/>
      <c r="BT332" s="9"/>
      <c r="BU332" s="9"/>
      <c r="BV332" s="9"/>
    </row>
    <row r="333" customFormat="false" ht="15" hidden="false" customHeight="false" outlineLevel="0" collapsed="false">
      <c r="A333" s="228"/>
      <c r="B333" s="229"/>
      <c r="C333" s="230"/>
      <c r="D333" s="231"/>
      <c r="E333" s="223" t="str">
        <f aca="false">IF(SUM(A333:D333)&gt;0,SUM(A333:D333),"")</f>
        <v/>
      </c>
      <c r="F333" s="224" t="str">
        <f aca="false">AD346</f>
        <v>OLIVAR - FRUTAL</v>
      </c>
      <c r="G333" s="169"/>
      <c r="H333" s="169"/>
      <c r="I333" s="169"/>
      <c r="J333" s="169"/>
      <c r="K333" s="169"/>
      <c r="L333" s="169"/>
      <c r="M333" s="169"/>
      <c r="N333" s="169"/>
      <c r="O333" s="169"/>
      <c r="P333" s="169"/>
      <c r="Q333" s="169"/>
      <c r="R333" s="3"/>
      <c r="S333" s="3"/>
      <c r="T333" s="3"/>
      <c r="U333" s="3"/>
      <c r="V333" s="3"/>
      <c r="W333" s="3"/>
      <c r="X333" s="3"/>
      <c r="Y333" s="3"/>
      <c r="Z333" s="316" t="str">
        <f aca="false">IF(AF333&gt;0,RANK(AF333,AF$6:AF$422),"")</f>
        <v/>
      </c>
      <c r="AA333" s="134" t="n">
        <f aca="false">'O_MN, PE_UTA_UGM 2024'!N310</f>
        <v>1</v>
      </c>
      <c r="AB333" s="135" t="n">
        <f aca="false">'O_MN, PE_UTA_UGM 2024'!O310</f>
        <v>0</v>
      </c>
      <c r="AC333" s="317" t="n">
        <f aca="false">'O_MN, PE_UTA_UGM 2024'!C310</f>
        <v>332</v>
      </c>
      <c r="AD333" s="293" t="str">
        <f aca="false">IF(AB333=0,'O_MN, PE_UTA_UGM 2024'!F310,CONCATENATE('O_MN, PE_UTA_UGM 2024'!F310," ","INVERNADERO"))</f>
        <v>MOSTAZA</v>
      </c>
      <c r="AE333" s="89"/>
      <c r="AF333" s="123" t="n">
        <f aca="false">SUM(AG333:AH333)+SUM(AJ333:AK333)</f>
        <v>0</v>
      </c>
      <c r="AG333" s="318" t="n">
        <f aca="false">A320</f>
        <v>0</v>
      </c>
      <c r="AH333" s="319" t="n">
        <f aca="false">B320</f>
        <v>0</v>
      </c>
      <c r="AI333" s="6"/>
      <c r="AJ333" s="320" t="n">
        <f aca="false">C320</f>
        <v>0</v>
      </c>
      <c r="AK333" s="320" t="n">
        <f aca="false">D320</f>
        <v>0</v>
      </c>
      <c r="AL333" s="176"/>
      <c r="AM333" s="299" t="n">
        <f aca="false">'O_MN, PE_UTA_UGM 2024'!J310</f>
        <v>1939.8</v>
      </c>
      <c r="AN333" s="299" t="n">
        <f aca="false">'O_MN, PE_UTA_UGM 2024'!K310</f>
        <v>6000</v>
      </c>
      <c r="AO333" s="300"/>
      <c r="AP333" s="299" t="n">
        <f aca="false">'O_MN, PE_UTA_UGM 2024'!H310</f>
        <v>480.81</v>
      </c>
      <c r="AQ333" s="299" t="n">
        <f aca="false">'O_MN, PE_UTA_UGM 2024'!I310</f>
        <v>1442.43</v>
      </c>
      <c r="AR333" s="301"/>
      <c r="AS333" s="302" t="n">
        <f aca="false">'O_MN, PE_UTA_UGM 2024'!L310</f>
        <v>0.0196</v>
      </c>
      <c r="AT333" s="302" t="n">
        <f aca="false">'O_MN, PE_UTA_UGM 2024'!M310</f>
        <v>0.05879</v>
      </c>
      <c r="AU333" s="3"/>
      <c r="AV333" s="321" t="n">
        <f aca="false">AG333*AM333</f>
        <v>0</v>
      </c>
      <c r="AW333" s="319" t="n">
        <f aca="false">AH333*AN333</f>
        <v>0</v>
      </c>
      <c r="AX333" s="320" t="n">
        <f aca="false">1.25*AJ333*AM333</f>
        <v>0</v>
      </c>
      <c r="AY333" s="322" t="n">
        <f aca="false">1.25*AK333*AN333</f>
        <v>0</v>
      </c>
      <c r="AZ333" s="323" t="n">
        <f aca="false">AG333*AP333</f>
        <v>0</v>
      </c>
      <c r="BA333" s="319" t="n">
        <f aca="false">AH333*AQ333</f>
        <v>0</v>
      </c>
      <c r="BB333" s="320" t="n">
        <f aca="false">1.25*AJ333*AP333</f>
        <v>0</v>
      </c>
      <c r="BC333" s="320" t="n">
        <f aca="false">1.25*AK333*AQ333</f>
        <v>0</v>
      </c>
      <c r="BD333" s="321" t="n">
        <f aca="false">AG333*AS333</f>
        <v>0</v>
      </c>
      <c r="BE333" s="319" t="n">
        <f aca="false">AH333*AT333</f>
        <v>0</v>
      </c>
      <c r="BF333" s="320" t="n">
        <f aca="false">AJ333*AS333</f>
        <v>0</v>
      </c>
      <c r="BG333" s="322" t="n">
        <f aca="false">AK333*AT333</f>
        <v>0</v>
      </c>
      <c r="BH333" s="324" t="n">
        <f aca="false">IF(BH$24=$AA333,($AG333*$AM333)+($AJ333*$AM333*1.25)+($AH333*$AN333)+($AK333*$AN333*1.25),"")</f>
        <v>0</v>
      </c>
      <c r="BI333" s="325" t="str">
        <f aca="false">IF(BI$24=$AA333,($AG333*$AM333)+($AJ333*$AM333*1.25)+($AH333*$AN333)+($AK333*$AN333*1.25),"")</f>
        <v/>
      </c>
      <c r="BJ333" s="325" t="str">
        <f aca="false">IF(BJ$24=$AA333,($AG333*$AM333)+($AJ333*$AM333*1.25)+($AH333*$AN333)+($AK333*$AN333*1.25),"")</f>
        <v/>
      </c>
      <c r="BK333" s="325" t="str">
        <f aca="false">IF(BK$24=$AA333,($AG333*$AM333)+($AJ333*$AM333*1.25)+($AH333*$AN333)+($AK333*$AN333*1.25),"")</f>
        <v/>
      </c>
      <c r="BL333" s="326" t="str">
        <f aca="false">IF(BL$24=$AA333,($AG333*$AM333)+($AJ333*$AM333*1.25)+($AH333*$AN333)+($AK333*$AN333*1.25),"")</f>
        <v/>
      </c>
      <c r="BM333" s="327" t="str">
        <f aca="false">IF(CONCATENATE(BH333,BI333,BJ333,BK333,BL333)="",1,"")</f>
        <v/>
      </c>
      <c r="BN333" s="328"/>
      <c r="BO333" s="328"/>
      <c r="BP333" s="328"/>
      <c r="BQ333" s="328"/>
      <c r="BR333" s="6"/>
      <c r="BS333" s="9"/>
      <c r="BT333" s="9"/>
      <c r="BU333" s="9"/>
      <c r="BV333" s="9"/>
    </row>
    <row r="334" customFormat="false" ht="15" hidden="false" customHeight="false" outlineLevel="0" collapsed="false">
      <c r="A334" s="228"/>
      <c r="B334" s="229"/>
      <c r="C334" s="230"/>
      <c r="D334" s="231"/>
      <c r="E334" s="223" t="str">
        <f aca="false">IF(SUM(A334:D334)&gt;0,SUM(A334:D334),"")</f>
        <v/>
      </c>
      <c r="F334" s="224" t="str">
        <f aca="false">AD347</f>
        <v>CÍTRICOS HÍBRIDOS-CAQUI</v>
      </c>
      <c r="G334" s="169"/>
      <c r="H334" s="169"/>
      <c r="I334" s="169"/>
      <c r="J334" s="169"/>
      <c r="K334" s="169"/>
      <c r="L334" s="169"/>
      <c r="M334" s="169"/>
      <c r="N334" s="169"/>
      <c r="O334" s="169"/>
      <c r="P334" s="169"/>
      <c r="Q334" s="169"/>
      <c r="R334" s="3"/>
      <c r="S334" s="3"/>
      <c r="T334" s="3"/>
      <c r="U334" s="3"/>
      <c r="V334" s="3"/>
      <c r="W334" s="3"/>
      <c r="X334" s="3"/>
      <c r="Y334" s="3"/>
      <c r="Z334" s="316" t="str">
        <f aca="false">IF(AF334&gt;0,RANK(AF334,AF$6:AF$422),"")</f>
        <v/>
      </c>
      <c r="AA334" s="134" t="n">
        <f aca="false">'O_MN, PE_UTA_UGM 2024'!N311</f>
        <v>1</v>
      </c>
      <c r="AB334" s="135" t="n">
        <f aca="false">'O_MN, PE_UTA_UGM 2024'!O311</f>
        <v>0</v>
      </c>
      <c r="AC334" s="317" t="n">
        <f aca="false">'O_MN, PE_UTA_UGM 2024'!C311</f>
        <v>336</v>
      </c>
      <c r="AD334" s="293" t="str">
        <f aca="false">IF(AB334=0,'O_MN, PE_UTA_UGM 2024'!F311,CONCATENATE('O_MN, PE_UTA_UGM 2024'!F311," ","INVERNADERO"))</f>
        <v>MEZCLA ALGARROBA-AVENA</v>
      </c>
      <c r="AE334" s="89"/>
      <c r="AF334" s="123" t="n">
        <f aca="false">SUM(AG334:AH334)+SUM(AJ334:AK334)</f>
        <v>0</v>
      </c>
      <c r="AG334" s="318" t="n">
        <f aca="false">A321</f>
        <v>0</v>
      </c>
      <c r="AH334" s="319" t="n">
        <f aca="false">B321</f>
        <v>0</v>
      </c>
      <c r="AI334" s="6"/>
      <c r="AJ334" s="320" t="n">
        <f aca="false">C321</f>
        <v>0</v>
      </c>
      <c r="AK334" s="320" t="n">
        <f aca="false">D321</f>
        <v>0</v>
      </c>
      <c r="AL334" s="176"/>
      <c r="AM334" s="299" t="n">
        <f aca="false">'O_MN, PE_UTA_UGM 2024'!J311</f>
        <v>400</v>
      </c>
      <c r="AN334" s="299" t="n">
        <f aca="false">'O_MN, PE_UTA_UGM 2024'!K311</f>
        <v>1000</v>
      </c>
      <c r="AO334" s="300"/>
      <c r="AP334" s="299" t="n">
        <f aca="false">'O_MN, PE_UTA_UGM 2024'!H311</f>
        <v>114.19</v>
      </c>
      <c r="AQ334" s="299" t="n">
        <f aca="false">'O_MN, PE_UTA_UGM 2024'!I311</f>
        <v>240.4</v>
      </c>
      <c r="AR334" s="301"/>
      <c r="AS334" s="302" t="n">
        <f aca="false">'O_MN, PE_UTA_UGM 2024'!L311</f>
        <v>0.00465</v>
      </c>
      <c r="AT334" s="302" t="n">
        <f aca="false">'O_MN, PE_UTA_UGM 2024'!M311</f>
        <v>0.0098</v>
      </c>
      <c r="AU334" s="3"/>
      <c r="AV334" s="321" t="n">
        <f aca="false">AG334*AM334</f>
        <v>0</v>
      </c>
      <c r="AW334" s="319" t="n">
        <f aca="false">AH334*AN334</f>
        <v>0</v>
      </c>
      <c r="AX334" s="320" t="n">
        <f aca="false">1.25*AJ334*AM334</f>
        <v>0</v>
      </c>
      <c r="AY334" s="322" t="n">
        <f aca="false">1.25*AK334*AN334</f>
        <v>0</v>
      </c>
      <c r="AZ334" s="323" t="n">
        <f aca="false">AG334*AP334</f>
        <v>0</v>
      </c>
      <c r="BA334" s="319" t="n">
        <f aca="false">AH334*AQ334</f>
        <v>0</v>
      </c>
      <c r="BB334" s="320" t="n">
        <f aca="false">1.25*AJ334*AP334</f>
        <v>0</v>
      </c>
      <c r="BC334" s="320" t="n">
        <f aca="false">1.25*AK334*AQ334</f>
        <v>0</v>
      </c>
      <c r="BD334" s="321" t="n">
        <f aca="false">AG334*AS334</f>
        <v>0</v>
      </c>
      <c r="BE334" s="319" t="n">
        <f aca="false">AH334*AT334</f>
        <v>0</v>
      </c>
      <c r="BF334" s="320" t="n">
        <f aca="false">AJ334*AS334</f>
        <v>0</v>
      </c>
      <c r="BG334" s="322" t="n">
        <f aca="false">AK334*AT334</f>
        <v>0</v>
      </c>
      <c r="BH334" s="324" t="n">
        <f aca="false">IF(BH$24=$AA334,($AG334*$AM334)+($AJ334*$AM334*1.25)+($AH334*$AN334)+($AK334*$AN334*1.25),"")</f>
        <v>0</v>
      </c>
      <c r="BI334" s="325" t="str">
        <f aca="false">IF(BI$24=$AA334,($AG334*$AM334)+($AJ334*$AM334*1.25)+($AH334*$AN334)+($AK334*$AN334*1.25),"")</f>
        <v/>
      </c>
      <c r="BJ334" s="325" t="str">
        <f aca="false">IF(BJ$24=$AA334,($AG334*$AM334)+($AJ334*$AM334*1.25)+($AH334*$AN334)+($AK334*$AN334*1.25),"")</f>
        <v/>
      </c>
      <c r="BK334" s="325" t="str">
        <f aca="false">IF(BK$24=$AA334,($AG334*$AM334)+($AJ334*$AM334*1.25)+($AH334*$AN334)+($AK334*$AN334*1.25),"")</f>
        <v/>
      </c>
      <c r="BL334" s="326" t="str">
        <f aca="false">IF(BL$24=$AA334,($AG334*$AM334)+($AJ334*$AM334*1.25)+($AH334*$AN334)+($AK334*$AN334*1.25),"")</f>
        <v/>
      </c>
      <c r="BM334" s="327" t="str">
        <f aca="false">IF(CONCATENATE(BH334,BI334,BJ334,BK334,BL334)="",1,"")</f>
        <v/>
      </c>
      <c r="BN334" s="328"/>
      <c r="BO334" s="328"/>
      <c r="BP334" s="328"/>
      <c r="BQ334" s="328"/>
      <c r="BR334" s="6"/>
      <c r="BS334" s="9"/>
      <c r="BT334" s="9"/>
      <c r="BU334" s="9"/>
      <c r="BV334" s="9"/>
    </row>
    <row r="335" customFormat="false" ht="15" hidden="false" customHeight="false" outlineLevel="0" collapsed="false">
      <c r="A335" s="228"/>
      <c r="B335" s="229"/>
      <c r="C335" s="230"/>
      <c r="D335" s="231"/>
      <c r="E335" s="223" t="str">
        <f aca="false">IF(SUM(A335:D335)&gt;0,SUM(A335:D335),"")</f>
        <v/>
      </c>
      <c r="F335" s="224" t="str">
        <f aca="false">AD348</f>
        <v>NARANJO-AGUACATE</v>
      </c>
      <c r="G335" s="169"/>
      <c r="H335" s="169"/>
      <c r="I335" s="169"/>
      <c r="J335" s="169"/>
      <c r="K335" s="169"/>
      <c r="L335" s="169"/>
      <c r="M335" s="169"/>
      <c r="N335" s="169"/>
      <c r="O335" s="169"/>
      <c r="P335" s="169"/>
      <c r="Q335" s="169"/>
      <c r="R335" s="3"/>
      <c r="S335" s="3"/>
      <c r="T335" s="3"/>
      <c r="U335" s="3"/>
      <c r="V335" s="3"/>
      <c r="W335" s="3"/>
      <c r="X335" s="3"/>
      <c r="Y335" s="3"/>
      <c r="Z335" s="316" t="str">
        <f aca="false">IF(AF335&gt;0,RANK(AF335,AF$6:AF$422),"")</f>
        <v/>
      </c>
      <c r="AA335" s="134" t="n">
        <f aca="false">'O_MN, PE_UTA_UGM 2024'!N312</f>
        <v>1</v>
      </c>
      <c r="AB335" s="135" t="n">
        <f aca="false">'O_MN, PE_UTA_UGM 2024'!O312</f>
        <v>0</v>
      </c>
      <c r="AC335" s="317" t="n">
        <f aca="false">'O_MN, PE_UTA_UGM 2024'!C312</f>
        <v>337</v>
      </c>
      <c r="AD335" s="293" t="str">
        <f aca="false">IF(AB335=0,'O_MN, PE_UTA_UGM 2024'!F312,CONCATENATE('O_MN, PE_UTA_UGM 2024'!F312," ","INVERNADERO"))</f>
        <v>MEZCLA ALGARROBA-CEBADA</v>
      </c>
      <c r="AE335" s="89"/>
      <c r="AF335" s="123" t="n">
        <f aca="false">SUM(AG335:AH335)+SUM(AJ335:AK335)</f>
        <v>0</v>
      </c>
      <c r="AG335" s="318" t="n">
        <f aca="false">A322</f>
        <v>0</v>
      </c>
      <c r="AH335" s="319" t="n">
        <f aca="false">B322</f>
        <v>0</v>
      </c>
      <c r="AI335" s="6"/>
      <c r="AJ335" s="320" t="n">
        <f aca="false">C322</f>
        <v>0</v>
      </c>
      <c r="AK335" s="320" t="n">
        <f aca="false">D322</f>
        <v>0</v>
      </c>
      <c r="AL335" s="176"/>
      <c r="AM335" s="299" t="n">
        <f aca="false">'O_MN, PE_UTA_UGM 2024'!J312</f>
        <v>400</v>
      </c>
      <c r="AN335" s="299" t="n">
        <f aca="false">'O_MN, PE_UTA_UGM 2024'!K312</f>
        <v>1000</v>
      </c>
      <c r="AO335" s="300"/>
      <c r="AP335" s="299" t="n">
        <f aca="false">'O_MN, PE_UTA_UGM 2024'!H312</f>
        <v>114.19</v>
      </c>
      <c r="AQ335" s="299" t="n">
        <f aca="false">'O_MN, PE_UTA_UGM 2024'!I312</f>
        <v>240.4</v>
      </c>
      <c r="AR335" s="301"/>
      <c r="AS335" s="302" t="n">
        <f aca="false">'O_MN, PE_UTA_UGM 2024'!L312</f>
        <v>0.00465</v>
      </c>
      <c r="AT335" s="302" t="n">
        <f aca="false">'O_MN, PE_UTA_UGM 2024'!M312</f>
        <v>0.0098</v>
      </c>
      <c r="AU335" s="3"/>
      <c r="AV335" s="321" t="n">
        <f aca="false">AG335*AM335</f>
        <v>0</v>
      </c>
      <c r="AW335" s="319" t="n">
        <f aca="false">AH335*AN335</f>
        <v>0</v>
      </c>
      <c r="AX335" s="320" t="n">
        <f aca="false">1.25*AJ335*AM335</f>
        <v>0</v>
      </c>
      <c r="AY335" s="322" t="n">
        <f aca="false">1.25*AK335*AN335</f>
        <v>0</v>
      </c>
      <c r="AZ335" s="323" t="n">
        <f aca="false">AG335*AP335</f>
        <v>0</v>
      </c>
      <c r="BA335" s="319" t="n">
        <f aca="false">AH335*AQ335</f>
        <v>0</v>
      </c>
      <c r="BB335" s="320" t="n">
        <f aca="false">1.25*AJ335*AP335</f>
        <v>0</v>
      </c>
      <c r="BC335" s="320" t="n">
        <f aca="false">1.25*AK335*AQ335</f>
        <v>0</v>
      </c>
      <c r="BD335" s="321" t="n">
        <f aca="false">AG335*AS335</f>
        <v>0</v>
      </c>
      <c r="BE335" s="319" t="n">
        <f aca="false">AH335*AT335</f>
        <v>0</v>
      </c>
      <c r="BF335" s="320" t="n">
        <f aca="false">AJ335*AS335</f>
        <v>0</v>
      </c>
      <c r="BG335" s="322" t="n">
        <f aca="false">AK335*AT335</f>
        <v>0</v>
      </c>
      <c r="BH335" s="324" t="n">
        <f aca="false">IF(BH$24=$AA335,($AG335*$AM335)+($AJ335*$AM335*1.25)+($AH335*$AN335)+($AK335*$AN335*1.25),"")</f>
        <v>0</v>
      </c>
      <c r="BI335" s="325" t="str">
        <f aca="false">IF(BI$24=$AA335,($AG335*$AM335)+($AJ335*$AM335*1.25)+($AH335*$AN335)+($AK335*$AN335*1.25),"")</f>
        <v/>
      </c>
      <c r="BJ335" s="325" t="str">
        <f aca="false">IF(BJ$24=$AA335,($AG335*$AM335)+($AJ335*$AM335*1.25)+($AH335*$AN335)+($AK335*$AN335*1.25),"")</f>
        <v/>
      </c>
      <c r="BK335" s="325" t="str">
        <f aca="false">IF(BK$24=$AA335,($AG335*$AM335)+($AJ335*$AM335*1.25)+($AH335*$AN335)+($AK335*$AN335*1.25),"")</f>
        <v/>
      </c>
      <c r="BL335" s="326" t="str">
        <f aca="false">IF(BL$24=$AA335,($AG335*$AM335)+($AJ335*$AM335*1.25)+($AH335*$AN335)+($AK335*$AN335*1.25),"")</f>
        <v/>
      </c>
      <c r="BM335" s="327" t="str">
        <f aca="false">IF(CONCATENATE(BH335,BI335,BJ335,BK335,BL335)="",1,"")</f>
        <v/>
      </c>
      <c r="BN335" s="328"/>
      <c r="BO335" s="328"/>
      <c r="BP335" s="328"/>
      <c r="BQ335" s="328"/>
      <c r="BR335" s="6"/>
      <c r="BS335" s="9"/>
      <c r="BT335" s="9"/>
      <c r="BU335" s="9"/>
      <c r="BV335" s="9"/>
    </row>
    <row r="336" customFormat="false" ht="15" hidden="false" customHeight="false" outlineLevel="0" collapsed="false">
      <c r="A336" s="228"/>
      <c r="B336" s="229"/>
      <c r="C336" s="230"/>
      <c r="D336" s="231"/>
      <c r="E336" s="223" t="str">
        <f aca="false">IF(SUM(A336:D336)&gt;0,SUM(A336:D336),"")</f>
        <v/>
      </c>
      <c r="F336" s="224" t="str">
        <f aca="false">AD349</f>
        <v>CEREZO-OLIVAR</v>
      </c>
      <c r="G336" s="169"/>
      <c r="H336" s="169"/>
      <c r="I336" s="169"/>
      <c r="J336" s="169"/>
      <c r="K336" s="169"/>
      <c r="L336" s="169"/>
      <c r="M336" s="169"/>
      <c r="N336" s="169"/>
      <c r="O336" s="169"/>
      <c r="P336" s="169"/>
      <c r="Q336" s="169"/>
      <c r="R336" s="3"/>
      <c r="S336" s="3"/>
      <c r="T336" s="3"/>
      <c r="U336" s="3"/>
      <c r="V336" s="3"/>
      <c r="W336" s="3"/>
      <c r="X336" s="3"/>
      <c r="Y336" s="3"/>
      <c r="Z336" s="316" t="str">
        <f aca="false">IF(AF336&gt;0,RANK(AF336,AF$6:AF$422),"")</f>
        <v/>
      </c>
      <c r="AA336" s="134" t="n">
        <f aca="false">'O_MN, PE_UTA_UGM 2024'!N313</f>
        <v>1</v>
      </c>
      <c r="AB336" s="135" t="n">
        <f aca="false">'O_MN, PE_UTA_UGM 2024'!O313</f>
        <v>0</v>
      </c>
      <c r="AC336" s="317" t="n">
        <f aca="false">'O_MN, PE_UTA_UGM 2024'!C313</f>
        <v>338</v>
      </c>
      <c r="AD336" s="293" t="str">
        <f aca="false">IF(AB336=0,'O_MN, PE_UTA_UGM 2024'!F313,CONCATENATE('O_MN, PE_UTA_UGM 2024'!F313," ","INVERNADERO"))</f>
        <v>MEZCLA RAYGRASS-VEZA</v>
      </c>
      <c r="AE336" s="89"/>
      <c r="AF336" s="123" t="n">
        <f aca="false">SUM(AG336:AH336)+SUM(AJ336:AK336)</f>
        <v>0</v>
      </c>
      <c r="AG336" s="318" t="n">
        <f aca="false">A323</f>
        <v>0</v>
      </c>
      <c r="AH336" s="319" t="n">
        <f aca="false">B323</f>
        <v>0</v>
      </c>
      <c r="AI336" s="6"/>
      <c r="AJ336" s="320" t="n">
        <f aca="false">C323</f>
        <v>0</v>
      </c>
      <c r="AK336" s="320" t="n">
        <f aca="false">D323</f>
        <v>0</v>
      </c>
      <c r="AL336" s="176"/>
      <c r="AM336" s="299" t="n">
        <f aca="false">'O_MN, PE_UTA_UGM 2024'!J313</f>
        <v>400</v>
      </c>
      <c r="AN336" s="299" t="n">
        <f aca="false">'O_MN, PE_UTA_UGM 2024'!K313</f>
        <v>1000</v>
      </c>
      <c r="AO336" s="300"/>
      <c r="AP336" s="299" t="n">
        <f aca="false">'O_MN, PE_UTA_UGM 2024'!H313</f>
        <v>114.19</v>
      </c>
      <c r="AQ336" s="299" t="n">
        <f aca="false">'O_MN, PE_UTA_UGM 2024'!I313</f>
        <v>240.4</v>
      </c>
      <c r="AR336" s="301"/>
      <c r="AS336" s="302" t="n">
        <f aca="false">'O_MN, PE_UTA_UGM 2024'!L313</f>
        <v>0.00465</v>
      </c>
      <c r="AT336" s="302" t="n">
        <f aca="false">'O_MN, PE_UTA_UGM 2024'!M313</f>
        <v>0.0098</v>
      </c>
      <c r="AU336" s="3"/>
      <c r="AV336" s="321" t="n">
        <f aca="false">AG336*AM336</f>
        <v>0</v>
      </c>
      <c r="AW336" s="319" t="n">
        <f aca="false">AH336*AN336</f>
        <v>0</v>
      </c>
      <c r="AX336" s="320" t="n">
        <f aca="false">1.25*AJ336*AM336</f>
        <v>0</v>
      </c>
      <c r="AY336" s="322" t="n">
        <f aca="false">1.25*AK336*AN336</f>
        <v>0</v>
      </c>
      <c r="AZ336" s="323" t="n">
        <f aca="false">AG336*AP336</f>
        <v>0</v>
      </c>
      <c r="BA336" s="319" t="n">
        <f aca="false">AH336*AQ336</f>
        <v>0</v>
      </c>
      <c r="BB336" s="320" t="n">
        <f aca="false">1.25*AJ336*AP336</f>
        <v>0</v>
      </c>
      <c r="BC336" s="320" t="n">
        <f aca="false">1.25*AK336*AQ336</f>
        <v>0</v>
      </c>
      <c r="BD336" s="321" t="n">
        <f aca="false">AG336*AS336</f>
        <v>0</v>
      </c>
      <c r="BE336" s="319" t="n">
        <f aca="false">AH336*AT336</f>
        <v>0</v>
      </c>
      <c r="BF336" s="320" t="n">
        <f aca="false">AJ336*AS336</f>
        <v>0</v>
      </c>
      <c r="BG336" s="322" t="n">
        <f aca="false">AK336*AT336</f>
        <v>0</v>
      </c>
      <c r="BH336" s="324" t="n">
        <f aca="false">IF(BH$24=$AA336,($AG336*$AM336)+($AJ336*$AM336*1.25)+($AH336*$AN336)+($AK336*$AN336*1.25),"")</f>
        <v>0</v>
      </c>
      <c r="BI336" s="325" t="str">
        <f aca="false">IF(BI$24=$AA336,($AG336*$AM336)+($AJ336*$AM336*1.25)+($AH336*$AN336)+($AK336*$AN336*1.25),"")</f>
        <v/>
      </c>
      <c r="BJ336" s="325" t="str">
        <f aca="false">IF(BJ$24=$AA336,($AG336*$AM336)+($AJ336*$AM336*1.25)+($AH336*$AN336)+($AK336*$AN336*1.25),"")</f>
        <v/>
      </c>
      <c r="BK336" s="325" t="str">
        <f aca="false">IF(BK$24=$AA336,($AG336*$AM336)+($AJ336*$AM336*1.25)+($AH336*$AN336)+($AK336*$AN336*1.25),"")</f>
        <v/>
      </c>
      <c r="BL336" s="326" t="str">
        <f aca="false">IF(BL$24=$AA336,($AG336*$AM336)+($AJ336*$AM336*1.25)+($AH336*$AN336)+($AK336*$AN336*1.25),"")</f>
        <v/>
      </c>
      <c r="BM336" s="327" t="str">
        <f aca="false">IF(CONCATENATE(BH336,BI336,BJ336,BK336,BL336)="",1,"")</f>
        <v/>
      </c>
      <c r="BN336" s="328"/>
      <c r="BO336" s="328"/>
      <c r="BP336" s="328"/>
      <c r="BQ336" s="328"/>
      <c r="BR336" s="6"/>
      <c r="BS336" s="9"/>
      <c r="BT336" s="9"/>
      <c r="BU336" s="9"/>
      <c r="BV336" s="9"/>
    </row>
    <row r="337" customFormat="false" ht="15" hidden="false" customHeight="false" outlineLevel="0" collapsed="false">
      <c r="A337" s="228"/>
      <c r="B337" s="229"/>
      <c r="C337" s="230"/>
      <c r="D337" s="231"/>
      <c r="E337" s="223" t="str">
        <f aca="false">IF(SUM(A337:D337)&gt;0,SUM(A337:D337),"")</f>
        <v/>
      </c>
      <c r="F337" s="224" t="str">
        <f aca="false">AD350</f>
        <v>CEREZO-ALGARROBO</v>
      </c>
      <c r="G337" s="169"/>
      <c r="H337" s="169"/>
      <c r="I337" s="169"/>
      <c r="J337" s="169"/>
      <c r="K337" s="169"/>
      <c r="L337" s="169"/>
      <c r="M337" s="169"/>
      <c r="N337" s="169"/>
      <c r="O337" s="169"/>
      <c r="P337" s="169"/>
      <c r="Q337" s="169"/>
      <c r="R337" s="3"/>
      <c r="S337" s="3"/>
      <c r="T337" s="3"/>
      <c r="U337" s="3"/>
      <c r="V337" s="3"/>
      <c r="W337" s="3"/>
      <c r="X337" s="3"/>
      <c r="Y337" s="3"/>
      <c r="Z337" s="316" t="str">
        <f aca="false">IF(AF337&gt;0,RANK(AF337,AF$6:AF$422),"")</f>
        <v/>
      </c>
      <c r="AA337" s="134" t="n">
        <f aca="false">'O_MN, PE_UTA_UGM 2024'!N314</f>
        <v>1</v>
      </c>
      <c r="AB337" s="135" t="n">
        <f aca="false">'O_MN, PE_UTA_UGM 2024'!O314</f>
        <v>0</v>
      </c>
      <c r="AC337" s="317" t="n">
        <f aca="false">'O_MN, PE_UTA_UGM 2024'!C314</f>
        <v>339</v>
      </c>
      <c r="AD337" s="293" t="str">
        <f aca="false">IF(AB337=0,'O_MN, PE_UTA_UGM 2024'!F314,CONCATENATE('O_MN, PE_UTA_UGM 2024'!F314," ","INVERNADERO"))</f>
        <v>MEZCLA AVENA-YEROS</v>
      </c>
      <c r="AE337" s="89"/>
      <c r="AF337" s="123" t="n">
        <f aca="false">SUM(AG337:AH337)+SUM(AJ337:AK337)</f>
        <v>0</v>
      </c>
      <c r="AG337" s="318" t="n">
        <f aca="false">A324</f>
        <v>0</v>
      </c>
      <c r="AH337" s="319" t="n">
        <f aca="false">B324</f>
        <v>0</v>
      </c>
      <c r="AI337" s="6"/>
      <c r="AJ337" s="320" t="n">
        <f aca="false">C324</f>
        <v>0</v>
      </c>
      <c r="AK337" s="320" t="n">
        <f aca="false">D324</f>
        <v>0</v>
      </c>
      <c r="AL337" s="176"/>
      <c r="AM337" s="299" t="n">
        <f aca="false">'O_MN, PE_UTA_UGM 2024'!J314</f>
        <v>400</v>
      </c>
      <c r="AN337" s="299" t="n">
        <f aca="false">'O_MN, PE_UTA_UGM 2024'!K314</f>
        <v>1000</v>
      </c>
      <c r="AO337" s="300"/>
      <c r="AP337" s="299" t="n">
        <f aca="false">'O_MN, PE_UTA_UGM 2024'!H314</f>
        <v>114.19</v>
      </c>
      <c r="AQ337" s="299" t="n">
        <f aca="false">'O_MN, PE_UTA_UGM 2024'!I314</f>
        <v>240.4</v>
      </c>
      <c r="AR337" s="301"/>
      <c r="AS337" s="302" t="n">
        <f aca="false">'O_MN, PE_UTA_UGM 2024'!L314</f>
        <v>0.00465</v>
      </c>
      <c r="AT337" s="302" t="n">
        <f aca="false">'O_MN, PE_UTA_UGM 2024'!M314</f>
        <v>0.0098</v>
      </c>
      <c r="AU337" s="3"/>
      <c r="AV337" s="321" t="n">
        <f aca="false">AG337*AM337</f>
        <v>0</v>
      </c>
      <c r="AW337" s="319" t="n">
        <f aca="false">AH337*AN337</f>
        <v>0</v>
      </c>
      <c r="AX337" s="320" t="n">
        <f aca="false">1.25*AJ337*AM337</f>
        <v>0</v>
      </c>
      <c r="AY337" s="322" t="n">
        <f aca="false">1.25*AK337*AN337</f>
        <v>0</v>
      </c>
      <c r="AZ337" s="323" t="n">
        <f aca="false">AG337*AP337</f>
        <v>0</v>
      </c>
      <c r="BA337" s="319" t="n">
        <f aca="false">AH337*AQ337</f>
        <v>0</v>
      </c>
      <c r="BB337" s="320" t="n">
        <f aca="false">1.25*AJ337*AP337</f>
        <v>0</v>
      </c>
      <c r="BC337" s="320" t="n">
        <f aca="false">1.25*AK337*AQ337</f>
        <v>0</v>
      </c>
      <c r="BD337" s="321" t="n">
        <f aca="false">AG337*AS337</f>
        <v>0</v>
      </c>
      <c r="BE337" s="319" t="n">
        <f aca="false">AH337*AT337</f>
        <v>0</v>
      </c>
      <c r="BF337" s="320" t="n">
        <f aca="false">AJ337*AS337</f>
        <v>0</v>
      </c>
      <c r="BG337" s="322" t="n">
        <f aca="false">AK337*AT337</f>
        <v>0</v>
      </c>
      <c r="BH337" s="324" t="n">
        <f aca="false">IF(BH$24=$AA337,($AG337*$AM337)+($AJ337*$AM337*1.25)+($AH337*$AN337)+($AK337*$AN337*1.25),"")</f>
        <v>0</v>
      </c>
      <c r="BI337" s="325" t="str">
        <f aca="false">IF(BI$24=$AA337,($AG337*$AM337)+($AJ337*$AM337*1.25)+($AH337*$AN337)+($AK337*$AN337*1.25),"")</f>
        <v/>
      </c>
      <c r="BJ337" s="325" t="str">
        <f aca="false">IF(BJ$24=$AA337,($AG337*$AM337)+($AJ337*$AM337*1.25)+($AH337*$AN337)+($AK337*$AN337*1.25),"")</f>
        <v/>
      </c>
      <c r="BK337" s="325" t="str">
        <f aca="false">IF(BK$24=$AA337,($AG337*$AM337)+($AJ337*$AM337*1.25)+($AH337*$AN337)+($AK337*$AN337*1.25),"")</f>
        <v/>
      </c>
      <c r="BL337" s="326" t="str">
        <f aca="false">IF(BL$24=$AA337,($AG337*$AM337)+($AJ337*$AM337*1.25)+($AH337*$AN337)+($AK337*$AN337*1.25),"")</f>
        <v/>
      </c>
      <c r="BM337" s="327" t="str">
        <f aca="false">IF(CONCATENATE(BH337,BI337,BJ337,BK337,BL337)="",1,"")</f>
        <v/>
      </c>
      <c r="BN337" s="328"/>
      <c r="BO337" s="328"/>
      <c r="BP337" s="328"/>
      <c r="BQ337" s="328"/>
      <c r="BR337" s="6"/>
      <c r="BS337" s="9"/>
      <c r="BT337" s="9"/>
      <c r="BU337" s="9"/>
      <c r="BV337" s="9"/>
    </row>
    <row r="338" customFormat="false" ht="15" hidden="false" customHeight="false" outlineLevel="0" collapsed="false">
      <c r="A338" s="228"/>
      <c r="B338" s="229"/>
      <c r="C338" s="230"/>
      <c r="D338" s="231"/>
      <c r="E338" s="223" t="str">
        <f aca="false">IF(SUM(A338:D338)&gt;0,SUM(A338:D338),"")</f>
        <v/>
      </c>
      <c r="F338" s="224" t="str">
        <f aca="false">AD351</f>
        <v>RICINO</v>
      </c>
      <c r="G338" s="169"/>
      <c r="H338" s="169"/>
      <c r="I338" s="169"/>
      <c r="J338" s="169"/>
      <c r="K338" s="169"/>
      <c r="L338" s="169"/>
      <c r="M338" s="169"/>
      <c r="N338" s="169"/>
      <c r="O338" s="169"/>
      <c r="P338" s="169"/>
      <c r="Q338" s="169"/>
      <c r="R338" s="3"/>
      <c r="S338" s="3"/>
      <c r="T338" s="3"/>
      <c r="U338" s="3"/>
      <c r="V338" s="3"/>
      <c r="W338" s="3"/>
      <c r="X338" s="3"/>
      <c r="Y338" s="3"/>
      <c r="Z338" s="316" t="str">
        <f aca="false">IF(AF338&gt;0,RANK(AF338,AF$6:AF$422),"")</f>
        <v/>
      </c>
      <c r="AA338" s="134" t="n">
        <f aca="false">'O_MN, PE_UTA_UGM 2024'!N315</f>
        <v>1</v>
      </c>
      <c r="AB338" s="135" t="n">
        <f aca="false">'O_MN, PE_UTA_UGM 2024'!O315</f>
        <v>0</v>
      </c>
      <c r="AC338" s="317" t="n">
        <f aca="false">'O_MN, PE_UTA_UGM 2024'!C315</f>
        <v>340</v>
      </c>
      <c r="AD338" s="293" t="str">
        <f aca="false">IF(AB338=0,'O_MN, PE_UTA_UGM 2024'!F315,CONCATENATE('O_MN, PE_UTA_UGM 2024'!F315," ","INVERNADERO"))</f>
        <v>MEZCLA CEBADA-YEROS</v>
      </c>
      <c r="AE338" s="89"/>
      <c r="AF338" s="123" t="n">
        <f aca="false">SUM(AG338:AH338)+SUM(AJ338:AK338)</f>
        <v>0</v>
      </c>
      <c r="AG338" s="318" t="n">
        <f aca="false">A325</f>
        <v>0</v>
      </c>
      <c r="AH338" s="319" t="n">
        <f aca="false">B325</f>
        <v>0</v>
      </c>
      <c r="AI338" s="6"/>
      <c r="AJ338" s="320" t="n">
        <f aca="false">C325</f>
        <v>0</v>
      </c>
      <c r="AK338" s="320" t="n">
        <f aca="false">D325</f>
        <v>0</v>
      </c>
      <c r="AL338" s="176"/>
      <c r="AM338" s="299" t="n">
        <f aca="false">'O_MN, PE_UTA_UGM 2024'!J315</f>
        <v>400</v>
      </c>
      <c r="AN338" s="299" t="n">
        <f aca="false">'O_MN, PE_UTA_UGM 2024'!K315</f>
        <v>1000</v>
      </c>
      <c r="AO338" s="300"/>
      <c r="AP338" s="299" t="n">
        <f aca="false">'O_MN, PE_UTA_UGM 2024'!H315</f>
        <v>114.19</v>
      </c>
      <c r="AQ338" s="299" t="n">
        <f aca="false">'O_MN, PE_UTA_UGM 2024'!I315</f>
        <v>240.4</v>
      </c>
      <c r="AR338" s="301"/>
      <c r="AS338" s="302" t="n">
        <f aca="false">'O_MN, PE_UTA_UGM 2024'!L315</f>
        <v>0.00465</v>
      </c>
      <c r="AT338" s="302" t="n">
        <f aca="false">'O_MN, PE_UTA_UGM 2024'!M315</f>
        <v>0.0098</v>
      </c>
      <c r="AU338" s="3"/>
      <c r="AV338" s="321" t="n">
        <f aca="false">AG338*AM338</f>
        <v>0</v>
      </c>
      <c r="AW338" s="319" t="n">
        <f aca="false">AH338*AN338</f>
        <v>0</v>
      </c>
      <c r="AX338" s="320" t="n">
        <f aca="false">1.25*AJ338*AM338</f>
        <v>0</v>
      </c>
      <c r="AY338" s="322" t="n">
        <f aca="false">1.25*AK338*AN338</f>
        <v>0</v>
      </c>
      <c r="AZ338" s="323" t="n">
        <f aca="false">AG338*AP338</f>
        <v>0</v>
      </c>
      <c r="BA338" s="319" t="n">
        <f aca="false">AH338*AQ338</f>
        <v>0</v>
      </c>
      <c r="BB338" s="320" t="n">
        <f aca="false">1.25*AJ338*AP338</f>
        <v>0</v>
      </c>
      <c r="BC338" s="320" t="n">
        <f aca="false">1.25*AK338*AQ338</f>
        <v>0</v>
      </c>
      <c r="BD338" s="321" t="n">
        <f aca="false">AG338*AS338</f>
        <v>0</v>
      </c>
      <c r="BE338" s="319" t="n">
        <f aca="false">AH338*AT338</f>
        <v>0</v>
      </c>
      <c r="BF338" s="320" t="n">
        <f aca="false">AJ338*AS338</f>
        <v>0</v>
      </c>
      <c r="BG338" s="322" t="n">
        <f aca="false">AK338*AT338</f>
        <v>0</v>
      </c>
      <c r="BH338" s="324" t="n">
        <f aca="false">IF(BH$24=$AA338,($AG338*$AM338)+($AJ338*$AM338*1.25)+($AH338*$AN338)+($AK338*$AN338*1.25),"")</f>
        <v>0</v>
      </c>
      <c r="BI338" s="325" t="str">
        <f aca="false">IF(BI$24=$AA338,($AG338*$AM338)+($AJ338*$AM338*1.25)+($AH338*$AN338)+($AK338*$AN338*1.25),"")</f>
        <v/>
      </c>
      <c r="BJ338" s="325" t="str">
        <f aca="false">IF(BJ$24=$AA338,($AG338*$AM338)+($AJ338*$AM338*1.25)+($AH338*$AN338)+($AK338*$AN338*1.25),"")</f>
        <v/>
      </c>
      <c r="BK338" s="325" t="str">
        <f aca="false">IF(BK$24=$AA338,($AG338*$AM338)+($AJ338*$AM338*1.25)+($AH338*$AN338)+($AK338*$AN338*1.25),"")</f>
        <v/>
      </c>
      <c r="BL338" s="326" t="str">
        <f aca="false">IF(BL$24=$AA338,($AG338*$AM338)+($AJ338*$AM338*1.25)+($AH338*$AN338)+($AK338*$AN338*1.25),"")</f>
        <v/>
      </c>
      <c r="BM338" s="327" t="str">
        <f aca="false">IF(CONCATENATE(BH338,BI338,BJ338,BK338,BL338)="",1,"")</f>
        <v/>
      </c>
      <c r="BN338" s="328"/>
      <c r="BO338" s="328"/>
      <c r="BP338" s="328"/>
      <c r="BQ338" s="328"/>
      <c r="BR338" s="6"/>
      <c r="BS338" s="9"/>
      <c r="BT338" s="9"/>
      <c r="BU338" s="9"/>
      <c r="BV338" s="9"/>
    </row>
    <row r="339" customFormat="false" ht="15" hidden="false" customHeight="false" outlineLevel="0" collapsed="false">
      <c r="A339" s="228"/>
      <c r="B339" s="229"/>
      <c r="C339" s="230"/>
      <c r="D339" s="231"/>
      <c r="E339" s="223" t="str">
        <f aca="false">IF(SUM(A339:D339)&gt;0,SUM(A339:D339),"")</f>
        <v/>
      </c>
      <c r="F339" s="224" t="str">
        <f aca="false">AD352</f>
        <v>NARANJO AMARGO</v>
      </c>
      <c r="G339" s="169"/>
      <c r="H339" s="169"/>
      <c r="I339" s="169"/>
      <c r="J339" s="169"/>
      <c r="K339" s="169"/>
      <c r="L339" s="169"/>
      <c r="M339" s="169"/>
      <c r="N339" s="169"/>
      <c r="O339" s="169"/>
      <c r="P339" s="169"/>
      <c r="Q339" s="169"/>
      <c r="R339" s="3"/>
      <c r="S339" s="3"/>
      <c r="T339" s="3"/>
      <c r="U339" s="3"/>
      <c r="V339" s="3"/>
      <c r="W339" s="3"/>
      <c r="X339" s="3"/>
      <c r="Y339" s="3"/>
      <c r="Z339" s="316" t="str">
        <f aca="false">IF(AF339&gt;0,RANK(AF339,AF$6:AF$422),"")</f>
        <v/>
      </c>
      <c r="AA339" s="134" t="n">
        <f aca="false">'O_MN, PE_UTA_UGM 2024'!N316</f>
        <v>1</v>
      </c>
      <c r="AB339" s="135" t="n">
        <f aca="false">'O_MN, PE_UTA_UGM 2024'!O316</f>
        <v>0</v>
      </c>
      <c r="AC339" s="317" t="n">
        <f aca="false">'O_MN, PE_UTA_UGM 2024'!C316</f>
        <v>341</v>
      </c>
      <c r="AD339" s="293" t="str">
        <f aca="false">IF(AB339=0,'O_MN, PE_UTA_UGM 2024'!F316,CONCATENATE('O_MN, PE_UTA_UGM 2024'!F316," ","INVERNADERO"))</f>
        <v>SILPHIUM</v>
      </c>
      <c r="AE339" s="89"/>
      <c r="AF339" s="123" t="n">
        <f aca="false">SUM(AG339:AH339)+SUM(AJ339:AK339)</f>
        <v>0</v>
      </c>
      <c r="AG339" s="318" t="n">
        <f aca="false">A326</f>
        <v>0</v>
      </c>
      <c r="AH339" s="319" t="n">
        <f aca="false">B326</f>
        <v>0</v>
      </c>
      <c r="AI339" s="6"/>
      <c r="AJ339" s="320" t="n">
        <f aca="false">C326</f>
        <v>0</v>
      </c>
      <c r="AK339" s="320" t="n">
        <f aca="false">D326</f>
        <v>0</v>
      </c>
      <c r="AL339" s="176"/>
      <c r="AM339" s="299" t="n">
        <f aca="false">'O_MN, PE_UTA_UGM 2024'!J316</f>
        <v>700</v>
      </c>
      <c r="AN339" s="299" t="n">
        <f aca="false">'O_MN, PE_UTA_UGM 2024'!K316</f>
        <v>1800</v>
      </c>
      <c r="AO339" s="300"/>
      <c r="AP339" s="299" t="n">
        <f aca="false">'O_MN, PE_UTA_UGM 2024'!H316</f>
        <v>114.19</v>
      </c>
      <c r="AQ339" s="299" t="n">
        <f aca="false">'O_MN, PE_UTA_UGM 2024'!I316</f>
        <v>240.4</v>
      </c>
      <c r="AR339" s="301"/>
      <c r="AS339" s="302" t="n">
        <f aca="false">'O_MN, PE_UTA_UGM 2024'!L316</f>
        <v>0.00465</v>
      </c>
      <c r="AT339" s="302" t="n">
        <f aca="false">'O_MN, PE_UTA_UGM 2024'!M316</f>
        <v>0.0098</v>
      </c>
      <c r="AU339" s="3"/>
      <c r="AV339" s="321" t="n">
        <f aca="false">AG339*AM339</f>
        <v>0</v>
      </c>
      <c r="AW339" s="319" t="n">
        <f aca="false">AH339*AN339</f>
        <v>0</v>
      </c>
      <c r="AX339" s="320" t="n">
        <f aca="false">1.25*AJ339*AM339</f>
        <v>0</v>
      </c>
      <c r="AY339" s="322" t="n">
        <f aca="false">1.25*AK339*AN339</f>
        <v>0</v>
      </c>
      <c r="AZ339" s="323" t="n">
        <f aca="false">AG339*AP339</f>
        <v>0</v>
      </c>
      <c r="BA339" s="319" t="n">
        <f aca="false">AH339*AQ339</f>
        <v>0</v>
      </c>
      <c r="BB339" s="320" t="n">
        <f aca="false">1.25*AJ339*AP339</f>
        <v>0</v>
      </c>
      <c r="BC339" s="320" t="n">
        <f aca="false">1.25*AK339*AQ339</f>
        <v>0</v>
      </c>
      <c r="BD339" s="321" t="n">
        <f aca="false">AG339*AS339</f>
        <v>0</v>
      </c>
      <c r="BE339" s="319" t="n">
        <f aca="false">AH339*AT339</f>
        <v>0</v>
      </c>
      <c r="BF339" s="320" t="n">
        <f aca="false">AJ339*AS339</f>
        <v>0</v>
      </c>
      <c r="BG339" s="322" t="n">
        <f aca="false">AK339*AT339</f>
        <v>0</v>
      </c>
      <c r="BH339" s="324" t="n">
        <f aca="false">IF(BH$24=$AA339,($AG339*$AM339)+($AJ339*$AM339*1.25)+($AH339*$AN339)+($AK339*$AN339*1.25),"")</f>
        <v>0</v>
      </c>
      <c r="BI339" s="325" t="str">
        <f aca="false">IF(BI$24=$AA339,($AG339*$AM339)+($AJ339*$AM339*1.25)+($AH339*$AN339)+($AK339*$AN339*1.25),"")</f>
        <v/>
      </c>
      <c r="BJ339" s="325" t="str">
        <f aca="false">IF(BJ$24=$AA339,($AG339*$AM339)+($AJ339*$AM339*1.25)+($AH339*$AN339)+($AK339*$AN339*1.25),"")</f>
        <v/>
      </c>
      <c r="BK339" s="325" t="str">
        <f aca="false">IF(BK$24=$AA339,($AG339*$AM339)+($AJ339*$AM339*1.25)+($AH339*$AN339)+($AK339*$AN339*1.25),"")</f>
        <v/>
      </c>
      <c r="BL339" s="326" t="str">
        <f aca="false">IF(BL$24=$AA339,($AG339*$AM339)+($AJ339*$AM339*1.25)+($AH339*$AN339)+($AK339*$AN339*1.25),"")</f>
        <v/>
      </c>
      <c r="BM339" s="327" t="str">
        <f aca="false">IF(CONCATENATE(BH339,BI339,BJ339,BK339,BL339)="",1,"")</f>
        <v/>
      </c>
      <c r="BN339" s="328"/>
      <c r="BO339" s="328"/>
      <c r="BP339" s="328"/>
      <c r="BQ339" s="328"/>
      <c r="BR339" s="6"/>
      <c r="BS339" s="9"/>
      <c r="BT339" s="9"/>
      <c r="BU339" s="9"/>
      <c r="BV339" s="9"/>
    </row>
    <row r="340" customFormat="false" ht="15" hidden="false" customHeight="false" outlineLevel="0" collapsed="false">
      <c r="A340" s="228"/>
      <c r="B340" s="229"/>
      <c r="C340" s="230"/>
      <c r="D340" s="231"/>
      <c r="E340" s="223" t="str">
        <f aca="false">IF(SUM(A340:D340)&gt;0,SUM(A340:D340),"")</f>
        <v/>
      </c>
      <c r="F340" s="224" t="str">
        <f aca="false">AD353</f>
        <v>HABONCILLO</v>
      </c>
      <c r="G340" s="169"/>
      <c r="H340" s="169"/>
      <c r="I340" s="169"/>
      <c r="J340" s="169"/>
      <c r="K340" s="169"/>
      <c r="L340" s="169"/>
      <c r="M340" s="169"/>
      <c r="N340" s="169"/>
      <c r="O340" s="169"/>
      <c r="P340" s="169"/>
      <c r="Q340" s="169"/>
      <c r="R340" s="3"/>
      <c r="S340" s="3"/>
      <c r="T340" s="3"/>
      <c r="U340" s="3"/>
      <c r="V340" s="3"/>
      <c r="W340" s="3"/>
      <c r="X340" s="3"/>
      <c r="Y340" s="3"/>
      <c r="Z340" s="316" t="str">
        <f aca="false">IF(AF340&gt;0,RANK(AF340,AF$6:AF$422),"")</f>
        <v/>
      </c>
      <c r="AA340" s="134" t="n">
        <f aca="false">'O_MN, PE_UTA_UGM 2024'!N317</f>
        <v>2</v>
      </c>
      <c r="AB340" s="135" t="n">
        <f aca="false">'O_MN, PE_UTA_UGM 2024'!O317</f>
        <v>0</v>
      </c>
      <c r="AC340" s="317" t="n">
        <f aca="false">'O_MN, PE_UTA_UGM 2024'!C317</f>
        <v>343</v>
      </c>
      <c r="AD340" s="293" t="str">
        <f aca="false">IF(AB340=0,'O_MN, PE_UTA_UGM 2024'!F317,CONCATENATE('O_MN, PE_UTA_UGM 2024'!F317," ","INVERNADERO"))</f>
        <v>AGUACATE</v>
      </c>
      <c r="AE340" s="89"/>
      <c r="AF340" s="123" t="n">
        <f aca="false">SUM(AG340:AH340)+SUM(AJ340:AK340)</f>
        <v>0</v>
      </c>
      <c r="AG340" s="318" t="n">
        <f aca="false">A327</f>
        <v>0</v>
      </c>
      <c r="AH340" s="319" t="n">
        <f aca="false">B327</f>
        <v>0</v>
      </c>
      <c r="AI340" s="6"/>
      <c r="AJ340" s="320" t="n">
        <f aca="false">C327</f>
        <v>0</v>
      </c>
      <c r="AK340" s="320" t="n">
        <f aca="false">D327</f>
        <v>0</v>
      </c>
      <c r="AL340" s="176"/>
      <c r="AM340" s="299" t="n">
        <f aca="false">'O_MN, PE_UTA_UGM 2024'!J317</f>
        <v>1939.8</v>
      </c>
      <c r="AN340" s="299" t="n">
        <f aca="false">'O_MN, PE_UTA_UGM 2024'!K317</f>
        <v>6000</v>
      </c>
      <c r="AO340" s="300"/>
      <c r="AP340" s="299" t="n">
        <f aca="false">'O_MN, PE_UTA_UGM 2024'!H317</f>
        <v>480.81</v>
      </c>
      <c r="AQ340" s="299" t="n">
        <f aca="false">'O_MN, PE_UTA_UGM 2024'!I317</f>
        <v>1442.43</v>
      </c>
      <c r="AR340" s="301"/>
      <c r="AS340" s="302" t="n">
        <f aca="false">'O_MN, PE_UTA_UGM 2024'!L317</f>
        <v>0.0196</v>
      </c>
      <c r="AT340" s="302" t="n">
        <f aca="false">'O_MN, PE_UTA_UGM 2024'!M317</f>
        <v>0.05879</v>
      </c>
      <c r="AU340" s="3"/>
      <c r="AV340" s="321" t="n">
        <f aca="false">AG340*AM340</f>
        <v>0</v>
      </c>
      <c r="AW340" s="319" t="n">
        <f aca="false">AH340*AN340</f>
        <v>0</v>
      </c>
      <c r="AX340" s="320" t="n">
        <f aca="false">1.25*AJ340*AM340</f>
        <v>0</v>
      </c>
      <c r="AY340" s="322" t="n">
        <f aca="false">1.25*AK340*AN340</f>
        <v>0</v>
      </c>
      <c r="AZ340" s="323" t="n">
        <f aca="false">AG340*AP340</f>
        <v>0</v>
      </c>
      <c r="BA340" s="319" t="n">
        <f aca="false">AH340*AQ340</f>
        <v>0</v>
      </c>
      <c r="BB340" s="320" t="n">
        <f aca="false">1.25*AJ340*AP340</f>
        <v>0</v>
      </c>
      <c r="BC340" s="320" t="n">
        <f aca="false">1.25*AK340*AQ340</f>
        <v>0</v>
      </c>
      <c r="BD340" s="321" t="n">
        <f aca="false">AG340*AS340</f>
        <v>0</v>
      </c>
      <c r="BE340" s="319" t="n">
        <f aca="false">AH340*AT340</f>
        <v>0</v>
      </c>
      <c r="BF340" s="320" t="n">
        <f aca="false">AJ340*AS340</f>
        <v>0</v>
      </c>
      <c r="BG340" s="322" t="n">
        <f aca="false">AK340*AT340</f>
        <v>0</v>
      </c>
      <c r="BH340" s="324" t="str">
        <f aca="false">IF(BH$24=$AA340,($AG340*$AM340)+($AJ340*$AM340*1.25)+($AH340*$AN340)+($AK340*$AN340*1.25),"")</f>
        <v/>
      </c>
      <c r="BI340" s="325" t="n">
        <f aca="false">IF(BI$24=$AA340,($AG340*$AM340)+($AJ340*$AM340*1.25)+($AH340*$AN340)+($AK340*$AN340*1.25),"")</f>
        <v>0</v>
      </c>
      <c r="BJ340" s="325" t="str">
        <f aca="false">IF(BJ$24=$AA340,($AG340*$AM340)+($AJ340*$AM340*1.25)+($AH340*$AN340)+($AK340*$AN340*1.25),"")</f>
        <v/>
      </c>
      <c r="BK340" s="325" t="str">
        <f aca="false">IF(BK$24=$AA340,($AG340*$AM340)+($AJ340*$AM340*1.25)+($AH340*$AN340)+($AK340*$AN340*1.25),"")</f>
        <v/>
      </c>
      <c r="BL340" s="326" t="str">
        <f aca="false">IF(BL$24=$AA340,($AG340*$AM340)+($AJ340*$AM340*1.25)+($AH340*$AN340)+($AK340*$AN340*1.25),"")</f>
        <v/>
      </c>
      <c r="BM340" s="327" t="str">
        <f aca="false">IF(CONCATENATE(BH340,BI340,BJ340,BK340,BL340)="",1,"")</f>
        <v/>
      </c>
      <c r="BN340" s="328"/>
      <c r="BO340" s="328"/>
      <c r="BP340" s="328"/>
      <c r="BQ340" s="328"/>
      <c r="BR340" s="6"/>
      <c r="BS340" s="9"/>
      <c r="BT340" s="9"/>
      <c r="BU340" s="9"/>
      <c r="BV340" s="9"/>
    </row>
    <row r="341" customFormat="false" ht="15" hidden="false" customHeight="false" outlineLevel="0" collapsed="false">
      <c r="A341" s="228"/>
      <c r="B341" s="229"/>
      <c r="C341" s="230"/>
      <c r="D341" s="231"/>
      <c r="E341" s="223" t="str">
        <f aca="false">IF(SUM(A341:D341)&gt;0,SUM(A341:D341),"")</f>
        <v/>
      </c>
      <c r="F341" s="224" t="str">
        <f aca="false">AD354</f>
        <v>MEZCLA ALUBIA-MAÍZ</v>
      </c>
      <c r="G341" s="169"/>
      <c r="H341" s="169"/>
      <c r="I341" s="169"/>
      <c r="J341" s="169"/>
      <c r="K341" s="169"/>
      <c r="L341" s="169"/>
      <c r="M341" s="169"/>
      <c r="N341" s="169"/>
      <c r="O341" s="169"/>
      <c r="P341" s="169"/>
      <c r="Q341" s="169"/>
      <c r="R341" s="3"/>
      <c r="S341" s="3"/>
      <c r="T341" s="3"/>
      <c r="U341" s="3"/>
      <c r="V341" s="3"/>
      <c r="W341" s="3"/>
      <c r="X341" s="3"/>
      <c r="Y341" s="3"/>
      <c r="Z341" s="316" t="str">
        <f aca="false">IF(AF341&gt;0,RANK(AF341,AF$6:AF$422),"")</f>
        <v/>
      </c>
      <c r="AA341" s="134" t="n">
        <f aca="false">'O_MN, PE_UTA_UGM 2024'!N318</f>
        <v>2</v>
      </c>
      <c r="AB341" s="135" t="n">
        <f aca="false">'O_MN, PE_UTA_UGM 2024'!O318</f>
        <v>0</v>
      </c>
      <c r="AC341" s="317" t="n">
        <f aca="false">'O_MN, PE_UTA_UGM 2024'!C318</f>
        <v>344</v>
      </c>
      <c r="AD341" s="293" t="str">
        <f aca="false">IF(AB341=0,'O_MN, PE_UTA_UGM 2024'!F318,CONCATENATE('O_MN, PE_UTA_UGM 2024'!F318," ","INVERNADERO"))</f>
        <v>MANGO</v>
      </c>
      <c r="AE341" s="89"/>
      <c r="AF341" s="123" t="n">
        <f aca="false">SUM(AG341:AH341)+SUM(AJ341:AK341)</f>
        <v>0</v>
      </c>
      <c r="AG341" s="318" t="n">
        <f aca="false">A328</f>
        <v>0</v>
      </c>
      <c r="AH341" s="319" t="n">
        <f aca="false">B328</f>
        <v>0</v>
      </c>
      <c r="AI341" s="6"/>
      <c r="AJ341" s="320" t="n">
        <f aca="false">C328</f>
        <v>0</v>
      </c>
      <c r="AK341" s="320" t="n">
        <f aca="false">D328</f>
        <v>0</v>
      </c>
      <c r="AL341" s="176"/>
      <c r="AM341" s="299" t="n">
        <f aca="false">'O_MN, PE_UTA_UGM 2024'!J318</f>
        <v>1939.8</v>
      </c>
      <c r="AN341" s="299" t="n">
        <f aca="false">'O_MN, PE_UTA_UGM 2024'!K318</f>
        <v>6000</v>
      </c>
      <c r="AO341" s="300"/>
      <c r="AP341" s="299" t="n">
        <f aca="false">'O_MN, PE_UTA_UGM 2024'!H318</f>
        <v>480.81</v>
      </c>
      <c r="AQ341" s="299" t="n">
        <f aca="false">'O_MN, PE_UTA_UGM 2024'!I318</f>
        <v>1442.43</v>
      </c>
      <c r="AR341" s="301"/>
      <c r="AS341" s="302" t="n">
        <f aca="false">'O_MN, PE_UTA_UGM 2024'!L318</f>
        <v>0.0196</v>
      </c>
      <c r="AT341" s="302" t="n">
        <f aca="false">'O_MN, PE_UTA_UGM 2024'!M318</f>
        <v>0.05879</v>
      </c>
      <c r="AU341" s="3"/>
      <c r="AV341" s="321" t="n">
        <f aca="false">AG341*AM341</f>
        <v>0</v>
      </c>
      <c r="AW341" s="319" t="n">
        <f aca="false">AH341*AN341</f>
        <v>0</v>
      </c>
      <c r="AX341" s="320" t="n">
        <f aca="false">1.25*AJ341*AM341</f>
        <v>0</v>
      </c>
      <c r="AY341" s="322" t="n">
        <f aca="false">1.25*AK341*AN341</f>
        <v>0</v>
      </c>
      <c r="AZ341" s="323" t="n">
        <f aca="false">AG341*AP341</f>
        <v>0</v>
      </c>
      <c r="BA341" s="319" t="n">
        <f aca="false">AH341*AQ341</f>
        <v>0</v>
      </c>
      <c r="BB341" s="320" t="n">
        <f aca="false">1.25*AJ341*AP341</f>
        <v>0</v>
      </c>
      <c r="BC341" s="320" t="n">
        <f aca="false">1.25*AK341*AQ341</f>
        <v>0</v>
      </c>
      <c r="BD341" s="321" t="n">
        <f aca="false">AG341*AS341</f>
        <v>0</v>
      </c>
      <c r="BE341" s="319" t="n">
        <f aca="false">AH341*AT341</f>
        <v>0</v>
      </c>
      <c r="BF341" s="320" t="n">
        <f aca="false">AJ341*AS341</f>
        <v>0</v>
      </c>
      <c r="BG341" s="322" t="n">
        <f aca="false">AK341*AT341</f>
        <v>0</v>
      </c>
      <c r="BH341" s="324" t="str">
        <f aca="false">IF(BH$24=$AA341,($AG341*$AM341)+($AJ341*$AM341*1.25)+($AH341*$AN341)+($AK341*$AN341*1.25),"")</f>
        <v/>
      </c>
      <c r="BI341" s="325" t="n">
        <f aca="false">IF(BI$24=$AA341,($AG341*$AM341)+($AJ341*$AM341*1.25)+($AH341*$AN341)+($AK341*$AN341*1.25),"")</f>
        <v>0</v>
      </c>
      <c r="BJ341" s="325" t="str">
        <f aca="false">IF(BJ$24=$AA341,($AG341*$AM341)+($AJ341*$AM341*1.25)+($AH341*$AN341)+($AK341*$AN341*1.25),"")</f>
        <v/>
      </c>
      <c r="BK341" s="325" t="str">
        <f aca="false">IF(BK$24=$AA341,($AG341*$AM341)+($AJ341*$AM341*1.25)+($AH341*$AN341)+($AK341*$AN341*1.25),"")</f>
        <v/>
      </c>
      <c r="BL341" s="326" t="str">
        <f aca="false">IF(BL$24=$AA341,($AG341*$AM341)+($AJ341*$AM341*1.25)+($AH341*$AN341)+($AK341*$AN341*1.25),"")</f>
        <v/>
      </c>
      <c r="BM341" s="327" t="str">
        <f aca="false">IF(CONCATENATE(BH341,BI341,BJ341,BK341,BL341)="",1,"")</f>
        <v/>
      </c>
      <c r="BN341" s="328"/>
      <c r="BO341" s="328"/>
      <c r="BP341" s="328"/>
      <c r="BQ341" s="328"/>
      <c r="BR341" s="6"/>
      <c r="BS341" s="9"/>
      <c r="BT341" s="9"/>
      <c r="BU341" s="9"/>
      <c r="BV341" s="9"/>
    </row>
    <row r="342" customFormat="false" ht="15" hidden="false" customHeight="false" outlineLevel="0" collapsed="false">
      <c r="A342" s="228"/>
      <c r="B342" s="229"/>
      <c r="C342" s="230"/>
      <c r="D342" s="231"/>
      <c r="E342" s="223" t="str">
        <f aca="false">IF(SUM(A342:D342)&gt;0,SUM(A342:D342),"")</f>
        <v/>
      </c>
      <c r="F342" s="224" t="str">
        <f aca="false">AD355</f>
        <v>ESCANDA</v>
      </c>
      <c r="G342" s="169"/>
      <c r="H342" s="169"/>
      <c r="I342" s="169"/>
      <c r="J342" s="169"/>
      <c r="K342" s="169"/>
      <c r="L342" s="169"/>
      <c r="M342" s="169"/>
      <c r="N342" s="169"/>
      <c r="O342" s="169"/>
      <c r="P342" s="169"/>
      <c r="Q342" s="169"/>
      <c r="R342" s="3"/>
      <c r="S342" s="3"/>
      <c r="T342" s="3"/>
      <c r="U342" s="3"/>
      <c r="V342" s="3"/>
      <c r="W342" s="3"/>
      <c r="X342" s="3"/>
      <c r="Y342" s="3"/>
      <c r="Z342" s="316" t="str">
        <f aca="false">IF(AF342&gt;0,RANK(AF342,AF$6:AF$422),"")</f>
        <v/>
      </c>
      <c r="AA342" s="134" t="n">
        <f aca="false">'O_MN, PE_UTA_UGM 2024'!N319</f>
        <v>2</v>
      </c>
      <c r="AB342" s="135" t="n">
        <f aca="false">'O_MN, PE_UTA_UGM 2024'!O319</f>
        <v>0</v>
      </c>
      <c r="AC342" s="317" t="n">
        <f aca="false">'O_MN, PE_UTA_UGM 2024'!C319</f>
        <v>345</v>
      </c>
      <c r="AD342" s="293" t="str">
        <f aca="false">IF(AB342=0,'O_MN, PE_UTA_UGM 2024'!F319,CONCATENATE('O_MN, PE_UTA_UGM 2024'!F319," ","INVERNADERO"))</f>
        <v>CHIRIMOYO</v>
      </c>
      <c r="AE342" s="89"/>
      <c r="AF342" s="123" t="n">
        <f aca="false">SUM(AG342:AH342)+SUM(AJ342:AK342)</f>
        <v>0</v>
      </c>
      <c r="AG342" s="318" t="n">
        <f aca="false">A329</f>
        <v>0</v>
      </c>
      <c r="AH342" s="319" t="n">
        <f aca="false">B329</f>
        <v>0</v>
      </c>
      <c r="AI342" s="6"/>
      <c r="AJ342" s="320" t="n">
        <f aca="false">C329</f>
        <v>0</v>
      </c>
      <c r="AK342" s="320" t="n">
        <f aca="false">D329</f>
        <v>0</v>
      </c>
      <c r="AL342" s="176"/>
      <c r="AM342" s="299" t="n">
        <f aca="false">'O_MN, PE_UTA_UGM 2024'!J319</f>
        <v>1939.8</v>
      </c>
      <c r="AN342" s="299" t="n">
        <f aca="false">'O_MN, PE_UTA_UGM 2024'!K319</f>
        <v>6000</v>
      </c>
      <c r="AO342" s="300"/>
      <c r="AP342" s="299" t="n">
        <f aca="false">'O_MN, PE_UTA_UGM 2024'!H319</f>
        <v>480.81</v>
      </c>
      <c r="AQ342" s="299" t="n">
        <f aca="false">'O_MN, PE_UTA_UGM 2024'!I319</f>
        <v>1442.43</v>
      </c>
      <c r="AR342" s="301"/>
      <c r="AS342" s="302" t="n">
        <f aca="false">'O_MN, PE_UTA_UGM 2024'!L319</f>
        <v>0.0196</v>
      </c>
      <c r="AT342" s="302" t="n">
        <f aca="false">'O_MN, PE_UTA_UGM 2024'!M319</f>
        <v>0.05879</v>
      </c>
      <c r="AU342" s="3"/>
      <c r="AV342" s="321" t="n">
        <f aca="false">AG342*AM342</f>
        <v>0</v>
      </c>
      <c r="AW342" s="319" t="n">
        <f aca="false">AH342*AN342</f>
        <v>0</v>
      </c>
      <c r="AX342" s="320" t="n">
        <f aca="false">1.25*AJ342*AM342</f>
        <v>0</v>
      </c>
      <c r="AY342" s="322" t="n">
        <f aca="false">1.25*AK342*AN342</f>
        <v>0</v>
      </c>
      <c r="AZ342" s="323" t="n">
        <f aca="false">AG342*AP342</f>
        <v>0</v>
      </c>
      <c r="BA342" s="319" t="n">
        <f aca="false">AH342*AQ342</f>
        <v>0</v>
      </c>
      <c r="BB342" s="320" t="n">
        <f aca="false">1.25*AJ342*AP342</f>
        <v>0</v>
      </c>
      <c r="BC342" s="320" t="n">
        <f aca="false">1.25*AK342*AQ342</f>
        <v>0</v>
      </c>
      <c r="BD342" s="321" t="n">
        <f aca="false">AG342*AS342</f>
        <v>0</v>
      </c>
      <c r="BE342" s="319" t="n">
        <f aca="false">AH342*AT342</f>
        <v>0</v>
      </c>
      <c r="BF342" s="320" t="n">
        <f aca="false">AJ342*AS342</f>
        <v>0</v>
      </c>
      <c r="BG342" s="322" t="n">
        <f aca="false">AK342*AT342</f>
        <v>0</v>
      </c>
      <c r="BH342" s="324" t="str">
        <f aca="false">IF(BH$24=$AA342,($AG342*$AM342)+($AJ342*$AM342*1.25)+($AH342*$AN342)+($AK342*$AN342*1.25),"")</f>
        <v/>
      </c>
      <c r="BI342" s="325" t="n">
        <f aca="false">IF(BI$24=$AA342,($AG342*$AM342)+($AJ342*$AM342*1.25)+($AH342*$AN342)+($AK342*$AN342*1.25),"")</f>
        <v>0</v>
      </c>
      <c r="BJ342" s="325" t="str">
        <f aca="false">IF(BJ$24=$AA342,($AG342*$AM342)+($AJ342*$AM342*1.25)+($AH342*$AN342)+($AK342*$AN342*1.25),"")</f>
        <v/>
      </c>
      <c r="BK342" s="325" t="str">
        <f aca="false">IF(BK$24=$AA342,($AG342*$AM342)+($AJ342*$AM342*1.25)+($AH342*$AN342)+($AK342*$AN342*1.25),"")</f>
        <v/>
      </c>
      <c r="BL342" s="326" t="str">
        <f aca="false">IF(BL$24=$AA342,($AG342*$AM342)+($AJ342*$AM342*1.25)+($AH342*$AN342)+($AK342*$AN342*1.25),"")</f>
        <v/>
      </c>
      <c r="BM342" s="327" t="str">
        <f aca="false">IF(CONCATENATE(BH342,BI342,BJ342,BK342,BL342)="",1,"")</f>
        <v/>
      </c>
      <c r="BN342" s="328"/>
      <c r="BO342" s="328"/>
      <c r="BP342" s="328"/>
      <c r="BQ342" s="328"/>
      <c r="BR342" s="6"/>
      <c r="BS342" s="9"/>
      <c r="BT342" s="9"/>
      <c r="BU342" s="9"/>
      <c r="BV342" s="9"/>
    </row>
    <row r="343" customFormat="false" ht="15" hidden="false" customHeight="false" outlineLevel="0" collapsed="false">
      <c r="A343" s="228"/>
      <c r="B343" s="229"/>
      <c r="C343" s="230"/>
      <c r="D343" s="231"/>
      <c r="E343" s="223" t="str">
        <f aca="false">IF(SUM(A343:D343)&gt;0,SUM(A343:D343),"")</f>
        <v/>
      </c>
      <c r="F343" s="224" t="str">
        <f aca="false">AD356</f>
        <v>ESCAÑA</v>
      </c>
      <c r="G343" s="169"/>
      <c r="H343" s="169"/>
      <c r="I343" s="169"/>
      <c r="J343" s="169"/>
      <c r="K343" s="169"/>
      <c r="L343" s="169"/>
      <c r="M343" s="169"/>
      <c r="N343" s="169"/>
      <c r="O343" s="169"/>
      <c r="P343" s="169"/>
      <c r="Q343" s="169"/>
      <c r="R343" s="3"/>
      <c r="S343" s="3"/>
      <c r="T343" s="3"/>
      <c r="U343" s="3"/>
      <c r="V343" s="3"/>
      <c r="W343" s="3"/>
      <c r="X343" s="3"/>
      <c r="Y343" s="3"/>
      <c r="Z343" s="316" t="str">
        <f aca="false">IF(AF343&gt;0,RANK(AF343,AF$6:AF$422),"")</f>
        <v/>
      </c>
      <c r="AA343" s="134" t="n">
        <f aca="false">'O_MN, PE_UTA_UGM 2024'!N320</f>
        <v>2</v>
      </c>
      <c r="AB343" s="135" t="n">
        <f aca="false">'O_MN, PE_UTA_UGM 2024'!O320</f>
        <v>0</v>
      </c>
      <c r="AC343" s="317" t="n">
        <f aca="false">'O_MN, PE_UTA_UGM 2024'!C320</f>
        <v>346</v>
      </c>
      <c r="AD343" s="293" t="str">
        <f aca="false">IF(AB343=0,'O_MN, PE_UTA_UGM 2024'!F320,CONCATENATE('O_MN, PE_UTA_UGM 2024'!F320," ","INVERNADERO"))</f>
        <v>PAPAYA</v>
      </c>
      <c r="AE343" s="89"/>
      <c r="AF343" s="123" t="n">
        <f aca="false">SUM(AG343:AH343)+SUM(AJ343:AK343)</f>
        <v>0</v>
      </c>
      <c r="AG343" s="318" t="n">
        <f aca="false">A330</f>
        <v>0</v>
      </c>
      <c r="AH343" s="319" t="n">
        <f aca="false">B330</f>
        <v>0</v>
      </c>
      <c r="AI343" s="6"/>
      <c r="AJ343" s="320" t="n">
        <f aca="false">C330</f>
        <v>0</v>
      </c>
      <c r="AK343" s="320" t="n">
        <f aca="false">D330</f>
        <v>0</v>
      </c>
      <c r="AL343" s="176"/>
      <c r="AM343" s="299" t="n">
        <f aca="false">'O_MN, PE_UTA_UGM 2024'!J320</f>
        <v>1939.8</v>
      </c>
      <c r="AN343" s="299" t="n">
        <f aca="false">'O_MN, PE_UTA_UGM 2024'!K320</f>
        <v>6000</v>
      </c>
      <c r="AO343" s="300"/>
      <c r="AP343" s="299" t="n">
        <f aca="false">'O_MN, PE_UTA_UGM 2024'!H320</f>
        <v>480.81</v>
      </c>
      <c r="AQ343" s="299" t="n">
        <f aca="false">'O_MN, PE_UTA_UGM 2024'!I320</f>
        <v>1442.43</v>
      </c>
      <c r="AR343" s="301"/>
      <c r="AS343" s="302" t="n">
        <f aca="false">'O_MN, PE_UTA_UGM 2024'!L320</f>
        <v>0.0196</v>
      </c>
      <c r="AT343" s="302" t="n">
        <f aca="false">'O_MN, PE_UTA_UGM 2024'!M320</f>
        <v>0.05879</v>
      </c>
      <c r="AU343" s="3"/>
      <c r="AV343" s="321" t="n">
        <f aca="false">AG343*AM343</f>
        <v>0</v>
      </c>
      <c r="AW343" s="319" t="n">
        <f aca="false">AH343*AN343</f>
        <v>0</v>
      </c>
      <c r="AX343" s="320" t="n">
        <f aca="false">1.25*AJ343*AM343</f>
        <v>0</v>
      </c>
      <c r="AY343" s="322" t="n">
        <f aca="false">1.25*AK343*AN343</f>
        <v>0</v>
      </c>
      <c r="AZ343" s="323" t="n">
        <f aca="false">AG343*AP343</f>
        <v>0</v>
      </c>
      <c r="BA343" s="319" t="n">
        <f aca="false">AH343*AQ343</f>
        <v>0</v>
      </c>
      <c r="BB343" s="320" t="n">
        <f aca="false">1.25*AJ343*AP343</f>
        <v>0</v>
      </c>
      <c r="BC343" s="320" t="n">
        <f aca="false">1.25*AK343*AQ343</f>
        <v>0</v>
      </c>
      <c r="BD343" s="321" t="n">
        <f aca="false">AG343*AS343</f>
        <v>0</v>
      </c>
      <c r="BE343" s="319" t="n">
        <f aca="false">AH343*AT343</f>
        <v>0</v>
      </c>
      <c r="BF343" s="320" t="n">
        <f aca="false">AJ343*AS343</f>
        <v>0</v>
      </c>
      <c r="BG343" s="322" t="n">
        <f aca="false">AK343*AT343</f>
        <v>0</v>
      </c>
      <c r="BH343" s="324" t="str">
        <f aca="false">IF(BH$24=$AA343,($AG343*$AM343)+($AJ343*$AM343*1.25)+($AH343*$AN343)+($AK343*$AN343*1.25),"")</f>
        <v/>
      </c>
      <c r="BI343" s="325" t="n">
        <f aca="false">IF(BI$24=$AA343,($AG343*$AM343)+($AJ343*$AM343*1.25)+($AH343*$AN343)+($AK343*$AN343*1.25),"")</f>
        <v>0</v>
      </c>
      <c r="BJ343" s="325" t="str">
        <f aca="false">IF(BJ$24=$AA343,($AG343*$AM343)+($AJ343*$AM343*1.25)+($AH343*$AN343)+($AK343*$AN343*1.25),"")</f>
        <v/>
      </c>
      <c r="BK343" s="325" t="str">
        <f aca="false">IF(BK$24=$AA343,($AG343*$AM343)+($AJ343*$AM343*1.25)+($AH343*$AN343)+($AK343*$AN343*1.25),"")</f>
        <v/>
      </c>
      <c r="BL343" s="326" t="str">
        <f aca="false">IF(BL$24=$AA343,($AG343*$AM343)+($AJ343*$AM343*1.25)+($AH343*$AN343)+($AK343*$AN343*1.25),"")</f>
        <v/>
      </c>
      <c r="BM343" s="327" t="str">
        <f aca="false">IF(CONCATENATE(BH343,BI343,BJ343,BK343,BL343)="",1,"")</f>
        <v/>
      </c>
      <c r="BN343" s="328"/>
      <c r="BO343" s="328"/>
      <c r="BP343" s="328"/>
      <c r="BQ343" s="328"/>
      <c r="BR343" s="6"/>
      <c r="BS343" s="9"/>
      <c r="BT343" s="9"/>
      <c r="BU343" s="9"/>
      <c r="BV343" s="9"/>
    </row>
    <row r="344" customFormat="false" ht="15" hidden="false" customHeight="false" outlineLevel="0" collapsed="false">
      <c r="A344" s="228"/>
      <c r="B344" s="229"/>
      <c r="C344" s="230"/>
      <c r="D344" s="231"/>
      <c r="E344" s="223" t="str">
        <f aca="false">IF(SUM(A344:D344)&gt;0,SUM(A344:D344),"")</f>
        <v/>
      </c>
      <c r="F344" s="224" t="str">
        <f aca="false">AD357</f>
        <v>PANIZO</v>
      </c>
      <c r="G344" s="169"/>
      <c r="H344" s="169"/>
      <c r="I344" s="169"/>
      <c r="J344" s="169"/>
      <c r="K344" s="169"/>
      <c r="L344" s="169"/>
      <c r="M344" s="169"/>
      <c r="N344" s="169"/>
      <c r="O344" s="169"/>
      <c r="P344" s="169"/>
      <c r="Q344" s="169"/>
      <c r="R344" s="3"/>
      <c r="S344" s="3"/>
      <c r="T344" s="3"/>
      <c r="U344" s="3"/>
      <c r="V344" s="3"/>
      <c r="W344" s="3"/>
      <c r="X344" s="3"/>
      <c r="Y344" s="3"/>
      <c r="Z344" s="316" t="str">
        <f aca="false">IF(AF344&gt;0,RANK(AF344,AF$6:AF$422),"")</f>
        <v/>
      </c>
      <c r="AA344" s="134" t="n">
        <f aca="false">'O_MN, PE_UTA_UGM 2024'!N321</f>
        <v>2</v>
      </c>
      <c r="AB344" s="135" t="n">
        <f aca="false">'O_MN, PE_UTA_UGM 2024'!O321</f>
        <v>0</v>
      </c>
      <c r="AC344" s="317" t="n">
        <f aca="false">'O_MN, PE_UTA_UGM 2024'!C321</f>
        <v>347</v>
      </c>
      <c r="AD344" s="293" t="str">
        <f aca="false">IF(AB344=0,'O_MN, PE_UTA_UGM 2024'!F321,CONCATENATE('O_MN, PE_UTA_UGM 2024'!F321," ","INVERNADERO"))</f>
        <v>MORERA</v>
      </c>
      <c r="AE344" s="89"/>
      <c r="AF344" s="123" t="n">
        <f aca="false">SUM(AG344:AH344)+SUM(AJ344:AK344)</f>
        <v>0</v>
      </c>
      <c r="AG344" s="318" t="n">
        <f aca="false">A331</f>
        <v>0</v>
      </c>
      <c r="AH344" s="319" t="n">
        <f aca="false">B331</f>
        <v>0</v>
      </c>
      <c r="AI344" s="6"/>
      <c r="AJ344" s="320" t="n">
        <f aca="false">C331</f>
        <v>0</v>
      </c>
      <c r="AK344" s="320" t="n">
        <f aca="false">D331</f>
        <v>0</v>
      </c>
      <c r="AL344" s="176"/>
      <c r="AM344" s="299" t="n">
        <f aca="false">'O_MN, PE_UTA_UGM 2024'!J321</f>
        <v>1939.8</v>
      </c>
      <c r="AN344" s="299" t="n">
        <f aca="false">'O_MN, PE_UTA_UGM 2024'!K321</f>
        <v>6000</v>
      </c>
      <c r="AO344" s="300"/>
      <c r="AP344" s="299" t="n">
        <f aca="false">'O_MN, PE_UTA_UGM 2024'!H321</f>
        <v>480.81</v>
      </c>
      <c r="AQ344" s="299" t="n">
        <f aca="false">'O_MN, PE_UTA_UGM 2024'!I321</f>
        <v>1442.43</v>
      </c>
      <c r="AR344" s="301"/>
      <c r="AS344" s="302" t="n">
        <f aca="false">'O_MN, PE_UTA_UGM 2024'!L321</f>
        <v>0.0196</v>
      </c>
      <c r="AT344" s="302" t="n">
        <f aca="false">'O_MN, PE_UTA_UGM 2024'!M321</f>
        <v>0.05879</v>
      </c>
      <c r="AU344" s="3"/>
      <c r="AV344" s="321" t="n">
        <f aca="false">AG344*AM344</f>
        <v>0</v>
      </c>
      <c r="AW344" s="319" t="n">
        <f aca="false">AH344*AN344</f>
        <v>0</v>
      </c>
      <c r="AX344" s="320" t="n">
        <f aca="false">1.25*AJ344*AM344</f>
        <v>0</v>
      </c>
      <c r="AY344" s="322" t="n">
        <f aca="false">1.25*AK344*AN344</f>
        <v>0</v>
      </c>
      <c r="AZ344" s="323" t="n">
        <f aca="false">AG344*AP344</f>
        <v>0</v>
      </c>
      <c r="BA344" s="319" t="n">
        <f aca="false">AH344*AQ344</f>
        <v>0</v>
      </c>
      <c r="BB344" s="320" t="n">
        <f aca="false">1.25*AJ344*AP344</f>
        <v>0</v>
      </c>
      <c r="BC344" s="320" t="n">
        <f aca="false">1.25*AK344*AQ344</f>
        <v>0</v>
      </c>
      <c r="BD344" s="321" t="n">
        <f aca="false">AG344*AS344</f>
        <v>0</v>
      </c>
      <c r="BE344" s="319" t="n">
        <f aca="false">AH344*AT344</f>
        <v>0</v>
      </c>
      <c r="BF344" s="320" t="n">
        <f aca="false">AJ344*AS344</f>
        <v>0</v>
      </c>
      <c r="BG344" s="322" t="n">
        <f aca="false">AK344*AT344</f>
        <v>0</v>
      </c>
      <c r="BH344" s="324" t="str">
        <f aca="false">IF(BH$24=$AA344,($AG344*$AM344)+($AJ344*$AM344*1.25)+($AH344*$AN344)+($AK344*$AN344*1.25),"")</f>
        <v/>
      </c>
      <c r="BI344" s="325" t="n">
        <f aca="false">IF(BI$24=$AA344,($AG344*$AM344)+($AJ344*$AM344*1.25)+($AH344*$AN344)+($AK344*$AN344*1.25),"")</f>
        <v>0</v>
      </c>
      <c r="BJ344" s="325" t="str">
        <f aca="false">IF(BJ$24=$AA344,($AG344*$AM344)+($AJ344*$AM344*1.25)+($AH344*$AN344)+($AK344*$AN344*1.25),"")</f>
        <v/>
      </c>
      <c r="BK344" s="325" t="str">
        <f aca="false">IF(BK$24=$AA344,($AG344*$AM344)+($AJ344*$AM344*1.25)+($AH344*$AN344)+($AK344*$AN344*1.25),"")</f>
        <v/>
      </c>
      <c r="BL344" s="326" t="str">
        <f aca="false">IF(BL$24=$AA344,($AG344*$AM344)+($AJ344*$AM344*1.25)+($AH344*$AN344)+($AK344*$AN344*1.25),"")</f>
        <v/>
      </c>
      <c r="BM344" s="327" t="str">
        <f aca="false">IF(CONCATENATE(BH344,BI344,BJ344,BK344,BL344)="",1,"")</f>
        <v/>
      </c>
      <c r="BN344" s="328"/>
      <c r="BO344" s="328"/>
      <c r="BP344" s="328"/>
      <c r="BQ344" s="328"/>
      <c r="BR344" s="6"/>
      <c r="BS344" s="9"/>
      <c r="BT344" s="9"/>
      <c r="BU344" s="9"/>
      <c r="BV344" s="9"/>
    </row>
    <row r="345" customFormat="false" ht="15" hidden="false" customHeight="false" outlineLevel="0" collapsed="false">
      <c r="A345" s="228"/>
      <c r="B345" s="229"/>
      <c r="C345" s="230"/>
      <c r="D345" s="231"/>
      <c r="E345" s="223" t="str">
        <f aca="false">IF(SUM(A345:D345)&gt;0,SUM(A345:D345),"")</f>
        <v/>
      </c>
      <c r="F345" s="224" t="str">
        <f aca="false">AD358</f>
        <v>JUDÍA ESCARLATA</v>
      </c>
      <c r="G345" s="169"/>
      <c r="H345" s="169"/>
      <c r="I345" s="169"/>
      <c r="J345" s="169"/>
      <c r="K345" s="169"/>
      <c r="L345" s="169"/>
      <c r="M345" s="169"/>
      <c r="N345" s="169"/>
      <c r="O345" s="169"/>
      <c r="P345" s="169"/>
      <c r="Q345" s="169"/>
      <c r="R345" s="3"/>
      <c r="S345" s="3"/>
      <c r="T345" s="3"/>
      <c r="U345" s="3"/>
      <c r="V345" s="3"/>
      <c r="W345" s="3"/>
      <c r="X345" s="3"/>
      <c r="Y345" s="3"/>
      <c r="Z345" s="316" t="str">
        <f aca="false">IF(AF345&gt;0,RANK(AF345,AF$6:AF$422),"")</f>
        <v/>
      </c>
      <c r="AA345" s="134" t="n">
        <f aca="false">'O_MN, PE_UTA_UGM 2024'!N322</f>
        <v>3</v>
      </c>
      <c r="AB345" s="135" t="n">
        <f aca="false">'O_MN, PE_UTA_UGM 2024'!O322</f>
        <v>0</v>
      </c>
      <c r="AC345" s="317" t="n">
        <f aca="false">'O_MN, PE_UTA_UGM 2024'!C322</f>
        <v>348</v>
      </c>
      <c r="AD345" s="293" t="str">
        <f aca="false">IF(AB345=0,'O_MN, PE_UTA_UGM 2024'!F322,CONCATENATE('O_MN, PE_UTA_UGM 2024'!F322," ","INVERNADERO"))</f>
        <v>VIÑA - FRUTAL</v>
      </c>
      <c r="AE345" s="89"/>
      <c r="AF345" s="123" t="n">
        <f aca="false">SUM(AG345:AH345)+SUM(AJ345:AK345)</f>
        <v>0</v>
      </c>
      <c r="AG345" s="318" t="n">
        <f aca="false">A332</f>
        <v>0</v>
      </c>
      <c r="AH345" s="319" t="n">
        <f aca="false">B332</f>
        <v>0</v>
      </c>
      <c r="AI345" s="6"/>
      <c r="AJ345" s="320" t="n">
        <f aca="false">C332</f>
        <v>0</v>
      </c>
      <c r="AK345" s="320" t="n">
        <f aca="false">D332</f>
        <v>0</v>
      </c>
      <c r="AL345" s="176"/>
      <c r="AM345" s="299" t="n">
        <f aca="false">'O_MN, PE_UTA_UGM 2024'!J322</f>
        <v>1939.8</v>
      </c>
      <c r="AN345" s="299" t="n">
        <f aca="false">'O_MN, PE_UTA_UGM 2024'!K322</f>
        <v>6000</v>
      </c>
      <c r="AO345" s="300"/>
      <c r="AP345" s="299" t="n">
        <f aca="false">'O_MN, PE_UTA_UGM 2024'!H322</f>
        <v>480.81</v>
      </c>
      <c r="AQ345" s="299" t="n">
        <f aca="false">'O_MN, PE_UTA_UGM 2024'!I322</f>
        <v>1442.43</v>
      </c>
      <c r="AR345" s="301"/>
      <c r="AS345" s="302" t="n">
        <f aca="false">'O_MN, PE_UTA_UGM 2024'!L322</f>
        <v>0.0196</v>
      </c>
      <c r="AT345" s="302" t="n">
        <f aca="false">'O_MN, PE_UTA_UGM 2024'!M322</f>
        <v>0.05879</v>
      </c>
      <c r="AU345" s="3"/>
      <c r="AV345" s="321" t="n">
        <f aca="false">AG345*AM345</f>
        <v>0</v>
      </c>
      <c r="AW345" s="319" t="n">
        <f aca="false">AH345*AN345</f>
        <v>0</v>
      </c>
      <c r="AX345" s="320" t="n">
        <f aca="false">1.25*AJ345*AM345</f>
        <v>0</v>
      </c>
      <c r="AY345" s="322" t="n">
        <f aca="false">1.25*AK345*AN345</f>
        <v>0</v>
      </c>
      <c r="AZ345" s="323" t="n">
        <f aca="false">AG345*AP345</f>
        <v>0</v>
      </c>
      <c r="BA345" s="319" t="n">
        <f aca="false">AH345*AQ345</f>
        <v>0</v>
      </c>
      <c r="BB345" s="320" t="n">
        <f aca="false">1.25*AJ345*AP345</f>
        <v>0</v>
      </c>
      <c r="BC345" s="320" t="n">
        <f aca="false">1.25*AK345*AQ345</f>
        <v>0</v>
      </c>
      <c r="BD345" s="321" t="n">
        <f aca="false">AG345*AS345</f>
        <v>0</v>
      </c>
      <c r="BE345" s="319" t="n">
        <f aca="false">AH345*AT345</f>
        <v>0</v>
      </c>
      <c r="BF345" s="320" t="n">
        <f aca="false">AJ345*AS345</f>
        <v>0</v>
      </c>
      <c r="BG345" s="322" t="n">
        <f aca="false">AK345*AT345</f>
        <v>0</v>
      </c>
      <c r="BH345" s="324" t="str">
        <f aca="false">IF(BH$24=$AA345,($AG345*$AM345)+($AJ345*$AM345*1.25)+($AH345*$AN345)+($AK345*$AN345*1.25),"")</f>
        <v/>
      </c>
      <c r="BI345" s="325" t="str">
        <f aca="false">IF(BI$24=$AA345,($AG345*$AM345)+($AJ345*$AM345*1.25)+($AH345*$AN345)+($AK345*$AN345*1.25),"")</f>
        <v/>
      </c>
      <c r="BJ345" s="325" t="n">
        <f aca="false">IF(BJ$24=$AA345,($AG345*$AM345)+($AJ345*$AM345*1.25)+($AH345*$AN345)+($AK345*$AN345*1.25),"")</f>
        <v>0</v>
      </c>
      <c r="BK345" s="325" t="str">
        <f aca="false">IF(BK$24=$AA345,($AG345*$AM345)+($AJ345*$AM345*1.25)+($AH345*$AN345)+($AK345*$AN345*1.25),"")</f>
        <v/>
      </c>
      <c r="BL345" s="326" t="str">
        <f aca="false">IF(BL$24=$AA345,($AG345*$AM345)+($AJ345*$AM345*1.25)+($AH345*$AN345)+($AK345*$AN345*1.25),"")</f>
        <v/>
      </c>
      <c r="BM345" s="327" t="str">
        <f aca="false">IF(CONCATENATE(BH345,BI345,BJ345,BK345,BL345)="",1,"")</f>
        <v/>
      </c>
      <c r="BN345" s="328"/>
      <c r="BO345" s="328"/>
      <c r="BP345" s="328"/>
      <c r="BQ345" s="328"/>
      <c r="BR345" s="6"/>
      <c r="BS345" s="9"/>
      <c r="BT345" s="9"/>
      <c r="BU345" s="9"/>
      <c r="BV345" s="9"/>
    </row>
    <row r="346" customFormat="false" ht="15" hidden="false" customHeight="false" outlineLevel="0" collapsed="false">
      <c r="A346" s="228"/>
      <c r="B346" s="229"/>
      <c r="C346" s="230"/>
      <c r="D346" s="231"/>
      <c r="E346" s="223" t="str">
        <f aca="false">IF(SUM(A346:D346)&gt;0,SUM(A346:D346),"")</f>
        <v/>
      </c>
      <c r="F346" s="224" t="str">
        <f aca="false">AD359</f>
        <v>RAMIO</v>
      </c>
      <c r="G346" s="169"/>
      <c r="H346" s="169"/>
      <c r="I346" s="169"/>
      <c r="J346" s="169"/>
      <c r="K346" s="169"/>
      <c r="L346" s="169"/>
      <c r="M346" s="169"/>
      <c r="N346" s="169"/>
      <c r="O346" s="169"/>
      <c r="P346" s="169"/>
      <c r="Q346" s="169"/>
      <c r="R346" s="3"/>
      <c r="S346" s="3"/>
      <c r="T346" s="3"/>
      <c r="U346" s="3"/>
      <c r="V346" s="3"/>
      <c r="W346" s="3"/>
      <c r="X346" s="3"/>
      <c r="Y346" s="3"/>
      <c r="Z346" s="316" t="str">
        <f aca="false">IF(AF346&gt;0,RANK(AF346,AF$6:AF$422),"")</f>
        <v/>
      </c>
      <c r="AA346" s="134" t="n">
        <f aca="false">'O_MN, PE_UTA_UGM 2024'!N323</f>
        <v>3</v>
      </c>
      <c r="AB346" s="135" t="n">
        <f aca="false">'O_MN, PE_UTA_UGM 2024'!O323</f>
        <v>0</v>
      </c>
      <c r="AC346" s="317" t="n">
        <f aca="false">'O_MN, PE_UTA_UGM 2024'!C323</f>
        <v>349</v>
      </c>
      <c r="AD346" s="293" t="str">
        <f aca="false">IF(AB346=0,'O_MN, PE_UTA_UGM 2024'!F323,CONCATENATE('O_MN, PE_UTA_UGM 2024'!F323," ","INVERNADERO"))</f>
        <v>OLIVAR - FRUTAL</v>
      </c>
      <c r="AE346" s="89"/>
      <c r="AF346" s="123" t="n">
        <f aca="false">SUM(AG346:AH346)+SUM(AJ346:AK346)</f>
        <v>0</v>
      </c>
      <c r="AG346" s="318" t="n">
        <f aca="false">A333</f>
        <v>0</v>
      </c>
      <c r="AH346" s="319" t="n">
        <f aca="false">B333</f>
        <v>0</v>
      </c>
      <c r="AI346" s="6"/>
      <c r="AJ346" s="320" t="n">
        <f aca="false">C333</f>
        <v>0</v>
      </c>
      <c r="AK346" s="320" t="n">
        <f aca="false">D333</f>
        <v>0</v>
      </c>
      <c r="AL346" s="176"/>
      <c r="AM346" s="299" t="n">
        <f aca="false">'O_MN, PE_UTA_UGM 2024'!J323</f>
        <v>1939.8</v>
      </c>
      <c r="AN346" s="299" t="n">
        <f aca="false">'O_MN, PE_UTA_UGM 2024'!K323</f>
        <v>6000</v>
      </c>
      <c r="AO346" s="300"/>
      <c r="AP346" s="299" t="n">
        <f aca="false">'O_MN, PE_UTA_UGM 2024'!H323</f>
        <v>480.81</v>
      </c>
      <c r="AQ346" s="299" t="n">
        <f aca="false">'O_MN, PE_UTA_UGM 2024'!I323</f>
        <v>1442.43</v>
      </c>
      <c r="AR346" s="301"/>
      <c r="AS346" s="302" t="n">
        <f aca="false">'O_MN, PE_UTA_UGM 2024'!L323</f>
        <v>0.0196</v>
      </c>
      <c r="AT346" s="302" t="n">
        <f aca="false">'O_MN, PE_UTA_UGM 2024'!M323</f>
        <v>0.05879</v>
      </c>
      <c r="AU346" s="3"/>
      <c r="AV346" s="321" t="n">
        <f aca="false">AG346*AM346</f>
        <v>0</v>
      </c>
      <c r="AW346" s="319" t="n">
        <f aca="false">AH346*AN346</f>
        <v>0</v>
      </c>
      <c r="AX346" s="320" t="n">
        <f aca="false">1.25*AJ346*AM346</f>
        <v>0</v>
      </c>
      <c r="AY346" s="322" t="n">
        <f aca="false">1.25*AK346*AN346</f>
        <v>0</v>
      </c>
      <c r="AZ346" s="323" t="n">
        <f aca="false">AG346*AP346</f>
        <v>0</v>
      </c>
      <c r="BA346" s="319" t="n">
        <f aca="false">AH346*AQ346</f>
        <v>0</v>
      </c>
      <c r="BB346" s="320" t="n">
        <f aca="false">1.25*AJ346*AP346</f>
        <v>0</v>
      </c>
      <c r="BC346" s="320" t="n">
        <f aca="false">1.25*AK346*AQ346</f>
        <v>0</v>
      </c>
      <c r="BD346" s="321" t="n">
        <f aca="false">AG346*AS346</f>
        <v>0</v>
      </c>
      <c r="BE346" s="319" t="n">
        <f aca="false">AH346*AT346</f>
        <v>0</v>
      </c>
      <c r="BF346" s="320" t="n">
        <f aca="false">AJ346*AS346</f>
        <v>0</v>
      </c>
      <c r="BG346" s="322" t="n">
        <f aca="false">AK346*AT346</f>
        <v>0</v>
      </c>
      <c r="BH346" s="324" t="str">
        <f aca="false">IF(BH$24=$AA346,($AG346*$AM346)+($AJ346*$AM346*1.25)+($AH346*$AN346)+($AK346*$AN346*1.25),"")</f>
        <v/>
      </c>
      <c r="BI346" s="325" t="str">
        <f aca="false">IF(BI$24=$AA346,($AG346*$AM346)+($AJ346*$AM346*1.25)+($AH346*$AN346)+($AK346*$AN346*1.25),"")</f>
        <v/>
      </c>
      <c r="BJ346" s="325" t="n">
        <f aca="false">IF(BJ$24=$AA346,($AG346*$AM346)+($AJ346*$AM346*1.25)+($AH346*$AN346)+($AK346*$AN346*1.25),"")</f>
        <v>0</v>
      </c>
      <c r="BK346" s="325" t="str">
        <f aca="false">IF(BK$24=$AA346,($AG346*$AM346)+($AJ346*$AM346*1.25)+($AH346*$AN346)+($AK346*$AN346*1.25),"")</f>
        <v/>
      </c>
      <c r="BL346" s="326" t="str">
        <f aca="false">IF(BL$24=$AA346,($AG346*$AM346)+($AJ346*$AM346*1.25)+($AH346*$AN346)+($AK346*$AN346*1.25),"")</f>
        <v/>
      </c>
      <c r="BM346" s="327" t="str">
        <f aca="false">IF(CONCATENATE(BH346,BI346,BJ346,BK346,BL346)="",1,"")</f>
        <v/>
      </c>
      <c r="BN346" s="328"/>
      <c r="BO346" s="328"/>
      <c r="BP346" s="328"/>
      <c r="BQ346" s="328"/>
      <c r="BR346" s="6"/>
      <c r="BS346" s="9"/>
      <c r="BT346" s="9"/>
      <c r="BU346" s="9"/>
      <c r="BV346" s="9"/>
    </row>
    <row r="347" customFormat="false" ht="15" hidden="false" customHeight="false" outlineLevel="0" collapsed="false">
      <c r="A347" s="228"/>
      <c r="B347" s="229"/>
      <c r="C347" s="230"/>
      <c r="D347" s="231"/>
      <c r="E347" s="223" t="str">
        <f aca="false">IF(SUM(A347:D347)&gt;0,SUM(A347:D347),"")</f>
        <v/>
      </c>
      <c r="F347" s="224" t="str">
        <f aca="false">AD360</f>
        <v>CEBOLLINO</v>
      </c>
      <c r="G347" s="169"/>
      <c r="H347" s="169"/>
      <c r="I347" s="169"/>
      <c r="J347" s="169"/>
      <c r="K347" s="169"/>
      <c r="L347" s="169"/>
      <c r="M347" s="169"/>
      <c r="N347" s="169"/>
      <c r="O347" s="169"/>
      <c r="P347" s="169"/>
      <c r="Q347" s="169"/>
      <c r="R347" s="3"/>
      <c r="S347" s="3"/>
      <c r="T347" s="3"/>
      <c r="U347" s="3"/>
      <c r="V347" s="3"/>
      <c r="W347" s="3"/>
      <c r="X347" s="3"/>
      <c r="Y347" s="3"/>
      <c r="Z347" s="316" t="str">
        <f aca="false">IF(AF347&gt;0,RANK(AF347,AF$6:AF$422),"")</f>
        <v/>
      </c>
      <c r="AA347" s="134" t="n">
        <f aca="false">'O_MN, PE_UTA_UGM 2024'!N324</f>
        <v>3</v>
      </c>
      <c r="AB347" s="135" t="n">
        <f aca="false">'O_MN, PE_UTA_UGM 2024'!O324</f>
        <v>0</v>
      </c>
      <c r="AC347" s="317" t="n">
        <f aca="false">'O_MN, PE_UTA_UGM 2024'!C324</f>
        <v>351</v>
      </c>
      <c r="AD347" s="293" t="str">
        <f aca="false">IF(AB347=0,'O_MN, PE_UTA_UGM 2024'!F324,CONCATENATE('O_MN, PE_UTA_UGM 2024'!F324," ","INVERNADERO"))</f>
        <v>CÍTRICOS HÍBRIDOS-CAQUI</v>
      </c>
      <c r="AE347" s="89"/>
      <c r="AF347" s="123" t="n">
        <f aca="false">SUM(AG347:AH347)+SUM(AJ347:AK347)</f>
        <v>0</v>
      </c>
      <c r="AG347" s="318" t="n">
        <f aca="false">A334</f>
        <v>0</v>
      </c>
      <c r="AH347" s="319" t="n">
        <f aca="false">B334</f>
        <v>0</v>
      </c>
      <c r="AI347" s="6"/>
      <c r="AJ347" s="320" t="n">
        <f aca="false">C334</f>
        <v>0</v>
      </c>
      <c r="AK347" s="320" t="n">
        <f aca="false">D334</f>
        <v>0</v>
      </c>
      <c r="AL347" s="176"/>
      <c r="AM347" s="299" t="n">
        <f aca="false">'O_MN, PE_UTA_UGM 2024'!J324</f>
        <v>1939.8</v>
      </c>
      <c r="AN347" s="299" t="n">
        <f aca="false">'O_MN, PE_UTA_UGM 2024'!K324</f>
        <v>6000</v>
      </c>
      <c r="AO347" s="300"/>
      <c r="AP347" s="299" t="n">
        <f aca="false">'O_MN, PE_UTA_UGM 2024'!H324</f>
        <v>480.81</v>
      </c>
      <c r="AQ347" s="299" t="n">
        <f aca="false">'O_MN, PE_UTA_UGM 2024'!I324</f>
        <v>1442.43</v>
      </c>
      <c r="AR347" s="301"/>
      <c r="AS347" s="302" t="n">
        <f aca="false">'O_MN, PE_UTA_UGM 2024'!L324</f>
        <v>0.0196</v>
      </c>
      <c r="AT347" s="302" t="n">
        <f aca="false">'O_MN, PE_UTA_UGM 2024'!M324</f>
        <v>0.05879</v>
      </c>
      <c r="AU347" s="3"/>
      <c r="AV347" s="321" t="n">
        <f aca="false">AG347*AM347</f>
        <v>0</v>
      </c>
      <c r="AW347" s="319" t="n">
        <f aca="false">AH347*AN347</f>
        <v>0</v>
      </c>
      <c r="AX347" s="320" t="n">
        <f aca="false">1.25*AJ347*AM347</f>
        <v>0</v>
      </c>
      <c r="AY347" s="322" t="n">
        <f aca="false">1.25*AK347*AN347</f>
        <v>0</v>
      </c>
      <c r="AZ347" s="323" t="n">
        <f aca="false">AG347*AP347</f>
        <v>0</v>
      </c>
      <c r="BA347" s="319" t="n">
        <f aca="false">AH347*AQ347</f>
        <v>0</v>
      </c>
      <c r="BB347" s="320" t="n">
        <f aca="false">1.25*AJ347*AP347</f>
        <v>0</v>
      </c>
      <c r="BC347" s="320" t="n">
        <f aca="false">1.25*AK347*AQ347</f>
        <v>0</v>
      </c>
      <c r="BD347" s="321" t="n">
        <f aca="false">AG347*AS347</f>
        <v>0</v>
      </c>
      <c r="BE347" s="319" t="n">
        <f aca="false">AH347*AT347</f>
        <v>0</v>
      </c>
      <c r="BF347" s="320" t="n">
        <f aca="false">AJ347*AS347</f>
        <v>0</v>
      </c>
      <c r="BG347" s="322" t="n">
        <f aca="false">AK347*AT347</f>
        <v>0</v>
      </c>
      <c r="BH347" s="324" t="str">
        <f aca="false">IF(BH$24=$AA347,($AG347*$AM347)+($AJ347*$AM347*1.25)+($AH347*$AN347)+($AK347*$AN347*1.25),"")</f>
        <v/>
      </c>
      <c r="BI347" s="325" t="str">
        <f aca="false">IF(BI$24=$AA347,($AG347*$AM347)+($AJ347*$AM347*1.25)+($AH347*$AN347)+($AK347*$AN347*1.25),"")</f>
        <v/>
      </c>
      <c r="BJ347" s="325" t="n">
        <f aca="false">IF(BJ$24=$AA347,($AG347*$AM347)+($AJ347*$AM347*1.25)+($AH347*$AN347)+($AK347*$AN347*1.25),"")</f>
        <v>0</v>
      </c>
      <c r="BK347" s="325" t="str">
        <f aca="false">IF(BK$24=$AA347,($AG347*$AM347)+($AJ347*$AM347*1.25)+($AH347*$AN347)+($AK347*$AN347*1.25),"")</f>
        <v/>
      </c>
      <c r="BL347" s="326" t="str">
        <f aca="false">IF(BL$24=$AA347,($AG347*$AM347)+($AJ347*$AM347*1.25)+($AH347*$AN347)+($AK347*$AN347*1.25),"")</f>
        <v/>
      </c>
      <c r="BM347" s="327" t="str">
        <f aca="false">IF(CONCATENATE(BH347,BI347,BJ347,BK347,BL347)="",1,"")</f>
        <v/>
      </c>
      <c r="BN347" s="328"/>
      <c r="BO347" s="328"/>
      <c r="BP347" s="328"/>
      <c r="BQ347" s="328"/>
      <c r="BR347" s="6"/>
      <c r="BS347" s="9"/>
      <c r="BT347" s="9"/>
      <c r="BU347" s="9"/>
      <c r="BV347" s="9"/>
    </row>
    <row r="348" customFormat="false" ht="15" hidden="false" customHeight="false" outlineLevel="0" collapsed="false">
      <c r="A348" s="228"/>
      <c r="B348" s="229"/>
      <c r="C348" s="230"/>
      <c r="D348" s="231"/>
      <c r="E348" s="223" t="str">
        <f aca="false">IF(SUM(A348:D348)&gt;0,SUM(A348:D348),"")</f>
        <v/>
      </c>
      <c r="F348" s="224" t="str">
        <f aca="false">AD361</f>
        <v>CANÓNIGO</v>
      </c>
      <c r="G348" s="169"/>
      <c r="H348" s="169"/>
      <c r="I348" s="169"/>
      <c r="J348" s="169"/>
      <c r="K348" s="169"/>
      <c r="L348" s="169"/>
      <c r="M348" s="169"/>
      <c r="N348" s="169"/>
      <c r="O348" s="169"/>
      <c r="P348" s="169"/>
      <c r="Q348" s="169"/>
      <c r="R348" s="3"/>
      <c r="S348" s="3"/>
      <c r="T348" s="3"/>
      <c r="U348" s="3"/>
      <c r="V348" s="3"/>
      <c r="W348" s="3"/>
      <c r="X348" s="3"/>
      <c r="Y348" s="3"/>
      <c r="Z348" s="316" t="str">
        <f aca="false">IF(AF348&gt;0,RANK(AF348,AF$6:AF$422),"")</f>
        <v/>
      </c>
      <c r="AA348" s="134" t="n">
        <f aca="false">'O_MN, PE_UTA_UGM 2024'!N325</f>
        <v>3</v>
      </c>
      <c r="AB348" s="135" t="n">
        <f aca="false">'O_MN, PE_UTA_UGM 2024'!O325</f>
        <v>0</v>
      </c>
      <c r="AC348" s="317" t="n">
        <f aca="false">'O_MN, PE_UTA_UGM 2024'!C325</f>
        <v>352</v>
      </c>
      <c r="AD348" s="293" t="str">
        <f aca="false">IF(AB348=0,'O_MN, PE_UTA_UGM 2024'!F325,CONCATENATE('O_MN, PE_UTA_UGM 2024'!F325," ","INVERNADERO"))</f>
        <v>NARANJO-AGUACATE</v>
      </c>
      <c r="AE348" s="89"/>
      <c r="AF348" s="123" t="n">
        <f aca="false">SUM(AG348:AH348)+SUM(AJ348:AK348)</f>
        <v>0</v>
      </c>
      <c r="AG348" s="318" t="n">
        <f aca="false">A335</f>
        <v>0</v>
      </c>
      <c r="AH348" s="319" t="n">
        <f aca="false">B335</f>
        <v>0</v>
      </c>
      <c r="AI348" s="6"/>
      <c r="AJ348" s="320" t="n">
        <f aca="false">C335</f>
        <v>0</v>
      </c>
      <c r="AK348" s="320" t="n">
        <f aca="false">D335</f>
        <v>0</v>
      </c>
      <c r="AL348" s="176"/>
      <c r="AM348" s="299" t="n">
        <f aca="false">'O_MN, PE_UTA_UGM 2024'!J325</f>
        <v>1939.8</v>
      </c>
      <c r="AN348" s="299" t="n">
        <f aca="false">'O_MN, PE_UTA_UGM 2024'!K325</f>
        <v>6000</v>
      </c>
      <c r="AO348" s="300"/>
      <c r="AP348" s="299" t="n">
        <f aca="false">'O_MN, PE_UTA_UGM 2024'!H325</f>
        <v>480.81</v>
      </c>
      <c r="AQ348" s="299" t="n">
        <f aca="false">'O_MN, PE_UTA_UGM 2024'!I325</f>
        <v>1442.43</v>
      </c>
      <c r="AR348" s="301"/>
      <c r="AS348" s="302" t="n">
        <f aca="false">'O_MN, PE_UTA_UGM 2024'!L325</f>
        <v>0.0196</v>
      </c>
      <c r="AT348" s="302" t="n">
        <f aca="false">'O_MN, PE_UTA_UGM 2024'!M325</f>
        <v>0.05879</v>
      </c>
      <c r="AU348" s="3"/>
      <c r="AV348" s="321" t="n">
        <f aca="false">AG348*AM348</f>
        <v>0</v>
      </c>
      <c r="AW348" s="319" t="n">
        <f aca="false">AH348*AN348</f>
        <v>0</v>
      </c>
      <c r="AX348" s="320" t="n">
        <f aca="false">1.25*AJ348*AM348</f>
        <v>0</v>
      </c>
      <c r="AY348" s="322" t="n">
        <f aca="false">1.25*AK348*AN348</f>
        <v>0</v>
      </c>
      <c r="AZ348" s="323" t="n">
        <f aca="false">AG348*AP348</f>
        <v>0</v>
      </c>
      <c r="BA348" s="319" t="n">
        <f aca="false">AH348*AQ348</f>
        <v>0</v>
      </c>
      <c r="BB348" s="320" t="n">
        <f aca="false">1.25*AJ348*AP348</f>
        <v>0</v>
      </c>
      <c r="BC348" s="320" t="n">
        <f aca="false">1.25*AK348*AQ348</f>
        <v>0</v>
      </c>
      <c r="BD348" s="321" t="n">
        <f aca="false">AG348*AS348</f>
        <v>0</v>
      </c>
      <c r="BE348" s="319" t="n">
        <f aca="false">AH348*AT348</f>
        <v>0</v>
      </c>
      <c r="BF348" s="320" t="n">
        <f aca="false">AJ348*AS348</f>
        <v>0</v>
      </c>
      <c r="BG348" s="322" t="n">
        <f aca="false">AK348*AT348</f>
        <v>0</v>
      </c>
      <c r="BH348" s="324" t="str">
        <f aca="false">IF(BH$24=$AA348,($AG348*$AM348)+($AJ348*$AM348*1.25)+($AH348*$AN348)+($AK348*$AN348*1.25),"")</f>
        <v/>
      </c>
      <c r="BI348" s="325" t="str">
        <f aca="false">IF(BI$24=$AA348,($AG348*$AM348)+($AJ348*$AM348*1.25)+($AH348*$AN348)+($AK348*$AN348*1.25),"")</f>
        <v/>
      </c>
      <c r="BJ348" s="325" t="n">
        <f aca="false">IF(BJ$24=$AA348,($AG348*$AM348)+($AJ348*$AM348*1.25)+($AH348*$AN348)+($AK348*$AN348*1.25),"")</f>
        <v>0</v>
      </c>
      <c r="BK348" s="325" t="str">
        <f aca="false">IF(BK$24=$AA348,($AG348*$AM348)+($AJ348*$AM348*1.25)+($AH348*$AN348)+($AK348*$AN348*1.25),"")</f>
        <v/>
      </c>
      <c r="BL348" s="326" t="str">
        <f aca="false">IF(BL$24=$AA348,($AG348*$AM348)+($AJ348*$AM348*1.25)+($AH348*$AN348)+($AK348*$AN348*1.25),"")</f>
        <v/>
      </c>
      <c r="BM348" s="327" t="str">
        <f aca="false">IF(CONCATENATE(BH348,BI348,BJ348,BK348,BL348)="",1,"")</f>
        <v/>
      </c>
      <c r="BN348" s="328"/>
      <c r="BO348" s="328"/>
      <c r="BP348" s="328"/>
      <c r="BQ348" s="328"/>
      <c r="BR348" s="6"/>
      <c r="BS348" s="9"/>
      <c r="BT348" s="9"/>
      <c r="BU348" s="9"/>
      <c r="BV348" s="9"/>
    </row>
    <row r="349" customFormat="false" ht="15" hidden="false" customHeight="false" outlineLevel="0" collapsed="false">
      <c r="A349" s="228"/>
      <c r="B349" s="229"/>
      <c r="C349" s="230"/>
      <c r="D349" s="231"/>
      <c r="E349" s="223" t="str">
        <f aca="false">IF(SUM(A349:D349)&gt;0,SUM(A349:D349),"")</f>
        <v/>
      </c>
      <c r="F349" s="224" t="str">
        <f aca="false">AD362</f>
        <v>RUIBARBO</v>
      </c>
      <c r="G349" s="169"/>
      <c r="H349" s="169"/>
      <c r="I349" s="169"/>
      <c r="J349" s="169"/>
      <c r="K349" s="169"/>
      <c r="L349" s="169"/>
      <c r="M349" s="169"/>
      <c r="N349" s="169"/>
      <c r="O349" s="169"/>
      <c r="P349" s="169"/>
      <c r="Q349" s="169"/>
      <c r="R349" s="3"/>
      <c r="S349" s="3"/>
      <c r="T349" s="3"/>
      <c r="U349" s="3"/>
      <c r="V349" s="3"/>
      <c r="W349" s="3"/>
      <c r="X349" s="3"/>
      <c r="Y349" s="3"/>
      <c r="Z349" s="316" t="str">
        <f aca="false">IF(AF349&gt;0,RANK(AF349,AF$6:AF$422),"")</f>
        <v/>
      </c>
      <c r="AA349" s="134" t="n">
        <f aca="false">'O_MN, PE_UTA_UGM 2024'!N326</f>
        <v>3</v>
      </c>
      <c r="AB349" s="135" t="n">
        <f aca="false">'O_MN, PE_UTA_UGM 2024'!O326</f>
        <v>0</v>
      </c>
      <c r="AC349" s="317" t="n">
        <f aca="false">'O_MN, PE_UTA_UGM 2024'!C326</f>
        <v>353</v>
      </c>
      <c r="AD349" s="293" t="str">
        <f aca="false">IF(AB349=0,'O_MN, PE_UTA_UGM 2024'!F326,CONCATENATE('O_MN, PE_UTA_UGM 2024'!F326," ","INVERNADERO"))</f>
        <v>CEREZO-OLIVAR</v>
      </c>
      <c r="AE349" s="89"/>
      <c r="AF349" s="123" t="n">
        <f aca="false">SUM(AG349:AH349)+SUM(AJ349:AK349)</f>
        <v>0</v>
      </c>
      <c r="AG349" s="318" t="n">
        <f aca="false">A336</f>
        <v>0</v>
      </c>
      <c r="AH349" s="319" t="n">
        <f aca="false">B336</f>
        <v>0</v>
      </c>
      <c r="AI349" s="6"/>
      <c r="AJ349" s="320" t="n">
        <f aca="false">C336</f>
        <v>0</v>
      </c>
      <c r="AK349" s="320" t="n">
        <f aca="false">D336</f>
        <v>0</v>
      </c>
      <c r="AL349" s="176"/>
      <c r="AM349" s="299" t="n">
        <f aca="false">'O_MN, PE_UTA_UGM 2024'!J326</f>
        <v>2439.65</v>
      </c>
      <c r="AN349" s="299" t="n">
        <f aca="false">'O_MN, PE_UTA_UGM 2024'!K326</f>
        <v>7000</v>
      </c>
      <c r="AO349" s="300"/>
      <c r="AP349" s="299" t="n">
        <f aca="false">'O_MN, PE_UTA_UGM 2024'!H326</f>
        <v>480.81</v>
      </c>
      <c r="AQ349" s="299" t="n">
        <f aca="false">'O_MN, PE_UTA_UGM 2024'!I326</f>
        <v>1442.43</v>
      </c>
      <c r="AR349" s="301"/>
      <c r="AS349" s="302" t="n">
        <f aca="false">'O_MN, PE_UTA_UGM 2024'!L326</f>
        <v>0.0196</v>
      </c>
      <c r="AT349" s="302" t="n">
        <f aca="false">'O_MN, PE_UTA_UGM 2024'!M326</f>
        <v>0.05879</v>
      </c>
      <c r="AU349" s="3"/>
      <c r="AV349" s="321" t="n">
        <f aca="false">AG349*AM349</f>
        <v>0</v>
      </c>
      <c r="AW349" s="319" t="n">
        <f aca="false">AH349*AN349</f>
        <v>0</v>
      </c>
      <c r="AX349" s="320" t="n">
        <f aca="false">1.25*AJ349*AM349</f>
        <v>0</v>
      </c>
      <c r="AY349" s="322" t="n">
        <f aca="false">1.25*AK349*AN349</f>
        <v>0</v>
      </c>
      <c r="AZ349" s="323" t="n">
        <f aca="false">AG349*AP349</f>
        <v>0</v>
      </c>
      <c r="BA349" s="319" t="n">
        <f aca="false">AH349*AQ349</f>
        <v>0</v>
      </c>
      <c r="BB349" s="320" t="n">
        <f aca="false">1.25*AJ349*AP349</f>
        <v>0</v>
      </c>
      <c r="BC349" s="320" t="n">
        <f aca="false">1.25*AK349*AQ349</f>
        <v>0</v>
      </c>
      <c r="BD349" s="321" t="n">
        <f aca="false">AG349*AS349</f>
        <v>0</v>
      </c>
      <c r="BE349" s="319" t="n">
        <f aca="false">AH349*AT349</f>
        <v>0</v>
      </c>
      <c r="BF349" s="320" t="n">
        <f aca="false">AJ349*AS349</f>
        <v>0</v>
      </c>
      <c r="BG349" s="322" t="n">
        <f aca="false">AK349*AT349</f>
        <v>0</v>
      </c>
      <c r="BH349" s="324" t="str">
        <f aca="false">IF(BH$24=$AA349,($AG349*$AM349)+($AJ349*$AM349*1.25)+($AH349*$AN349)+($AK349*$AN349*1.25),"")</f>
        <v/>
      </c>
      <c r="BI349" s="325" t="str">
        <f aca="false">IF(BI$24=$AA349,($AG349*$AM349)+($AJ349*$AM349*1.25)+($AH349*$AN349)+($AK349*$AN349*1.25),"")</f>
        <v/>
      </c>
      <c r="BJ349" s="325" t="n">
        <f aca="false">IF(BJ$24=$AA349,($AG349*$AM349)+($AJ349*$AM349*1.25)+($AH349*$AN349)+($AK349*$AN349*1.25),"")</f>
        <v>0</v>
      </c>
      <c r="BK349" s="325" t="str">
        <f aca="false">IF(BK$24=$AA349,($AG349*$AM349)+($AJ349*$AM349*1.25)+($AH349*$AN349)+($AK349*$AN349*1.25),"")</f>
        <v/>
      </c>
      <c r="BL349" s="326" t="str">
        <f aca="false">IF(BL$24=$AA349,($AG349*$AM349)+($AJ349*$AM349*1.25)+($AH349*$AN349)+($AK349*$AN349*1.25),"")</f>
        <v/>
      </c>
      <c r="BM349" s="327" t="str">
        <f aca="false">IF(CONCATENATE(BH349,BI349,BJ349,BK349,BL349)="",1,"")</f>
        <v/>
      </c>
      <c r="BN349" s="328"/>
      <c r="BO349" s="328"/>
      <c r="BP349" s="328"/>
      <c r="BQ349" s="328"/>
      <c r="BR349" s="6"/>
      <c r="BS349" s="9"/>
      <c r="BT349" s="9"/>
      <c r="BU349" s="9"/>
      <c r="BV349" s="9"/>
    </row>
    <row r="350" customFormat="false" ht="15" hidden="false" customHeight="false" outlineLevel="0" collapsed="false">
      <c r="A350" s="228"/>
      <c r="B350" s="229"/>
      <c r="C350" s="230"/>
      <c r="D350" s="231"/>
      <c r="E350" s="223" t="str">
        <f aca="false">IF(SUM(A350:D350)&gt;0,SUM(A350:D350),"")</f>
        <v/>
      </c>
      <c r="F350" s="224" t="str">
        <f aca="false">AD363</f>
        <v>RÁBANO PICANTE</v>
      </c>
      <c r="G350" s="169"/>
      <c r="H350" s="169"/>
      <c r="I350" s="169"/>
      <c r="J350" s="169"/>
      <c r="K350" s="169"/>
      <c r="L350" s="169"/>
      <c r="M350" s="169"/>
      <c r="N350" s="169"/>
      <c r="O350" s="169"/>
      <c r="P350" s="169"/>
      <c r="Q350" s="169"/>
      <c r="R350" s="3"/>
      <c r="S350" s="3"/>
      <c r="T350" s="3"/>
      <c r="U350" s="3"/>
      <c r="V350" s="3"/>
      <c r="W350" s="3"/>
      <c r="X350" s="3"/>
      <c r="Y350" s="3"/>
      <c r="Z350" s="316" t="str">
        <f aca="false">IF(AF350&gt;0,RANK(AF350,AF$6:AF$422),"")</f>
        <v/>
      </c>
      <c r="AA350" s="134" t="n">
        <f aca="false">'O_MN, PE_UTA_UGM 2024'!N327</f>
        <v>3</v>
      </c>
      <c r="AB350" s="135" t="n">
        <f aca="false">'O_MN, PE_UTA_UGM 2024'!O327</f>
        <v>0</v>
      </c>
      <c r="AC350" s="317" t="n">
        <f aca="false">'O_MN, PE_UTA_UGM 2024'!C327</f>
        <v>354</v>
      </c>
      <c r="AD350" s="293" t="str">
        <f aca="false">IF(AB350=0,'O_MN, PE_UTA_UGM 2024'!F327,CONCATENATE('O_MN, PE_UTA_UGM 2024'!F327," ","INVERNADERO"))</f>
        <v>CEREZO-ALGARROBO</v>
      </c>
      <c r="AE350" s="89"/>
      <c r="AF350" s="123" t="n">
        <f aca="false">SUM(AG350:AH350)+SUM(AJ350:AK350)</f>
        <v>0</v>
      </c>
      <c r="AG350" s="318" t="n">
        <f aca="false">A337</f>
        <v>0</v>
      </c>
      <c r="AH350" s="319" t="n">
        <f aca="false">B337</f>
        <v>0</v>
      </c>
      <c r="AI350" s="6"/>
      <c r="AJ350" s="320" t="n">
        <f aca="false">C337</f>
        <v>0</v>
      </c>
      <c r="AK350" s="320" t="n">
        <f aca="false">D337</f>
        <v>0</v>
      </c>
      <c r="AL350" s="176"/>
      <c r="AM350" s="299" t="n">
        <f aca="false">'O_MN, PE_UTA_UGM 2024'!J327</f>
        <v>2439.65</v>
      </c>
      <c r="AN350" s="299" t="n">
        <f aca="false">'O_MN, PE_UTA_UGM 2024'!K327</f>
        <v>7000</v>
      </c>
      <c r="AO350" s="300"/>
      <c r="AP350" s="299" t="n">
        <f aca="false">'O_MN, PE_UTA_UGM 2024'!H327</f>
        <v>480.81</v>
      </c>
      <c r="AQ350" s="299" t="n">
        <f aca="false">'O_MN, PE_UTA_UGM 2024'!I327</f>
        <v>1442.43</v>
      </c>
      <c r="AR350" s="301"/>
      <c r="AS350" s="302" t="n">
        <f aca="false">'O_MN, PE_UTA_UGM 2024'!L327</f>
        <v>0.0196</v>
      </c>
      <c r="AT350" s="302" t="n">
        <f aca="false">'O_MN, PE_UTA_UGM 2024'!M327</f>
        <v>0.05879</v>
      </c>
      <c r="AU350" s="3"/>
      <c r="AV350" s="321" t="n">
        <f aca="false">AG350*AM350</f>
        <v>0</v>
      </c>
      <c r="AW350" s="319" t="n">
        <f aca="false">AH350*AN350</f>
        <v>0</v>
      </c>
      <c r="AX350" s="320" t="n">
        <f aca="false">1.25*AJ350*AM350</f>
        <v>0</v>
      </c>
      <c r="AY350" s="322" t="n">
        <f aca="false">1.25*AK350*AN350</f>
        <v>0</v>
      </c>
      <c r="AZ350" s="323" t="n">
        <f aca="false">AG350*AP350</f>
        <v>0</v>
      </c>
      <c r="BA350" s="319" t="n">
        <f aca="false">AH350*AQ350</f>
        <v>0</v>
      </c>
      <c r="BB350" s="320" t="n">
        <f aca="false">1.25*AJ350*AP350</f>
        <v>0</v>
      </c>
      <c r="BC350" s="320" t="n">
        <f aca="false">1.25*AK350*AQ350</f>
        <v>0</v>
      </c>
      <c r="BD350" s="321" t="n">
        <f aca="false">AG350*AS350</f>
        <v>0</v>
      </c>
      <c r="BE350" s="319" t="n">
        <f aca="false">AH350*AT350</f>
        <v>0</v>
      </c>
      <c r="BF350" s="320" t="n">
        <f aca="false">AJ350*AS350</f>
        <v>0</v>
      </c>
      <c r="BG350" s="322" t="n">
        <f aca="false">AK350*AT350</f>
        <v>0</v>
      </c>
      <c r="BH350" s="324" t="str">
        <f aca="false">IF(BH$24=$AA350,($AG350*$AM350)+($AJ350*$AM350*1.25)+($AH350*$AN350)+($AK350*$AN350*1.25),"")</f>
        <v/>
      </c>
      <c r="BI350" s="325" t="str">
        <f aca="false">IF(BI$24=$AA350,($AG350*$AM350)+($AJ350*$AM350*1.25)+($AH350*$AN350)+($AK350*$AN350*1.25),"")</f>
        <v/>
      </c>
      <c r="BJ350" s="325" t="n">
        <f aca="false">IF(BJ$24=$AA350,($AG350*$AM350)+($AJ350*$AM350*1.25)+($AH350*$AN350)+($AK350*$AN350*1.25),"")</f>
        <v>0</v>
      </c>
      <c r="BK350" s="325" t="str">
        <f aca="false">IF(BK$24=$AA350,($AG350*$AM350)+($AJ350*$AM350*1.25)+($AH350*$AN350)+($AK350*$AN350*1.25),"")</f>
        <v/>
      </c>
      <c r="BL350" s="326" t="str">
        <f aca="false">IF(BL$24=$AA350,($AG350*$AM350)+($AJ350*$AM350*1.25)+($AH350*$AN350)+($AK350*$AN350*1.25),"")</f>
        <v/>
      </c>
      <c r="BM350" s="327" t="str">
        <f aca="false">IF(CONCATENATE(BH350,BI350,BJ350,BK350,BL350)="",1,"")</f>
        <v/>
      </c>
      <c r="BN350" s="328"/>
      <c r="BO350" s="328"/>
      <c r="BP350" s="328"/>
      <c r="BQ350" s="328"/>
      <c r="BR350" s="6"/>
      <c r="BS350" s="9"/>
      <c r="BT350" s="9"/>
      <c r="BU350" s="9"/>
      <c r="BV350" s="9"/>
    </row>
    <row r="351" customFormat="false" ht="15" hidden="false" customHeight="false" outlineLevel="0" collapsed="false">
      <c r="A351" s="228"/>
      <c r="B351" s="229"/>
      <c r="C351" s="230"/>
      <c r="D351" s="231"/>
      <c r="E351" s="223" t="str">
        <f aca="false">IF(SUM(A351:D351)&gt;0,SUM(A351:D351),"")</f>
        <v/>
      </c>
      <c r="F351" s="224" t="str">
        <f aca="false">AD364</f>
        <v>JUDÍA DE LIMA</v>
      </c>
      <c r="G351" s="169"/>
      <c r="H351" s="169"/>
      <c r="I351" s="169"/>
      <c r="J351" s="169"/>
      <c r="K351" s="169"/>
      <c r="L351" s="169"/>
      <c r="M351" s="169"/>
      <c r="N351" s="169"/>
      <c r="O351" s="169"/>
      <c r="P351" s="169"/>
      <c r="Q351" s="169"/>
      <c r="R351" s="3"/>
      <c r="S351" s="3"/>
      <c r="T351" s="3"/>
      <c r="U351" s="3"/>
      <c r="V351" s="3"/>
      <c r="W351" s="3"/>
      <c r="X351" s="3"/>
      <c r="Y351" s="3"/>
      <c r="Z351" s="316" t="str">
        <f aca="false">IF(AF351&gt;0,RANK(AF351,AF$6:AF$422),"")</f>
        <v/>
      </c>
      <c r="AA351" s="134" t="n">
        <f aca="false">'O_MN, PE_UTA_UGM 2024'!N328</f>
        <v>3</v>
      </c>
      <c r="AB351" s="135" t="n">
        <f aca="false">'O_MN, PE_UTA_UGM 2024'!O328</f>
        <v>0</v>
      </c>
      <c r="AC351" s="317" t="n">
        <f aca="false">'O_MN, PE_UTA_UGM 2024'!C328</f>
        <v>355</v>
      </c>
      <c r="AD351" s="293" t="str">
        <f aca="false">IF(AB351=0,'O_MN, PE_UTA_UGM 2024'!F328,CONCATENATE('O_MN, PE_UTA_UGM 2024'!F328," ","INVERNADERO"))</f>
        <v>RICINO</v>
      </c>
      <c r="AE351" s="89"/>
      <c r="AF351" s="123" t="n">
        <f aca="false">SUM(AG351:AH351)+SUM(AJ351:AK351)</f>
        <v>0</v>
      </c>
      <c r="AG351" s="318" t="n">
        <f aca="false">A338</f>
        <v>0</v>
      </c>
      <c r="AH351" s="319" t="n">
        <f aca="false">B338</f>
        <v>0</v>
      </c>
      <c r="AI351" s="6"/>
      <c r="AJ351" s="320" t="n">
        <f aca="false">C338</f>
        <v>0</v>
      </c>
      <c r="AK351" s="320" t="n">
        <f aca="false">D338</f>
        <v>0</v>
      </c>
      <c r="AL351" s="176"/>
      <c r="AM351" s="299" t="n">
        <f aca="false">'O_MN, PE_UTA_UGM 2024'!J328</f>
        <v>1000</v>
      </c>
      <c r="AN351" s="299" t="n">
        <f aca="false">'O_MN, PE_UTA_UGM 2024'!K328</f>
        <v>3800</v>
      </c>
      <c r="AO351" s="300"/>
      <c r="AP351" s="299" t="n">
        <f aca="false">'O_MN, PE_UTA_UGM 2024'!H328</f>
        <v>114.19</v>
      </c>
      <c r="AQ351" s="299" t="n">
        <f aca="false">'O_MN, PE_UTA_UGM 2024'!I328</f>
        <v>240.4</v>
      </c>
      <c r="AR351" s="301"/>
      <c r="AS351" s="302" t="n">
        <f aca="false">'O_MN, PE_UTA_UGM 2024'!L328</f>
        <v>0.00465</v>
      </c>
      <c r="AT351" s="302" t="n">
        <f aca="false">'O_MN, PE_UTA_UGM 2024'!M328</f>
        <v>0.0098</v>
      </c>
      <c r="AU351" s="3"/>
      <c r="AV351" s="321" t="n">
        <f aca="false">AG351*AM351</f>
        <v>0</v>
      </c>
      <c r="AW351" s="319" t="n">
        <f aca="false">AH351*AN351</f>
        <v>0</v>
      </c>
      <c r="AX351" s="320" t="n">
        <f aca="false">1.25*AJ351*AM351</f>
        <v>0</v>
      </c>
      <c r="AY351" s="322" t="n">
        <f aca="false">1.25*AK351*AN351</f>
        <v>0</v>
      </c>
      <c r="AZ351" s="323" t="n">
        <f aca="false">AG351*AP351</f>
        <v>0</v>
      </c>
      <c r="BA351" s="319" t="n">
        <f aca="false">AH351*AQ351</f>
        <v>0</v>
      </c>
      <c r="BB351" s="320" t="n">
        <f aca="false">1.25*AJ351*AP351</f>
        <v>0</v>
      </c>
      <c r="BC351" s="320" t="n">
        <f aca="false">1.25*AK351*AQ351</f>
        <v>0</v>
      </c>
      <c r="BD351" s="321" t="n">
        <f aca="false">AG351*AS351</f>
        <v>0</v>
      </c>
      <c r="BE351" s="319" t="n">
        <f aca="false">AH351*AT351</f>
        <v>0</v>
      </c>
      <c r="BF351" s="320" t="n">
        <f aca="false">AJ351*AS351</f>
        <v>0</v>
      </c>
      <c r="BG351" s="322" t="n">
        <f aca="false">AK351*AT351</f>
        <v>0</v>
      </c>
      <c r="BH351" s="324" t="str">
        <f aca="false">IF(BH$24=$AA351,($AG351*$AM351)+($AJ351*$AM351*1.25)+($AH351*$AN351)+($AK351*$AN351*1.25),"")</f>
        <v/>
      </c>
      <c r="BI351" s="325" t="str">
        <f aca="false">IF(BI$24=$AA351,($AG351*$AM351)+($AJ351*$AM351*1.25)+($AH351*$AN351)+($AK351*$AN351*1.25),"")</f>
        <v/>
      </c>
      <c r="BJ351" s="325" t="n">
        <f aca="false">IF(BJ$24=$AA351,($AG351*$AM351)+($AJ351*$AM351*1.25)+($AH351*$AN351)+($AK351*$AN351*1.25),"")</f>
        <v>0</v>
      </c>
      <c r="BK351" s="325" t="str">
        <f aca="false">IF(BK$24=$AA351,($AG351*$AM351)+($AJ351*$AM351*1.25)+($AH351*$AN351)+($AK351*$AN351*1.25),"")</f>
        <v/>
      </c>
      <c r="BL351" s="326" t="str">
        <f aca="false">IF(BL$24=$AA351,($AG351*$AM351)+($AJ351*$AM351*1.25)+($AH351*$AN351)+($AK351*$AN351*1.25),"")</f>
        <v/>
      </c>
      <c r="BM351" s="327" t="str">
        <f aca="false">IF(CONCATENATE(BH351,BI351,BJ351,BK351,BL351)="",1,"")</f>
        <v/>
      </c>
      <c r="BN351" s="328"/>
      <c r="BO351" s="328"/>
      <c r="BP351" s="328"/>
      <c r="BQ351" s="328"/>
      <c r="BR351" s="6"/>
      <c r="BS351" s="9"/>
      <c r="BT351" s="9"/>
      <c r="BU351" s="9"/>
      <c r="BV351" s="9"/>
    </row>
    <row r="352" customFormat="false" ht="15" hidden="false" customHeight="false" outlineLevel="0" collapsed="false">
      <c r="A352" s="228"/>
      <c r="B352" s="229"/>
      <c r="C352" s="230"/>
      <c r="D352" s="231"/>
      <c r="E352" s="223" t="str">
        <f aca="false">IF(SUM(A352:D352)&gt;0,SUM(A352:D352),"")</f>
        <v/>
      </c>
      <c r="F352" s="224" t="str">
        <f aca="false">AD365</f>
        <v>COL CRESPA</v>
      </c>
      <c r="G352" s="169"/>
      <c r="H352" s="169"/>
      <c r="I352" s="169"/>
      <c r="J352" s="169"/>
      <c r="K352" s="169"/>
      <c r="L352" s="169"/>
      <c r="M352" s="169"/>
      <c r="N352" s="169"/>
      <c r="O352" s="169"/>
      <c r="P352" s="169"/>
      <c r="Q352" s="169"/>
      <c r="R352" s="3"/>
      <c r="S352" s="3"/>
      <c r="T352" s="3"/>
      <c r="U352" s="3"/>
      <c r="V352" s="3"/>
      <c r="W352" s="3"/>
      <c r="X352" s="3"/>
      <c r="Y352" s="3"/>
      <c r="Z352" s="316" t="str">
        <f aca="false">IF(AF352&gt;0,RANK(AF352,AF$6:AF$422),"")</f>
        <v/>
      </c>
      <c r="AA352" s="134" t="n">
        <f aca="false">'O_MN, PE_UTA_UGM 2024'!N329</f>
        <v>3</v>
      </c>
      <c r="AB352" s="135" t="n">
        <f aca="false">'O_MN, PE_UTA_UGM 2024'!O329</f>
        <v>0</v>
      </c>
      <c r="AC352" s="317" t="n">
        <f aca="false">'O_MN, PE_UTA_UGM 2024'!C329</f>
        <v>356</v>
      </c>
      <c r="AD352" s="293" t="str">
        <f aca="false">IF(AB352=0,'O_MN, PE_UTA_UGM 2024'!F329,CONCATENATE('O_MN, PE_UTA_UGM 2024'!F329," ","INVERNADERO"))</f>
        <v>NARANJO AMARGO</v>
      </c>
      <c r="AE352" s="89"/>
      <c r="AF352" s="123" t="n">
        <f aca="false">SUM(AG352:AH352)+SUM(AJ352:AK352)</f>
        <v>0</v>
      </c>
      <c r="AG352" s="318" t="n">
        <f aca="false">A339</f>
        <v>0</v>
      </c>
      <c r="AH352" s="319" t="n">
        <f aca="false">B339</f>
        <v>0</v>
      </c>
      <c r="AI352" s="6"/>
      <c r="AJ352" s="320" t="n">
        <f aca="false">C339</f>
        <v>0</v>
      </c>
      <c r="AK352" s="320" t="n">
        <f aca="false">D339</f>
        <v>0</v>
      </c>
      <c r="AL352" s="176"/>
      <c r="AM352" s="299" t="n">
        <f aca="false">'O_MN, PE_UTA_UGM 2024'!J329</f>
        <v>1939.8</v>
      </c>
      <c r="AN352" s="299" t="n">
        <f aca="false">'O_MN, PE_UTA_UGM 2024'!K329</f>
        <v>6000</v>
      </c>
      <c r="AO352" s="300"/>
      <c r="AP352" s="299" t="n">
        <f aca="false">'O_MN, PE_UTA_UGM 2024'!H329</f>
        <v>480.81</v>
      </c>
      <c r="AQ352" s="299" t="n">
        <f aca="false">'O_MN, PE_UTA_UGM 2024'!I329</f>
        <v>1442.43</v>
      </c>
      <c r="AR352" s="301"/>
      <c r="AS352" s="302" t="n">
        <f aca="false">'O_MN, PE_UTA_UGM 2024'!L329</f>
        <v>0.0196</v>
      </c>
      <c r="AT352" s="302" t="n">
        <f aca="false">'O_MN, PE_UTA_UGM 2024'!M329</f>
        <v>0.05879</v>
      </c>
      <c r="AU352" s="3"/>
      <c r="AV352" s="321" t="n">
        <f aca="false">AG352*AM352</f>
        <v>0</v>
      </c>
      <c r="AW352" s="319" t="n">
        <f aca="false">AH352*AN352</f>
        <v>0</v>
      </c>
      <c r="AX352" s="320" t="n">
        <f aca="false">1.25*AJ352*AM352</f>
        <v>0</v>
      </c>
      <c r="AY352" s="322" t="n">
        <f aca="false">1.25*AK352*AN352</f>
        <v>0</v>
      </c>
      <c r="AZ352" s="323" t="n">
        <f aca="false">AG352*AP352</f>
        <v>0</v>
      </c>
      <c r="BA352" s="319" t="n">
        <f aca="false">AH352*AQ352</f>
        <v>0</v>
      </c>
      <c r="BB352" s="320" t="n">
        <f aca="false">1.25*AJ352*AP352</f>
        <v>0</v>
      </c>
      <c r="BC352" s="320" t="n">
        <f aca="false">1.25*AK352*AQ352</f>
        <v>0</v>
      </c>
      <c r="BD352" s="321" t="n">
        <f aca="false">AG352*AS352</f>
        <v>0</v>
      </c>
      <c r="BE352" s="319" t="n">
        <f aca="false">AH352*AT352</f>
        <v>0</v>
      </c>
      <c r="BF352" s="320" t="n">
        <f aca="false">AJ352*AS352</f>
        <v>0</v>
      </c>
      <c r="BG352" s="322" t="n">
        <f aca="false">AK352*AT352</f>
        <v>0</v>
      </c>
      <c r="BH352" s="324" t="str">
        <f aca="false">IF(BH$24=$AA352,($AG352*$AM352)+($AJ352*$AM352*1.25)+($AH352*$AN352)+($AK352*$AN352*1.25),"")</f>
        <v/>
      </c>
      <c r="BI352" s="325" t="str">
        <f aca="false">IF(BI$24=$AA352,($AG352*$AM352)+($AJ352*$AM352*1.25)+($AH352*$AN352)+($AK352*$AN352*1.25),"")</f>
        <v/>
      </c>
      <c r="BJ352" s="325" t="n">
        <f aca="false">IF(BJ$24=$AA352,($AG352*$AM352)+($AJ352*$AM352*1.25)+($AH352*$AN352)+($AK352*$AN352*1.25),"")</f>
        <v>0</v>
      </c>
      <c r="BK352" s="325" t="str">
        <f aca="false">IF(BK$24=$AA352,($AG352*$AM352)+($AJ352*$AM352*1.25)+($AH352*$AN352)+($AK352*$AN352*1.25),"")</f>
        <v/>
      </c>
      <c r="BL352" s="326" t="str">
        <f aca="false">IF(BL$24=$AA352,($AG352*$AM352)+($AJ352*$AM352*1.25)+($AH352*$AN352)+($AK352*$AN352*1.25),"")</f>
        <v/>
      </c>
      <c r="BM352" s="327" t="str">
        <f aca="false">IF(CONCATENATE(BH352,BI352,BJ352,BK352,BL352)="",1,"")</f>
        <v/>
      </c>
      <c r="BN352" s="328"/>
      <c r="BO352" s="328"/>
      <c r="BP352" s="328"/>
      <c r="BQ352" s="328"/>
      <c r="BR352" s="6"/>
      <c r="BS352" s="9"/>
      <c r="BT352" s="9"/>
      <c r="BU352" s="9"/>
      <c r="BV352" s="9"/>
    </row>
    <row r="353" customFormat="false" ht="15" hidden="false" customHeight="false" outlineLevel="0" collapsed="false">
      <c r="A353" s="228"/>
      <c r="B353" s="229"/>
      <c r="C353" s="230"/>
      <c r="D353" s="231"/>
      <c r="E353" s="223" t="str">
        <f aca="false">IF(SUM(A353:D353)&gt;0,SUM(A353:D353),"")</f>
        <v/>
      </c>
      <c r="F353" s="224" t="str">
        <f aca="false">AD366</f>
        <v>MEZCLA CEREAL-RAYGRASS</v>
      </c>
      <c r="G353" s="169"/>
      <c r="H353" s="169"/>
      <c r="I353" s="169"/>
      <c r="J353" s="169"/>
      <c r="K353" s="169"/>
      <c r="L353" s="169"/>
      <c r="M353" s="169"/>
      <c r="N353" s="169"/>
      <c r="O353" s="169"/>
      <c r="P353" s="169"/>
      <c r="Q353" s="169"/>
      <c r="R353" s="3"/>
      <c r="S353" s="3"/>
      <c r="T353" s="3"/>
      <c r="U353" s="3"/>
      <c r="V353" s="3"/>
      <c r="W353" s="3"/>
      <c r="X353" s="3"/>
      <c r="Y353" s="3"/>
      <c r="Z353" s="316" t="str">
        <f aca="false">IF(AF353&gt;0,RANK(AF353,AF$6:AF$422),"")</f>
        <v/>
      </c>
      <c r="AA353" s="134" t="n">
        <f aca="false">'O_MN, PE_UTA_UGM 2024'!N330</f>
        <v>1</v>
      </c>
      <c r="AB353" s="135" t="n">
        <f aca="false">'O_MN, PE_UTA_UGM 2024'!O330</f>
        <v>0</v>
      </c>
      <c r="AC353" s="317" t="n">
        <f aca="false">'O_MN, PE_UTA_UGM 2024'!C330</f>
        <v>390</v>
      </c>
      <c r="AD353" s="293" t="str">
        <f aca="false">IF(AB353=0,'O_MN, PE_UTA_UGM 2024'!F330,CONCATENATE('O_MN, PE_UTA_UGM 2024'!F330," ","INVERNADERO"))</f>
        <v>HABONCILLO</v>
      </c>
      <c r="AE353" s="89"/>
      <c r="AF353" s="123" t="n">
        <f aca="false">SUM(AG353:AH353)+SUM(AJ353:AK353)</f>
        <v>0</v>
      </c>
      <c r="AG353" s="318" t="n">
        <f aca="false">A340</f>
        <v>0</v>
      </c>
      <c r="AH353" s="319" t="n">
        <f aca="false">B340</f>
        <v>0</v>
      </c>
      <c r="AI353" s="6"/>
      <c r="AJ353" s="320" t="n">
        <f aca="false">C340</f>
        <v>0</v>
      </c>
      <c r="AK353" s="320" t="n">
        <f aca="false">D340</f>
        <v>0</v>
      </c>
      <c r="AL353" s="176"/>
      <c r="AM353" s="299" t="n">
        <f aca="false">'O_MN, PE_UTA_UGM 2024'!J330</f>
        <v>350</v>
      </c>
      <c r="AN353" s="299" t="n">
        <f aca="false">'O_MN, PE_UTA_UGM 2024'!K330</f>
        <v>750</v>
      </c>
      <c r="AO353" s="300"/>
      <c r="AP353" s="299" t="n">
        <f aca="false">'O_MN, PE_UTA_UGM 2024'!H330</f>
        <v>114.19</v>
      </c>
      <c r="AQ353" s="299" t="n">
        <f aca="false">'O_MN, PE_UTA_UGM 2024'!I330</f>
        <v>240.4</v>
      </c>
      <c r="AR353" s="301"/>
      <c r="AS353" s="302" t="n">
        <f aca="false">'O_MN, PE_UTA_UGM 2024'!L330</f>
        <v>0.00465</v>
      </c>
      <c r="AT353" s="302" t="n">
        <f aca="false">'O_MN, PE_UTA_UGM 2024'!M330</f>
        <v>0.0098</v>
      </c>
      <c r="AU353" s="3"/>
      <c r="AV353" s="321" t="n">
        <f aca="false">AG353*AM353</f>
        <v>0</v>
      </c>
      <c r="AW353" s="319" t="n">
        <f aca="false">AH353*AN353</f>
        <v>0</v>
      </c>
      <c r="AX353" s="320" t="n">
        <f aca="false">1.25*AJ353*AM353</f>
        <v>0</v>
      </c>
      <c r="AY353" s="322" t="n">
        <f aca="false">1.25*AK353*AN353</f>
        <v>0</v>
      </c>
      <c r="AZ353" s="323" t="n">
        <f aca="false">AG353*AP353</f>
        <v>0</v>
      </c>
      <c r="BA353" s="319" t="n">
        <f aca="false">AH353*AQ353</f>
        <v>0</v>
      </c>
      <c r="BB353" s="320" t="n">
        <f aca="false">1.25*AJ353*AP353</f>
        <v>0</v>
      </c>
      <c r="BC353" s="320" t="n">
        <f aca="false">1.25*AK353*AQ353</f>
        <v>0</v>
      </c>
      <c r="BD353" s="321" t="n">
        <f aca="false">AG353*AS353</f>
        <v>0</v>
      </c>
      <c r="BE353" s="319" t="n">
        <f aca="false">AH353*AT353</f>
        <v>0</v>
      </c>
      <c r="BF353" s="320" t="n">
        <f aca="false">AJ353*AS353</f>
        <v>0</v>
      </c>
      <c r="BG353" s="322" t="n">
        <f aca="false">AK353*AT353</f>
        <v>0</v>
      </c>
      <c r="BH353" s="324" t="n">
        <f aca="false">IF(BH$24=$AA353,($AG353*$AM353)+($AJ353*$AM353*1.25)+($AH353*$AN353)+($AK353*$AN353*1.25),"")</f>
        <v>0</v>
      </c>
      <c r="BI353" s="325" t="str">
        <f aca="false">IF(BI$24=$AA353,($AG353*$AM353)+($AJ353*$AM353*1.25)+($AH353*$AN353)+($AK353*$AN353*1.25),"")</f>
        <v/>
      </c>
      <c r="BJ353" s="325" t="str">
        <f aca="false">IF(BJ$24=$AA353,($AG353*$AM353)+($AJ353*$AM353*1.25)+($AH353*$AN353)+($AK353*$AN353*1.25),"")</f>
        <v/>
      </c>
      <c r="BK353" s="325" t="str">
        <f aca="false">IF(BK$24=$AA353,($AG353*$AM353)+($AJ353*$AM353*1.25)+($AH353*$AN353)+($AK353*$AN353*1.25),"")</f>
        <v/>
      </c>
      <c r="BL353" s="326" t="str">
        <f aca="false">IF(BL$24=$AA353,($AG353*$AM353)+($AJ353*$AM353*1.25)+($AH353*$AN353)+($AK353*$AN353*1.25),"")</f>
        <v/>
      </c>
      <c r="BM353" s="327" t="str">
        <f aca="false">IF(CONCATENATE(BH353,BI353,BJ353,BK353,BL353)="",1,"")</f>
        <v/>
      </c>
      <c r="BN353" s="328"/>
      <c r="BO353" s="328"/>
      <c r="BP353" s="328"/>
      <c r="BQ353" s="328"/>
      <c r="BR353" s="6"/>
      <c r="BS353" s="9"/>
      <c r="BT353" s="9"/>
      <c r="BU353" s="9"/>
      <c r="BV353" s="9"/>
    </row>
    <row r="354" customFormat="false" ht="15" hidden="false" customHeight="false" outlineLevel="0" collapsed="false">
      <c r="A354" s="228"/>
      <c r="B354" s="229"/>
      <c r="C354" s="230"/>
      <c r="D354" s="231"/>
      <c r="E354" s="223" t="str">
        <f aca="false">IF(SUM(A354:D354)&gt;0,SUM(A354:D354),"")</f>
        <v/>
      </c>
      <c r="F354" s="224" t="str">
        <f aca="false">AD367</f>
        <v>MEZCLA AVENA-MAÍZ</v>
      </c>
      <c r="G354" s="169"/>
      <c r="H354" s="169"/>
      <c r="I354" s="169"/>
      <c r="J354" s="169"/>
      <c r="K354" s="169"/>
      <c r="L354" s="169"/>
      <c r="M354" s="169"/>
      <c r="N354" s="169"/>
      <c r="O354" s="169"/>
      <c r="P354" s="169"/>
      <c r="Q354" s="169"/>
      <c r="R354" s="3"/>
      <c r="S354" s="3"/>
      <c r="T354" s="3"/>
      <c r="U354" s="3"/>
      <c r="V354" s="3"/>
      <c r="W354" s="3"/>
      <c r="X354" s="3"/>
      <c r="Y354" s="3"/>
      <c r="Z354" s="316" t="str">
        <f aca="false">IF(AF354&gt;0,RANK(AF354,AF$6:AF$422),"")</f>
        <v/>
      </c>
      <c r="AA354" s="134" t="n">
        <f aca="false">'O_MN, PE_UTA_UGM 2024'!N331</f>
        <v>1</v>
      </c>
      <c r="AB354" s="135" t="n">
        <f aca="false">'O_MN, PE_UTA_UGM 2024'!O331</f>
        <v>0</v>
      </c>
      <c r="AC354" s="317" t="n">
        <f aca="false">'O_MN, PE_UTA_UGM 2024'!C331</f>
        <v>392</v>
      </c>
      <c r="AD354" s="293" t="str">
        <f aca="false">IF(AB354=0,'O_MN, PE_UTA_UGM 2024'!F331,CONCATENATE('O_MN, PE_UTA_UGM 2024'!F331," ","INVERNADERO"))</f>
        <v>MEZCLA ALUBIA-MAÍZ</v>
      </c>
      <c r="AE354" s="89"/>
      <c r="AF354" s="123" t="n">
        <f aca="false">SUM(AG354:AH354)+SUM(AJ354:AK354)</f>
        <v>0</v>
      </c>
      <c r="AG354" s="318" t="n">
        <f aca="false">A341</f>
        <v>0</v>
      </c>
      <c r="AH354" s="319" t="n">
        <f aca="false">B341</f>
        <v>0</v>
      </c>
      <c r="AI354" s="6"/>
      <c r="AJ354" s="320" t="n">
        <f aca="false">C341</f>
        <v>0</v>
      </c>
      <c r="AK354" s="320" t="n">
        <f aca="false">D341</f>
        <v>0</v>
      </c>
      <c r="AL354" s="176"/>
      <c r="AM354" s="299" t="n">
        <f aca="false">'O_MN, PE_UTA_UGM 2024'!J331</f>
        <v>400</v>
      </c>
      <c r="AN354" s="299" t="n">
        <f aca="false">'O_MN, PE_UTA_UGM 2024'!K331</f>
        <v>1000</v>
      </c>
      <c r="AO354" s="300"/>
      <c r="AP354" s="299" t="n">
        <f aca="false">'O_MN, PE_UTA_UGM 2024'!H331</f>
        <v>114.19</v>
      </c>
      <c r="AQ354" s="299" t="n">
        <f aca="false">'O_MN, PE_UTA_UGM 2024'!I331</f>
        <v>240.4</v>
      </c>
      <c r="AR354" s="301"/>
      <c r="AS354" s="302" t="n">
        <f aca="false">'O_MN, PE_UTA_UGM 2024'!L331</f>
        <v>0.00465</v>
      </c>
      <c r="AT354" s="302" t="n">
        <f aca="false">'O_MN, PE_UTA_UGM 2024'!M331</f>
        <v>0.0098</v>
      </c>
      <c r="AU354" s="3"/>
      <c r="AV354" s="321" t="n">
        <f aca="false">AG354*AM354</f>
        <v>0</v>
      </c>
      <c r="AW354" s="319" t="n">
        <f aca="false">AH354*AN354</f>
        <v>0</v>
      </c>
      <c r="AX354" s="320" t="n">
        <f aca="false">1.25*AJ354*AM354</f>
        <v>0</v>
      </c>
      <c r="AY354" s="322" t="n">
        <f aca="false">1.25*AK354*AN354</f>
        <v>0</v>
      </c>
      <c r="AZ354" s="323" t="n">
        <f aca="false">AG354*AP354</f>
        <v>0</v>
      </c>
      <c r="BA354" s="319" t="n">
        <f aca="false">AH354*AQ354</f>
        <v>0</v>
      </c>
      <c r="BB354" s="320" t="n">
        <f aca="false">1.25*AJ354*AP354</f>
        <v>0</v>
      </c>
      <c r="BC354" s="320" t="n">
        <f aca="false">1.25*AK354*AQ354</f>
        <v>0</v>
      </c>
      <c r="BD354" s="321" t="n">
        <f aca="false">AG354*AS354</f>
        <v>0</v>
      </c>
      <c r="BE354" s="319" t="n">
        <f aca="false">AH354*AT354</f>
        <v>0</v>
      </c>
      <c r="BF354" s="320" t="n">
        <f aca="false">AJ354*AS354</f>
        <v>0</v>
      </c>
      <c r="BG354" s="322" t="n">
        <f aca="false">AK354*AT354</f>
        <v>0</v>
      </c>
      <c r="BH354" s="324" t="n">
        <f aca="false">IF(BH$24=$AA354,($AG354*$AM354)+($AJ354*$AM354*1.25)+($AH354*$AN354)+($AK354*$AN354*1.25),"")</f>
        <v>0</v>
      </c>
      <c r="BI354" s="325" t="str">
        <f aca="false">IF(BI$24=$AA354,($AG354*$AM354)+($AJ354*$AM354*1.25)+($AH354*$AN354)+($AK354*$AN354*1.25),"")</f>
        <v/>
      </c>
      <c r="BJ354" s="325" t="str">
        <f aca="false">IF(BJ$24=$AA354,($AG354*$AM354)+($AJ354*$AM354*1.25)+($AH354*$AN354)+($AK354*$AN354*1.25),"")</f>
        <v/>
      </c>
      <c r="BK354" s="325" t="str">
        <f aca="false">IF(BK$24=$AA354,($AG354*$AM354)+($AJ354*$AM354*1.25)+($AH354*$AN354)+($AK354*$AN354*1.25),"")</f>
        <v/>
      </c>
      <c r="BL354" s="326" t="str">
        <f aca="false">IF(BL$24=$AA354,($AG354*$AM354)+($AJ354*$AM354*1.25)+($AH354*$AN354)+($AK354*$AN354*1.25),"")</f>
        <v/>
      </c>
      <c r="BM354" s="327" t="str">
        <f aca="false">IF(CONCATENATE(BH354,BI354,BJ354,BK354,BL354)="",1,"")</f>
        <v/>
      </c>
      <c r="BN354" s="328"/>
      <c r="BO354" s="328"/>
      <c r="BP354" s="328"/>
      <c r="BQ354" s="328"/>
      <c r="BR354" s="6"/>
      <c r="BS354" s="9"/>
      <c r="BT354" s="9"/>
      <c r="BU354" s="9"/>
      <c r="BV354" s="9"/>
    </row>
    <row r="355" customFormat="false" ht="15" hidden="false" customHeight="false" outlineLevel="0" collapsed="false">
      <c r="A355" s="219"/>
      <c r="B355" s="220"/>
      <c r="C355" s="221"/>
      <c r="D355" s="222"/>
      <c r="E355" s="223" t="str">
        <f aca="false">IF(SUM(A355:D355)&gt;0,SUM(A355:D355),"")</f>
        <v/>
      </c>
      <c r="F355" s="224" t="str">
        <f aca="false">AD368</f>
        <v>MEZCLA HABA-VEZA</v>
      </c>
      <c r="G355" s="169"/>
      <c r="H355" s="169"/>
      <c r="I355" s="169"/>
      <c r="J355" s="169"/>
      <c r="K355" s="169"/>
      <c r="L355" s="169"/>
      <c r="M355" s="169"/>
      <c r="N355" s="169"/>
      <c r="O355" s="169"/>
      <c r="P355" s="169"/>
      <c r="Q355" s="169"/>
      <c r="R355" s="3"/>
      <c r="S355" s="3"/>
      <c r="T355" s="3"/>
      <c r="U355" s="3"/>
      <c r="V355" s="3"/>
      <c r="W355" s="3"/>
      <c r="X355" s="3"/>
      <c r="Y355" s="3"/>
      <c r="Z355" s="316" t="str">
        <f aca="false">IF(AF355&gt;0,RANK(AF355,AF$6:AF$422),"")</f>
        <v/>
      </c>
      <c r="AA355" s="134" t="n">
        <f aca="false">'O_MN, PE_UTA_UGM 2024'!N332</f>
        <v>1</v>
      </c>
      <c r="AB355" s="135" t="n">
        <f aca="false">'O_MN, PE_UTA_UGM 2024'!O332</f>
        <v>0</v>
      </c>
      <c r="AC355" s="317" t="n">
        <f aca="false">'O_MN, PE_UTA_UGM 2024'!C332</f>
        <v>393</v>
      </c>
      <c r="AD355" s="293" t="str">
        <f aca="false">IF(AB355=0,'O_MN, PE_UTA_UGM 2024'!F332,CONCATENATE('O_MN, PE_UTA_UGM 2024'!F332," ","INVERNADERO"))</f>
        <v>ESCANDA</v>
      </c>
      <c r="AE355" s="89"/>
      <c r="AF355" s="123" t="n">
        <f aca="false">SUM(AG355:AH355)+SUM(AJ355:AK355)</f>
        <v>0</v>
      </c>
      <c r="AG355" s="318" t="n">
        <f aca="false">A342</f>
        <v>0</v>
      </c>
      <c r="AH355" s="319" t="n">
        <f aca="false">B342</f>
        <v>0</v>
      </c>
      <c r="AI355" s="6"/>
      <c r="AJ355" s="320" t="n">
        <f aca="false">C342</f>
        <v>0</v>
      </c>
      <c r="AK355" s="320" t="n">
        <f aca="false">D342</f>
        <v>0</v>
      </c>
      <c r="AL355" s="176"/>
      <c r="AM355" s="299" t="n">
        <f aca="false">'O_MN, PE_UTA_UGM 2024'!J332</f>
        <v>365.73</v>
      </c>
      <c r="AN355" s="299" t="n">
        <f aca="false">'O_MN, PE_UTA_UGM 2024'!K332</f>
        <v>700</v>
      </c>
      <c r="AO355" s="300"/>
      <c r="AP355" s="299" t="n">
        <f aca="false">'O_MN, PE_UTA_UGM 2024'!H332</f>
        <v>114.19</v>
      </c>
      <c r="AQ355" s="299" t="n">
        <f aca="false">'O_MN, PE_UTA_UGM 2024'!I332</f>
        <v>240.4</v>
      </c>
      <c r="AR355" s="301"/>
      <c r="AS355" s="302" t="n">
        <f aca="false">'O_MN, PE_UTA_UGM 2024'!L332</f>
        <v>0.00465</v>
      </c>
      <c r="AT355" s="302" t="n">
        <f aca="false">'O_MN, PE_UTA_UGM 2024'!M332</f>
        <v>0.0098</v>
      </c>
      <c r="AU355" s="3"/>
      <c r="AV355" s="321" t="n">
        <f aca="false">AG355*AM355</f>
        <v>0</v>
      </c>
      <c r="AW355" s="319" t="n">
        <f aca="false">AH355*AN355</f>
        <v>0</v>
      </c>
      <c r="AX355" s="320" t="n">
        <f aca="false">1.25*AJ355*AM355</f>
        <v>0</v>
      </c>
      <c r="AY355" s="322" t="n">
        <f aca="false">1.25*AK355*AN355</f>
        <v>0</v>
      </c>
      <c r="AZ355" s="323" t="n">
        <f aca="false">AG355*AP355</f>
        <v>0</v>
      </c>
      <c r="BA355" s="319" t="n">
        <f aca="false">AH355*AQ355</f>
        <v>0</v>
      </c>
      <c r="BB355" s="320" t="n">
        <f aca="false">1.25*AJ355*AP355</f>
        <v>0</v>
      </c>
      <c r="BC355" s="320" t="n">
        <f aca="false">1.25*AK355*AQ355</f>
        <v>0</v>
      </c>
      <c r="BD355" s="321" t="n">
        <f aca="false">AG355*AS355</f>
        <v>0</v>
      </c>
      <c r="BE355" s="319" t="n">
        <f aca="false">AH355*AT355</f>
        <v>0</v>
      </c>
      <c r="BF355" s="320" t="n">
        <f aca="false">AJ355*AS355</f>
        <v>0</v>
      </c>
      <c r="BG355" s="322" t="n">
        <f aca="false">AK355*AT355</f>
        <v>0</v>
      </c>
      <c r="BH355" s="324" t="n">
        <f aca="false">IF(BH$24=$AA355,($AG355*$AM355)+($AJ355*$AM355*1.25)+($AH355*$AN355)+($AK355*$AN355*1.25),"")</f>
        <v>0</v>
      </c>
      <c r="BI355" s="325" t="str">
        <f aca="false">IF(BI$24=$AA355,($AG355*$AM355)+($AJ355*$AM355*1.25)+($AH355*$AN355)+($AK355*$AN355*1.25),"")</f>
        <v/>
      </c>
      <c r="BJ355" s="325" t="str">
        <f aca="false">IF(BJ$24=$AA355,($AG355*$AM355)+($AJ355*$AM355*1.25)+($AH355*$AN355)+($AK355*$AN355*1.25),"")</f>
        <v/>
      </c>
      <c r="BK355" s="325" t="str">
        <f aca="false">IF(BK$24=$AA355,($AG355*$AM355)+($AJ355*$AM355*1.25)+($AH355*$AN355)+($AK355*$AN355*1.25),"")</f>
        <v/>
      </c>
      <c r="BL355" s="326" t="str">
        <f aca="false">IF(BL$24=$AA355,($AG355*$AM355)+($AJ355*$AM355*1.25)+($AH355*$AN355)+($AK355*$AN355*1.25),"")</f>
        <v/>
      </c>
      <c r="BM355" s="327" t="str">
        <f aca="false">IF(CONCATENATE(BH355,BI355,BJ355,BK355,BL355)="",1,"")</f>
        <v/>
      </c>
      <c r="BN355" s="328"/>
      <c r="BO355" s="328"/>
      <c r="BP355" s="328"/>
      <c r="BQ355" s="328"/>
      <c r="BR355" s="6"/>
      <c r="BS355" s="9"/>
      <c r="BT355" s="9"/>
      <c r="BU355" s="9"/>
      <c r="BV355" s="9"/>
    </row>
    <row r="356" customFormat="false" ht="15" hidden="false" customHeight="false" outlineLevel="0" collapsed="false">
      <c r="A356" s="228"/>
      <c r="B356" s="229"/>
      <c r="C356" s="230"/>
      <c r="D356" s="231"/>
      <c r="E356" s="223" t="str">
        <f aca="false">IF(SUM(A356:D356)&gt;0,SUM(A356:D356),"")</f>
        <v/>
      </c>
      <c r="F356" s="224" t="str">
        <f aca="false">AD369</f>
        <v>MEZCLA CEBADA-TRIGO</v>
      </c>
      <c r="G356" s="169"/>
      <c r="H356" s="169"/>
      <c r="I356" s="169"/>
      <c r="J356" s="169"/>
      <c r="K356" s="169"/>
      <c r="L356" s="169"/>
      <c r="M356" s="169"/>
      <c r="N356" s="169"/>
      <c r="O356" s="169"/>
      <c r="P356" s="169"/>
      <c r="Q356" s="169"/>
      <c r="R356" s="3"/>
      <c r="S356" s="3"/>
      <c r="T356" s="3"/>
      <c r="U356" s="3"/>
      <c r="V356" s="3"/>
      <c r="W356" s="3"/>
      <c r="X356" s="3"/>
      <c r="Y356" s="3"/>
      <c r="Z356" s="316" t="str">
        <f aca="false">IF(AF356&gt;0,RANK(AF356,AF$6:AF$422),"")</f>
        <v/>
      </c>
      <c r="AA356" s="134" t="n">
        <f aca="false">'O_MN, PE_UTA_UGM 2024'!N333</f>
        <v>1</v>
      </c>
      <c r="AB356" s="135" t="n">
        <f aca="false">'O_MN, PE_UTA_UGM 2024'!O333</f>
        <v>0</v>
      </c>
      <c r="AC356" s="317" t="n">
        <f aca="false">'O_MN, PE_UTA_UGM 2024'!C333</f>
        <v>394</v>
      </c>
      <c r="AD356" s="293" t="str">
        <f aca="false">IF(AB356=0,'O_MN, PE_UTA_UGM 2024'!F333,CONCATENATE('O_MN, PE_UTA_UGM 2024'!F333," ","INVERNADERO"))</f>
        <v>ESCAÑA</v>
      </c>
      <c r="AE356" s="89"/>
      <c r="AF356" s="123" t="n">
        <f aca="false">SUM(AG356:AH356)+SUM(AJ356:AK356)</f>
        <v>0</v>
      </c>
      <c r="AG356" s="318" t="n">
        <f aca="false">A343</f>
        <v>0</v>
      </c>
      <c r="AH356" s="319" t="n">
        <f aca="false">B343</f>
        <v>0</v>
      </c>
      <c r="AI356" s="6"/>
      <c r="AJ356" s="320" t="n">
        <f aca="false">C343</f>
        <v>0</v>
      </c>
      <c r="AK356" s="320" t="n">
        <f aca="false">D343</f>
        <v>0</v>
      </c>
      <c r="AL356" s="176"/>
      <c r="AM356" s="299" t="n">
        <f aca="false">'O_MN, PE_UTA_UGM 2024'!J333</f>
        <v>365.73</v>
      </c>
      <c r="AN356" s="299" t="n">
        <f aca="false">'O_MN, PE_UTA_UGM 2024'!K333</f>
        <v>700</v>
      </c>
      <c r="AO356" s="300"/>
      <c r="AP356" s="299" t="n">
        <f aca="false">'O_MN, PE_UTA_UGM 2024'!H333</f>
        <v>114.19</v>
      </c>
      <c r="AQ356" s="299" t="n">
        <f aca="false">'O_MN, PE_UTA_UGM 2024'!I333</f>
        <v>240.4</v>
      </c>
      <c r="AR356" s="301"/>
      <c r="AS356" s="302" t="n">
        <f aca="false">'O_MN, PE_UTA_UGM 2024'!L333</f>
        <v>0.00465</v>
      </c>
      <c r="AT356" s="302" t="n">
        <f aca="false">'O_MN, PE_UTA_UGM 2024'!M333</f>
        <v>0.0098</v>
      </c>
      <c r="AU356" s="3"/>
      <c r="AV356" s="321" t="n">
        <f aca="false">AG356*AM356</f>
        <v>0</v>
      </c>
      <c r="AW356" s="319" t="n">
        <f aca="false">AH356*AN356</f>
        <v>0</v>
      </c>
      <c r="AX356" s="320" t="n">
        <f aca="false">1.25*AJ356*AM356</f>
        <v>0</v>
      </c>
      <c r="AY356" s="322" t="n">
        <f aca="false">1.25*AK356*AN356</f>
        <v>0</v>
      </c>
      <c r="AZ356" s="323" t="n">
        <f aca="false">AG356*AP356</f>
        <v>0</v>
      </c>
      <c r="BA356" s="319" t="n">
        <f aca="false">AH356*AQ356</f>
        <v>0</v>
      </c>
      <c r="BB356" s="320" t="n">
        <f aca="false">1.25*AJ356*AP356</f>
        <v>0</v>
      </c>
      <c r="BC356" s="320" t="n">
        <f aca="false">1.25*AK356*AQ356</f>
        <v>0</v>
      </c>
      <c r="BD356" s="321" t="n">
        <f aca="false">AG356*AS356</f>
        <v>0</v>
      </c>
      <c r="BE356" s="319" t="n">
        <f aca="false">AH356*AT356</f>
        <v>0</v>
      </c>
      <c r="BF356" s="320" t="n">
        <f aca="false">AJ356*AS356</f>
        <v>0</v>
      </c>
      <c r="BG356" s="322" t="n">
        <f aca="false">AK356*AT356</f>
        <v>0</v>
      </c>
      <c r="BH356" s="324" t="n">
        <f aca="false">IF(BH$24=$AA356,($AG356*$AM356)+($AJ356*$AM356*1.25)+($AH356*$AN356)+($AK356*$AN356*1.25),"")</f>
        <v>0</v>
      </c>
      <c r="BI356" s="325" t="str">
        <f aca="false">IF(BI$24=$AA356,($AG356*$AM356)+($AJ356*$AM356*1.25)+($AH356*$AN356)+($AK356*$AN356*1.25),"")</f>
        <v/>
      </c>
      <c r="BJ356" s="325" t="str">
        <f aca="false">IF(BJ$24=$AA356,($AG356*$AM356)+($AJ356*$AM356*1.25)+($AH356*$AN356)+($AK356*$AN356*1.25),"")</f>
        <v/>
      </c>
      <c r="BK356" s="325" t="str">
        <f aca="false">IF(BK$24=$AA356,($AG356*$AM356)+($AJ356*$AM356*1.25)+($AH356*$AN356)+($AK356*$AN356*1.25),"")</f>
        <v/>
      </c>
      <c r="BL356" s="326" t="str">
        <f aca="false">IF(BL$24=$AA356,($AG356*$AM356)+($AJ356*$AM356*1.25)+($AH356*$AN356)+($AK356*$AN356*1.25),"")</f>
        <v/>
      </c>
      <c r="BM356" s="327" t="str">
        <f aca="false">IF(CONCATENATE(BH356,BI356,BJ356,BK356,BL356)="",1,"")</f>
        <v/>
      </c>
      <c r="BN356" s="328"/>
      <c r="BO356" s="328"/>
      <c r="BP356" s="328"/>
      <c r="BQ356" s="328"/>
      <c r="BR356" s="6"/>
      <c r="BS356" s="9"/>
      <c r="BT356" s="9"/>
      <c r="BU356" s="9"/>
      <c r="BV356" s="9"/>
    </row>
    <row r="357" customFormat="false" ht="15" hidden="false" customHeight="false" outlineLevel="0" collapsed="false">
      <c r="A357" s="228"/>
      <c r="B357" s="229"/>
      <c r="C357" s="230"/>
      <c r="D357" s="231"/>
      <c r="E357" s="223" t="str">
        <f aca="false">IF(SUM(A357:D357)&gt;0,SUM(A357:D357),"")</f>
        <v/>
      </c>
      <c r="F357" s="224" t="str">
        <f aca="false">AD370</f>
        <v>MEZCLA CENTENO-TRIGO</v>
      </c>
      <c r="G357" s="169"/>
      <c r="H357" s="169"/>
      <c r="I357" s="169"/>
      <c r="J357" s="169"/>
      <c r="K357" s="169"/>
      <c r="L357" s="169"/>
      <c r="M357" s="169"/>
      <c r="N357" s="169"/>
      <c r="O357" s="169"/>
      <c r="P357" s="169"/>
      <c r="Q357" s="169"/>
      <c r="R357" s="3"/>
      <c r="S357" s="3"/>
      <c r="T357" s="3"/>
      <c r="U357" s="3"/>
      <c r="V357" s="3"/>
      <c r="W357" s="3"/>
      <c r="X357" s="3"/>
      <c r="Y357" s="3"/>
      <c r="Z357" s="316" t="str">
        <f aca="false">IF(AF357&gt;0,RANK(AF357,AF$6:AF$422),"")</f>
        <v/>
      </c>
      <c r="AA357" s="134" t="n">
        <f aca="false">'O_MN, PE_UTA_UGM 2024'!N334</f>
        <v>1</v>
      </c>
      <c r="AB357" s="135" t="n">
        <f aca="false">'O_MN, PE_UTA_UGM 2024'!O334</f>
        <v>0</v>
      </c>
      <c r="AC357" s="317" t="n">
        <f aca="false">'O_MN, PE_UTA_UGM 2024'!C334</f>
        <v>395</v>
      </c>
      <c r="AD357" s="293" t="str">
        <f aca="false">IF(AB357=0,'O_MN, PE_UTA_UGM 2024'!F334,CONCATENATE('O_MN, PE_UTA_UGM 2024'!F334," ","INVERNADERO"))</f>
        <v>PANIZO</v>
      </c>
      <c r="AE357" s="89"/>
      <c r="AF357" s="123" t="n">
        <f aca="false">SUM(AG357:AH357)+SUM(AJ357:AK357)</f>
        <v>0</v>
      </c>
      <c r="AG357" s="318" t="n">
        <f aca="false">A344</f>
        <v>0</v>
      </c>
      <c r="AH357" s="319" t="n">
        <f aca="false">B344</f>
        <v>0</v>
      </c>
      <c r="AI357" s="6"/>
      <c r="AJ357" s="320" t="n">
        <f aca="false">C344</f>
        <v>0</v>
      </c>
      <c r="AK357" s="320" t="n">
        <f aca="false">D344</f>
        <v>0</v>
      </c>
      <c r="AL357" s="176"/>
      <c r="AM357" s="299" t="n">
        <f aca="false">'O_MN, PE_UTA_UGM 2024'!J334</f>
        <v>365.73</v>
      </c>
      <c r="AN357" s="299" t="n">
        <f aca="false">'O_MN, PE_UTA_UGM 2024'!K334</f>
        <v>600</v>
      </c>
      <c r="AO357" s="300"/>
      <c r="AP357" s="299" t="n">
        <f aca="false">'O_MN, PE_UTA_UGM 2024'!H334</f>
        <v>114.19</v>
      </c>
      <c r="AQ357" s="299" t="n">
        <f aca="false">'O_MN, PE_UTA_UGM 2024'!I334</f>
        <v>240.4</v>
      </c>
      <c r="AR357" s="301"/>
      <c r="AS357" s="302" t="n">
        <f aca="false">'O_MN, PE_UTA_UGM 2024'!L334</f>
        <v>0.00465</v>
      </c>
      <c r="AT357" s="302" t="n">
        <f aca="false">'O_MN, PE_UTA_UGM 2024'!M334</f>
        <v>0.0098</v>
      </c>
      <c r="AU357" s="3"/>
      <c r="AV357" s="321" t="n">
        <f aca="false">AG357*AM357</f>
        <v>0</v>
      </c>
      <c r="AW357" s="319" t="n">
        <f aca="false">AH357*AN357</f>
        <v>0</v>
      </c>
      <c r="AX357" s="320" t="n">
        <f aca="false">1.25*AJ357*AM357</f>
        <v>0</v>
      </c>
      <c r="AY357" s="322" t="n">
        <f aca="false">1.25*AK357*AN357</f>
        <v>0</v>
      </c>
      <c r="AZ357" s="323" t="n">
        <f aca="false">AG357*AP357</f>
        <v>0</v>
      </c>
      <c r="BA357" s="319" t="n">
        <f aca="false">AH357*AQ357</f>
        <v>0</v>
      </c>
      <c r="BB357" s="320" t="n">
        <f aca="false">1.25*AJ357*AP357</f>
        <v>0</v>
      </c>
      <c r="BC357" s="320" t="n">
        <f aca="false">1.25*AK357*AQ357</f>
        <v>0</v>
      </c>
      <c r="BD357" s="321" t="n">
        <f aca="false">AG357*AS357</f>
        <v>0</v>
      </c>
      <c r="BE357" s="319" t="n">
        <f aca="false">AH357*AT357</f>
        <v>0</v>
      </c>
      <c r="BF357" s="320" t="n">
        <f aca="false">AJ357*AS357</f>
        <v>0</v>
      </c>
      <c r="BG357" s="322" t="n">
        <f aca="false">AK357*AT357</f>
        <v>0</v>
      </c>
      <c r="BH357" s="324" t="n">
        <f aca="false">IF(BH$24=$AA357,($AG357*$AM357)+($AJ357*$AM357*1.25)+($AH357*$AN357)+($AK357*$AN357*1.25),"")</f>
        <v>0</v>
      </c>
      <c r="BI357" s="325" t="str">
        <f aca="false">IF(BI$24=$AA357,($AG357*$AM357)+($AJ357*$AM357*1.25)+($AH357*$AN357)+($AK357*$AN357*1.25),"")</f>
        <v/>
      </c>
      <c r="BJ357" s="325" t="str">
        <f aca="false">IF(BJ$24=$AA357,($AG357*$AM357)+($AJ357*$AM357*1.25)+($AH357*$AN357)+($AK357*$AN357*1.25),"")</f>
        <v/>
      </c>
      <c r="BK357" s="325" t="str">
        <f aca="false">IF(BK$24=$AA357,($AG357*$AM357)+($AJ357*$AM357*1.25)+($AH357*$AN357)+($AK357*$AN357*1.25),"")</f>
        <v/>
      </c>
      <c r="BL357" s="326" t="str">
        <f aca="false">IF(BL$24=$AA357,($AG357*$AM357)+($AJ357*$AM357*1.25)+($AH357*$AN357)+($AK357*$AN357*1.25),"")</f>
        <v/>
      </c>
      <c r="BM357" s="327" t="str">
        <f aca="false">IF(CONCATENATE(BH357,BI357,BJ357,BK357,BL357)="",1,"")</f>
        <v/>
      </c>
      <c r="BN357" s="328"/>
      <c r="BO357" s="328"/>
      <c r="BP357" s="328"/>
      <c r="BQ357" s="328"/>
      <c r="BR357" s="6"/>
      <c r="BS357" s="9"/>
      <c r="BT357" s="9"/>
      <c r="BU357" s="9"/>
      <c r="BV357" s="9"/>
    </row>
    <row r="358" customFormat="false" ht="15" hidden="false" customHeight="false" outlineLevel="0" collapsed="false">
      <c r="A358" s="228"/>
      <c r="B358" s="229"/>
      <c r="C358" s="230"/>
      <c r="D358" s="231"/>
      <c r="E358" s="223" t="str">
        <f aca="false">IF(SUM(A358:D358)&gt;0,SUM(A358:D358),"")</f>
        <v/>
      </c>
      <c r="F358" s="224" t="str">
        <f aca="false">AD371</f>
        <v>MEZCLA AVENA-MAÍZ-VEZA</v>
      </c>
      <c r="G358" s="169"/>
      <c r="H358" s="169"/>
      <c r="I358" s="169"/>
      <c r="J358" s="169"/>
      <c r="K358" s="169"/>
      <c r="L358" s="169"/>
      <c r="M358" s="169"/>
      <c r="N358" s="169"/>
      <c r="O358" s="169"/>
      <c r="P358" s="169"/>
      <c r="Q358" s="169"/>
      <c r="R358" s="3"/>
      <c r="S358" s="3"/>
      <c r="T358" s="3"/>
      <c r="U358" s="3"/>
      <c r="V358" s="3"/>
      <c r="W358" s="3"/>
      <c r="X358" s="3"/>
      <c r="Y358" s="3"/>
      <c r="Z358" s="316" t="str">
        <f aca="false">IF(AF358&gt;0,RANK(AF358,AF$6:AF$422),"")</f>
        <v/>
      </c>
      <c r="AA358" s="134" t="n">
        <f aca="false">'O_MN, PE_UTA_UGM 2024'!N335</f>
        <v>1</v>
      </c>
      <c r="AB358" s="135" t="n">
        <f aca="false">'O_MN, PE_UTA_UGM 2024'!O335</f>
        <v>0</v>
      </c>
      <c r="AC358" s="317" t="n">
        <f aca="false">'O_MN, PE_UTA_UGM 2024'!C335</f>
        <v>397</v>
      </c>
      <c r="AD358" s="293" t="str">
        <f aca="false">IF(AB358=0,'O_MN, PE_UTA_UGM 2024'!F335,CONCATENATE('O_MN, PE_UTA_UGM 2024'!F335," ","INVERNADERO"))</f>
        <v>JUDÍA ESCARLATA</v>
      </c>
      <c r="AE358" s="89"/>
      <c r="AF358" s="123" t="n">
        <f aca="false">SUM(AG358:AH358)+SUM(AJ358:AK358)</f>
        <v>0</v>
      </c>
      <c r="AG358" s="318" t="n">
        <f aca="false">A345</f>
        <v>0</v>
      </c>
      <c r="AH358" s="319" t="n">
        <f aca="false">B345</f>
        <v>0</v>
      </c>
      <c r="AI358" s="6"/>
      <c r="AJ358" s="320" t="n">
        <f aca="false">C345</f>
        <v>0</v>
      </c>
      <c r="AK358" s="320" t="n">
        <f aca="false">D345</f>
        <v>0</v>
      </c>
      <c r="AL358" s="176"/>
      <c r="AM358" s="299" t="n">
        <f aca="false">'O_MN, PE_UTA_UGM 2024'!J335</f>
        <v>350</v>
      </c>
      <c r="AN358" s="299" t="n">
        <f aca="false">'O_MN, PE_UTA_UGM 2024'!K335</f>
        <v>750</v>
      </c>
      <c r="AO358" s="300"/>
      <c r="AP358" s="299" t="n">
        <f aca="false">'O_MN, PE_UTA_UGM 2024'!H335</f>
        <v>114.19</v>
      </c>
      <c r="AQ358" s="299" t="n">
        <f aca="false">'O_MN, PE_UTA_UGM 2024'!I335</f>
        <v>240.4</v>
      </c>
      <c r="AR358" s="301"/>
      <c r="AS358" s="302" t="n">
        <f aca="false">'O_MN, PE_UTA_UGM 2024'!L335</f>
        <v>0.00465</v>
      </c>
      <c r="AT358" s="302" t="n">
        <f aca="false">'O_MN, PE_UTA_UGM 2024'!M335</f>
        <v>0.0098</v>
      </c>
      <c r="AU358" s="3"/>
      <c r="AV358" s="321" t="n">
        <f aca="false">AG358*AM358</f>
        <v>0</v>
      </c>
      <c r="AW358" s="319" t="n">
        <f aca="false">AH358*AN358</f>
        <v>0</v>
      </c>
      <c r="AX358" s="320" t="n">
        <f aca="false">1.25*AJ358*AM358</f>
        <v>0</v>
      </c>
      <c r="AY358" s="322" t="n">
        <f aca="false">1.25*AK358*AN358</f>
        <v>0</v>
      </c>
      <c r="AZ358" s="323" t="n">
        <f aca="false">AG358*AP358</f>
        <v>0</v>
      </c>
      <c r="BA358" s="319" t="n">
        <f aca="false">AH358*AQ358</f>
        <v>0</v>
      </c>
      <c r="BB358" s="320" t="n">
        <f aca="false">1.25*AJ358*AP358</f>
        <v>0</v>
      </c>
      <c r="BC358" s="320" t="n">
        <f aca="false">1.25*AK358*AQ358</f>
        <v>0</v>
      </c>
      <c r="BD358" s="321" t="n">
        <f aca="false">AG358*AS358</f>
        <v>0</v>
      </c>
      <c r="BE358" s="319" t="n">
        <f aca="false">AH358*AT358</f>
        <v>0</v>
      </c>
      <c r="BF358" s="320" t="n">
        <f aca="false">AJ358*AS358</f>
        <v>0</v>
      </c>
      <c r="BG358" s="322" t="n">
        <f aca="false">AK358*AT358</f>
        <v>0</v>
      </c>
      <c r="BH358" s="324" t="n">
        <f aca="false">IF(BH$24=$AA358,($AG358*$AM358)+($AJ358*$AM358*1.25)+($AH358*$AN358)+($AK358*$AN358*1.25),"")</f>
        <v>0</v>
      </c>
      <c r="BI358" s="325" t="str">
        <f aca="false">IF(BI$24=$AA358,($AG358*$AM358)+($AJ358*$AM358*1.25)+($AH358*$AN358)+($AK358*$AN358*1.25),"")</f>
        <v/>
      </c>
      <c r="BJ358" s="325" t="str">
        <f aca="false">IF(BJ$24=$AA358,($AG358*$AM358)+($AJ358*$AM358*1.25)+($AH358*$AN358)+($AK358*$AN358*1.25),"")</f>
        <v/>
      </c>
      <c r="BK358" s="325" t="str">
        <f aca="false">IF(BK$24=$AA358,($AG358*$AM358)+($AJ358*$AM358*1.25)+($AH358*$AN358)+($AK358*$AN358*1.25),"")</f>
        <v/>
      </c>
      <c r="BL358" s="326" t="str">
        <f aca="false">IF(BL$24=$AA358,($AG358*$AM358)+($AJ358*$AM358*1.25)+($AH358*$AN358)+($AK358*$AN358*1.25),"")</f>
        <v/>
      </c>
      <c r="BM358" s="327" t="str">
        <f aca="false">IF(CONCATENATE(BH358,BI358,BJ358,BK358,BL358)="",1,"")</f>
        <v/>
      </c>
      <c r="BN358" s="328"/>
      <c r="BO358" s="328"/>
      <c r="BP358" s="328"/>
      <c r="BQ358" s="328"/>
      <c r="BR358" s="6"/>
      <c r="BS358" s="9"/>
      <c r="BT358" s="9"/>
      <c r="BU358" s="9"/>
      <c r="BV358" s="9"/>
    </row>
    <row r="359" customFormat="false" ht="15" hidden="false" customHeight="false" outlineLevel="0" collapsed="false">
      <c r="A359" s="228"/>
      <c r="B359" s="229"/>
      <c r="C359" s="230"/>
      <c r="D359" s="231"/>
      <c r="E359" s="223" t="str">
        <f aca="false">IF(SUM(A359:D359)&gt;0,SUM(A359:D359),"")</f>
        <v/>
      </c>
      <c r="F359" s="224" t="str">
        <f aca="false">AD372</f>
        <v>MEZCLA CEBADA-MAÍZ-VEZA</v>
      </c>
      <c r="G359" s="169"/>
      <c r="H359" s="169"/>
      <c r="I359" s="169"/>
      <c r="J359" s="169"/>
      <c r="K359" s="169"/>
      <c r="L359" s="169"/>
      <c r="M359" s="169"/>
      <c r="N359" s="169"/>
      <c r="O359" s="169"/>
      <c r="P359" s="169"/>
      <c r="Q359" s="169"/>
      <c r="R359" s="3"/>
      <c r="S359" s="3"/>
      <c r="T359" s="3"/>
      <c r="U359" s="3"/>
      <c r="V359" s="3"/>
      <c r="W359" s="3"/>
      <c r="X359" s="3"/>
      <c r="Y359" s="3"/>
      <c r="Z359" s="316" t="str">
        <f aca="false">IF(AF359&gt;0,RANK(AF359,AF$6:AF$422),"")</f>
        <v/>
      </c>
      <c r="AA359" s="134" t="n">
        <f aca="false">'O_MN, PE_UTA_UGM 2024'!N336</f>
        <v>1</v>
      </c>
      <c r="AB359" s="135" t="n">
        <f aca="false">'O_MN, PE_UTA_UGM 2024'!O336</f>
        <v>0</v>
      </c>
      <c r="AC359" s="317" t="n">
        <f aca="false">'O_MN, PE_UTA_UGM 2024'!C336</f>
        <v>398</v>
      </c>
      <c r="AD359" s="293" t="str">
        <f aca="false">IF(AB359=0,'O_MN, PE_UTA_UGM 2024'!F336,CONCATENATE('O_MN, PE_UTA_UGM 2024'!F336," ","INVERNADERO"))</f>
        <v>RAMIO</v>
      </c>
      <c r="AE359" s="89"/>
      <c r="AF359" s="123" t="n">
        <f aca="false">SUM(AG359:AH359)+SUM(AJ359:AK359)</f>
        <v>0</v>
      </c>
      <c r="AG359" s="318" t="n">
        <f aca="false">A346</f>
        <v>0</v>
      </c>
      <c r="AH359" s="319" t="n">
        <f aca="false">B346</f>
        <v>0</v>
      </c>
      <c r="AI359" s="6"/>
      <c r="AJ359" s="320" t="n">
        <f aca="false">C346</f>
        <v>0</v>
      </c>
      <c r="AK359" s="320" t="n">
        <f aca="false">D346</f>
        <v>0</v>
      </c>
      <c r="AL359" s="176"/>
      <c r="AM359" s="299" t="n">
        <f aca="false">'O_MN, PE_UTA_UGM 2024'!J336</f>
        <v>270.46</v>
      </c>
      <c r="AN359" s="299" t="n">
        <f aca="false">'O_MN, PE_UTA_UGM 2024'!K336</f>
        <v>600</v>
      </c>
      <c r="AO359" s="300"/>
      <c r="AP359" s="299" t="n">
        <f aca="false">'O_MN, PE_UTA_UGM 2024'!H336</f>
        <v>270.46</v>
      </c>
      <c r="AQ359" s="299" t="n">
        <f aca="false">'O_MN, PE_UTA_UGM 2024'!I336</f>
        <v>330.56</v>
      </c>
      <c r="AR359" s="301"/>
      <c r="AS359" s="302" t="n">
        <f aca="false">'O_MN, PE_UTA_UGM 2024'!L336</f>
        <v>0.01102</v>
      </c>
      <c r="AT359" s="302" t="n">
        <f aca="false">'O_MN, PE_UTA_UGM 2024'!M336</f>
        <v>0.01347</v>
      </c>
      <c r="AU359" s="3"/>
      <c r="AV359" s="321" t="n">
        <f aca="false">AG359*AM359</f>
        <v>0</v>
      </c>
      <c r="AW359" s="319" t="n">
        <f aca="false">AH359*AN359</f>
        <v>0</v>
      </c>
      <c r="AX359" s="320" t="n">
        <f aca="false">1.25*AJ359*AM359</f>
        <v>0</v>
      </c>
      <c r="AY359" s="322" t="n">
        <f aca="false">1.25*AK359*AN359</f>
        <v>0</v>
      </c>
      <c r="AZ359" s="323" t="n">
        <f aca="false">AG359*AP359</f>
        <v>0</v>
      </c>
      <c r="BA359" s="319" t="n">
        <f aca="false">AH359*AQ359</f>
        <v>0</v>
      </c>
      <c r="BB359" s="320" t="n">
        <f aca="false">1.25*AJ359*AP359</f>
        <v>0</v>
      </c>
      <c r="BC359" s="320" t="n">
        <f aca="false">1.25*AK359*AQ359</f>
        <v>0</v>
      </c>
      <c r="BD359" s="321" t="n">
        <f aca="false">AG359*AS359</f>
        <v>0</v>
      </c>
      <c r="BE359" s="319" t="n">
        <f aca="false">AH359*AT359</f>
        <v>0</v>
      </c>
      <c r="BF359" s="320" t="n">
        <f aca="false">AJ359*AS359</f>
        <v>0</v>
      </c>
      <c r="BG359" s="322" t="n">
        <f aca="false">AK359*AT359</f>
        <v>0</v>
      </c>
      <c r="BH359" s="324" t="n">
        <f aca="false">IF(BH$24=$AA359,($AG359*$AM359)+($AJ359*$AM359*1.25)+($AH359*$AN359)+($AK359*$AN359*1.25),"")</f>
        <v>0</v>
      </c>
      <c r="BI359" s="325" t="str">
        <f aca="false">IF(BI$24=$AA359,($AG359*$AM359)+($AJ359*$AM359*1.25)+($AH359*$AN359)+($AK359*$AN359*1.25),"")</f>
        <v/>
      </c>
      <c r="BJ359" s="325" t="str">
        <f aca="false">IF(BJ$24=$AA359,($AG359*$AM359)+($AJ359*$AM359*1.25)+($AH359*$AN359)+($AK359*$AN359*1.25),"")</f>
        <v/>
      </c>
      <c r="BK359" s="325" t="str">
        <f aca="false">IF(BK$24=$AA359,($AG359*$AM359)+($AJ359*$AM359*1.25)+($AH359*$AN359)+($AK359*$AN359*1.25),"")</f>
        <v/>
      </c>
      <c r="BL359" s="326" t="str">
        <f aca="false">IF(BL$24=$AA359,($AG359*$AM359)+($AJ359*$AM359*1.25)+($AH359*$AN359)+($AK359*$AN359*1.25),"")</f>
        <v/>
      </c>
      <c r="BM359" s="327" t="str">
        <f aca="false">IF(CONCATENATE(BH359,BI359,BJ359,BK359,BL359)="",1,"")</f>
        <v/>
      </c>
      <c r="BN359" s="328"/>
      <c r="BO359" s="328"/>
      <c r="BP359" s="328"/>
      <c r="BQ359" s="328"/>
      <c r="BR359" s="6"/>
      <c r="BS359" s="9"/>
      <c r="BT359" s="9"/>
      <c r="BU359" s="9"/>
      <c r="BV359" s="9"/>
    </row>
    <row r="360" customFormat="false" ht="15" hidden="false" customHeight="false" outlineLevel="0" collapsed="false">
      <c r="A360" s="228"/>
      <c r="B360" s="229"/>
      <c r="C360" s="230"/>
      <c r="D360" s="231"/>
      <c r="E360" s="223" t="str">
        <f aca="false">IF(SUM(A360:D360)&gt;0,SUM(A360:D360),"")</f>
        <v/>
      </c>
      <c r="F360" s="224" t="str">
        <f aca="false">AD373</f>
        <v>MEZCLA ALTRAMUZ-AVENA</v>
      </c>
      <c r="G360" s="169"/>
      <c r="H360" s="169"/>
      <c r="I360" s="169"/>
      <c r="J360" s="169"/>
      <c r="K360" s="169"/>
      <c r="L360" s="169"/>
      <c r="M360" s="169"/>
      <c r="N360" s="169"/>
      <c r="O360" s="169"/>
      <c r="P360" s="169"/>
      <c r="Q360" s="169"/>
      <c r="R360" s="3"/>
      <c r="S360" s="3"/>
      <c r="T360" s="3"/>
      <c r="U360" s="3"/>
      <c r="V360" s="3"/>
      <c r="W360" s="3"/>
      <c r="X360" s="3"/>
      <c r="Y360" s="3"/>
      <c r="Z360" s="316" t="str">
        <f aca="false">IF(AF360&gt;0,RANK(AF360,AF$6:AF$422),"")</f>
        <v/>
      </c>
      <c r="AA360" s="134" t="n">
        <f aca="false">'O_MN, PE_UTA_UGM 2024'!N337</f>
        <v>1</v>
      </c>
      <c r="AB360" s="135" t="n">
        <f aca="false">'O_MN, PE_UTA_UGM 2024'!O337</f>
        <v>0</v>
      </c>
      <c r="AC360" s="317" t="n">
        <f aca="false">'O_MN, PE_UTA_UGM 2024'!C337</f>
        <v>401</v>
      </c>
      <c r="AD360" s="293" t="str">
        <f aca="false">IF(AB360=0,'O_MN, PE_UTA_UGM 2024'!F337,CONCATENATE('O_MN, PE_UTA_UGM 2024'!F337," ","INVERNADERO"))</f>
        <v>CEBOLLINO</v>
      </c>
      <c r="AE360" s="89"/>
      <c r="AF360" s="123" t="n">
        <f aca="false">SUM(AG360:AH360)+SUM(AJ360:AK360)</f>
        <v>0</v>
      </c>
      <c r="AG360" s="318" t="n">
        <f aca="false">A347</f>
        <v>0</v>
      </c>
      <c r="AH360" s="319" t="n">
        <f aca="false">B347</f>
        <v>0</v>
      </c>
      <c r="AI360" s="6"/>
      <c r="AJ360" s="320" t="n">
        <f aca="false">C347</f>
        <v>0</v>
      </c>
      <c r="AK360" s="320" t="n">
        <f aca="false">D347</f>
        <v>0</v>
      </c>
      <c r="AL360" s="176"/>
      <c r="AM360" s="299" t="n">
        <f aca="false">'O_MN, PE_UTA_UGM 2024'!J337</f>
        <v>575</v>
      </c>
      <c r="AN360" s="299" t="n">
        <f aca="false">'O_MN, PE_UTA_UGM 2024'!K337</f>
        <v>5200</v>
      </c>
      <c r="AO360" s="300"/>
      <c r="AP360" s="299" t="n">
        <f aca="false">'O_MN, PE_UTA_UGM 2024'!H337</f>
        <v>360.61</v>
      </c>
      <c r="AQ360" s="299" t="n">
        <f aca="false">'O_MN, PE_UTA_UGM 2024'!I337</f>
        <v>1352.28</v>
      </c>
      <c r="AR360" s="301"/>
      <c r="AS360" s="302" t="n">
        <f aca="false">'O_MN, PE_UTA_UGM 2024'!L337</f>
        <v>0.0147</v>
      </c>
      <c r="AT360" s="302" t="n">
        <f aca="false">'O_MN, PE_UTA_UGM 2024'!M337</f>
        <v>0.05512</v>
      </c>
      <c r="AU360" s="3"/>
      <c r="AV360" s="321" t="n">
        <f aca="false">AG360*AM360</f>
        <v>0</v>
      </c>
      <c r="AW360" s="319" t="n">
        <f aca="false">AH360*AN360</f>
        <v>0</v>
      </c>
      <c r="AX360" s="320" t="n">
        <f aca="false">1.25*AJ360*AM360</f>
        <v>0</v>
      </c>
      <c r="AY360" s="322" t="n">
        <f aca="false">1.25*AK360*AN360</f>
        <v>0</v>
      </c>
      <c r="AZ360" s="323" t="n">
        <f aca="false">AG360*AP360</f>
        <v>0</v>
      </c>
      <c r="BA360" s="319" t="n">
        <f aca="false">AH360*AQ360</f>
        <v>0</v>
      </c>
      <c r="BB360" s="320" t="n">
        <f aca="false">1.25*AJ360*AP360</f>
        <v>0</v>
      </c>
      <c r="BC360" s="320" t="n">
        <f aca="false">1.25*AK360*AQ360</f>
        <v>0</v>
      </c>
      <c r="BD360" s="321" t="n">
        <f aca="false">AG360*AS360</f>
        <v>0</v>
      </c>
      <c r="BE360" s="319" t="n">
        <f aca="false">AH360*AT360</f>
        <v>0</v>
      </c>
      <c r="BF360" s="320" t="n">
        <f aca="false">AJ360*AS360</f>
        <v>0</v>
      </c>
      <c r="BG360" s="322" t="n">
        <f aca="false">AK360*AT360</f>
        <v>0</v>
      </c>
      <c r="BH360" s="324" t="n">
        <f aca="false">IF(BH$24=$AA360,($AG360*$AM360)+($AJ360*$AM360*1.25)+($AH360*$AN360)+($AK360*$AN360*1.25),"")</f>
        <v>0</v>
      </c>
      <c r="BI360" s="325" t="str">
        <f aca="false">IF(BI$24=$AA360,($AG360*$AM360)+($AJ360*$AM360*1.25)+($AH360*$AN360)+($AK360*$AN360*1.25),"")</f>
        <v/>
      </c>
      <c r="BJ360" s="325" t="str">
        <f aca="false">IF(BJ$24=$AA360,($AG360*$AM360)+($AJ360*$AM360*1.25)+($AH360*$AN360)+($AK360*$AN360*1.25),"")</f>
        <v/>
      </c>
      <c r="BK360" s="325" t="str">
        <f aca="false">IF(BK$24=$AA360,($AG360*$AM360)+($AJ360*$AM360*1.25)+($AH360*$AN360)+($AK360*$AN360*1.25),"")</f>
        <v/>
      </c>
      <c r="BL360" s="326" t="str">
        <f aca="false">IF(BL$24=$AA360,($AG360*$AM360)+($AJ360*$AM360*1.25)+($AH360*$AN360)+($AK360*$AN360*1.25),"")</f>
        <v/>
      </c>
      <c r="BM360" s="327" t="str">
        <f aca="false">IF(CONCATENATE(BH360,BI360,BJ360,BK360,BL360)="",1,"")</f>
        <v/>
      </c>
      <c r="BN360" s="328"/>
      <c r="BO360" s="328"/>
      <c r="BP360" s="328"/>
      <c r="BQ360" s="328"/>
      <c r="BR360" s="6"/>
      <c r="BS360" s="9"/>
      <c r="BT360" s="9"/>
      <c r="BU360" s="9"/>
      <c r="BV360" s="9"/>
    </row>
    <row r="361" customFormat="false" ht="15" hidden="false" customHeight="false" outlineLevel="0" collapsed="false">
      <c r="A361" s="228"/>
      <c r="B361" s="229"/>
      <c r="C361" s="230"/>
      <c r="D361" s="231"/>
      <c r="E361" s="223" t="str">
        <f aca="false">IF(SUM(A361:D361)&gt;0,SUM(A361:D361),"")</f>
        <v/>
      </c>
      <c r="F361" s="224" t="str">
        <f aca="false">AD374</f>
        <v>MEZCLA AVENA-CENTENO</v>
      </c>
      <c r="G361" s="169"/>
      <c r="H361" s="169"/>
      <c r="I361" s="169"/>
      <c r="J361" s="169"/>
      <c r="K361" s="169"/>
      <c r="L361" s="169"/>
      <c r="M361" s="169"/>
      <c r="N361" s="169"/>
      <c r="O361" s="169"/>
      <c r="P361" s="169"/>
      <c r="Q361" s="169"/>
      <c r="R361" s="3"/>
      <c r="S361" s="3"/>
      <c r="T361" s="3"/>
      <c r="U361" s="3"/>
      <c r="V361" s="3"/>
      <c r="W361" s="3"/>
      <c r="X361" s="3"/>
      <c r="Y361" s="3"/>
      <c r="Z361" s="316" t="str">
        <f aca="false">IF(AF361&gt;0,RANK(AF361,AF$6:AF$422),"")</f>
        <v/>
      </c>
      <c r="AA361" s="134" t="n">
        <f aca="false">'O_MN, PE_UTA_UGM 2024'!N338</f>
        <v>4</v>
      </c>
      <c r="AB361" s="135" t="n">
        <f aca="false">'O_MN, PE_UTA_UGM 2024'!O338</f>
        <v>0</v>
      </c>
      <c r="AC361" s="317" t="n">
        <f aca="false">'O_MN, PE_UTA_UGM 2024'!C338</f>
        <v>417</v>
      </c>
      <c r="AD361" s="293" t="str">
        <f aca="false">IF(AB361=0,'O_MN, PE_UTA_UGM 2024'!F338,CONCATENATE('O_MN, PE_UTA_UGM 2024'!F338," ","INVERNADERO"))</f>
        <v>CANÓNIGO</v>
      </c>
      <c r="AE361" s="89"/>
      <c r="AF361" s="123" t="n">
        <f aca="false">SUM(AG361:AH361)+SUM(AJ361:AK361)</f>
        <v>0</v>
      </c>
      <c r="AG361" s="318" t="n">
        <f aca="false">A348</f>
        <v>0</v>
      </c>
      <c r="AH361" s="319" t="n">
        <f aca="false">B348</f>
        <v>0</v>
      </c>
      <c r="AI361" s="6"/>
      <c r="AJ361" s="320" t="n">
        <f aca="false">C348</f>
        <v>0</v>
      </c>
      <c r="AK361" s="320" t="n">
        <f aca="false">D348</f>
        <v>0</v>
      </c>
      <c r="AL361" s="176"/>
      <c r="AM361" s="299" t="n">
        <f aca="false">'O_MN, PE_UTA_UGM 2024'!J338</f>
        <v>575</v>
      </c>
      <c r="AN361" s="299" t="n">
        <f aca="false">'O_MN, PE_UTA_UGM 2024'!K338</f>
        <v>5200</v>
      </c>
      <c r="AO361" s="300"/>
      <c r="AP361" s="299" t="n">
        <f aca="false">'O_MN, PE_UTA_UGM 2024'!H338</f>
        <v>360.61</v>
      </c>
      <c r="AQ361" s="299" t="n">
        <f aca="false">'O_MN, PE_UTA_UGM 2024'!I338</f>
        <v>1352.28</v>
      </c>
      <c r="AR361" s="301"/>
      <c r="AS361" s="302" t="n">
        <f aca="false">'O_MN, PE_UTA_UGM 2024'!L338</f>
        <v>0.0147</v>
      </c>
      <c r="AT361" s="302" t="n">
        <f aca="false">'O_MN, PE_UTA_UGM 2024'!M338</f>
        <v>0.05512</v>
      </c>
      <c r="AU361" s="3"/>
      <c r="AV361" s="321" t="n">
        <f aca="false">AG361*AM361</f>
        <v>0</v>
      </c>
      <c r="AW361" s="319" t="n">
        <f aca="false">AH361*AN361</f>
        <v>0</v>
      </c>
      <c r="AX361" s="320" t="n">
        <f aca="false">1.25*AJ361*AM361</f>
        <v>0</v>
      </c>
      <c r="AY361" s="322" t="n">
        <f aca="false">1.25*AK361*AN361</f>
        <v>0</v>
      </c>
      <c r="AZ361" s="323" t="n">
        <f aca="false">AG361*AP361</f>
        <v>0</v>
      </c>
      <c r="BA361" s="319" t="n">
        <f aca="false">AH361*AQ361</f>
        <v>0</v>
      </c>
      <c r="BB361" s="320" t="n">
        <f aca="false">1.25*AJ361*AP361</f>
        <v>0</v>
      </c>
      <c r="BC361" s="320" t="n">
        <f aca="false">1.25*AK361*AQ361</f>
        <v>0</v>
      </c>
      <c r="BD361" s="321" t="n">
        <f aca="false">AG361*AS361</f>
        <v>0</v>
      </c>
      <c r="BE361" s="319" t="n">
        <f aca="false">AH361*AT361</f>
        <v>0</v>
      </c>
      <c r="BF361" s="320" t="n">
        <f aca="false">AJ361*AS361</f>
        <v>0</v>
      </c>
      <c r="BG361" s="322" t="n">
        <f aca="false">AK361*AT361</f>
        <v>0</v>
      </c>
      <c r="BH361" s="324" t="str">
        <f aca="false">IF(BH$24=$AA361,($AG361*$AM361)+($AJ361*$AM361*1.25)+($AH361*$AN361)+($AK361*$AN361*1.25),"")</f>
        <v/>
      </c>
      <c r="BI361" s="325" t="str">
        <f aca="false">IF(BI$24=$AA361,($AG361*$AM361)+($AJ361*$AM361*1.25)+($AH361*$AN361)+($AK361*$AN361*1.25),"")</f>
        <v/>
      </c>
      <c r="BJ361" s="325" t="str">
        <f aca="false">IF(BJ$24=$AA361,($AG361*$AM361)+($AJ361*$AM361*1.25)+($AH361*$AN361)+($AK361*$AN361*1.25),"")</f>
        <v/>
      </c>
      <c r="BK361" s="325" t="n">
        <f aca="false">IF(BK$24=$AA361,($AG361*$AM361)+($AJ361*$AM361*1.25)+($AH361*$AN361)+($AK361*$AN361*1.25),"")</f>
        <v>0</v>
      </c>
      <c r="BL361" s="326" t="str">
        <f aca="false">IF(BL$24=$AA361,($AG361*$AM361)+($AJ361*$AM361*1.25)+($AH361*$AN361)+($AK361*$AN361*1.25),"")</f>
        <v/>
      </c>
      <c r="BM361" s="327" t="str">
        <f aca="false">IF(CONCATENATE(BH361,BI361,BJ361,BK361,BL361)="",1,"")</f>
        <v/>
      </c>
      <c r="BN361" s="328"/>
      <c r="BO361" s="328"/>
      <c r="BP361" s="328"/>
      <c r="BQ361" s="328"/>
      <c r="BR361" s="6"/>
      <c r="BS361" s="9"/>
      <c r="BT361" s="9"/>
      <c r="BU361" s="9"/>
      <c r="BV361" s="9"/>
    </row>
    <row r="362" customFormat="false" ht="15" hidden="false" customHeight="false" outlineLevel="0" collapsed="false">
      <c r="A362" s="228"/>
      <c r="B362" s="229"/>
      <c r="C362" s="230"/>
      <c r="D362" s="231"/>
      <c r="E362" s="223" t="str">
        <f aca="false">IF(SUM(A362:D362)&gt;0,SUM(A362:D362),"")</f>
        <v/>
      </c>
      <c r="F362" s="224" t="str">
        <f aca="false">AD375</f>
        <v>MEZCLA CENTENO-MAÍZ</v>
      </c>
      <c r="G362" s="169"/>
      <c r="H362" s="169"/>
      <c r="I362" s="169"/>
      <c r="J362" s="169"/>
      <c r="K362" s="169"/>
      <c r="L362" s="169"/>
      <c r="M362" s="169"/>
      <c r="N362" s="169"/>
      <c r="O362" s="169"/>
      <c r="P362" s="169"/>
      <c r="Q362" s="169"/>
      <c r="R362" s="3"/>
      <c r="S362" s="3"/>
      <c r="T362" s="3"/>
      <c r="U362" s="3"/>
      <c r="V362" s="3"/>
      <c r="W362" s="3"/>
      <c r="X362" s="3"/>
      <c r="Y362" s="3"/>
      <c r="Z362" s="316" t="str">
        <f aca="false">IF(AF362&gt;0,RANK(AF362,AF$6:AF$422),"")</f>
        <v/>
      </c>
      <c r="AA362" s="134" t="n">
        <f aca="false">'O_MN, PE_UTA_UGM 2024'!N339</f>
        <v>4</v>
      </c>
      <c r="AB362" s="135" t="n">
        <f aca="false">'O_MN, PE_UTA_UGM 2024'!O339</f>
        <v>0</v>
      </c>
      <c r="AC362" s="317" t="n">
        <f aca="false">'O_MN, PE_UTA_UGM 2024'!C339</f>
        <v>420</v>
      </c>
      <c r="AD362" s="293" t="str">
        <f aca="false">IF(AB362=0,'O_MN, PE_UTA_UGM 2024'!F339,CONCATENATE('O_MN, PE_UTA_UGM 2024'!F339," ","INVERNADERO"))</f>
        <v>RUIBARBO</v>
      </c>
      <c r="AE362" s="89"/>
      <c r="AF362" s="123" t="n">
        <f aca="false">SUM(AG362:AH362)+SUM(AJ362:AK362)</f>
        <v>0</v>
      </c>
      <c r="AG362" s="318" t="n">
        <f aca="false">A349</f>
        <v>0</v>
      </c>
      <c r="AH362" s="319" t="n">
        <f aca="false">B349</f>
        <v>0</v>
      </c>
      <c r="AI362" s="6"/>
      <c r="AJ362" s="320" t="n">
        <f aca="false">C349</f>
        <v>0</v>
      </c>
      <c r="AK362" s="320" t="n">
        <f aca="false">D349</f>
        <v>0</v>
      </c>
      <c r="AL362" s="176"/>
      <c r="AM362" s="299" t="n">
        <f aca="false">'O_MN, PE_UTA_UGM 2024'!J339</f>
        <v>575</v>
      </c>
      <c r="AN362" s="299" t="n">
        <f aca="false">'O_MN, PE_UTA_UGM 2024'!K339</f>
        <v>5200</v>
      </c>
      <c r="AO362" s="300"/>
      <c r="AP362" s="299" t="n">
        <f aca="false">'O_MN, PE_UTA_UGM 2024'!H339</f>
        <v>360.61</v>
      </c>
      <c r="AQ362" s="299" t="n">
        <f aca="false">'O_MN, PE_UTA_UGM 2024'!I339</f>
        <v>1352.28</v>
      </c>
      <c r="AR362" s="301"/>
      <c r="AS362" s="302" t="n">
        <f aca="false">'O_MN, PE_UTA_UGM 2024'!L339</f>
        <v>0.0147</v>
      </c>
      <c r="AT362" s="302" t="n">
        <f aca="false">'O_MN, PE_UTA_UGM 2024'!M339</f>
        <v>0.05512</v>
      </c>
      <c r="AU362" s="3"/>
      <c r="AV362" s="321" t="n">
        <f aca="false">AG362*AM362</f>
        <v>0</v>
      </c>
      <c r="AW362" s="319" t="n">
        <f aca="false">AH362*AN362</f>
        <v>0</v>
      </c>
      <c r="AX362" s="320" t="n">
        <f aca="false">1.25*AJ362*AM362</f>
        <v>0</v>
      </c>
      <c r="AY362" s="322" t="n">
        <f aca="false">1.25*AK362*AN362</f>
        <v>0</v>
      </c>
      <c r="AZ362" s="323" t="n">
        <f aca="false">AG362*AP362</f>
        <v>0</v>
      </c>
      <c r="BA362" s="319" t="n">
        <f aca="false">AH362*AQ362</f>
        <v>0</v>
      </c>
      <c r="BB362" s="320" t="n">
        <f aca="false">1.25*AJ362*AP362</f>
        <v>0</v>
      </c>
      <c r="BC362" s="320" t="n">
        <f aca="false">1.25*AK362*AQ362</f>
        <v>0</v>
      </c>
      <c r="BD362" s="321" t="n">
        <f aca="false">AG362*AS362</f>
        <v>0</v>
      </c>
      <c r="BE362" s="319" t="n">
        <f aca="false">AH362*AT362</f>
        <v>0</v>
      </c>
      <c r="BF362" s="320" t="n">
        <f aca="false">AJ362*AS362</f>
        <v>0</v>
      </c>
      <c r="BG362" s="322" t="n">
        <f aca="false">AK362*AT362</f>
        <v>0</v>
      </c>
      <c r="BH362" s="324" t="str">
        <f aca="false">IF(BH$24=$AA362,($AG362*$AM362)+($AJ362*$AM362*1.25)+($AH362*$AN362)+($AK362*$AN362*1.25),"")</f>
        <v/>
      </c>
      <c r="BI362" s="325" t="str">
        <f aca="false">IF(BI$24=$AA362,($AG362*$AM362)+($AJ362*$AM362*1.25)+($AH362*$AN362)+($AK362*$AN362*1.25),"")</f>
        <v/>
      </c>
      <c r="BJ362" s="325" t="str">
        <f aca="false">IF(BJ$24=$AA362,($AG362*$AM362)+($AJ362*$AM362*1.25)+($AH362*$AN362)+($AK362*$AN362*1.25),"")</f>
        <v/>
      </c>
      <c r="BK362" s="325" t="n">
        <f aca="false">IF(BK$24=$AA362,($AG362*$AM362)+($AJ362*$AM362*1.25)+($AH362*$AN362)+($AK362*$AN362*1.25),"")</f>
        <v>0</v>
      </c>
      <c r="BL362" s="326" t="str">
        <f aca="false">IF(BL$24=$AA362,($AG362*$AM362)+($AJ362*$AM362*1.25)+($AH362*$AN362)+($AK362*$AN362*1.25),"")</f>
        <v/>
      </c>
      <c r="BM362" s="327" t="str">
        <f aca="false">IF(CONCATENATE(BH362,BI362,BJ362,BK362,BL362)="",1,"")</f>
        <v/>
      </c>
      <c r="BN362" s="328"/>
      <c r="BO362" s="328"/>
      <c r="BP362" s="328"/>
      <c r="BQ362" s="328"/>
      <c r="BR362" s="6"/>
      <c r="BS362" s="9"/>
      <c r="BT362" s="9"/>
      <c r="BU362" s="9"/>
      <c r="BV362" s="9"/>
    </row>
    <row r="363" customFormat="false" ht="15" hidden="false" customHeight="false" outlineLevel="0" collapsed="false">
      <c r="A363" s="228"/>
      <c r="B363" s="229"/>
      <c r="C363" s="230"/>
      <c r="D363" s="231"/>
      <c r="E363" s="223" t="str">
        <f aca="false">IF(SUM(A363:D363)&gt;0,SUM(A363:D363),"")</f>
        <v/>
      </c>
      <c r="F363" s="224" t="str">
        <f aca="false">AD376</f>
        <v>MEZCLA MAÍZ-SORGO</v>
      </c>
      <c r="G363" s="169"/>
      <c r="H363" s="169"/>
      <c r="I363" s="169"/>
      <c r="J363" s="169"/>
      <c r="K363" s="169"/>
      <c r="L363" s="169"/>
      <c r="M363" s="169"/>
      <c r="N363" s="169"/>
      <c r="O363" s="169"/>
      <c r="P363" s="169"/>
      <c r="Q363" s="169"/>
      <c r="R363" s="3"/>
      <c r="S363" s="3"/>
      <c r="T363" s="3"/>
      <c r="U363" s="3"/>
      <c r="V363" s="3"/>
      <c r="W363" s="3"/>
      <c r="X363" s="3"/>
      <c r="Y363" s="3"/>
      <c r="Z363" s="316" t="str">
        <f aca="false">IF(AF363&gt;0,RANK(AF363,AF$6:AF$422),"")</f>
        <v/>
      </c>
      <c r="AA363" s="134" t="n">
        <f aca="false">'O_MN, PE_UTA_UGM 2024'!N340</f>
        <v>4</v>
      </c>
      <c r="AB363" s="135" t="n">
        <f aca="false">'O_MN, PE_UTA_UGM 2024'!O340</f>
        <v>0</v>
      </c>
      <c r="AC363" s="317" t="n">
        <f aca="false">'O_MN, PE_UTA_UGM 2024'!C340</f>
        <v>427</v>
      </c>
      <c r="AD363" s="293" t="str">
        <f aca="false">IF(AB363=0,'O_MN, PE_UTA_UGM 2024'!F340,CONCATENATE('O_MN, PE_UTA_UGM 2024'!F340," ","INVERNADERO"))</f>
        <v>RÁBANO PICANTE</v>
      </c>
      <c r="AE363" s="89"/>
      <c r="AF363" s="123" t="n">
        <f aca="false">SUM(AG363:AH363)+SUM(AJ363:AK363)</f>
        <v>0</v>
      </c>
      <c r="AG363" s="318" t="n">
        <f aca="false">A350</f>
        <v>0</v>
      </c>
      <c r="AH363" s="319" t="n">
        <f aca="false">B350</f>
        <v>0</v>
      </c>
      <c r="AI363" s="6"/>
      <c r="AJ363" s="320" t="n">
        <f aca="false">C350</f>
        <v>0</v>
      </c>
      <c r="AK363" s="320" t="n">
        <f aca="false">D350</f>
        <v>0</v>
      </c>
      <c r="AL363" s="176"/>
      <c r="AM363" s="299" t="n">
        <f aca="false">'O_MN, PE_UTA_UGM 2024'!J340</f>
        <v>1000</v>
      </c>
      <c r="AN363" s="299" t="n">
        <f aca="false">'O_MN, PE_UTA_UGM 2024'!K340</f>
        <v>3800</v>
      </c>
      <c r="AO363" s="300"/>
      <c r="AP363" s="299" t="n">
        <f aca="false">'O_MN, PE_UTA_UGM 2024'!H340</f>
        <v>114.19</v>
      </c>
      <c r="AQ363" s="299" t="n">
        <f aca="false">'O_MN, PE_UTA_UGM 2024'!I340</f>
        <v>240.4</v>
      </c>
      <c r="AR363" s="301"/>
      <c r="AS363" s="302" t="n">
        <f aca="false">'O_MN, PE_UTA_UGM 2024'!L340</f>
        <v>0.00465</v>
      </c>
      <c r="AT363" s="302" t="n">
        <f aca="false">'O_MN, PE_UTA_UGM 2024'!M340</f>
        <v>0.0098</v>
      </c>
      <c r="AU363" s="3"/>
      <c r="AV363" s="321" t="n">
        <f aca="false">AG363*AM363</f>
        <v>0</v>
      </c>
      <c r="AW363" s="319" t="n">
        <f aca="false">AH363*AN363</f>
        <v>0</v>
      </c>
      <c r="AX363" s="320" t="n">
        <f aca="false">1.25*AJ363*AM363</f>
        <v>0</v>
      </c>
      <c r="AY363" s="322" t="n">
        <f aca="false">1.25*AK363*AN363</f>
        <v>0</v>
      </c>
      <c r="AZ363" s="323" t="n">
        <f aca="false">AG363*AP363</f>
        <v>0</v>
      </c>
      <c r="BA363" s="319" t="n">
        <f aca="false">AH363*AQ363</f>
        <v>0</v>
      </c>
      <c r="BB363" s="320" t="n">
        <f aca="false">1.25*AJ363*AP363</f>
        <v>0</v>
      </c>
      <c r="BC363" s="320" t="n">
        <f aca="false">1.25*AK363*AQ363</f>
        <v>0</v>
      </c>
      <c r="BD363" s="321" t="n">
        <f aca="false">AG363*AS363</f>
        <v>0</v>
      </c>
      <c r="BE363" s="319" t="n">
        <f aca="false">AH363*AT363</f>
        <v>0</v>
      </c>
      <c r="BF363" s="320" t="n">
        <f aca="false">AJ363*AS363</f>
        <v>0</v>
      </c>
      <c r="BG363" s="322" t="n">
        <f aca="false">AK363*AT363</f>
        <v>0</v>
      </c>
      <c r="BH363" s="324" t="str">
        <f aca="false">IF(BH$24=$AA363,($AG363*$AM363)+($AJ363*$AM363*1.25)+($AH363*$AN363)+($AK363*$AN363*1.25),"")</f>
        <v/>
      </c>
      <c r="BI363" s="325" t="str">
        <f aca="false">IF(BI$24=$AA363,($AG363*$AM363)+($AJ363*$AM363*1.25)+($AH363*$AN363)+($AK363*$AN363*1.25),"")</f>
        <v/>
      </c>
      <c r="BJ363" s="325" t="str">
        <f aca="false">IF(BJ$24=$AA363,($AG363*$AM363)+($AJ363*$AM363*1.25)+($AH363*$AN363)+($AK363*$AN363*1.25),"")</f>
        <v/>
      </c>
      <c r="BK363" s="325" t="n">
        <f aca="false">IF(BK$24=$AA363,($AG363*$AM363)+($AJ363*$AM363*1.25)+($AH363*$AN363)+($AK363*$AN363*1.25),"")</f>
        <v>0</v>
      </c>
      <c r="BL363" s="326" t="str">
        <f aca="false">IF(BL$24=$AA363,($AG363*$AM363)+($AJ363*$AM363*1.25)+($AH363*$AN363)+($AK363*$AN363*1.25),"")</f>
        <v/>
      </c>
      <c r="BM363" s="327" t="str">
        <f aca="false">IF(CONCATENATE(BH363,BI363,BJ363,BK363,BL363)="",1,"")</f>
        <v/>
      </c>
      <c r="BN363" s="328"/>
      <c r="BO363" s="328"/>
      <c r="BP363" s="328"/>
      <c r="BQ363" s="328"/>
      <c r="BR363" s="6"/>
      <c r="BS363" s="9"/>
      <c r="BT363" s="9"/>
      <c r="BU363" s="9"/>
      <c r="BV363" s="9"/>
    </row>
    <row r="364" customFormat="false" ht="15" hidden="false" customHeight="false" outlineLevel="0" collapsed="false">
      <c r="A364" s="228"/>
      <c r="B364" s="229"/>
      <c r="C364" s="230"/>
      <c r="D364" s="231"/>
      <c r="E364" s="223" t="str">
        <f aca="false">IF(SUM(A364:D364)&gt;0,SUM(A364:D364),"")</f>
        <v/>
      </c>
      <c r="F364" s="224" t="str">
        <f aca="false">AD377</f>
        <v>CAUPÍ</v>
      </c>
      <c r="G364" s="169"/>
      <c r="H364" s="169"/>
      <c r="I364" s="169"/>
      <c r="J364" s="169"/>
      <c r="K364" s="169"/>
      <c r="L364" s="169"/>
      <c r="M364" s="169"/>
      <c r="N364" s="169"/>
      <c r="O364" s="169"/>
      <c r="P364" s="169"/>
      <c r="Q364" s="169"/>
      <c r="R364" s="3"/>
      <c r="S364" s="3"/>
      <c r="T364" s="3"/>
      <c r="U364" s="3"/>
      <c r="V364" s="3"/>
      <c r="W364" s="3"/>
      <c r="X364" s="3"/>
      <c r="Y364" s="3"/>
      <c r="Z364" s="316" t="str">
        <f aca="false">IF(AF364&gt;0,RANK(AF364,AF$6:AF$422),"")</f>
        <v/>
      </c>
      <c r="AA364" s="134" t="n">
        <f aca="false">'O_MN, PE_UTA_UGM 2024'!N341</f>
        <v>4</v>
      </c>
      <c r="AB364" s="135" t="n">
        <f aca="false">'O_MN, PE_UTA_UGM 2024'!O341</f>
        <v>0</v>
      </c>
      <c r="AC364" s="317" t="n">
        <f aca="false">'O_MN, PE_UTA_UGM 2024'!C341</f>
        <v>428</v>
      </c>
      <c r="AD364" s="293" t="str">
        <f aca="false">IF(AB364=0,'O_MN, PE_UTA_UGM 2024'!F341,CONCATENATE('O_MN, PE_UTA_UGM 2024'!F341," ","INVERNADERO"))</f>
        <v>JUDÍA DE LIMA</v>
      </c>
      <c r="AE364" s="89"/>
      <c r="AF364" s="123" t="n">
        <f aca="false">SUM(AG364:AH364)+SUM(AJ364:AK364)</f>
        <v>0</v>
      </c>
      <c r="AG364" s="318" t="n">
        <f aca="false">A351</f>
        <v>0</v>
      </c>
      <c r="AH364" s="319" t="n">
        <f aca="false">B351</f>
        <v>0</v>
      </c>
      <c r="AI364" s="6"/>
      <c r="AJ364" s="320" t="n">
        <f aca="false">C351</f>
        <v>0</v>
      </c>
      <c r="AK364" s="320" t="n">
        <f aca="false">D351</f>
        <v>0</v>
      </c>
      <c r="AL364" s="176"/>
      <c r="AM364" s="299" t="n">
        <f aca="false">'O_MN, PE_UTA_UGM 2024'!J341</f>
        <v>350</v>
      </c>
      <c r="AN364" s="299" t="n">
        <f aca="false">'O_MN, PE_UTA_UGM 2024'!K341</f>
        <v>750</v>
      </c>
      <c r="AO364" s="300"/>
      <c r="AP364" s="299" t="n">
        <f aca="false">'O_MN, PE_UTA_UGM 2024'!H341</f>
        <v>114.19</v>
      </c>
      <c r="AQ364" s="299" t="n">
        <f aca="false">'O_MN, PE_UTA_UGM 2024'!I341</f>
        <v>240.4</v>
      </c>
      <c r="AR364" s="301"/>
      <c r="AS364" s="302" t="n">
        <f aca="false">'O_MN, PE_UTA_UGM 2024'!L341</f>
        <v>0.00465</v>
      </c>
      <c r="AT364" s="302" t="n">
        <f aca="false">'O_MN, PE_UTA_UGM 2024'!M341</f>
        <v>0.0098</v>
      </c>
      <c r="AU364" s="3"/>
      <c r="AV364" s="321" t="n">
        <f aca="false">AG364*AM364</f>
        <v>0</v>
      </c>
      <c r="AW364" s="319" t="n">
        <f aca="false">AH364*AN364</f>
        <v>0</v>
      </c>
      <c r="AX364" s="320" t="n">
        <f aca="false">1.25*AJ364*AM364</f>
        <v>0</v>
      </c>
      <c r="AY364" s="322" t="n">
        <f aca="false">1.25*AK364*AN364</f>
        <v>0</v>
      </c>
      <c r="AZ364" s="323" t="n">
        <f aca="false">AG364*AP364</f>
        <v>0</v>
      </c>
      <c r="BA364" s="319" t="n">
        <f aca="false">AH364*AQ364</f>
        <v>0</v>
      </c>
      <c r="BB364" s="320" t="n">
        <f aca="false">1.25*AJ364*AP364</f>
        <v>0</v>
      </c>
      <c r="BC364" s="320" t="n">
        <f aca="false">1.25*AK364*AQ364</f>
        <v>0</v>
      </c>
      <c r="BD364" s="321" t="n">
        <f aca="false">AG364*AS364</f>
        <v>0</v>
      </c>
      <c r="BE364" s="319" t="n">
        <f aca="false">AH364*AT364</f>
        <v>0</v>
      </c>
      <c r="BF364" s="320" t="n">
        <f aca="false">AJ364*AS364</f>
        <v>0</v>
      </c>
      <c r="BG364" s="322" t="n">
        <f aca="false">AK364*AT364</f>
        <v>0</v>
      </c>
      <c r="BH364" s="324" t="str">
        <f aca="false">IF(BH$24=$AA364,($AG364*$AM364)+($AJ364*$AM364*1.25)+($AH364*$AN364)+($AK364*$AN364*1.25),"")</f>
        <v/>
      </c>
      <c r="BI364" s="325" t="str">
        <f aca="false">IF(BI$24=$AA364,($AG364*$AM364)+($AJ364*$AM364*1.25)+($AH364*$AN364)+($AK364*$AN364*1.25),"")</f>
        <v/>
      </c>
      <c r="BJ364" s="325" t="str">
        <f aca="false">IF(BJ$24=$AA364,($AG364*$AM364)+($AJ364*$AM364*1.25)+($AH364*$AN364)+($AK364*$AN364*1.25),"")</f>
        <v/>
      </c>
      <c r="BK364" s="325" t="n">
        <f aca="false">IF(BK$24=$AA364,($AG364*$AM364)+($AJ364*$AM364*1.25)+($AH364*$AN364)+($AK364*$AN364*1.25),"")</f>
        <v>0</v>
      </c>
      <c r="BL364" s="326" t="str">
        <f aca="false">IF(BL$24=$AA364,($AG364*$AM364)+($AJ364*$AM364*1.25)+($AH364*$AN364)+($AK364*$AN364*1.25),"")</f>
        <v/>
      </c>
      <c r="BM364" s="327" t="str">
        <f aca="false">IF(CONCATENATE(BH364,BI364,BJ364,BK364,BL364)="",1,"")</f>
        <v/>
      </c>
      <c r="BN364" s="328"/>
      <c r="BO364" s="328"/>
      <c r="BP364" s="328"/>
      <c r="BQ364" s="328"/>
      <c r="BR364" s="6"/>
      <c r="BS364" s="9"/>
      <c r="BT364" s="9"/>
      <c r="BU364" s="9"/>
      <c r="BV364" s="9"/>
    </row>
    <row r="365" customFormat="false" ht="15" hidden="false" customHeight="false" outlineLevel="0" collapsed="false">
      <c r="A365" s="228"/>
      <c r="B365" s="229"/>
      <c r="C365" s="230"/>
      <c r="D365" s="231"/>
      <c r="E365" s="223" t="str">
        <f aca="false">IF(SUM(A365:D365)&gt;0,SUM(A365:D365),"")</f>
        <v/>
      </c>
      <c r="F365" s="224" t="str">
        <f aca="false">AD378</f>
        <v>MELILOTO AMARILLO</v>
      </c>
      <c r="G365" s="169"/>
      <c r="H365" s="169"/>
      <c r="I365" s="169"/>
      <c r="J365" s="169"/>
      <c r="K365" s="169"/>
      <c r="L365" s="169"/>
      <c r="M365" s="169"/>
      <c r="N365" s="169"/>
      <c r="O365" s="169"/>
      <c r="P365" s="169"/>
      <c r="Q365" s="169"/>
      <c r="R365" s="3"/>
      <c r="S365" s="3"/>
      <c r="T365" s="3"/>
      <c r="U365" s="3"/>
      <c r="V365" s="3"/>
      <c r="W365" s="3"/>
      <c r="X365" s="3"/>
      <c r="Y365" s="3"/>
      <c r="Z365" s="316" t="str">
        <f aca="false">IF(AF365&gt;0,RANK(AF365,AF$6:AF$422),"")</f>
        <v/>
      </c>
      <c r="AA365" s="134" t="n">
        <f aca="false">'O_MN, PE_UTA_UGM 2024'!N342</f>
        <v>4</v>
      </c>
      <c r="AB365" s="135" t="n">
        <f aca="false">'O_MN, PE_UTA_UGM 2024'!O342</f>
        <v>0</v>
      </c>
      <c r="AC365" s="317" t="n">
        <f aca="false">'O_MN, PE_UTA_UGM 2024'!C342</f>
        <v>445</v>
      </c>
      <c r="AD365" s="293" t="str">
        <f aca="false">IF(AB365=0,'O_MN, PE_UTA_UGM 2024'!F342,CONCATENATE('O_MN, PE_UTA_UGM 2024'!F342," ","INVERNADERO"))</f>
        <v>COL CRESPA</v>
      </c>
      <c r="AE365" s="89"/>
      <c r="AF365" s="123" t="n">
        <f aca="false">SUM(AG365:AH365)+SUM(AJ365:AK365)</f>
        <v>0</v>
      </c>
      <c r="AG365" s="318" t="n">
        <f aca="false">A352</f>
        <v>0</v>
      </c>
      <c r="AH365" s="319" t="n">
        <f aca="false">B352</f>
        <v>0</v>
      </c>
      <c r="AI365" s="6"/>
      <c r="AJ365" s="320" t="n">
        <f aca="false">C352</f>
        <v>0</v>
      </c>
      <c r="AK365" s="320" t="n">
        <f aca="false">D352</f>
        <v>0</v>
      </c>
      <c r="AL365" s="176"/>
      <c r="AM365" s="299" t="n">
        <f aca="false">'O_MN, PE_UTA_UGM 2024'!J342</f>
        <v>575</v>
      </c>
      <c r="AN365" s="299" t="n">
        <f aca="false">'O_MN, PE_UTA_UGM 2024'!K342</f>
        <v>5200</v>
      </c>
      <c r="AO365" s="300"/>
      <c r="AP365" s="299" t="n">
        <f aca="false">'O_MN, PE_UTA_UGM 2024'!H342</f>
        <v>360.61</v>
      </c>
      <c r="AQ365" s="299" t="n">
        <f aca="false">'O_MN, PE_UTA_UGM 2024'!I342</f>
        <v>1352.28</v>
      </c>
      <c r="AR365" s="301"/>
      <c r="AS365" s="302" t="n">
        <f aca="false">'O_MN, PE_UTA_UGM 2024'!L342</f>
        <v>0.0147</v>
      </c>
      <c r="AT365" s="302" t="n">
        <f aca="false">'O_MN, PE_UTA_UGM 2024'!M342</f>
        <v>0.05512</v>
      </c>
      <c r="AU365" s="3"/>
      <c r="AV365" s="321" t="n">
        <f aca="false">AG365*AM365</f>
        <v>0</v>
      </c>
      <c r="AW365" s="319" t="n">
        <f aca="false">AH365*AN365</f>
        <v>0</v>
      </c>
      <c r="AX365" s="320" t="n">
        <f aca="false">1.25*AJ365*AM365</f>
        <v>0</v>
      </c>
      <c r="AY365" s="322" t="n">
        <f aca="false">1.25*AK365*AN365</f>
        <v>0</v>
      </c>
      <c r="AZ365" s="323" t="n">
        <f aca="false">AG365*AP365</f>
        <v>0</v>
      </c>
      <c r="BA365" s="319" t="n">
        <f aca="false">AH365*AQ365</f>
        <v>0</v>
      </c>
      <c r="BB365" s="320" t="n">
        <f aca="false">1.25*AJ365*AP365</f>
        <v>0</v>
      </c>
      <c r="BC365" s="320" t="n">
        <f aca="false">1.25*AK365*AQ365</f>
        <v>0</v>
      </c>
      <c r="BD365" s="321" t="n">
        <f aca="false">AG365*AS365</f>
        <v>0</v>
      </c>
      <c r="BE365" s="319" t="n">
        <f aca="false">AH365*AT365</f>
        <v>0</v>
      </c>
      <c r="BF365" s="320" t="n">
        <f aca="false">AJ365*AS365</f>
        <v>0</v>
      </c>
      <c r="BG365" s="322" t="n">
        <f aca="false">AK365*AT365</f>
        <v>0</v>
      </c>
      <c r="BH365" s="324" t="str">
        <f aca="false">IF(BH$24=$AA365,($AG365*$AM365)+($AJ365*$AM365*1.25)+($AH365*$AN365)+($AK365*$AN365*1.25),"")</f>
        <v/>
      </c>
      <c r="BI365" s="325" t="str">
        <f aca="false">IF(BI$24=$AA365,($AG365*$AM365)+($AJ365*$AM365*1.25)+($AH365*$AN365)+($AK365*$AN365*1.25),"")</f>
        <v/>
      </c>
      <c r="BJ365" s="325" t="str">
        <f aca="false">IF(BJ$24=$AA365,($AG365*$AM365)+($AJ365*$AM365*1.25)+($AH365*$AN365)+($AK365*$AN365*1.25),"")</f>
        <v/>
      </c>
      <c r="BK365" s="325" t="n">
        <f aca="false">IF(BK$24=$AA365,($AG365*$AM365)+($AJ365*$AM365*1.25)+($AH365*$AN365)+($AK365*$AN365*1.25),"")</f>
        <v>0</v>
      </c>
      <c r="BL365" s="326" t="str">
        <f aca="false">IF(BL$24=$AA365,($AG365*$AM365)+($AJ365*$AM365*1.25)+($AH365*$AN365)+($AK365*$AN365*1.25),"")</f>
        <v/>
      </c>
      <c r="BM365" s="327" t="str">
        <f aca="false">IF(CONCATENATE(BH365,BI365,BJ365,BK365,BL365)="",1,"")</f>
        <v/>
      </c>
      <c r="BN365" s="328"/>
      <c r="BO365" s="328"/>
      <c r="BP365" s="328"/>
      <c r="BQ365" s="328"/>
      <c r="BR365" s="6"/>
      <c r="BS365" s="9"/>
      <c r="BT365" s="9"/>
      <c r="BU365" s="9"/>
      <c r="BV365" s="9"/>
    </row>
    <row r="366" customFormat="false" ht="15" hidden="false" customHeight="false" outlineLevel="0" collapsed="false">
      <c r="A366" s="228"/>
      <c r="B366" s="229"/>
      <c r="C366" s="230"/>
      <c r="D366" s="231"/>
      <c r="E366" s="223" t="str">
        <f aca="false">IF(SUM(A366:D366)&gt;0,SUM(A366:D366),"")</f>
        <v/>
      </c>
      <c r="F366" s="224" t="str">
        <f aca="false">AD379</f>
        <v>BRÓCOLI CHINO</v>
      </c>
      <c r="G366" s="169"/>
      <c r="H366" s="169"/>
      <c r="I366" s="169"/>
      <c r="J366" s="169"/>
      <c r="K366" s="169"/>
      <c r="L366" s="169"/>
      <c r="M366" s="169"/>
      <c r="N366" s="169"/>
      <c r="O366" s="169"/>
      <c r="P366" s="169"/>
      <c r="Q366" s="169"/>
      <c r="R366" s="3"/>
      <c r="S366" s="3"/>
      <c r="T366" s="3"/>
      <c r="U366" s="3"/>
      <c r="V366" s="3"/>
      <c r="W366" s="3"/>
      <c r="X366" s="3"/>
      <c r="Y366" s="3"/>
      <c r="Z366" s="316" t="str">
        <f aca="false">IF(AF366&gt;0,RANK(AF366,AF$6:AF$422),"")</f>
        <v/>
      </c>
      <c r="AA366" s="134" t="n">
        <f aca="false">'O_MN, PE_UTA_UGM 2024'!N343</f>
        <v>1</v>
      </c>
      <c r="AB366" s="135" t="n">
        <f aca="false">'O_MN, PE_UTA_UGM 2024'!O343</f>
        <v>0</v>
      </c>
      <c r="AC366" s="317" t="n">
        <f aca="false">'O_MN, PE_UTA_UGM 2024'!C343</f>
        <v>447</v>
      </c>
      <c r="AD366" s="293" t="str">
        <f aca="false">IF(AB366=0,'O_MN, PE_UTA_UGM 2024'!F343,CONCATENATE('O_MN, PE_UTA_UGM 2024'!F343," ","INVERNADERO"))</f>
        <v>MEZCLA CEREAL-RAYGRASS</v>
      </c>
      <c r="AE366" s="89"/>
      <c r="AF366" s="123" t="n">
        <f aca="false">SUM(AG366:AH366)+SUM(AJ366:AK366)</f>
        <v>0</v>
      </c>
      <c r="AG366" s="318" t="n">
        <f aca="false">A353</f>
        <v>0</v>
      </c>
      <c r="AH366" s="319" t="n">
        <f aca="false">B353</f>
        <v>0</v>
      </c>
      <c r="AI366" s="6"/>
      <c r="AJ366" s="320" t="n">
        <f aca="false">C353</f>
        <v>0</v>
      </c>
      <c r="AK366" s="320" t="n">
        <f aca="false">D353</f>
        <v>0</v>
      </c>
      <c r="AL366" s="176"/>
      <c r="AM366" s="299" t="n">
        <f aca="false">'O_MN, PE_UTA_UGM 2024'!J343</f>
        <v>400</v>
      </c>
      <c r="AN366" s="299" t="n">
        <f aca="false">'O_MN, PE_UTA_UGM 2024'!K343</f>
        <v>1000</v>
      </c>
      <c r="AO366" s="300"/>
      <c r="AP366" s="299" t="n">
        <f aca="false">'O_MN, PE_UTA_UGM 2024'!H343</f>
        <v>114.19</v>
      </c>
      <c r="AQ366" s="299" t="n">
        <f aca="false">'O_MN, PE_UTA_UGM 2024'!I343</f>
        <v>240.4</v>
      </c>
      <c r="AR366" s="301"/>
      <c r="AS366" s="302" t="n">
        <f aca="false">'O_MN, PE_UTA_UGM 2024'!L343</f>
        <v>0.00465</v>
      </c>
      <c r="AT366" s="302" t="n">
        <f aca="false">'O_MN, PE_UTA_UGM 2024'!M343</f>
        <v>0.0098</v>
      </c>
      <c r="AU366" s="3"/>
      <c r="AV366" s="321" t="n">
        <f aca="false">AG366*AM366</f>
        <v>0</v>
      </c>
      <c r="AW366" s="319" t="n">
        <f aca="false">AH366*AN366</f>
        <v>0</v>
      </c>
      <c r="AX366" s="320" t="n">
        <f aca="false">1.25*AJ366*AM366</f>
        <v>0</v>
      </c>
      <c r="AY366" s="322" t="n">
        <f aca="false">1.25*AK366*AN366</f>
        <v>0</v>
      </c>
      <c r="AZ366" s="323" t="n">
        <f aca="false">AG366*AP366</f>
        <v>0</v>
      </c>
      <c r="BA366" s="319" t="n">
        <f aca="false">AH366*AQ366</f>
        <v>0</v>
      </c>
      <c r="BB366" s="320" t="n">
        <f aca="false">1.25*AJ366*AP366</f>
        <v>0</v>
      </c>
      <c r="BC366" s="320" t="n">
        <f aca="false">1.25*AK366*AQ366</f>
        <v>0</v>
      </c>
      <c r="BD366" s="321" t="n">
        <f aca="false">AG366*AS366</f>
        <v>0</v>
      </c>
      <c r="BE366" s="319" t="n">
        <f aca="false">AH366*AT366</f>
        <v>0</v>
      </c>
      <c r="BF366" s="320" t="n">
        <f aca="false">AJ366*AS366</f>
        <v>0</v>
      </c>
      <c r="BG366" s="322" t="n">
        <f aca="false">AK366*AT366</f>
        <v>0</v>
      </c>
      <c r="BH366" s="324" t="n">
        <f aca="false">IF(BH$24=$AA366,($AG366*$AM366)+($AJ366*$AM366*1.25)+($AH366*$AN366)+($AK366*$AN366*1.25),"")</f>
        <v>0</v>
      </c>
      <c r="BI366" s="325" t="str">
        <f aca="false">IF(BI$24=$AA366,($AG366*$AM366)+($AJ366*$AM366*1.25)+($AH366*$AN366)+($AK366*$AN366*1.25),"")</f>
        <v/>
      </c>
      <c r="BJ366" s="325" t="str">
        <f aca="false">IF(BJ$24=$AA366,($AG366*$AM366)+($AJ366*$AM366*1.25)+($AH366*$AN366)+($AK366*$AN366*1.25),"")</f>
        <v/>
      </c>
      <c r="BK366" s="325" t="str">
        <f aca="false">IF(BK$24=$AA366,($AG366*$AM366)+($AJ366*$AM366*1.25)+($AH366*$AN366)+($AK366*$AN366*1.25),"")</f>
        <v/>
      </c>
      <c r="BL366" s="326" t="str">
        <f aca="false">IF(BL$24=$AA366,($AG366*$AM366)+($AJ366*$AM366*1.25)+($AH366*$AN366)+($AK366*$AN366*1.25),"")</f>
        <v/>
      </c>
      <c r="BM366" s="327" t="str">
        <f aca="false">IF(CONCATENATE(BH366,BI366,BJ366,BK366,BL366)="",1,"")</f>
        <v/>
      </c>
      <c r="BN366" s="328"/>
      <c r="BO366" s="328"/>
      <c r="BP366" s="328"/>
      <c r="BQ366" s="328"/>
      <c r="BR366" s="6"/>
      <c r="BS366" s="9"/>
      <c r="BT366" s="9"/>
      <c r="BU366" s="9"/>
      <c r="BV366" s="9"/>
    </row>
    <row r="367" customFormat="false" ht="15" hidden="false" customHeight="false" outlineLevel="0" collapsed="false">
      <c r="A367" s="228"/>
      <c r="B367" s="229"/>
      <c r="C367" s="230"/>
      <c r="D367" s="231"/>
      <c r="E367" s="223" t="str">
        <f aca="false">IF(SUM(A367:D367)&gt;0,SUM(A367:D367),"")</f>
        <v/>
      </c>
      <c r="F367" s="224" t="str">
        <f aca="false">AD380</f>
        <v>BATATA ACUÁTICA</v>
      </c>
      <c r="G367" s="169"/>
      <c r="H367" s="169"/>
      <c r="I367" s="169"/>
      <c r="J367" s="169"/>
      <c r="K367" s="169"/>
      <c r="L367" s="169"/>
      <c r="M367" s="169"/>
      <c r="N367" s="169"/>
      <c r="O367" s="169"/>
      <c r="P367" s="169"/>
      <c r="Q367" s="169"/>
      <c r="R367" s="3"/>
      <c r="S367" s="3"/>
      <c r="T367" s="3"/>
      <c r="U367" s="3"/>
      <c r="V367" s="3"/>
      <c r="W367" s="3"/>
      <c r="X367" s="3"/>
      <c r="Y367" s="3"/>
      <c r="Z367" s="316" t="str">
        <f aca="false">IF(AF367&gt;0,RANK(AF367,AF$6:AF$422),"")</f>
        <v/>
      </c>
      <c r="AA367" s="134" t="n">
        <f aca="false">'O_MN, PE_UTA_UGM 2024'!N344</f>
        <v>1</v>
      </c>
      <c r="AB367" s="135" t="n">
        <f aca="false">'O_MN, PE_UTA_UGM 2024'!O344</f>
        <v>0</v>
      </c>
      <c r="AC367" s="317" t="n">
        <f aca="false">'O_MN, PE_UTA_UGM 2024'!C344</f>
        <v>448</v>
      </c>
      <c r="AD367" s="293" t="str">
        <f aca="false">IF(AB367=0,'O_MN, PE_UTA_UGM 2024'!F344,CONCATENATE('O_MN, PE_UTA_UGM 2024'!F344," ","INVERNADERO"))</f>
        <v>MEZCLA AVENA-MAÍZ</v>
      </c>
      <c r="AE367" s="89"/>
      <c r="AF367" s="123" t="n">
        <f aca="false">SUM(AG367:AH367)+SUM(AJ367:AK367)</f>
        <v>0</v>
      </c>
      <c r="AG367" s="318" t="n">
        <f aca="false">A354</f>
        <v>0</v>
      </c>
      <c r="AH367" s="319" t="n">
        <f aca="false">B354</f>
        <v>0</v>
      </c>
      <c r="AI367" s="6"/>
      <c r="AJ367" s="320" t="n">
        <f aca="false">C354</f>
        <v>0</v>
      </c>
      <c r="AK367" s="320" t="n">
        <f aca="false">D354</f>
        <v>0</v>
      </c>
      <c r="AL367" s="176"/>
      <c r="AM367" s="299" t="n">
        <f aca="false">'O_MN, PE_UTA_UGM 2024'!J344</f>
        <v>400</v>
      </c>
      <c r="AN367" s="299" t="n">
        <f aca="false">'O_MN, PE_UTA_UGM 2024'!K344</f>
        <v>1000</v>
      </c>
      <c r="AO367" s="300"/>
      <c r="AP367" s="299" t="n">
        <f aca="false">'O_MN, PE_UTA_UGM 2024'!H344</f>
        <v>114.19</v>
      </c>
      <c r="AQ367" s="299" t="n">
        <f aca="false">'O_MN, PE_UTA_UGM 2024'!I344</f>
        <v>240.4</v>
      </c>
      <c r="AR367" s="301"/>
      <c r="AS367" s="302" t="n">
        <f aca="false">'O_MN, PE_UTA_UGM 2024'!L344</f>
        <v>0.00465</v>
      </c>
      <c r="AT367" s="302" t="n">
        <f aca="false">'O_MN, PE_UTA_UGM 2024'!M344</f>
        <v>0.0098</v>
      </c>
      <c r="AU367" s="3"/>
      <c r="AV367" s="321" t="n">
        <f aca="false">AG367*AM367</f>
        <v>0</v>
      </c>
      <c r="AW367" s="319" t="n">
        <f aca="false">AH367*AN367</f>
        <v>0</v>
      </c>
      <c r="AX367" s="320" t="n">
        <f aca="false">1.25*AJ367*AM367</f>
        <v>0</v>
      </c>
      <c r="AY367" s="322" t="n">
        <f aca="false">1.25*AK367*AN367</f>
        <v>0</v>
      </c>
      <c r="AZ367" s="323" t="n">
        <f aca="false">AG367*AP367</f>
        <v>0</v>
      </c>
      <c r="BA367" s="319" t="n">
        <f aca="false">AH367*AQ367</f>
        <v>0</v>
      </c>
      <c r="BB367" s="320" t="n">
        <f aca="false">1.25*AJ367*AP367</f>
        <v>0</v>
      </c>
      <c r="BC367" s="320" t="n">
        <f aca="false">1.25*AK367*AQ367</f>
        <v>0</v>
      </c>
      <c r="BD367" s="321" t="n">
        <f aca="false">AG367*AS367</f>
        <v>0</v>
      </c>
      <c r="BE367" s="319" t="n">
        <f aca="false">AH367*AT367</f>
        <v>0</v>
      </c>
      <c r="BF367" s="320" t="n">
        <f aca="false">AJ367*AS367</f>
        <v>0</v>
      </c>
      <c r="BG367" s="322" t="n">
        <f aca="false">AK367*AT367</f>
        <v>0</v>
      </c>
      <c r="BH367" s="324" t="n">
        <f aca="false">IF(BH$24=$AA367,($AG367*$AM367)+($AJ367*$AM367*1.25)+($AH367*$AN367)+($AK367*$AN367*1.25),"")</f>
        <v>0</v>
      </c>
      <c r="BI367" s="325" t="str">
        <f aca="false">IF(BI$24=$AA367,($AG367*$AM367)+($AJ367*$AM367*1.25)+($AH367*$AN367)+($AK367*$AN367*1.25),"")</f>
        <v/>
      </c>
      <c r="BJ367" s="325" t="str">
        <f aca="false">IF(BJ$24=$AA367,($AG367*$AM367)+($AJ367*$AM367*1.25)+($AH367*$AN367)+($AK367*$AN367*1.25),"")</f>
        <v/>
      </c>
      <c r="BK367" s="325" t="str">
        <f aca="false">IF(BK$24=$AA367,($AG367*$AM367)+($AJ367*$AM367*1.25)+($AH367*$AN367)+($AK367*$AN367*1.25),"")</f>
        <v/>
      </c>
      <c r="BL367" s="326" t="str">
        <f aca="false">IF(BL$24=$AA367,($AG367*$AM367)+($AJ367*$AM367*1.25)+($AH367*$AN367)+($AK367*$AN367*1.25),"")</f>
        <v/>
      </c>
      <c r="BM367" s="327" t="str">
        <f aca="false">IF(CONCATENATE(BH367,BI367,BJ367,BK367,BL367)="",1,"")</f>
        <v/>
      </c>
      <c r="BN367" s="328"/>
      <c r="BO367" s="328"/>
      <c r="BP367" s="328"/>
      <c r="BQ367" s="328"/>
      <c r="BR367" s="6"/>
      <c r="BS367" s="9"/>
      <c r="BT367" s="9"/>
      <c r="BU367" s="9"/>
      <c r="BV367" s="9"/>
    </row>
    <row r="368" customFormat="false" ht="15" hidden="false" customHeight="false" outlineLevel="0" collapsed="false">
      <c r="A368" s="228"/>
      <c r="B368" s="229"/>
      <c r="C368" s="230"/>
      <c r="D368" s="231"/>
      <c r="E368" s="223" t="str">
        <f aca="false">IF(SUM(A368:D368)&gt;0,SUM(A368:D368),"")</f>
        <v/>
      </c>
      <c r="F368" s="224" t="str">
        <f aca="false">AD381</f>
        <v>JUDÍA DE EGIPTO</v>
      </c>
      <c r="G368" s="169"/>
      <c r="H368" s="169"/>
      <c r="I368" s="169"/>
      <c r="J368" s="169"/>
      <c r="K368" s="169"/>
      <c r="L368" s="169"/>
      <c r="M368" s="169"/>
      <c r="N368" s="169"/>
      <c r="O368" s="169"/>
      <c r="P368" s="169"/>
      <c r="Q368" s="169"/>
      <c r="R368" s="3"/>
      <c r="S368" s="3"/>
      <c r="T368" s="3"/>
      <c r="U368" s="3"/>
      <c r="V368" s="3"/>
      <c r="W368" s="3"/>
      <c r="X368" s="3"/>
      <c r="Y368" s="3"/>
      <c r="Z368" s="316" t="str">
        <f aca="false">IF(AF368&gt;0,RANK(AF368,AF$6:AF$422),"")</f>
        <v/>
      </c>
      <c r="AA368" s="134" t="n">
        <f aca="false">'O_MN, PE_UTA_UGM 2024'!N345</f>
        <v>1</v>
      </c>
      <c r="AB368" s="135" t="n">
        <f aca="false">'O_MN, PE_UTA_UGM 2024'!O345</f>
        <v>0</v>
      </c>
      <c r="AC368" s="317" t="n">
        <f aca="false">'O_MN, PE_UTA_UGM 2024'!C345</f>
        <v>449</v>
      </c>
      <c r="AD368" s="293" t="str">
        <f aca="false">IF(AB368=0,'O_MN, PE_UTA_UGM 2024'!F345,CONCATENATE('O_MN, PE_UTA_UGM 2024'!F345," ","INVERNADERO"))</f>
        <v>MEZCLA HABA-VEZA</v>
      </c>
      <c r="AE368" s="89"/>
      <c r="AF368" s="123" t="n">
        <f aca="false">SUM(AG368:AH368)+SUM(AJ368:AK368)</f>
        <v>0</v>
      </c>
      <c r="AG368" s="318" t="n">
        <f aca="false">A355</f>
        <v>0</v>
      </c>
      <c r="AH368" s="319" t="n">
        <f aca="false">B355</f>
        <v>0</v>
      </c>
      <c r="AI368" s="6"/>
      <c r="AJ368" s="320" t="n">
        <f aca="false">C355</f>
        <v>0</v>
      </c>
      <c r="AK368" s="320" t="n">
        <f aca="false">D355</f>
        <v>0</v>
      </c>
      <c r="AL368" s="176"/>
      <c r="AM368" s="299" t="n">
        <f aca="false">'O_MN, PE_UTA_UGM 2024'!J345</f>
        <v>400</v>
      </c>
      <c r="AN368" s="299" t="n">
        <f aca="false">'O_MN, PE_UTA_UGM 2024'!K345</f>
        <v>1000</v>
      </c>
      <c r="AO368" s="300"/>
      <c r="AP368" s="299" t="n">
        <f aca="false">'O_MN, PE_UTA_UGM 2024'!H345</f>
        <v>114.19</v>
      </c>
      <c r="AQ368" s="299" t="n">
        <f aca="false">'O_MN, PE_UTA_UGM 2024'!I345</f>
        <v>240.4</v>
      </c>
      <c r="AR368" s="301"/>
      <c r="AS368" s="302" t="n">
        <f aca="false">'O_MN, PE_UTA_UGM 2024'!L345</f>
        <v>0.00465</v>
      </c>
      <c r="AT368" s="302" t="n">
        <f aca="false">'O_MN, PE_UTA_UGM 2024'!M345</f>
        <v>0.0098</v>
      </c>
      <c r="AU368" s="3"/>
      <c r="AV368" s="321" t="n">
        <f aca="false">AG368*AM368</f>
        <v>0</v>
      </c>
      <c r="AW368" s="319" t="n">
        <f aca="false">AH368*AN368</f>
        <v>0</v>
      </c>
      <c r="AX368" s="320" t="n">
        <f aca="false">1.25*AJ368*AM368</f>
        <v>0</v>
      </c>
      <c r="AY368" s="322" t="n">
        <f aca="false">1.25*AK368*AN368</f>
        <v>0</v>
      </c>
      <c r="AZ368" s="323" t="n">
        <f aca="false">AG368*AP368</f>
        <v>0</v>
      </c>
      <c r="BA368" s="319" t="n">
        <f aca="false">AH368*AQ368</f>
        <v>0</v>
      </c>
      <c r="BB368" s="320" t="n">
        <f aca="false">1.25*AJ368*AP368</f>
        <v>0</v>
      </c>
      <c r="BC368" s="320" t="n">
        <f aca="false">1.25*AK368*AQ368</f>
        <v>0</v>
      </c>
      <c r="BD368" s="321" t="n">
        <f aca="false">AG368*AS368</f>
        <v>0</v>
      </c>
      <c r="BE368" s="319" t="n">
        <f aca="false">AH368*AT368</f>
        <v>0</v>
      </c>
      <c r="BF368" s="320" t="n">
        <f aca="false">AJ368*AS368</f>
        <v>0</v>
      </c>
      <c r="BG368" s="322" t="n">
        <f aca="false">AK368*AT368</f>
        <v>0</v>
      </c>
      <c r="BH368" s="324" t="n">
        <f aca="false">IF(BH$24=$AA368,($AG368*$AM368)+($AJ368*$AM368*1.25)+($AH368*$AN368)+($AK368*$AN368*1.25),"")</f>
        <v>0</v>
      </c>
      <c r="BI368" s="325" t="str">
        <f aca="false">IF(BI$24=$AA368,($AG368*$AM368)+($AJ368*$AM368*1.25)+($AH368*$AN368)+($AK368*$AN368*1.25),"")</f>
        <v/>
      </c>
      <c r="BJ368" s="325" t="str">
        <f aca="false">IF(BJ$24=$AA368,($AG368*$AM368)+($AJ368*$AM368*1.25)+($AH368*$AN368)+($AK368*$AN368*1.25),"")</f>
        <v/>
      </c>
      <c r="BK368" s="325" t="str">
        <f aca="false">IF(BK$24=$AA368,($AG368*$AM368)+($AJ368*$AM368*1.25)+($AH368*$AN368)+($AK368*$AN368*1.25),"")</f>
        <v/>
      </c>
      <c r="BL368" s="326" t="str">
        <f aca="false">IF(BL$24=$AA368,($AG368*$AM368)+($AJ368*$AM368*1.25)+($AH368*$AN368)+($AK368*$AN368*1.25),"")</f>
        <v/>
      </c>
      <c r="BM368" s="327" t="str">
        <f aca="false">IF(CONCATENATE(BH368,BI368,BJ368,BK368,BL368)="",1,"")</f>
        <v/>
      </c>
      <c r="BN368" s="328"/>
      <c r="BO368" s="328"/>
      <c r="BP368" s="328"/>
      <c r="BQ368" s="328"/>
      <c r="BR368" s="6"/>
      <c r="BS368" s="9"/>
      <c r="BT368" s="9"/>
      <c r="BU368" s="9"/>
      <c r="BV368" s="9"/>
    </row>
    <row r="369" customFormat="false" ht="15" hidden="false" customHeight="false" outlineLevel="0" collapsed="false">
      <c r="A369" s="228"/>
      <c r="B369" s="229"/>
      <c r="C369" s="230"/>
      <c r="D369" s="231"/>
      <c r="E369" s="223" t="str">
        <f aca="false">IF(SUM(A369:D369)&gt;0,SUM(A369:D369),"")</f>
        <v/>
      </c>
      <c r="F369" s="224" t="str">
        <f aca="false">AD382</f>
        <v>COLINABO</v>
      </c>
      <c r="G369" s="169"/>
      <c r="H369" s="169"/>
      <c r="I369" s="169"/>
      <c r="J369" s="169"/>
      <c r="K369" s="169"/>
      <c r="L369" s="169"/>
      <c r="M369" s="169"/>
      <c r="N369" s="169"/>
      <c r="O369" s="169"/>
      <c r="P369" s="169"/>
      <c r="Q369" s="169"/>
      <c r="R369" s="3"/>
      <c r="S369" s="3"/>
      <c r="T369" s="3"/>
      <c r="U369" s="3"/>
      <c r="V369" s="3"/>
      <c r="W369" s="3"/>
      <c r="X369" s="3"/>
      <c r="Y369" s="3"/>
      <c r="Z369" s="316" t="str">
        <f aca="false">IF(AF369&gt;0,RANK(AF369,AF$6:AF$422),"")</f>
        <v/>
      </c>
      <c r="AA369" s="134" t="n">
        <f aca="false">'O_MN, PE_UTA_UGM 2024'!N346</f>
        <v>1</v>
      </c>
      <c r="AB369" s="135" t="n">
        <f aca="false">'O_MN, PE_UTA_UGM 2024'!O346</f>
        <v>0</v>
      </c>
      <c r="AC369" s="317" t="n">
        <f aca="false">'O_MN, PE_UTA_UGM 2024'!C346</f>
        <v>450</v>
      </c>
      <c r="AD369" s="293" t="str">
        <f aca="false">IF(AB369=0,'O_MN, PE_UTA_UGM 2024'!F346,CONCATENATE('O_MN, PE_UTA_UGM 2024'!F346," ","INVERNADERO"))</f>
        <v>MEZCLA CEBADA-TRIGO</v>
      </c>
      <c r="AE369" s="89"/>
      <c r="AF369" s="123" t="n">
        <f aca="false">SUM(AG369:AH369)+SUM(AJ369:AK369)</f>
        <v>0</v>
      </c>
      <c r="AG369" s="318" t="n">
        <f aca="false">A356</f>
        <v>0</v>
      </c>
      <c r="AH369" s="319" t="n">
        <f aca="false">B356</f>
        <v>0</v>
      </c>
      <c r="AI369" s="6"/>
      <c r="AJ369" s="320" t="n">
        <f aca="false">C356</f>
        <v>0</v>
      </c>
      <c r="AK369" s="320" t="n">
        <f aca="false">D356</f>
        <v>0</v>
      </c>
      <c r="AL369" s="176"/>
      <c r="AM369" s="299" t="n">
        <f aca="false">'O_MN, PE_UTA_UGM 2024'!J346</f>
        <v>400</v>
      </c>
      <c r="AN369" s="299" t="n">
        <f aca="false">'O_MN, PE_UTA_UGM 2024'!K346</f>
        <v>1000</v>
      </c>
      <c r="AO369" s="300"/>
      <c r="AP369" s="299" t="n">
        <f aca="false">'O_MN, PE_UTA_UGM 2024'!H346</f>
        <v>114.19</v>
      </c>
      <c r="AQ369" s="299" t="n">
        <f aca="false">'O_MN, PE_UTA_UGM 2024'!I346</f>
        <v>240.4</v>
      </c>
      <c r="AR369" s="301"/>
      <c r="AS369" s="302" t="n">
        <f aca="false">'O_MN, PE_UTA_UGM 2024'!L346</f>
        <v>0.00465</v>
      </c>
      <c r="AT369" s="302" t="n">
        <f aca="false">'O_MN, PE_UTA_UGM 2024'!M346</f>
        <v>0.0098</v>
      </c>
      <c r="AU369" s="3"/>
      <c r="AV369" s="321" t="n">
        <f aca="false">AG369*AM369</f>
        <v>0</v>
      </c>
      <c r="AW369" s="319" t="n">
        <f aca="false">AH369*AN369</f>
        <v>0</v>
      </c>
      <c r="AX369" s="320" t="n">
        <f aca="false">1.25*AJ369*AM369</f>
        <v>0</v>
      </c>
      <c r="AY369" s="322" t="n">
        <f aca="false">1.25*AK369*AN369</f>
        <v>0</v>
      </c>
      <c r="AZ369" s="323" t="n">
        <f aca="false">AG369*AP369</f>
        <v>0</v>
      </c>
      <c r="BA369" s="319" t="n">
        <f aca="false">AH369*AQ369</f>
        <v>0</v>
      </c>
      <c r="BB369" s="320" t="n">
        <f aca="false">1.25*AJ369*AP369</f>
        <v>0</v>
      </c>
      <c r="BC369" s="320" t="n">
        <f aca="false">1.25*AK369*AQ369</f>
        <v>0</v>
      </c>
      <c r="BD369" s="321" t="n">
        <f aca="false">AG369*AS369</f>
        <v>0</v>
      </c>
      <c r="BE369" s="319" t="n">
        <f aca="false">AH369*AT369</f>
        <v>0</v>
      </c>
      <c r="BF369" s="320" t="n">
        <f aca="false">AJ369*AS369</f>
        <v>0</v>
      </c>
      <c r="BG369" s="322" t="n">
        <f aca="false">AK369*AT369</f>
        <v>0</v>
      </c>
      <c r="BH369" s="324" t="n">
        <f aca="false">IF(BH$24=$AA369,($AG369*$AM369)+($AJ369*$AM369*1.25)+($AH369*$AN369)+($AK369*$AN369*1.25),"")</f>
        <v>0</v>
      </c>
      <c r="BI369" s="325" t="str">
        <f aca="false">IF(BI$24=$AA369,($AG369*$AM369)+($AJ369*$AM369*1.25)+($AH369*$AN369)+($AK369*$AN369*1.25),"")</f>
        <v/>
      </c>
      <c r="BJ369" s="325" t="str">
        <f aca="false">IF(BJ$24=$AA369,($AG369*$AM369)+($AJ369*$AM369*1.25)+($AH369*$AN369)+($AK369*$AN369*1.25),"")</f>
        <v/>
      </c>
      <c r="BK369" s="325" t="str">
        <f aca="false">IF(BK$24=$AA369,($AG369*$AM369)+($AJ369*$AM369*1.25)+($AH369*$AN369)+($AK369*$AN369*1.25),"")</f>
        <v/>
      </c>
      <c r="BL369" s="326" t="str">
        <f aca="false">IF(BL$24=$AA369,($AG369*$AM369)+($AJ369*$AM369*1.25)+($AH369*$AN369)+($AK369*$AN369*1.25),"")</f>
        <v/>
      </c>
      <c r="BM369" s="327" t="str">
        <f aca="false">IF(CONCATENATE(BH369,BI369,BJ369,BK369,BL369)="",1,"")</f>
        <v/>
      </c>
      <c r="BN369" s="328"/>
      <c r="BO369" s="328"/>
      <c r="BP369" s="328"/>
      <c r="BQ369" s="328"/>
      <c r="BR369" s="6"/>
      <c r="BS369" s="9"/>
      <c r="BT369" s="9"/>
      <c r="BU369" s="9"/>
      <c r="BV369" s="9"/>
    </row>
    <row r="370" customFormat="false" ht="15" hidden="false" customHeight="false" outlineLevel="0" collapsed="false">
      <c r="A370" s="228"/>
      <c r="B370" s="229"/>
      <c r="C370" s="230"/>
      <c r="D370" s="231"/>
      <c r="E370" s="223" t="str">
        <f aca="false">IF(SUM(A370:D370)&gt;0,SUM(A370:D370),"")</f>
        <v/>
      </c>
      <c r="F370" s="224" t="str">
        <f aca="false">AD383</f>
        <v>VEZA VELLOSA</v>
      </c>
      <c r="G370" s="169"/>
      <c r="H370" s="169"/>
      <c r="I370" s="169"/>
      <c r="J370" s="169"/>
      <c r="K370" s="169"/>
      <c r="L370" s="169"/>
      <c r="M370" s="169"/>
      <c r="N370" s="169"/>
      <c r="O370" s="169"/>
      <c r="P370" s="169"/>
      <c r="Q370" s="169"/>
      <c r="R370" s="3"/>
      <c r="S370" s="3"/>
      <c r="T370" s="3"/>
      <c r="U370" s="3"/>
      <c r="V370" s="3"/>
      <c r="W370" s="3"/>
      <c r="X370" s="3"/>
      <c r="Y370" s="3"/>
      <c r="Z370" s="316" t="str">
        <f aca="false">IF(AF370&gt;0,RANK(AF370,AF$6:AF$422),"")</f>
        <v/>
      </c>
      <c r="AA370" s="134" t="n">
        <f aca="false">'O_MN, PE_UTA_UGM 2024'!N347</f>
        <v>1</v>
      </c>
      <c r="AB370" s="135" t="n">
        <f aca="false">'O_MN, PE_UTA_UGM 2024'!O347</f>
        <v>0</v>
      </c>
      <c r="AC370" s="317" t="n">
        <f aca="false">'O_MN, PE_UTA_UGM 2024'!C347</f>
        <v>451</v>
      </c>
      <c r="AD370" s="293" t="str">
        <f aca="false">IF(AB370=0,'O_MN, PE_UTA_UGM 2024'!F347,CONCATENATE('O_MN, PE_UTA_UGM 2024'!F347," ","INVERNADERO"))</f>
        <v>MEZCLA CENTENO-TRIGO</v>
      </c>
      <c r="AE370" s="89"/>
      <c r="AF370" s="123" t="n">
        <f aca="false">SUM(AG370:AH370)+SUM(AJ370:AK370)</f>
        <v>0</v>
      </c>
      <c r="AG370" s="318" t="n">
        <f aca="false">A357</f>
        <v>0</v>
      </c>
      <c r="AH370" s="319" t="n">
        <f aca="false">B357</f>
        <v>0</v>
      </c>
      <c r="AI370" s="6"/>
      <c r="AJ370" s="320" t="n">
        <f aca="false">C357</f>
        <v>0</v>
      </c>
      <c r="AK370" s="320" t="n">
        <f aca="false">D357</f>
        <v>0</v>
      </c>
      <c r="AL370" s="176"/>
      <c r="AM370" s="299" t="n">
        <f aca="false">'O_MN, PE_UTA_UGM 2024'!J347</f>
        <v>400</v>
      </c>
      <c r="AN370" s="299" t="n">
        <f aca="false">'O_MN, PE_UTA_UGM 2024'!K347</f>
        <v>1000</v>
      </c>
      <c r="AO370" s="300"/>
      <c r="AP370" s="299" t="n">
        <f aca="false">'O_MN, PE_UTA_UGM 2024'!H347</f>
        <v>114.19</v>
      </c>
      <c r="AQ370" s="299" t="n">
        <f aca="false">'O_MN, PE_UTA_UGM 2024'!I347</f>
        <v>240.4</v>
      </c>
      <c r="AR370" s="301"/>
      <c r="AS370" s="302" t="n">
        <f aca="false">'O_MN, PE_UTA_UGM 2024'!L347</f>
        <v>0.00465</v>
      </c>
      <c r="AT370" s="302" t="n">
        <f aca="false">'O_MN, PE_UTA_UGM 2024'!M347</f>
        <v>0.0098</v>
      </c>
      <c r="AU370" s="3"/>
      <c r="AV370" s="321" t="n">
        <f aca="false">AG370*AM370</f>
        <v>0</v>
      </c>
      <c r="AW370" s="319" t="n">
        <f aca="false">AH370*AN370</f>
        <v>0</v>
      </c>
      <c r="AX370" s="320" t="n">
        <f aca="false">1.25*AJ370*AM370</f>
        <v>0</v>
      </c>
      <c r="AY370" s="322" t="n">
        <f aca="false">1.25*AK370*AN370</f>
        <v>0</v>
      </c>
      <c r="AZ370" s="323" t="n">
        <f aca="false">AG370*AP370</f>
        <v>0</v>
      </c>
      <c r="BA370" s="319" t="n">
        <f aca="false">AH370*AQ370</f>
        <v>0</v>
      </c>
      <c r="BB370" s="320" t="n">
        <f aca="false">1.25*AJ370*AP370</f>
        <v>0</v>
      </c>
      <c r="BC370" s="320" t="n">
        <f aca="false">1.25*AK370*AQ370</f>
        <v>0</v>
      </c>
      <c r="BD370" s="321" t="n">
        <f aca="false">AG370*AS370</f>
        <v>0</v>
      </c>
      <c r="BE370" s="319" t="n">
        <f aca="false">AH370*AT370</f>
        <v>0</v>
      </c>
      <c r="BF370" s="320" t="n">
        <f aca="false">AJ370*AS370</f>
        <v>0</v>
      </c>
      <c r="BG370" s="322" t="n">
        <f aca="false">AK370*AT370</f>
        <v>0</v>
      </c>
      <c r="BH370" s="324" t="n">
        <f aca="false">IF(BH$24=$AA370,($AG370*$AM370)+($AJ370*$AM370*1.25)+($AH370*$AN370)+($AK370*$AN370*1.25),"")</f>
        <v>0</v>
      </c>
      <c r="BI370" s="325" t="str">
        <f aca="false">IF(BI$24=$AA370,($AG370*$AM370)+($AJ370*$AM370*1.25)+($AH370*$AN370)+($AK370*$AN370*1.25),"")</f>
        <v/>
      </c>
      <c r="BJ370" s="325" t="str">
        <f aca="false">IF(BJ$24=$AA370,($AG370*$AM370)+($AJ370*$AM370*1.25)+($AH370*$AN370)+($AK370*$AN370*1.25),"")</f>
        <v/>
      </c>
      <c r="BK370" s="325" t="str">
        <f aca="false">IF(BK$24=$AA370,($AG370*$AM370)+($AJ370*$AM370*1.25)+($AH370*$AN370)+($AK370*$AN370*1.25),"")</f>
        <v/>
      </c>
      <c r="BL370" s="326" t="str">
        <f aca="false">IF(BL$24=$AA370,($AG370*$AM370)+($AJ370*$AM370*1.25)+($AH370*$AN370)+($AK370*$AN370*1.25),"")</f>
        <v/>
      </c>
      <c r="BM370" s="327" t="str">
        <f aca="false">IF(CONCATENATE(BH370,BI370,BJ370,BK370,BL370)="",1,"")</f>
        <v/>
      </c>
      <c r="BN370" s="328"/>
      <c r="BO370" s="328"/>
      <c r="BP370" s="328"/>
      <c r="BQ370" s="328"/>
      <c r="BR370" s="6"/>
      <c r="BS370" s="9"/>
      <c r="BT370" s="9"/>
      <c r="BU370" s="9"/>
      <c r="BV370" s="9"/>
    </row>
    <row r="371" customFormat="false" ht="15" hidden="false" customHeight="false" outlineLevel="0" collapsed="false">
      <c r="A371" s="228"/>
      <c r="B371" s="229"/>
      <c r="C371" s="230"/>
      <c r="D371" s="231"/>
      <c r="E371" s="223" t="str">
        <f aca="false">IF(SUM(A371:D371)&gt;0,SUM(A371:D371),"")</f>
        <v/>
      </c>
      <c r="F371" s="224" t="str">
        <f aca="false">AD384</f>
        <v>ALVERJA HÚNGARA</v>
      </c>
      <c r="G371" s="169"/>
      <c r="H371" s="169"/>
      <c r="I371" s="169"/>
      <c r="J371" s="169"/>
      <c r="K371" s="169"/>
      <c r="L371" s="169"/>
      <c r="M371" s="169"/>
      <c r="N371" s="169"/>
      <c r="O371" s="169"/>
      <c r="P371" s="169"/>
      <c r="Q371" s="169"/>
      <c r="R371" s="3"/>
      <c r="S371" s="3"/>
      <c r="T371" s="3"/>
      <c r="U371" s="3"/>
      <c r="V371" s="3"/>
      <c r="W371" s="3"/>
      <c r="X371" s="3"/>
      <c r="Y371" s="3"/>
      <c r="Z371" s="316" t="str">
        <f aca="false">IF(AF371&gt;0,RANK(AF371,AF$6:AF$422),"")</f>
        <v/>
      </c>
      <c r="AA371" s="134" t="n">
        <f aca="false">'O_MN, PE_UTA_UGM 2024'!N348</f>
        <v>1</v>
      </c>
      <c r="AB371" s="135" t="n">
        <f aca="false">'O_MN, PE_UTA_UGM 2024'!O348</f>
        <v>0</v>
      </c>
      <c r="AC371" s="317" t="n">
        <f aca="false">'O_MN, PE_UTA_UGM 2024'!C348</f>
        <v>452</v>
      </c>
      <c r="AD371" s="293" t="str">
        <f aca="false">IF(AB371=0,'O_MN, PE_UTA_UGM 2024'!F348,CONCATENATE('O_MN, PE_UTA_UGM 2024'!F348," ","INVERNADERO"))</f>
        <v>MEZCLA AVENA-MAÍZ-VEZA</v>
      </c>
      <c r="AE371" s="89"/>
      <c r="AF371" s="123" t="n">
        <f aca="false">SUM(AG371:AH371)+SUM(AJ371:AK371)</f>
        <v>0</v>
      </c>
      <c r="AG371" s="318" t="n">
        <f aca="false">A358</f>
        <v>0</v>
      </c>
      <c r="AH371" s="319" t="n">
        <f aca="false">B358</f>
        <v>0</v>
      </c>
      <c r="AI371" s="6"/>
      <c r="AJ371" s="320" t="n">
        <f aca="false">C358</f>
        <v>0</v>
      </c>
      <c r="AK371" s="320" t="n">
        <f aca="false">D358</f>
        <v>0</v>
      </c>
      <c r="AL371" s="176"/>
      <c r="AM371" s="299" t="n">
        <f aca="false">'O_MN, PE_UTA_UGM 2024'!J348</f>
        <v>400</v>
      </c>
      <c r="AN371" s="299" t="n">
        <f aca="false">'O_MN, PE_UTA_UGM 2024'!K348</f>
        <v>1000</v>
      </c>
      <c r="AO371" s="300"/>
      <c r="AP371" s="299" t="n">
        <f aca="false">'O_MN, PE_UTA_UGM 2024'!H348</f>
        <v>114.19</v>
      </c>
      <c r="AQ371" s="299" t="n">
        <f aca="false">'O_MN, PE_UTA_UGM 2024'!I348</f>
        <v>240.4</v>
      </c>
      <c r="AR371" s="301"/>
      <c r="AS371" s="302" t="n">
        <f aca="false">'O_MN, PE_UTA_UGM 2024'!L348</f>
        <v>0.00465</v>
      </c>
      <c r="AT371" s="302" t="n">
        <f aca="false">'O_MN, PE_UTA_UGM 2024'!M348</f>
        <v>0.0098</v>
      </c>
      <c r="AU371" s="3"/>
      <c r="AV371" s="321" t="n">
        <f aca="false">AG371*AM371</f>
        <v>0</v>
      </c>
      <c r="AW371" s="319" t="n">
        <f aca="false">AH371*AN371</f>
        <v>0</v>
      </c>
      <c r="AX371" s="320" t="n">
        <f aca="false">1.25*AJ371*AM371</f>
        <v>0</v>
      </c>
      <c r="AY371" s="322" t="n">
        <f aca="false">1.25*AK371*AN371</f>
        <v>0</v>
      </c>
      <c r="AZ371" s="323" t="n">
        <f aca="false">AG371*AP371</f>
        <v>0</v>
      </c>
      <c r="BA371" s="319" t="n">
        <f aca="false">AH371*AQ371</f>
        <v>0</v>
      </c>
      <c r="BB371" s="320" t="n">
        <f aca="false">1.25*AJ371*AP371</f>
        <v>0</v>
      </c>
      <c r="BC371" s="320" t="n">
        <f aca="false">1.25*AK371*AQ371</f>
        <v>0</v>
      </c>
      <c r="BD371" s="321" t="n">
        <f aca="false">AG371*AS371</f>
        <v>0</v>
      </c>
      <c r="BE371" s="319" t="n">
        <f aca="false">AH371*AT371</f>
        <v>0</v>
      </c>
      <c r="BF371" s="320" t="n">
        <f aca="false">AJ371*AS371</f>
        <v>0</v>
      </c>
      <c r="BG371" s="322" t="n">
        <f aca="false">AK371*AT371</f>
        <v>0</v>
      </c>
      <c r="BH371" s="324" t="n">
        <f aca="false">IF(BH$24=$AA371,($AG371*$AM371)+($AJ371*$AM371*1.25)+($AH371*$AN371)+($AK371*$AN371*1.25),"")</f>
        <v>0</v>
      </c>
      <c r="BI371" s="325" t="str">
        <f aca="false">IF(BI$24=$AA371,($AG371*$AM371)+($AJ371*$AM371*1.25)+($AH371*$AN371)+($AK371*$AN371*1.25),"")</f>
        <v/>
      </c>
      <c r="BJ371" s="325" t="str">
        <f aca="false">IF(BJ$24=$AA371,($AG371*$AM371)+($AJ371*$AM371*1.25)+($AH371*$AN371)+($AK371*$AN371*1.25),"")</f>
        <v/>
      </c>
      <c r="BK371" s="325" t="str">
        <f aca="false">IF(BK$24=$AA371,($AG371*$AM371)+($AJ371*$AM371*1.25)+($AH371*$AN371)+($AK371*$AN371*1.25),"")</f>
        <v/>
      </c>
      <c r="BL371" s="326" t="str">
        <f aca="false">IF(BL$24=$AA371,($AG371*$AM371)+($AJ371*$AM371*1.25)+($AH371*$AN371)+($AK371*$AN371*1.25),"")</f>
        <v/>
      </c>
      <c r="BM371" s="327" t="str">
        <f aca="false">IF(CONCATENATE(BH371,BI371,BJ371,BK371,BL371)="",1,"")</f>
        <v/>
      </c>
      <c r="BN371" s="328"/>
      <c r="BO371" s="328"/>
      <c r="BP371" s="328"/>
      <c r="BQ371" s="328"/>
      <c r="BR371" s="6"/>
      <c r="BS371" s="9"/>
      <c r="BT371" s="9"/>
      <c r="BU371" s="9"/>
      <c r="BV371" s="9"/>
    </row>
    <row r="372" customFormat="false" ht="15" hidden="false" customHeight="false" outlineLevel="0" collapsed="false">
      <c r="A372" s="228"/>
      <c r="B372" s="229"/>
      <c r="C372" s="230"/>
      <c r="D372" s="231"/>
      <c r="E372" s="223" t="str">
        <f aca="false">IF(SUM(A372:D372)&gt;0,SUM(A372:D372),"")</f>
        <v/>
      </c>
      <c r="F372" s="224" t="str">
        <f aca="false">AD385</f>
        <v>MEZCLA RAYGRASS-TREBOL</v>
      </c>
      <c r="G372" s="169"/>
      <c r="H372" s="169"/>
      <c r="I372" s="169"/>
      <c r="J372" s="169"/>
      <c r="K372" s="169"/>
      <c r="L372" s="169"/>
      <c r="M372" s="169"/>
      <c r="N372" s="169"/>
      <c r="O372" s="169"/>
      <c r="P372" s="169"/>
      <c r="Q372" s="169"/>
      <c r="R372" s="3"/>
      <c r="S372" s="3"/>
      <c r="T372" s="3"/>
      <c r="U372" s="3"/>
      <c r="V372" s="3"/>
      <c r="W372" s="3"/>
      <c r="X372" s="3"/>
      <c r="Y372" s="3"/>
      <c r="Z372" s="316" t="str">
        <f aca="false">IF(AF372&gt;0,RANK(AF372,AF$6:AF$422),"")</f>
        <v/>
      </c>
      <c r="AA372" s="134" t="n">
        <f aca="false">'O_MN, PE_UTA_UGM 2024'!N349</f>
        <v>1</v>
      </c>
      <c r="AB372" s="135" t="n">
        <f aca="false">'O_MN, PE_UTA_UGM 2024'!O349</f>
        <v>0</v>
      </c>
      <c r="AC372" s="317" t="n">
        <f aca="false">'O_MN, PE_UTA_UGM 2024'!C349</f>
        <v>453</v>
      </c>
      <c r="AD372" s="293" t="str">
        <f aca="false">IF(AB372=0,'O_MN, PE_UTA_UGM 2024'!F349,CONCATENATE('O_MN, PE_UTA_UGM 2024'!F349," ","INVERNADERO"))</f>
        <v>MEZCLA CEBADA-MAÍZ-VEZA</v>
      </c>
      <c r="AE372" s="89"/>
      <c r="AF372" s="123" t="n">
        <f aca="false">SUM(AG372:AH372)+SUM(AJ372:AK372)</f>
        <v>0</v>
      </c>
      <c r="AG372" s="318" t="n">
        <f aca="false">A359</f>
        <v>0</v>
      </c>
      <c r="AH372" s="319" t="n">
        <f aca="false">B359</f>
        <v>0</v>
      </c>
      <c r="AI372" s="6"/>
      <c r="AJ372" s="320" t="n">
        <f aca="false">C359</f>
        <v>0</v>
      </c>
      <c r="AK372" s="320" t="n">
        <f aca="false">D359</f>
        <v>0</v>
      </c>
      <c r="AL372" s="176"/>
      <c r="AM372" s="299" t="n">
        <f aca="false">'O_MN, PE_UTA_UGM 2024'!J349</f>
        <v>400</v>
      </c>
      <c r="AN372" s="299" t="n">
        <f aca="false">'O_MN, PE_UTA_UGM 2024'!K349</f>
        <v>1000</v>
      </c>
      <c r="AO372" s="300"/>
      <c r="AP372" s="299" t="n">
        <f aca="false">'O_MN, PE_UTA_UGM 2024'!H349</f>
        <v>114.19</v>
      </c>
      <c r="AQ372" s="299" t="n">
        <f aca="false">'O_MN, PE_UTA_UGM 2024'!I349</f>
        <v>240.4</v>
      </c>
      <c r="AR372" s="301"/>
      <c r="AS372" s="302" t="n">
        <f aca="false">'O_MN, PE_UTA_UGM 2024'!L349</f>
        <v>0.00465</v>
      </c>
      <c r="AT372" s="302" t="n">
        <f aca="false">'O_MN, PE_UTA_UGM 2024'!M349</f>
        <v>0.0098</v>
      </c>
      <c r="AU372" s="3"/>
      <c r="AV372" s="321" t="n">
        <f aca="false">AG372*AM372</f>
        <v>0</v>
      </c>
      <c r="AW372" s="319" t="n">
        <f aca="false">AH372*AN372</f>
        <v>0</v>
      </c>
      <c r="AX372" s="320" t="n">
        <f aca="false">1.25*AJ372*AM372</f>
        <v>0</v>
      </c>
      <c r="AY372" s="322" t="n">
        <f aca="false">1.25*AK372*AN372</f>
        <v>0</v>
      </c>
      <c r="AZ372" s="323" t="n">
        <f aca="false">AG372*AP372</f>
        <v>0</v>
      </c>
      <c r="BA372" s="319" t="n">
        <f aca="false">AH372*AQ372</f>
        <v>0</v>
      </c>
      <c r="BB372" s="320" t="n">
        <f aca="false">1.25*AJ372*AP372</f>
        <v>0</v>
      </c>
      <c r="BC372" s="320" t="n">
        <f aca="false">1.25*AK372*AQ372</f>
        <v>0</v>
      </c>
      <c r="BD372" s="321" t="n">
        <f aca="false">AG372*AS372</f>
        <v>0</v>
      </c>
      <c r="BE372" s="319" t="n">
        <f aca="false">AH372*AT372</f>
        <v>0</v>
      </c>
      <c r="BF372" s="320" t="n">
        <f aca="false">AJ372*AS372</f>
        <v>0</v>
      </c>
      <c r="BG372" s="322" t="n">
        <f aca="false">AK372*AT372</f>
        <v>0</v>
      </c>
      <c r="BH372" s="324" t="n">
        <f aca="false">IF(BH$24=$AA372,($AG372*$AM372)+($AJ372*$AM372*1.25)+($AH372*$AN372)+($AK372*$AN372*1.25),"")</f>
        <v>0</v>
      </c>
      <c r="BI372" s="325" t="str">
        <f aca="false">IF(BI$24=$AA372,($AG372*$AM372)+($AJ372*$AM372*1.25)+($AH372*$AN372)+($AK372*$AN372*1.25),"")</f>
        <v/>
      </c>
      <c r="BJ372" s="325" t="str">
        <f aca="false">IF(BJ$24=$AA372,($AG372*$AM372)+($AJ372*$AM372*1.25)+($AH372*$AN372)+($AK372*$AN372*1.25),"")</f>
        <v/>
      </c>
      <c r="BK372" s="325" t="str">
        <f aca="false">IF(BK$24=$AA372,($AG372*$AM372)+($AJ372*$AM372*1.25)+($AH372*$AN372)+($AK372*$AN372*1.25),"")</f>
        <v/>
      </c>
      <c r="BL372" s="326" t="str">
        <f aca="false">IF(BL$24=$AA372,($AG372*$AM372)+($AJ372*$AM372*1.25)+($AH372*$AN372)+($AK372*$AN372*1.25),"")</f>
        <v/>
      </c>
      <c r="BM372" s="327" t="str">
        <f aca="false">IF(CONCATENATE(BH372,BI372,BJ372,BK372,BL372)="",1,"")</f>
        <v/>
      </c>
      <c r="BN372" s="328"/>
      <c r="BO372" s="328"/>
      <c r="BP372" s="328"/>
      <c r="BQ372" s="328"/>
      <c r="BR372" s="6"/>
      <c r="BS372" s="9"/>
      <c r="BT372" s="9"/>
      <c r="BU372" s="9"/>
      <c r="BV372" s="9"/>
    </row>
    <row r="373" customFormat="false" ht="15" hidden="false" customHeight="false" outlineLevel="0" collapsed="false">
      <c r="A373" s="228"/>
      <c r="B373" s="229"/>
      <c r="C373" s="230"/>
      <c r="D373" s="231"/>
      <c r="E373" s="223" t="str">
        <f aca="false">IF(SUM(A373:D373)&gt;0,SUM(A373:D373),"")</f>
        <v/>
      </c>
      <c r="F373" s="224" t="str">
        <f aca="false">AD386</f>
        <v>CROTALARIA JUNCEA</v>
      </c>
      <c r="G373" s="169"/>
      <c r="H373" s="169"/>
      <c r="I373" s="169"/>
      <c r="J373" s="169"/>
      <c r="K373" s="169"/>
      <c r="L373" s="169"/>
      <c r="M373" s="169"/>
      <c r="N373" s="169"/>
      <c r="O373" s="169"/>
      <c r="P373" s="169"/>
      <c r="Q373" s="169"/>
      <c r="R373" s="3"/>
      <c r="S373" s="3"/>
      <c r="T373" s="3"/>
      <c r="U373" s="3"/>
      <c r="V373" s="3"/>
      <c r="W373" s="3"/>
      <c r="X373" s="3"/>
      <c r="Y373" s="3"/>
      <c r="Z373" s="316" t="str">
        <f aca="false">IF(AF373&gt;0,RANK(AF373,AF$6:AF$422),"")</f>
        <v/>
      </c>
      <c r="AA373" s="134" t="n">
        <f aca="false">'O_MN, PE_UTA_UGM 2024'!N350</f>
        <v>1</v>
      </c>
      <c r="AB373" s="135" t="n">
        <f aca="false">'O_MN, PE_UTA_UGM 2024'!O350</f>
        <v>0</v>
      </c>
      <c r="AC373" s="317" t="n">
        <f aca="false">'O_MN, PE_UTA_UGM 2024'!C350</f>
        <v>454</v>
      </c>
      <c r="AD373" s="293" t="str">
        <f aca="false">IF(AB373=0,'O_MN, PE_UTA_UGM 2024'!F350,CONCATENATE('O_MN, PE_UTA_UGM 2024'!F350," ","INVERNADERO"))</f>
        <v>MEZCLA ALTRAMUZ-AVENA</v>
      </c>
      <c r="AE373" s="89"/>
      <c r="AF373" s="123" t="n">
        <f aca="false">SUM(AG373:AH373)+SUM(AJ373:AK373)</f>
        <v>0</v>
      </c>
      <c r="AG373" s="318" t="n">
        <f aca="false">A360</f>
        <v>0</v>
      </c>
      <c r="AH373" s="319" t="n">
        <f aca="false">B360</f>
        <v>0</v>
      </c>
      <c r="AI373" s="6"/>
      <c r="AJ373" s="320" t="n">
        <f aca="false">C360</f>
        <v>0</v>
      </c>
      <c r="AK373" s="320" t="n">
        <f aca="false">D360</f>
        <v>0</v>
      </c>
      <c r="AL373" s="176"/>
      <c r="AM373" s="299" t="n">
        <f aca="false">'O_MN, PE_UTA_UGM 2024'!J350</f>
        <v>400</v>
      </c>
      <c r="AN373" s="299" t="n">
        <f aca="false">'O_MN, PE_UTA_UGM 2024'!K350</f>
        <v>1000</v>
      </c>
      <c r="AO373" s="300"/>
      <c r="AP373" s="299" t="n">
        <f aca="false">'O_MN, PE_UTA_UGM 2024'!H350</f>
        <v>114.19</v>
      </c>
      <c r="AQ373" s="299" t="n">
        <f aca="false">'O_MN, PE_UTA_UGM 2024'!I350</f>
        <v>240.4</v>
      </c>
      <c r="AR373" s="301"/>
      <c r="AS373" s="302" t="n">
        <f aca="false">'O_MN, PE_UTA_UGM 2024'!L350</f>
        <v>0.00465</v>
      </c>
      <c r="AT373" s="302" t="n">
        <f aca="false">'O_MN, PE_UTA_UGM 2024'!M350</f>
        <v>0.0098</v>
      </c>
      <c r="AU373" s="3"/>
      <c r="AV373" s="321" t="n">
        <f aca="false">AG373*AM373</f>
        <v>0</v>
      </c>
      <c r="AW373" s="319" t="n">
        <f aca="false">AH373*AN373</f>
        <v>0</v>
      </c>
      <c r="AX373" s="320" t="n">
        <f aca="false">1.25*AJ373*AM373</f>
        <v>0</v>
      </c>
      <c r="AY373" s="322" t="n">
        <f aca="false">1.25*AK373*AN373</f>
        <v>0</v>
      </c>
      <c r="AZ373" s="323" t="n">
        <f aca="false">AG373*AP373</f>
        <v>0</v>
      </c>
      <c r="BA373" s="319" t="n">
        <f aca="false">AH373*AQ373</f>
        <v>0</v>
      </c>
      <c r="BB373" s="320" t="n">
        <f aca="false">1.25*AJ373*AP373</f>
        <v>0</v>
      </c>
      <c r="BC373" s="320" t="n">
        <f aca="false">1.25*AK373*AQ373</f>
        <v>0</v>
      </c>
      <c r="BD373" s="321" t="n">
        <f aca="false">AG373*AS373</f>
        <v>0</v>
      </c>
      <c r="BE373" s="319" t="n">
        <f aca="false">AH373*AT373</f>
        <v>0</v>
      </c>
      <c r="BF373" s="320" t="n">
        <f aca="false">AJ373*AS373</f>
        <v>0</v>
      </c>
      <c r="BG373" s="322" t="n">
        <f aca="false">AK373*AT373</f>
        <v>0</v>
      </c>
      <c r="BH373" s="324" t="n">
        <f aca="false">IF(BH$24=$AA373,($AG373*$AM373)+($AJ373*$AM373*1.25)+($AH373*$AN373)+($AK373*$AN373*1.25),"")</f>
        <v>0</v>
      </c>
      <c r="BI373" s="325" t="str">
        <f aca="false">IF(BI$24=$AA373,($AG373*$AM373)+($AJ373*$AM373*1.25)+($AH373*$AN373)+($AK373*$AN373*1.25),"")</f>
        <v/>
      </c>
      <c r="BJ373" s="325" t="str">
        <f aca="false">IF(BJ$24=$AA373,($AG373*$AM373)+($AJ373*$AM373*1.25)+($AH373*$AN373)+($AK373*$AN373*1.25),"")</f>
        <v/>
      </c>
      <c r="BK373" s="325" t="str">
        <f aca="false">IF(BK$24=$AA373,($AG373*$AM373)+($AJ373*$AM373*1.25)+($AH373*$AN373)+($AK373*$AN373*1.25),"")</f>
        <v/>
      </c>
      <c r="BL373" s="326" t="str">
        <f aca="false">IF(BL$24=$AA373,($AG373*$AM373)+($AJ373*$AM373*1.25)+($AH373*$AN373)+($AK373*$AN373*1.25),"")</f>
        <v/>
      </c>
      <c r="BM373" s="327" t="str">
        <f aca="false">IF(CONCATENATE(BH373,BI373,BJ373,BK373,BL373)="",1,"")</f>
        <v/>
      </c>
      <c r="BN373" s="328"/>
      <c r="BO373" s="328"/>
      <c r="BP373" s="328"/>
      <c r="BQ373" s="328"/>
      <c r="BR373" s="6"/>
      <c r="BS373" s="9"/>
      <c r="BT373" s="9"/>
      <c r="BU373" s="9"/>
      <c r="BV373" s="9"/>
    </row>
    <row r="374" customFormat="false" ht="15" hidden="false" customHeight="false" outlineLevel="0" collapsed="false">
      <c r="A374" s="228"/>
      <c r="B374" s="229"/>
      <c r="C374" s="230"/>
      <c r="D374" s="231"/>
      <c r="E374" s="223" t="str">
        <f aca="false">IF(SUM(A374:D374)&gt;0,SUM(A374:D374),"")</f>
        <v/>
      </c>
      <c r="F374" s="224" t="str">
        <f aca="false">AD387</f>
        <v>LIMA</v>
      </c>
      <c r="G374" s="169"/>
      <c r="H374" s="169"/>
      <c r="I374" s="169"/>
      <c r="J374" s="169"/>
      <c r="K374" s="169"/>
      <c r="L374" s="169"/>
      <c r="M374" s="169"/>
      <c r="N374" s="169"/>
      <c r="O374" s="169"/>
      <c r="P374" s="169"/>
      <c r="Q374" s="169"/>
      <c r="R374" s="3"/>
      <c r="S374" s="3"/>
      <c r="T374" s="3"/>
      <c r="U374" s="3"/>
      <c r="V374" s="3"/>
      <c r="W374" s="3"/>
      <c r="X374" s="3"/>
      <c r="Y374" s="3"/>
      <c r="Z374" s="316" t="str">
        <f aca="false">IF(AF374&gt;0,RANK(AF374,AF$6:AF$422),"")</f>
        <v/>
      </c>
      <c r="AA374" s="134" t="n">
        <f aca="false">'O_MN, PE_UTA_UGM 2024'!N351</f>
        <v>1</v>
      </c>
      <c r="AB374" s="135" t="n">
        <f aca="false">'O_MN, PE_UTA_UGM 2024'!O351</f>
        <v>0</v>
      </c>
      <c r="AC374" s="317" t="n">
        <f aca="false">'O_MN, PE_UTA_UGM 2024'!C351</f>
        <v>455</v>
      </c>
      <c r="AD374" s="293" t="str">
        <f aca="false">IF(AB374=0,'O_MN, PE_UTA_UGM 2024'!F351,CONCATENATE('O_MN, PE_UTA_UGM 2024'!F351," ","INVERNADERO"))</f>
        <v>MEZCLA AVENA-CENTENO</v>
      </c>
      <c r="AE374" s="89"/>
      <c r="AF374" s="123" t="n">
        <f aca="false">SUM(AG374:AH374)+SUM(AJ374:AK374)</f>
        <v>0</v>
      </c>
      <c r="AG374" s="318" t="n">
        <f aca="false">A361</f>
        <v>0</v>
      </c>
      <c r="AH374" s="319" t="n">
        <f aca="false">B361</f>
        <v>0</v>
      </c>
      <c r="AI374" s="6"/>
      <c r="AJ374" s="320" t="n">
        <f aca="false">C361</f>
        <v>0</v>
      </c>
      <c r="AK374" s="320" t="n">
        <f aca="false">D361</f>
        <v>0</v>
      </c>
      <c r="AL374" s="176"/>
      <c r="AM374" s="299" t="n">
        <f aca="false">'O_MN, PE_UTA_UGM 2024'!J351</f>
        <v>400</v>
      </c>
      <c r="AN374" s="299" t="n">
        <f aca="false">'O_MN, PE_UTA_UGM 2024'!K351</f>
        <v>1000</v>
      </c>
      <c r="AO374" s="300"/>
      <c r="AP374" s="299" t="n">
        <f aca="false">'O_MN, PE_UTA_UGM 2024'!H351</f>
        <v>114.19</v>
      </c>
      <c r="AQ374" s="299" t="n">
        <f aca="false">'O_MN, PE_UTA_UGM 2024'!I351</f>
        <v>240.4</v>
      </c>
      <c r="AR374" s="301"/>
      <c r="AS374" s="302" t="n">
        <f aca="false">'O_MN, PE_UTA_UGM 2024'!L351</f>
        <v>0.00465</v>
      </c>
      <c r="AT374" s="302" t="n">
        <f aca="false">'O_MN, PE_UTA_UGM 2024'!M351</f>
        <v>0.0098</v>
      </c>
      <c r="AU374" s="3"/>
      <c r="AV374" s="321" t="n">
        <f aca="false">AG374*AM374</f>
        <v>0</v>
      </c>
      <c r="AW374" s="319" t="n">
        <f aca="false">AH374*AN374</f>
        <v>0</v>
      </c>
      <c r="AX374" s="320" t="n">
        <f aca="false">1.25*AJ374*AM374</f>
        <v>0</v>
      </c>
      <c r="AY374" s="322" t="n">
        <f aca="false">1.25*AK374*AN374</f>
        <v>0</v>
      </c>
      <c r="AZ374" s="323" t="n">
        <f aca="false">AG374*AP374</f>
        <v>0</v>
      </c>
      <c r="BA374" s="319" t="n">
        <f aca="false">AH374*AQ374</f>
        <v>0</v>
      </c>
      <c r="BB374" s="320" t="n">
        <f aca="false">1.25*AJ374*AP374</f>
        <v>0</v>
      </c>
      <c r="BC374" s="320" t="n">
        <f aca="false">1.25*AK374*AQ374</f>
        <v>0</v>
      </c>
      <c r="BD374" s="321" t="n">
        <f aca="false">AG374*AS374</f>
        <v>0</v>
      </c>
      <c r="BE374" s="319" t="n">
        <f aca="false">AH374*AT374</f>
        <v>0</v>
      </c>
      <c r="BF374" s="320" t="n">
        <f aca="false">AJ374*AS374</f>
        <v>0</v>
      </c>
      <c r="BG374" s="322" t="n">
        <f aca="false">AK374*AT374</f>
        <v>0</v>
      </c>
      <c r="BH374" s="324" t="n">
        <f aca="false">IF(BH$24=$AA374,($AG374*$AM374)+($AJ374*$AM374*1.25)+($AH374*$AN374)+($AK374*$AN374*1.25),"")</f>
        <v>0</v>
      </c>
      <c r="BI374" s="325" t="str">
        <f aca="false">IF(BI$24=$AA374,($AG374*$AM374)+($AJ374*$AM374*1.25)+($AH374*$AN374)+($AK374*$AN374*1.25),"")</f>
        <v/>
      </c>
      <c r="BJ374" s="325" t="str">
        <f aca="false">IF(BJ$24=$AA374,($AG374*$AM374)+($AJ374*$AM374*1.25)+($AH374*$AN374)+($AK374*$AN374*1.25),"")</f>
        <v/>
      </c>
      <c r="BK374" s="325" t="str">
        <f aca="false">IF(BK$24=$AA374,($AG374*$AM374)+($AJ374*$AM374*1.25)+($AH374*$AN374)+($AK374*$AN374*1.25),"")</f>
        <v/>
      </c>
      <c r="BL374" s="326" t="str">
        <f aca="false">IF(BL$24=$AA374,($AG374*$AM374)+($AJ374*$AM374*1.25)+($AH374*$AN374)+($AK374*$AN374*1.25),"")</f>
        <v/>
      </c>
      <c r="BM374" s="327" t="str">
        <f aca="false">IF(CONCATENATE(BH374,BI374,BJ374,BK374,BL374)="",1,"")</f>
        <v/>
      </c>
      <c r="BN374" s="328"/>
      <c r="BO374" s="328"/>
      <c r="BP374" s="328"/>
      <c r="BQ374" s="328"/>
      <c r="BR374" s="6"/>
      <c r="BS374" s="9"/>
      <c r="BT374" s="9"/>
      <c r="BU374" s="9"/>
      <c r="BV374" s="9"/>
    </row>
    <row r="375" customFormat="false" ht="15" hidden="false" customHeight="false" outlineLevel="0" collapsed="false">
      <c r="A375" s="228"/>
      <c r="B375" s="229"/>
      <c r="C375" s="230"/>
      <c r="D375" s="231"/>
      <c r="E375" s="223" t="str">
        <f aca="false">IF(SUM(A375:D375)&gt;0,SUM(A375:D375),"")</f>
        <v/>
      </c>
      <c r="F375" s="224" t="str">
        <f aca="false">AD388</f>
        <v>KALE</v>
      </c>
      <c r="G375" s="169"/>
      <c r="H375" s="169"/>
      <c r="I375" s="169"/>
      <c r="J375" s="169"/>
      <c r="K375" s="169"/>
      <c r="L375" s="169"/>
      <c r="M375" s="169"/>
      <c r="N375" s="169"/>
      <c r="O375" s="169"/>
      <c r="P375" s="169"/>
      <c r="Q375" s="169"/>
      <c r="R375" s="3"/>
      <c r="S375" s="3"/>
      <c r="T375" s="3"/>
      <c r="U375" s="3"/>
      <c r="V375" s="3"/>
      <c r="W375" s="3"/>
      <c r="X375" s="3"/>
      <c r="Y375" s="3"/>
      <c r="Z375" s="316" t="str">
        <f aca="false">IF(AF375&gt;0,RANK(AF375,AF$6:AF$422),"")</f>
        <v/>
      </c>
      <c r="AA375" s="134" t="n">
        <f aca="false">'O_MN, PE_UTA_UGM 2024'!N352</f>
        <v>1</v>
      </c>
      <c r="AB375" s="135" t="n">
        <f aca="false">'O_MN, PE_UTA_UGM 2024'!O352</f>
        <v>0</v>
      </c>
      <c r="AC375" s="317" t="n">
        <f aca="false">'O_MN, PE_UTA_UGM 2024'!C352</f>
        <v>456</v>
      </c>
      <c r="AD375" s="293" t="str">
        <f aca="false">IF(AB375=0,'O_MN, PE_UTA_UGM 2024'!F352,CONCATENATE('O_MN, PE_UTA_UGM 2024'!F352," ","INVERNADERO"))</f>
        <v>MEZCLA CENTENO-MAÍZ</v>
      </c>
      <c r="AE375" s="89"/>
      <c r="AF375" s="123" t="n">
        <f aca="false">SUM(AG375:AH375)+SUM(AJ375:AK375)</f>
        <v>0</v>
      </c>
      <c r="AG375" s="318" t="n">
        <f aca="false">A362</f>
        <v>0</v>
      </c>
      <c r="AH375" s="319" t="n">
        <f aca="false">B362</f>
        <v>0</v>
      </c>
      <c r="AI375" s="6"/>
      <c r="AJ375" s="320" t="n">
        <f aca="false">C362</f>
        <v>0</v>
      </c>
      <c r="AK375" s="320" t="n">
        <f aca="false">D362</f>
        <v>0</v>
      </c>
      <c r="AL375" s="176"/>
      <c r="AM375" s="299" t="n">
        <f aca="false">'O_MN, PE_UTA_UGM 2024'!J352</f>
        <v>400</v>
      </c>
      <c r="AN375" s="299" t="n">
        <f aca="false">'O_MN, PE_UTA_UGM 2024'!K352</f>
        <v>1000</v>
      </c>
      <c r="AO375" s="300"/>
      <c r="AP375" s="299" t="n">
        <f aca="false">'O_MN, PE_UTA_UGM 2024'!H352</f>
        <v>114.19</v>
      </c>
      <c r="AQ375" s="299" t="n">
        <f aca="false">'O_MN, PE_UTA_UGM 2024'!I352</f>
        <v>240.4</v>
      </c>
      <c r="AR375" s="301"/>
      <c r="AS375" s="302" t="n">
        <f aca="false">'O_MN, PE_UTA_UGM 2024'!L352</f>
        <v>0.00465</v>
      </c>
      <c r="AT375" s="302" t="n">
        <f aca="false">'O_MN, PE_UTA_UGM 2024'!M352</f>
        <v>0.0098</v>
      </c>
      <c r="AU375" s="3"/>
      <c r="AV375" s="321" t="n">
        <f aca="false">AG375*AM375</f>
        <v>0</v>
      </c>
      <c r="AW375" s="319" t="n">
        <f aca="false">AH375*AN375</f>
        <v>0</v>
      </c>
      <c r="AX375" s="320" t="n">
        <f aca="false">1.25*AJ375*AM375</f>
        <v>0</v>
      </c>
      <c r="AY375" s="322" t="n">
        <f aca="false">1.25*AK375*AN375</f>
        <v>0</v>
      </c>
      <c r="AZ375" s="323" t="n">
        <f aca="false">AG375*AP375</f>
        <v>0</v>
      </c>
      <c r="BA375" s="319" t="n">
        <f aca="false">AH375*AQ375</f>
        <v>0</v>
      </c>
      <c r="BB375" s="320" t="n">
        <f aca="false">1.25*AJ375*AP375</f>
        <v>0</v>
      </c>
      <c r="BC375" s="320" t="n">
        <f aca="false">1.25*AK375*AQ375</f>
        <v>0</v>
      </c>
      <c r="BD375" s="321" t="n">
        <f aca="false">AG375*AS375</f>
        <v>0</v>
      </c>
      <c r="BE375" s="319" t="n">
        <f aca="false">AH375*AT375</f>
        <v>0</v>
      </c>
      <c r="BF375" s="320" t="n">
        <f aca="false">AJ375*AS375</f>
        <v>0</v>
      </c>
      <c r="BG375" s="322" t="n">
        <f aca="false">AK375*AT375</f>
        <v>0</v>
      </c>
      <c r="BH375" s="324" t="n">
        <f aca="false">IF(BH$24=$AA375,($AG375*$AM375)+($AJ375*$AM375*1.25)+($AH375*$AN375)+($AK375*$AN375*1.25),"")</f>
        <v>0</v>
      </c>
      <c r="BI375" s="325" t="str">
        <f aca="false">IF(BI$24=$AA375,($AG375*$AM375)+($AJ375*$AM375*1.25)+($AH375*$AN375)+($AK375*$AN375*1.25),"")</f>
        <v/>
      </c>
      <c r="BJ375" s="325" t="str">
        <f aca="false">IF(BJ$24=$AA375,($AG375*$AM375)+($AJ375*$AM375*1.25)+($AH375*$AN375)+($AK375*$AN375*1.25),"")</f>
        <v/>
      </c>
      <c r="BK375" s="325" t="str">
        <f aca="false">IF(BK$24=$AA375,($AG375*$AM375)+($AJ375*$AM375*1.25)+($AH375*$AN375)+($AK375*$AN375*1.25),"")</f>
        <v/>
      </c>
      <c r="BL375" s="326" t="str">
        <f aca="false">IF(BL$24=$AA375,($AG375*$AM375)+($AJ375*$AM375*1.25)+($AH375*$AN375)+($AK375*$AN375*1.25),"")</f>
        <v/>
      </c>
      <c r="BM375" s="327" t="str">
        <f aca="false">IF(CONCATENATE(BH375,BI375,BJ375,BK375,BL375)="",1,"")</f>
        <v/>
      </c>
      <c r="BN375" s="328"/>
      <c r="BO375" s="328"/>
      <c r="BP375" s="328"/>
      <c r="BQ375" s="328"/>
      <c r="BR375" s="6"/>
      <c r="BS375" s="9"/>
      <c r="BT375" s="9"/>
      <c r="BU375" s="9"/>
      <c r="BV375" s="9"/>
    </row>
    <row r="376" customFormat="false" ht="15" hidden="false" customHeight="false" outlineLevel="0" collapsed="false">
      <c r="A376" s="228"/>
      <c r="B376" s="229"/>
      <c r="C376" s="230"/>
      <c r="D376" s="231"/>
      <c r="E376" s="223" t="str">
        <f aca="false">IF(SUM(A376:D376)&gt;0,SUM(A376:D376),"")</f>
        <v/>
      </c>
      <c r="F376" s="224" t="str">
        <f aca="false">AD389</f>
        <v>OKRA</v>
      </c>
      <c r="G376" s="169"/>
      <c r="H376" s="169"/>
      <c r="I376" s="169"/>
      <c r="J376" s="169"/>
      <c r="K376" s="169"/>
      <c r="L376" s="169"/>
      <c r="M376" s="169"/>
      <c r="N376" s="169"/>
      <c r="O376" s="169"/>
      <c r="P376" s="169"/>
      <c r="Q376" s="169"/>
      <c r="R376" s="3"/>
      <c r="S376" s="3"/>
      <c r="T376" s="3"/>
      <c r="U376" s="3"/>
      <c r="V376" s="3"/>
      <c r="W376" s="3"/>
      <c r="X376" s="3"/>
      <c r="Y376" s="3"/>
      <c r="Z376" s="316" t="str">
        <f aca="false">IF(AF376&gt;0,RANK(AF376,AF$6:AF$422),"")</f>
        <v/>
      </c>
      <c r="AA376" s="134" t="n">
        <f aca="false">'O_MN, PE_UTA_UGM 2024'!N353</f>
        <v>1</v>
      </c>
      <c r="AB376" s="135" t="n">
        <f aca="false">'O_MN, PE_UTA_UGM 2024'!O353</f>
        <v>0</v>
      </c>
      <c r="AC376" s="317" t="n">
        <f aca="false">'O_MN, PE_UTA_UGM 2024'!C353</f>
        <v>457</v>
      </c>
      <c r="AD376" s="293" t="str">
        <f aca="false">IF(AB376=0,'O_MN, PE_UTA_UGM 2024'!F353,CONCATENATE('O_MN, PE_UTA_UGM 2024'!F353," ","INVERNADERO"))</f>
        <v>MEZCLA MAÍZ-SORGO</v>
      </c>
      <c r="AE376" s="89"/>
      <c r="AF376" s="123" t="n">
        <f aca="false">SUM(AG376:AH376)+SUM(AJ376:AK376)</f>
        <v>0</v>
      </c>
      <c r="AG376" s="318" t="n">
        <f aca="false">A363</f>
        <v>0</v>
      </c>
      <c r="AH376" s="319" t="n">
        <f aca="false">B363</f>
        <v>0</v>
      </c>
      <c r="AI376" s="6"/>
      <c r="AJ376" s="320" t="n">
        <f aca="false">C363</f>
        <v>0</v>
      </c>
      <c r="AK376" s="320" t="n">
        <f aca="false">D363</f>
        <v>0</v>
      </c>
      <c r="AL376" s="176"/>
      <c r="AM376" s="299" t="n">
        <f aca="false">'O_MN, PE_UTA_UGM 2024'!J353</f>
        <v>400</v>
      </c>
      <c r="AN376" s="299" t="n">
        <f aca="false">'O_MN, PE_UTA_UGM 2024'!K353</f>
        <v>1000</v>
      </c>
      <c r="AO376" s="300"/>
      <c r="AP376" s="299" t="n">
        <f aca="false">'O_MN, PE_UTA_UGM 2024'!H353</f>
        <v>114.19</v>
      </c>
      <c r="AQ376" s="299" t="n">
        <f aca="false">'O_MN, PE_UTA_UGM 2024'!I353</f>
        <v>240.4</v>
      </c>
      <c r="AR376" s="301"/>
      <c r="AS376" s="302" t="n">
        <f aca="false">'O_MN, PE_UTA_UGM 2024'!L353</f>
        <v>0.00465</v>
      </c>
      <c r="AT376" s="302" t="n">
        <f aca="false">'O_MN, PE_UTA_UGM 2024'!M353</f>
        <v>0.0098</v>
      </c>
      <c r="AU376" s="3"/>
      <c r="AV376" s="321" t="n">
        <f aca="false">AG376*AM376</f>
        <v>0</v>
      </c>
      <c r="AW376" s="319" t="n">
        <f aca="false">AH376*AN376</f>
        <v>0</v>
      </c>
      <c r="AX376" s="320" t="n">
        <f aca="false">1.25*AJ376*AM376</f>
        <v>0</v>
      </c>
      <c r="AY376" s="322" t="n">
        <f aca="false">1.25*AK376*AN376</f>
        <v>0</v>
      </c>
      <c r="AZ376" s="323" t="n">
        <f aca="false">AG376*AP376</f>
        <v>0</v>
      </c>
      <c r="BA376" s="319" t="n">
        <f aca="false">AH376*AQ376</f>
        <v>0</v>
      </c>
      <c r="BB376" s="320" t="n">
        <f aca="false">1.25*AJ376*AP376</f>
        <v>0</v>
      </c>
      <c r="BC376" s="320" t="n">
        <f aca="false">1.25*AK376*AQ376</f>
        <v>0</v>
      </c>
      <c r="BD376" s="321" t="n">
        <f aca="false">AG376*AS376</f>
        <v>0</v>
      </c>
      <c r="BE376" s="319" t="n">
        <f aca="false">AH376*AT376</f>
        <v>0</v>
      </c>
      <c r="BF376" s="320" t="n">
        <f aca="false">AJ376*AS376</f>
        <v>0</v>
      </c>
      <c r="BG376" s="322" t="n">
        <f aca="false">AK376*AT376</f>
        <v>0</v>
      </c>
      <c r="BH376" s="324" t="n">
        <f aca="false">IF(BH$24=$AA376,($AG376*$AM376)+($AJ376*$AM376*1.25)+($AH376*$AN376)+($AK376*$AN376*1.25),"")</f>
        <v>0</v>
      </c>
      <c r="BI376" s="325" t="str">
        <f aca="false">IF(BI$24=$AA376,($AG376*$AM376)+($AJ376*$AM376*1.25)+($AH376*$AN376)+($AK376*$AN376*1.25),"")</f>
        <v/>
      </c>
      <c r="BJ376" s="325" t="str">
        <f aca="false">IF(BJ$24=$AA376,($AG376*$AM376)+($AJ376*$AM376*1.25)+($AH376*$AN376)+($AK376*$AN376*1.25),"")</f>
        <v/>
      </c>
      <c r="BK376" s="325" t="str">
        <f aca="false">IF(BK$24=$AA376,($AG376*$AM376)+($AJ376*$AM376*1.25)+($AH376*$AN376)+($AK376*$AN376*1.25),"")</f>
        <v/>
      </c>
      <c r="BL376" s="326" t="str">
        <f aca="false">IF(BL$24=$AA376,($AG376*$AM376)+($AJ376*$AM376*1.25)+($AH376*$AN376)+($AK376*$AN376*1.25),"")</f>
        <v/>
      </c>
      <c r="BM376" s="327" t="str">
        <f aca="false">IF(CONCATENATE(BH376,BI376,BJ376,BK376,BL376)="",1,"")</f>
        <v/>
      </c>
      <c r="BN376" s="328"/>
      <c r="BO376" s="328"/>
      <c r="BP376" s="328"/>
      <c r="BQ376" s="328"/>
      <c r="BR376" s="6"/>
      <c r="BS376" s="9"/>
      <c r="BT376" s="9"/>
      <c r="BU376" s="9"/>
      <c r="BV376" s="9"/>
    </row>
    <row r="377" customFormat="false" ht="15" hidden="false" customHeight="false" outlineLevel="0" collapsed="false">
      <c r="A377" s="228"/>
      <c r="B377" s="229"/>
      <c r="C377" s="230"/>
      <c r="D377" s="231"/>
      <c r="E377" s="223" t="str">
        <f aca="false">IF(SUM(A377:D377)&gt;0,SUM(A377:D377),"")</f>
        <v/>
      </c>
      <c r="F377" s="224" t="str">
        <f aca="false">AD390</f>
        <v>FRESÓN</v>
      </c>
      <c r="G377" s="169"/>
      <c r="H377" s="169"/>
      <c r="I377" s="169"/>
      <c r="J377" s="169"/>
      <c r="K377" s="169"/>
      <c r="L377" s="169"/>
      <c r="M377" s="169"/>
      <c r="N377" s="169"/>
      <c r="O377" s="169"/>
      <c r="P377" s="169"/>
      <c r="Q377" s="169"/>
      <c r="R377" s="3"/>
      <c r="S377" s="3"/>
      <c r="T377" s="3"/>
      <c r="U377" s="3"/>
      <c r="V377" s="3"/>
      <c r="W377" s="3"/>
      <c r="X377" s="3"/>
      <c r="Y377" s="3"/>
      <c r="Z377" s="316" t="str">
        <f aca="false">IF(AF377&gt;0,RANK(AF377,AF$6:AF$422),"")</f>
        <v/>
      </c>
      <c r="AA377" s="134" t="n">
        <f aca="false">'O_MN, PE_UTA_UGM 2024'!N354</f>
        <v>1</v>
      </c>
      <c r="AB377" s="135" t="n">
        <f aca="false">'O_MN, PE_UTA_UGM 2024'!O354</f>
        <v>0</v>
      </c>
      <c r="AC377" s="317" t="n">
        <f aca="false">'O_MN, PE_UTA_UGM 2024'!C354</f>
        <v>460</v>
      </c>
      <c r="AD377" s="293" t="str">
        <f aca="false">IF(AB377=0,'O_MN, PE_UTA_UGM 2024'!F354,CONCATENATE('O_MN, PE_UTA_UGM 2024'!F354," ","INVERNADERO"))</f>
        <v>CAUPÍ</v>
      </c>
      <c r="AE377" s="89"/>
      <c r="AF377" s="123" t="n">
        <f aca="false">SUM(AG377:AH377)+SUM(AJ377:AK377)</f>
        <v>0</v>
      </c>
      <c r="AG377" s="318" t="n">
        <f aca="false">A364</f>
        <v>0</v>
      </c>
      <c r="AH377" s="319" t="n">
        <f aca="false">B364</f>
        <v>0</v>
      </c>
      <c r="AI377" s="6"/>
      <c r="AJ377" s="320" t="n">
        <f aca="false">C364</f>
        <v>0</v>
      </c>
      <c r="AK377" s="320" t="n">
        <f aca="false">D364</f>
        <v>0</v>
      </c>
      <c r="AL377" s="176"/>
      <c r="AM377" s="299" t="n">
        <f aca="false">'O_MN, PE_UTA_UGM 2024'!J354</f>
        <v>350</v>
      </c>
      <c r="AN377" s="299" t="n">
        <f aca="false">'O_MN, PE_UTA_UGM 2024'!K354</f>
        <v>750</v>
      </c>
      <c r="AO377" s="300"/>
      <c r="AP377" s="299" t="n">
        <f aca="false">'O_MN, PE_UTA_UGM 2024'!H354</f>
        <v>114.19</v>
      </c>
      <c r="AQ377" s="299" t="n">
        <f aca="false">'O_MN, PE_UTA_UGM 2024'!I354</f>
        <v>240.4</v>
      </c>
      <c r="AR377" s="301"/>
      <c r="AS377" s="302" t="n">
        <f aca="false">'O_MN, PE_UTA_UGM 2024'!L354</f>
        <v>0.00465</v>
      </c>
      <c r="AT377" s="302" t="n">
        <f aca="false">'O_MN, PE_UTA_UGM 2024'!M354</f>
        <v>0.0098</v>
      </c>
      <c r="AU377" s="3"/>
      <c r="AV377" s="321" t="n">
        <f aca="false">AG377*AM377</f>
        <v>0</v>
      </c>
      <c r="AW377" s="319" t="n">
        <f aca="false">AH377*AN377</f>
        <v>0</v>
      </c>
      <c r="AX377" s="320" t="n">
        <f aca="false">1.25*AJ377*AM377</f>
        <v>0</v>
      </c>
      <c r="AY377" s="322" t="n">
        <f aca="false">1.25*AK377*AN377</f>
        <v>0</v>
      </c>
      <c r="AZ377" s="323" t="n">
        <f aca="false">AG377*AP377</f>
        <v>0</v>
      </c>
      <c r="BA377" s="319" t="n">
        <f aca="false">AH377*AQ377</f>
        <v>0</v>
      </c>
      <c r="BB377" s="320" t="n">
        <f aca="false">1.25*AJ377*AP377</f>
        <v>0</v>
      </c>
      <c r="BC377" s="320" t="n">
        <f aca="false">1.25*AK377*AQ377</f>
        <v>0</v>
      </c>
      <c r="BD377" s="321" t="n">
        <f aca="false">AG377*AS377</f>
        <v>0</v>
      </c>
      <c r="BE377" s="319" t="n">
        <f aca="false">AH377*AT377</f>
        <v>0</v>
      </c>
      <c r="BF377" s="320" t="n">
        <f aca="false">AJ377*AS377</f>
        <v>0</v>
      </c>
      <c r="BG377" s="322" t="n">
        <f aca="false">AK377*AT377</f>
        <v>0</v>
      </c>
      <c r="BH377" s="324" t="n">
        <f aca="false">IF(BH$24=$AA377,($AG377*$AM377)+($AJ377*$AM377*1.25)+($AH377*$AN377)+($AK377*$AN377*1.25),"")</f>
        <v>0</v>
      </c>
      <c r="BI377" s="325" t="str">
        <f aca="false">IF(BI$24=$AA377,($AG377*$AM377)+($AJ377*$AM377*1.25)+($AH377*$AN377)+($AK377*$AN377*1.25),"")</f>
        <v/>
      </c>
      <c r="BJ377" s="325" t="str">
        <f aca="false">IF(BJ$24=$AA377,($AG377*$AM377)+($AJ377*$AM377*1.25)+($AH377*$AN377)+($AK377*$AN377*1.25),"")</f>
        <v/>
      </c>
      <c r="BK377" s="325" t="str">
        <f aca="false">IF(BK$24=$AA377,($AG377*$AM377)+($AJ377*$AM377*1.25)+($AH377*$AN377)+($AK377*$AN377*1.25),"")</f>
        <v/>
      </c>
      <c r="BL377" s="326" t="str">
        <f aca="false">IF(BL$24=$AA377,($AG377*$AM377)+($AJ377*$AM377*1.25)+($AH377*$AN377)+($AK377*$AN377*1.25),"")</f>
        <v/>
      </c>
      <c r="BM377" s="327" t="str">
        <f aca="false">IF(CONCATENATE(BH377,BI377,BJ377,BK377,BL377)="",1,"")</f>
        <v/>
      </c>
      <c r="BN377" s="328"/>
      <c r="BO377" s="328"/>
      <c r="BP377" s="328"/>
      <c r="BQ377" s="328"/>
      <c r="BR377" s="6"/>
      <c r="BS377" s="9"/>
      <c r="BT377" s="9"/>
      <c r="BU377" s="9"/>
      <c r="BV377" s="9"/>
    </row>
    <row r="378" customFormat="false" ht="15" hidden="false" customHeight="false" outlineLevel="0" collapsed="false">
      <c r="A378" s="228"/>
      <c r="B378" s="229"/>
      <c r="C378" s="230"/>
      <c r="D378" s="231"/>
      <c r="E378" s="223" t="str">
        <f aca="false">IF(SUM(A378:D378)&gt;0,SUM(A378:D378),"")</f>
        <v/>
      </c>
      <c r="F378" s="224" t="str">
        <f aca="false">AD391</f>
        <v>ALMENDRO-OLIVAR</v>
      </c>
      <c r="G378" s="169"/>
      <c r="H378" s="169"/>
      <c r="I378" s="169"/>
      <c r="J378" s="169"/>
      <c r="K378" s="169"/>
      <c r="L378" s="169"/>
      <c r="M378" s="169"/>
      <c r="N378" s="169"/>
      <c r="O378" s="169"/>
      <c r="P378" s="169"/>
      <c r="Q378" s="169"/>
      <c r="R378" s="3"/>
      <c r="S378" s="3"/>
      <c r="T378" s="3"/>
      <c r="U378" s="3"/>
      <c r="V378" s="3"/>
      <c r="W378" s="3"/>
      <c r="X378" s="3"/>
      <c r="Y378" s="3"/>
      <c r="Z378" s="316" t="str">
        <f aca="false">IF(AF378&gt;0,RANK(AF378,AF$6:AF$422),"")</f>
        <v/>
      </c>
      <c r="AA378" s="134" t="n">
        <f aca="false">'O_MN, PE_UTA_UGM 2024'!N355</f>
        <v>1</v>
      </c>
      <c r="AB378" s="135" t="n">
        <f aca="false">'O_MN, PE_UTA_UGM 2024'!O355</f>
        <v>0</v>
      </c>
      <c r="AC378" s="317" t="n">
        <f aca="false">'O_MN, PE_UTA_UGM 2024'!C355</f>
        <v>461</v>
      </c>
      <c r="AD378" s="293" t="str">
        <f aca="false">IF(AB378=0,'O_MN, PE_UTA_UGM 2024'!F355,CONCATENATE('O_MN, PE_UTA_UGM 2024'!F355," ","INVERNADERO"))</f>
        <v>MELILOTO AMARILLO</v>
      </c>
      <c r="AE378" s="89"/>
      <c r="AF378" s="123" t="n">
        <f aca="false">SUM(AG378:AH378)+SUM(AJ378:AK378)</f>
        <v>0</v>
      </c>
      <c r="AG378" s="318" t="n">
        <f aca="false">A365</f>
        <v>0</v>
      </c>
      <c r="AH378" s="319" t="n">
        <f aca="false">B365</f>
        <v>0</v>
      </c>
      <c r="AI378" s="6"/>
      <c r="AJ378" s="320" t="n">
        <f aca="false">C365</f>
        <v>0</v>
      </c>
      <c r="AK378" s="320" t="n">
        <f aca="false">D365</f>
        <v>0</v>
      </c>
      <c r="AL378" s="176"/>
      <c r="AM378" s="299" t="n">
        <f aca="false">'O_MN, PE_UTA_UGM 2024'!J355</f>
        <v>500</v>
      </c>
      <c r="AN378" s="299" t="n">
        <f aca="false">'O_MN, PE_UTA_UGM 2024'!K355</f>
        <v>1000</v>
      </c>
      <c r="AO378" s="300"/>
      <c r="AP378" s="299" t="n">
        <f aca="false">'O_MN, PE_UTA_UGM 2024'!H355</f>
        <v>114.19</v>
      </c>
      <c r="AQ378" s="299" t="n">
        <f aca="false">'O_MN, PE_UTA_UGM 2024'!I355</f>
        <v>270.46</v>
      </c>
      <c r="AR378" s="301"/>
      <c r="AS378" s="302" t="n">
        <f aca="false">'O_MN, PE_UTA_UGM 2024'!L355</f>
        <v>0.00465</v>
      </c>
      <c r="AT378" s="302" t="n">
        <f aca="false">'O_MN, PE_UTA_UGM 2024'!M355</f>
        <v>0.01102</v>
      </c>
      <c r="AU378" s="3"/>
      <c r="AV378" s="321" t="n">
        <f aca="false">AG378*AM378</f>
        <v>0</v>
      </c>
      <c r="AW378" s="319" t="n">
        <f aca="false">AH378*AN378</f>
        <v>0</v>
      </c>
      <c r="AX378" s="320" t="n">
        <f aca="false">1.25*AJ378*AM378</f>
        <v>0</v>
      </c>
      <c r="AY378" s="322" t="n">
        <f aca="false">1.25*AK378*AN378</f>
        <v>0</v>
      </c>
      <c r="AZ378" s="323" t="n">
        <f aca="false">AG378*AP378</f>
        <v>0</v>
      </c>
      <c r="BA378" s="319" t="n">
        <f aca="false">AH378*AQ378</f>
        <v>0</v>
      </c>
      <c r="BB378" s="320" t="n">
        <f aca="false">1.25*AJ378*AP378</f>
        <v>0</v>
      </c>
      <c r="BC378" s="320" t="n">
        <f aca="false">1.25*AK378*AQ378</f>
        <v>0</v>
      </c>
      <c r="BD378" s="321" t="n">
        <f aca="false">AG378*AS378</f>
        <v>0</v>
      </c>
      <c r="BE378" s="319" t="n">
        <f aca="false">AH378*AT378</f>
        <v>0</v>
      </c>
      <c r="BF378" s="320" t="n">
        <f aca="false">AJ378*AS378</f>
        <v>0</v>
      </c>
      <c r="BG378" s="322" t="n">
        <f aca="false">AK378*AT378</f>
        <v>0</v>
      </c>
      <c r="BH378" s="324" t="n">
        <f aca="false">IF(BH$24=$AA378,($AG378*$AM378)+($AJ378*$AM378*1.25)+($AH378*$AN378)+($AK378*$AN378*1.25),"")</f>
        <v>0</v>
      </c>
      <c r="BI378" s="325" t="str">
        <f aca="false">IF(BI$24=$AA378,($AG378*$AM378)+($AJ378*$AM378*1.25)+($AH378*$AN378)+($AK378*$AN378*1.25),"")</f>
        <v/>
      </c>
      <c r="BJ378" s="325" t="str">
        <f aca="false">IF(BJ$24=$AA378,($AG378*$AM378)+($AJ378*$AM378*1.25)+($AH378*$AN378)+($AK378*$AN378*1.25),"")</f>
        <v/>
      </c>
      <c r="BK378" s="325" t="str">
        <f aca="false">IF(BK$24=$AA378,($AG378*$AM378)+($AJ378*$AM378*1.25)+($AH378*$AN378)+($AK378*$AN378*1.25),"")</f>
        <v/>
      </c>
      <c r="BL378" s="326" t="str">
        <f aca="false">IF(BL$24=$AA378,($AG378*$AM378)+($AJ378*$AM378*1.25)+($AH378*$AN378)+($AK378*$AN378*1.25),"")</f>
        <v/>
      </c>
      <c r="BM378" s="327" t="str">
        <f aca="false">IF(CONCATENATE(BH378,BI378,BJ378,BK378,BL378)="",1,"")</f>
        <v/>
      </c>
      <c r="BN378" s="328"/>
      <c r="BO378" s="328"/>
      <c r="BP378" s="328"/>
      <c r="BQ378" s="328"/>
      <c r="BR378" s="6"/>
      <c r="BS378" s="9"/>
      <c r="BT378" s="9"/>
      <c r="BU378" s="9"/>
      <c r="BV378" s="9"/>
    </row>
    <row r="379" customFormat="false" ht="15" hidden="false" customHeight="false" outlineLevel="0" collapsed="false">
      <c r="A379" s="228"/>
      <c r="B379" s="229"/>
      <c r="C379" s="230"/>
      <c r="D379" s="231"/>
      <c r="E379" s="223" t="str">
        <f aca="false">IF(SUM(A379:D379)&gt;0,SUM(A379:D379),"")</f>
        <v/>
      </c>
      <c r="F379" s="224" t="str">
        <f aca="false">AD392</f>
        <v>NARANJO-CAQUI</v>
      </c>
      <c r="G379" s="169"/>
      <c r="H379" s="169"/>
      <c r="I379" s="169"/>
      <c r="J379" s="169"/>
      <c r="K379" s="169"/>
      <c r="L379" s="169"/>
      <c r="M379" s="169"/>
      <c r="N379" s="169"/>
      <c r="O379" s="169"/>
      <c r="P379" s="169"/>
      <c r="Q379" s="169"/>
      <c r="R379" s="3"/>
      <c r="S379" s="3"/>
      <c r="T379" s="3"/>
      <c r="U379" s="3"/>
      <c r="V379" s="3"/>
      <c r="W379" s="3"/>
      <c r="X379" s="3"/>
      <c r="Y379" s="3"/>
      <c r="Z379" s="316" t="str">
        <f aca="false">IF(AF379&gt;0,RANK(AF379,AF$6:AF$422),"")</f>
        <v/>
      </c>
      <c r="AA379" s="134" t="n">
        <f aca="false">'O_MN, PE_UTA_UGM 2024'!N356</f>
        <v>4</v>
      </c>
      <c r="AB379" s="135" t="n">
        <f aca="false">'O_MN, PE_UTA_UGM 2024'!O356</f>
        <v>0</v>
      </c>
      <c r="AC379" s="317" t="n">
        <f aca="false">'O_MN, PE_UTA_UGM 2024'!C356</f>
        <v>464</v>
      </c>
      <c r="AD379" s="293" t="str">
        <f aca="false">IF(AB379=0,'O_MN, PE_UTA_UGM 2024'!F356,CONCATENATE('O_MN, PE_UTA_UGM 2024'!F356," ","INVERNADERO"))</f>
        <v>BRÓCOLI CHINO</v>
      </c>
      <c r="AE379" s="89"/>
      <c r="AF379" s="123" t="n">
        <f aca="false">SUM(AG379:AH379)+SUM(AJ379:AK379)</f>
        <v>0</v>
      </c>
      <c r="AG379" s="318" t="n">
        <f aca="false">A366</f>
        <v>0</v>
      </c>
      <c r="AH379" s="319" t="n">
        <f aca="false">B366</f>
        <v>0</v>
      </c>
      <c r="AI379" s="6"/>
      <c r="AJ379" s="320" t="n">
        <f aca="false">C366</f>
        <v>0</v>
      </c>
      <c r="AK379" s="320" t="n">
        <f aca="false">D366</f>
        <v>0</v>
      </c>
      <c r="AL379" s="176"/>
      <c r="AM379" s="299" t="n">
        <f aca="false">'O_MN, PE_UTA_UGM 2024'!J356</f>
        <v>575</v>
      </c>
      <c r="AN379" s="299" t="n">
        <f aca="false">'O_MN, PE_UTA_UGM 2024'!K356</f>
        <v>5200</v>
      </c>
      <c r="AO379" s="300"/>
      <c r="AP379" s="299" t="n">
        <f aca="false">'O_MN, PE_UTA_UGM 2024'!H356</f>
        <v>360.61</v>
      </c>
      <c r="AQ379" s="299" t="n">
        <f aca="false">'O_MN, PE_UTA_UGM 2024'!I356</f>
        <v>1352.28</v>
      </c>
      <c r="AR379" s="301"/>
      <c r="AS379" s="302" t="n">
        <f aca="false">'O_MN, PE_UTA_UGM 2024'!L356</f>
        <v>0.0147</v>
      </c>
      <c r="AT379" s="302" t="n">
        <f aca="false">'O_MN, PE_UTA_UGM 2024'!M356</f>
        <v>0.05512</v>
      </c>
      <c r="AU379" s="3"/>
      <c r="AV379" s="321" t="n">
        <f aca="false">AG379*AM379</f>
        <v>0</v>
      </c>
      <c r="AW379" s="319" t="n">
        <f aca="false">AH379*AN379</f>
        <v>0</v>
      </c>
      <c r="AX379" s="320" t="n">
        <f aca="false">1.25*AJ379*AM379</f>
        <v>0</v>
      </c>
      <c r="AY379" s="322" t="n">
        <f aca="false">1.25*AK379*AN379</f>
        <v>0</v>
      </c>
      <c r="AZ379" s="323" t="n">
        <f aca="false">AG379*AP379</f>
        <v>0</v>
      </c>
      <c r="BA379" s="319" t="n">
        <f aca="false">AH379*AQ379</f>
        <v>0</v>
      </c>
      <c r="BB379" s="320" t="n">
        <f aca="false">1.25*AJ379*AP379</f>
        <v>0</v>
      </c>
      <c r="BC379" s="320" t="n">
        <f aca="false">1.25*AK379*AQ379</f>
        <v>0</v>
      </c>
      <c r="BD379" s="321" t="n">
        <f aca="false">AG379*AS379</f>
        <v>0</v>
      </c>
      <c r="BE379" s="319" t="n">
        <f aca="false">AH379*AT379</f>
        <v>0</v>
      </c>
      <c r="BF379" s="320" t="n">
        <f aca="false">AJ379*AS379</f>
        <v>0</v>
      </c>
      <c r="BG379" s="322" t="n">
        <f aca="false">AK379*AT379</f>
        <v>0</v>
      </c>
      <c r="BH379" s="324" t="str">
        <f aca="false">IF(BH$24=$AA379,($AG379*$AM379)+($AJ379*$AM379*1.25)+($AH379*$AN379)+($AK379*$AN379*1.25),"")</f>
        <v/>
      </c>
      <c r="BI379" s="325" t="str">
        <f aca="false">IF(BI$24=$AA379,($AG379*$AM379)+($AJ379*$AM379*1.25)+($AH379*$AN379)+($AK379*$AN379*1.25),"")</f>
        <v/>
      </c>
      <c r="BJ379" s="325" t="str">
        <f aca="false">IF(BJ$24=$AA379,($AG379*$AM379)+($AJ379*$AM379*1.25)+($AH379*$AN379)+($AK379*$AN379*1.25),"")</f>
        <v/>
      </c>
      <c r="BK379" s="325" t="n">
        <f aca="false">IF(BK$24=$AA379,($AG379*$AM379)+($AJ379*$AM379*1.25)+($AH379*$AN379)+($AK379*$AN379*1.25),"")</f>
        <v>0</v>
      </c>
      <c r="BL379" s="326" t="str">
        <f aca="false">IF(BL$24=$AA379,($AG379*$AM379)+($AJ379*$AM379*1.25)+($AH379*$AN379)+($AK379*$AN379*1.25),"")</f>
        <v/>
      </c>
      <c r="BM379" s="327" t="str">
        <f aca="false">IF(CONCATENATE(BH379,BI379,BJ379,BK379,BL379)="",1,"")</f>
        <v/>
      </c>
      <c r="BN379" s="328"/>
      <c r="BO379" s="328"/>
      <c r="BP379" s="328"/>
      <c r="BQ379" s="328"/>
      <c r="BR379" s="6"/>
      <c r="BS379" s="9"/>
      <c r="BT379" s="9"/>
      <c r="BU379" s="9"/>
      <c r="BV379" s="9"/>
    </row>
    <row r="380" customFormat="false" ht="15" hidden="false" customHeight="false" outlineLevel="0" collapsed="false">
      <c r="A380" s="228"/>
      <c r="B380" s="229"/>
      <c r="C380" s="230"/>
      <c r="D380" s="231"/>
      <c r="E380" s="223" t="str">
        <f aca="false">IF(SUM(A380:D380)&gt;0,SUM(A380:D380),"")</f>
        <v/>
      </c>
      <c r="F380" s="224" t="str">
        <f aca="false">AD393</f>
        <v>NARANJO-MANDARINO</v>
      </c>
      <c r="G380" s="169"/>
      <c r="H380" s="169"/>
      <c r="I380" s="169"/>
      <c r="J380" s="169"/>
      <c r="K380" s="169"/>
      <c r="L380" s="169"/>
      <c r="M380" s="169"/>
      <c r="N380" s="169"/>
      <c r="O380" s="169"/>
      <c r="P380" s="169"/>
      <c r="Q380" s="169"/>
      <c r="R380" s="3"/>
      <c r="S380" s="3"/>
      <c r="T380" s="3"/>
      <c r="U380" s="3"/>
      <c r="V380" s="3"/>
      <c r="W380" s="3"/>
      <c r="X380" s="3"/>
      <c r="Y380" s="3"/>
      <c r="Z380" s="316" t="str">
        <f aca="false">IF(AF380&gt;0,RANK(AF380,AF$6:AF$422),"")</f>
        <v/>
      </c>
      <c r="AA380" s="134" t="n">
        <f aca="false">'O_MN, PE_UTA_UGM 2024'!N357</f>
        <v>4</v>
      </c>
      <c r="AB380" s="135" t="n">
        <f aca="false">'O_MN, PE_UTA_UGM 2024'!O357</f>
        <v>0</v>
      </c>
      <c r="AC380" s="317" t="n">
        <f aca="false">'O_MN, PE_UTA_UGM 2024'!C357</f>
        <v>465</v>
      </c>
      <c r="AD380" s="293" t="str">
        <f aca="false">IF(AB380=0,'O_MN, PE_UTA_UGM 2024'!F357,CONCATENATE('O_MN, PE_UTA_UGM 2024'!F357," ","INVERNADERO"))</f>
        <v>BATATA ACUÁTICA</v>
      </c>
      <c r="AE380" s="89"/>
      <c r="AF380" s="123" t="n">
        <f aca="false">SUM(AG380:AH380)+SUM(AJ380:AK380)</f>
        <v>0</v>
      </c>
      <c r="AG380" s="318" t="n">
        <f aca="false">A367</f>
        <v>0</v>
      </c>
      <c r="AH380" s="319" t="n">
        <f aca="false">B367</f>
        <v>0</v>
      </c>
      <c r="AI380" s="6"/>
      <c r="AJ380" s="320" t="n">
        <f aca="false">C367</f>
        <v>0</v>
      </c>
      <c r="AK380" s="320" t="n">
        <f aca="false">D367</f>
        <v>0</v>
      </c>
      <c r="AL380" s="176"/>
      <c r="AM380" s="299" t="n">
        <f aca="false">'O_MN, PE_UTA_UGM 2024'!J357</f>
        <v>1739.31</v>
      </c>
      <c r="AN380" s="299" t="n">
        <f aca="false">'O_MN, PE_UTA_UGM 2024'!K357</f>
        <v>5200</v>
      </c>
      <c r="AO380" s="300"/>
      <c r="AP380" s="299" t="n">
        <f aca="false">'O_MN, PE_UTA_UGM 2024'!H357</f>
        <v>450.76</v>
      </c>
      <c r="AQ380" s="299" t="n">
        <f aca="false">'O_MN, PE_UTA_UGM 2024'!I357</f>
        <v>1202.02</v>
      </c>
      <c r="AR380" s="301"/>
      <c r="AS380" s="302" t="n">
        <f aca="false">'O_MN, PE_UTA_UGM 2024'!L357</f>
        <v>0.01837</v>
      </c>
      <c r="AT380" s="302" t="n">
        <f aca="false">'O_MN, PE_UTA_UGM 2024'!M357</f>
        <v>0.04899</v>
      </c>
      <c r="AU380" s="3"/>
      <c r="AV380" s="321" t="n">
        <f aca="false">AG380*AM380</f>
        <v>0</v>
      </c>
      <c r="AW380" s="319" t="n">
        <f aca="false">AH380*AN380</f>
        <v>0</v>
      </c>
      <c r="AX380" s="320" t="n">
        <f aca="false">1.25*AJ380*AM380</f>
        <v>0</v>
      </c>
      <c r="AY380" s="322" t="n">
        <f aca="false">1.25*AK380*AN380</f>
        <v>0</v>
      </c>
      <c r="AZ380" s="323" t="n">
        <f aca="false">AG380*AP380</f>
        <v>0</v>
      </c>
      <c r="BA380" s="319" t="n">
        <f aca="false">AH380*AQ380</f>
        <v>0</v>
      </c>
      <c r="BB380" s="320" t="n">
        <f aca="false">1.25*AJ380*AP380</f>
        <v>0</v>
      </c>
      <c r="BC380" s="320" t="n">
        <f aca="false">1.25*AK380*AQ380</f>
        <v>0</v>
      </c>
      <c r="BD380" s="321" t="n">
        <f aca="false">AG380*AS380</f>
        <v>0</v>
      </c>
      <c r="BE380" s="319" t="n">
        <f aca="false">AH380*AT380</f>
        <v>0</v>
      </c>
      <c r="BF380" s="320" t="n">
        <f aca="false">AJ380*AS380</f>
        <v>0</v>
      </c>
      <c r="BG380" s="322" t="n">
        <f aca="false">AK380*AT380</f>
        <v>0</v>
      </c>
      <c r="BH380" s="324" t="str">
        <f aca="false">IF(BH$24=$AA380,($AG380*$AM380)+($AJ380*$AM380*1.25)+($AH380*$AN380)+($AK380*$AN380*1.25),"")</f>
        <v/>
      </c>
      <c r="BI380" s="325" t="str">
        <f aca="false">IF(BI$24=$AA380,($AG380*$AM380)+($AJ380*$AM380*1.25)+($AH380*$AN380)+($AK380*$AN380*1.25),"")</f>
        <v/>
      </c>
      <c r="BJ380" s="325" t="str">
        <f aca="false">IF(BJ$24=$AA380,($AG380*$AM380)+($AJ380*$AM380*1.25)+($AH380*$AN380)+($AK380*$AN380*1.25),"")</f>
        <v/>
      </c>
      <c r="BK380" s="325" t="n">
        <f aca="false">IF(BK$24=$AA380,($AG380*$AM380)+($AJ380*$AM380*1.25)+($AH380*$AN380)+($AK380*$AN380*1.25),"")</f>
        <v>0</v>
      </c>
      <c r="BL380" s="326" t="str">
        <f aca="false">IF(BL$24=$AA380,($AG380*$AM380)+($AJ380*$AM380*1.25)+($AH380*$AN380)+($AK380*$AN380*1.25),"")</f>
        <v/>
      </c>
      <c r="BM380" s="327" t="str">
        <f aca="false">IF(CONCATENATE(BH380,BI380,BJ380,BK380,BL380)="",1,"")</f>
        <v/>
      </c>
      <c r="BN380" s="328"/>
      <c r="BO380" s="328"/>
      <c r="BP380" s="328"/>
      <c r="BQ380" s="328"/>
      <c r="BR380" s="6"/>
      <c r="BS380" s="9"/>
      <c r="BT380" s="9"/>
      <c r="BU380" s="9"/>
      <c r="BV380" s="9"/>
    </row>
    <row r="381" customFormat="false" ht="15" hidden="false" customHeight="false" outlineLevel="0" collapsed="false">
      <c r="A381" s="228"/>
      <c r="B381" s="229"/>
      <c r="C381" s="230"/>
      <c r="D381" s="231"/>
      <c r="E381" s="223" t="str">
        <f aca="false">IF(SUM(A381:D381)&gt;0,SUM(A381:D381),"")</f>
        <v/>
      </c>
      <c r="F381" s="224" t="str">
        <f aca="false">AD394</f>
        <v>NÍSPERO-CAQUI</v>
      </c>
      <c r="G381" s="169"/>
      <c r="H381" s="169"/>
      <c r="I381" s="169"/>
      <c r="J381" s="169"/>
      <c r="K381" s="169"/>
      <c r="L381" s="169"/>
      <c r="M381" s="169"/>
      <c r="N381" s="169"/>
      <c r="O381" s="169"/>
      <c r="P381" s="169"/>
      <c r="Q381" s="169"/>
      <c r="R381" s="3"/>
      <c r="S381" s="3"/>
      <c r="T381" s="3"/>
      <c r="U381" s="3"/>
      <c r="V381" s="3"/>
      <c r="W381" s="3"/>
      <c r="X381" s="3"/>
      <c r="Y381" s="3"/>
      <c r="Z381" s="316" t="str">
        <f aca="false">IF(AF381&gt;0,RANK(AF381,AF$6:AF$422),"")</f>
        <v/>
      </c>
      <c r="AA381" s="134" t="n">
        <f aca="false">'O_MN, PE_UTA_UGM 2024'!N358</f>
        <v>4</v>
      </c>
      <c r="AB381" s="135" t="n">
        <f aca="false">'O_MN, PE_UTA_UGM 2024'!O358</f>
        <v>0</v>
      </c>
      <c r="AC381" s="317" t="n">
        <f aca="false">'O_MN, PE_UTA_UGM 2024'!C358</f>
        <v>470</v>
      </c>
      <c r="AD381" s="293" t="str">
        <f aca="false">IF(AB381=0,'O_MN, PE_UTA_UGM 2024'!F358,CONCATENATE('O_MN, PE_UTA_UGM 2024'!F358," ","INVERNADERO"))</f>
        <v>JUDÍA DE EGIPTO</v>
      </c>
      <c r="AE381" s="89"/>
      <c r="AF381" s="123" t="n">
        <f aca="false">SUM(AG381:AH381)+SUM(AJ381:AK381)</f>
        <v>0</v>
      </c>
      <c r="AG381" s="318" t="n">
        <f aca="false">A368</f>
        <v>0</v>
      </c>
      <c r="AH381" s="319" t="n">
        <f aca="false">B368</f>
        <v>0</v>
      </c>
      <c r="AI381" s="6"/>
      <c r="AJ381" s="320" t="n">
        <f aca="false">C368</f>
        <v>0</v>
      </c>
      <c r="AK381" s="320" t="n">
        <f aca="false">D368</f>
        <v>0</v>
      </c>
      <c r="AL381" s="176"/>
      <c r="AM381" s="299" t="n">
        <f aca="false">'O_MN, PE_UTA_UGM 2024'!J358</f>
        <v>350</v>
      </c>
      <c r="AN381" s="299" t="n">
        <f aca="false">'O_MN, PE_UTA_UGM 2024'!K358</f>
        <v>750</v>
      </c>
      <c r="AO381" s="300"/>
      <c r="AP381" s="299" t="n">
        <f aca="false">'O_MN, PE_UTA_UGM 2024'!H358</f>
        <v>114.19</v>
      </c>
      <c r="AQ381" s="299" t="n">
        <f aca="false">'O_MN, PE_UTA_UGM 2024'!I358</f>
        <v>240.4</v>
      </c>
      <c r="AR381" s="301"/>
      <c r="AS381" s="302" t="n">
        <f aca="false">'O_MN, PE_UTA_UGM 2024'!L358</f>
        <v>0.00465</v>
      </c>
      <c r="AT381" s="302" t="n">
        <f aca="false">'O_MN, PE_UTA_UGM 2024'!M358</f>
        <v>0.0098</v>
      </c>
      <c r="AU381" s="3"/>
      <c r="AV381" s="321" t="n">
        <f aca="false">AG381*AM381</f>
        <v>0</v>
      </c>
      <c r="AW381" s="319" t="n">
        <f aca="false">AH381*AN381</f>
        <v>0</v>
      </c>
      <c r="AX381" s="320" t="n">
        <f aca="false">1.25*AJ381*AM381</f>
        <v>0</v>
      </c>
      <c r="AY381" s="322" t="n">
        <f aca="false">1.25*AK381*AN381</f>
        <v>0</v>
      </c>
      <c r="AZ381" s="323" t="n">
        <f aca="false">AG381*AP381</f>
        <v>0</v>
      </c>
      <c r="BA381" s="319" t="n">
        <f aca="false">AH381*AQ381</f>
        <v>0</v>
      </c>
      <c r="BB381" s="320" t="n">
        <f aca="false">1.25*AJ381*AP381</f>
        <v>0</v>
      </c>
      <c r="BC381" s="320" t="n">
        <f aca="false">1.25*AK381*AQ381</f>
        <v>0</v>
      </c>
      <c r="BD381" s="321" t="n">
        <f aca="false">AG381*AS381</f>
        <v>0</v>
      </c>
      <c r="BE381" s="319" t="n">
        <f aca="false">AH381*AT381</f>
        <v>0</v>
      </c>
      <c r="BF381" s="320" t="n">
        <f aca="false">AJ381*AS381</f>
        <v>0</v>
      </c>
      <c r="BG381" s="322" t="n">
        <f aca="false">AK381*AT381</f>
        <v>0</v>
      </c>
      <c r="BH381" s="324" t="str">
        <f aca="false">IF(BH$24=$AA381,($AG381*$AM381)+($AJ381*$AM381*1.25)+($AH381*$AN381)+($AK381*$AN381*1.25),"")</f>
        <v/>
      </c>
      <c r="BI381" s="325" t="str">
        <f aca="false">IF(BI$24=$AA381,($AG381*$AM381)+($AJ381*$AM381*1.25)+($AH381*$AN381)+($AK381*$AN381*1.25),"")</f>
        <v/>
      </c>
      <c r="BJ381" s="325" t="str">
        <f aca="false">IF(BJ$24=$AA381,($AG381*$AM381)+($AJ381*$AM381*1.25)+($AH381*$AN381)+($AK381*$AN381*1.25),"")</f>
        <v/>
      </c>
      <c r="BK381" s="325" t="n">
        <f aca="false">IF(BK$24=$AA381,($AG381*$AM381)+($AJ381*$AM381*1.25)+($AH381*$AN381)+($AK381*$AN381*1.25),"")</f>
        <v>0</v>
      </c>
      <c r="BL381" s="326" t="str">
        <f aca="false">IF(BL$24=$AA381,($AG381*$AM381)+($AJ381*$AM381*1.25)+($AH381*$AN381)+($AK381*$AN381*1.25),"")</f>
        <v/>
      </c>
      <c r="BM381" s="327" t="str">
        <f aca="false">IF(CONCATENATE(BH381,BI381,BJ381,BK381,BL381)="",1,"")</f>
        <v/>
      </c>
      <c r="BN381" s="328"/>
      <c r="BO381" s="328"/>
      <c r="BP381" s="328"/>
      <c r="BQ381" s="328"/>
      <c r="BR381" s="6"/>
      <c r="BS381" s="9"/>
      <c r="BT381" s="9"/>
      <c r="BU381" s="9"/>
      <c r="BV381" s="9"/>
    </row>
    <row r="382" customFormat="false" ht="15" hidden="false" customHeight="false" outlineLevel="0" collapsed="false">
      <c r="A382" s="228"/>
      <c r="B382" s="229"/>
      <c r="C382" s="230"/>
      <c r="D382" s="231"/>
      <c r="E382" s="223" t="str">
        <f aca="false">IF(SUM(A382:D382)&gt;0,SUM(A382:D382),"")</f>
        <v/>
      </c>
      <c r="F382" s="224" t="str">
        <f aca="false">AD395</f>
        <v>PALMERA DATILERA</v>
      </c>
      <c r="G382" s="169"/>
      <c r="H382" s="169"/>
      <c r="I382" s="169"/>
      <c r="J382" s="169"/>
      <c r="K382" s="169"/>
      <c r="L382" s="169"/>
      <c r="M382" s="169"/>
      <c r="N382" s="169"/>
      <c r="O382" s="169"/>
      <c r="P382" s="169"/>
      <c r="Q382" s="169"/>
      <c r="R382" s="3"/>
      <c r="S382" s="3"/>
      <c r="T382" s="3"/>
      <c r="U382" s="3"/>
      <c r="V382" s="3"/>
      <c r="W382" s="3"/>
      <c r="X382" s="3"/>
      <c r="Y382" s="3"/>
      <c r="Z382" s="316" t="str">
        <f aca="false">IF(AF382&gt;0,RANK(AF382,AF$6:AF$422),"")</f>
        <v/>
      </c>
      <c r="AA382" s="134" t="n">
        <f aca="false">'O_MN, PE_UTA_UGM 2024'!N359</f>
        <v>4</v>
      </c>
      <c r="AB382" s="135" t="n">
        <f aca="false">'O_MN, PE_UTA_UGM 2024'!O359</f>
        <v>0</v>
      </c>
      <c r="AC382" s="317" t="n">
        <f aca="false">'O_MN, PE_UTA_UGM 2024'!C359</f>
        <v>478</v>
      </c>
      <c r="AD382" s="293" t="str">
        <f aca="false">IF(AB382=0,'O_MN, PE_UTA_UGM 2024'!F359,CONCATENATE('O_MN, PE_UTA_UGM 2024'!F359," ","INVERNADERO"))</f>
        <v>COLINABO</v>
      </c>
      <c r="AE382" s="89"/>
      <c r="AF382" s="123" t="n">
        <f aca="false">SUM(AG382:AH382)+SUM(AJ382:AK382)</f>
        <v>0</v>
      </c>
      <c r="AG382" s="318" t="n">
        <f aca="false">A369</f>
        <v>0</v>
      </c>
      <c r="AH382" s="319" t="n">
        <f aca="false">B369</f>
        <v>0</v>
      </c>
      <c r="AI382" s="6"/>
      <c r="AJ382" s="320" t="n">
        <f aca="false">C369</f>
        <v>0</v>
      </c>
      <c r="AK382" s="320" t="n">
        <f aca="false">D369</f>
        <v>0</v>
      </c>
      <c r="AL382" s="176"/>
      <c r="AM382" s="299" t="n">
        <f aca="false">'O_MN, PE_UTA_UGM 2024'!J359</f>
        <v>575</v>
      </c>
      <c r="AN382" s="299" t="n">
        <f aca="false">'O_MN, PE_UTA_UGM 2024'!K359</f>
        <v>5200</v>
      </c>
      <c r="AO382" s="300"/>
      <c r="AP382" s="299" t="n">
        <f aca="false">'O_MN, PE_UTA_UGM 2024'!H359</f>
        <v>360.61</v>
      </c>
      <c r="AQ382" s="299" t="n">
        <f aca="false">'O_MN, PE_UTA_UGM 2024'!I359</f>
        <v>1352.28</v>
      </c>
      <c r="AR382" s="301"/>
      <c r="AS382" s="302" t="n">
        <f aca="false">'O_MN, PE_UTA_UGM 2024'!L359</f>
        <v>0.0147</v>
      </c>
      <c r="AT382" s="302" t="n">
        <f aca="false">'O_MN, PE_UTA_UGM 2024'!M359</f>
        <v>0.05512</v>
      </c>
      <c r="AU382" s="3"/>
      <c r="AV382" s="321" t="n">
        <f aca="false">AG382*AM382</f>
        <v>0</v>
      </c>
      <c r="AW382" s="319" t="n">
        <f aca="false">AH382*AN382</f>
        <v>0</v>
      </c>
      <c r="AX382" s="320" t="n">
        <f aca="false">1.25*AJ382*AM382</f>
        <v>0</v>
      </c>
      <c r="AY382" s="322" t="n">
        <f aca="false">1.25*AK382*AN382</f>
        <v>0</v>
      </c>
      <c r="AZ382" s="323" t="n">
        <f aca="false">AG382*AP382</f>
        <v>0</v>
      </c>
      <c r="BA382" s="319" t="n">
        <f aca="false">AH382*AQ382</f>
        <v>0</v>
      </c>
      <c r="BB382" s="320" t="n">
        <f aca="false">1.25*AJ382*AP382</f>
        <v>0</v>
      </c>
      <c r="BC382" s="320" t="n">
        <f aca="false">1.25*AK382*AQ382</f>
        <v>0</v>
      </c>
      <c r="BD382" s="321" t="n">
        <f aca="false">AG382*AS382</f>
        <v>0</v>
      </c>
      <c r="BE382" s="319" t="n">
        <f aca="false">AH382*AT382</f>
        <v>0</v>
      </c>
      <c r="BF382" s="320" t="n">
        <f aca="false">AJ382*AS382</f>
        <v>0</v>
      </c>
      <c r="BG382" s="322" t="n">
        <f aca="false">AK382*AT382</f>
        <v>0</v>
      </c>
      <c r="BH382" s="324" t="str">
        <f aca="false">IF(BH$24=$AA382,($AG382*$AM382)+($AJ382*$AM382*1.25)+($AH382*$AN382)+($AK382*$AN382*1.25),"")</f>
        <v/>
      </c>
      <c r="BI382" s="325" t="str">
        <f aca="false">IF(BI$24=$AA382,($AG382*$AM382)+($AJ382*$AM382*1.25)+($AH382*$AN382)+($AK382*$AN382*1.25),"")</f>
        <v/>
      </c>
      <c r="BJ382" s="325" t="str">
        <f aca="false">IF(BJ$24=$AA382,($AG382*$AM382)+($AJ382*$AM382*1.25)+($AH382*$AN382)+($AK382*$AN382*1.25),"")</f>
        <v/>
      </c>
      <c r="BK382" s="325" t="n">
        <f aca="false">IF(BK$24=$AA382,($AG382*$AM382)+($AJ382*$AM382*1.25)+($AH382*$AN382)+($AK382*$AN382*1.25),"")</f>
        <v>0</v>
      </c>
      <c r="BL382" s="326" t="str">
        <f aca="false">IF(BL$24=$AA382,($AG382*$AM382)+($AJ382*$AM382*1.25)+($AH382*$AN382)+($AK382*$AN382*1.25),"")</f>
        <v/>
      </c>
      <c r="BM382" s="327" t="str">
        <f aca="false">IF(CONCATENATE(BH382,BI382,BJ382,BK382,BL382)="",1,"")</f>
        <v/>
      </c>
      <c r="BN382" s="328"/>
      <c r="BO382" s="328"/>
      <c r="BP382" s="328"/>
      <c r="BQ382" s="328"/>
      <c r="BR382" s="6"/>
      <c r="BS382" s="9"/>
      <c r="BT382" s="9"/>
      <c r="BU382" s="9"/>
      <c r="BV382" s="9"/>
    </row>
    <row r="383" customFormat="false" ht="15" hidden="false" customHeight="false" outlineLevel="0" collapsed="false">
      <c r="A383" s="228"/>
      <c r="B383" s="229"/>
      <c r="C383" s="230"/>
      <c r="D383" s="231"/>
      <c r="E383" s="223" t="str">
        <f aca="false">IF(SUM(A383:D383)&gt;0,SUM(A383:D383),"")</f>
        <v/>
      </c>
      <c r="F383" s="224" t="str">
        <f aca="false">AD396</f>
        <v>MEZCLA AVENA-HABA</v>
      </c>
      <c r="G383" s="169"/>
      <c r="H383" s="169"/>
      <c r="I383" s="169"/>
      <c r="J383" s="169"/>
      <c r="K383" s="169"/>
      <c r="L383" s="169"/>
      <c r="M383" s="169"/>
      <c r="N383" s="169"/>
      <c r="O383" s="169"/>
      <c r="P383" s="169"/>
      <c r="Q383" s="169"/>
      <c r="R383" s="3"/>
      <c r="S383" s="3"/>
      <c r="T383" s="3"/>
      <c r="U383" s="3"/>
      <c r="V383" s="3"/>
      <c r="W383" s="3"/>
      <c r="X383" s="3"/>
      <c r="Y383" s="3"/>
      <c r="Z383" s="316" t="str">
        <f aca="false">IF(AF383&gt;0,RANK(AF383,AF$6:AF$422),"")</f>
        <v/>
      </c>
      <c r="AA383" s="134" t="n">
        <f aca="false">'O_MN, PE_UTA_UGM 2024'!N360</f>
        <v>1</v>
      </c>
      <c r="AB383" s="135" t="n">
        <f aca="false">'O_MN, PE_UTA_UGM 2024'!O360</f>
        <v>0</v>
      </c>
      <c r="AC383" s="317" t="n">
        <f aca="false">'O_MN, PE_UTA_UGM 2024'!C360</f>
        <v>483</v>
      </c>
      <c r="AD383" s="293" t="str">
        <f aca="false">IF(AB383=0,'O_MN, PE_UTA_UGM 2024'!F360,CONCATENATE('O_MN, PE_UTA_UGM 2024'!F360," ","INVERNADERO"))</f>
        <v>VEZA VELLOSA</v>
      </c>
      <c r="AE383" s="89"/>
      <c r="AF383" s="123" t="n">
        <f aca="false">SUM(AG383:AH383)+SUM(AJ383:AK383)</f>
        <v>0</v>
      </c>
      <c r="AG383" s="318" t="n">
        <f aca="false">A370</f>
        <v>0</v>
      </c>
      <c r="AH383" s="319" t="n">
        <f aca="false">B370</f>
        <v>0</v>
      </c>
      <c r="AI383" s="6"/>
      <c r="AJ383" s="320" t="n">
        <f aca="false">C370</f>
        <v>0</v>
      </c>
      <c r="AK383" s="320" t="n">
        <f aca="false">D370</f>
        <v>0</v>
      </c>
      <c r="AL383" s="176"/>
      <c r="AM383" s="299" t="n">
        <f aca="false">'O_MN, PE_UTA_UGM 2024'!J360</f>
        <v>350</v>
      </c>
      <c r="AN383" s="299" t="n">
        <f aca="false">'O_MN, PE_UTA_UGM 2024'!K360</f>
        <v>750</v>
      </c>
      <c r="AO383" s="300"/>
      <c r="AP383" s="299" t="n">
        <f aca="false">'O_MN, PE_UTA_UGM 2024'!H360</f>
        <v>114.19</v>
      </c>
      <c r="AQ383" s="299" t="n">
        <f aca="false">'O_MN, PE_UTA_UGM 2024'!I360</f>
        <v>240.4</v>
      </c>
      <c r="AR383" s="301"/>
      <c r="AS383" s="302" t="n">
        <f aca="false">'O_MN, PE_UTA_UGM 2024'!L360</f>
        <v>0.00465</v>
      </c>
      <c r="AT383" s="302" t="n">
        <f aca="false">'O_MN, PE_UTA_UGM 2024'!M360</f>
        <v>0.0098</v>
      </c>
      <c r="AU383" s="3"/>
      <c r="AV383" s="321" t="n">
        <f aca="false">AG383*AM383</f>
        <v>0</v>
      </c>
      <c r="AW383" s="319" t="n">
        <f aca="false">AH383*AN383</f>
        <v>0</v>
      </c>
      <c r="AX383" s="320" t="n">
        <f aca="false">1.25*AJ383*AM383</f>
        <v>0</v>
      </c>
      <c r="AY383" s="322" t="n">
        <f aca="false">1.25*AK383*AN383</f>
        <v>0</v>
      </c>
      <c r="AZ383" s="323" t="n">
        <f aca="false">AG383*AP383</f>
        <v>0</v>
      </c>
      <c r="BA383" s="319" t="n">
        <f aca="false">AH383*AQ383</f>
        <v>0</v>
      </c>
      <c r="BB383" s="320" t="n">
        <f aca="false">1.25*AJ383*AP383</f>
        <v>0</v>
      </c>
      <c r="BC383" s="320" t="n">
        <f aca="false">1.25*AK383*AQ383</f>
        <v>0</v>
      </c>
      <c r="BD383" s="321" t="n">
        <f aca="false">AG383*AS383</f>
        <v>0</v>
      </c>
      <c r="BE383" s="319" t="n">
        <f aca="false">AH383*AT383</f>
        <v>0</v>
      </c>
      <c r="BF383" s="320" t="n">
        <f aca="false">AJ383*AS383</f>
        <v>0</v>
      </c>
      <c r="BG383" s="322" t="n">
        <f aca="false">AK383*AT383</f>
        <v>0</v>
      </c>
      <c r="BH383" s="324" t="n">
        <f aca="false">IF(BH$24=$AA383,($AG383*$AM383)+($AJ383*$AM383*1.25)+($AH383*$AN383)+($AK383*$AN383*1.25),"")</f>
        <v>0</v>
      </c>
      <c r="BI383" s="325" t="str">
        <f aca="false">IF(BI$24=$AA383,($AG383*$AM383)+($AJ383*$AM383*1.25)+($AH383*$AN383)+($AK383*$AN383*1.25),"")</f>
        <v/>
      </c>
      <c r="BJ383" s="325" t="str">
        <f aca="false">IF(BJ$24=$AA383,($AG383*$AM383)+($AJ383*$AM383*1.25)+($AH383*$AN383)+($AK383*$AN383*1.25),"")</f>
        <v/>
      </c>
      <c r="BK383" s="325" t="str">
        <f aca="false">IF(BK$24=$AA383,($AG383*$AM383)+($AJ383*$AM383*1.25)+($AH383*$AN383)+($AK383*$AN383*1.25),"")</f>
        <v/>
      </c>
      <c r="BL383" s="326" t="str">
        <f aca="false">IF(BL$24=$AA383,($AG383*$AM383)+($AJ383*$AM383*1.25)+($AH383*$AN383)+($AK383*$AN383*1.25),"")</f>
        <v/>
      </c>
      <c r="BM383" s="327" t="str">
        <f aca="false">IF(CONCATENATE(BH383,BI383,BJ383,BK383,BL383)="",1,"")</f>
        <v/>
      </c>
      <c r="BN383" s="328"/>
      <c r="BO383" s="328"/>
      <c r="BP383" s="328"/>
      <c r="BQ383" s="328"/>
      <c r="BR383" s="6"/>
      <c r="BS383" s="9"/>
      <c r="BT383" s="9"/>
      <c r="BU383" s="9"/>
      <c r="BV383" s="9"/>
    </row>
    <row r="384" customFormat="false" ht="15" hidden="false" customHeight="false" outlineLevel="0" collapsed="false">
      <c r="A384" s="228"/>
      <c r="B384" s="229"/>
      <c r="C384" s="230"/>
      <c r="D384" s="231"/>
      <c r="E384" s="223" t="str">
        <f aca="false">IF(SUM(A384:D384)&gt;0,SUM(A384:D384),"")</f>
        <v/>
      </c>
      <c r="F384" s="224" t="str">
        <f aca="false">AD397</f>
        <v>MEZCLA AVENA-CEBADA-VEZA</v>
      </c>
      <c r="G384" s="169"/>
      <c r="H384" s="169"/>
      <c r="I384" s="169"/>
      <c r="J384" s="169"/>
      <c r="K384" s="169"/>
      <c r="L384" s="169"/>
      <c r="M384" s="169"/>
      <c r="N384" s="169"/>
      <c r="O384" s="169"/>
      <c r="P384" s="169"/>
      <c r="Q384" s="169"/>
      <c r="R384" s="3"/>
      <c r="S384" s="3"/>
      <c r="T384" s="3"/>
      <c r="U384" s="3"/>
      <c r="V384" s="3"/>
      <c r="W384" s="3"/>
      <c r="X384" s="3"/>
      <c r="Y384" s="3"/>
      <c r="Z384" s="316" t="str">
        <f aca="false">IF(AF384&gt;0,RANK(AF384,AF$6:AF$422),"")</f>
        <v/>
      </c>
      <c r="AA384" s="134" t="n">
        <f aca="false">'O_MN, PE_UTA_UGM 2024'!N361</f>
        <v>1</v>
      </c>
      <c r="AB384" s="135" t="n">
        <f aca="false">'O_MN, PE_UTA_UGM 2024'!O361</f>
        <v>0</v>
      </c>
      <c r="AC384" s="317" t="n">
        <f aca="false">'O_MN, PE_UTA_UGM 2024'!C361</f>
        <v>486</v>
      </c>
      <c r="AD384" s="293" t="str">
        <f aca="false">IF(AB384=0,'O_MN, PE_UTA_UGM 2024'!F361,CONCATENATE('O_MN, PE_UTA_UGM 2024'!F361," ","INVERNADERO"))</f>
        <v>ALVERJA HÚNGARA</v>
      </c>
      <c r="AE384" s="89"/>
      <c r="AF384" s="123" t="n">
        <f aca="false">SUM(AG384:AH384)+SUM(AJ384:AK384)</f>
        <v>0</v>
      </c>
      <c r="AG384" s="318" t="n">
        <f aca="false">A371</f>
        <v>0</v>
      </c>
      <c r="AH384" s="319" t="n">
        <f aca="false">B371</f>
        <v>0</v>
      </c>
      <c r="AI384" s="6"/>
      <c r="AJ384" s="320" t="n">
        <f aca="false">C371</f>
        <v>0</v>
      </c>
      <c r="AK384" s="320" t="n">
        <f aca="false">D371</f>
        <v>0</v>
      </c>
      <c r="AL384" s="176"/>
      <c r="AM384" s="299" t="n">
        <f aca="false">'O_MN, PE_UTA_UGM 2024'!J361</f>
        <v>500</v>
      </c>
      <c r="AN384" s="299" t="n">
        <f aca="false">'O_MN, PE_UTA_UGM 2024'!K361</f>
        <v>1500</v>
      </c>
      <c r="AO384" s="300"/>
      <c r="AP384" s="299" t="n">
        <f aca="false">'O_MN, PE_UTA_UGM 2024'!H361</f>
        <v>114.19</v>
      </c>
      <c r="AQ384" s="299" t="n">
        <f aca="false">'O_MN, PE_UTA_UGM 2024'!I361</f>
        <v>240.4</v>
      </c>
      <c r="AR384" s="301"/>
      <c r="AS384" s="302" t="n">
        <f aca="false">'O_MN, PE_UTA_UGM 2024'!L361</f>
        <v>0.00465</v>
      </c>
      <c r="AT384" s="302" t="n">
        <f aca="false">'O_MN, PE_UTA_UGM 2024'!M361</f>
        <v>0.0098</v>
      </c>
      <c r="AU384" s="3"/>
      <c r="AV384" s="321" t="n">
        <f aca="false">AG384*AM384</f>
        <v>0</v>
      </c>
      <c r="AW384" s="319" t="n">
        <f aca="false">AH384*AN384</f>
        <v>0</v>
      </c>
      <c r="AX384" s="320" t="n">
        <f aca="false">1.25*AJ384*AM384</f>
        <v>0</v>
      </c>
      <c r="AY384" s="322" t="n">
        <f aca="false">1.25*AK384*AN384</f>
        <v>0</v>
      </c>
      <c r="AZ384" s="323" t="n">
        <f aca="false">AG384*AP384</f>
        <v>0</v>
      </c>
      <c r="BA384" s="319" t="n">
        <f aca="false">AH384*AQ384</f>
        <v>0</v>
      </c>
      <c r="BB384" s="320" t="n">
        <f aca="false">1.25*AJ384*AP384</f>
        <v>0</v>
      </c>
      <c r="BC384" s="320" t="n">
        <f aca="false">1.25*AK384*AQ384</f>
        <v>0</v>
      </c>
      <c r="BD384" s="321" t="n">
        <f aca="false">AG384*AS384</f>
        <v>0</v>
      </c>
      <c r="BE384" s="319" t="n">
        <f aca="false">AH384*AT384</f>
        <v>0</v>
      </c>
      <c r="BF384" s="320" t="n">
        <f aca="false">AJ384*AS384</f>
        <v>0</v>
      </c>
      <c r="BG384" s="322" t="n">
        <f aca="false">AK384*AT384</f>
        <v>0</v>
      </c>
      <c r="BH384" s="324" t="n">
        <f aca="false">IF(BH$24=$AA384,($AG384*$AM384)+($AJ384*$AM384*1.25)+($AH384*$AN384)+($AK384*$AN384*1.25),"")</f>
        <v>0</v>
      </c>
      <c r="BI384" s="325" t="str">
        <f aca="false">IF(BI$24=$AA384,($AG384*$AM384)+($AJ384*$AM384*1.25)+($AH384*$AN384)+($AK384*$AN384*1.25),"")</f>
        <v/>
      </c>
      <c r="BJ384" s="325" t="str">
        <f aca="false">IF(BJ$24=$AA384,($AG384*$AM384)+($AJ384*$AM384*1.25)+($AH384*$AN384)+($AK384*$AN384*1.25),"")</f>
        <v/>
      </c>
      <c r="BK384" s="325" t="str">
        <f aca="false">IF(BK$24=$AA384,($AG384*$AM384)+($AJ384*$AM384*1.25)+($AH384*$AN384)+($AK384*$AN384*1.25),"")</f>
        <v/>
      </c>
      <c r="BL384" s="326" t="str">
        <f aca="false">IF(BL$24=$AA384,($AG384*$AM384)+($AJ384*$AM384*1.25)+($AH384*$AN384)+($AK384*$AN384*1.25),"")</f>
        <v/>
      </c>
      <c r="BM384" s="327" t="str">
        <f aca="false">IF(CONCATENATE(BH384,BI384,BJ384,BK384,BL384)="",1,"")</f>
        <v/>
      </c>
      <c r="BN384" s="328"/>
      <c r="BO384" s="328"/>
      <c r="BP384" s="328"/>
      <c r="BQ384" s="328"/>
      <c r="BR384" s="6"/>
      <c r="BS384" s="9"/>
      <c r="BT384" s="9"/>
      <c r="BU384" s="9"/>
      <c r="BV384" s="9"/>
    </row>
    <row r="385" customFormat="false" ht="15" hidden="false" customHeight="false" outlineLevel="0" collapsed="false">
      <c r="A385" s="228"/>
      <c r="B385" s="229"/>
      <c r="C385" s="230"/>
      <c r="D385" s="231"/>
      <c r="E385" s="223" t="str">
        <f aca="false">IF(SUM(A385:D385)&gt;0,SUM(A385:D385),"")</f>
        <v/>
      </c>
      <c r="F385" s="224" t="str">
        <f aca="false">AD398</f>
        <v>CLEMENTINA-CAQUI</v>
      </c>
      <c r="G385" s="169"/>
      <c r="H385" s="169"/>
      <c r="I385" s="169"/>
      <c r="J385" s="169"/>
      <c r="K385" s="169"/>
      <c r="L385" s="169"/>
      <c r="M385" s="169"/>
      <c r="N385" s="169"/>
      <c r="O385" s="169"/>
      <c r="P385" s="169"/>
      <c r="Q385" s="169"/>
      <c r="R385" s="3"/>
      <c r="S385" s="3"/>
      <c r="T385" s="3"/>
      <c r="U385" s="3"/>
      <c r="V385" s="3"/>
      <c r="W385" s="3"/>
      <c r="X385" s="3"/>
      <c r="Y385" s="3"/>
      <c r="Z385" s="316" t="str">
        <f aca="false">IF(AF385&gt;0,RANK(AF385,AF$6:AF$422),"")</f>
        <v/>
      </c>
      <c r="AA385" s="134" t="n">
        <f aca="false">'O_MN, PE_UTA_UGM 2024'!N362</f>
        <v>1</v>
      </c>
      <c r="AB385" s="135" t="n">
        <f aca="false">'O_MN, PE_UTA_UGM 2024'!O362</f>
        <v>0</v>
      </c>
      <c r="AC385" s="317" t="n">
        <f aca="false">'O_MN, PE_UTA_UGM 2024'!C362</f>
        <v>496</v>
      </c>
      <c r="AD385" s="293" t="str">
        <f aca="false">IF(AB385=0,'O_MN, PE_UTA_UGM 2024'!F362,CONCATENATE('O_MN, PE_UTA_UGM 2024'!F362," ","INVERNADERO"))</f>
        <v>MEZCLA RAYGRASS-TREBOL</v>
      </c>
      <c r="AE385" s="89"/>
      <c r="AF385" s="123" t="n">
        <f aca="false">SUM(AG385:AH385)+SUM(AJ385:AK385)</f>
        <v>0</v>
      </c>
      <c r="AG385" s="318" t="n">
        <f aca="false">A372</f>
        <v>0</v>
      </c>
      <c r="AH385" s="319" t="n">
        <f aca="false">B372</f>
        <v>0</v>
      </c>
      <c r="AI385" s="6"/>
      <c r="AJ385" s="320" t="n">
        <f aca="false">C372</f>
        <v>0</v>
      </c>
      <c r="AK385" s="320" t="n">
        <f aca="false">D372</f>
        <v>0</v>
      </c>
      <c r="AL385" s="176"/>
      <c r="AM385" s="299" t="n">
        <f aca="false">'O_MN, PE_UTA_UGM 2024'!J362</f>
        <v>400</v>
      </c>
      <c r="AN385" s="299" t="n">
        <f aca="false">'O_MN, PE_UTA_UGM 2024'!K362</f>
        <v>1000</v>
      </c>
      <c r="AO385" s="300"/>
      <c r="AP385" s="299" t="n">
        <f aca="false">'O_MN, PE_UTA_UGM 2024'!H362</f>
        <v>114.19</v>
      </c>
      <c r="AQ385" s="299" t="n">
        <f aca="false">'O_MN, PE_UTA_UGM 2024'!I362</f>
        <v>240.4</v>
      </c>
      <c r="AR385" s="301"/>
      <c r="AS385" s="302" t="n">
        <f aca="false">'O_MN, PE_UTA_UGM 2024'!L362</f>
        <v>0.00465</v>
      </c>
      <c r="AT385" s="302" t="n">
        <f aca="false">'O_MN, PE_UTA_UGM 2024'!M362</f>
        <v>0.0098</v>
      </c>
      <c r="AU385" s="3"/>
      <c r="AV385" s="321" t="n">
        <f aca="false">AG385*AM385</f>
        <v>0</v>
      </c>
      <c r="AW385" s="319" t="n">
        <f aca="false">AH385*AN385</f>
        <v>0</v>
      </c>
      <c r="AX385" s="320" t="n">
        <f aca="false">1.25*AJ385*AM385</f>
        <v>0</v>
      </c>
      <c r="AY385" s="322" t="n">
        <f aca="false">1.25*AK385*AN385</f>
        <v>0</v>
      </c>
      <c r="AZ385" s="323" t="n">
        <f aca="false">AG385*AP385</f>
        <v>0</v>
      </c>
      <c r="BA385" s="319" t="n">
        <f aca="false">AH385*AQ385</f>
        <v>0</v>
      </c>
      <c r="BB385" s="320" t="n">
        <f aca="false">1.25*AJ385*AP385</f>
        <v>0</v>
      </c>
      <c r="BC385" s="320" t="n">
        <f aca="false">1.25*AK385*AQ385</f>
        <v>0</v>
      </c>
      <c r="BD385" s="321" t="n">
        <f aca="false">AG385*AS385</f>
        <v>0</v>
      </c>
      <c r="BE385" s="319" t="n">
        <f aca="false">AH385*AT385</f>
        <v>0</v>
      </c>
      <c r="BF385" s="320" t="n">
        <f aca="false">AJ385*AS385</f>
        <v>0</v>
      </c>
      <c r="BG385" s="322" t="n">
        <f aca="false">AK385*AT385</f>
        <v>0</v>
      </c>
      <c r="BH385" s="324" t="n">
        <f aca="false">IF(BH$24=$AA385,($AG385*$AM385)+($AJ385*$AM385*1.25)+($AH385*$AN385)+($AK385*$AN385*1.25),"")</f>
        <v>0</v>
      </c>
      <c r="BI385" s="325" t="str">
        <f aca="false">IF(BI$24=$AA385,($AG385*$AM385)+($AJ385*$AM385*1.25)+($AH385*$AN385)+($AK385*$AN385*1.25),"")</f>
        <v/>
      </c>
      <c r="BJ385" s="325" t="str">
        <f aca="false">IF(BJ$24=$AA385,($AG385*$AM385)+($AJ385*$AM385*1.25)+($AH385*$AN385)+($AK385*$AN385*1.25),"")</f>
        <v/>
      </c>
      <c r="BK385" s="325" t="str">
        <f aca="false">IF(BK$24=$AA385,($AG385*$AM385)+($AJ385*$AM385*1.25)+($AH385*$AN385)+($AK385*$AN385*1.25),"")</f>
        <v/>
      </c>
      <c r="BL385" s="326" t="str">
        <f aca="false">IF(BL$24=$AA385,($AG385*$AM385)+($AJ385*$AM385*1.25)+($AH385*$AN385)+($AK385*$AN385*1.25),"")</f>
        <v/>
      </c>
      <c r="BM385" s="327" t="str">
        <f aca="false">IF(CONCATENATE(BH385,BI385,BJ385,BK385,BL385)="",1,"")</f>
        <v/>
      </c>
      <c r="BN385" s="328"/>
      <c r="BO385" s="328"/>
      <c r="BP385" s="328"/>
      <c r="BQ385" s="328"/>
      <c r="BR385" s="6"/>
      <c r="BS385" s="9"/>
      <c r="BT385" s="9"/>
      <c r="BU385" s="9"/>
      <c r="BV385" s="9"/>
    </row>
    <row r="386" customFormat="false" ht="15" hidden="false" customHeight="false" outlineLevel="0" collapsed="false">
      <c r="A386" s="228"/>
      <c r="B386" s="229"/>
      <c r="C386" s="230"/>
      <c r="D386" s="231"/>
      <c r="E386" s="223" t="str">
        <f aca="false">IF(SUM(A386:D386)&gt;0,SUM(A386:D386),"")</f>
        <v/>
      </c>
      <c r="F386" s="224" t="str">
        <f aca="false">AD399</f>
        <v>SATSUMA-CAQUI</v>
      </c>
      <c r="G386" s="169"/>
      <c r="H386" s="169"/>
      <c r="I386" s="169"/>
      <c r="J386" s="169"/>
      <c r="K386" s="169"/>
      <c r="L386" s="169"/>
      <c r="M386" s="169"/>
      <c r="N386" s="169"/>
      <c r="O386" s="169"/>
      <c r="P386" s="169"/>
      <c r="Q386" s="169"/>
      <c r="R386" s="3"/>
      <c r="S386" s="3"/>
      <c r="T386" s="3"/>
      <c r="U386" s="3"/>
      <c r="V386" s="3"/>
      <c r="W386" s="3"/>
      <c r="X386" s="3"/>
      <c r="Y386" s="3"/>
      <c r="Z386" s="316" t="str">
        <f aca="false">IF(AF386&gt;0,RANK(AF386,AF$6:AF$422),"")</f>
        <v/>
      </c>
      <c r="AA386" s="134" t="n">
        <f aca="false">'O_MN, PE_UTA_UGM 2024'!N363</f>
        <v>1</v>
      </c>
      <c r="AB386" s="135" t="n">
        <f aca="false">'O_MN, PE_UTA_UGM 2024'!O363</f>
        <v>0</v>
      </c>
      <c r="AC386" s="317" t="n">
        <f aca="false">'O_MN, PE_UTA_UGM 2024'!C363</f>
        <v>904</v>
      </c>
      <c r="AD386" s="293" t="str">
        <f aca="false">IF(AB386=0,'O_MN, PE_UTA_UGM 2024'!F363,CONCATENATE('O_MN, PE_UTA_UGM 2024'!F363," ","INVERNADERO"))</f>
        <v>CROTALARIA JUNCEA</v>
      </c>
      <c r="AE386" s="89"/>
      <c r="AF386" s="123" t="n">
        <f aca="false">SUM(AG386:AH386)+SUM(AJ386:AK386)</f>
        <v>0</v>
      </c>
      <c r="AG386" s="318" t="n">
        <f aca="false">A373</f>
        <v>0</v>
      </c>
      <c r="AH386" s="319" t="n">
        <f aca="false">B373</f>
        <v>0</v>
      </c>
      <c r="AI386" s="6"/>
      <c r="AJ386" s="320" t="n">
        <f aca="false">C373</f>
        <v>0</v>
      </c>
      <c r="AK386" s="320" t="n">
        <f aca="false">D373</f>
        <v>0</v>
      </c>
      <c r="AL386" s="176"/>
      <c r="AM386" s="299" t="n">
        <f aca="false">'O_MN, PE_UTA_UGM 2024'!J363</f>
        <v>700</v>
      </c>
      <c r="AN386" s="299" t="n">
        <f aca="false">'O_MN, PE_UTA_UGM 2024'!K363</f>
        <v>1800</v>
      </c>
      <c r="AO386" s="300"/>
      <c r="AP386" s="299" t="n">
        <f aca="false">'O_MN, PE_UTA_UGM 2024'!H363</f>
        <v>114.19</v>
      </c>
      <c r="AQ386" s="299" t="n">
        <f aca="false">'O_MN, PE_UTA_UGM 2024'!I363</f>
        <v>240.4</v>
      </c>
      <c r="AR386" s="301"/>
      <c r="AS386" s="302" t="n">
        <f aca="false">'O_MN, PE_UTA_UGM 2024'!L363</f>
        <v>0.00465</v>
      </c>
      <c r="AT386" s="302" t="n">
        <f aca="false">'O_MN, PE_UTA_UGM 2024'!M363</f>
        <v>0.0098</v>
      </c>
      <c r="AU386" s="3"/>
      <c r="AV386" s="321" t="n">
        <f aca="false">AG386*AM386</f>
        <v>0</v>
      </c>
      <c r="AW386" s="319" t="n">
        <f aca="false">AH386*AN386</f>
        <v>0</v>
      </c>
      <c r="AX386" s="320" t="n">
        <f aca="false">1.25*AJ386*AM386</f>
        <v>0</v>
      </c>
      <c r="AY386" s="322" t="n">
        <f aca="false">1.25*AK386*AN386</f>
        <v>0</v>
      </c>
      <c r="AZ386" s="323" t="n">
        <f aca="false">AG386*AP386</f>
        <v>0</v>
      </c>
      <c r="BA386" s="319" t="n">
        <f aca="false">AH386*AQ386</f>
        <v>0</v>
      </c>
      <c r="BB386" s="320" t="n">
        <f aca="false">1.25*AJ386*AP386</f>
        <v>0</v>
      </c>
      <c r="BC386" s="320" t="n">
        <f aca="false">1.25*AK386*AQ386</f>
        <v>0</v>
      </c>
      <c r="BD386" s="321" t="n">
        <f aca="false">AG386*AS386</f>
        <v>0</v>
      </c>
      <c r="BE386" s="319" t="n">
        <f aca="false">AH386*AT386</f>
        <v>0</v>
      </c>
      <c r="BF386" s="320" t="n">
        <f aca="false">AJ386*AS386</f>
        <v>0</v>
      </c>
      <c r="BG386" s="322" t="n">
        <f aca="false">AK386*AT386</f>
        <v>0</v>
      </c>
      <c r="BH386" s="324" t="n">
        <f aca="false">IF(BH$24=$AA386,($AG386*$AM386)+($AJ386*$AM386*1.25)+($AH386*$AN386)+($AK386*$AN386*1.25),"")</f>
        <v>0</v>
      </c>
      <c r="BI386" s="325" t="str">
        <f aca="false">IF(BI$24=$AA386,($AG386*$AM386)+($AJ386*$AM386*1.25)+($AH386*$AN386)+($AK386*$AN386*1.25),"")</f>
        <v/>
      </c>
      <c r="BJ386" s="325" t="str">
        <f aca="false">IF(BJ$24=$AA386,($AG386*$AM386)+($AJ386*$AM386*1.25)+($AH386*$AN386)+($AK386*$AN386*1.25),"")</f>
        <v/>
      </c>
      <c r="BK386" s="325" t="str">
        <f aca="false">IF(BK$24=$AA386,($AG386*$AM386)+($AJ386*$AM386*1.25)+($AH386*$AN386)+($AK386*$AN386*1.25),"")</f>
        <v/>
      </c>
      <c r="BL386" s="326" t="str">
        <f aca="false">IF(BL$24=$AA386,($AG386*$AM386)+($AJ386*$AM386*1.25)+($AH386*$AN386)+($AK386*$AN386*1.25),"")</f>
        <v/>
      </c>
      <c r="BM386" s="327" t="str">
        <f aca="false">IF(CONCATENATE(BH386,BI386,BJ386,BK386,BL386)="",1,"")</f>
        <v/>
      </c>
      <c r="BN386" s="328"/>
      <c r="BO386" s="328"/>
      <c r="BP386" s="328"/>
      <c r="BQ386" s="328"/>
      <c r="BR386" s="6"/>
      <c r="BS386" s="9"/>
      <c r="BT386" s="9"/>
      <c r="BU386" s="9"/>
      <c r="BV386" s="9"/>
    </row>
    <row r="387" customFormat="false" ht="15" hidden="false" customHeight="false" outlineLevel="0" collapsed="false">
      <c r="A387" s="228"/>
      <c r="B387" s="229"/>
      <c r="C387" s="230"/>
      <c r="D387" s="231"/>
      <c r="E387" s="223" t="str">
        <f aca="false">IF(SUM(A387:D387)&gt;0,SUM(A387:D387),"")</f>
        <v/>
      </c>
      <c r="F387" s="224" t="n">
        <f aca="false">AD400</f>
        <v>0</v>
      </c>
      <c r="G387" s="169"/>
      <c r="H387" s="169"/>
      <c r="I387" s="169"/>
      <c r="J387" s="169"/>
      <c r="K387" s="169"/>
      <c r="L387" s="169"/>
      <c r="M387" s="169"/>
      <c r="N387" s="169"/>
      <c r="O387" s="169"/>
      <c r="P387" s="169"/>
      <c r="Q387" s="169"/>
      <c r="R387" s="3"/>
      <c r="S387" s="3"/>
      <c r="T387" s="3"/>
      <c r="U387" s="3"/>
      <c r="V387" s="3"/>
      <c r="W387" s="3"/>
      <c r="X387" s="3"/>
      <c r="Y387" s="3"/>
      <c r="Z387" s="316" t="str">
        <f aca="false">IF(AF387&gt;0,RANK(AF387,AF$6:AF$422),"")</f>
        <v/>
      </c>
      <c r="AA387" s="134" t="n">
        <f aca="false">'O_MN, PE_UTA_UGM 2024'!N364</f>
        <v>2</v>
      </c>
      <c r="AB387" s="135" t="n">
        <f aca="false">'O_MN, PE_UTA_UGM 2024'!O364</f>
        <v>0</v>
      </c>
      <c r="AC387" s="317" t="n">
        <f aca="false">'O_MN, PE_UTA_UGM 2024'!C364</f>
        <v>915</v>
      </c>
      <c r="AD387" s="293" t="str">
        <f aca="false">IF(AB387=0,'O_MN, PE_UTA_UGM 2024'!F364,CONCATENATE('O_MN, PE_UTA_UGM 2024'!F364," ","INVERNADERO"))</f>
        <v>LIMA</v>
      </c>
      <c r="AE387" s="89"/>
      <c r="AF387" s="123" t="n">
        <f aca="false">SUM(AG387:AH387)+SUM(AJ387:AK387)</f>
        <v>0</v>
      </c>
      <c r="AG387" s="318" t="n">
        <f aca="false">A374</f>
        <v>0</v>
      </c>
      <c r="AH387" s="319" t="n">
        <f aca="false">B374</f>
        <v>0</v>
      </c>
      <c r="AI387" s="6"/>
      <c r="AJ387" s="320" t="n">
        <f aca="false">C374</f>
        <v>0</v>
      </c>
      <c r="AK387" s="320" t="n">
        <f aca="false">D374</f>
        <v>0</v>
      </c>
      <c r="AL387" s="176"/>
      <c r="AM387" s="299" t="n">
        <f aca="false">'O_MN, PE_UTA_UGM 2024'!J364</f>
        <v>1939.8</v>
      </c>
      <c r="AN387" s="299" t="n">
        <f aca="false">'O_MN, PE_UTA_UGM 2024'!K364</f>
        <v>6000</v>
      </c>
      <c r="AO387" s="300"/>
      <c r="AP387" s="299" t="n">
        <f aca="false">'O_MN, PE_UTA_UGM 2024'!H364</f>
        <v>480.81</v>
      </c>
      <c r="AQ387" s="299" t="n">
        <f aca="false">'O_MN, PE_UTA_UGM 2024'!I364</f>
        <v>1442.43</v>
      </c>
      <c r="AR387" s="301"/>
      <c r="AS387" s="302" t="n">
        <f aca="false">'O_MN, PE_UTA_UGM 2024'!L364</f>
        <v>0.0196</v>
      </c>
      <c r="AT387" s="302" t="n">
        <f aca="false">'O_MN, PE_UTA_UGM 2024'!M364</f>
        <v>0.05879</v>
      </c>
      <c r="AU387" s="3"/>
      <c r="AV387" s="321" t="n">
        <f aca="false">AG387*AM387</f>
        <v>0</v>
      </c>
      <c r="AW387" s="319" t="n">
        <f aca="false">AH387*AN387</f>
        <v>0</v>
      </c>
      <c r="AX387" s="320" t="n">
        <f aca="false">1.25*AJ387*AM387</f>
        <v>0</v>
      </c>
      <c r="AY387" s="322" t="n">
        <f aca="false">1.25*AK387*AN387</f>
        <v>0</v>
      </c>
      <c r="AZ387" s="323" t="n">
        <f aca="false">AG387*AP387</f>
        <v>0</v>
      </c>
      <c r="BA387" s="319" t="n">
        <f aca="false">AH387*AQ387</f>
        <v>0</v>
      </c>
      <c r="BB387" s="320" t="n">
        <f aca="false">1.25*AJ387*AP387</f>
        <v>0</v>
      </c>
      <c r="BC387" s="320" t="n">
        <f aca="false">1.25*AK387*AQ387</f>
        <v>0</v>
      </c>
      <c r="BD387" s="321" t="n">
        <f aca="false">AG387*AS387</f>
        <v>0</v>
      </c>
      <c r="BE387" s="319" t="n">
        <f aca="false">AH387*AT387</f>
        <v>0</v>
      </c>
      <c r="BF387" s="320" t="n">
        <f aca="false">AJ387*AS387</f>
        <v>0</v>
      </c>
      <c r="BG387" s="322" t="n">
        <f aca="false">AK387*AT387</f>
        <v>0</v>
      </c>
      <c r="BH387" s="324" t="str">
        <f aca="false">IF(BH$24=$AA387,($AG387*$AM387)+($AJ387*$AM387*1.25)+($AH387*$AN387)+($AK387*$AN387*1.25),"")</f>
        <v/>
      </c>
      <c r="BI387" s="325" t="n">
        <f aca="false">IF(BI$24=$AA387,($AG387*$AM387)+($AJ387*$AM387*1.25)+($AH387*$AN387)+($AK387*$AN387*1.25),"")</f>
        <v>0</v>
      </c>
      <c r="BJ387" s="325" t="str">
        <f aca="false">IF(BJ$24=$AA387,($AG387*$AM387)+($AJ387*$AM387*1.25)+($AH387*$AN387)+($AK387*$AN387*1.25),"")</f>
        <v/>
      </c>
      <c r="BK387" s="325" t="str">
        <f aca="false">IF(BK$24=$AA387,($AG387*$AM387)+($AJ387*$AM387*1.25)+($AH387*$AN387)+($AK387*$AN387*1.25),"")</f>
        <v/>
      </c>
      <c r="BL387" s="326" t="str">
        <f aca="false">IF(BL$24=$AA387,($AG387*$AM387)+($AJ387*$AM387*1.25)+($AH387*$AN387)+($AK387*$AN387*1.25),"")</f>
        <v/>
      </c>
      <c r="BM387" s="327" t="str">
        <f aca="false">IF(CONCATENATE(BH387,BI387,BJ387,BK387,BL387)="",1,"")</f>
        <v/>
      </c>
      <c r="BN387" s="328"/>
      <c r="BO387" s="328"/>
      <c r="BP387" s="328"/>
      <c r="BQ387" s="328"/>
      <c r="BR387" s="6"/>
      <c r="BS387" s="9"/>
      <c r="BT387" s="9"/>
      <c r="BU387" s="9"/>
      <c r="BV387" s="9"/>
    </row>
    <row r="388" customFormat="false" ht="15" hidden="false" customHeight="false" outlineLevel="0" collapsed="false">
      <c r="A388" s="228"/>
      <c r="B388" s="229"/>
      <c r="C388" s="230"/>
      <c r="D388" s="231"/>
      <c r="E388" s="223" t="str">
        <f aca="false">IF(SUM(A388:D388)&gt;0,SUM(A388:D388),"")</f>
        <v/>
      </c>
      <c r="F388" s="224" t="n">
        <f aca="false">AD401</f>
        <v>0</v>
      </c>
      <c r="G388" s="169"/>
      <c r="H388" s="169"/>
      <c r="I388" s="169"/>
      <c r="J388" s="169"/>
      <c r="K388" s="169"/>
      <c r="L388" s="169"/>
      <c r="M388" s="169"/>
      <c r="N388" s="169"/>
      <c r="O388" s="169"/>
      <c r="P388" s="169"/>
      <c r="Q388" s="169"/>
      <c r="R388" s="3"/>
      <c r="S388" s="3"/>
      <c r="T388" s="3"/>
      <c r="U388" s="3"/>
      <c r="V388" s="3"/>
      <c r="W388" s="3"/>
      <c r="X388" s="3"/>
      <c r="Y388" s="3"/>
      <c r="Z388" s="316" t="str">
        <f aca="false">IF(AF388&gt;0,RANK(AF388,AF$6:AF$422),"")</f>
        <v/>
      </c>
      <c r="AA388" s="134" t="n">
        <f aca="false">'O_MN, PE_UTA_UGM 2024'!N365</f>
        <v>4</v>
      </c>
      <c r="AB388" s="135" t="n">
        <f aca="false">'O_MN, PE_UTA_UGM 2024'!O365</f>
        <v>0</v>
      </c>
      <c r="AC388" s="317" t="n">
        <f aca="false">'O_MN, PE_UTA_UGM 2024'!C365</f>
        <v>916</v>
      </c>
      <c r="AD388" s="293" t="str">
        <f aca="false">IF(AB388=0,'O_MN, PE_UTA_UGM 2024'!F365,CONCATENATE('O_MN, PE_UTA_UGM 2024'!F365," ","INVERNADERO"))</f>
        <v>KALE</v>
      </c>
      <c r="AE388" s="89"/>
      <c r="AF388" s="123" t="n">
        <f aca="false">SUM(AG388:AH388)+SUM(AJ388:AK388)</f>
        <v>0</v>
      </c>
      <c r="AG388" s="318" t="n">
        <f aca="false">A375</f>
        <v>0</v>
      </c>
      <c r="AH388" s="319" t="n">
        <f aca="false">B375</f>
        <v>0</v>
      </c>
      <c r="AI388" s="6"/>
      <c r="AJ388" s="320" t="n">
        <f aca="false">C375</f>
        <v>0</v>
      </c>
      <c r="AK388" s="320" t="n">
        <f aca="false">D375</f>
        <v>0</v>
      </c>
      <c r="AL388" s="176"/>
      <c r="AM388" s="299" t="n">
        <f aca="false">'O_MN, PE_UTA_UGM 2024'!J365</f>
        <v>575</v>
      </c>
      <c r="AN388" s="299" t="n">
        <f aca="false">'O_MN, PE_UTA_UGM 2024'!K365</f>
        <v>5200</v>
      </c>
      <c r="AO388" s="300"/>
      <c r="AP388" s="299" t="n">
        <f aca="false">'O_MN, PE_UTA_UGM 2024'!H365</f>
        <v>360.61</v>
      </c>
      <c r="AQ388" s="299" t="n">
        <f aca="false">'O_MN, PE_UTA_UGM 2024'!I365</f>
        <v>1352.28</v>
      </c>
      <c r="AR388" s="301"/>
      <c r="AS388" s="302" t="n">
        <f aca="false">'O_MN, PE_UTA_UGM 2024'!L365</f>
        <v>0.0147</v>
      </c>
      <c r="AT388" s="302" t="n">
        <f aca="false">'O_MN, PE_UTA_UGM 2024'!M365</f>
        <v>0.05512</v>
      </c>
      <c r="AU388" s="3"/>
      <c r="AV388" s="321" t="n">
        <f aca="false">AG388*AM388</f>
        <v>0</v>
      </c>
      <c r="AW388" s="319" t="n">
        <f aca="false">AH388*AN388</f>
        <v>0</v>
      </c>
      <c r="AX388" s="320" t="n">
        <f aca="false">1.25*AJ388*AM388</f>
        <v>0</v>
      </c>
      <c r="AY388" s="322" t="n">
        <f aca="false">1.25*AK388*AN388</f>
        <v>0</v>
      </c>
      <c r="AZ388" s="323" t="n">
        <f aca="false">AG388*AP388</f>
        <v>0</v>
      </c>
      <c r="BA388" s="319" t="n">
        <f aca="false">AH388*AQ388</f>
        <v>0</v>
      </c>
      <c r="BB388" s="320" t="n">
        <f aca="false">1.25*AJ388*AP388</f>
        <v>0</v>
      </c>
      <c r="BC388" s="320" t="n">
        <f aca="false">1.25*AK388*AQ388</f>
        <v>0</v>
      </c>
      <c r="BD388" s="321" t="n">
        <f aca="false">AG388*AS388</f>
        <v>0</v>
      </c>
      <c r="BE388" s="319" t="n">
        <f aca="false">AH388*AT388</f>
        <v>0</v>
      </c>
      <c r="BF388" s="320" t="n">
        <f aca="false">AJ388*AS388</f>
        <v>0</v>
      </c>
      <c r="BG388" s="322" t="n">
        <f aca="false">AK388*AT388</f>
        <v>0</v>
      </c>
      <c r="BH388" s="324" t="str">
        <f aca="false">IF(BH$24=$AA388,($AG388*$AM388)+($AJ388*$AM388*1.25)+($AH388*$AN388)+($AK388*$AN388*1.25),"")</f>
        <v/>
      </c>
      <c r="BI388" s="325" t="str">
        <f aca="false">IF(BI$24=$AA388,($AG388*$AM388)+($AJ388*$AM388*1.25)+($AH388*$AN388)+($AK388*$AN388*1.25),"")</f>
        <v/>
      </c>
      <c r="BJ388" s="325" t="str">
        <f aca="false">IF(BJ$24=$AA388,($AG388*$AM388)+($AJ388*$AM388*1.25)+($AH388*$AN388)+($AK388*$AN388*1.25),"")</f>
        <v/>
      </c>
      <c r="BK388" s="325" t="n">
        <f aca="false">IF(BK$24=$AA388,($AG388*$AM388)+($AJ388*$AM388*1.25)+($AH388*$AN388)+($AK388*$AN388*1.25),"")</f>
        <v>0</v>
      </c>
      <c r="BL388" s="326" t="str">
        <f aca="false">IF(BL$24=$AA388,($AG388*$AM388)+($AJ388*$AM388*1.25)+($AH388*$AN388)+($AK388*$AN388*1.25),"")</f>
        <v/>
      </c>
      <c r="BM388" s="327" t="str">
        <f aca="false">IF(CONCATENATE(BH388,BI388,BJ388,BK388,BL388)="",1,"")</f>
        <v/>
      </c>
      <c r="BN388" s="328"/>
      <c r="BO388" s="328"/>
      <c r="BP388" s="328"/>
      <c r="BQ388" s="328"/>
      <c r="BR388" s="6"/>
      <c r="BS388" s="9"/>
      <c r="BT388" s="9"/>
      <c r="BU388" s="9"/>
      <c r="BV388" s="9"/>
    </row>
    <row r="389" customFormat="false" ht="15.75" hidden="false" customHeight="false" outlineLevel="0" collapsed="false">
      <c r="A389" s="330"/>
      <c r="C389" s="3"/>
      <c r="D389" s="3"/>
      <c r="E389" s="175"/>
      <c r="F389" s="161"/>
      <c r="G389" s="169"/>
      <c r="H389" s="169"/>
      <c r="I389" s="169"/>
      <c r="J389" s="169"/>
      <c r="K389" s="169"/>
      <c r="L389" s="169"/>
      <c r="M389" s="169"/>
      <c r="N389" s="169"/>
      <c r="O389" s="169"/>
      <c r="P389" s="169"/>
      <c r="Q389" s="169"/>
      <c r="R389" s="3"/>
      <c r="S389" s="3"/>
      <c r="T389" s="3"/>
      <c r="U389" s="3"/>
      <c r="V389" s="3"/>
      <c r="W389" s="3"/>
      <c r="X389" s="3"/>
      <c r="Y389" s="3"/>
      <c r="Z389" s="316" t="str">
        <f aca="false">IF(AF389&gt;0,RANK(AF389,AF$6:AF$422),"")</f>
        <v/>
      </c>
      <c r="AA389" s="134" t="n">
        <f aca="false">'O_MN, PE_UTA_UGM 2024'!N366</f>
        <v>4</v>
      </c>
      <c r="AB389" s="135" t="n">
        <f aca="false">'O_MN, PE_UTA_UGM 2024'!O366</f>
        <v>0</v>
      </c>
      <c r="AC389" s="317" t="n">
        <f aca="false">'O_MN, PE_UTA_UGM 2024'!C366</f>
        <v>927</v>
      </c>
      <c r="AD389" s="293" t="str">
        <f aca="false">IF(AB389=0,'O_MN, PE_UTA_UGM 2024'!F366,CONCATENATE('O_MN, PE_UTA_UGM 2024'!F366," ","INVERNADERO"))</f>
        <v>OKRA</v>
      </c>
      <c r="AE389" s="89"/>
      <c r="AF389" s="123" t="n">
        <f aca="false">SUM(AG389:AH389)+SUM(AJ389:AK389)</f>
        <v>0</v>
      </c>
      <c r="AG389" s="318" t="n">
        <f aca="false">A376</f>
        <v>0</v>
      </c>
      <c r="AH389" s="319" t="n">
        <f aca="false">B376</f>
        <v>0</v>
      </c>
      <c r="AI389" s="6"/>
      <c r="AJ389" s="320" t="n">
        <f aca="false">C376</f>
        <v>0</v>
      </c>
      <c r="AK389" s="320" t="n">
        <f aca="false">D376</f>
        <v>0</v>
      </c>
      <c r="AL389" s="176"/>
      <c r="AM389" s="299" t="n">
        <f aca="false">'O_MN, PE_UTA_UGM 2024'!J366</f>
        <v>575</v>
      </c>
      <c r="AN389" s="299" t="n">
        <f aca="false">'O_MN, PE_UTA_UGM 2024'!K366</f>
        <v>5200</v>
      </c>
      <c r="AO389" s="300"/>
      <c r="AP389" s="299" t="n">
        <f aca="false">'O_MN, PE_UTA_UGM 2024'!H366</f>
        <v>360.61</v>
      </c>
      <c r="AQ389" s="299" t="n">
        <f aca="false">'O_MN, PE_UTA_UGM 2024'!I366</f>
        <v>1352.28</v>
      </c>
      <c r="AR389" s="301"/>
      <c r="AS389" s="302" t="n">
        <f aca="false">'O_MN, PE_UTA_UGM 2024'!L366</f>
        <v>0.0147</v>
      </c>
      <c r="AT389" s="302" t="n">
        <f aca="false">'O_MN, PE_UTA_UGM 2024'!M366</f>
        <v>0.05512</v>
      </c>
      <c r="AU389" s="3"/>
      <c r="AV389" s="321" t="n">
        <f aca="false">AG389*AM389</f>
        <v>0</v>
      </c>
      <c r="AW389" s="319" t="n">
        <f aca="false">AH389*AN389</f>
        <v>0</v>
      </c>
      <c r="AX389" s="320" t="n">
        <f aca="false">1.25*AJ389*AM389</f>
        <v>0</v>
      </c>
      <c r="AY389" s="322" t="n">
        <f aca="false">1.25*AK389*AN389</f>
        <v>0</v>
      </c>
      <c r="AZ389" s="323" t="n">
        <f aca="false">AG389*AP389</f>
        <v>0</v>
      </c>
      <c r="BA389" s="319" t="n">
        <f aca="false">AH389*AQ389</f>
        <v>0</v>
      </c>
      <c r="BB389" s="320" t="n">
        <f aca="false">1.25*AJ389*AP389</f>
        <v>0</v>
      </c>
      <c r="BC389" s="320" t="n">
        <f aca="false">1.25*AK389*AQ389</f>
        <v>0</v>
      </c>
      <c r="BD389" s="321" t="n">
        <f aca="false">AG389*AS389</f>
        <v>0</v>
      </c>
      <c r="BE389" s="319" t="n">
        <f aca="false">AH389*AT389</f>
        <v>0</v>
      </c>
      <c r="BF389" s="320" t="n">
        <f aca="false">AJ389*AS389</f>
        <v>0</v>
      </c>
      <c r="BG389" s="322" t="n">
        <f aca="false">AK389*AT389</f>
        <v>0</v>
      </c>
      <c r="BH389" s="324" t="str">
        <f aca="false">IF(BH$24=$AA389,($AG389*$AM389)+($AJ389*$AM389*1.25)+($AH389*$AN389)+($AK389*$AN389*1.25),"")</f>
        <v/>
      </c>
      <c r="BI389" s="325" t="str">
        <f aca="false">IF(BI$24=$AA389,($AG389*$AM389)+($AJ389*$AM389*1.25)+($AH389*$AN389)+($AK389*$AN389*1.25),"")</f>
        <v/>
      </c>
      <c r="BJ389" s="325" t="str">
        <f aca="false">IF(BJ$24=$AA389,($AG389*$AM389)+($AJ389*$AM389*1.25)+($AH389*$AN389)+($AK389*$AN389*1.25),"")</f>
        <v/>
      </c>
      <c r="BK389" s="325" t="n">
        <f aca="false">IF(BK$24=$AA389,($AG389*$AM389)+($AJ389*$AM389*1.25)+($AH389*$AN389)+($AK389*$AN389*1.25),"")</f>
        <v>0</v>
      </c>
      <c r="BL389" s="326" t="str">
        <f aca="false">IF(BL$24=$AA389,($AG389*$AM389)+($AJ389*$AM389*1.25)+($AH389*$AN389)+($AK389*$AN389*1.25),"")</f>
        <v/>
      </c>
      <c r="BM389" s="327" t="str">
        <f aca="false">IF(CONCATENATE(BH389,BI389,BJ389,BK389,BL389)="",1,"")</f>
        <v/>
      </c>
      <c r="BN389" s="328"/>
      <c r="BO389" s="328"/>
      <c r="BP389" s="328"/>
      <c r="BQ389" s="328"/>
      <c r="BR389" s="6"/>
      <c r="BS389" s="9"/>
      <c r="BT389" s="9"/>
      <c r="BU389" s="9"/>
      <c r="BV389" s="9"/>
    </row>
    <row r="390" customFormat="false" ht="15.75" hidden="false" customHeight="false" outlineLevel="0" collapsed="false">
      <c r="A390" s="330"/>
      <c r="C390" s="3"/>
      <c r="D390" s="3"/>
      <c r="E390" s="175"/>
      <c r="F390" s="161"/>
      <c r="G390" s="169"/>
      <c r="H390" s="169"/>
      <c r="I390" s="169"/>
      <c r="J390" s="169"/>
      <c r="K390" s="169"/>
      <c r="L390" s="169"/>
      <c r="M390" s="169"/>
      <c r="N390" s="169"/>
      <c r="O390" s="169"/>
      <c r="P390" s="169"/>
      <c r="Q390" s="169"/>
      <c r="R390" s="3"/>
      <c r="S390" s="3"/>
      <c r="T390" s="3"/>
      <c r="U390" s="3"/>
      <c r="V390" s="3"/>
      <c r="W390" s="3"/>
      <c r="X390" s="3"/>
      <c r="Y390" s="3"/>
      <c r="Z390" s="316" t="str">
        <f aca="false">IF(AF390&gt;0,RANK(AF390,AF$6:AF$422),"")</f>
        <v/>
      </c>
      <c r="AA390" s="134" t="n">
        <f aca="false">'O_MN, PE_UTA_UGM 2024'!N367</f>
        <v>4</v>
      </c>
      <c r="AB390" s="135" t="n">
        <f aca="false">'O_MN, PE_UTA_UGM 2024'!O367</f>
        <v>0</v>
      </c>
      <c r="AC390" s="317" t="n">
        <f aca="false">'O_MN, PE_UTA_UGM 2024'!C367</f>
        <v>938</v>
      </c>
      <c r="AD390" s="293" t="str">
        <f aca="false">IF(AB390=0,'O_MN, PE_UTA_UGM 2024'!F367,CONCATENATE('O_MN, PE_UTA_UGM 2024'!F367," ","INVERNADERO"))</f>
        <v>FRESÓN</v>
      </c>
      <c r="AE390" s="89"/>
      <c r="AF390" s="123" t="n">
        <f aca="false">SUM(AG390:AH390)+SUM(AJ390:AK390)</f>
        <v>0</v>
      </c>
      <c r="AG390" s="318" t="n">
        <f aca="false">A377</f>
        <v>0</v>
      </c>
      <c r="AH390" s="319" t="n">
        <f aca="false">B377</f>
        <v>0</v>
      </c>
      <c r="AI390" s="6"/>
      <c r="AJ390" s="320" t="n">
        <f aca="false">C377</f>
        <v>0</v>
      </c>
      <c r="AK390" s="320" t="n">
        <f aca="false">D377</f>
        <v>0</v>
      </c>
      <c r="AL390" s="176"/>
      <c r="AM390" s="299" t="n">
        <f aca="false">'O_MN, PE_UTA_UGM 2024'!J367</f>
        <v>575</v>
      </c>
      <c r="AN390" s="299" t="n">
        <f aca="false">'O_MN, PE_UTA_UGM 2024'!K367</f>
        <v>6000</v>
      </c>
      <c r="AO390" s="300"/>
      <c r="AP390" s="299" t="n">
        <f aca="false">'O_MN, PE_UTA_UGM 2024'!H367</f>
        <v>360.61</v>
      </c>
      <c r="AQ390" s="299" t="n">
        <f aca="false">'O_MN, PE_UTA_UGM 2024'!I367</f>
        <v>1352.28</v>
      </c>
      <c r="AR390" s="301"/>
      <c r="AS390" s="302" t="n">
        <f aca="false">'O_MN, PE_UTA_UGM 2024'!L367</f>
        <v>0.0147</v>
      </c>
      <c r="AT390" s="302" t="n">
        <f aca="false">'O_MN, PE_UTA_UGM 2024'!M367</f>
        <v>0.05512</v>
      </c>
      <c r="AU390" s="3"/>
      <c r="AV390" s="321" t="n">
        <f aca="false">AG390*AM390</f>
        <v>0</v>
      </c>
      <c r="AW390" s="319" t="n">
        <f aca="false">AH390*AN390</f>
        <v>0</v>
      </c>
      <c r="AX390" s="320" t="n">
        <f aca="false">1.25*AJ390*AM390</f>
        <v>0</v>
      </c>
      <c r="AY390" s="322" t="n">
        <f aca="false">1.25*AK390*AN390</f>
        <v>0</v>
      </c>
      <c r="AZ390" s="323" t="n">
        <f aca="false">AG390*AP390</f>
        <v>0</v>
      </c>
      <c r="BA390" s="319" t="n">
        <f aca="false">AH390*AQ390</f>
        <v>0</v>
      </c>
      <c r="BB390" s="320" t="n">
        <f aca="false">1.25*AJ390*AP390</f>
        <v>0</v>
      </c>
      <c r="BC390" s="320" t="n">
        <f aca="false">1.25*AK390*AQ390</f>
        <v>0</v>
      </c>
      <c r="BD390" s="321" t="n">
        <f aca="false">AG390*AS390</f>
        <v>0</v>
      </c>
      <c r="BE390" s="319" t="n">
        <f aca="false">AH390*AT390</f>
        <v>0</v>
      </c>
      <c r="BF390" s="320" t="n">
        <f aca="false">AJ390*AS390</f>
        <v>0</v>
      </c>
      <c r="BG390" s="322" t="n">
        <f aca="false">AK390*AT390</f>
        <v>0</v>
      </c>
      <c r="BH390" s="324" t="str">
        <f aca="false">IF(BH$24=$AA390,($AG390*$AM390)+($AJ390*$AM390*1.25)+($AH390*$AN390)+($AK390*$AN390*1.25),"")</f>
        <v/>
      </c>
      <c r="BI390" s="325" t="str">
        <f aca="false">IF(BI$24=$AA390,($AG390*$AM390)+($AJ390*$AM390*1.25)+($AH390*$AN390)+($AK390*$AN390*1.25),"")</f>
        <v/>
      </c>
      <c r="BJ390" s="325" t="str">
        <f aca="false">IF(BJ$24=$AA390,($AG390*$AM390)+($AJ390*$AM390*1.25)+($AH390*$AN390)+($AK390*$AN390*1.25),"")</f>
        <v/>
      </c>
      <c r="BK390" s="325" t="n">
        <f aca="false">IF(BK$24=$AA390,($AG390*$AM390)+($AJ390*$AM390*1.25)+($AH390*$AN390)+($AK390*$AN390*1.25),"")</f>
        <v>0</v>
      </c>
      <c r="BL390" s="326" t="str">
        <f aca="false">IF(BL$24=$AA390,($AG390*$AM390)+($AJ390*$AM390*1.25)+($AH390*$AN390)+($AK390*$AN390*1.25),"")</f>
        <v/>
      </c>
      <c r="BM390" s="327" t="str">
        <f aca="false">IF(CONCATENATE(BH390,BI390,BJ390,BK390,BL390)="",1,"")</f>
        <v/>
      </c>
      <c r="BN390" s="328"/>
      <c r="BO390" s="328"/>
      <c r="BP390" s="328"/>
      <c r="BQ390" s="328"/>
      <c r="BR390" s="6"/>
      <c r="BS390" s="9"/>
      <c r="BT390" s="9"/>
      <c r="BU390" s="9"/>
      <c r="BV390" s="9"/>
    </row>
    <row r="391" customFormat="false" ht="15.75" hidden="false" customHeight="false" outlineLevel="0" collapsed="false">
      <c r="A391" s="330"/>
      <c r="C391" s="3"/>
      <c r="D391" s="3"/>
      <c r="E391" s="175"/>
      <c r="F391" s="161"/>
      <c r="G391" s="169"/>
      <c r="H391" s="169"/>
      <c r="I391" s="169"/>
      <c r="J391" s="169"/>
      <c r="K391" s="169"/>
      <c r="L391" s="169"/>
      <c r="M391" s="169"/>
      <c r="N391" s="169"/>
      <c r="O391" s="169"/>
      <c r="P391" s="169"/>
      <c r="Q391" s="169"/>
      <c r="R391" s="3"/>
      <c r="S391" s="3"/>
      <c r="T391" s="3"/>
      <c r="U391" s="3"/>
      <c r="V391" s="3"/>
      <c r="W391" s="3"/>
      <c r="X391" s="3"/>
      <c r="Y391" s="3"/>
      <c r="Z391" s="316" t="str">
        <f aca="false">IF(AF391&gt;0,RANK(AF391,AF$6:AF$422),"")</f>
        <v/>
      </c>
      <c r="AA391" s="134" t="n">
        <f aca="false">'O_MN, PE_UTA_UGM 2024'!N368</f>
        <v>3</v>
      </c>
      <c r="AB391" s="135" t="n">
        <f aca="false">'O_MN, PE_UTA_UGM 2024'!O368</f>
        <v>0</v>
      </c>
      <c r="AC391" s="317" t="n">
        <f aca="false">'O_MN, PE_UTA_UGM 2024'!C368</f>
        <v>939</v>
      </c>
      <c r="AD391" s="293" t="str">
        <f aca="false">IF(AB391=0,'O_MN, PE_UTA_UGM 2024'!F368,CONCATENATE('O_MN, PE_UTA_UGM 2024'!F368," ","INVERNADERO"))</f>
        <v>ALMENDRO-OLIVAR</v>
      </c>
      <c r="AE391" s="89"/>
      <c r="AF391" s="123" t="n">
        <f aca="false">SUM(AG391:AH391)+SUM(AJ391:AK391)</f>
        <v>0</v>
      </c>
      <c r="AG391" s="318" t="n">
        <f aca="false">A378</f>
        <v>0</v>
      </c>
      <c r="AH391" s="319" t="n">
        <f aca="false">B378</f>
        <v>0</v>
      </c>
      <c r="AI391" s="6"/>
      <c r="AJ391" s="320" t="n">
        <f aca="false">C378</f>
        <v>0</v>
      </c>
      <c r="AK391" s="320" t="n">
        <f aca="false">D378</f>
        <v>0</v>
      </c>
      <c r="AL391" s="176"/>
      <c r="AM391" s="299" t="n">
        <f aca="false">'O_MN, PE_UTA_UGM 2024'!J368</f>
        <v>600</v>
      </c>
      <c r="AN391" s="299" t="n">
        <f aca="false">'O_MN, PE_UTA_UGM 2024'!K368</f>
        <v>1800</v>
      </c>
      <c r="AO391" s="300"/>
      <c r="AP391" s="299" t="n">
        <f aca="false">'O_MN, PE_UTA_UGM 2024'!H368</f>
        <v>405.68</v>
      </c>
      <c r="AQ391" s="299" t="n">
        <f aca="false">'O_MN, PE_UTA_UGM 2024'!I368</f>
        <v>649.09</v>
      </c>
      <c r="AR391" s="301"/>
      <c r="AS391" s="302" t="n">
        <f aca="false">'O_MN, PE_UTA_UGM 2024'!L368</f>
        <v>0.01653</v>
      </c>
      <c r="AT391" s="302" t="n">
        <f aca="false">'O_MN, PE_UTA_UGM 2024'!M368</f>
        <v>0.02646</v>
      </c>
      <c r="AU391" s="3"/>
      <c r="AV391" s="321" t="n">
        <f aca="false">AG391*AM391</f>
        <v>0</v>
      </c>
      <c r="AW391" s="319" t="n">
        <f aca="false">AH391*AN391</f>
        <v>0</v>
      </c>
      <c r="AX391" s="320" t="n">
        <f aca="false">1.25*AJ391*AM391</f>
        <v>0</v>
      </c>
      <c r="AY391" s="322" t="n">
        <f aca="false">1.25*AK391*AN391</f>
        <v>0</v>
      </c>
      <c r="AZ391" s="323" t="n">
        <f aca="false">AG391*AP391</f>
        <v>0</v>
      </c>
      <c r="BA391" s="319" t="n">
        <f aca="false">AH391*AQ391</f>
        <v>0</v>
      </c>
      <c r="BB391" s="320" t="n">
        <f aca="false">1.25*AJ391*AP391</f>
        <v>0</v>
      </c>
      <c r="BC391" s="320" t="n">
        <f aca="false">1.25*AK391*AQ391</f>
        <v>0</v>
      </c>
      <c r="BD391" s="321" t="n">
        <f aca="false">AG391*AS391</f>
        <v>0</v>
      </c>
      <c r="BE391" s="319" t="n">
        <f aca="false">AH391*AT391</f>
        <v>0</v>
      </c>
      <c r="BF391" s="320" t="n">
        <f aca="false">AJ391*AS391</f>
        <v>0</v>
      </c>
      <c r="BG391" s="322" t="n">
        <f aca="false">AK391*AT391</f>
        <v>0</v>
      </c>
      <c r="BH391" s="324" t="str">
        <f aca="false">IF(BH$24=$AA391,($AG391*$AM391)+($AJ391*$AM391*1.25)+($AH391*$AN391)+($AK391*$AN391*1.25),"")</f>
        <v/>
      </c>
      <c r="BI391" s="325" t="str">
        <f aca="false">IF(BI$24=$AA391,($AG391*$AM391)+($AJ391*$AM391*1.25)+($AH391*$AN391)+($AK391*$AN391*1.25),"")</f>
        <v/>
      </c>
      <c r="BJ391" s="325" t="n">
        <f aca="false">IF(BJ$24=$AA391,($AG391*$AM391)+($AJ391*$AM391*1.25)+($AH391*$AN391)+($AK391*$AN391*1.25),"")</f>
        <v>0</v>
      </c>
      <c r="BK391" s="325" t="str">
        <f aca="false">IF(BK$24=$AA391,($AG391*$AM391)+($AJ391*$AM391*1.25)+($AH391*$AN391)+($AK391*$AN391*1.25),"")</f>
        <v/>
      </c>
      <c r="BL391" s="326" t="str">
        <f aca="false">IF(BL$24=$AA391,($AG391*$AM391)+($AJ391*$AM391*1.25)+($AH391*$AN391)+($AK391*$AN391*1.25),"")</f>
        <v/>
      </c>
      <c r="BM391" s="327" t="str">
        <f aca="false">IF(CONCATENATE(BH391,BI391,BJ391,BK391,BL391)="",1,"")</f>
        <v/>
      </c>
      <c r="BN391" s="328"/>
      <c r="BO391" s="328"/>
      <c r="BP391" s="328"/>
      <c r="BQ391" s="328"/>
      <c r="BR391" s="6"/>
      <c r="BS391" s="9"/>
      <c r="BT391" s="9"/>
      <c r="BU391" s="9"/>
      <c r="BV391" s="9"/>
    </row>
    <row r="392" customFormat="false" ht="15.75" hidden="false" customHeight="false" outlineLevel="0" collapsed="false">
      <c r="A392" s="330"/>
      <c r="C392" s="3"/>
      <c r="D392" s="3"/>
      <c r="E392" s="175"/>
      <c r="F392" s="161"/>
      <c r="G392" s="169"/>
      <c r="H392" s="169"/>
      <c r="I392" s="169"/>
      <c r="J392" s="169"/>
      <c r="K392" s="169"/>
      <c r="L392" s="169"/>
      <c r="M392" s="169"/>
      <c r="N392" s="169"/>
      <c r="O392" s="169"/>
      <c r="P392" s="169"/>
      <c r="Q392" s="169"/>
      <c r="R392" s="3"/>
      <c r="S392" s="3"/>
      <c r="T392" s="3"/>
      <c r="U392" s="3"/>
      <c r="V392" s="3"/>
      <c r="W392" s="3"/>
      <c r="X392" s="3"/>
      <c r="Y392" s="3"/>
      <c r="Z392" s="316" t="str">
        <f aca="false">IF(AF392&gt;0,RANK(AF392,AF$6:AF$422),"")</f>
        <v/>
      </c>
      <c r="AA392" s="134" t="n">
        <f aca="false">'O_MN, PE_UTA_UGM 2024'!N369</f>
        <v>2</v>
      </c>
      <c r="AB392" s="135" t="n">
        <f aca="false">'O_MN, PE_UTA_UGM 2024'!O369</f>
        <v>0</v>
      </c>
      <c r="AC392" s="317" t="n">
        <f aca="false">'O_MN, PE_UTA_UGM 2024'!C369</f>
        <v>940</v>
      </c>
      <c r="AD392" s="293" t="str">
        <f aca="false">IF(AB392=0,'O_MN, PE_UTA_UGM 2024'!F369,CONCATENATE('O_MN, PE_UTA_UGM 2024'!F369," ","INVERNADERO"))</f>
        <v>NARANJO-CAQUI</v>
      </c>
      <c r="AE392" s="89"/>
      <c r="AF392" s="123" t="n">
        <f aca="false">SUM(AG392:AH392)+SUM(AJ392:AK392)</f>
        <v>0</v>
      </c>
      <c r="AG392" s="318" t="n">
        <f aca="false">A379</f>
        <v>0</v>
      </c>
      <c r="AH392" s="319" t="n">
        <f aca="false">B379</f>
        <v>0</v>
      </c>
      <c r="AI392" s="6"/>
      <c r="AJ392" s="320" t="n">
        <f aca="false">C379</f>
        <v>0</v>
      </c>
      <c r="AK392" s="320" t="n">
        <f aca="false">D379</f>
        <v>0</v>
      </c>
      <c r="AL392" s="176"/>
      <c r="AM392" s="299" t="n">
        <f aca="false">'O_MN, PE_UTA_UGM 2024'!J369</f>
        <v>1939.8</v>
      </c>
      <c r="AN392" s="299" t="n">
        <f aca="false">'O_MN, PE_UTA_UGM 2024'!K369</f>
        <v>6000</v>
      </c>
      <c r="AO392" s="300"/>
      <c r="AP392" s="299" t="n">
        <f aca="false">'O_MN, PE_UTA_UGM 2024'!H369</f>
        <v>480.81</v>
      </c>
      <c r="AQ392" s="299" t="n">
        <f aca="false">'O_MN, PE_UTA_UGM 2024'!I369</f>
        <v>1442.43</v>
      </c>
      <c r="AR392" s="301"/>
      <c r="AS392" s="302" t="n">
        <f aca="false">'O_MN, PE_UTA_UGM 2024'!L369</f>
        <v>0.0196</v>
      </c>
      <c r="AT392" s="302" t="n">
        <f aca="false">'O_MN, PE_UTA_UGM 2024'!M369</f>
        <v>0.05879</v>
      </c>
      <c r="AU392" s="3"/>
      <c r="AV392" s="321" t="n">
        <f aca="false">AG392*AM392</f>
        <v>0</v>
      </c>
      <c r="AW392" s="319" t="n">
        <f aca="false">AH392*AN392</f>
        <v>0</v>
      </c>
      <c r="AX392" s="320" t="n">
        <f aca="false">1.25*AJ392*AM392</f>
        <v>0</v>
      </c>
      <c r="AY392" s="322" t="n">
        <f aca="false">1.25*AK392*AN392</f>
        <v>0</v>
      </c>
      <c r="AZ392" s="323" t="n">
        <f aca="false">AG392*AP392</f>
        <v>0</v>
      </c>
      <c r="BA392" s="319" t="n">
        <f aca="false">AH392*AQ392</f>
        <v>0</v>
      </c>
      <c r="BB392" s="320" t="n">
        <f aca="false">1.25*AJ392*AP392</f>
        <v>0</v>
      </c>
      <c r="BC392" s="320" t="n">
        <f aca="false">1.25*AK392*AQ392</f>
        <v>0</v>
      </c>
      <c r="BD392" s="321" t="n">
        <f aca="false">AG392*AS392</f>
        <v>0</v>
      </c>
      <c r="BE392" s="319" t="n">
        <f aca="false">AH392*AT392</f>
        <v>0</v>
      </c>
      <c r="BF392" s="320" t="n">
        <f aca="false">AJ392*AS392</f>
        <v>0</v>
      </c>
      <c r="BG392" s="322" t="n">
        <f aca="false">AK392*AT392</f>
        <v>0</v>
      </c>
      <c r="BH392" s="324" t="str">
        <f aca="false">IF(BH$24=$AA392,($AG392*$AM392)+($AJ392*$AM392*1.25)+($AH392*$AN392)+($AK392*$AN392*1.25),"")</f>
        <v/>
      </c>
      <c r="BI392" s="325" t="n">
        <f aca="false">IF(BI$24=$AA392,($AG392*$AM392)+($AJ392*$AM392*1.25)+($AH392*$AN392)+($AK392*$AN392*1.25),"")</f>
        <v>0</v>
      </c>
      <c r="BJ392" s="325" t="str">
        <f aca="false">IF(BJ$24=$AA392,($AG392*$AM392)+($AJ392*$AM392*1.25)+($AH392*$AN392)+($AK392*$AN392*1.25),"")</f>
        <v/>
      </c>
      <c r="BK392" s="325" t="str">
        <f aca="false">IF(BK$24=$AA392,($AG392*$AM392)+($AJ392*$AM392*1.25)+($AH392*$AN392)+($AK392*$AN392*1.25),"")</f>
        <v/>
      </c>
      <c r="BL392" s="326" t="str">
        <f aca="false">IF(BL$24=$AA392,($AG392*$AM392)+($AJ392*$AM392*1.25)+($AH392*$AN392)+($AK392*$AN392*1.25),"")</f>
        <v/>
      </c>
      <c r="BM392" s="327" t="str">
        <f aca="false">IF(CONCATENATE(BH392,BI392,BJ392,BK392,BL392)="",1,"")</f>
        <v/>
      </c>
      <c r="BN392" s="328"/>
      <c r="BO392" s="328"/>
      <c r="BP392" s="328"/>
      <c r="BQ392" s="328"/>
      <c r="BR392" s="6"/>
      <c r="BS392" s="9"/>
      <c r="BT392" s="9"/>
      <c r="BU392" s="9"/>
      <c r="BV392" s="9"/>
    </row>
    <row r="393" customFormat="false" ht="15.75" hidden="false" customHeight="false" outlineLevel="0" collapsed="false">
      <c r="A393" s="330"/>
      <c r="C393" s="3"/>
      <c r="D393" s="3"/>
      <c r="E393" s="175"/>
      <c r="F393" s="161"/>
      <c r="G393" s="169"/>
      <c r="H393" s="169"/>
      <c r="I393" s="169"/>
      <c r="J393" s="169"/>
      <c r="K393" s="169"/>
      <c r="L393" s="169"/>
      <c r="M393" s="169"/>
      <c r="N393" s="169"/>
      <c r="O393" s="169"/>
      <c r="P393" s="169"/>
      <c r="Q393" s="169"/>
      <c r="R393" s="3"/>
      <c r="S393" s="3"/>
      <c r="T393" s="3"/>
      <c r="U393" s="3"/>
      <c r="V393" s="3"/>
      <c r="W393" s="3"/>
      <c r="X393" s="3"/>
      <c r="Y393" s="3"/>
      <c r="Z393" s="316" t="str">
        <f aca="false">IF(AF393&gt;0,RANK(AF393,AF$6:AF$422),"")</f>
        <v/>
      </c>
      <c r="AA393" s="134" t="n">
        <f aca="false">'O_MN, PE_UTA_UGM 2024'!N370</f>
        <v>2</v>
      </c>
      <c r="AB393" s="135" t="n">
        <f aca="false">'O_MN, PE_UTA_UGM 2024'!O370</f>
        <v>0</v>
      </c>
      <c r="AC393" s="317" t="n">
        <f aca="false">'O_MN, PE_UTA_UGM 2024'!C370</f>
        <v>941</v>
      </c>
      <c r="AD393" s="293" t="str">
        <f aca="false">IF(AB393=0,'O_MN, PE_UTA_UGM 2024'!F370,CONCATENATE('O_MN, PE_UTA_UGM 2024'!F370," ","INVERNADERO"))</f>
        <v>NARANJO-MANDARINO</v>
      </c>
      <c r="AE393" s="89"/>
      <c r="AF393" s="123" t="n">
        <f aca="false">SUM(AG393:AH393)+SUM(AJ393:AK393)</f>
        <v>0</v>
      </c>
      <c r="AG393" s="318" t="n">
        <f aca="false">A380</f>
        <v>0</v>
      </c>
      <c r="AH393" s="319" t="n">
        <f aca="false">B380</f>
        <v>0</v>
      </c>
      <c r="AI393" s="6"/>
      <c r="AJ393" s="320" t="n">
        <f aca="false">C380</f>
        <v>0</v>
      </c>
      <c r="AK393" s="320" t="n">
        <f aca="false">D380</f>
        <v>0</v>
      </c>
      <c r="AL393" s="176"/>
      <c r="AM393" s="299" t="n">
        <f aca="false">'O_MN, PE_UTA_UGM 2024'!J370</f>
        <v>1939.8</v>
      </c>
      <c r="AN393" s="299" t="n">
        <f aca="false">'O_MN, PE_UTA_UGM 2024'!K370</f>
        <v>6000</v>
      </c>
      <c r="AO393" s="300"/>
      <c r="AP393" s="299" t="n">
        <f aca="false">'O_MN, PE_UTA_UGM 2024'!H370</f>
        <v>480.81</v>
      </c>
      <c r="AQ393" s="299" t="n">
        <f aca="false">'O_MN, PE_UTA_UGM 2024'!I370</f>
        <v>1442.43</v>
      </c>
      <c r="AR393" s="301"/>
      <c r="AS393" s="302" t="n">
        <f aca="false">'O_MN, PE_UTA_UGM 2024'!L370</f>
        <v>0.0196</v>
      </c>
      <c r="AT393" s="302" t="n">
        <f aca="false">'O_MN, PE_UTA_UGM 2024'!M370</f>
        <v>0.05879</v>
      </c>
      <c r="AU393" s="3"/>
      <c r="AV393" s="321" t="n">
        <f aca="false">AG393*AM393</f>
        <v>0</v>
      </c>
      <c r="AW393" s="319" t="n">
        <f aca="false">AH393*AN393</f>
        <v>0</v>
      </c>
      <c r="AX393" s="320" t="n">
        <f aca="false">1.25*AJ393*AM393</f>
        <v>0</v>
      </c>
      <c r="AY393" s="322" t="n">
        <f aca="false">1.25*AK393*AN393</f>
        <v>0</v>
      </c>
      <c r="AZ393" s="323" t="n">
        <f aca="false">AG393*AP393</f>
        <v>0</v>
      </c>
      <c r="BA393" s="319" t="n">
        <f aca="false">AH393*AQ393</f>
        <v>0</v>
      </c>
      <c r="BB393" s="320" t="n">
        <f aca="false">1.25*AJ393*AP393</f>
        <v>0</v>
      </c>
      <c r="BC393" s="320" t="n">
        <f aca="false">1.25*AK393*AQ393</f>
        <v>0</v>
      </c>
      <c r="BD393" s="321" t="n">
        <f aca="false">AG393*AS393</f>
        <v>0</v>
      </c>
      <c r="BE393" s="319" t="n">
        <f aca="false">AH393*AT393</f>
        <v>0</v>
      </c>
      <c r="BF393" s="320" t="n">
        <f aca="false">AJ393*AS393</f>
        <v>0</v>
      </c>
      <c r="BG393" s="322" t="n">
        <f aca="false">AK393*AT393</f>
        <v>0</v>
      </c>
      <c r="BH393" s="324" t="str">
        <f aca="false">IF(BH$24=$AA393,($AG393*$AM393)+($AJ393*$AM393*1.25)+($AH393*$AN393)+($AK393*$AN393*1.25),"")</f>
        <v/>
      </c>
      <c r="BI393" s="325" t="n">
        <f aca="false">IF(BI$24=$AA393,($AG393*$AM393)+($AJ393*$AM393*1.25)+($AH393*$AN393)+($AK393*$AN393*1.25),"")</f>
        <v>0</v>
      </c>
      <c r="BJ393" s="325" t="str">
        <f aca="false">IF(BJ$24=$AA393,($AG393*$AM393)+($AJ393*$AM393*1.25)+($AH393*$AN393)+($AK393*$AN393*1.25),"")</f>
        <v/>
      </c>
      <c r="BK393" s="325" t="str">
        <f aca="false">IF(BK$24=$AA393,($AG393*$AM393)+($AJ393*$AM393*1.25)+($AH393*$AN393)+($AK393*$AN393*1.25),"")</f>
        <v/>
      </c>
      <c r="BL393" s="326" t="str">
        <f aca="false">IF(BL$24=$AA393,($AG393*$AM393)+($AJ393*$AM393*1.25)+($AH393*$AN393)+($AK393*$AN393*1.25),"")</f>
        <v/>
      </c>
      <c r="BM393" s="327" t="str">
        <f aca="false">IF(CONCATENATE(BH393,BI393,BJ393,BK393,BL393)="",1,"")</f>
        <v/>
      </c>
      <c r="BN393" s="328"/>
      <c r="BO393" s="328"/>
      <c r="BP393" s="328"/>
      <c r="BQ393" s="328"/>
      <c r="BR393" s="6"/>
      <c r="BS393" s="9"/>
      <c r="BT393" s="9"/>
      <c r="BU393" s="9"/>
      <c r="BV393" s="9"/>
    </row>
    <row r="394" customFormat="false" ht="15.75" hidden="false" customHeight="false" outlineLevel="0" collapsed="false">
      <c r="A394" s="330"/>
      <c r="C394" s="3"/>
      <c r="D394" s="3"/>
      <c r="E394" s="175"/>
      <c r="F394" s="161"/>
      <c r="G394" s="169"/>
      <c r="H394" s="169"/>
      <c r="I394" s="169"/>
      <c r="J394" s="169"/>
      <c r="K394" s="169"/>
      <c r="L394" s="169"/>
      <c r="M394" s="169"/>
      <c r="N394" s="169"/>
      <c r="O394" s="169"/>
      <c r="P394" s="169"/>
      <c r="Q394" s="169"/>
      <c r="R394" s="3"/>
      <c r="S394" s="3"/>
      <c r="T394" s="3"/>
      <c r="U394" s="3"/>
      <c r="V394" s="3"/>
      <c r="W394" s="3"/>
      <c r="X394" s="3"/>
      <c r="Y394" s="3"/>
      <c r="Z394" s="316" t="str">
        <f aca="false">IF(AF394&gt;0,RANK(AF394,AF$6:AF$422),"")</f>
        <v/>
      </c>
      <c r="AA394" s="134" t="n">
        <f aca="false">'O_MN, PE_UTA_UGM 2024'!N371</f>
        <v>2</v>
      </c>
      <c r="AB394" s="135" t="n">
        <f aca="false">'O_MN, PE_UTA_UGM 2024'!O371</f>
        <v>0</v>
      </c>
      <c r="AC394" s="317" t="n">
        <f aca="false">'O_MN, PE_UTA_UGM 2024'!C371</f>
        <v>942</v>
      </c>
      <c r="AD394" s="293" t="str">
        <f aca="false">IF(AB394=0,'O_MN, PE_UTA_UGM 2024'!F371,CONCATENATE('O_MN, PE_UTA_UGM 2024'!F371," ","INVERNADERO"))</f>
        <v>NÍSPERO-CAQUI</v>
      </c>
      <c r="AE394" s="89"/>
      <c r="AF394" s="123" t="n">
        <f aca="false">SUM(AG394:AH394)+SUM(AJ394:AK394)</f>
        <v>0</v>
      </c>
      <c r="AG394" s="318" t="n">
        <f aca="false">A381</f>
        <v>0</v>
      </c>
      <c r="AH394" s="319" t="n">
        <f aca="false">B381</f>
        <v>0</v>
      </c>
      <c r="AI394" s="6"/>
      <c r="AJ394" s="320" t="n">
        <f aca="false">C381</f>
        <v>0</v>
      </c>
      <c r="AK394" s="320" t="n">
        <f aca="false">D381</f>
        <v>0</v>
      </c>
      <c r="AL394" s="176"/>
      <c r="AM394" s="299" t="n">
        <f aca="false">'O_MN, PE_UTA_UGM 2024'!J371</f>
        <v>1939.8</v>
      </c>
      <c r="AN394" s="299" t="n">
        <f aca="false">'O_MN, PE_UTA_UGM 2024'!K371</f>
        <v>6000</v>
      </c>
      <c r="AO394" s="300"/>
      <c r="AP394" s="299" t="n">
        <f aca="false">'O_MN, PE_UTA_UGM 2024'!H371</f>
        <v>480.81</v>
      </c>
      <c r="AQ394" s="299" t="n">
        <f aca="false">'O_MN, PE_UTA_UGM 2024'!I371</f>
        <v>1442.43</v>
      </c>
      <c r="AR394" s="301"/>
      <c r="AS394" s="302" t="n">
        <f aca="false">'O_MN, PE_UTA_UGM 2024'!L371</f>
        <v>0.0196</v>
      </c>
      <c r="AT394" s="302" t="n">
        <f aca="false">'O_MN, PE_UTA_UGM 2024'!M371</f>
        <v>0.05879</v>
      </c>
      <c r="AU394" s="3"/>
      <c r="AV394" s="321" t="n">
        <f aca="false">AG394*AM394</f>
        <v>0</v>
      </c>
      <c r="AW394" s="319" t="n">
        <f aca="false">AH394*AN394</f>
        <v>0</v>
      </c>
      <c r="AX394" s="320" t="n">
        <f aca="false">1.25*AJ394*AM394</f>
        <v>0</v>
      </c>
      <c r="AY394" s="322" t="n">
        <f aca="false">1.25*AK394*AN394</f>
        <v>0</v>
      </c>
      <c r="AZ394" s="323" t="n">
        <f aca="false">AG394*AP394</f>
        <v>0</v>
      </c>
      <c r="BA394" s="319" t="n">
        <f aca="false">AH394*AQ394</f>
        <v>0</v>
      </c>
      <c r="BB394" s="320" t="n">
        <f aca="false">1.25*AJ394*AP394</f>
        <v>0</v>
      </c>
      <c r="BC394" s="320" t="n">
        <f aca="false">1.25*AK394*AQ394</f>
        <v>0</v>
      </c>
      <c r="BD394" s="321" t="n">
        <f aca="false">AG394*AS394</f>
        <v>0</v>
      </c>
      <c r="BE394" s="319" t="n">
        <f aca="false">AH394*AT394</f>
        <v>0</v>
      </c>
      <c r="BF394" s="320" t="n">
        <f aca="false">AJ394*AS394</f>
        <v>0</v>
      </c>
      <c r="BG394" s="322" t="n">
        <f aca="false">AK394*AT394</f>
        <v>0</v>
      </c>
      <c r="BH394" s="324" t="str">
        <f aca="false">IF(BH$24=$AA394,($AG394*$AM394)+($AJ394*$AM394*1.25)+($AH394*$AN394)+($AK394*$AN394*1.25),"")</f>
        <v/>
      </c>
      <c r="BI394" s="325" t="n">
        <f aca="false">IF(BI$24=$AA394,($AG394*$AM394)+($AJ394*$AM394*1.25)+($AH394*$AN394)+($AK394*$AN394*1.25),"")</f>
        <v>0</v>
      </c>
      <c r="BJ394" s="325" t="str">
        <f aca="false">IF(BJ$24=$AA394,($AG394*$AM394)+($AJ394*$AM394*1.25)+($AH394*$AN394)+($AK394*$AN394*1.25),"")</f>
        <v/>
      </c>
      <c r="BK394" s="325" t="str">
        <f aca="false">IF(BK$24=$AA394,($AG394*$AM394)+($AJ394*$AM394*1.25)+($AH394*$AN394)+($AK394*$AN394*1.25),"")</f>
        <v/>
      </c>
      <c r="BL394" s="326" t="str">
        <f aca="false">IF(BL$24=$AA394,($AG394*$AM394)+($AJ394*$AM394*1.25)+($AH394*$AN394)+($AK394*$AN394*1.25),"")</f>
        <v/>
      </c>
      <c r="BM394" s="327" t="str">
        <f aca="false">IF(CONCATENATE(BH394,BI394,BJ394,BK394,BL394)="",1,"")</f>
        <v/>
      </c>
      <c r="BN394" s="328"/>
      <c r="BO394" s="328"/>
      <c r="BP394" s="328"/>
      <c r="BQ394" s="328"/>
      <c r="BR394" s="6"/>
      <c r="BS394" s="9"/>
      <c r="BT394" s="9"/>
      <c r="BU394" s="9"/>
      <c r="BV394" s="9"/>
    </row>
    <row r="395" customFormat="false" ht="15.75" hidden="false" customHeight="false" outlineLevel="0" collapsed="false">
      <c r="A395" s="330"/>
      <c r="C395" s="3"/>
      <c r="D395" s="3"/>
      <c r="E395" s="175"/>
      <c r="F395" s="161"/>
      <c r="G395" s="169"/>
      <c r="H395" s="169"/>
      <c r="I395" s="169"/>
      <c r="J395" s="169"/>
      <c r="K395" s="169"/>
      <c r="L395" s="169"/>
      <c r="M395" s="169"/>
      <c r="N395" s="169"/>
      <c r="O395" s="169"/>
      <c r="P395" s="169"/>
      <c r="Q395" s="169"/>
      <c r="R395" s="3"/>
      <c r="S395" s="3"/>
      <c r="T395" s="3"/>
      <c r="U395" s="3"/>
      <c r="V395" s="3"/>
      <c r="W395" s="3"/>
      <c r="X395" s="3"/>
      <c r="Y395" s="3"/>
      <c r="Z395" s="316" t="str">
        <f aca="false">IF(AF395&gt;0,RANK(AF395,AF$6:AF$422),"")</f>
        <v/>
      </c>
      <c r="AA395" s="134" t="n">
        <f aca="false">'O_MN, PE_UTA_UGM 2024'!N372</f>
        <v>2</v>
      </c>
      <c r="AB395" s="135" t="n">
        <f aca="false">'O_MN, PE_UTA_UGM 2024'!O372</f>
        <v>0</v>
      </c>
      <c r="AC395" s="317" t="n">
        <f aca="false">'O_MN, PE_UTA_UGM 2024'!C372</f>
        <v>943</v>
      </c>
      <c r="AD395" s="293" t="str">
        <f aca="false">IF(AB395=0,'O_MN, PE_UTA_UGM 2024'!F372,CONCATENATE('O_MN, PE_UTA_UGM 2024'!F372," ","INVERNADERO"))</f>
        <v>PALMERA DATILERA</v>
      </c>
      <c r="AE395" s="89"/>
      <c r="AF395" s="123" t="n">
        <f aca="false">SUM(AG395:AH395)+SUM(AJ395:AK395)</f>
        <v>0</v>
      </c>
      <c r="AG395" s="318" t="n">
        <f aca="false">A382</f>
        <v>0</v>
      </c>
      <c r="AH395" s="319" t="n">
        <f aca="false">B382</f>
        <v>0</v>
      </c>
      <c r="AI395" s="6"/>
      <c r="AJ395" s="320" t="n">
        <f aca="false">C382</f>
        <v>0</v>
      </c>
      <c r="AK395" s="320" t="n">
        <f aca="false">D382</f>
        <v>0</v>
      </c>
      <c r="AL395" s="176"/>
      <c r="AM395" s="299" t="n">
        <f aca="false">'O_MN, PE_UTA_UGM 2024'!J372</f>
        <v>1939.8</v>
      </c>
      <c r="AN395" s="299" t="n">
        <f aca="false">'O_MN, PE_UTA_UGM 2024'!K372</f>
        <v>6000</v>
      </c>
      <c r="AO395" s="300"/>
      <c r="AP395" s="299" t="n">
        <f aca="false">'O_MN, PE_UTA_UGM 2024'!H372</f>
        <v>480.81</v>
      </c>
      <c r="AQ395" s="299" t="n">
        <f aca="false">'O_MN, PE_UTA_UGM 2024'!I372</f>
        <v>1442.43</v>
      </c>
      <c r="AR395" s="301"/>
      <c r="AS395" s="302" t="n">
        <f aca="false">'O_MN, PE_UTA_UGM 2024'!L372</f>
        <v>0.0196</v>
      </c>
      <c r="AT395" s="302" t="n">
        <f aca="false">'O_MN, PE_UTA_UGM 2024'!M372</f>
        <v>0.05879</v>
      </c>
      <c r="AU395" s="3"/>
      <c r="AV395" s="321" t="n">
        <f aca="false">AG395*AM395</f>
        <v>0</v>
      </c>
      <c r="AW395" s="319" t="n">
        <f aca="false">AH395*AN395</f>
        <v>0</v>
      </c>
      <c r="AX395" s="320" t="n">
        <f aca="false">1.25*AJ395*AM395</f>
        <v>0</v>
      </c>
      <c r="AY395" s="322" t="n">
        <f aca="false">1.25*AK395*AN395</f>
        <v>0</v>
      </c>
      <c r="AZ395" s="323" t="n">
        <f aca="false">AG395*AP395</f>
        <v>0</v>
      </c>
      <c r="BA395" s="319" t="n">
        <f aca="false">AH395*AQ395</f>
        <v>0</v>
      </c>
      <c r="BB395" s="320" t="n">
        <f aca="false">1.25*AJ395*AP395</f>
        <v>0</v>
      </c>
      <c r="BC395" s="320" t="n">
        <f aca="false">1.25*AK395*AQ395</f>
        <v>0</v>
      </c>
      <c r="BD395" s="321" t="n">
        <f aca="false">AG395*AS395</f>
        <v>0</v>
      </c>
      <c r="BE395" s="319" t="n">
        <f aca="false">AH395*AT395</f>
        <v>0</v>
      </c>
      <c r="BF395" s="320" t="n">
        <f aca="false">AJ395*AS395</f>
        <v>0</v>
      </c>
      <c r="BG395" s="322" t="n">
        <f aca="false">AK395*AT395</f>
        <v>0</v>
      </c>
      <c r="BH395" s="324" t="str">
        <f aca="false">IF(BH$24=$AA395,($AG395*$AM395)+($AJ395*$AM395*1.25)+($AH395*$AN395)+($AK395*$AN395*1.25),"")</f>
        <v/>
      </c>
      <c r="BI395" s="325" t="n">
        <f aca="false">IF(BI$24=$AA395,($AG395*$AM395)+($AJ395*$AM395*1.25)+($AH395*$AN395)+($AK395*$AN395*1.25),"")</f>
        <v>0</v>
      </c>
      <c r="BJ395" s="325" t="str">
        <f aca="false">IF(BJ$24=$AA395,($AG395*$AM395)+($AJ395*$AM395*1.25)+($AH395*$AN395)+($AK395*$AN395*1.25),"")</f>
        <v/>
      </c>
      <c r="BK395" s="325" t="str">
        <f aca="false">IF(BK$24=$AA395,($AG395*$AM395)+($AJ395*$AM395*1.25)+($AH395*$AN395)+($AK395*$AN395*1.25),"")</f>
        <v/>
      </c>
      <c r="BL395" s="326" t="str">
        <f aca="false">IF(BL$24=$AA395,($AG395*$AM395)+($AJ395*$AM395*1.25)+($AH395*$AN395)+($AK395*$AN395*1.25),"")</f>
        <v/>
      </c>
      <c r="BM395" s="327" t="str">
        <f aca="false">IF(CONCATENATE(BH395,BI395,BJ395,BK395,BL395)="",1,"")</f>
        <v/>
      </c>
      <c r="BN395" s="328"/>
      <c r="BO395" s="328"/>
      <c r="BP395" s="328"/>
      <c r="BQ395" s="328"/>
      <c r="BR395" s="6"/>
      <c r="BS395" s="9"/>
      <c r="BT395" s="9"/>
      <c r="BU395" s="9"/>
      <c r="BV395" s="9"/>
    </row>
    <row r="396" customFormat="false" ht="15.75" hidden="false" customHeight="false" outlineLevel="0" collapsed="false">
      <c r="A396" s="330"/>
      <c r="C396" s="3"/>
      <c r="D396" s="3"/>
      <c r="E396" s="175"/>
      <c r="F396" s="161"/>
      <c r="G396" s="169"/>
      <c r="H396" s="169"/>
      <c r="I396" s="169"/>
      <c r="J396" s="169"/>
      <c r="K396" s="169"/>
      <c r="L396" s="169"/>
      <c r="M396" s="169"/>
      <c r="N396" s="169"/>
      <c r="O396" s="169"/>
      <c r="P396" s="169"/>
      <c r="Q396" s="169"/>
      <c r="R396" s="3"/>
      <c r="S396" s="3"/>
      <c r="T396" s="3"/>
      <c r="U396" s="3"/>
      <c r="V396" s="3"/>
      <c r="W396" s="3"/>
      <c r="X396" s="3"/>
      <c r="Y396" s="3"/>
      <c r="Z396" s="316" t="str">
        <f aca="false">IF(AF396&gt;0,RANK(AF396,AF$6:AF$422),"")</f>
        <v/>
      </c>
      <c r="AA396" s="134" t="n">
        <f aca="false">'O_MN, PE_UTA_UGM 2024'!N373</f>
        <v>1</v>
      </c>
      <c r="AB396" s="135" t="n">
        <f aca="false">'O_MN, PE_UTA_UGM 2024'!O373</f>
        <v>0</v>
      </c>
      <c r="AC396" s="317" t="n">
        <f aca="false">'O_MN, PE_UTA_UGM 2024'!C373</f>
        <v>945</v>
      </c>
      <c r="AD396" s="293" t="str">
        <f aca="false">IF(AB396=0,'O_MN, PE_UTA_UGM 2024'!F373,CONCATENATE('O_MN, PE_UTA_UGM 2024'!F373," ","INVERNADERO"))</f>
        <v>MEZCLA AVENA-HABA</v>
      </c>
      <c r="AE396" s="89"/>
      <c r="AF396" s="123" t="n">
        <f aca="false">SUM(AG396:AH396)+SUM(AJ396:AK396)</f>
        <v>0</v>
      </c>
      <c r="AG396" s="318" t="n">
        <f aca="false">A383</f>
        <v>0</v>
      </c>
      <c r="AH396" s="319" t="n">
        <f aca="false">B383</f>
        <v>0</v>
      </c>
      <c r="AI396" s="6"/>
      <c r="AJ396" s="320" t="n">
        <f aca="false">C383</f>
        <v>0</v>
      </c>
      <c r="AK396" s="320" t="n">
        <f aca="false">D383</f>
        <v>0</v>
      </c>
      <c r="AL396" s="176"/>
      <c r="AM396" s="299" t="n">
        <f aca="false">'O_MN, PE_UTA_UGM 2024'!J373</f>
        <v>400</v>
      </c>
      <c r="AN396" s="299" t="n">
        <f aca="false">'O_MN, PE_UTA_UGM 2024'!K373</f>
        <v>1000</v>
      </c>
      <c r="AO396" s="300"/>
      <c r="AP396" s="299" t="n">
        <f aca="false">'O_MN, PE_UTA_UGM 2024'!H373</f>
        <v>114.19</v>
      </c>
      <c r="AQ396" s="299" t="n">
        <f aca="false">'O_MN, PE_UTA_UGM 2024'!I373</f>
        <v>240.4</v>
      </c>
      <c r="AR396" s="301"/>
      <c r="AS396" s="302" t="n">
        <f aca="false">'O_MN, PE_UTA_UGM 2024'!L373</f>
        <v>0.00465</v>
      </c>
      <c r="AT396" s="302" t="n">
        <f aca="false">'O_MN, PE_UTA_UGM 2024'!M373</f>
        <v>0.0098</v>
      </c>
      <c r="AU396" s="3"/>
      <c r="AV396" s="321" t="n">
        <f aca="false">AG396*AM396</f>
        <v>0</v>
      </c>
      <c r="AW396" s="319" t="n">
        <f aca="false">AH396*AN396</f>
        <v>0</v>
      </c>
      <c r="AX396" s="320" t="n">
        <f aca="false">1.25*AJ396*AM396</f>
        <v>0</v>
      </c>
      <c r="AY396" s="322" t="n">
        <f aca="false">1.25*AK396*AN396</f>
        <v>0</v>
      </c>
      <c r="AZ396" s="323" t="n">
        <f aca="false">AG396*AP396</f>
        <v>0</v>
      </c>
      <c r="BA396" s="319" t="n">
        <f aca="false">AH396*AQ396</f>
        <v>0</v>
      </c>
      <c r="BB396" s="320" t="n">
        <f aca="false">1.25*AJ396*AP396</f>
        <v>0</v>
      </c>
      <c r="BC396" s="320" t="n">
        <f aca="false">1.25*AK396*AQ396</f>
        <v>0</v>
      </c>
      <c r="BD396" s="321" t="n">
        <f aca="false">AG396*AS396</f>
        <v>0</v>
      </c>
      <c r="BE396" s="319" t="n">
        <f aca="false">AH396*AT396</f>
        <v>0</v>
      </c>
      <c r="BF396" s="320" t="n">
        <f aca="false">AJ396*AS396</f>
        <v>0</v>
      </c>
      <c r="BG396" s="322" t="n">
        <f aca="false">AK396*AT396</f>
        <v>0</v>
      </c>
      <c r="BH396" s="324" t="n">
        <f aca="false">IF(BH$24=$AA396,($AG396*$AM396)+($AJ396*$AM396*1.25)+($AH396*$AN396)+($AK396*$AN396*1.25),"")</f>
        <v>0</v>
      </c>
      <c r="BI396" s="325" t="str">
        <f aca="false">IF(BI$24=$AA396,($AG396*$AM396)+($AJ396*$AM396*1.25)+($AH396*$AN396)+($AK396*$AN396*1.25),"")</f>
        <v/>
      </c>
      <c r="BJ396" s="325" t="str">
        <f aca="false">IF(BJ$24=$AA396,($AG396*$AM396)+($AJ396*$AM396*1.25)+($AH396*$AN396)+($AK396*$AN396*1.25),"")</f>
        <v/>
      </c>
      <c r="BK396" s="325" t="str">
        <f aca="false">IF(BK$24=$AA396,($AG396*$AM396)+($AJ396*$AM396*1.25)+($AH396*$AN396)+($AK396*$AN396*1.25),"")</f>
        <v/>
      </c>
      <c r="BL396" s="326" t="str">
        <f aca="false">IF(BL$24=$AA396,($AG396*$AM396)+($AJ396*$AM396*1.25)+($AH396*$AN396)+($AK396*$AN396*1.25),"")</f>
        <v/>
      </c>
      <c r="BM396" s="327" t="str">
        <f aca="false">IF(CONCATENATE(BH396,BI396,BJ396,BK396,BL396)="",1,"")</f>
        <v/>
      </c>
      <c r="BN396" s="328"/>
      <c r="BO396" s="328"/>
      <c r="BP396" s="328"/>
      <c r="BQ396" s="328"/>
      <c r="BR396" s="6"/>
      <c r="BS396" s="9"/>
      <c r="BT396" s="9"/>
      <c r="BU396" s="9"/>
      <c r="BV396" s="9"/>
    </row>
    <row r="397" customFormat="false" ht="15.75" hidden="false" customHeight="false" outlineLevel="0" collapsed="false">
      <c r="A397" s="330"/>
      <c r="C397" s="3"/>
      <c r="D397" s="3"/>
      <c r="E397" s="175"/>
      <c r="F397" s="161"/>
      <c r="G397" s="169"/>
      <c r="H397" s="169"/>
      <c r="I397" s="169"/>
      <c r="J397" s="169"/>
      <c r="K397" s="169"/>
      <c r="L397" s="169"/>
      <c r="M397" s="169"/>
      <c r="N397" s="169"/>
      <c r="O397" s="169"/>
      <c r="P397" s="169"/>
      <c r="Q397" s="169"/>
      <c r="R397" s="3"/>
      <c r="S397" s="3"/>
      <c r="T397" s="3"/>
      <c r="U397" s="3"/>
      <c r="V397" s="3"/>
      <c r="W397" s="3"/>
      <c r="X397" s="3"/>
      <c r="Y397" s="3"/>
      <c r="Z397" s="316" t="str">
        <f aca="false">IF(AF397&gt;0,RANK(AF397,AF$6:AF$422),"")</f>
        <v/>
      </c>
      <c r="AA397" s="134" t="n">
        <f aca="false">'O_MN, PE_UTA_UGM 2024'!N374</f>
        <v>1</v>
      </c>
      <c r="AB397" s="135" t="n">
        <f aca="false">'O_MN, PE_UTA_UGM 2024'!O374</f>
        <v>0</v>
      </c>
      <c r="AC397" s="317" t="n">
        <f aca="false">'O_MN, PE_UTA_UGM 2024'!C374</f>
        <v>946</v>
      </c>
      <c r="AD397" s="293" t="str">
        <f aca="false">IF(AB397=0,'O_MN, PE_UTA_UGM 2024'!F374,CONCATENATE('O_MN, PE_UTA_UGM 2024'!F374," ","INVERNADERO"))</f>
        <v>MEZCLA AVENA-CEBADA-VEZA</v>
      </c>
      <c r="AE397" s="89"/>
      <c r="AF397" s="123" t="n">
        <f aca="false">SUM(AG397:AH397)+SUM(AJ397:AK397)</f>
        <v>0</v>
      </c>
      <c r="AG397" s="318" t="n">
        <f aca="false">A384</f>
        <v>0</v>
      </c>
      <c r="AH397" s="319" t="n">
        <f aca="false">B384</f>
        <v>0</v>
      </c>
      <c r="AI397" s="6"/>
      <c r="AJ397" s="320" t="n">
        <f aca="false">C384</f>
        <v>0</v>
      </c>
      <c r="AK397" s="320" t="n">
        <f aca="false">D384</f>
        <v>0</v>
      </c>
      <c r="AL397" s="176"/>
      <c r="AM397" s="299" t="n">
        <f aca="false">'O_MN, PE_UTA_UGM 2024'!J374</f>
        <v>400</v>
      </c>
      <c r="AN397" s="299" t="n">
        <f aca="false">'O_MN, PE_UTA_UGM 2024'!K374</f>
        <v>1000</v>
      </c>
      <c r="AO397" s="300"/>
      <c r="AP397" s="299" t="n">
        <f aca="false">'O_MN, PE_UTA_UGM 2024'!H374</f>
        <v>114.19</v>
      </c>
      <c r="AQ397" s="299" t="n">
        <f aca="false">'O_MN, PE_UTA_UGM 2024'!I374</f>
        <v>240.4</v>
      </c>
      <c r="AR397" s="301"/>
      <c r="AS397" s="302" t="n">
        <f aca="false">'O_MN, PE_UTA_UGM 2024'!L374</f>
        <v>0.00465</v>
      </c>
      <c r="AT397" s="302" t="n">
        <f aca="false">'O_MN, PE_UTA_UGM 2024'!M374</f>
        <v>0.0098</v>
      </c>
      <c r="AU397" s="3"/>
      <c r="AV397" s="321" t="n">
        <f aca="false">AG397*AM397</f>
        <v>0</v>
      </c>
      <c r="AW397" s="319" t="n">
        <f aca="false">AH397*AN397</f>
        <v>0</v>
      </c>
      <c r="AX397" s="320" t="n">
        <f aca="false">1.25*AJ397*AM397</f>
        <v>0</v>
      </c>
      <c r="AY397" s="322" t="n">
        <f aca="false">1.25*AK397*AN397</f>
        <v>0</v>
      </c>
      <c r="AZ397" s="323" t="n">
        <f aca="false">AG397*AP397</f>
        <v>0</v>
      </c>
      <c r="BA397" s="319" t="n">
        <f aca="false">AH397*AQ397</f>
        <v>0</v>
      </c>
      <c r="BB397" s="320" t="n">
        <f aca="false">1.25*AJ397*AP397</f>
        <v>0</v>
      </c>
      <c r="BC397" s="320" t="n">
        <f aca="false">1.25*AK397*AQ397</f>
        <v>0</v>
      </c>
      <c r="BD397" s="321" t="n">
        <f aca="false">AG397*AS397</f>
        <v>0</v>
      </c>
      <c r="BE397" s="319" t="n">
        <f aca="false">AH397*AT397</f>
        <v>0</v>
      </c>
      <c r="BF397" s="320" t="n">
        <f aca="false">AJ397*AS397</f>
        <v>0</v>
      </c>
      <c r="BG397" s="322" t="n">
        <f aca="false">AK397*AT397</f>
        <v>0</v>
      </c>
      <c r="BH397" s="324" t="n">
        <f aca="false">IF(BH$24=$AA397,($AG397*$AM397)+($AJ397*$AM397*1.25)+($AH397*$AN397)+($AK397*$AN397*1.25),"")</f>
        <v>0</v>
      </c>
      <c r="BI397" s="325" t="str">
        <f aca="false">IF(BI$24=$AA397,($AG397*$AM397)+($AJ397*$AM397*1.25)+($AH397*$AN397)+($AK397*$AN397*1.25),"")</f>
        <v/>
      </c>
      <c r="BJ397" s="325" t="str">
        <f aca="false">IF(BJ$24=$AA397,($AG397*$AM397)+($AJ397*$AM397*1.25)+($AH397*$AN397)+($AK397*$AN397*1.25),"")</f>
        <v/>
      </c>
      <c r="BK397" s="325" t="str">
        <f aca="false">IF(BK$24=$AA397,($AG397*$AM397)+($AJ397*$AM397*1.25)+($AH397*$AN397)+($AK397*$AN397*1.25),"")</f>
        <v/>
      </c>
      <c r="BL397" s="326" t="str">
        <f aca="false">IF(BL$24=$AA397,($AG397*$AM397)+($AJ397*$AM397*1.25)+($AH397*$AN397)+($AK397*$AN397*1.25),"")</f>
        <v/>
      </c>
      <c r="BM397" s="327" t="str">
        <f aca="false">IF(CONCATENATE(BH397,BI397,BJ397,BK397,BL397)="",1,"")</f>
        <v/>
      </c>
      <c r="BN397" s="328"/>
      <c r="BO397" s="328"/>
      <c r="BP397" s="328"/>
      <c r="BQ397" s="328"/>
      <c r="BR397" s="6"/>
      <c r="BS397" s="9"/>
      <c r="BT397" s="9"/>
      <c r="BU397" s="9"/>
      <c r="BV397" s="9"/>
    </row>
    <row r="398" customFormat="false" ht="15.75" hidden="false" customHeight="false" outlineLevel="0" collapsed="false">
      <c r="A398" s="330"/>
      <c r="C398" s="3"/>
      <c r="D398" s="3"/>
      <c r="E398" s="175"/>
      <c r="F398" s="161"/>
      <c r="G398" s="169"/>
      <c r="H398" s="169"/>
      <c r="I398" s="169"/>
      <c r="J398" s="169"/>
      <c r="K398" s="169"/>
      <c r="L398" s="169"/>
      <c r="M398" s="169"/>
      <c r="N398" s="169"/>
      <c r="O398" s="169"/>
      <c r="P398" s="169"/>
      <c r="Q398" s="169"/>
      <c r="R398" s="3"/>
      <c r="S398" s="3"/>
      <c r="T398" s="3"/>
      <c r="U398" s="3"/>
      <c r="V398" s="3"/>
      <c r="W398" s="3"/>
      <c r="X398" s="3"/>
      <c r="Y398" s="3"/>
      <c r="Z398" s="316" t="str">
        <f aca="false">IF(AF398&gt;0,RANK(AF398,AF$6:AF$422),"")</f>
        <v/>
      </c>
      <c r="AA398" s="134" t="n">
        <f aca="false">'O_MN, PE_UTA_UGM 2024'!N375</f>
        <v>2</v>
      </c>
      <c r="AB398" s="135" t="n">
        <f aca="false">'O_MN, PE_UTA_UGM 2024'!O375</f>
        <v>0</v>
      </c>
      <c r="AC398" s="317" t="n">
        <f aca="false">'O_MN, PE_UTA_UGM 2024'!C375</f>
        <v>948</v>
      </c>
      <c r="AD398" s="293" t="str">
        <f aca="false">IF(AB398=0,'O_MN, PE_UTA_UGM 2024'!F375,CONCATENATE('O_MN, PE_UTA_UGM 2024'!F375," ","INVERNADERO"))</f>
        <v>CLEMENTINA-CAQUI</v>
      </c>
      <c r="AE398" s="89"/>
      <c r="AF398" s="123" t="n">
        <f aca="false">SUM(AG398:AH398)+SUM(AJ398:AK398)</f>
        <v>0</v>
      </c>
      <c r="AG398" s="318" t="n">
        <f aca="false">A385</f>
        <v>0</v>
      </c>
      <c r="AH398" s="319" t="n">
        <f aca="false">B385</f>
        <v>0</v>
      </c>
      <c r="AI398" s="6"/>
      <c r="AJ398" s="320" t="n">
        <f aca="false">C385</f>
        <v>0</v>
      </c>
      <c r="AK398" s="320" t="n">
        <f aca="false">D385</f>
        <v>0</v>
      </c>
      <c r="AL398" s="176"/>
      <c r="AM398" s="299" t="n">
        <f aca="false">'O_MN, PE_UTA_UGM 2024'!J375</f>
        <v>1939.72</v>
      </c>
      <c r="AN398" s="299" t="n">
        <f aca="false">'O_MN, PE_UTA_UGM 2024'!K375</f>
        <v>6000</v>
      </c>
      <c r="AO398" s="300"/>
      <c r="AP398" s="299" t="n">
        <f aca="false">'O_MN, PE_UTA_UGM 2024'!H375</f>
        <v>480.81</v>
      </c>
      <c r="AQ398" s="299" t="n">
        <f aca="false">'O_MN, PE_UTA_UGM 2024'!I375</f>
        <v>1442.43</v>
      </c>
      <c r="AR398" s="301"/>
      <c r="AS398" s="302" t="n">
        <f aca="false">'O_MN, PE_UTA_UGM 2024'!L375</f>
        <v>0.0196</v>
      </c>
      <c r="AT398" s="302" t="n">
        <f aca="false">'O_MN, PE_UTA_UGM 2024'!M375</f>
        <v>0.05879</v>
      </c>
      <c r="AU398" s="3"/>
      <c r="AV398" s="321" t="n">
        <f aca="false">AG398*AM398</f>
        <v>0</v>
      </c>
      <c r="AW398" s="319" t="n">
        <f aca="false">AH398*AN398</f>
        <v>0</v>
      </c>
      <c r="AX398" s="320" t="n">
        <f aca="false">1.25*AJ398*AM398</f>
        <v>0</v>
      </c>
      <c r="AY398" s="322" t="n">
        <f aca="false">1.25*AK398*AN398</f>
        <v>0</v>
      </c>
      <c r="AZ398" s="323" t="n">
        <f aca="false">AG398*AP398</f>
        <v>0</v>
      </c>
      <c r="BA398" s="319" t="n">
        <f aca="false">AH398*AQ398</f>
        <v>0</v>
      </c>
      <c r="BB398" s="320" t="n">
        <f aca="false">1.25*AJ398*AP398</f>
        <v>0</v>
      </c>
      <c r="BC398" s="320" t="n">
        <f aca="false">1.25*AK398*AQ398</f>
        <v>0</v>
      </c>
      <c r="BD398" s="321" t="n">
        <f aca="false">AG398*AS398</f>
        <v>0</v>
      </c>
      <c r="BE398" s="319" t="n">
        <f aca="false">AH398*AT398</f>
        <v>0</v>
      </c>
      <c r="BF398" s="320" t="n">
        <f aca="false">AJ398*AS398</f>
        <v>0</v>
      </c>
      <c r="BG398" s="322" t="n">
        <f aca="false">AK398*AT398</f>
        <v>0</v>
      </c>
      <c r="BH398" s="324" t="str">
        <f aca="false">IF(BH$24=$AA398,($AG398*$AM398)+($AJ398*$AM398*1.25)+($AH398*$AN398)+($AK398*$AN398*1.25),"")</f>
        <v/>
      </c>
      <c r="BI398" s="325" t="n">
        <f aca="false">IF(BI$24=$AA398,($AG398*$AM398)+($AJ398*$AM398*1.25)+($AH398*$AN398)+($AK398*$AN398*1.25),"")</f>
        <v>0</v>
      </c>
      <c r="BJ398" s="325" t="str">
        <f aca="false">IF(BJ$24=$AA398,($AG398*$AM398)+($AJ398*$AM398*1.25)+($AH398*$AN398)+($AK398*$AN398*1.25),"")</f>
        <v/>
      </c>
      <c r="BK398" s="325" t="str">
        <f aca="false">IF(BK$24=$AA398,($AG398*$AM398)+($AJ398*$AM398*1.25)+($AH398*$AN398)+($AK398*$AN398*1.25),"")</f>
        <v/>
      </c>
      <c r="BL398" s="326" t="str">
        <f aca="false">IF(BL$24=$AA398,($AG398*$AM398)+($AJ398*$AM398*1.25)+($AH398*$AN398)+($AK398*$AN398*1.25),"")</f>
        <v/>
      </c>
      <c r="BM398" s="327" t="str">
        <f aca="false">IF(CONCATENATE(BH398,BI398,BJ398,BK398,BL398)="",1,"")</f>
        <v/>
      </c>
      <c r="BN398" s="328"/>
      <c r="BO398" s="328"/>
      <c r="BP398" s="328"/>
      <c r="BQ398" s="328"/>
      <c r="BR398" s="6"/>
      <c r="BS398" s="9"/>
      <c r="BT398" s="9"/>
      <c r="BU398" s="9"/>
      <c r="BV398" s="9"/>
    </row>
    <row r="399" customFormat="false" ht="15.75" hidden="false" customHeight="false" outlineLevel="0" collapsed="false">
      <c r="A399" s="330"/>
      <c r="C399" s="3"/>
      <c r="D399" s="3"/>
      <c r="E399" s="175"/>
      <c r="F399" s="161"/>
      <c r="G399" s="169"/>
      <c r="H399" s="169"/>
      <c r="I399" s="169"/>
      <c r="J399" s="169"/>
      <c r="K399" s="169"/>
      <c r="L399" s="169"/>
      <c r="M399" s="169"/>
      <c r="N399" s="169"/>
      <c r="O399" s="169"/>
      <c r="P399" s="169"/>
      <c r="Q399" s="169"/>
      <c r="R399" s="3"/>
      <c r="S399" s="3"/>
      <c r="T399" s="3"/>
      <c r="U399" s="3"/>
      <c r="V399" s="3"/>
      <c r="W399" s="3"/>
      <c r="X399" s="3"/>
      <c r="Y399" s="3"/>
      <c r="Z399" s="316" t="str">
        <f aca="false">IF(AF399&gt;0,RANK(AF399,AF$6:AF$422),"")</f>
        <v/>
      </c>
      <c r="AA399" s="134" t="n">
        <f aca="false">'O_MN, PE_UTA_UGM 2024'!N376</f>
        <v>2</v>
      </c>
      <c r="AB399" s="135" t="n">
        <f aca="false">'O_MN, PE_UTA_UGM 2024'!O376</f>
        <v>0</v>
      </c>
      <c r="AC399" s="317" t="n">
        <f aca="false">'O_MN, PE_UTA_UGM 2024'!C376</f>
        <v>949</v>
      </c>
      <c r="AD399" s="293" t="str">
        <f aca="false">IF(AB399=0,'O_MN, PE_UTA_UGM 2024'!F376,CONCATENATE('O_MN, PE_UTA_UGM 2024'!F376," ","INVERNADERO"))</f>
        <v>SATSUMA-CAQUI</v>
      </c>
      <c r="AE399" s="89"/>
      <c r="AF399" s="123" t="n">
        <f aca="false">SUM(AG399:AH399)+SUM(AJ399:AK399)</f>
        <v>0</v>
      </c>
      <c r="AG399" s="318" t="n">
        <f aca="false">A386</f>
        <v>0</v>
      </c>
      <c r="AH399" s="319" t="n">
        <f aca="false">B386</f>
        <v>0</v>
      </c>
      <c r="AI399" s="6"/>
      <c r="AJ399" s="320" t="n">
        <f aca="false">C386</f>
        <v>0</v>
      </c>
      <c r="AK399" s="320" t="n">
        <f aca="false">D386</f>
        <v>0</v>
      </c>
      <c r="AL399" s="176"/>
      <c r="AM399" s="299" t="n">
        <f aca="false">'O_MN, PE_UTA_UGM 2024'!J376</f>
        <v>1939.72</v>
      </c>
      <c r="AN399" s="299" t="n">
        <f aca="false">'O_MN, PE_UTA_UGM 2024'!K376</f>
        <v>6000</v>
      </c>
      <c r="AO399" s="300"/>
      <c r="AP399" s="299" t="n">
        <f aca="false">'O_MN, PE_UTA_UGM 2024'!H376</f>
        <v>480.81</v>
      </c>
      <c r="AQ399" s="299" t="n">
        <f aca="false">'O_MN, PE_UTA_UGM 2024'!I376</f>
        <v>1442.43</v>
      </c>
      <c r="AR399" s="301"/>
      <c r="AS399" s="302" t="n">
        <f aca="false">'O_MN, PE_UTA_UGM 2024'!L376</f>
        <v>0.0196</v>
      </c>
      <c r="AT399" s="302" t="n">
        <f aca="false">'O_MN, PE_UTA_UGM 2024'!M376</f>
        <v>0.05879</v>
      </c>
      <c r="AU399" s="3"/>
      <c r="AV399" s="321" t="n">
        <f aca="false">AG399*AM399</f>
        <v>0</v>
      </c>
      <c r="AW399" s="319" t="n">
        <f aca="false">AH399*AN399</f>
        <v>0</v>
      </c>
      <c r="AX399" s="320" t="n">
        <f aca="false">1.25*AJ399*AM399</f>
        <v>0</v>
      </c>
      <c r="AY399" s="322" t="n">
        <f aca="false">1.25*AK399*AN399</f>
        <v>0</v>
      </c>
      <c r="AZ399" s="323" t="n">
        <f aca="false">AG399*AP399</f>
        <v>0</v>
      </c>
      <c r="BA399" s="319" t="n">
        <f aca="false">AH399*AQ399</f>
        <v>0</v>
      </c>
      <c r="BB399" s="320" t="n">
        <f aca="false">1.25*AJ399*AP399</f>
        <v>0</v>
      </c>
      <c r="BC399" s="320" t="n">
        <f aca="false">1.25*AK399*AQ399</f>
        <v>0</v>
      </c>
      <c r="BD399" s="321" t="n">
        <f aca="false">AG399*AS399</f>
        <v>0</v>
      </c>
      <c r="BE399" s="319" t="n">
        <f aca="false">AH399*AT399</f>
        <v>0</v>
      </c>
      <c r="BF399" s="320" t="n">
        <f aca="false">AJ399*AS399</f>
        <v>0</v>
      </c>
      <c r="BG399" s="322" t="n">
        <f aca="false">AK399*AT399</f>
        <v>0</v>
      </c>
      <c r="BH399" s="324" t="str">
        <f aca="false">IF(BH$24=$AA399,($AG399*$AM399)+($AJ399*$AM399*1.25)+($AH399*$AN399)+($AK399*$AN399*1.25),"")</f>
        <v/>
      </c>
      <c r="BI399" s="325" t="n">
        <f aca="false">IF(BI$24=$AA399,($AG399*$AM399)+($AJ399*$AM399*1.25)+($AH399*$AN399)+($AK399*$AN399*1.25),"")</f>
        <v>0</v>
      </c>
      <c r="BJ399" s="325" t="str">
        <f aca="false">IF(BJ$24=$AA399,($AG399*$AM399)+($AJ399*$AM399*1.25)+($AH399*$AN399)+($AK399*$AN399*1.25),"")</f>
        <v/>
      </c>
      <c r="BK399" s="325" t="str">
        <f aca="false">IF(BK$24=$AA399,($AG399*$AM399)+($AJ399*$AM399*1.25)+($AH399*$AN399)+($AK399*$AN399*1.25),"")</f>
        <v/>
      </c>
      <c r="BL399" s="326" t="str">
        <f aca="false">IF(BL$24=$AA399,($AG399*$AM399)+($AJ399*$AM399*1.25)+($AH399*$AN399)+($AK399*$AN399*1.25),"")</f>
        <v/>
      </c>
      <c r="BM399" s="327" t="str">
        <f aca="false">IF(CONCATENATE(BH399,BI399,BJ399,BK399,BL399)="",1,"")</f>
        <v/>
      </c>
      <c r="BN399" s="328"/>
      <c r="BO399" s="328"/>
      <c r="BP399" s="328"/>
      <c r="BQ399" s="328"/>
      <c r="BR399" s="6"/>
      <c r="BS399" s="9"/>
      <c r="BT399" s="9"/>
      <c r="BU399" s="9"/>
      <c r="BV399" s="9"/>
    </row>
    <row r="400" customFormat="false" ht="15.75" hidden="false" customHeight="false" outlineLevel="0" collapsed="false">
      <c r="A400" s="330"/>
      <c r="C400" s="3"/>
      <c r="D400" s="3"/>
      <c r="E400" s="175"/>
      <c r="F400" s="161"/>
      <c r="G400" s="169"/>
      <c r="H400" s="169"/>
      <c r="I400" s="169"/>
      <c r="J400" s="169"/>
      <c r="K400" s="169"/>
      <c r="L400" s="169"/>
      <c r="M400" s="169"/>
      <c r="N400" s="169"/>
      <c r="O400" s="169"/>
      <c r="P400" s="169"/>
      <c r="Q400" s="169"/>
      <c r="R400" s="3"/>
      <c r="S400" s="3"/>
      <c r="T400" s="3"/>
      <c r="U400" s="3"/>
      <c r="V400" s="3"/>
      <c r="W400" s="3"/>
      <c r="X400" s="3"/>
      <c r="Y400" s="3"/>
      <c r="Z400" s="316" t="str">
        <f aca="false">IF(AF400&gt;0,RANK(AF400,AF$6:AF$422),"")</f>
        <v/>
      </c>
      <c r="AA400" s="134" t="n">
        <f aca="false">'O_MN, PE_UTA_UGM 2024'!N377</f>
        <v>0</v>
      </c>
      <c r="AB400" s="135" t="n">
        <f aca="false">'O_MN, PE_UTA_UGM 2024'!O377</f>
        <v>0</v>
      </c>
      <c r="AC400" s="317" t="n">
        <f aca="false">'O_MN, PE_UTA_UGM 2024'!C377</f>
        <v>0</v>
      </c>
      <c r="AD400" s="293" t="n">
        <f aca="false">IF(AB400=0,'O_MN, PE_UTA_UGM 2024'!F377,CONCATENATE('O_MN, PE_UTA_UGM 2024'!F377," ","INVERNADERO"))</f>
        <v>0</v>
      </c>
      <c r="AE400" s="89"/>
      <c r="AF400" s="123" t="n">
        <f aca="false">SUM(AG400:AH400)+SUM(AJ400:AK400)</f>
        <v>0</v>
      </c>
      <c r="AG400" s="318" t="n">
        <f aca="false">A387</f>
        <v>0</v>
      </c>
      <c r="AH400" s="319" t="n">
        <f aca="false">B387</f>
        <v>0</v>
      </c>
      <c r="AI400" s="6"/>
      <c r="AJ400" s="320" t="n">
        <f aca="false">C387</f>
        <v>0</v>
      </c>
      <c r="AK400" s="320" t="n">
        <f aca="false">D387</f>
        <v>0</v>
      </c>
      <c r="AL400" s="176"/>
      <c r="AM400" s="299" t="n">
        <f aca="false">'O_MN, PE_UTA_UGM 2024'!J377</f>
        <v>0</v>
      </c>
      <c r="AN400" s="299" t="n">
        <f aca="false">'O_MN, PE_UTA_UGM 2024'!K377</f>
        <v>0</v>
      </c>
      <c r="AO400" s="300"/>
      <c r="AP400" s="299" t="n">
        <f aca="false">'O_MN, PE_UTA_UGM 2024'!H377</f>
        <v>0</v>
      </c>
      <c r="AQ400" s="299" t="n">
        <f aca="false">'O_MN, PE_UTA_UGM 2024'!I377</f>
        <v>0</v>
      </c>
      <c r="AR400" s="301"/>
      <c r="AS400" s="302" t="n">
        <f aca="false">'O_MN, PE_UTA_UGM 2024'!L377</f>
        <v>0</v>
      </c>
      <c r="AT400" s="302" t="n">
        <f aca="false">'O_MN, PE_UTA_UGM 2024'!M377</f>
        <v>0</v>
      </c>
      <c r="AU400" s="3"/>
      <c r="AV400" s="321" t="n">
        <f aca="false">AG400*AM400</f>
        <v>0</v>
      </c>
      <c r="AW400" s="319" t="n">
        <f aca="false">AH400*AN400</f>
        <v>0</v>
      </c>
      <c r="AX400" s="320" t="n">
        <f aca="false">1.25*AJ400*AM400</f>
        <v>0</v>
      </c>
      <c r="AY400" s="322" t="n">
        <f aca="false">1.25*AK400*AN400</f>
        <v>0</v>
      </c>
      <c r="AZ400" s="323" t="n">
        <f aca="false">AG400*AP400</f>
        <v>0</v>
      </c>
      <c r="BA400" s="319" t="n">
        <f aca="false">AH400*AQ400</f>
        <v>0</v>
      </c>
      <c r="BB400" s="320" t="n">
        <f aca="false">1.25*AJ400*AP400</f>
        <v>0</v>
      </c>
      <c r="BC400" s="320" t="n">
        <f aca="false">1.25*AK400*AQ400</f>
        <v>0</v>
      </c>
      <c r="BD400" s="321" t="n">
        <f aca="false">AG400*AS400</f>
        <v>0</v>
      </c>
      <c r="BE400" s="319" t="n">
        <f aca="false">AH400*AT400</f>
        <v>0</v>
      </c>
      <c r="BF400" s="320" t="n">
        <f aca="false">AJ400*AS400</f>
        <v>0</v>
      </c>
      <c r="BG400" s="322" t="n">
        <f aca="false">AK400*AT400</f>
        <v>0</v>
      </c>
      <c r="BH400" s="324" t="str">
        <f aca="false">IF(BH$24=$AA400,($AG400*$AM400)+($AJ400*$AM400*1.25)+($AH400*$AN400)+($AK400*$AN400*1.25),"")</f>
        <v/>
      </c>
      <c r="BI400" s="325" t="str">
        <f aca="false">IF(BI$24=$AA400,($AG400*$AM400)+($AJ400*$AM400*1.25)+($AH400*$AN400)+($AK400*$AN400*1.25),"")</f>
        <v/>
      </c>
      <c r="BJ400" s="325" t="str">
        <f aca="false">IF(BJ$24=$AA400,($AG400*$AM400)+($AJ400*$AM400*1.25)+($AH400*$AN400)+($AK400*$AN400*1.25),"")</f>
        <v/>
      </c>
      <c r="BK400" s="325" t="str">
        <f aca="false">IF(BK$24=$AA400,($AG400*$AM400)+($AJ400*$AM400*1.25)+($AH400*$AN400)+($AK400*$AN400*1.25),"")</f>
        <v/>
      </c>
      <c r="BL400" s="326" t="str">
        <f aca="false">IF(BL$24=$AA400,($AG400*$AM400)+($AJ400*$AM400*1.25)+($AH400*$AN400)+($AK400*$AN400*1.25),"")</f>
        <v/>
      </c>
      <c r="BM400" s="327" t="n">
        <f aca="false">IF(CONCATENATE(BH400,BI400,BJ400,BK400,BL400)="",1,"")</f>
        <v>1</v>
      </c>
      <c r="BN400" s="328"/>
      <c r="BO400" s="328"/>
      <c r="BP400" s="328"/>
      <c r="BQ400" s="328"/>
      <c r="BR400" s="6"/>
      <c r="BS400" s="9"/>
      <c r="BT400" s="9"/>
      <c r="BU400" s="9"/>
      <c r="BV400" s="9"/>
    </row>
    <row r="401" customFormat="false" ht="15.75" hidden="false" customHeight="false" outlineLevel="0" collapsed="false">
      <c r="A401" s="330"/>
      <c r="C401" s="3"/>
      <c r="D401" s="3"/>
      <c r="E401" s="175"/>
      <c r="F401" s="161"/>
      <c r="G401" s="169"/>
      <c r="H401" s="169"/>
      <c r="I401" s="169"/>
      <c r="J401" s="169"/>
      <c r="K401" s="169"/>
      <c r="L401" s="169"/>
      <c r="M401" s="169"/>
      <c r="N401" s="169"/>
      <c r="O401" s="169"/>
      <c r="P401" s="169"/>
      <c r="Q401" s="169"/>
      <c r="R401" s="3"/>
      <c r="S401" s="3"/>
      <c r="T401" s="3"/>
      <c r="U401" s="3"/>
      <c r="V401" s="3"/>
      <c r="W401" s="3"/>
      <c r="X401" s="3"/>
      <c r="Y401" s="3"/>
      <c r="Z401" s="316" t="str">
        <f aca="false">IF(AF401&gt;0,RANK(AF401,AF$6:AF$422),"")</f>
        <v/>
      </c>
      <c r="AA401" s="134" t="n">
        <f aca="false">'O_MN, PE_UTA_UGM 2024'!N419</f>
        <v>0</v>
      </c>
      <c r="AB401" s="141" t="n">
        <f aca="false">'O_MN, PE_UTA_UGM 2024'!O380</f>
        <v>0</v>
      </c>
      <c r="AC401" s="317" t="n">
        <f aca="false">'O_MN, PE_UTA_UGM 2024'!C380</f>
        <v>0</v>
      </c>
      <c r="AD401" s="293" t="n">
        <f aca="false">IF(AB401=0,'O_MN, PE_UTA_UGM 2024'!F380,CONCATENATE('O_MN, PE_UTA_UGM 2024'!F380," ","INVERNADERO"))</f>
        <v>0</v>
      </c>
      <c r="AE401" s="331"/>
      <c r="AF401" s="123" t="n">
        <f aca="false">SUM(AG401:AH401)+SUM(AJ401:AK401)</f>
        <v>0</v>
      </c>
      <c r="AG401" s="332" t="n">
        <f aca="false">A388</f>
        <v>0</v>
      </c>
      <c r="AH401" s="333" t="n">
        <f aca="false">B388</f>
        <v>0</v>
      </c>
      <c r="AI401" s="6"/>
      <c r="AJ401" s="334" t="n">
        <f aca="false">C388</f>
        <v>0</v>
      </c>
      <c r="AK401" s="334" t="n">
        <f aca="false">D388</f>
        <v>0</v>
      </c>
      <c r="AL401" s="176"/>
      <c r="AM401" s="299" t="n">
        <f aca="false">'O_MN, PE_UTA_UGM 2024'!J378</f>
        <v>0</v>
      </c>
      <c r="AN401" s="299" t="n">
        <f aca="false">'O_MN, PE_UTA_UGM 2024'!K378</f>
        <v>0</v>
      </c>
      <c r="AO401" s="300"/>
      <c r="AP401" s="299" t="n">
        <f aca="false">'O_MN, PE_UTA_UGM 2024'!H378</f>
        <v>0</v>
      </c>
      <c r="AQ401" s="299" t="n">
        <f aca="false">'O_MN, PE_UTA_UGM 2024'!I378</f>
        <v>0</v>
      </c>
      <c r="AR401" s="301"/>
      <c r="AS401" s="302" t="n">
        <f aca="false">'O_MN, PE_UTA_UGM 2024'!L378</f>
        <v>0</v>
      </c>
      <c r="AT401" s="302" t="n">
        <f aca="false">'O_MN, PE_UTA_UGM 2024'!M378</f>
        <v>0</v>
      </c>
      <c r="AU401" s="3"/>
      <c r="AV401" s="335" t="n">
        <f aca="false">AG401*AM401</f>
        <v>0</v>
      </c>
      <c r="AW401" s="336" t="n">
        <f aca="false">AH401*AN401</f>
        <v>0</v>
      </c>
      <c r="AX401" s="337" t="n">
        <f aca="false">1.25*AJ401*AM401</f>
        <v>0</v>
      </c>
      <c r="AY401" s="338" t="n">
        <f aca="false">1.25*AK401*AN401</f>
        <v>0</v>
      </c>
      <c r="AZ401" s="339" t="n">
        <f aca="false">AG401*AP401</f>
        <v>0</v>
      </c>
      <c r="BA401" s="333" t="n">
        <f aca="false">AH401*AQ401</f>
        <v>0</v>
      </c>
      <c r="BB401" s="334" t="n">
        <f aca="false">1.25*AJ401*AP401</f>
        <v>0</v>
      </c>
      <c r="BC401" s="334" t="n">
        <f aca="false">1.25*AK401*AQ401</f>
        <v>0</v>
      </c>
      <c r="BD401" s="335" t="n">
        <f aca="false">AG401*AS401</f>
        <v>0</v>
      </c>
      <c r="BE401" s="336" t="n">
        <f aca="false">AH401*AT401</f>
        <v>0</v>
      </c>
      <c r="BF401" s="337" t="n">
        <f aca="false">AJ401*AS401</f>
        <v>0</v>
      </c>
      <c r="BG401" s="338" t="n">
        <f aca="false">AK401*AT401</f>
        <v>0</v>
      </c>
      <c r="BH401" s="340" t="str">
        <f aca="false">IF(BH$24=$AA401,($AG401*$AM401)+($AJ401*$AM401*1.25)+($AH401*$AN401)+($AK401*$AN401*1.25),"")</f>
        <v/>
      </c>
      <c r="BI401" s="341" t="str">
        <f aca="false">IF(BI$24=$AA401,($AG401*$AM401)+($AJ401*$AM401*1.25)+($AH401*$AN401)+($AK401*$AN401*1.25),"")</f>
        <v/>
      </c>
      <c r="BJ401" s="341" t="str">
        <f aca="false">IF(BJ$24=$AA401,($AG401*$AM401)+($AJ401*$AM401*1.25)+($AH401*$AN401)+($AK401*$AN401*1.25),"")</f>
        <v/>
      </c>
      <c r="BK401" s="341" t="str">
        <f aca="false">IF(BK$24=$AA401,($AG401*$AM401)+($AJ401*$AM401*1.25)+($AH401*$AN401)+($AK401*$AN401*1.25),"")</f>
        <v/>
      </c>
      <c r="BL401" s="342" t="str">
        <f aca="false">IF(BL$24=$AA401,($AG401*$AM401)+($AJ401*$AM401*1.25)+($AH401*$AN401)+($AK401*$AN401*1.25),"")</f>
        <v/>
      </c>
      <c r="BM401" s="327" t="n">
        <f aca="false">IF(CONCATENATE(BH401,BI401,BJ401,BK401,BL401)="",1,"")</f>
        <v>1</v>
      </c>
      <c r="BN401" s="328"/>
      <c r="BO401" s="328"/>
      <c r="BP401" s="328"/>
      <c r="BQ401" s="328"/>
      <c r="BR401" s="6"/>
      <c r="BS401" s="9"/>
      <c r="BT401" s="9"/>
      <c r="BU401" s="9"/>
      <c r="BV401" s="9"/>
    </row>
    <row r="402" customFormat="false" ht="15.75" hidden="false" customHeight="false" outlineLevel="0" collapsed="false">
      <c r="A402" s="330"/>
      <c r="C402" s="3"/>
      <c r="D402" s="3"/>
      <c r="E402" s="175"/>
      <c r="F402" s="161"/>
      <c r="G402" s="169"/>
      <c r="H402" s="169"/>
      <c r="I402" s="169"/>
      <c r="J402" s="169"/>
      <c r="K402" s="169"/>
      <c r="L402" s="169"/>
      <c r="M402" s="169"/>
      <c r="N402" s="169"/>
      <c r="O402" s="169"/>
      <c r="P402" s="169"/>
      <c r="Q402" s="169"/>
      <c r="R402" s="3"/>
      <c r="S402" s="3"/>
      <c r="T402" s="3"/>
      <c r="U402" s="3"/>
      <c r="V402" s="3"/>
      <c r="W402" s="3"/>
      <c r="X402" s="3"/>
      <c r="Y402" s="288"/>
      <c r="Z402" s="343" t="str">
        <f aca="false">IF(AF402&gt;0,RANK(AF402,AF$6:AF$422),"")</f>
        <v/>
      </c>
      <c r="AA402" s="288"/>
      <c r="AB402" s="288"/>
      <c r="AC402" s="344"/>
      <c r="AD402" s="345"/>
      <c r="AE402" s="288"/>
      <c r="AF402" s="346" t="n">
        <f aca="false">SUM(AG402:AH402)+SUM(AJ402:AK402)</f>
        <v>0</v>
      </c>
      <c r="AG402" s="346" t="n">
        <f aca="false">A402</f>
        <v>0</v>
      </c>
      <c r="AH402" s="346" t="n">
        <f aca="false">B402</f>
        <v>0</v>
      </c>
      <c r="AI402" s="288"/>
      <c r="AJ402" s="288" t="n">
        <f aca="false">C402</f>
        <v>0</v>
      </c>
      <c r="AK402" s="288" t="n">
        <f aca="false">D402</f>
        <v>0</v>
      </c>
      <c r="AL402" s="347"/>
      <c r="AM402" s="348"/>
      <c r="AN402" s="348"/>
      <c r="AO402" s="288"/>
      <c r="AP402" s="288"/>
      <c r="AQ402" s="288"/>
      <c r="AR402" s="3"/>
      <c r="AS402" s="288"/>
      <c r="AT402" s="288"/>
      <c r="AU402" s="288"/>
      <c r="AV402" s="288"/>
      <c r="AW402" s="288"/>
      <c r="AX402" s="288"/>
      <c r="AY402" s="288"/>
      <c r="AZ402" s="288"/>
      <c r="BA402" s="288"/>
      <c r="BB402" s="288"/>
      <c r="BC402" s="288"/>
      <c r="BD402" s="288"/>
      <c r="BE402" s="288"/>
      <c r="BF402" s="288"/>
      <c r="BG402" s="288"/>
      <c r="BH402" s="182"/>
      <c r="BI402" s="182"/>
      <c r="BJ402" s="182"/>
      <c r="BK402" s="182"/>
      <c r="BL402" s="182"/>
      <c r="BM402" s="288"/>
      <c r="BN402" s="288"/>
      <c r="BO402" s="288"/>
      <c r="BP402" s="288"/>
      <c r="BQ402" s="288"/>
      <c r="BR402" s="288"/>
      <c r="BS402" s="349"/>
      <c r="BT402" s="349"/>
      <c r="BU402" s="349"/>
      <c r="BV402" s="349"/>
    </row>
    <row r="403" customFormat="false" ht="15.75" hidden="false" customHeight="false" outlineLevel="0" collapsed="false">
      <c r="A403" s="330"/>
      <c r="C403" s="3"/>
      <c r="D403" s="3"/>
      <c r="E403" s="175"/>
      <c r="F403" s="161"/>
      <c r="G403" s="169"/>
      <c r="H403" s="169"/>
      <c r="I403" s="169"/>
      <c r="J403" s="169"/>
      <c r="K403" s="169"/>
      <c r="L403" s="169"/>
      <c r="M403" s="169"/>
      <c r="N403" s="169"/>
      <c r="O403" s="169"/>
      <c r="P403" s="169"/>
      <c r="Q403" s="169"/>
      <c r="R403" s="3"/>
      <c r="S403" s="3"/>
      <c r="T403" s="3"/>
      <c r="U403" s="3"/>
      <c r="V403" s="3"/>
      <c r="W403" s="3"/>
      <c r="X403" s="3"/>
      <c r="Y403" s="3"/>
      <c r="Z403" s="5" t="str">
        <f aca="false">IF(AF403&gt;0,RANK(AF403,AF$6:AF$422),"")</f>
        <v/>
      </c>
      <c r="AA403" s="3"/>
      <c r="AB403" s="3"/>
      <c r="AC403" s="350"/>
      <c r="AD403" s="351"/>
      <c r="AE403" s="175"/>
      <c r="AF403" s="175" t="n">
        <f aca="false">SUM(AG403:AH403)+SUM(AJ403:AK403)</f>
        <v>0</v>
      </c>
      <c r="AG403" s="175" t="n">
        <f aca="false">A403</f>
        <v>0</v>
      </c>
      <c r="AH403" s="175" t="n">
        <f aca="false">B403</f>
        <v>0</v>
      </c>
      <c r="AI403" s="3"/>
      <c r="AJ403" s="3" t="n">
        <f aca="false">C403</f>
        <v>0</v>
      </c>
      <c r="AK403" s="3" t="n">
        <f aca="false">D403</f>
        <v>0</v>
      </c>
      <c r="AL403" s="176"/>
      <c r="AM403" s="181"/>
      <c r="AN403" s="181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182"/>
      <c r="BI403" s="182"/>
      <c r="BJ403" s="182"/>
      <c r="BK403" s="182"/>
      <c r="BL403" s="182"/>
      <c r="BM403" s="3"/>
      <c r="BN403" s="3"/>
      <c r="BO403" s="3"/>
      <c r="BP403" s="3"/>
      <c r="BQ403" s="3"/>
      <c r="BR403" s="3"/>
      <c r="BS403" s="9"/>
      <c r="BT403" s="9"/>
      <c r="BU403" s="9"/>
      <c r="BV403" s="9"/>
    </row>
    <row r="404" customFormat="false" ht="15.75" hidden="false" customHeight="false" outlineLevel="0" collapsed="false">
      <c r="A404" s="330"/>
      <c r="C404" s="3"/>
      <c r="D404" s="3"/>
      <c r="E404" s="175"/>
      <c r="F404" s="161"/>
      <c r="G404" s="169"/>
      <c r="H404" s="169"/>
      <c r="I404" s="169"/>
      <c r="J404" s="169"/>
      <c r="K404" s="169"/>
      <c r="L404" s="169"/>
      <c r="M404" s="169"/>
      <c r="N404" s="169"/>
      <c r="O404" s="169"/>
      <c r="P404" s="169"/>
      <c r="Q404" s="169"/>
      <c r="R404" s="3"/>
      <c r="S404" s="3"/>
      <c r="T404" s="3"/>
      <c r="U404" s="3"/>
      <c r="V404" s="3"/>
      <c r="W404" s="3"/>
      <c r="X404" s="3"/>
      <c r="Y404" s="3"/>
      <c r="Z404" s="5" t="str">
        <f aca="false">IF(AF404&gt;0,RANK(AF404,AF$6:AF$422),"")</f>
        <v/>
      </c>
      <c r="AA404" s="3"/>
      <c r="AB404" s="3"/>
      <c r="AC404" s="350"/>
      <c r="AD404" s="351"/>
      <c r="AE404" s="175"/>
      <c r="AF404" s="175" t="n">
        <f aca="false">SUM(AG404:AH404)+SUM(AJ404:AK404)</f>
        <v>0</v>
      </c>
      <c r="AG404" s="175" t="n">
        <f aca="false">A404</f>
        <v>0</v>
      </c>
      <c r="AH404" s="175" t="n">
        <f aca="false">B404</f>
        <v>0</v>
      </c>
      <c r="AI404" s="3"/>
      <c r="AJ404" s="3"/>
      <c r="AK404" s="3"/>
      <c r="AL404" s="176"/>
      <c r="AM404" s="181"/>
      <c r="AN404" s="181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182"/>
      <c r="BI404" s="182"/>
      <c r="BJ404" s="182"/>
      <c r="BK404" s="182"/>
      <c r="BL404" s="182"/>
      <c r="BM404" s="3"/>
      <c r="BN404" s="3"/>
      <c r="BO404" s="3"/>
      <c r="BP404" s="3"/>
      <c r="BQ404" s="3"/>
      <c r="BR404" s="3"/>
      <c r="BS404" s="9"/>
      <c r="BT404" s="9"/>
      <c r="BU404" s="9"/>
      <c r="BV404" s="9"/>
    </row>
    <row r="405" customFormat="false" ht="15.75" hidden="false" customHeight="false" outlineLevel="0" collapsed="false">
      <c r="A405" s="330"/>
      <c r="C405" s="3"/>
      <c r="D405" s="3"/>
      <c r="E405" s="175"/>
      <c r="F405" s="161"/>
      <c r="G405" s="169"/>
      <c r="H405" s="169"/>
      <c r="I405" s="169"/>
      <c r="J405" s="169"/>
      <c r="K405" s="169"/>
      <c r="L405" s="169"/>
      <c r="M405" s="169"/>
      <c r="N405" s="169"/>
      <c r="O405" s="169"/>
      <c r="P405" s="169"/>
      <c r="Q405" s="169"/>
      <c r="R405" s="3"/>
      <c r="S405" s="3"/>
      <c r="T405" s="3"/>
      <c r="U405" s="3"/>
      <c r="V405" s="3"/>
      <c r="W405" s="3"/>
      <c r="X405" s="3"/>
      <c r="Y405" s="3"/>
      <c r="Z405" s="5" t="str">
        <f aca="false">IF(AF405&gt;0,RANK(AF405,AF$6:AF$422),"")</f>
        <v/>
      </c>
      <c r="AA405" s="3"/>
      <c r="AB405" s="3"/>
      <c r="AC405" s="350"/>
      <c r="AD405" s="351"/>
      <c r="AE405" s="175"/>
      <c r="AF405" s="175" t="n">
        <f aca="false">SUM(AG405:AH405)+SUM(AJ405:AK405)</f>
        <v>0</v>
      </c>
      <c r="AG405" s="175" t="n">
        <f aca="false">A405</f>
        <v>0</v>
      </c>
      <c r="AH405" s="175" t="n">
        <f aca="false">B405</f>
        <v>0</v>
      </c>
      <c r="AI405" s="3"/>
      <c r="AJ405" s="3"/>
      <c r="AK405" s="3"/>
      <c r="AL405" s="176"/>
      <c r="AM405" s="181"/>
      <c r="AN405" s="181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182"/>
      <c r="BI405" s="182"/>
      <c r="BJ405" s="182"/>
      <c r="BK405" s="182"/>
      <c r="BL405" s="182"/>
      <c r="BM405" s="3"/>
      <c r="BN405" s="3"/>
      <c r="BO405" s="3"/>
      <c r="BP405" s="3"/>
      <c r="BQ405" s="3"/>
      <c r="BR405" s="3"/>
      <c r="BS405" s="9"/>
      <c r="BT405" s="9"/>
      <c r="BU405" s="9"/>
      <c r="BV405" s="9"/>
    </row>
  </sheetData>
  <sheetProtection sheet="true" password="cc9e" objects="true" scenarios="true"/>
  <autoFilter ref="E12:F388"/>
  <mergeCells count="62">
    <mergeCell ref="A1:B9"/>
    <mergeCell ref="G7:J7"/>
    <mergeCell ref="A10:B11"/>
    <mergeCell ref="C10:D11"/>
    <mergeCell ref="AV16:AY17"/>
    <mergeCell ref="AZ16:BC17"/>
    <mergeCell ref="BD16:BG17"/>
    <mergeCell ref="BH16:BL17"/>
    <mergeCell ref="AD18:AD19"/>
    <mergeCell ref="AG18:AH19"/>
    <mergeCell ref="AJ18:AK19"/>
    <mergeCell ref="AL18:AL21"/>
    <mergeCell ref="AV18:AW19"/>
    <mergeCell ref="AX18:AY19"/>
    <mergeCell ref="AZ18:BA19"/>
    <mergeCell ref="BB18:BC19"/>
    <mergeCell ref="BD18:BE19"/>
    <mergeCell ref="BF18:BG19"/>
    <mergeCell ref="AG20:AH20"/>
    <mergeCell ref="AJ20:AK20"/>
    <mergeCell ref="AV20:AW20"/>
    <mergeCell ref="AX20:AY20"/>
    <mergeCell ref="AZ20:BA20"/>
    <mergeCell ref="BB20:BC20"/>
    <mergeCell ref="BD20:BE20"/>
    <mergeCell ref="BF20:BG20"/>
    <mergeCell ref="BS20:BT20"/>
    <mergeCell ref="AG21:AH21"/>
    <mergeCell ref="AJ21:AK21"/>
    <mergeCell ref="AV21:AW21"/>
    <mergeCell ref="AX21:AY21"/>
    <mergeCell ref="AZ21:BA21"/>
    <mergeCell ref="BB21:BC21"/>
    <mergeCell ref="BD21:BE21"/>
    <mergeCell ref="BF21:BG21"/>
    <mergeCell ref="Z22:Z24"/>
    <mergeCell ref="AA22:AA24"/>
    <mergeCell ref="AB22:AB24"/>
    <mergeCell ref="AC22:AC24"/>
    <mergeCell ref="AD22:AD24"/>
    <mergeCell ref="AG22:AH22"/>
    <mergeCell ref="AJ22:AK22"/>
    <mergeCell ref="AM22:AN22"/>
    <mergeCell ref="AP22:AQ22"/>
    <mergeCell ref="AS22:AT22"/>
    <mergeCell ref="AV22:AW22"/>
    <mergeCell ref="AX22:AY22"/>
    <mergeCell ref="AZ22:BA22"/>
    <mergeCell ref="BB22:BC22"/>
    <mergeCell ref="BD22:BE22"/>
    <mergeCell ref="BF22:BG22"/>
    <mergeCell ref="BS22:BS24"/>
    <mergeCell ref="BT22:BT24"/>
    <mergeCell ref="BU22:BU24"/>
    <mergeCell ref="AG23:AH23"/>
    <mergeCell ref="AJ23:AK23"/>
    <mergeCell ref="AV23:AW23"/>
    <mergeCell ref="AX23:AY23"/>
    <mergeCell ref="AZ23:BA23"/>
    <mergeCell ref="BB23:BC23"/>
    <mergeCell ref="BD23:BE23"/>
    <mergeCell ref="BF23:BG23"/>
  </mergeCells>
  <conditionalFormatting sqref="Z26:Z401">
    <cfRule type="cellIs" priority="2" operator="greaterThan" aboveAverage="0" equalAverage="0" bottom="0" percent="0" rank="0" text="" dxfId="17">
      <formula>0</formula>
    </cfRule>
    <cfRule type="cellIs" priority="3" operator="lessThanOrEqual" aboveAverage="0" equalAverage="0" bottom="0" percent="0" rank="0" text="" dxfId="18">
      <formula>0</formula>
    </cfRule>
  </conditionalFormatting>
  <conditionalFormatting sqref="AE26:AF401">
    <cfRule type="cellIs" priority="4" operator="greaterThan" aboveAverage="0" equalAverage="0" bottom="0" percent="0" rank="0" text="" dxfId="19">
      <formula>0</formula>
    </cfRule>
    <cfRule type="cellIs" priority="5" operator="lessThanOrEqual" aboveAverage="0" equalAverage="0" bottom="0" percent="0" rank="0" text="" dxfId="20">
      <formula>0</formula>
    </cfRule>
  </conditionalFormatting>
  <conditionalFormatting sqref="AF26:AF401">
    <cfRule type="cellIs" priority="6" operator="greaterThan" aboveAverage="0" equalAverage="0" bottom="0" percent="0" rank="0" text="" dxfId="21">
      <formula>0</formula>
    </cfRule>
    <cfRule type="cellIs" priority="7" operator="lessThanOrEqual" aboveAverage="0" equalAverage="0" bottom="0" percent="0" rank="0" text="" dxfId="22">
      <formula>0</formula>
    </cfRule>
  </conditionalFormatting>
  <conditionalFormatting sqref="BS26:BV317">
    <cfRule type="cellIs" priority="8" operator="equal" aboveAverage="0" equalAverage="0" bottom="0" percent="0" rank="0" text="" dxfId="23">
      <formula>0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F59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D35" activeCellId="0" sqref="D35"/>
    </sheetView>
  </sheetViews>
  <sheetFormatPr defaultColWidth="10.75390625" defaultRowHeight="14.25" zeroHeight="false" outlineLevelRow="0" outlineLevelCol="0"/>
  <cols>
    <col collapsed="false" customWidth="true" hidden="false" outlineLevel="0" max="1" min="1" style="2" width="3.13"/>
    <col collapsed="false" customWidth="true" hidden="false" outlineLevel="0" max="2" min="2" style="2" width="3.88"/>
    <col collapsed="false" customWidth="true" hidden="false" outlineLevel="0" max="3" min="3" style="2" width="4.13"/>
    <col collapsed="false" customWidth="true" hidden="false" outlineLevel="0" max="4" min="4" style="2" width="37.25"/>
    <col collapsed="false" customWidth="true" hidden="false" outlineLevel="0" max="5" min="5" style="2" width="6.13"/>
    <col collapsed="false" customWidth="true" hidden="false" outlineLevel="0" max="7" min="6" style="2" width="3.88"/>
    <col collapsed="false" customWidth="true" hidden="false" outlineLevel="0" max="8" min="8" style="2" width="5.13"/>
    <col collapsed="false" customWidth="true" hidden="false" outlineLevel="0" max="9" min="9" style="2" width="6.13"/>
    <col collapsed="false" customWidth="true" hidden="false" outlineLevel="0" max="10" min="10" style="2" width="21.13"/>
    <col collapsed="false" customWidth="true" hidden="false" outlineLevel="0" max="11" min="11" style="2" width="3.75"/>
    <col collapsed="false" customWidth="true" hidden="false" outlineLevel="0" max="12" min="12" style="2" width="3.13"/>
    <col collapsed="false" customWidth="true" hidden="false" outlineLevel="0" max="13" min="13" style="2" width="2"/>
    <col collapsed="false" customWidth="true" hidden="false" outlineLevel="0" max="20" min="14" style="2" width="3.75"/>
    <col collapsed="false" customWidth="true" hidden="false" outlineLevel="0" max="23" min="21" style="2" width="3.13"/>
    <col collapsed="false" customWidth="true" hidden="false" outlineLevel="0" max="24" min="24" style="2" width="4.13"/>
    <col collapsed="false" customWidth="true" hidden="false" outlineLevel="0" max="25" min="25" style="2" width="37.25"/>
    <col collapsed="false" customWidth="true" hidden="false" outlineLevel="0" max="30" min="26" style="2" width="4.38"/>
    <col collapsed="false" customWidth="true" hidden="false" outlineLevel="0" max="32" min="32" style="2" width="3.13"/>
  </cols>
  <sheetData>
    <row r="1" customFormat="false" ht="112.5" hidden="false" customHeight="true" outlineLevel="0" collapsed="false">
      <c r="A1" s="352"/>
      <c r="B1" s="353" t="s">
        <v>444</v>
      </c>
      <c r="C1" s="354" t="s">
        <v>445</v>
      </c>
      <c r="D1" s="355" t="s">
        <v>446</v>
      </c>
      <c r="E1" s="353" t="s">
        <v>447</v>
      </c>
      <c r="F1" s="354" t="s">
        <v>448</v>
      </c>
      <c r="G1" s="354" t="s">
        <v>449</v>
      </c>
      <c r="H1" s="355" t="s">
        <v>450</v>
      </c>
      <c r="I1" s="355" t="s">
        <v>451</v>
      </c>
      <c r="J1" s="356" t="s">
        <v>452</v>
      </c>
      <c r="K1" s="357"/>
      <c r="M1" s="358" t="s">
        <v>453</v>
      </c>
      <c r="N1" s="358"/>
      <c r="O1" s="358"/>
      <c r="P1" s="358"/>
      <c r="Q1" s="358"/>
      <c r="R1" s="358"/>
      <c r="S1" s="358"/>
      <c r="T1" s="358"/>
      <c r="U1" s="358"/>
      <c r="V1" s="359" t="n">
        <v>1</v>
      </c>
      <c r="W1" s="359" t="n">
        <v>2</v>
      </c>
      <c r="X1" s="359" t="n">
        <v>3</v>
      </c>
      <c r="Y1" s="359" t="n">
        <v>4</v>
      </c>
      <c r="Z1" s="359" t="n">
        <v>5</v>
      </c>
      <c r="AA1" s="359" t="n">
        <v>6</v>
      </c>
      <c r="AB1" s="359" t="n">
        <v>7</v>
      </c>
      <c r="AC1" s="359" t="n">
        <v>8</v>
      </c>
      <c r="AD1" s="360" t="n">
        <v>9</v>
      </c>
    </row>
    <row r="2" customFormat="false" ht="14.25" hidden="false" customHeight="false" outlineLevel="0" collapsed="false">
      <c r="A2" s="361"/>
      <c r="B2" s="362" t="n">
        <v>1</v>
      </c>
      <c r="C2" s="363" t="n">
        <v>2</v>
      </c>
      <c r="D2" s="363" t="n">
        <v>4</v>
      </c>
      <c r="E2" s="363" t="n">
        <v>5</v>
      </c>
      <c r="F2" s="363" t="n">
        <v>6</v>
      </c>
      <c r="G2" s="363" t="n">
        <v>7</v>
      </c>
      <c r="H2" s="363" t="n">
        <v>8</v>
      </c>
      <c r="I2" s="363" t="n">
        <v>9</v>
      </c>
      <c r="J2" s="364" t="n">
        <v>11</v>
      </c>
      <c r="K2" s="365" t="n">
        <v>12</v>
      </c>
      <c r="M2" s="366"/>
      <c r="U2" s="2" t="n">
        <v>1</v>
      </c>
      <c r="V2" s="2" t="str">
        <f aca="false">_xlfn.IFNA(VLOOKUP($U2,$A$2:$I$49,V$1,FALSE()),"")</f>
        <v/>
      </c>
      <c r="W2" s="2" t="str">
        <f aca="false">_xlfn.IFNA(VLOOKUP($U2,$A$2:$I$49,W$1,FALSE()),"")</f>
        <v/>
      </c>
      <c r="X2" s="2" t="str">
        <f aca="false">_xlfn.IFNA(VLOOKUP($U2,$A$2:$I$49,X$1,FALSE()),"")</f>
        <v/>
      </c>
      <c r="Y2" s="2" t="str">
        <f aca="false">_xlfn.IFNA(VLOOKUP($U2,$A$2:$I$49,Y$1,FALSE()),"")</f>
        <v/>
      </c>
      <c r="Z2" s="2" t="str">
        <f aca="false">_xlfn.IFNA(VLOOKUP($U2,$A$2:$I$49,Z$1,FALSE()),"")</f>
        <v/>
      </c>
      <c r="AA2" s="2" t="str">
        <f aca="false">_xlfn.IFNA(VLOOKUP($U2,$A$2:$I$49,AA$1,FALSE()),"")</f>
        <v/>
      </c>
      <c r="AB2" s="2" t="str">
        <f aca="false">_xlfn.IFNA(VLOOKUP($U2,$A$2:$I$49,AB$1,FALSE()),"")</f>
        <v/>
      </c>
      <c r="AC2" s="2" t="str">
        <f aca="false">_xlfn.IFNA(VLOOKUP($U2,$A$2:$I$49,AC$1,FALSE()),"")</f>
        <v/>
      </c>
      <c r="AD2" s="367" t="str">
        <f aca="false">_xlfn.IFNA(VLOOKUP($U2,$A$2:$I$49,AD$1,FALSE()),"")</f>
        <v/>
      </c>
      <c r="AF2" s="2" t="n">
        <v>1</v>
      </c>
    </row>
    <row r="3" customFormat="false" ht="14.25" hidden="false" customHeight="false" outlineLevel="0" collapsed="false">
      <c r="A3" s="361" t="str">
        <f aca="false">IF(E3&lt;&gt;"",RANK(E3,E$3:E$49),"")</f>
        <v/>
      </c>
      <c r="B3" s="368" t="n">
        <v>1</v>
      </c>
      <c r="C3" s="369" t="str">
        <f aca="false">_xlfn.IFNA(VLOOKUP($B3,O_CALC_CultivoPrincipal!$AP$7:$AX$423,C$2,FALSE()),"")</f>
        <v/>
      </c>
      <c r="D3" s="369" t="str">
        <f aca="false">_xlfn.IFNA(VLOOKUP($B3,O_CALC_CultivoPrincipal!$AP$7:$AX$423,D$2,FALSE()),"")</f>
        <v/>
      </c>
      <c r="E3" s="369" t="str">
        <f aca="false">_xlfn.IFNA(VLOOKUP($B3,O_CALC_CultivoPrincipal!$AP$7:$AX$423,E$2,FALSE()),"")</f>
        <v/>
      </c>
      <c r="F3" s="369" t="str">
        <f aca="false">_xlfn.IFNA(VLOOKUP($B3,O_CALC_CultivoPrincipal!$AP$7:$AX$423,F$2,FALSE()),"")</f>
        <v/>
      </c>
      <c r="G3" s="369" t="str">
        <f aca="false">_xlfn.IFNA(VLOOKUP($B3,O_CALC_CultivoPrincipal!$AP$7:$AX$423,G$2,FALSE()),"")</f>
        <v/>
      </c>
      <c r="H3" s="369" t="str">
        <f aca="false">_xlfn.IFNA(VLOOKUP($B3,O_CALC_CultivoPrincipal!$AP$7:$AX$423,H$2,FALSE()),"")</f>
        <v/>
      </c>
      <c r="I3" s="369" t="str">
        <f aca="false">_xlfn.IFNA(VLOOKUP($B3,O_CALC_CultivoPrincipal!$AP$7:$AX$423,I$2,FALSE()),"")</f>
        <v/>
      </c>
      <c r="J3" s="370" t="n">
        <v>1</v>
      </c>
      <c r="K3" s="371"/>
      <c r="M3" s="366"/>
      <c r="U3" s="2" t="n">
        <v>2</v>
      </c>
      <c r="V3" s="2" t="str">
        <f aca="false">_xlfn.IFNA(VLOOKUP($U3,$A$2:$I$49,V$1,FALSE()),"")</f>
        <v/>
      </c>
      <c r="W3" s="2" t="str">
        <f aca="false">_xlfn.IFNA(VLOOKUP($U3,$A$2:$I$49,W$1,FALSE()),"")</f>
        <v/>
      </c>
      <c r="X3" s="2" t="str">
        <f aca="false">_xlfn.IFNA(VLOOKUP($U3,$A$2:$I$49,X$1,FALSE()),"")</f>
        <v/>
      </c>
      <c r="Y3" s="2" t="str">
        <f aca="false">_xlfn.IFNA(VLOOKUP($U3,$A$2:$I$49,Y$1,FALSE()),"")</f>
        <v/>
      </c>
      <c r="Z3" s="2" t="str">
        <f aca="false">_xlfn.IFNA(VLOOKUP($U3,$A$2:$I$49,Z$1,FALSE()),"")</f>
        <v/>
      </c>
      <c r="AA3" s="2" t="str">
        <f aca="false">_xlfn.IFNA(VLOOKUP($U3,$A$2:$I$49,AA$1,FALSE()),"")</f>
        <v/>
      </c>
      <c r="AB3" s="2" t="str">
        <f aca="false">_xlfn.IFNA(VLOOKUP($U3,$A$2:$I$49,AB$1,FALSE()),"")</f>
        <v/>
      </c>
      <c r="AC3" s="2" t="str">
        <f aca="false">_xlfn.IFNA(VLOOKUP($U3,$A$2:$I$49,AC$1,FALSE()),"")</f>
        <v/>
      </c>
      <c r="AD3" s="367" t="str">
        <f aca="false">_xlfn.IFNA(VLOOKUP($U3,$A$2:$I$49,AD$1,FALSE()),"")</f>
        <v/>
      </c>
      <c r="AF3" s="2" t="n">
        <v>2</v>
      </c>
    </row>
    <row r="4" customFormat="false" ht="14.25" hidden="false" customHeight="false" outlineLevel="0" collapsed="false">
      <c r="A4" s="361" t="str">
        <f aca="false">IF(E4&lt;&gt;"",RANK(E4,E$3:E$49),"")</f>
        <v/>
      </c>
      <c r="B4" s="368" t="n">
        <v>2</v>
      </c>
      <c r="C4" s="369" t="str">
        <f aca="false">_xlfn.IFNA(VLOOKUP($B4,O_CALC_CultivoPrincipal!$AP$7:$AX$423,C$2,FALSE()),"")</f>
        <v/>
      </c>
      <c r="D4" s="369" t="str">
        <f aca="false">_xlfn.IFNA(VLOOKUP($B4,O_CALC_CultivoPrincipal!$AP$7:$AX$423,D$2,FALSE()),"")</f>
        <v/>
      </c>
      <c r="E4" s="369" t="str">
        <f aca="false">_xlfn.IFNA(VLOOKUP($B4,O_CALC_CultivoPrincipal!$AP$7:$AX$423,E$2,FALSE()),"")</f>
        <v/>
      </c>
      <c r="F4" s="369" t="str">
        <f aca="false">_xlfn.IFNA(VLOOKUP($B4,O_CALC_CultivoPrincipal!$AP$7:$AX$423,F$2,FALSE()),"")</f>
        <v/>
      </c>
      <c r="G4" s="369" t="str">
        <f aca="false">_xlfn.IFNA(VLOOKUP($B4,O_CALC_CultivoPrincipal!$AP$7:$AX$423,G$2,FALSE()),"")</f>
        <v/>
      </c>
      <c r="H4" s="369" t="str">
        <f aca="false">_xlfn.IFNA(VLOOKUP($B4,O_CALC_CultivoPrincipal!$AP$7:$AX$423,H$2,FALSE()),"")</f>
        <v/>
      </c>
      <c r="I4" s="369" t="str">
        <f aca="false">_xlfn.IFNA(VLOOKUP($B4,O_CALC_CultivoPrincipal!$AP$7:$AX$423,I$2,FALSE()),"")</f>
        <v/>
      </c>
      <c r="J4" s="370" t="n">
        <v>1</v>
      </c>
      <c r="K4" s="371"/>
      <c r="M4" s="366"/>
      <c r="U4" s="2" t="n">
        <v>3</v>
      </c>
      <c r="V4" s="2" t="str">
        <f aca="false">_xlfn.IFNA(VLOOKUP($U4,$A$2:$I$49,V$1,FALSE()),"")</f>
        <v/>
      </c>
      <c r="W4" s="2" t="str">
        <f aca="false">_xlfn.IFNA(VLOOKUP($U4,$A$2:$I$49,W$1,FALSE()),"")</f>
        <v/>
      </c>
      <c r="X4" s="2" t="str">
        <f aca="false">_xlfn.IFNA(VLOOKUP($U4,$A$2:$I$49,X$1,FALSE()),"")</f>
        <v/>
      </c>
      <c r="Y4" s="2" t="str">
        <f aca="false">_xlfn.IFNA(VLOOKUP($U4,$A$2:$I$49,Y$1,FALSE()),"")</f>
        <v/>
      </c>
      <c r="Z4" s="2" t="str">
        <f aca="false">_xlfn.IFNA(VLOOKUP($U4,$A$2:$I$49,Z$1,FALSE()),"")</f>
        <v/>
      </c>
      <c r="AA4" s="2" t="str">
        <f aca="false">_xlfn.IFNA(VLOOKUP($U4,$A$2:$I$49,AA$1,FALSE()),"")</f>
        <v/>
      </c>
      <c r="AB4" s="2" t="str">
        <f aca="false">_xlfn.IFNA(VLOOKUP($U4,$A$2:$I$49,AB$1,FALSE()),"")</f>
        <v/>
      </c>
      <c r="AC4" s="2" t="str">
        <f aca="false">_xlfn.IFNA(VLOOKUP($U4,$A$2:$I$49,AC$1,FALSE()),"")</f>
        <v/>
      </c>
      <c r="AD4" s="367" t="str">
        <f aca="false">_xlfn.IFNA(VLOOKUP($U4,$A$2:$I$49,AD$1,FALSE()),"")</f>
        <v/>
      </c>
      <c r="AF4" s="2" t="n">
        <v>3</v>
      </c>
    </row>
    <row r="5" customFormat="false" ht="14.25" hidden="false" customHeight="false" outlineLevel="0" collapsed="false">
      <c r="A5" s="361" t="str">
        <f aca="false">IF(E5&lt;&gt;"",RANK(E5,E$3:E$49),"")</f>
        <v/>
      </c>
      <c r="B5" s="368" t="n">
        <v>3</v>
      </c>
      <c r="C5" s="369" t="str">
        <f aca="false">_xlfn.IFNA(VLOOKUP($B5,O_CALC_CultivoPrincipal!$AP$7:$AX$423,C$2,FALSE()),"")</f>
        <v/>
      </c>
      <c r="D5" s="369" t="str">
        <f aca="false">_xlfn.IFNA(VLOOKUP($B5,O_CALC_CultivoPrincipal!$AP$7:$AX$423,D$2,FALSE()),"")</f>
        <v/>
      </c>
      <c r="E5" s="369" t="str">
        <f aca="false">_xlfn.IFNA(VLOOKUP($B5,O_CALC_CultivoPrincipal!$AP$7:$AX$423,E$2,FALSE()),"")</f>
        <v/>
      </c>
      <c r="F5" s="369" t="str">
        <f aca="false">_xlfn.IFNA(VLOOKUP($B5,O_CALC_CultivoPrincipal!$AP$7:$AX$423,F$2,FALSE()),"")</f>
        <v/>
      </c>
      <c r="G5" s="369" t="str">
        <f aca="false">_xlfn.IFNA(VLOOKUP($B5,O_CALC_CultivoPrincipal!$AP$7:$AX$423,G$2,FALSE()),"")</f>
        <v/>
      </c>
      <c r="H5" s="369" t="str">
        <f aca="false">_xlfn.IFNA(VLOOKUP($B5,O_CALC_CultivoPrincipal!$AP$7:$AX$423,H$2,FALSE()),"")</f>
        <v/>
      </c>
      <c r="I5" s="369" t="str">
        <f aca="false">_xlfn.IFNA(VLOOKUP($B5,O_CALC_CultivoPrincipal!$AP$7:$AX$423,I$2,FALSE()),"")</f>
        <v/>
      </c>
      <c r="J5" s="370" t="n">
        <v>1</v>
      </c>
      <c r="K5" s="371"/>
      <c r="M5" s="366"/>
      <c r="U5" s="2" t="n">
        <v>4</v>
      </c>
      <c r="V5" s="2" t="str">
        <f aca="false">_xlfn.IFNA(VLOOKUP($U5,$A$2:$I$49,V$1,FALSE()),"")</f>
        <v/>
      </c>
      <c r="W5" s="2" t="str">
        <f aca="false">_xlfn.IFNA(VLOOKUP($U5,$A$2:$I$49,W$1,FALSE()),"")</f>
        <v/>
      </c>
      <c r="X5" s="2" t="str">
        <f aca="false">_xlfn.IFNA(VLOOKUP($U5,$A$2:$I$49,X$1,FALSE()),"")</f>
        <v/>
      </c>
      <c r="Y5" s="2" t="str">
        <f aca="false">_xlfn.IFNA(VLOOKUP($U5,$A$2:$I$49,Y$1,FALSE()),"")</f>
        <v/>
      </c>
      <c r="Z5" s="2" t="str">
        <f aca="false">_xlfn.IFNA(VLOOKUP($U5,$A$2:$I$49,Z$1,FALSE()),"")</f>
        <v/>
      </c>
      <c r="AA5" s="2" t="str">
        <f aca="false">_xlfn.IFNA(VLOOKUP($U5,$A$2:$I$49,AA$1,FALSE()),"")</f>
        <v/>
      </c>
      <c r="AB5" s="2" t="str">
        <f aca="false">_xlfn.IFNA(VLOOKUP($U5,$A$2:$I$49,AB$1,FALSE()),"")</f>
        <v/>
      </c>
      <c r="AC5" s="2" t="str">
        <f aca="false">_xlfn.IFNA(VLOOKUP($U5,$A$2:$I$49,AC$1,FALSE()),"")</f>
        <v/>
      </c>
      <c r="AD5" s="367" t="str">
        <f aca="false">_xlfn.IFNA(VLOOKUP($U5,$A$2:$I$49,AD$1,FALSE()),"")</f>
        <v/>
      </c>
      <c r="AF5" s="2" t="n">
        <v>4</v>
      </c>
    </row>
    <row r="6" customFormat="false" ht="14.25" hidden="false" customHeight="false" outlineLevel="0" collapsed="false">
      <c r="A6" s="361" t="str">
        <f aca="false">IF(E6&lt;&gt;"",RANK(E6,E$3:E$49),"")</f>
        <v/>
      </c>
      <c r="B6" s="368" t="n">
        <v>4</v>
      </c>
      <c r="C6" s="369" t="str">
        <f aca="false">_xlfn.IFNA(VLOOKUP($B6,O_CALC_CultivoPrincipal!$AP$7:$AX$423,C$2,FALSE()),"")</f>
        <v/>
      </c>
      <c r="D6" s="369" t="str">
        <f aca="false">_xlfn.IFNA(VLOOKUP($B6,O_CALC_CultivoPrincipal!$AP$7:$AX$423,D$2,FALSE()),"")</f>
        <v/>
      </c>
      <c r="E6" s="369" t="str">
        <f aca="false">_xlfn.IFNA(VLOOKUP($B6,O_CALC_CultivoPrincipal!$AP$7:$AX$423,E$2,FALSE()),"")</f>
        <v/>
      </c>
      <c r="F6" s="369" t="str">
        <f aca="false">_xlfn.IFNA(VLOOKUP($B6,O_CALC_CultivoPrincipal!$AP$7:$AX$423,F$2,FALSE()),"")</f>
        <v/>
      </c>
      <c r="G6" s="369" t="str">
        <f aca="false">_xlfn.IFNA(VLOOKUP($B6,O_CALC_CultivoPrincipal!$AP$7:$AX$423,G$2,FALSE()),"")</f>
        <v/>
      </c>
      <c r="H6" s="369" t="str">
        <f aca="false">_xlfn.IFNA(VLOOKUP($B6,O_CALC_CultivoPrincipal!$AP$7:$AX$423,H$2,FALSE()),"")</f>
        <v/>
      </c>
      <c r="I6" s="369" t="str">
        <f aca="false">_xlfn.IFNA(VLOOKUP($B6,O_CALC_CultivoPrincipal!$AP$7:$AX$423,I$2,FALSE()),"")</f>
        <v/>
      </c>
      <c r="J6" s="370" t="n">
        <v>1</v>
      </c>
      <c r="K6" s="371"/>
      <c r="M6" s="366"/>
      <c r="U6" s="2" t="n">
        <v>5</v>
      </c>
      <c r="V6" s="2" t="str">
        <f aca="false">_xlfn.IFNA(VLOOKUP($U6,$A$2:$I$49,V$1,FALSE()),"")</f>
        <v/>
      </c>
      <c r="W6" s="2" t="str">
        <f aca="false">_xlfn.IFNA(VLOOKUP($U6,$A$2:$I$49,W$1,FALSE()),"")</f>
        <v/>
      </c>
      <c r="X6" s="2" t="str">
        <f aca="false">_xlfn.IFNA(VLOOKUP($U6,$A$2:$I$49,X$1,FALSE()),"")</f>
        <v/>
      </c>
      <c r="Y6" s="2" t="str">
        <f aca="false">_xlfn.IFNA(VLOOKUP($U6,$A$2:$I$49,Y$1,FALSE()),"")</f>
        <v/>
      </c>
      <c r="Z6" s="2" t="str">
        <f aca="false">_xlfn.IFNA(VLOOKUP($U6,$A$2:$I$49,Z$1,FALSE()),"")</f>
        <v/>
      </c>
      <c r="AA6" s="2" t="str">
        <f aca="false">_xlfn.IFNA(VLOOKUP($U6,$A$2:$I$49,AA$1,FALSE()),"")</f>
        <v/>
      </c>
      <c r="AB6" s="2" t="str">
        <f aca="false">_xlfn.IFNA(VLOOKUP($U6,$A$2:$I$49,AB$1,FALSE()),"")</f>
        <v/>
      </c>
      <c r="AC6" s="2" t="str">
        <f aca="false">_xlfn.IFNA(VLOOKUP($U6,$A$2:$I$49,AC$1,FALSE()),"")</f>
        <v/>
      </c>
      <c r="AD6" s="367" t="str">
        <f aca="false">_xlfn.IFNA(VLOOKUP($U6,$A$2:$I$49,AD$1,FALSE()),"")</f>
        <v/>
      </c>
      <c r="AF6" s="2" t="n">
        <v>5</v>
      </c>
    </row>
    <row r="7" customFormat="false" ht="14.25" hidden="false" customHeight="false" outlineLevel="0" collapsed="false">
      <c r="A7" s="361" t="str">
        <f aca="false">IF(E7&lt;&gt;"",RANK(E7,E$3:E$49),"")</f>
        <v/>
      </c>
      <c r="B7" s="368" t="n">
        <v>5</v>
      </c>
      <c r="C7" s="369" t="str">
        <f aca="false">_xlfn.IFNA(VLOOKUP($B7,O_CALC_CultivoPrincipal!$AP$7:$AX$423,C$2,FALSE()),"")</f>
        <v/>
      </c>
      <c r="D7" s="369" t="str">
        <f aca="false">_xlfn.IFNA(VLOOKUP($B7,O_CALC_CultivoPrincipal!$AP$7:$AX$423,D$2,FALSE()),"")</f>
        <v/>
      </c>
      <c r="E7" s="369" t="str">
        <f aca="false">_xlfn.IFNA(VLOOKUP($B7,O_CALC_CultivoPrincipal!$AP$7:$AX$423,E$2,FALSE()),"")</f>
        <v/>
      </c>
      <c r="F7" s="369" t="str">
        <f aca="false">_xlfn.IFNA(VLOOKUP($B7,O_CALC_CultivoPrincipal!$AP$7:$AX$423,F$2,FALSE()),"")</f>
        <v/>
      </c>
      <c r="G7" s="369" t="str">
        <f aca="false">_xlfn.IFNA(VLOOKUP($B7,O_CALC_CultivoPrincipal!$AP$7:$AX$423,G$2,FALSE()),"")</f>
        <v/>
      </c>
      <c r="H7" s="369" t="str">
        <f aca="false">_xlfn.IFNA(VLOOKUP($B7,O_CALC_CultivoPrincipal!$AP$7:$AX$423,H$2,FALSE()),"")</f>
        <v/>
      </c>
      <c r="I7" s="369" t="str">
        <f aca="false">_xlfn.IFNA(VLOOKUP($B7,O_CALC_CultivoPrincipal!$AP$7:$AX$423,I$2,FALSE()),"")</f>
        <v/>
      </c>
      <c r="J7" s="370" t="n">
        <v>1</v>
      </c>
      <c r="K7" s="371"/>
      <c r="M7" s="366"/>
      <c r="U7" s="2" t="n">
        <v>6</v>
      </c>
      <c r="V7" s="2" t="str">
        <f aca="false">_xlfn.IFNA(VLOOKUP($U7,$A$2:$I$49,V$1,FALSE()),"")</f>
        <v/>
      </c>
      <c r="W7" s="2" t="str">
        <f aca="false">_xlfn.IFNA(VLOOKUP($U7,$A$2:$I$49,W$1,FALSE()),"")</f>
        <v/>
      </c>
      <c r="X7" s="2" t="str">
        <f aca="false">_xlfn.IFNA(VLOOKUP($U7,$A$2:$I$49,X$1,FALSE()),"")</f>
        <v/>
      </c>
      <c r="Y7" s="2" t="str">
        <f aca="false">_xlfn.IFNA(VLOOKUP($U7,$A$2:$I$49,Y$1,FALSE()),"")</f>
        <v/>
      </c>
      <c r="Z7" s="2" t="str">
        <f aca="false">_xlfn.IFNA(VLOOKUP($U7,$A$2:$I$49,Z$1,FALSE()),"")</f>
        <v/>
      </c>
      <c r="AA7" s="2" t="str">
        <f aca="false">_xlfn.IFNA(VLOOKUP($U7,$A$2:$I$49,AA$1,FALSE()),"")</f>
        <v/>
      </c>
      <c r="AB7" s="2" t="str">
        <f aca="false">_xlfn.IFNA(VLOOKUP($U7,$A$2:$I$49,AB$1,FALSE()),"")</f>
        <v/>
      </c>
      <c r="AC7" s="2" t="str">
        <f aca="false">_xlfn.IFNA(VLOOKUP($U7,$A$2:$I$49,AC$1,FALSE()),"")</f>
        <v/>
      </c>
      <c r="AD7" s="367" t="str">
        <f aca="false">_xlfn.IFNA(VLOOKUP($U7,$A$2:$I$49,AD$1,FALSE()),"")</f>
        <v/>
      </c>
      <c r="AF7" s="2" t="n">
        <v>6</v>
      </c>
    </row>
    <row r="8" customFormat="false" ht="14.25" hidden="false" customHeight="false" outlineLevel="0" collapsed="false">
      <c r="A8" s="361" t="str">
        <f aca="false">IF(E8&lt;&gt;"",RANK(E8,E$3:E$49),"")</f>
        <v/>
      </c>
      <c r="B8" s="368" t="n">
        <v>6</v>
      </c>
      <c r="C8" s="369" t="str">
        <f aca="false">_xlfn.IFNA(VLOOKUP($B8,O_CALC_CultivoPrincipal!$AP$7:$AX$423,C$2,FALSE()),"")</f>
        <v/>
      </c>
      <c r="D8" s="369" t="str">
        <f aca="false">_xlfn.IFNA(VLOOKUP($B8,O_CALC_CultivoPrincipal!$AP$7:$AX$423,D$2,FALSE()),"")</f>
        <v/>
      </c>
      <c r="E8" s="369" t="str">
        <f aca="false">_xlfn.IFNA(VLOOKUP($B8,O_CALC_CultivoPrincipal!$AP$7:$AX$423,E$2,FALSE()),"")</f>
        <v/>
      </c>
      <c r="F8" s="369" t="str">
        <f aca="false">_xlfn.IFNA(VLOOKUP($B8,O_CALC_CultivoPrincipal!$AP$7:$AX$423,F$2,FALSE()),"")</f>
        <v/>
      </c>
      <c r="G8" s="369" t="str">
        <f aca="false">_xlfn.IFNA(VLOOKUP($B8,O_CALC_CultivoPrincipal!$AP$7:$AX$423,G$2,FALSE()),"")</f>
        <v/>
      </c>
      <c r="H8" s="369" t="str">
        <f aca="false">_xlfn.IFNA(VLOOKUP($B8,O_CALC_CultivoPrincipal!$AP$7:$AX$423,H$2,FALSE()),"")</f>
        <v/>
      </c>
      <c r="I8" s="369" t="str">
        <f aca="false">_xlfn.IFNA(VLOOKUP($B8,O_CALC_CultivoPrincipal!$AP$7:$AX$423,I$2,FALSE()),"")</f>
        <v/>
      </c>
      <c r="J8" s="370" t="n">
        <v>1</v>
      </c>
      <c r="K8" s="371"/>
      <c r="M8" s="366"/>
      <c r="U8" s="2" t="n">
        <v>7</v>
      </c>
      <c r="V8" s="2" t="str">
        <f aca="false">_xlfn.IFNA(VLOOKUP($U8,$A$2:$I$49,V$1,FALSE()),"")</f>
        <v/>
      </c>
      <c r="W8" s="2" t="str">
        <f aca="false">_xlfn.IFNA(VLOOKUP($U8,$A$2:$I$49,W$1,FALSE()),"")</f>
        <v/>
      </c>
      <c r="X8" s="2" t="str">
        <f aca="false">_xlfn.IFNA(VLOOKUP($U8,$A$2:$I$49,X$1,FALSE()),"")</f>
        <v/>
      </c>
      <c r="Y8" s="2" t="str">
        <f aca="false">_xlfn.IFNA(VLOOKUP($U8,$A$2:$I$49,Y$1,FALSE()),"")</f>
        <v/>
      </c>
      <c r="Z8" s="2" t="str">
        <f aca="false">_xlfn.IFNA(VLOOKUP($U8,$A$2:$I$49,Z$1,FALSE()),"")</f>
        <v/>
      </c>
      <c r="AA8" s="2" t="str">
        <f aca="false">_xlfn.IFNA(VLOOKUP($U8,$A$2:$I$49,AA$1,FALSE()),"")</f>
        <v/>
      </c>
      <c r="AB8" s="2" t="str">
        <f aca="false">_xlfn.IFNA(VLOOKUP($U8,$A$2:$I$49,AB$1,FALSE()),"")</f>
        <v/>
      </c>
      <c r="AC8" s="2" t="str">
        <f aca="false">_xlfn.IFNA(VLOOKUP($U8,$A$2:$I$49,AC$1,FALSE()),"")</f>
        <v/>
      </c>
      <c r="AD8" s="367" t="str">
        <f aca="false">_xlfn.IFNA(VLOOKUP($U8,$A$2:$I$49,AD$1,FALSE()),"")</f>
        <v/>
      </c>
      <c r="AF8" s="2" t="n">
        <v>7</v>
      </c>
    </row>
    <row r="9" customFormat="false" ht="14.25" hidden="false" customHeight="false" outlineLevel="0" collapsed="false">
      <c r="A9" s="361" t="str">
        <f aca="false">IF(E9&lt;&gt;"",RANK(E9,E$3:E$49),"")</f>
        <v/>
      </c>
      <c r="B9" s="368" t="n">
        <v>7</v>
      </c>
      <c r="C9" s="369" t="str">
        <f aca="false">_xlfn.IFNA(VLOOKUP($B9,O_CALC_CultivoPrincipal!$AP$7:$AX$423,C$2,FALSE()),"")</f>
        <v/>
      </c>
      <c r="D9" s="369" t="str">
        <f aca="false">_xlfn.IFNA(VLOOKUP($B9,O_CALC_CultivoPrincipal!$AP$7:$AX$423,D$2,FALSE()),"")</f>
        <v/>
      </c>
      <c r="E9" s="369" t="str">
        <f aca="false">_xlfn.IFNA(VLOOKUP($B9,O_CALC_CultivoPrincipal!$AP$7:$AX$423,E$2,FALSE()),"")</f>
        <v/>
      </c>
      <c r="F9" s="369" t="str">
        <f aca="false">_xlfn.IFNA(VLOOKUP($B9,O_CALC_CultivoPrincipal!$AP$7:$AX$423,F$2,FALSE()),"")</f>
        <v/>
      </c>
      <c r="G9" s="369" t="str">
        <f aca="false">_xlfn.IFNA(VLOOKUP($B9,O_CALC_CultivoPrincipal!$AP$7:$AX$423,G$2,FALSE()),"")</f>
        <v/>
      </c>
      <c r="H9" s="369" t="str">
        <f aca="false">_xlfn.IFNA(VLOOKUP($B9,O_CALC_CultivoPrincipal!$AP$7:$AX$423,H$2,FALSE()),"")</f>
        <v/>
      </c>
      <c r="I9" s="369" t="str">
        <f aca="false">_xlfn.IFNA(VLOOKUP($B9,O_CALC_CultivoPrincipal!$AP$7:$AX$423,I$2,FALSE()),"")</f>
        <v/>
      </c>
      <c r="J9" s="370" t="n">
        <v>1</v>
      </c>
      <c r="K9" s="371"/>
      <c r="M9" s="366"/>
      <c r="U9" s="2" t="n">
        <v>8</v>
      </c>
      <c r="V9" s="2" t="str">
        <f aca="false">_xlfn.IFNA(VLOOKUP($U9,$A$2:$I$49,V$1,FALSE()),"")</f>
        <v/>
      </c>
      <c r="W9" s="2" t="str">
        <f aca="false">_xlfn.IFNA(VLOOKUP($U9,$A$2:$I$49,W$1,FALSE()),"")</f>
        <v/>
      </c>
      <c r="X9" s="2" t="str">
        <f aca="false">_xlfn.IFNA(VLOOKUP($U9,$A$2:$I$49,X$1,FALSE()),"")</f>
        <v/>
      </c>
      <c r="Y9" s="2" t="str">
        <f aca="false">_xlfn.IFNA(VLOOKUP($U9,$A$2:$I$49,Y$1,FALSE()),"")</f>
        <v/>
      </c>
      <c r="Z9" s="2" t="str">
        <f aca="false">_xlfn.IFNA(VLOOKUP($U9,$A$2:$I$49,Z$1,FALSE()),"")</f>
        <v/>
      </c>
      <c r="AA9" s="2" t="str">
        <f aca="false">_xlfn.IFNA(VLOOKUP($U9,$A$2:$I$49,AA$1,FALSE()),"")</f>
        <v/>
      </c>
      <c r="AB9" s="2" t="str">
        <f aca="false">_xlfn.IFNA(VLOOKUP($U9,$A$2:$I$49,AB$1,FALSE()),"")</f>
        <v/>
      </c>
      <c r="AC9" s="2" t="str">
        <f aca="false">_xlfn.IFNA(VLOOKUP($U9,$A$2:$I$49,AC$1,FALSE()),"")</f>
        <v/>
      </c>
      <c r="AD9" s="367" t="str">
        <f aca="false">_xlfn.IFNA(VLOOKUP($U9,$A$2:$I$49,AD$1,FALSE()),"")</f>
        <v/>
      </c>
      <c r="AF9" s="2" t="n">
        <v>8</v>
      </c>
    </row>
    <row r="10" customFormat="false" ht="14.25" hidden="false" customHeight="false" outlineLevel="0" collapsed="false">
      <c r="A10" s="361" t="str">
        <f aca="false">IF(E10&lt;&gt;"",RANK(E10,E$3:E$49),"")</f>
        <v/>
      </c>
      <c r="B10" s="368" t="n">
        <v>8</v>
      </c>
      <c r="C10" s="369" t="str">
        <f aca="false">_xlfn.IFNA(VLOOKUP($B10,O_CALC_CultivoPrincipal!$AP$7:$AX$423,C$2,FALSE()),"")</f>
        <v/>
      </c>
      <c r="D10" s="369" t="str">
        <f aca="false">_xlfn.IFNA(VLOOKUP($B10,O_CALC_CultivoPrincipal!$AP$7:$AX$423,D$2,FALSE()),"")</f>
        <v/>
      </c>
      <c r="E10" s="369" t="str">
        <f aca="false">_xlfn.IFNA(VLOOKUP($B10,O_CALC_CultivoPrincipal!$AP$7:$AX$423,E$2,FALSE()),"")</f>
        <v/>
      </c>
      <c r="F10" s="369" t="str">
        <f aca="false">_xlfn.IFNA(VLOOKUP($B10,O_CALC_CultivoPrincipal!$AP$7:$AX$423,F$2,FALSE()),"")</f>
        <v/>
      </c>
      <c r="G10" s="369" t="str">
        <f aca="false">_xlfn.IFNA(VLOOKUP($B10,O_CALC_CultivoPrincipal!$AP$7:$AX$423,G$2,FALSE()),"")</f>
        <v/>
      </c>
      <c r="H10" s="369" t="str">
        <f aca="false">_xlfn.IFNA(VLOOKUP($B10,O_CALC_CultivoPrincipal!$AP$7:$AX$423,H$2,FALSE()),"")</f>
        <v/>
      </c>
      <c r="I10" s="369" t="str">
        <f aca="false">_xlfn.IFNA(VLOOKUP($B10,O_CALC_CultivoPrincipal!$AP$7:$AX$423,I$2,FALSE()),"")</f>
        <v/>
      </c>
      <c r="J10" s="370" t="n">
        <v>1</v>
      </c>
      <c r="K10" s="371"/>
      <c r="M10" s="366"/>
      <c r="U10" s="2" t="n">
        <v>9</v>
      </c>
      <c r="V10" s="2" t="str">
        <f aca="false">_xlfn.IFNA(VLOOKUP($U10,$A$2:$I$49,V$1,FALSE()),"")</f>
        <v/>
      </c>
      <c r="W10" s="2" t="str">
        <f aca="false">_xlfn.IFNA(VLOOKUP($U10,$A$2:$I$49,W$1,FALSE()),"")</f>
        <v/>
      </c>
      <c r="X10" s="2" t="str">
        <f aca="false">_xlfn.IFNA(VLOOKUP($U10,$A$2:$I$49,X$1,FALSE()),"")</f>
        <v/>
      </c>
      <c r="Y10" s="2" t="str">
        <f aca="false">_xlfn.IFNA(VLOOKUP($U10,$A$2:$I$49,Y$1,FALSE()),"")</f>
        <v/>
      </c>
      <c r="Z10" s="2" t="str">
        <f aca="false">_xlfn.IFNA(VLOOKUP($U10,$A$2:$I$49,Z$1,FALSE()),"")</f>
        <v/>
      </c>
      <c r="AA10" s="2" t="str">
        <f aca="false">_xlfn.IFNA(VLOOKUP($U10,$A$2:$I$49,AA$1,FALSE()),"")</f>
        <v/>
      </c>
      <c r="AB10" s="2" t="str">
        <f aca="false">_xlfn.IFNA(VLOOKUP($U10,$A$2:$I$49,AB$1,FALSE()),"")</f>
        <v/>
      </c>
      <c r="AC10" s="2" t="str">
        <f aca="false">_xlfn.IFNA(VLOOKUP($U10,$A$2:$I$49,AC$1,FALSE()),"")</f>
        <v/>
      </c>
      <c r="AD10" s="367" t="str">
        <f aca="false">_xlfn.IFNA(VLOOKUP($U10,$A$2:$I$49,AD$1,FALSE()),"")</f>
        <v/>
      </c>
      <c r="AF10" s="2" t="n">
        <v>9</v>
      </c>
    </row>
    <row r="11" customFormat="false" ht="14.25" hidden="false" customHeight="false" outlineLevel="0" collapsed="false">
      <c r="A11" s="361" t="str">
        <f aca="false">IF(E11&lt;&gt;"",RANK(E11,E$3:E$49),"")</f>
        <v/>
      </c>
      <c r="B11" s="368" t="n">
        <v>9</v>
      </c>
      <c r="C11" s="369" t="str">
        <f aca="false">_xlfn.IFNA(VLOOKUP($B11,O_CALC_CultivoPrincipal!$AP$7:$AX$423,C$2,FALSE()),"")</f>
        <v/>
      </c>
      <c r="D11" s="369" t="str">
        <f aca="false">_xlfn.IFNA(VLOOKUP($B11,O_CALC_CultivoPrincipal!$AP$7:$AX$423,D$2,FALSE()),"")</f>
        <v/>
      </c>
      <c r="E11" s="369" t="str">
        <f aca="false">_xlfn.IFNA(VLOOKUP($B11,O_CALC_CultivoPrincipal!$AP$7:$AX$423,E$2,FALSE()),"")</f>
        <v/>
      </c>
      <c r="F11" s="369" t="str">
        <f aca="false">_xlfn.IFNA(VLOOKUP($B11,O_CALC_CultivoPrincipal!$AP$7:$AX$423,F$2,FALSE()),"")</f>
        <v/>
      </c>
      <c r="G11" s="369" t="str">
        <f aca="false">_xlfn.IFNA(VLOOKUP($B11,O_CALC_CultivoPrincipal!$AP$7:$AX$423,G$2,FALSE()),"")</f>
        <v/>
      </c>
      <c r="H11" s="369" t="str">
        <f aca="false">_xlfn.IFNA(VLOOKUP($B11,O_CALC_CultivoPrincipal!$AP$7:$AX$423,H$2,FALSE()),"")</f>
        <v/>
      </c>
      <c r="I11" s="369" t="str">
        <f aca="false">_xlfn.IFNA(VLOOKUP($B11,O_CALC_CultivoPrincipal!$AP$7:$AX$423,I$2,FALSE()),"")</f>
        <v/>
      </c>
      <c r="J11" s="370" t="n">
        <v>1</v>
      </c>
      <c r="K11" s="371"/>
      <c r="M11" s="366"/>
      <c r="U11" s="2" t="n">
        <v>10</v>
      </c>
      <c r="V11" s="2" t="str">
        <f aca="false">_xlfn.IFNA(VLOOKUP($U11,$A$2:$I$49,V$1,FALSE()),"")</f>
        <v/>
      </c>
      <c r="W11" s="2" t="str">
        <f aca="false">_xlfn.IFNA(VLOOKUP($U11,$A$2:$I$49,W$1,FALSE()),"")</f>
        <v/>
      </c>
      <c r="X11" s="2" t="str">
        <f aca="false">_xlfn.IFNA(VLOOKUP($U11,$A$2:$I$49,X$1,FALSE()),"")</f>
        <v/>
      </c>
      <c r="Y11" s="2" t="str">
        <f aca="false">_xlfn.IFNA(VLOOKUP($U11,$A$2:$I$49,Y$1,FALSE()),"")</f>
        <v/>
      </c>
      <c r="Z11" s="2" t="str">
        <f aca="false">_xlfn.IFNA(VLOOKUP($U11,$A$2:$I$49,Z$1,FALSE()),"")</f>
        <v/>
      </c>
      <c r="AA11" s="2" t="str">
        <f aca="false">_xlfn.IFNA(VLOOKUP($U11,$A$2:$I$49,AA$1,FALSE()),"")</f>
        <v/>
      </c>
      <c r="AB11" s="2" t="str">
        <f aca="false">_xlfn.IFNA(VLOOKUP($U11,$A$2:$I$49,AB$1,FALSE()),"")</f>
        <v/>
      </c>
      <c r="AC11" s="2" t="str">
        <f aca="false">_xlfn.IFNA(VLOOKUP($U11,$A$2:$I$49,AC$1,FALSE()),"")</f>
        <v/>
      </c>
      <c r="AD11" s="367" t="str">
        <f aca="false">_xlfn.IFNA(VLOOKUP($U11,$A$2:$I$49,AD$1,FALSE()),"")</f>
        <v/>
      </c>
      <c r="AF11" s="2" t="n">
        <v>10</v>
      </c>
    </row>
    <row r="12" customFormat="false" ht="14.25" hidden="false" customHeight="false" outlineLevel="0" collapsed="false">
      <c r="A12" s="361" t="str">
        <f aca="false">IF(E12&lt;&gt;"",RANK(E12,E$3:E$49),"")</f>
        <v/>
      </c>
      <c r="B12" s="368" t="n">
        <v>10</v>
      </c>
      <c r="C12" s="369" t="str">
        <f aca="false">_xlfn.IFNA(VLOOKUP($B12,O_CALC_CultivoPrincipal!$AP$7:$AX$423,C$2,FALSE()),"")</f>
        <v/>
      </c>
      <c r="D12" s="369" t="str">
        <f aca="false">_xlfn.IFNA(VLOOKUP($B12,O_CALC_CultivoPrincipal!$AP$7:$AX$423,D$2,FALSE()),"")</f>
        <v/>
      </c>
      <c r="E12" s="369" t="str">
        <f aca="false">_xlfn.IFNA(VLOOKUP($B12,O_CALC_CultivoPrincipal!$AP$7:$AX$423,E$2,FALSE()),"")</f>
        <v/>
      </c>
      <c r="F12" s="369" t="str">
        <f aca="false">_xlfn.IFNA(VLOOKUP($B12,O_CALC_CultivoPrincipal!$AP$7:$AX$423,F$2,FALSE()),"")</f>
        <v/>
      </c>
      <c r="G12" s="369" t="str">
        <f aca="false">_xlfn.IFNA(VLOOKUP($B12,O_CALC_CultivoPrincipal!$AP$7:$AX$423,G$2,FALSE()),"")</f>
        <v/>
      </c>
      <c r="H12" s="369" t="str">
        <f aca="false">_xlfn.IFNA(VLOOKUP($B12,O_CALC_CultivoPrincipal!$AP$7:$AX$423,H$2,FALSE()),"")</f>
        <v/>
      </c>
      <c r="I12" s="369" t="str">
        <f aca="false">_xlfn.IFNA(VLOOKUP($B12,O_CALC_CultivoPrincipal!$AP$7:$AX$423,I$2,FALSE()),"")</f>
        <v/>
      </c>
      <c r="J12" s="370" t="n">
        <v>1</v>
      </c>
      <c r="K12" s="371"/>
      <c r="M12" s="366"/>
      <c r="U12" s="2" t="n">
        <v>11</v>
      </c>
      <c r="V12" s="2" t="str">
        <f aca="false">_xlfn.IFNA(VLOOKUP($U12,$A$2:$I$49,V$1,FALSE()),"")</f>
        <v/>
      </c>
      <c r="W12" s="2" t="str">
        <f aca="false">_xlfn.IFNA(VLOOKUP($U12,$A$2:$I$49,W$1,FALSE()),"")</f>
        <v/>
      </c>
      <c r="X12" s="2" t="str">
        <f aca="false">_xlfn.IFNA(VLOOKUP($U12,$A$2:$I$49,X$1,FALSE()),"")</f>
        <v/>
      </c>
      <c r="Y12" s="2" t="str">
        <f aca="false">_xlfn.IFNA(VLOOKUP($U12,$A$2:$I$49,Y$1,FALSE()),"")</f>
        <v/>
      </c>
      <c r="Z12" s="2" t="str">
        <f aca="false">_xlfn.IFNA(VLOOKUP($U12,$A$2:$I$49,Z$1,FALSE()),"")</f>
        <v/>
      </c>
      <c r="AA12" s="2" t="str">
        <f aca="false">_xlfn.IFNA(VLOOKUP($U12,$A$2:$I$49,AA$1,FALSE()),"")</f>
        <v/>
      </c>
      <c r="AB12" s="2" t="str">
        <f aca="false">_xlfn.IFNA(VLOOKUP($U12,$A$2:$I$49,AB$1,FALSE()),"")</f>
        <v/>
      </c>
      <c r="AC12" s="2" t="str">
        <f aca="false">_xlfn.IFNA(VLOOKUP($U12,$A$2:$I$49,AC$1,FALSE()),"")</f>
        <v/>
      </c>
      <c r="AD12" s="367" t="str">
        <f aca="false">_xlfn.IFNA(VLOOKUP($U12,$A$2:$I$49,AD$1,FALSE()),"")</f>
        <v/>
      </c>
      <c r="AF12" s="2" t="n">
        <v>11</v>
      </c>
    </row>
    <row r="13" customFormat="false" ht="14.25" hidden="false" customHeight="false" outlineLevel="0" collapsed="false">
      <c r="A13" s="361" t="str">
        <f aca="false">IF(E13&lt;&gt;"",RANK(E13,E$3:E$49),"")</f>
        <v/>
      </c>
      <c r="B13" s="368" t="n">
        <v>11</v>
      </c>
      <c r="C13" s="369" t="str">
        <f aca="false">_xlfn.IFNA(VLOOKUP($B13,O_CALC_CultivoPrincipal!$AP$7:$AX$423,C$2,FALSE()),"")</f>
        <v/>
      </c>
      <c r="D13" s="369" t="str">
        <f aca="false">_xlfn.IFNA(VLOOKUP($B13,O_CALC_CultivoPrincipal!$AP$7:$AX$423,D$2,FALSE()),"")</f>
        <v/>
      </c>
      <c r="E13" s="369" t="str">
        <f aca="false">_xlfn.IFNA(VLOOKUP($B13,O_CALC_CultivoPrincipal!$AP$7:$AX$423,E$2,FALSE()),"")</f>
        <v/>
      </c>
      <c r="F13" s="369" t="str">
        <f aca="false">_xlfn.IFNA(VLOOKUP($B13,O_CALC_CultivoPrincipal!$AP$7:$AX$423,F$2,FALSE()),"")</f>
        <v/>
      </c>
      <c r="G13" s="369" t="str">
        <f aca="false">_xlfn.IFNA(VLOOKUP($B13,O_CALC_CultivoPrincipal!$AP$7:$AX$423,G$2,FALSE()),"")</f>
        <v/>
      </c>
      <c r="H13" s="369" t="str">
        <f aca="false">_xlfn.IFNA(VLOOKUP($B13,O_CALC_CultivoPrincipal!$AP$7:$AX$423,H$2,FALSE()),"")</f>
        <v/>
      </c>
      <c r="I13" s="369" t="str">
        <f aca="false">_xlfn.IFNA(VLOOKUP($B13,O_CALC_CultivoPrincipal!$AP$7:$AX$423,I$2,FALSE()),"")</f>
        <v/>
      </c>
      <c r="J13" s="370" t="n">
        <v>1</v>
      </c>
      <c r="K13" s="371"/>
      <c r="M13" s="366"/>
      <c r="U13" s="2" t="n">
        <v>12</v>
      </c>
      <c r="V13" s="2" t="str">
        <f aca="false">_xlfn.IFNA(VLOOKUP($U13,$A$2:$I$49,V$1,FALSE()),"")</f>
        <v/>
      </c>
      <c r="W13" s="2" t="str">
        <f aca="false">_xlfn.IFNA(VLOOKUP($U13,$A$2:$I$49,W$1,FALSE()),"")</f>
        <v/>
      </c>
      <c r="X13" s="2" t="str">
        <f aca="false">_xlfn.IFNA(VLOOKUP($U13,$A$2:$I$49,X$1,FALSE()),"")</f>
        <v/>
      </c>
      <c r="Y13" s="2" t="str">
        <f aca="false">_xlfn.IFNA(VLOOKUP($U13,$A$2:$I$49,Y$1,FALSE()),"")</f>
        <v/>
      </c>
      <c r="Z13" s="2" t="str">
        <f aca="false">_xlfn.IFNA(VLOOKUP($U13,$A$2:$I$49,Z$1,FALSE()),"")</f>
        <v/>
      </c>
      <c r="AA13" s="2" t="str">
        <f aca="false">_xlfn.IFNA(VLOOKUP($U13,$A$2:$I$49,AA$1,FALSE()),"")</f>
        <v/>
      </c>
      <c r="AB13" s="2" t="str">
        <f aca="false">_xlfn.IFNA(VLOOKUP($U13,$A$2:$I$49,AB$1,FALSE()),"")</f>
        <v/>
      </c>
      <c r="AC13" s="2" t="str">
        <f aca="false">_xlfn.IFNA(VLOOKUP($U13,$A$2:$I$49,AC$1,FALSE()),"")</f>
        <v/>
      </c>
      <c r="AD13" s="367" t="str">
        <f aca="false">_xlfn.IFNA(VLOOKUP($U13,$A$2:$I$49,AD$1,FALSE()),"")</f>
        <v/>
      </c>
      <c r="AF13" s="2" t="n">
        <v>12</v>
      </c>
    </row>
    <row r="14" customFormat="false" ht="14.25" hidden="false" customHeight="false" outlineLevel="0" collapsed="false">
      <c r="A14" s="361" t="str">
        <f aca="false">IF(E14&lt;&gt;"",RANK(E14,E$3:E$49),"")</f>
        <v/>
      </c>
      <c r="B14" s="368" t="n">
        <v>12</v>
      </c>
      <c r="C14" s="369" t="str">
        <f aca="false">_xlfn.IFNA(VLOOKUP($B14,O_CALC_CultivoPrincipal!$AP$7:$AX$423,C$2,FALSE()),"")</f>
        <v/>
      </c>
      <c r="D14" s="369" t="str">
        <f aca="false">_xlfn.IFNA(VLOOKUP($B14,O_CALC_CultivoPrincipal!$AP$7:$AX$423,D$2,FALSE()),"")</f>
        <v/>
      </c>
      <c r="E14" s="369" t="str">
        <f aca="false">_xlfn.IFNA(VLOOKUP($B14,O_CALC_CultivoPrincipal!$AP$7:$AX$423,E$2,FALSE()),"")</f>
        <v/>
      </c>
      <c r="F14" s="369" t="str">
        <f aca="false">_xlfn.IFNA(VLOOKUP($B14,O_CALC_CultivoPrincipal!$AP$7:$AX$423,F$2,FALSE()),"")</f>
        <v/>
      </c>
      <c r="G14" s="369" t="str">
        <f aca="false">_xlfn.IFNA(VLOOKUP($B14,O_CALC_CultivoPrincipal!$AP$7:$AX$423,G$2,FALSE()),"")</f>
        <v/>
      </c>
      <c r="H14" s="369" t="str">
        <f aca="false">_xlfn.IFNA(VLOOKUP($B14,O_CALC_CultivoPrincipal!$AP$7:$AX$423,H$2,FALSE()),"")</f>
        <v/>
      </c>
      <c r="I14" s="369" t="str">
        <f aca="false">_xlfn.IFNA(VLOOKUP($B14,O_CALC_CultivoPrincipal!$AP$7:$AX$423,I$2,FALSE()),"")</f>
        <v/>
      </c>
      <c r="J14" s="370" t="n">
        <v>1</v>
      </c>
      <c r="K14" s="371"/>
      <c r="M14" s="366"/>
      <c r="U14" s="2" t="n">
        <v>13</v>
      </c>
      <c r="V14" s="2" t="str">
        <f aca="false">_xlfn.IFNA(VLOOKUP($U14,$A$2:$I$49,V$1,FALSE()),"")</f>
        <v/>
      </c>
      <c r="W14" s="2" t="str">
        <f aca="false">_xlfn.IFNA(VLOOKUP($U14,$A$2:$I$49,W$1,FALSE()),"")</f>
        <v/>
      </c>
      <c r="X14" s="2" t="str">
        <f aca="false">_xlfn.IFNA(VLOOKUP($U14,$A$2:$I$49,X$1,FALSE()),"")</f>
        <v/>
      </c>
      <c r="Y14" s="2" t="str">
        <f aca="false">_xlfn.IFNA(VLOOKUP($U14,$A$2:$I$49,Y$1,FALSE()),"")</f>
        <v/>
      </c>
      <c r="Z14" s="2" t="str">
        <f aca="false">_xlfn.IFNA(VLOOKUP($U14,$A$2:$I$49,Z$1,FALSE()),"")</f>
        <v/>
      </c>
      <c r="AA14" s="2" t="str">
        <f aca="false">_xlfn.IFNA(VLOOKUP($U14,$A$2:$I$49,AA$1,FALSE()),"")</f>
        <v/>
      </c>
      <c r="AB14" s="2" t="str">
        <f aca="false">_xlfn.IFNA(VLOOKUP($U14,$A$2:$I$49,AB$1,FALSE()),"")</f>
        <v/>
      </c>
      <c r="AC14" s="2" t="str">
        <f aca="false">_xlfn.IFNA(VLOOKUP($U14,$A$2:$I$49,AC$1,FALSE()),"")</f>
        <v/>
      </c>
      <c r="AD14" s="367" t="str">
        <f aca="false">_xlfn.IFNA(VLOOKUP($U14,$A$2:$I$49,AD$1,FALSE()),"")</f>
        <v/>
      </c>
      <c r="AF14" s="2" t="n">
        <v>13</v>
      </c>
    </row>
    <row r="15" customFormat="false" ht="14.25" hidden="false" customHeight="false" outlineLevel="0" collapsed="false">
      <c r="A15" s="361" t="str">
        <f aca="false">IF(E15&lt;&gt;"",RANK(E15,E$3:E$49),"")</f>
        <v/>
      </c>
      <c r="B15" s="368" t="n">
        <v>13</v>
      </c>
      <c r="C15" s="369" t="str">
        <f aca="false">_xlfn.IFNA(VLOOKUP($B15,O_CALC_CultivoPrincipal!$AP$7:$AX$423,C$2,FALSE()),"")</f>
        <v/>
      </c>
      <c r="D15" s="369" t="str">
        <f aca="false">_xlfn.IFNA(VLOOKUP($B15,O_CALC_CultivoPrincipal!$AP$7:$AX$423,D$2,FALSE()),"")</f>
        <v/>
      </c>
      <c r="E15" s="369" t="str">
        <f aca="false">_xlfn.IFNA(VLOOKUP($B15,O_CALC_CultivoPrincipal!$AP$7:$AX$423,E$2,FALSE()),"")</f>
        <v/>
      </c>
      <c r="F15" s="369" t="str">
        <f aca="false">_xlfn.IFNA(VLOOKUP($B15,O_CALC_CultivoPrincipal!$AP$7:$AX$423,F$2,FALSE()),"")</f>
        <v/>
      </c>
      <c r="G15" s="369" t="str">
        <f aca="false">_xlfn.IFNA(VLOOKUP($B15,O_CALC_CultivoPrincipal!$AP$7:$AX$423,G$2,FALSE()),"")</f>
        <v/>
      </c>
      <c r="H15" s="369" t="str">
        <f aca="false">_xlfn.IFNA(VLOOKUP($B15,O_CALC_CultivoPrincipal!$AP$7:$AX$423,H$2,FALSE()),"")</f>
        <v/>
      </c>
      <c r="I15" s="369" t="str">
        <f aca="false">_xlfn.IFNA(VLOOKUP($B15,O_CALC_CultivoPrincipal!$AP$7:$AX$423,I$2,FALSE()),"")</f>
        <v/>
      </c>
      <c r="J15" s="370" t="n">
        <v>1</v>
      </c>
      <c r="K15" s="371"/>
      <c r="M15" s="366"/>
      <c r="U15" s="2" t="n">
        <v>14</v>
      </c>
      <c r="V15" s="2" t="str">
        <f aca="false">_xlfn.IFNA(VLOOKUP($U15,$A$2:$I$49,V$1,FALSE()),"")</f>
        <v/>
      </c>
      <c r="W15" s="2" t="str">
        <f aca="false">_xlfn.IFNA(VLOOKUP($U15,$A$2:$I$49,W$1,FALSE()),"")</f>
        <v/>
      </c>
      <c r="X15" s="2" t="str">
        <f aca="false">_xlfn.IFNA(VLOOKUP($U15,$A$2:$I$49,X$1,FALSE()),"")</f>
        <v/>
      </c>
      <c r="Y15" s="2" t="str">
        <f aca="false">_xlfn.IFNA(VLOOKUP($U15,$A$2:$I$49,Y$1,FALSE()),"")</f>
        <v/>
      </c>
      <c r="Z15" s="2" t="str">
        <f aca="false">_xlfn.IFNA(VLOOKUP($U15,$A$2:$I$49,Z$1,FALSE()),"")</f>
        <v/>
      </c>
      <c r="AA15" s="2" t="str">
        <f aca="false">_xlfn.IFNA(VLOOKUP($U15,$A$2:$I$49,AA$1,FALSE()),"")</f>
        <v/>
      </c>
      <c r="AB15" s="2" t="str">
        <f aca="false">_xlfn.IFNA(VLOOKUP($U15,$A$2:$I$49,AB$1,FALSE()),"")</f>
        <v/>
      </c>
      <c r="AC15" s="2" t="str">
        <f aca="false">_xlfn.IFNA(VLOOKUP($U15,$A$2:$I$49,AC$1,FALSE()),"")</f>
        <v/>
      </c>
      <c r="AD15" s="367" t="str">
        <f aca="false">_xlfn.IFNA(VLOOKUP($U15,$A$2:$I$49,AD$1,FALSE()),"")</f>
        <v/>
      </c>
      <c r="AF15" s="2" t="n">
        <v>14</v>
      </c>
    </row>
    <row r="16" customFormat="false" ht="14.25" hidden="false" customHeight="false" outlineLevel="0" collapsed="false">
      <c r="A16" s="361" t="str">
        <f aca="false">IF(E16&lt;&gt;"",RANK(E16,E$3:E$49),"")</f>
        <v/>
      </c>
      <c r="B16" s="368" t="n">
        <v>14</v>
      </c>
      <c r="C16" s="369" t="str">
        <f aca="false">_xlfn.IFNA(VLOOKUP($B16,O_CALC_CultivoPrincipal!$AP$7:$AX$423,C$2,FALSE()),"")</f>
        <v/>
      </c>
      <c r="D16" s="369" t="str">
        <f aca="false">_xlfn.IFNA(VLOOKUP($B16,O_CALC_CultivoPrincipal!$AP$7:$AX$423,D$2,FALSE()),"")</f>
        <v/>
      </c>
      <c r="E16" s="369" t="str">
        <f aca="false">_xlfn.IFNA(VLOOKUP($B16,O_CALC_CultivoPrincipal!$AP$7:$AX$423,E$2,FALSE()),"")</f>
        <v/>
      </c>
      <c r="F16" s="369" t="str">
        <f aca="false">_xlfn.IFNA(VLOOKUP($B16,O_CALC_CultivoPrincipal!$AP$7:$AX$423,F$2,FALSE()),"")</f>
        <v/>
      </c>
      <c r="G16" s="369" t="str">
        <f aca="false">_xlfn.IFNA(VLOOKUP($B16,O_CALC_CultivoPrincipal!$AP$7:$AX$423,G$2,FALSE()),"")</f>
        <v/>
      </c>
      <c r="H16" s="369" t="str">
        <f aca="false">_xlfn.IFNA(VLOOKUP($B16,O_CALC_CultivoPrincipal!$AP$7:$AX$423,H$2,FALSE()),"")</f>
        <v/>
      </c>
      <c r="I16" s="369" t="str">
        <f aca="false">_xlfn.IFNA(VLOOKUP($B16,O_CALC_CultivoPrincipal!$AP$7:$AX$423,I$2,FALSE()),"")</f>
        <v/>
      </c>
      <c r="J16" s="370" t="n">
        <v>1</v>
      </c>
      <c r="K16" s="371"/>
      <c r="M16" s="366"/>
      <c r="U16" s="2" t="n">
        <v>15</v>
      </c>
      <c r="V16" s="2" t="str">
        <f aca="false">_xlfn.IFNA(VLOOKUP($U16,$A$2:$I$49,V$1,FALSE()),"")</f>
        <v/>
      </c>
      <c r="W16" s="2" t="str">
        <f aca="false">_xlfn.IFNA(VLOOKUP($U16,$A$2:$I$49,W$1,FALSE()),"")</f>
        <v/>
      </c>
      <c r="X16" s="2" t="str">
        <f aca="false">_xlfn.IFNA(VLOOKUP($U16,$A$2:$I$49,X$1,FALSE()),"")</f>
        <v/>
      </c>
      <c r="Y16" s="2" t="str">
        <f aca="false">_xlfn.IFNA(VLOOKUP($U16,$A$2:$I$49,Y$1,FALSE()),"")</f>
        <v/>
      </c>
      <c r="Z16" s="2" t="str">
        <f aca="false">_xlfn.IFNA(VLOOKUP($U16,$A$2:$I$49,Z$1,FALSE()),"")</f>
        <v/>
      </c>
      <c r="AA16" s="2" t="str">
        <f aca="false">_xlfn.IFNA(VLOOKUP($U16,$A$2:$I$49,AA$1,FALSE()),"")</f>
        <v/>
      </c>
      <c r="AB16" s="2" t="str">
        <f aca="false">_xlfn.IFNA(VLOOKUP($U16,$A$2:$I$49,AB$1,FALSE()),"")</f>
        <v/>
      </c>
      <c r="AC16" s="2" t="str">
        <f aca="false">_xlfn.IFNA(VLOOKUP($U16,$A$2:$I$49,AC$1,FALSE()),"")</f>
        <v/>
      </c>
      <c r="AD16" s="367" t="str">
        <f aca="false">_xlfn.IFNA(VLOOKUP($U16,$A$2:$I$49,AD$1,FALSE()),"")</f>
        <v/>
      </c>
      <c r="AF16" s="2" t="n">
        <v>15</v>
      </c>
    </row>
    <row r="17" customFormat="false" ht="14.25" hidden="false" customHeight="false" outlineLevel="0" collapsed="false">
      <c r="A17" s="361" t="str">
        <f aca="false">IF(E17&lt;&gt;"",RANK(E17,E$3:E$49),"")</f>
        <v/>
      </c>
      <c r="B17" s="372" t="n">
        <v>15</v>
      </c>
      <c r="C17" s="373" t="str">
        <f aca="false">_xlfn.IFNA(VLOOKUP($B17,O_CALC_CultivoPrincipal!$AP$7:$AX$423,C$2,FALSE()),"")</f>
        <v/>
      </c>
      <c r="D17" s="373" t="str">
        <f aca="false">_xlfn.IFNA(VLOOKUP($B17,O_CALC_CultivoPrincipal!$AP$7:$AX$423,D$2,FALSE()),"")</f>
        <v/>
      </c>
      <c r="E17" s="373" t="str">
        <f aca="false">_xlfn.IFNA(VLOOKUP($B17,O_CALC_CultivoPrincipal!$AP$7:$AX$423,E$2,FALSE()),"")</f>
        <v/>
      </c>
      <c r="F17" s="373" t="str">
        <f aca="false">_xlfn.IFNA(VLOOKUP($B17,O_CALC_CultivoPrincipal!$AP$7:$AX$423,F$2,FALSE()),"")</f>
        <v/>
      </c>
      <c r="G17" s="373" t="str">
        <f aca="false">_xlfn.IFNA(VLOOKUP($B17,O_CALC_CultivoPrincipal!$AP$7:$AX$423,G$2,FALSE()),"")</f>
        <v/>
      </c>
      <c r="H17" s="373" t="str">
        <f aca="false">_xlfn.IFNA(VLOOKUP($B17,O_CALC_CultivoPrincipal!$AP$7:$AX$423,H$2,FALSE()),"")</f>
        <v/>
      </c>
      <c r="I17" s="373" t="str">
        <f aca="false">_xlfn.IFNA(VLOOKUP($B17,O_CALC_CultivoPrincipal!$AP$7:$AX$423,I$2,FALSE()),"")</f>
        <v/>
      </c>
      <c r="J17" s="374" t="n">
        <v>1</v>
      </c>
      <c r="K17" s="375"/>
      <c r="M17" s="366"/>
      <c r="U17" s="2" t="n">
        <v>16</v>
      </c>
      <c r="V17" s="2" t="str">
        <f aca="false">_xlfn.IFNA(VLOOKUP($U17,$A$2:$I$49,V$1,FALSE()),"")</f>
        <v/>
      </c>
      <c r="W17" s="2" t="str">
        <f aca="false">_xlfn.IFNA(VLOOKUP($U17,$A$2:$I$49,W$1,FALSE()),"")</f>
        <v/>
      </c>
      <c r="X17" s="2" t="str">
        <f aca="false">_xlfn.IFNA(VLOOKUP($U17,$A$2:$I$49,X$1,FALSE()),"")</f>
        <v/>
      </c>
      <c r="Y17" s="2" t="str">
        <f aca="false">_xlfn.IFNA(VLOOKUP($U17,$A$2:$I$49,Y$1,FALSE()),"")</f>
        <v/>
      </c>
      <c r="Z17" s="2" t="str">
        <f aca="false">_xlfn.IFNA(VLOOKUP($U17,$A$2:$I$49,Z$1,FALSE()),"")</f>
        <v/>
      </c>
      <c r="AA17" s="2" t="str">
        <f aca="false">_xlfn.IFNA(VLOOKUP($U17,$A$2:$I$49,AA$1,FALSE()),"")</f>
        <v/>
      </c>
      <c r="AB17" s="2" t="str">
        <f aca="false">_xlfn.IFNA(VLOOKUP($U17,$A$2:$I$49,AB$1,FALSE()),"")</f>
        <v/>
      </c>
      <c r="AC17" s="2" t="str">
        <f aca="false">_xlfn.IFNA(VLOOKUP($U17,$A$2:$I$49,AC$1,FALSE()),"")</f>
        <v/>
      </c>
      <c r="AD17" s="367" t="str">
        <f aca="false">_xlfn.IFNA(VLOOKUP($U17,$A$2:$I$49,AD$1,FALSE()),"")</f>
        <v/>
      </c>
      <c r="AF17" s="2" t="n">
        <v>16</v>
      </c>
    </row>
    <row r="18" customFormat="false" ht="14.25" hidden="false" customHeight="false" outlineLevel="0" collapsed="false">
      <c r="A18" s="361" t="str">
        <f aca="false">IF(E18&lt;&gt;"",RANK(E18,E$3:E$49),"")</f>
        <v/>
      </c>
      <c r="B18" s="362" t="n">
        <v>1</v>
      </c>
      <c r="C18" s="363" t="str">
        <f aca="false">_xlfn.IFNA(VLOOKUP($B3,O_CALC_CultivoSecundario!$AP$7:$AX$423,C$2,FALSE()),"")</f>
        <v/>
      </c>
      <c r="D18" s="363" t="str">
        <f aca="false">_xlfn.IFNA(VLOOKUP($B3,O_CALC_CultivoSecundario!$AP$7:$AX$423,D$2,FALSE()),"")</f>
        <v/>
      </c>
      <c r="E18" s="363" t="str">
        <f aca="false">_xlfn.IFNA(VLOOKUP($B3,O_CALC_CultivoSecundario!$AP$7:$AX$423,E$2,FALSE()),"")</f>
        <v/>
      </c>
      <c r="F18" s="363" t="str">
        <f aca="false">_xlfn.IFNA(VLOOKUP($B3,O_CALC_CultivoSecundario!$AP$7:$AX$423,F$2,FALSE()),"")</f>
        <v/>
      </c>
      <c r="G18" s="363" t="str">
        <f aca="false">_xlfn.IFNA(VLOOKUP($B3,O_CALC_CultivoSecundario!$AP$7:$AX$423,G$2,FALSE()),"")</f>
        <v/>
      </c>
      <c r="H18" s="363" t="str">
        <f aca="false">_xlfn.IFNA(VLOOKUP($B3,O_CALC_CultivoSecundario!$AP$7:$AX$423,H$2,FALSE()),"")</f>
        <v/>
      </c>
      <c r="I18" s="363" t="str">
        <f aca="false">_xlfn.IFNA(VLOOKUP($B3,O_CALC_CultivoSecundario!$AP$7:$AX$423,I$2,FALSE()),"")</f>
        <v/>
      </c>
      <c r="J18" s="364" t="n">
        <v>2</v>
      </c>
      <c r="K18" s="357"/>
      <c r="M18" s="366"/>
      <c r="U18" s="2" t="n">
        <v>17</v>
      </c>
      <c r="V18" s="2" t="str">
        <f aca="false">_xlfn.IFNA(VLOOKUP($U18,$A$2:$I$49,V$1,FALSE()),"")</f>
        <v/>
      </c>
      <c r="W18" s="2" t="str">
        <f aca="false">_xlfn.IFNA(VLOOKUP($U18,$A$2:$I$49,W$1,FALSE()),"")</f>
        <v/>
      </c>
      <c r="X18" s="2" t="str">
        <f aca="false">_xlfn.IFNA(VLOOKUP($U18,$A$2:$I$49,X$1,FALSE()),"")</f>
        <v/>
      </c>
      <c r="Y18" s="2" t="str">
        <f aca="false">_xlfn.IFNA(VLOOKUP($U18,$A$2:$I$49,Y$1,FALSE()),"")</f>
        <v/>
      </c>
      <c r="Z18" s="2" t="str">
        <f aca="false">_xlfn.IFNA(VLOOKUP($U18,$A$2:$I$49,Z$1,FALSE()),"")</f>
        <v/>
      </c>
      <c r="AA18" s="2" t="str">
        <f aca="false">_xlfn.IFNA(VLOOKUP($U18,$A$2:$I$49,AA$1,FALSE()),"")</f>
        <v/>
      </c>
      <c r="AB18" s="2" t="str">
        <f aca="false">_xlfn.IFNA(VLOOKUP($U18,$A$2:$I$49,AB$1,FALSE()),"")</f>
        <v/>
      </c>
      <c r="AC18" s="2" t="str">
        <f aca="false">_xlfn.IFNA(VLOOKUP($U18,$A$2:$I$49,AC$1,FALSE()),"")</f>
        <v/>
      </c>
      <c r="AD18" s="367" t="str">
        <f aca="false">_xlfn.IFNA(VLOOKUP($U18,$A$2:$I$49,AD$1,FALSE()),"")</f>
        <v/>
      </c>
      <c r="AF18" s="2" t="n">
        <v>17</v>
      </c>
    </row>
    <row r="19" customFormat="false" ht="14.25" hidden="false" customHeight="false" outlineLevel="0" collapsed="false">
      <c r="A19" s="361" t="str">
        <f aca="false">IF(E19&lt;&gt;"",RANK(E19,E$3:E$49),"")</f>
        <v/>
      </c>
      <c r="B19" s="368" t="n">
        <v>2</v>
      </c>
      <c r="C19" s="369" t="str">
        <f aca="false">_xlfn.IFNA(VLOOKUP($B4,O_CALC_CultivoSecundario!$AP$7:$AX$423,C$2,FALSE()),"")</f>
        <v/>
      </c>
      <c r="D19" s="369" t="str">
        <f aca="false">_xlfn.IFNA(VLOOKUP($B4,O_CALC_CultivoSecundario!$AP$7:$AX$423,D$2,FALSE()),"")</f>
        <v/>
      </c>
      <c r="E19" s="369" t="str">
        <f aca="false">_xlfn.IFNA(VLOOKUP($B4,O_CALC_CultivoSecundario!$AP$7:$AX$423,E$2,FALSE()),"")</f>
        <v/>
      </c>
      <c r="F19" s="369" t="str">
        <f aca="false">_xlfn.IFNA(VLOOKUP($B4,O_CALC_CultivoSecundario!$AP$7:$AX$423,F$2,FALSE()),"")</f>
        <v/>
      </c>
      <c r="G19" s="369" t="str">
        <f aca="false">_xlfn.IFNA(VLOOKUP($B4,O_CALC_CultivoSecundario!$AP$7:$AX$423,G$2,FALSE()),"")</f>
        <v/>
      </c>
      <c r="H19" s="369" t="str">
        <f aca="false">_xlfn.IFNA(VLOOKUP($B4,O_CALC_CultivoSecundario!$AP$7:$AX$423,H$2,FALSE()),"")</f>
        <v/>
      </c>
      <c r="I19" s="369" t="str">
        <f aca="false">_xlfn.IFNA(VLOOKUP($B4,O_CALC_CultivoSecundario!$AP$7:$AX$423,I$2,FALSE()),"")</f>
        <v/>
      </c>
      <c r="J19" s="370" t="n">
        <v>2</v>
      </c>
      <c r="K19" s="371"/>
      <c r="M19" s="366"/>
      <c r="U19" s="2" t="n">
        <v>18</v>
      </c>
      <c r="V19" s="2" t="str">
        <f aca="false">_xlfn.IFNA(VLOOKUP($U19,$A$2:$I$49,V$1,FALSE()),"")</f>
        <v/>
      </c>
      <c r="W19" s="2" t="str">
        <f aca="false">_xlfn.IFNA(VLOOKUP($U19,$A$2:$I$49,W$1,FALSE()),"")</f>
        <v/>
      </c>
      <c r="X19" s="2" t="str">
        <f aca="false">_xlfn.IFNA(VLOOKUP($U19,$A$2:$I$49,X$1,FALSE()),"")</f>
        <v/>
      </c>
      <c r="Y19" s="2" t="str">
        <f aca="false">_xlfn.IFNA(VLOOKUP($U19,$A$2:$I$49,Y$1,FALSE()),"")</f>
        <v/>
      </c>
      <c r="Z19" s="2" t="str">
        <f aca="false">_xlfn.IFNA(VLOOKUP($U19,$A$2:$I$49,Z$1,FALSE()),"")</f>
        <v/>
      </c>
      <c r="AA19" s="2" t="str">
        <f aca="false">_xlfn.IFNA(VLOOKUP($U19,$A$2:$I$49,AA$1,FALSE()),"")</f>
        <v/>
      </c>
      <c r="AB19" s="2" t="str">
        <f aca="false">_xlfn.IFNA(VLOOKUP($U19,$A$2:$I$49,AB$1,FALSE()),"")</f>
        <v/>
      </c>
      <c r="AC19" s="2" t="str">
        <f aca="false">_xlfn.IFNA(VLOOKUP($U19,$A$2:$I$49,AC$1,FALSE()),"")</f>
        <v/>
      </c>
      <c r="AD19" s="367" t="str">
        <f aca="false">_xlfn.IFNA(VLOOKUP($U19,$A$2:$I$49,AD$1,FALSE()),"")</f>
        <v/>
      </c>
      <c r="AF19" s="2" t="n">
        <v>18</v>
      </c>
    </row>
    <row r="20" customFormat="false" ht="14.25" hidden="false" customHeight="false" outlineLevel="0" collapsed="false">
      <c r="A20" s="361" t="str">
        <f aca="false">IF(E20&lt;&gt;"",RANK(E20,E$3:E$49),"")</f>
        <v/>
      </c>
      <c r="B20" s="368" t="n">
        <v>3</v>
      </c>
      <c r="C20" s="369" t="str">
        <f aca="false">_xlfn.IFNA(VLOOKUP($B5,O_CALC_CultivoSecundario!$AP$7:$AX$423,C$2,FALSE()),"")</f>
        <v/>
      </c>
      <c r="D20" s="369" t="str">
        <f aca="false">_xlfn.IFNA(VLOOKUP($B5,O_CALC_CultivoSecundario!$AP$7:$AX$423,D$2,FALSE()),"")</f>
        <v/>
      </c>
      <c r="E20" s="369" t="str">
        <f aca="false">_xlfn.IFNA(VLOOKUP($B5,O_CALC_CultivoSecundario!$AP$7:$AX$423,E$2,FALSE()),"")</f>
        <v/>
      </c>
      <c r="F20" s="369" t="str">
        <f aca="false">_xlfn.IFNA(VLOOKUP($B5,O_CALC_CultivoSecundario!$AP$7:$AX$423,F$2,FALSE()),"")</f>
        <v/>
      </c>
      <c r="G20" s="369" t="str">
        <f aca="false">_xlfn.IFNA(VLOOKUP($B5,O_CALC_CultivoSecundario!$AP$7:$AX$423,G$2,FALSE()),"")</f>
        <v/>
      </c>
      <c r="H20" s="369" t="str">
        <f aca="false">_xlfn.IFNA(VLOOKUP($B5,O_CALC_CultivoSecundario!$AP$7:$AX$423,H$2,FALSE()),"")</f>
        <v/>
      </c>
      <c r="I20" s="369" t="str">
        <f aca="false">_xlfn.IFNA(VLOOKUP($B5,O_CALC_CultivoSecundario!$AP$7:$AX$423,I$2,FALSE()),"")</f>
        <v/>
      </c>
      <c r="J20" s="370" t="n">
        <v>2</v>
      </c>
      <c r="K20" s="371"/>
      <c r="M20" s="366"/>
      <c r="U20" s="2" t="n">
        <v>19</v>
      </c>
      <c r="V20" s="2" t="str">
        <f aca="false">_xlfn.IFNA(VLOOKUP($U20,$A$2:$I$49,V$1,FALSE()),"")</f>
        <v/>
      </c>
      <c r="W20" s="2" t="str">
        <f aca="false">_xlfn.IFNA(VLOOKUP($U20,$A$2:$I$49,W$1,FALSE()),"")</f>
        <v/>
      </c>
      <c r="X20" s="2" t="str">
        <f aca="false">_xlfn.IFNA(VLOOKUP($U20,$A$2:$I$49,X$1,FALSE()),"")</f>
        <v/>
      </c>
      <c r="Y20" s="2" t="str">
        <f aca="false">_xlfn.IFNA(VLOOKUP($U20,$A$2:$I$49,Y$1,FALSE()),"")</f>
        <v/>
      </c>
      <c r="Z20" s="2" t="str">
        <f aca="false">_xlfn.IFNA(VLOOKUP($U20,$A$2:$I$49,Z$1,FALSE()),"")</f>
        <v/>
      </c>
      <c r="AA20" s="2" t="str">
        <f aca="false">_xlfn.IFNA(VLOOKUP($U20,$A$2:$I$49,AA$1,FALSE()),"")</f>
        <v/>
      </c>
      <c r="AB20" s="2" t="str">
        <f aca="false">_xlfn.IFNA(VLOOKUP($U20,$A$2:$I$49,AB$1,FALSE()),"")</f>
        <v/>
      </c>
      <c r="AC20" s="2" t="str">
        <f aca="false">_xlfn.IFNA(VLOOKUP($U20,$A$2:$I$49,AC$1,FALSE()),"")</f>
        <v/>
      </c>
      <c r="AD20" s="367" t="str">
        <f aca="false">_xlfn.IFNA(VLOOKUP($U20,$A$2:$I$49,AD$1,FALSE()),"")</f>
        <v/>
      </c>
      <c r="AF20" s="2" t="n">
        <v>19</v>
      </c>
    </row>
    <row r="21" customFormat="false" ht="14.25" hidden="false" customHeight="false" outlineLevel="0" collapsed="false">
      <c r="A21" s="361" t="str">
        <f aca="false">IF(E21&lt;&gt;"",RANK(E21,E$3:E$49),"")</f>
        <v/>
      </c>
      <c r="B21" s="368" t="n">
        <v>4</v>
      </c>
      <c r="C21" s="369" t="str">
        <f aca="false">_xlfn.IFNA(VLOOKUP($B6,O_CALC_CultivoSecundario!$AP$7:$AX$423,C$2,FALSE()),"")</f>
        <v/>
      </c>
      <c r="D21" s="369" t="str">
        <f aca="false">_xlfn.IFNA(VLOOKUP($B6,O_CALC_CultivoSecundario!$AP$7:$AX$423,D$2,FALSE()),"")</f>
        <v/>
      </c>
      <c r="E21" s="369" t="str">
        <f aca="false">_xlfn.IFNA(VLOOKUP($B6,O_CALC_CultivoSecundario!$AP$7:$AX$423,E$2,FALSE()),"")</f>
        <v/>
      </c>
      <c r="F21" s="369" t="str">
        <f aca="false">_xlfn.IFNA(VLOOKUP($B6,O_CALC_CultivoSecundario!$AP$7:$AX$423,F$2,FALSE()),"")</f>
        <v/>
      </c>
      <c r="G21" s="369" t="str">
        <f aca="false">_xlfn.IFNA(VLOOKUP($B6,O_CALC_CultivoSecundario!$AP$7:$AX$423,G$2,FALSE()),"")</f>
        <v/>
      </c>
      <c r="H21" s="369" t="str">
        <f aca="false">_xlfn.IFNA(VLOOKUP($B6,O_CALC_CultivoSecundario!$AP$7:$AX$423,H$2,FALSE()),"")</f>
        <v/>
      </c>
      <c r="I21" s="369" t="str">
        <f aca="false">_xlfn.IFNA(VLOOKUP($B6,O_CALC_CultivoSecundario!$AP$7:$AX$423,I$2,FALSE()),"")</f>
        <v/>
      </c>
      <c r="J21" s="370" t="n">
        <v>2</v>
      </c>
      <c r="K21" s="371"/>
      <c r="M21" s="366"/>
      <c r="U21" s="2" t="n">
        <v>20</v>
      </c>
      <c r="V21" s="2" t="str">
        <f aca="false">_xlfn.IFNA(VLOOKUP($U21,$A$2:$I$49,V$1,FALSE()),"")</f>
        <v/>
      </c>
      <c r="W21" s="2" t="str">
        <f aca="false">_xlfn.IFNA(VLOOKUP($U21,$A$2:$I$49,W$1,FALSE()),"")</f>
        <v/>
      </c>
      <c r="X21" s="2" t="str">
        <f aca="false">_xlfn.IFNA(VLOOKUP($U21,$A$2:$I$49,X$1,FALSE()),"")</f>
        <v/>
      </c>
      <c r="Y21" s="2" t="str">
        <f aca="false">_xlfn.IFNA(VLOOKUP($U21,$A$2:$I$49,Y$1,FALSE()),"")</f>
        <v/>
      </c>
      <c r="Z21" s="2" t="str">
        <f aca="false">_xlfn.IFNA(VLOOKUP($U21,$A$2:$I$49,Z$1,FALSE()),"")</f>
        <v/>
      </c>
      <c r="AA21" s="2" t="str">
        <f aca="false">_xlfn.IFNA(VLOOKUP($U21,$A$2:$I$49,AA$1,FALSE()),"")</f>
        <v/>
      </c>
      <c r="AB21" s="2" t="str">
        <f aca="false">_xlfn.IFNA(VLOOKUP($U21,$A$2:$I$49,AB$1,FALSE()),"")</f>
        <v/>
      </c>
      <c r="AC21" s="2" t="str">
        <f aca="false">_xlfn.IFNA(VLOOKUP($U21,$A$2:$I$49,AC$1,FALSE()),"")</f>
        <v/>
      </c>
      <c r="AD21" s="367" t="str">
        <f aca="false">_xlfn.IFNA(VLOOKUP($U21,$A$2:$I$49,AD$1,FALSE()),"")</f>
        <v/>
      </c>
      <c r="AF21" s="2" t="n">
        <v>20</v>
      </c>
    </row>
    <row r="22" customFormat="false" ht="14.25" hidden="false" customHeight="false" outlineLevel="0" collapsed="false">
      <c r="A22" s="361" t="str">
        <f aca="false">IF(E22&lt;&gt;"",RANK(E22,E$3:E$49),"")</f>
        <v/>
      </c>
      <c r="B22" s="368" t="n">
        <v>5</v>
      </c>
      <c r="C22" s="369" t="str">
        <f aca="false">_xlfn.IFNA(VLOOKUP($B7,O_CALC_CultivoSecundario!$AP$7:$AX$423,C$2,FALSE()),"")</f>
        <v/>
      </c>
      <c r="D22" s="369" t="str">
        <f aca="false">_xlfn.IFNA(VLOOKUP($B7,O_CALC_CultivoSecundario!$AP$7:$AX$423,D$2,FALSE()),"")</f>
        <v/>
      </c>
      <c r="E22" s="369" t="str">
        <f aca="false">_xlfn.IFNA(VLOOKUP($B7,O_CALC_CultivoSecundario!$AP$7:$AX$423,E$2,FALSE()),"")</f>
        <v/>
      </c>
      <c r="F22" s="369" t="str">
        <f aca="false">_xlfn.IFNA(VLOOKUP($B7,O_CALC_CultivoSecundario!$AP$7:$AX$423,F$2,FALSE()),"")</f>
        <v/>
      </c>
      <c r="G22" s="369" t="str">
        <f aca="false">_xlfn.IFNA(VLOOKUP($B7,O_CALC_CultivoSecundario!$AP$7:$AX$423,G$2,FALSE()),"")</f>
        <v/>
      </c>
      <c r="H22" s="369" t="str">
        <f aca="false">_xlfn.IFNA(VLOOKUP($B7,O_CALC_CultivoSecundario!$AP$7:$AX$423,H$2,FALSE()),"")</f>
        <v/>
      </c>
      <c r="I22" s="369" t="str">
        <f aca="false">_xlfn.IFNA(VLOOKUP($B7,O_CALC_CultivoSecundario!$AP$7:$AX$423,I$2,FALSE()),"")</f>
        <v/>
      </c>
      <c r="J22" s="370" t="n">
        <v>2</v>
      </c>
      <c r="K22" s="371"/>
      <c r="M22" s="366"/>
      <c r="U22" s="2" t="n">
        <v>21</v>
      </c>
      <c r="V22" s="2" t="str">
        <f aca="false">_xlfn.IFNA(VLOOKUP($U22,$A$2:$I$49,V$1,FALSE()),"")</f>
        <v/>
      </c>
      <c r="W22" s="2" t="str">
        <f aca="false">_xlfn.IFNA(VLOOKUP($U22,$A$2:$I$49,W$1,FALSE()),"")</f>
        <v/>
      </c>
      <c r="X22" s="2" t="str">
        <f aca="false">_xlfn.IFNA(VLOOKUP($U22,$A$2:$I$49,X$1,FALSE()),"")</f>
        <v/>
      </c>
      <c r="Y22" s="2" t="str">
        <f aca="false">_xlfn.IFNA(VLOOKUP($U22,$A$2:$I$49,Y$1,FALSE()),"")</f>
        <v/>
      </c>
      <c r="Z22" s="2" t="str">
        <f aca="false">_xlfn.IFNA(VLOOKUP($U22,$A$2:$I$49,Z$1,FALSE()),"")</f>
        <v/>
      </c>
      <c r="AA22" s="2" t="str">
        <f aca="false">_xlfn.IFNA(VLOOKUP($U22,$A$2:$I$49,AA$1,FALSE()),"")</f>
        <v/>
      </c>
      <c r="AB22" s="2" t="str">
        <f aca="false">_xlfn.IFNA(VLOOKUP($U22,$A$2:$I$49,AB$1,FALSE()),"")</f>
        <v/>
      </c>
      <c r="AC22" s="2" t="str">
        <f aca="false">_xlfn.IFNA(VLOOKUP($U22,$A$2:$I$49,AC$1,FALSE()),"")</f>
        <v/>
      </c>
      <c r="AD22" s="367" t="str">
        <f aca="false">_xlfn.IFNA(VLOOKUP($U22,$A$2:$I$49,AD$1,FALSE()),"")</f>
        <v/>
      </c>
      <c r="AF22" s="2" t="n">
        <v>21</v>
      </c>
    </row>
    <row r="23" customFormat="false" ht="14.25" hidden="false" customHeight="false" outlineLevel="0" collapsed="false">
      <c r="A23" s="361" t="str">
        <f aca="false">IF(E23&lt;&gt;"",RANK(E23,E$3:E$49),"")</f>
        <v/>
      </c>
      <c r="B23" s="368" t="n">
        <v>6</v>
      </c>
      <c r="C23" s="369" t="str">
        <f aca="false">_xlfn.IFNA(VLOOKUP($B8,O_CALC_CultivoSecundario!$AP$7:$AX$423,C$2,FALSE()),"")</f>
        <v/>
      </c>
      <c r="D23" s="369" t="str">
        <f aca="false">_xlfn.IFNA(VLOOKUP($B8,O_CALC_CultivoSecundario!$AP$7:$AX$423,D$2,FALSE()),"")</f>
        <v/>
      </c>
      <c r="E23" s="369" t="str">
        <f aca="false">_xlfn.IFNA(VLOOKUP($B8,O_CALC_CultivoSecundario!$AP$7:$AX$423,E$2,FALSE()),"")</f>
        <v/>
      </c>
      <c r="F23" s="369" t="str">
        <f aca="false">_xlfn.IFNA(VLOOKUP($B8,O_CALC_CultivoSecundario!$AP$7:$AX$423,F$2,FALSE()),"")</f>
        <v/>
      </c>
      <c r="G23" s="369" t="str">
        <f aca="false">_xlfn.IFNA(VLOOKUP($B8,O_CALC_CultivoSecundario!$AP$7:$AX$423,G$2,FALSE()),"")</f>
        <v/>
      </c>
      <c r="H23" s="369" t="str">
        <f aca="false">_xlfn.IFNA(VLOOKUP($B8,O_CALC_CultivoSecundario!$AP$7:$AX$423,H$2,FALSE()),"")</f>
        <v/>
      </c>
      <c r="I23" s="369" t="str">
        <f aca="false">_xlfn.IFNA(VLOOKUP($B8,O_CALC_CultivoSecundario!$AP$7:$AX$423,I$2,FALSE()),"")</f>
        <v/>
      </c>
      <c r="J23" s="370" t="n">
        <v>2</v>
      </c>
      <c r="K23" s="371"/>
      <c r="M23" s="366"/>
      <c r="U23" s="2" t="n">
        <v>22</v>
      </c>
      <c r="V23" s="2" t="str">
        <f aca="false">_xlfn.IFNA(VLOOKUP($U23,$A$2:$I$49,V$1,FALSE()),"")</f>
        <v/>
      </c>
      <c r="W23" s="2" t="str">
        <f aca="false">_xlfn.IFNA(VLOOKUP($U23,$A$2:$I$49,W$1,FALSE()),"")</f>
        <v/>
      </c>
      <c r="X23" s="2" t="str">
        <f aca="false">_xlfn.IFNA(VLOOKUP($U23,$A$2:$I$49,X$1,FALSE()),"")</f>
        <v/>
      </c>
      <c r="Y23" s="2" t="str">
        <f aca="false">_xlfn.IFNA(VLOOKUP($U23,$A$2:$I$49,Y$1,FALSE()),"")</f>
        <v/>
      </c>
      <c r="Z23" s="2" t="str">
        <f aca="false">_xlfn.IFNA(VLOOKUP($U23,$A$2:$I$49,Z$1,FALSE()),"")</f>
        <v/>
      </c>
      <c r="AA23" s="2" t="str">
        <f aca="false">_xlfn.IFNA(VLOOKUP($U23,$A$2:$I$49,AA$1,FALSE()),"")</f>
        <v/>
      </c>
      <c r="AB23" s="2" t="str">
        <f aca="false">_xlfn.IFNA(VLOOKUP($U23,$A$2:$I$49,AB$1,FALSE()),"")</f>
        <v/>
      </c>
      <c r="AC23" s="2" t="str">
        <f aca="false">_xlfn.IFNA(VLOOKUP($U23,$A$2:$I$49,AC$1,FALSE()),"")</f>
        <v/>
      </c>
      <c r="AD23" s="367" t="str">
        <f aca="false">_xlfn.IFNA(VLOOKUP($U23,$A$2:$I$49,AD$1,FALSE()),"")</f>
        <v/>
      </c>
      <c r="AF23" s="2" t="n">
        <v>22</v>
      </c>
    </row>
    <row r="24" customFormat="false" ht="14.25" hidden="false" customHeight="false" outlineLevel="0" collapsed="false">
      <c r="A24" s="361" t="str">
        <f aca="false">IF(E24&lt;&gt;"",RANK(E24,E$3:E$49),"")</f>
        <v/>
      </c>
      <c r="B24" s="368" t="n">
        <v>7</v>
      </c>
      <c r="C24" s="369" t="str">
        <f aca="false">_xlfn.IFNA(VLOOKUP($B9,O_CALC_CultivoSecundario!$AP$7:$AX$423,C$2,FALSE()),"")</f>
        <v/>
      </c>
      <c r="D24" s="369" t="str">
        <f aca="false">_xlfn.IFNA(VLOOKUP($B9,O_CALC_CultivoSecundario!$AP$7:$AX$423,D$2,FALSE()),"")</f>
        <v/>
      </c>
      <c r="E24" s="369" t="str">
        <f aca="false">_xlfn.IFNA(VLOOKUP($B9,O_CALC_CultivoSecundario!$AP$7:$AX$423,E$2,FALSE()),"")</f>
        <v/>
      </c>
      <c r="F24" s="369" t="str">
        <f aca="false">_xlfn.IFNA(VLOOKUP($B9,O_CALC_CultivoSecundario!$AP$7:$AX$423,F$2,FALSE()),"")</f>
        <v/>
      </c>
      <c r="G24" s="369" t="str">
        <f aca="false">_xlfn.IFNA(VLOOKUP($B9,O_CALC_CultivoSecundario!$AP$7:$AX$423,G$2,FALSE()),"")</f>
        <v/>
      </c>
      <c r="H24" s="369" t="str">
        <f aca="false">_xlfn.IFNA(VLOOKUP($B9,O_CALC_CultivoSecundario!$AP$7:$AX$423,H$2,FALSE()),"")</f>
        <v/>
      </c>
      <c r="I24" s="369" t="str">
        <f aca="false">_xlfn.IFNA(VLOOKUP($B9,O_CALC_CultivoSecundario!$AP$7:$AX$423,I$2,FALSE()),"")</f>
        <v/>
      </c>
      <c r="J24" s="370" t="n">
        <v>2</v>
      </c>
      <c r="K24" s="371"/>
      <c r="M24" s="366"/>
      <c r="U24" s="2" t="n">
        <v>23</v>
      </c>
      <c r="V24" s="2" t="str">
        <f aca="false">_xlfn.IFNA(VLOOKUP($U24,$A$2:$I$49,V$1,FALSE()),"")</f>
        <v/>
      </c>
      <c r="W24" s="2" t="str">
        <f aca="false">_xlfn.IFNA(VLOOKUP($U24,$A$2:$I$49,W$1,FALSE()),"")</f>
        <v/>
      </c>
      <c r="X24" s="2" t="str">
        <f aca="false">_xlfn.IFNA(VLOOKUP($U24,$A$2:$I$49,X$1,FALSE()),"")</f>
        <v/>
      </c>
      <c r="Y24" s="2" t="str">
        <f aca="false">_xlfn.IFNA(VLOOKUP($U24,$A$2:$I$49,Y$1,FALSE()),"")</f>
        <v/>
      </c>
      <c r="Z24" s="2" t="str">
        <f aca="false">_xlfn.IFNA(VLOOKUP($U24,$A$2:$I$49,Z$1,FALSE()),"")</f>
        <v/>
      </c>
      <c r="AA24" s="2" t="str">
        <f aca="false">_xlfn.IFNA(VLOOKUP($U24,$A$2:$I$49,AA$1,FALSE()),"")</f>
        <v/>
      </c>
      <c r="AB24" s="2" t="str">
        <f aca="false">_xlfn.IFNA(VLOOKUP($U24,$A$2:$I$49,AB$1,FALSE()),"")</f>
        <v/>
      </c>
      <c r="AC24" s="2" t="str">
        <f aca="false">_xlfn.IFNA(VLOOKUP($U24,$A$2:$I$49,AC$1,FALSE()),"")</f>
        <v/>
      </c>
      <c r="AD24" s="367" t="str">
        <f aca="false">_xlfn.IFNA(VLOOKUP($U24,$A$2:$I$49,AD$1,FALSE()),"")</f>
        <v/>
      </c>
      <c r="AF24" s="2" t="n">
        <v>23</v>
      </c>
    </row>
    <row r="25" customFormat="false" ht="14.25" hidden="false" customHeight="false" outlineLevel="0" collapsed="false">
      <c r="A25" s="361" t="str">
        <f aca="false">IF(E25&lt;&gt;"",RANK(E25,E$3:E$49),"")</f>
        <v/>
      </c>
      <c r="B25" s="368" t="n">
        <v>8</v>
      </c>
      <c r="C25" s="369" t="str">
        <f aca="false">_xlfn.IFNA(VLOOKUP($B10,O_CALC_CultivoSecundario!$AP$7:$AX$423,C$2,FALSE()),"")</f>
        <v/>
      </c>
      <c r="D25" s="369" t="str">
        <f aca="false">_xlfn.IFNA(VLOOKUP($B10,O_CALC_CultivoSecundario!$AP$7:$AX$423,D$2,FALSE()),"")</f>
        <v/>
      </c>
      <c r="E25" s="369" t="str">
        <f aca="false">_xlfn.IFNA(VLOOKUP($B10,O_CALC_CultivoSecundario!$AP$7:$AX$423,E$2,FALSE()),"")</f>
        <v/>
      </c>
      <c r="F25" s="369" t="str">
        <f aca="false">_xlfn.IFNA(VLOOKUP($B10,O_CALC_CultivoSecundario!$AP$7:$AX$423,F$2,FALSE()),"")</f>
        <v/>
      </c>
      <c r="G25" s="369" t="str">
        <f aca="false">_xlfn.IFNA(VLOOKUP($B10,O_CALC_CultivoSecundario!$AP$7:$AX$423,G$2,FALSE()),"")</f>
        <v/>
      </c>
      <c r="H25" s="369" t="str">
        <f aca="false">_xlfn.IFNA(VLOOKUP($B10,O_CALC_CultivoSecundario!$AP$7:$AX$423,H$2,FALSE()),"")</f>
        <v/>
      </c>
      <c r="I25" s="369" t="str">
        <f aca="false">_xlfn.IFNA(VLOOKUP($B10,O_CALC_CultivoSecundario!$AP$7:$AX$423,I$2,FALSE()),"")</f>
        <v/>
      </c>
      <c r="J25" s="370" t="n">
        <v>2</v>
      </c>
      <c r="K25" s="371"/>
      <c r="M25" s="366"/>
      <c r="U25" s="2" t="n">
        <v>24</v>
      </c>
      <c r="V25" s="2" t="str">
        <f aca="false">_xlfn.IFNA(VLOOKUP($U25,$A$2:$I$49,V$1,FALSE()),"")</f>
        <v/>
      </c>
      <c r="W25" s="2" t="str">
        <f aca="false">_xlfn.IFNA(VLOOKUP($U25,$A$2:$I$49,W$1,FALSE()),"")</f>
        <v/>
      </c>
      <c r="X25" s="2" t="str">
        <f aca="false">_xlfn.IFNA(VLOOKUP($U25,$A$2:$I$49,X$1,FALSE()),"")</f>
        <v/>
      </c>
      <c r="Y25" s="2" t="str">
        <f aca="false">_xlfn.IFNA(VLOOKUP($U25,$A$2:$I$49,Y$1,FALSE()),"")</f>
        <v/>
      </c>
      <c r="Z25" s="2" t="str">
        <f aca="false">_xlfn.IFNA(VLOOKUP($U25,$A$2:$I$49,Z$1,FALSE()),"")</f>
        <v/>
      </c>
      <c r="AA25" s="2" t="str">
        <f aca="false">_xlfn.IFNA(VLOOKUP($U25,$A$2:$I$49,AA$1,FALSE()),"")</f>
        <v/>
      </c>
      <c r="AB25" s="2" t="str">
        <f aca="false">_xlfn.IFNA(VLOOKUP($U25,$A$2:$I$49,AB$1,FALSE()),"")</f>
        <v/>
      </c>
      <c r="AC25" s="2" t="str">
        <f aca="false">_xlfn.IFNA(VLOOKUP($U25,$A$2:$I$49,AC$1,FALSE()),"")</f>
        <v/>
      </c>
      <c r="AD25" s="367" t="str">
        <f aca="false">_xlfn.IFNA(VLOOKUP($U25,$A$2:$I$49,AD$1,FALSE()),"")</f>
        <v/>
      </c>
      <c r="AF25" s="2" t="n">
        <v>24</v>
      </c>
    </row>
    <row r="26" customFormat="false" ht="14.25" hidden="false" customHeight="false" outlineLevel="0" collapsed="false">
      <c r="A26" s="361" t="str">
        <f aca="false">IF(E26&lt;&gt;"",RANK(E26,E$3:E$49),"")</f>
        <v/>
      </c>
      <c r="B26" s="368" t="n">
        <v>9</v>
      </c>
      <c r="C26" s="369" t="str">
        <f aca="false">_xlfn.IFNA(VLOOKUP($B11,O_CALC_CultivoSecundario!$AP$7:$AX$423,C$2,FALSE()),"")</f>
        <v/>
      </c>
      <c r="D26" s="369" t="str">
        <f aca="false">_xlfn.IFNA(VLOOKUP($B11,O_CALC_CultivoSecundario!$AP$7:$AX$423,D$2,FALSE()),"")</f>
        <v/>
      </c>
      <c r="E26" s="369" t="str">
        <f aca="false">_xlfn.IFNA(VLOOKUP($B11,O_CALC_CultivoSecundario!$AP$7:$AX$423,E$2,FALSE()),"")</f>
        <v/>
      </c>
      <c r="F26" s="369" t="str">
        <f aca="false">_xlfn.IFNA(VLOOKUP($B11,O_CALC_CultivoSecundario!$AP$7:$AX$423,F$2,FALSE()),"")</f>
        <v/>
      </c>
      <c r="G26" s="369" t="str">
        <f aca="false">_xlfn.IFNA(VLOOKUP($B11,O_CALC_CultivoSecundario!$AP$7:$AX$423,G$2,FALSE()),"")</f>
        <v/>
      </c>
      <c r="H26" s="369" t="str">
        <f aca="false">_xlfn.IFNA(VLOOKUP($B11,O_CALC_CultivoSecundario!$AP$7:$AX$423,H$2,FALSE()),"")</f>
        <v/>
      </c>
      <c r="I26" s="369" t="str">
        <f aca="false">_xlfn.IFNA(VLOOKUP($B11,O_CALC_CultivoSecundario!$AP$7:$AX$423,I$2,FALSE()),"")</f>
        <v/>
      </c>
      <c r="J26" s="370" t="n">
        <v>2</v>
      </c>
      <c r="K26" s="371"/>
      <c r="M26" s="366"/>
      <c r="U26" s="2" t="n">
        <v>25</v>
      </c>
      <c r="V26" s="2" t="str">
        <f aca="false">_xlfn.IFNA(VLOOKUP($U26,$A$2:$I$49,V$1,FALSE()),"")</f>
        <v/>
      </c>
      <c r="W26" s="2" t="str">
        <f aca="false">_xlfn.IFNA(VLOOKUP($U26,$A$2:$I$49,W$1,FALSE()),"")</f>
        <v/>
      </c>
      <c r="X26" s="2" t="str">
        <f aca="false">_xlfn.IFNA(VLOOKUP($U26,$A$2:$I$49,X$1,FALSE()),"")</f>
        <v/>
      </c>
      <c r="Y26" s="2" t="str">
        <f aca="false">_xlfn.IFNA(VLOOKUP($U26,$A$2:$I$49,Y$1,FALSE()),"")</f>
        <v/>
      </c>
      <c r="Z26" s="2" t="str">
        <f aca="false">_xlfn.IFNA(VLOOKUP($U26,$A$2:$I$49,Z$1,FALSE()),"")</f>
        <v/>
      </c>
      <c r="AA26" s="2" t="str">
        <f aca="false">_xlfn.IFNA(VLOOKUP($U26,$A$2:$I$49,AA$1,FALSE()),"")</f>
        <v/>
      </c>
      <c r="AB26" s="2" t="str">
        <f aca="false">_xlfn.IFNA(VLOOKUP($U26,$A$2:$I$49,AB$1,FALSE()),"")</f>
        <v/>
      </c>
      <c r="AC26" s="2" t="str">
        <f aca="false">_xlfn.IFNA(VLOOKUP($U26,$A$2:$I$49,AC$1,FALSE()),"")</f>
        <v/>
      </c>
      <c r="AD26" s="367" t="str">
        <f aca="false">_xlfn.IFNA(VLOOKUP($U26,$A$2:$I$49,AD$1,FALSE()),"")</f>
        <v/>
      </c>
      <c r="AF26" s="2" t="n">
        <v>25</v>
      </c>
    </row>
    <row r="27" customFormat="false" ht="14.25" hidden="false" customHeight="false" outlineLevel="0" collapsed="false">
      <c r="A27" s="361" t="str">
        <f aca="false">IF(E27&lt;&gt;"",RANK(E27,E$3:E$49),"")</f>
        <v/>
      </c>
      <c r="B27" s="368" t="n">
        <v>10</v>
      </c>
      <c r="C27" s="369" t="str">
        <f aca="false">_xlfn.IFNA(VLOOKUP($B12,O_CALC_CultivoSecundario!$AP$7:$AX$423,C$2,FALSE()),"")</f>
        <v/>
      </c>
      <c r="D27" s="369" t="str">
        <f aca="false">_xlfn.IFNA(VLOOKUP($B12,O_CALC_CultivoSecundario!$AP$7:$AX$423,D$2,FALSE()),"")</f>
        <v/>
      </c>
      <c r="E27" s="369" t="str">
        <f aca="false">_xlfn.IFNA(VLOOKUP($B12,O_CALC_CultivoSecundario!$AP$7:$AX$423,E$2,FALSE()),"")</f>
        <v/>
      </c>
      <c r="F27" s="369" t="str">
        <f aca="false">_xlfn.IFNA(VLOOKUP($B12,O_CALC_CultivoSecundario!$AP$7:$AX$423,F$2,FALSE()),"")</f>
        <v/>
      </c>
      <c r="G27" s="369" t="str">
        <f aca="false">_xlfn.IFNA(VLOOKUP($B12,O_CALC_CultivoSecundario!$AP$7:$AX$423,G$2,FALSE()),"")</f>
        <v/>
      </c>
      <c r="H27" s="369" t="str">
        <f aca="false">_xlfn.IFNA(VLOOKUP($B12,O_CALC_CultivoSecundario!$AP$7:$AX$423,H$2,FALSE()),"")</f>
        <v/>
      </c>
      <c r="I27" s="369" t="str">
        <f aca="false">_xlfn.IFNA(VLOOKUP($B12,O_CALC_CultivoSecundario!$AP$7:$AX$423,I$2,FALSE()),"")</f>
        <v/>
      </c>
      <c r="J27" s="370" t="n">
        <v>2</v>
      </c>
      <c r="K27" s="371"/>
      <c r="M27" s="366"/>
      <c r="U27" s="2" t="n">
        <v>26</v>
      </c>
      <c r="V27" s="2" t="str">
        <f aca="false">_xlfn.IFNA(VLOOKUP($U27,$A$2:$I$49,V$1,FALSE()),"")</f>
        <v/>
      </c>
      <c r="W27" s="2" t="str">
        <f aca="false">_xlfn.IFNA(VLOOKUP($U27,$A$2:$I$49,W$1,FALSE()),"")</f>
        <v/>
      </c>
      <c r="X27" s="2" t="str">
        <f aca="false">_xlfn.IFNA(VLOOKUP($U27,$A$2:$I$49,X$1,FALSE()),"")</f>
        <v/>
      </c>
      <c r="Y27" s="2" t="str">
        <f aca="false">_xlfn.IFNA(VLOOKUP($U27,$A$2:$I$49,Y$1,FALSE()),"")</f>
        <v/>
      </c>
      <c r="Z27" s="2" t="str">
        <f aca="false">_xlfn.IFNA(VLOOKUP($U27,$A$2:$I$49,Z$1,FALSE()),"")</f>
        <v/>
      </c>
      <c r="AA27" s="2" t="str">
        <f aca="false">_xlfn.IFNA(VLOOKUP($U27,$A$2:$I$49,AA$1,FALSE()),"")</f>
        <v/>
      </c>
      <c r="AB27" s="2" t="str">
        <f aca="false">_xlfn.IFNA(VLOOKUP($U27,$A$2:$I$49,AB$1,FALSE()),"")</f>
        <v/>
      </c>
      <c r="AC27" s="2" t="str">
        <f aca="false">_xlfn.IFNA(VLOOKUP($U27,$A$2:$I$49,AC$1,FALSE()),"")</f>
        <v/>
      </c>
      <c r="AD27" s="367" t="str">
        <f aca="false">_xlfn.IFNA(VLOOKUP($U27,$A$2:$I$49,AD$1,FALSE()),"")</f>
        <v/>
      </c>
      <c r="AF27" s="2" t="n">
        <v>26</v>
      </c>
    </row>
    <row r="28" customFormat="false" ht="14.25" hidden="false" customHeight="false" outlineLevel="0" collapsed="false">
      <c r="A28" s="361" t="str">
        <f aca="false">IF(E28&lt;&gt;"",RANK(E28,E$3:E$49),"")</f>
        <v/>
      </c>
      <c r="B28" s="368" t="n">
        <v>11</v>
      </c>
      <c r="C28" s="369" t="str">
        <f aca="false">_xlfn.IFNA(VLOOKUP($B13,O_CALC_CultivoSecundario!$AP$7:$AX$423,C$2,FALSE()),"")</f>
        <v/>
      </c>
      <c r="D28" s="369" t="str">
        <f aca="false">_xlfn.IFNA(VLOOKUP($B13,O_CALC_CultivoSecundario!$AP$7:$AX$423,D$2,FALSE()),"")</f>
        <v/>
      </c>
      <c r="E28" s="369" t="str">
        <f aca="false">_xlfn.IFNA(VLOOKUP($B13,O_CALC_CultivoSecundario!$AP$7:$AX$423,E$2,FALSE()),"")</f>
        <v/>
      </c>
      <c r="F28" s="369" t="str">
        <f aca="false">_xlfn.IFNA(VLOOKUP($B13,O_CALC_CultivoSecundario!$AP$7:$AX$423,F$2,FALSE()),"")</f>
        <v/>
      </c>
      <c r="G28" s="369" t="str">
        <f aca="false">_xlfn.IFNA(VLOOKUP($B13,O_CALC_CultivoSecundario!$AP$7:$AX$423,G$2,FALSE()),"")</f>
        <v/>
      </c>
      <c r="H28" s="369" t="str">
        <f aca="false">_xlfn.IFNA(VLOOKUP($B13,O_CALC_CultivoSecundario!$AP$7:$AX$423,H$2,FALSE()),"")</f>
        <v/>
      </c>
      <c r="I28" s="369" t="str">
        <f aca="false">_xlfn.IFNA(VLOOKUP($B13,O_CALC_CultivoSecundario!$AP$7:$AX$423,I$2,FALSE()),"")</f>
        <v/>
      </c>
      <c r="J28" s="370" t="n">
        <v>2</v>
      </c>
      <c r="K28" s="371"/>
      <c r="M28" s="366"/>
      <c r="U28" s="2" t="n">
        <v>27</v>
      </c>
      <c r="V28" s="2" t="str">
        <f aca="false">_xlfn.IFNA(VLOOKUP($U28,$A$2:$I$49,V$1,FALSE()),"")</f>
        <v/>
      </c>
      <c r="W28" s="2" t="str">
        <f aca="false">_xlfn.IFNA(VLOOKUP($U28,$A$2:$I$49,W$1,FALSE()),"")</f>
        <v/>
      </c>
      <c r="X28" s="2" t="str">
        <f aca="false">_xlfn.IFNA(VLOOKUP($U28,$A$2:$I$49,X$1,FALSE()),"")</f>
        <v/>
      </c>
      <c r="Y28" s="2" t="str">
        <f aca="false">_xlfn.IFNA(VLOOKUP($U28,$A$2:$I$49,Y$1,FALSE()),"")</f>
        <v/>
      </c>
      <c r="Z28" s="2" t="str">
        <f aca="false">_xlfn.IFNA(VLOOKUP($U28,$A$2:$I$49,Z$1,FALSE()),"")</f>
        <v/>
      </c>
      <c r="AA28" s="2" t="str">
        <f aca="false">_xlfn.IFNA(VLOOKUP($U28,$A$2:$I$49,AA$1,FALSE()),"")</f>
        <v/>
      </c>
      <c r="AB28" s="2" t="str">
        <f aca="false">_xlfn.IFNA(VLOOKUP($U28,$A$2:$I$49,AB$1,FALSE()),"")</f>
        <v/>
      </c>
      <c r="AC28" s="2" t="str">
        <f aca="false">_xlfn.IFNA(VLOOKUP($U28,$A$2:$I$49,AC$1,FALSE()),"")</f>
        <v/>
      </c>
      <c r="AD28" s="367" t="str">
        <f aca="false">_xlfn.IFNA(VLOOKUP($U28,$A$2:$I$49,AD$1,FALSE()),"")</f>
        <v/>
      </c>
      <c r="AF28" s="2" t="n">
        <v>27</v>
      </c>
    </row>
    <row r="29" customFormat="false" ht="14.25" hidden="false" customHeight="false" outlineLevel="0" collapsed="false">
      <c r="A29" s="361" t="str">
        <f aca="false">IF(E29&lt;&gt;"",RANK(E29,E$3:E$49),"")</f>
        <v/>
      </c>
      <c r="B29" s="368" t="n">
        <v>12</v>
      </c>
      <c r="C29" s="369" t="str">
        <f aca="false">_xlfn.IFNA(VLOOKUP($B14,O_CALC_CultivoSecundario!$AP$7:$AX$423,C$2,FALSE()),"")</f>
        <v/>
      </c>
      <c r="D29" s="369" t="str">
        <f aca="false">_xlfn.IFNA(VLOOKUP($B14,O_CALC_CultivoSecundario!$AP$7:$AX$423,D$2,FALSE()),"")</f>
        <v/>
      </c>
      <c r="E29" s="369" t="str">
        <f aca="false">_xlfn.IFNA(VLOOKUP($B14,O_CALC_CultivoSecundario!$AP$7:$AX$423,E$2,FALSE()),"")</f>
        <v/>
      </c>
      <c r="F29" s="369" t="str">
        <f aca="false">_xlfn.IFNA(VLOOKUP($B14,O_CALC_CultivoSecundario!$AP$7:$AX$423,F$2,FALSE()),"")</f>
        <v/>
      </c>
      <c r="G29" s="369" t="str">
        <f aca="false">_xlfn.IFNA(VLOOKUP($B14,O_CALC_CultivoSecundario!$AP$7:$AX$423,G$2,FALSE()),"")</f>
        <v/>
      </c>
      <c r="H29" s="369" t="str">
        <f aca="false">_xlfn.IFNA(VLOOKUP($B14,O_CALC_CultivoSecundario!$AP$7:$AX$423,H$2,FALSE()),"")</f>
        <v/>
      </c>
      <c r="I29" s="369" t="str">
        <f aca="false">_xlfn.IFNA(VLOOKUP($B14,O_CALC_CultivoSecundario!$AP$7:$AX$423,I$2,FALSE()),"")</f>
        <v/>
      </c>
      <c r="J29" s="370" t="n">
        <v>2</v>
      </c>
      <c r="K29" s="371"/>
      <c r="M29" s="376"/>
      <c r="N29" s="377"/>
      <c r="O29" s="377"/>
      <c r="P29" s="377"/>
      <c r="Q29" s="377"/>
      <c r="R29" s="377"/>
      <c r="S29" s="377"/>
      <c r="T29" s="377"/>
      <c r="U29" s="377" t="n">
        <v>28</v>
      </c>
      <c r="V29" s="377" t="str">
        <f aca="false">_xlfn.IFNA(VLOOKUP($U29,$A$2:$I$49,V$1,FALSE()),"")</f>
        <v/>
      </c>
      <c r="W29" s="377" t="str">
        <f aca="false">_xlfn.IFNA(VLOOKUP($U29,$A$2:$I$49,W$1,FALSE()),"")</f>
        <v/>
      </c>
      <c r="X29" s="377" t="str">
        <f aca="false">_xlfn.IFNA(VLOOKUP($U29,$A$2:$I$49,X$1,FALSE()),"")</f>
        <v/>
      </c>
      <c r="Y29" s="377" t="str">
        <f aca="false">_xlfn.IFNA(VLOOKUP($U29,$A$2:$I$49,Y$1,FALSE()),"")</f>
        <v/>
      </c>
      <c r="Z29" s="377" t="str">
        <f aca="false">_xlfn.IFNA(VLOOKUP($U29,$A$2:$I$49,Z$1,FALSE()),"")</f>
        <v/>
      </c>
      <c r="AA29" s="377" t="str">
        <f aca="false">_xlfn.IFNA(VLOOKUP($U29,$A$2:$I$49,AA$1,FALSE()),"")</f>
        <v/>
      </c>
      <c r="AB29" s="377" t="str">
        <f aca="false">_xlfn.IFNA(VLOOKUP($U29,$A$2:$I$49,AB$1,FALSE()),"")</f>
        <v/>
      </c>
      <c r="AC29" s="377" t="str">
        <f aca="false">_xlfn.IFNA(VLOOKUP($U29,$A$2:$I$49,AC$1,FALSE()),"")</f>
        <v/>
      </c>
      <c r="AD29" s="378" t="str">
        <f aca="false">_xlfn.IFNA(VLOOKUP($U29,$A$2:$I$49,AD$1,FALSE()),"")</f>
        <v/>
      </c>
      <c r="AF29" s="2" t="n">
        <v>28</v>
      </c>
    </row>
    <row r="30" customFormat="false" ht="14.25" hidden="false" customHeight="false" outlineLevel="0" collapsed="false">
      <c r="A30" s="361" t="str">
        <f aca="false">IF(E30&lt;&gt;"",RANK(E30,E$3:E$49),"")</f>
        <v/>
      </c>
      <c r="B30" s="368" t="n">
        <v>13</v>
      </c>
      <c r="C30" s="369" t="str">
        <f aca="false">_xlfn.IFNA(VLOOKUP($B15,O_CALC_CultivoSecundario!$AP$7:$AX$423,C$2,FALSE()),"")</f>
        <v/>
      </c>
      <c r="D30" s="369" t="str">
        <f aca="false">_xlfn.IFNA(VLOOKUP($B15,O_CALC_CultivoSecundario!$AP$7:$AX$423,D$2,FALSE()),"")</f>
        <v/>
      </c>
      <c r="E30" s="369" t="str">
        <f aca="false">_xlfn.IFNA(VLOOKUP($B15,O_CALC_CultivoSecundario!$AP$7:$AX$423,E$2,FALSE()),"")</f>
        <v/>
      </c>
      <c r="F30" s="369" t="str">
        <f aca="false">_xlfn.IFNA(VLOOKUP($B15,O_CALC_CultivoSecundario!$AP$7:$AX$423,F$2,FALSE()),"")</f>
        <v/>
      </c>
      <c r="G30" s="369" t="str">
        <f aca="false">_xlfn.IFNA(VLOOKUP($B15,O_CALC_CultivoSecundario!$AP$7:$AX$423,G$2,FALSE()),"")</f>
        <v/>
      </c>
      <c r="H30" s="369" t="str">
        <f aca="false">_xlfn.IFNA(VLOOKUP($B15,O_CALC_CultivoSecundario!$AP$7:$AX$423,H$2,FALSE()),"")</f>
        <v/>
      </c>
      <c r="I30" s="369" t="str">
        <f aca="false">_xlfn.IFNA(VLOOKUP($B15,O_CALC_CultivoSecundario!$AP$7:$AX$423,I$2,FALSE()),"")</f>
        <v/>
      </c>
      <c r="J30" s="370" t="n">
        <v>2</v>
      </c>
      <c r="K30" s="371"/>
      <c r="AF30" s="2" t="n">
        <v>29</v>
      </c>
    </row>
    <row r="31" customFormat="false" ht="14.25" hidden="false" customHeight="false" outlineLevel="0" collapsed="false">
      <c r="A31" s="361" t="str">
        <f aca="false">IF(E31&lt;&gt;"",RANK(E31,E$3:E$49),"")</f>
        <v/>
      </c>
      <c r="B31" s="368" t="n">
        <v>14</v>
      </c>
      <c r="C31" s="369" t="str">
        <f aca="false">_xlfn.IFNA(VLOOKUP($B16,O_CALC_CultivoSecundario!$AP$7:$AX$423,C$2,FALSE()),"")</f>
        <v/>
      </c>
      <c r="D31" s="369" t="str">
        <f aca="false">_xlfn.IFNA(VLOOKUP($B16,O_CALC_CultivoSecundario!$AP$7:$AX$423,D$2,FALSE()),"")</f>
        <v/>
      </c>
      <c r="E31" s="369" t="str">
        <f aca="false">_xlfn.IFNA(VLOOKUP($B16,O_CALC_CultivoSecundario!$AP$7:$AX$423,E$2,FALSE()),"")</f>
        <v/>
      </c>
      <c r="F31" s="369" t="str">
        <f aca="false">_xlfn.IFNA(VLOOKUP($B16,O_CALC_CultivoSecundario!$AP$7:$AX$423,F$2,FALSE()),"")</f>
        <v/>
      </c>
      <c r="G31" s="369" t="str">
        <f aca="false">_xlfn.IFNA(VLOOKUP($B16,O_CALC_CultivoSecundario!$AP$7:$AX$423,G$2,FALSE()),"")</f>
        <v/>
      </c>
      <c r="H31" s="369" t="str">
        <f aca="false">_xlfn.IFNA(VLOOKUP($B16,O_CALC_CultivoSecundario!$AP$7:$AX$423,H$2,FALSE()),"")</f>
        <v/>
      </c>
      <c r="I31" s="369" t="str">
        <f aca="false">_xlfn.IFNA(VLOOKUP($B16,O_CALC_CultivoSecundario!$AP$7:$AX$423,I$2,FALSE()),"")</f>
        <v/>
      </c>
      <c r="J31" s="370" t="n">
        <v>2</v>
      </c>
      <c r="K31" s="371"/>
      <c r="AF31" s="2" t="n">
        <v>30</v>
      </c>
    </row>
    <row r="32" customFormat="false" ht="14.25" hidden="false" customHeight="false" outlineLevel="0" collapsed="false">
      <c r="A32" s="361" t="str">
        <f aca="false">IF(E32&lt;&gt;"",RANK(E32,E$3:E$49),"")</f>
        <v/>
      </c>
      <c r="B32" s="372" t="n">
        <v>15</v>
      </c>
      <c r="C32" s="373" t="str">
        <f aca="false">_xlfn.IFNA(VLOOKUP($B17,O_CALC_CultivoSecundario!$AP$7:$AX$423,C$2,FALSE()),"")</f>
        <v/>
      </c>
      <c r="D32" s="373" t="str">
        <f aca="false">_xlfn.IFNA(VLOOKUP($B17,O_CALC_CultivoSecundario!$AP$7:$AX$423,D$2,FALSE()),"")</f>
        <v/>
      </c>
      <c r="E32" s="373" t="str">
        <f aca="false">_xlfn.IFNA(VLOOKUP($B17,O_CALC_CultivoSecundario!$AP$7:$AX$423,E$2,FALSE()),"")</f>
        <v/>
      </c>
      <c r="F32" s="373" t="str">
        <f aca="false">_xlfn.IFNA(VLOOKUP($B17,O_CALC_CultivoSecundario!$AP$7:$AX$423,F$2,FALSE()),"")</f>
        <v/>
      </c>
      <c r="G32" s="373" t="str">
        <f aca="false">_xlfn.IFNA(VLOOKUP($B17,O_CALC_CultivoSecundario!$AP$7:$AX$423,G$2,FALSE()),"")</f>
        <v/>
      </c>
      <c r="H32" s="373" t="str">
        <f aca="false">_xlfn.IFNA(VLOOKUP($B17,O_CALC_CultivoSecundario!$AP$7:$AX$423,H$2,FALSE()),"")</f>
        <v/>
      </c>
      <c r="I32" s="373" t="str">
        <f aca="false">_xlfn.IFNA(VLOOKUP($B17,O_CALC_CultivoSecundario!$AP$7:$AX$423,I$2,FALSE()),"")</f>
        <v/>
      </c>
      <c r="J32" s="374" t="n">
        <v>2</v>
      </c>
      <c r="K32" s="375"/>
      <c r="AF32" s="2" t="n">
        <v>31</v>
      </c>
    </row>
    <row r="33" customFormat="false" ht="14.25" hidden="false" customHeight="false" outlineLevel="0" collapsed="false">
      <c r="A33" s="361" t="str">
        <f aca="false">IF(E33&lt;&gt;"",RANK(E33,E$3:E$49),"")</f>
        <v/>
      </c>
      <c r="J33" s="370"/>
      <c r="K33" s="371"/>
      <c r="AF33" s="2" t="n">
        <v>32</v>
      </c>
    </row>
    <row r="34" customFormat="false" ht="14.25" hidden="false" customHeight="false" outlineLevel="0" collapsed="false">
      <c r="A34" s="361"/>
      <c r="C34" s="330"/>
      <c r="D34" s="330"/>
      <c r="E34" s="330"/>
      <c r="F34" s="330"/>
      <c r="G34" s="330"/>
      <c r="H34" s="330"/>
      <c r="I34" s="330"/>
      <c r="J34" s="370"/>
      <c r="K34" s="371"/>
      <c r="AF34" s="2" t="n">
        <v>33</v>
      </c>
    </row>
    <row r="35" customFormat="false" ht="14.25" hidden="false" customHeight="false" outlineLevel="0" collapsed="false">
      <c r="A35" s="352" t="str">
        <f aca="false">IF(E35&lt;&gt;"",RANK(E35,E$3:E$49),"")</f>
        <v/>
      </c>
      <c r="B35" s="379" t="n">
        <v>1</v>
      </c>
      <c r="C35" s="363" t="str">
        <f aca="false">IFERROR(VLOOKUP($B35,'V_EAP-AGRI_2024'!$Z$26:$AK$401,D$2,FALSE()),"")</f>
        <v/>
      </c>
      <c r="D35" s="363" t="str">
        <f aca="false">IFERROR(VLOOKUP($B35,'V_EAP-AGRI_2024'!$Z$26:$AK$401,E$2,FALSE()),"")</f>
        <v/>
      </c>
      <c r="E35" s="363" t="str">
        <f aca="false">IFERROR(VLOOKUP($B35,'V_EAP-AGRI_2024'!$Z$26:$AK$401,G$2,FALSE()),"")</f>
        <v/>
      </c>
      <c r="F35" s="363" t="str">
        <f aca="false">IFERROR(VLOOKUP($B35,'V_EAP-AGRI_2024'!$Z$26:$AK$401,H$2,FALSE()),"")</f>
        <v/>
      </c>
      <c r="G35" s="363" t="str">
        <f aca="false">IFERROR(VLOOKUP($B35,'V_EAP-AGRI_2024'!$Z$26:$AK$401,I$2,FALSE()),"")</f>
        <v/>
      </c>
      <c r="H35" s="363" t="str">
        <f aca="false">IFERROR(VLOOKUP($B35,'V_EAP-AGRI_2024'!$Z$26:$AK$401,J$2,FALSE()),"")</f>
        <v/>
      </c>
      <c r="I35" s="363" t="str">
        <f aca="false">IFERROR(VLOOKUP($B35,'V_EAP-AGRI_2024'!$Z$26:$AK$401,K$2,FALSE()),"")</f>
        <v/>
      </c>
      <c r="J35" s="364" t="s">
        <v>454</v>
      </c>
      <c r="K35" s="357"/>
      <c r="AF35" s="2" t="n">
        <v>34</v>
      </c>
    </row>
    <row r="36" customFormat="false" ht="14.25" hidden="false" customHeight="false" outlineLevel="0" collapsed="false">
      <c r="A36" s="361" t="str">
        <f aca="false">IF(E36&lt;&gt;"",RANK(E36,E$3:E$49),"")</f>
        <v/>
      </c>
      <c r="B36" s="380" t="n">
        <v>2</v>
      </c>
      <c r="C36" s="369" t="str">
        <f aca="false">IFERROR(VLOOKUP($B36,'V_EAP-AGRI_2024'!$Z$26:$AK$401,D$2,FALSE()),"")</f>
        <v/>
      </c>
      <c r="D36" s="369" t="str">
        <f aca="false">IFERROR(VLOOKUP($B36,'V_EAP-AGRI_2024'!$Z$26:$AK$401,E$2,FALSE()),"")</f>
        <v/>
      </c>
      <c r="E36" s="369" t="str">
        <f aca="false">IFERROR(VLOOKUP($B36,'V_EAP-AGRI_2024'!$Z$26:$AK$401,G$2,FALSE()),"")</f>
        <v/>
      </c>
      <c r="F36" s="369" t="str">
        <f aca="false">IFERROR(VLOOKUP($B36,'V_EAP-AGRI_2024'!$Z$26:$AK$401,H$2,FALSE()),"")</f>
        <v/>
      </c>
      <c r="G36" s="369" t="str">
        <f aca="false">IFERROR(VLOOKUP($B36,'V_EAP-AGRI_2024'!$Z$26:$AK$401,I$2,FALSE()),"")</f>
        <v/>
      </c>
      <c r="H36" s="363" t="str">
        <f aca="false">IFERROR(VLOOKUP($B36,'V_EAP-AGRI_2024'!$Z$26:$AK$401,J$2,FALSE()),"")</f>
        <v/>
      </c>
      <c r="I36" s="363" t="str">
        <f aca="false">IFERROR(VLOOKUP($B36,'V_EAP-AGRI_2024'!$Z$26:$AK$401,K$2,FALSE()),"")</f>
        <v/>
      </c>
      <c r="J36" s="370" t="s">
        <v>454</v>
      </c>
      <c r="K36" s="371"/>
      <c r="AF36" s="2" t="n">
        <v>35</v>
      </c>
    </row>
    <row r="37" customFormat="false" ht="14.25" hidden="false" customHeight="false" outlineLevel="0" collapsed="false">
      <c r="A37" s="361" t="str">
        <f aca="false">IF(E37&lt;&gt;"",RANK(E37,E$3:E$49),"")</f>
        <v/>
      </c>
      <c r="B37" s="380" t="n">
        <v>3</v>
      </c>
      <c r="C37" s="369" t="str">
        <f aca="false">IFERROR(VLOOKUP($B37,'V_EAP-AGRI_2024'!$Z$26:$AK$401,D$2,FALSE()),"")</f>
        <v/>
      </c>
      <c r="D37" s="369" t="str">
        <f aca="false">IFERROR(VLOOKUP($B37,'V_EAP-AGRI_2024'!$Z$26:$AK$401,E$2,FALSE()),"")</f>
        <v/>
      </c>
      <c r="E37" s="369" t="str">
        <f aca="false">IFERROR(VLOOKUP($B37,'V_EAP-AGRI_2024'!$Z$26:$AK$401,G$2,FALSE()),"")</f>
        <v/>
      </c>
      <c r="F37" s="369" t="str">
        <f aca="false">IFERROR(VLOOKUP($B37,'V_EAP-AGRI_2024'!$Z$26:$AK$401,H$2,FALSE()),"")</f>
        <v/>
      </c>
      <c r="G37" s="369" t="str">
        <f aca="false">IFERROR(VLOOKUP($B37,'V_EAP-AGRI_2024'!$Z$26:$AK$401,I$2,FALSE()),"")</f>
        <v/>
      </c>
      <c r="H37" s="363" t="str">
        <f aca="false">IFERROR(VLOOKUP($B37,'V_EAP-AGRI_2024'!$Z$26:$AK$401,J$2,FALSE()),"")</f>
        <v/>
      </c>
      <c r="I37" s="363" t="str">
        <f aca="false">IFERROR(VLOOKUP($B37,'V_EAP-AGRI_2024'!$Z$26:$AK$401,K$2,FALSE()),"")</f>
        <v/>
      </c>
      <c r="J37" s="370" t="s">
        <v>454</v>
      </c>
      <c r="K37" s="371"/>
      <c r="AF37" s="2" t="n">
        <v>36</v>
      </c>
    </row>
    <row r="38" customFormat="false" ht="14.25" hidden="false" customHeight="false" outlineLevel="0" collapsed="false">
      <c r="A38" s="361" t="str">
        <f aca="false">IF(E38&lt;&gt;"",RANK(E38,E$3:E$49),"")</f>
        <v/>
      </c>
      <c r="B38" s="380" t="n">
        <v>4</v>
      </c>
      <c r="C38" s="369" t="str">
        <f aca="false">IFERROR(VLOOKUP($B38,'V_EAP-AGRI_2024'!$Z$26:$AK$401,D$2,FALSE()),"")</f>
        <v/>
      </c>
      <c r="D38" s="369" t="str">
        <f aca="false">IFERROR(VLOOKUP($B38,'V_EAP-AGRI_2024'!$Z$26:$AK$401,E$2,FALSE()),"")</f>
        <v/>
      </c>
      <c r="E38" s="369" t="str">
        <f aca="false">IFERROR(VLOOKUP($B38,'V_EAP-AGRI_2024'!$Z$26:$AK$401,G$2,FALSE()),"")</f>
        <v/>
      </c>
      <c r="F38" s="369" t="str">
        <f aca="false">IFERROR(VLOOKUP($B38,'V_EAP-AGRI_2024'!$Z$26:$AK$401,H$2,FALSE()),"")</f>
        <v/>
      </c>
      <c r="G38" s="369" t="str">
        <f aca="false">IFERROR(VLOOKUP($B38,'V_EAP-AGRI_2024'!$Z$26:$AK$401,I$2,FALSE()),"")</f>
        <v/>
      </c>
      <c r="H38" s="363" t="str">
        <f aca="false">IFERROR(VLOOKUP($B38,'V_EAP-AGRI_2024'!$Z$26:$AK$401,J$2,FALSE()),"")</f>
        <v/>
      </c>
      <c r="I38" s="363" t="str">
        <f aca="false">IFERROR(VLOOKUP($B38,'V_EAP-AGRI_2024'!$Z$26:$AK$401,K$2,FALSE()),"")</f>
        <v/>
      </c>
      <c r="J38" s="370" t="s">
        <v>454</v>
      </c>
      <c r="K38" s="371"/>
      <c r="AF38" s="2" t="n">
        <v>37</v>
      </c>
    </row>
    <row r="39" customFormat="false" ht="14.25" hidden="false" customHeight="false" outlineLevel="0" collapsed="false">
      <c r="A39" s="361" t="str">
        <f aca="false">IF(E39&lt;&gt;"",RANK(E39,E$3:E$49),"")</f>
        <v/>
      </c>
      <c r="B39" s="380" t="n">
        <v>5</v>
      </c>
      <c r="C39" s="369" t="str">
        <f aca="false">IFERROR(VLOOKUP($B39,'V_EAP-AGRI_2024'!$Z$26:$AK$401,D$2,FALSE()),"")</f>
        <v/>
      </c>
      <c r="D39" s="369" t="str">
        <f aca="false">IFERROR(VLOOKUP($B39,'V_EAP-AGRI_2024'!$Z$26:$AK$401,E$2,FALSE()),"")</f>
        <v/>
      </c>
      <c r="E39" s="369" t="str">
        <f aca="false">IFERROR(VLOOKUP($B39,'V_EAP-AGRI_2024'!$Z$26:$AK$401,G$2,FALSE()),"")</f>
        <v/>
      </c>
      <c r="F39" s="369" t="str">
        <f aca="false">IFERROR(VLOOKUP($B39,'V_EAP-AGRI_2024'!$Z$26:$AK$401,H$2,FALSE()),"")</f>
        <v/>
      </c>
      <c r="G39" s="369" t="str">
        <f aca="false">IFERROR(VLOOKUP($B39,'V_EAP-AGRI_2024'!$Z$26:$AK$401,I$2,FALSE()),"")</f>
        <v/>
      </c>
      <c r="H39" s="363" t="str">
        <f aca="false">IFERROR(VLOOKUP($B39,'V_EAP-AGRI_2024'!$Z$26:$AK$401,J$2,FALSE()),"")</f>
        <v/>
      </c>
      <c r="I39" s="363" t="str">
        <f aca="false">IFERROR(VLOOKUP($B39,'V_EAP-AGRI_2024'!$Z$26:$AK$401,K$2,FALSE()),"")</f>
        <v/>
      </c>
      <c r="J39" s="370" t="s">
        <v>454</v>
      </c>
      <c r="K39" s="371"/>
      <c r="AF39" s="2" t="n">
        <v>38</v>
      </c>
    </row>
    <row r="40" customFormat="false" ht="14.25" hidden="false" customHeight="false" outlineLevel="0" collapsed="false">
      <c r="A40" s="361" t="str">
        <f aca="false">IF(E40&lt;&gt;"",RANK(E40,E$3:E$49),"")</f>
        <v/>
      </c>
      <c r="B40" s="380" t="n">
        <v>6</v>
      </c>
      <c r="C40" s="369" t="str">
        <f aca="false">IFERROR(VLOOKUP($B40,'V_EAP-AGRI_2024'!$Z$26:$AK$401,D$2,FALSE()),"")</f>
        <v/>
      </c>
      <c r="D40" s="369" t="str">
        <f aca="false">IFERROR(VLOOKUP($B40,'V_EAP-AGRI_2024'!$Z$26:$AK$401,E$2,FALSE()),"")</f>
        <v/>
      </c>
      <c r="E40" s="369" t="str">
        <f aca="false">IFERROR(VLOOKUP($B40,'V_EAP-AGRI_2024'!$Z$26:$AK$401,G$2,FALSE()),"")</f>
        <v/>
      </c>
      <c r="F40" s="369" t="str">
        <f aca="false">IFERROR(VLOOKUP($B40,'V_EAP-AGRI_2024'!$Z$26:$AK$401,H$2,FALSE()),"")</f>
        <v/>
      </c>
      <c r="G40" s="369" t="str">
        <f aca="false">IFERROR(VLOOKUP($B40,'V_EAP-AGRI_2024'!$Z$26:$AK$401,I$2,FALSE()),"")</f>
        <v/>
      </c>
      <c r="H40" s="363" t="str">
        <f aca="false">IFERROR(VLOOKUP($B40,'V_EAP-AGRI_2024'!$Z$26:$AK$401,J$2,FALSE()),"")</f>
        <v/>
      </c>
      <c r="I40" s="363" t="str">
        <f aca="false">IFERROR(VLOOKUP($B40,'V_EAP-AGRI_2024'!$Z$26:$AK$401,K$2,FALSE()),"")</f>
        <v/>
      </c>
      <c r="J40" s="370" t="s">
        <v>454</v>
      </c>
      <c r="K40" s="371"/>
      <c r="AF40" s="2" t="n">
        <v>39</v>
      </c>
    </row>
    <row r="41" customFormat="false" ht="14.25" hidden="false" customHeight="false" outlineLevel="0" collapsed="false">
      <c r="A41" s="361" t="str">
        <f aca="false">IF(E41&lt;&gt;"",RANK(E41,E$3:E$49),"")</f>
        <v/>
      </c>
      <c r="B41" s="380" t="n">
        <v>7</v>
      </c>
      <c r="C41" s="363" t="str">
        <f aca="false">IFERROR(VLOOKUP($B41,'V_EAP-AGRI_2024'!$Z$26:$AK$401,D$2,FALSE()),"")</f>
        <v/>
      </c>
      <c r="D41" s="363" t="str">
        <f aca="false">IFERROR(VLOOKUP($B41,'V_EAP-AGRI_2024'!$Z$26:$AK$401,E$2,FALSE()),"")</f>
        <v/>
      </c>
      <c r="E41" s="363" t="str">
        <f aca="false">IFERROR(VLOOKUP($B41,'V_EAP-AGRI_2024'!$Z$26:$AK$401,G$2,FALSE()),"")</f>
        <v/>
      </c>
      <c r="F41" s="363" t="str">
        <f aca="false">IFERROR(VLOOKUP($B41,'V_EAP-AGRI_2024'!$Z$26:$AK$401,H$2,FALSE()),"")</f>
        <v/>
      </c>
      <c r="G41" s="363" t="str">
        <f aca="false">IFERROR(VLOOKUP($B41,'V_EAP-AGRI_2024'!$Z$26:$AK$401,I$2,FALSE()),"")</f>
        <v/>
      </c>
      <c r="H41" s="363" t="str">
        <f aca="false">IFERROR(VLOOKUP($B41,'V_EAP-AGRI_2024'!$Z$26:$AK$401,J$2,FALSE()),"")</f>
        <v/>
      </c>
      <c r="I41" s="363" t="str">
        <f aca="false">IFERROR(VLOOKUP($B41,'V_EAP-AGRI_2024'!$Z$26:$AK$401,K$2,FALSE()),"")</f>
        <v/>
      </c>
      <c r="J41" s="370" t="s">
        <v>454</v>
      </c>
      <c r="K41" s="371"/>
      <c r="AF41" s="2" t="n">
        <v>40</v>
      </c>
    </row>
    <row r="42" customFormat="false" ht="14.25" hidden="false" customHeight="false" outlineLevel="0" collapsed="false">
      <c r="A42" s="361" t="str">
        <f aca="false">IF(E42&lt;&gt;"",RANK(E42,E$3:E$49),"")</f>
        <v/>
      </c>
      <c r="B42" s="380" t="n">
        <v>8</v>
      </c>
      <c r="C42" s="369" t="str">
        <f aca="false">IFERROR(VLOOKUP($B42,'V_EAP-AGRI_2024'!$Z$26:$AK$401,D$2,FALSE()),"")</f>
        <v/>
      </c>
      <c r="D42" s="369" t="str">
        <f aca="false">IFERROR(VLOOKUP($B42,'V_EAP-AGRI_2024'!$Z$26:$AK$401,E$2,FALSE()),"")</f>
        <v/>
      </c>
      <c r="E42" s="369" t="str">
        <f aca="false">IFERROR(VLOOKUP($B42,'V_EAP-AGRI_2024'!$Z$26:$AK$401,G$2,FALSE()),"")</f>
        <v/>
      </c>
      <c r="F42" s="369" t="str">
        <f aca="false">IFERROR(VLOOKUP($B42,'V_EAP-AGRI_2024'!$Z$26:$AK$401,H$2,FALSE()),"")</f>
        <v/>
      </c>
      <c r="G42" s="369" t="str">
        <f aca="false">IFERROR(VLOOKUP($B42,'V_EAP-AGRI_2024'!$Z$26:$AK$401,I$2,FALSE()),"")</f>
        <v/>
      </c>
      <c r="H42" s="363" t="str">
        <f aca="false">IFERROR(VLOOKUP($B42,'V_EAP-AGRI_2024'!$Z$26:$AK$401,J$2,FALSE()),"")</f>
        <v/>
      </c>
      <c r="I42" s="363" t="str">
        <f aca="false">IFERROR(VLOOKUP($B42,'V_EAP-AGRI_2024'!$Z$26:$AK$401,K$2,FALSE()),"")</f>
        <v/>
      </c>
      <c r="J42" s="370" t="s">
        <v>454</v>
      </c>
      <c r="K42" s="371"/>
      <c r="AF42" s="2" t="n">
        <v>41</v>
      </c>
    </row>
    <row r="43" customFormat="false" ht="14.25" hidden="false" customHeight="false" outlineLevel="0" collapsed="false">
      <c r="A43" s="361" t="str">
        <f aca="false">IF(E43&lt;&gt;"",RANK(E43,E$3:E$49),"")</f>
        <v/>
      </c>
      <c r="B43" s="380" t="n">
        <v>9</v>
      </c>
      <c r="C43" s="369" t="str">
        <f aca="false">IFERROR(VLOOKUP($B43,'V_EAP-AGRI_2024'!$Z$26:$AK$401,D$2,FALSE()),"")</f>
        <v/>
      </c>
      <c r="D43" s="369" t="str">
        <f aca="false">IFERROR(VLOOKUP($B43,'V_EAP-AGRI_2024'!$Z$26:$AK$401,E$2,FALSE()),"")</f>
        <v/>
      </c>
      <c r="E43" s="369" t="str">
        <f aca="false">IFERROR(VLOOKUP($B43,'V_EAP-AGRI_2024'!$Z$26:$AK$401,G$2,FALSE()),"")</f>
        <v/>
      </c>
      <c r="F43" s="369" t="str">
        <f aca="false">IFERROR(VLOOKUP($B43,'V_EAP-AGRI_2024'!$Z$26:$AK$401,H$2,FALSE()),"")</f>
        <v/>
      </c>
      <c r="G43" s="369" t="str">
        <f aca="false">IFERROR(VLOOKUP($B43,'V_EAP-AGRI_2024'!$Z$26:$AK$401,I$2,FALSE()),"")</f>
        <v/>
      </c>
      <c r="H43" s="363" t="str">
        <f aca="false">IFERROR(VLOOKUP($B43,'V_EAP-AGRI_2024'!$Z$26:$AK$401,J$2,FALSE()),"")</f>
        <v/>
      </c>
      <c r="I43" s="363" t="str">
        <f aca="false">IFERROR(VLOOKUP($B43,'V_EAP-AGRI_2024'!$Z$26:$AK$401,K$2,FALSE()),"")</f>
        <v/>
      </c>
      <c r="J43" s="370" t="s">
        <v>454</v>
      </c>
      <c r="K43" s="371"/>
      <c r="AF43" s="2" t="n">
        <v>42</v>
      </c>
    </row>
    <row r="44" customFormat="false" ht="14.25" hidden="false" customHeight="false" outlineLevel="0" collapsed="false">
      <c r="A44" s="361" t="str">
        <f aca="false">IF(E44&lt;&gt;"",RANK(E44,E$3:E$49),"")</f>
        <v/>
      </c>
      <c r="B44" s="380" t="n">
        <v>10</v>
      </c>
      <c r="C44" s="369" t="str">
        <f aca="false">IFERROR(VLOOKUP($B44,'V_EAP-AGRI_2024'!$Z$26:$AK$401,D$2,FALSE()),"")</f>
        <v/>
      </c>
      <c r="D44" s="369" t="str">
        <f aca="false">IFERROR(VLOOKUP($B44,'V_EAP-AGRI_2024'!$Z$26:$AK$401,E$2,FALSE()),"")</f>
        <v/>
      </c>
      <c r="E44" s="369" t="str">
        <f aca="false">IFERROR(VLOOKUP($B44,'V_EAP-AGRI_2024'!$Z$26:$AK$401,G$2,FALSE()),"")</f>
        <v/>
      </c>
      <c r="F44" s="369" t="str">
        <f aca="false">IFERROR(VLOOKUP($B44,'V_EAP-AGRI_2024'!$Z$26:$AK$401,H$2,FALSE()),"")</f>
        <v/>
      </c>
      <c r="G44" s="369" t="str">
        <f aca="false">IFERROR(VLOOKUP($B44,'V_EAP-AGRI_2024'!$Z$26:$AK$401,I$2,FALSE()),"")</f>
        <v/>
      </c>
      <c r="H44" s="363" t="str">
        <f aca="false">IFERROR(VLOOKUP($B44,'V_EAP-AGRI_2024'!$Z$26:$AK$401,J$2,FALSE()),"")</f>
        <v/>
      </c>
      <c r="I44" s="363" t="str">
        <f aca="false">IFERROR(VLOOKUP($B44,'V_EAP-AGRI_2024'!$Z$26:$AK$401,K$2,FALSE()),"")</f>
        <v/>
      </c>
      <c r="J44" s="370" t="s">
        <v>454</v>
      </c>
      <c r="K44" s="371"/>
      <c r="AF44" s="2" t="n">
        <v>43</v>
      </c>
    </row>
    <row r="45" customFormat="false" ht="14.25" hidden="false" customHeight="false" outlineLevel="0" collapsed="false">
      <c r="A45" s="361" t="str">
        <f aca="false">IF(E45&lt;&gt;"",RANK(E45,E$3:E$49),"")</f>
        <v/>
      </c>
      <c r="B45" s="380" t="n">
        <v>11</v>
      </c>
      <c r="C45" s="369" t="str">
        <f aca="false">IFERROR(VLOOKUP($B45,'V_EAP-AGRI_2024'!$Z$26:$AK$401,D$2,FALSE()),"")</f>
        <v/>
      </c>
      <c r="D45" s="369" t="str">
        <f aca="false">IFERROR(VLOOKUP($B45,'V_EAP-AGRI_2024'!$Z$26:$AK$401,E$2,FALSE()),"")</f>
        <v/>
      </c>
      <c r="E45" s="369" t="str">
        <f aca="false">IFERROR(VLOOKUP($B45,'V_EAP-AGRI_2024'!$Z$26:$AK$401,G$2,FALSE()),"")</f>
        <v/>
      </c>
      <c r="F45" s="369" t="str">
        <f aca="false">IFERROR(VLOOKUP($B45,'V_EAP-AGRI_2024'!$Z$26:$AK$401,H$2,FALSE()),"")</f>
        <v/>
      </c>
      <c r="G45" s="369" t="str">
        <f aca="false">IFERROR(VLOOKUP($B45,'V_EAP-AGRI_2024'!$Z$26:$AK$401,I$2,FALSE()),"")</f>
        <v/>
      </c>
      <c r="H45" s="363" t="str">
        <f aca="false">IFERROR(VLOOKUP($B45,'V_EAP-AGRI_2024'!$Z$26:$AK$401,J$2,FALSE()),"")</f>
        <v/>
      </c>
      <c r="I45" s="363" t="str">
        <f aca="false">IFERROR(VLOOKUP($B45,'V_EAP-AGRI_2024'!$Z$26:$AK$401,K$2,FALSE()),"")</f>
        <v/>
      </c>
      <c r="J45" s="370" t="s">
        <v>454</v>
      </c>
      <c r="K45" s="371"/>
      <c r="AF45" s="2" t="n">
        <v>44</v>
      </c>
    </row>
    <row r="46" customFormat="false" ht="14.25" hidden="false" customHeight="false" outlineLevel="0" collapsed="false">
      <c r="A46" s="361" t="str">
        <f aca="false">IF(E46&lt;&gt;"",RANK(E46,E$3:E$49),"")</f>
        <v/>
      </c>
      <c r="B46" s="380" t="n">
        <v>12</v>
      </c>
      <c r="C46" s="369" t="str">
        <f aca="false">IFERROR(VLOOKUP($B46,'V_EAP-AGRI_2024'!$Z$26:$AK$401,D$2,FALSE()),"")</f>
        <v/>
      </c>
      <c r="D46" s="369" t="str">
        <f aca="false">IFERROR(VLOOKUP($B46,'V_EAP-AGRI_2024'!$Z$26:$AK$401,E$2,FALSE()),"")</f>
        <v/>
      </c>
      <c r="E46" s="369" t="str">
        <f aca="false">IFERROR(VLOOKUP($B46,'V_EAP-AGRI_2024'!$Z$26:$AK$401,G$2,FALSE()),"")</f>
        <v/>
      </c>
      <c r="F46" s="369" t="str">
        <f aca="false">IFERROR(VLOOKUP($B46,'V_EAP-AGRI_2024'!$Z$26:$AK$401,H$2,FALSE()),"")</f>
        <v/>
      </c>
      <c r="G46" s="369" t="str">
        <f aca="false">IFERROR(VLOOKUP($B46,'V_EAP-AGRI_2024'!$Z$26:$AK$401,I$2,FALSE()),"")</f>
        <v/>
      </c>
      <c r="H46" s="363" t="str">
        <f aca="false">IFERROR(VLOOKUP($B46,'V_EAP-AGRI_2024'!$Z$26:$AK$401,J$2,FALSE()),"")</f>
        <v/>
      </c>
      <c r="I46" s="363" t="str">
        <f aca="false">IFERROR(VLOOKUP($B46,'V_EAP-AGRI_2024'!$Z$26:$AK$401,K$2,FALSE()),"")</f>
        <v/>
      </c>
      <c r="J46" s="370" t="s">
        <v>454</v>
      </c>
      <c r="K46" s="371"/>
      <c r="AF46" s="2" t="n">
        <v>45</v>
      </c>
    </row>
    <row r="47" customFormat="false" ht="14.25" hidden="false" customHeight="false" outlineLevel="0" collapsed="false">
      <c r="A47" s="361" t="str">
        <f aca="false">IF(E47&lt;&gt;"",RANK(E47,E$3:E$49),"")</f>
        <v/>
      </c>
      <c r="B47" s="380" t="n">
        <v>13</v>
      </c>
      <c r="C47" s="363" t="str">
        <f aca="false">IFERROR(VLOOKUP($B47,'V_EAP-AGRI_2024'!$Z$26:$AK$401,D$2,FALSE()),"")</f>
        <v/>
      </c>
      <c r="D47" s="363" t="str">
        <f aca="false">IFERROR(VLOOKUP($B47,'V_EAP-AGRI_2024'!$Z$26:$AK$401,E$2,FALSE()),"")</f>
        <v/>
      </c>
      <c r="E47" s="363" t="str">
        <f aca="false">IFERROR(VLOOKUP($B47,'V_EAP-AGRI_2024'!$Z$26:$AK$401,G$2,FALSE()),"")</f>
        <v/>
      </c>
      <c r="F47" s="363" t="str">
        <f aca="false">IFERROR(VLOOKUP($B47,'V_EAP-AGRI_2024'!$Z$26:$AK$401,H$2,FALSE()),"")</f>
        <v/>
      </c>
      <c r="G47" s="363" t="str">
        <f aca="false">IFERROR(VLOOKUP($B47,'V_EAP-AGRI_2024'!$Z$26:$AK$401,I$2,FALSE()),"")</f>
        <v/>
      </c>
      <c r="H47" s="363" t="str">
        <f aca="false">IFERROR(VLOOKUP($B47,'V_EAP-AGRI_2024'!$Z$26:$AK$401,J$2,FALSE()),"")</f>
        <v/>
      </c>
      <c r="I47" s="363" t="str">
        <f aca="false">IFERROR(VLOOKUP($B47,'V_EAP-AGRI_2024'!$Z$26:$AK$401,K$2,FALSE()),"")</f>
        <v/>
      </c>
      <c r="J47" s="370" t="s">
        <v>454</v>
      </c>
      <c r="K47" s="371"/>
      <c r="AF47" s="2" t="n">
        <v>46</v>
      </c>
    </row>
    <row r="48" customFormat="false" ht="14.25" hidden="false" customHeight="false" outlineLevel="0" collapsed="false">
      <c r="A48" s="361" t="str">
        <f aca="false">IF(E48&lt;&gt;"",RANK(E48,E$3:E$49),"")</f>
        <v/>
      </c>
      <c r="B48" s="380" t="n">
        <v>14</v>
      </c>
      <c r="C48" s="369" t="str">
        <f aca="false">IFERROR(VLOOKUP($B48,'V_EAP-AGRI_2024'!$Z$26:$AK$401,D$2,FALSE()),"")</f>
        <v/>
      </c>
      <c r="D48" s="369" t="str">
        <f aca="false">IFERROR(VLOOKUP($B48,'V_EAP-AGRI_2024'!$Z$26:$AK$401,E$2,FALSE()),"")</f>
        <v/>
      </c>
      <c r="E48" s="369" t="str">
        <f aca="false">IFERROR(VLOOKUP($B48,'V_EAP-AGRI_2024'!$Z$26:$AK$401,G$2,FALSE()),"")</f>
        <v/>
      </c>
      <c r="F48" s="369" t="str">
        <f aca="false">IFERROR(VLOOKUP($B48,'V_EAP-AGRI_2024'!$Z$26:$AK$401,H$2,FALSE()),"")</f>
        <v/>
      </c>
      <c r="G48" s="369" t="str">
        <f aca="false">IFERROR(VLOOKUP($B48,'V_EAP-AGRI_2024'!$Z$26:$AK$401,I$2,FALSE()),"")</f>
        <v/>
      </c>
      <c r="H48" s="363" t="str">
        <f aca="false">IFERROR(VLOOKUP($B48,'V_EAP-AGRI_2024'!$Z$26:$AK$401,J$2,FALSE()),"")</f>
        <v/>
      </c>
      <c r="I48" s="363" t="str">
        <f aca="false">IFERROR(VLOOKUP($B48,'V_EAP-AGRI_2024'!$Z$26:$AK$401,K$2,FALSE()),"")</f>
        <v/>
      </c>
      <c r="J48" s="370" t="s">
        <v>454</v>
      </c>
      <c r="K48" s="371"/>
      <c r="AF48" s="2" t="n">
        <v>47</v>
      </c>
    </row>
    <row r="49" customFormat="false" ht="14.25" hidden="false" customHeight="false" outlineLevel="0" collapsed="false">
      <c r="A49" s="381" t="str">
        <f aca="false">IF(E49&lt;&gt;"",RANK(E49,E$3:E$49),"")</f>
        <v/>
      </c>
      <c r="B49" s="382" t="n">
        <v>15</v>
      </c>
      <c r="C49" s="373" t="str">
        <f aca="false">IFERROR(VLOOKUP($B49,'V_EAP-AGRI_2024'!$Z$26:$AK$401,D$2,FALSE()),"")</f>
        <v/>
      </c>
      <c r="D49" s="373" t="str">
        <f aca="false">IFERROR(VLOOKUP($B49,'V_EAP-AGRI_2024'!$Z$26:$AK$401,E$2,FALSE()),"")</f>
        <v/>
      </c>
      <c r="E49" s="373" t="str">
        <f aca="false">IFERROR(VLOOKUP($B49,'V_EAP-AGRI_2024'!$Z$26:$AK$401,G$2,FALSE()),"")</f>
        <v/>
      </c>
      <c r="F49" s="373" t="str">
        <f aca="false">IFERROR(VLOOKUP($B49,'V_EAP-AGRI_2024'!$Z$26:$AK$401,H$2,FALSE()),"")</f>
        <v/>
      </c>
      <c r="G49" s="373" t="str">
        <f aca="false">IFERROR(VLOOKUP($B49,'V_EAP-AGRI_2024'!$Z$26:$AK$401,I$2,FALSE()),"")</f>
        <v/>
      </c>
      <c r="H49" s="363" t="str">
        <f aca="false">IFERROR(VLOOKUP($B49,'V_EAP-AGRI_2024'!$Z$26:$AK$401,J$2,FALSE()),"")</f>
        <v/>
      </c>
      <c r="I49" s="363" t="str">
        <f aca="false">IFERROR(VLOOKUP($B49,'V_EAP-AGRI_2024'!$Z$26:$AK$401,K$2,FALSE()),"")</f>
        <v/>
      </c>
      <c r="J49" s="374" t="s">
        <v>454</v>
      </c>
      <c r="K49" s="375"/>
      <c r="AF49" s="2" t="n">
        <v>48</v>
      </c>
    </row>
    <row r="50" customFormat="false" ht="14.25" hidden="false" customHeight="false" outlineLevel="0" collapsed="false">
      <c r="A50" s="361"/>
    </row>
    <row r="51" customFormat="false" ht="14.25" hidden="false" customHeight="false" outlineLevel="0" collapsed="false">
      <c r="A51" s="361"/>
    </row>
    <row r="52" customFormat="false" ht="14.25" hidden="false" customHeight="false" outlineLevel="0" collapsed="false">
      <c r="A52" s="361"/>
    </row>
    <row r="53" customFormat="false" ht="14.25" hidden="false" customHeight="false" outlineLevel="0" collapsed="false">
      <c r="A53" s="361"/>
    </row>
    <row r="54" customFormat="false" ht="14.25" hidden="false" customHeight="false" outlineLevel="0" collapsed="false">
      <c r="A54" s="361"/>
    </row>
    <row r="55" customFormat="false" ht="14.25" hidden="false" customHeight="false" outlineLevel="0" collapsed="false">
      <c r="A55" s="361"/>
    </row>
    <row r="56" customFormat="false" ht="14.25" hidden="false" customHeight="false" outlineLevel="0" collapsed="false">
      <c r="A56" s="361"/>
    </row>
    <row r="57" customFormat="false" ht="14.25" hidden="false" customHeight="false" outlineLevel="0" collapsed="false">
      <c r="A57" s="361"/>
    </row>
    <row r="58" customFormat="false" ht="14.25" hidden="false" customHeight="false" outlineLevel="0" collapsed="false">
      <c r="A58" s="361"/>
      <c r="L58" s="176"/>
    </row>
    <row r="59" customFormat="false" ht="14.25" hidden="false" customHeight="false" outlineLevel="0" collapsed="false">
      <c r="A59" s="361"/>
      <c r="L59" s="176"/>
      <c r="M59" s="176" t="s">
        <v>455</v>
      </c>
    </row>
  </sheetData>
  <sheetProtection algorithmName="SHA-512" hashValue="ed3rFUwJoloSHq/bm+cnawr9/wKGjsTubZ7oqlxhSMm9LEouF28Dd8wWp6i6A0aVikJW35KlEn3yrevR4TO76A==" saltValue="pZ0COUVHI8t+P/UsUrOXqA==" spinCount="100000" sheet="true" objects="true" scenarios="true"/>
  <autoFilter ref="A1:A75"/>
  <mergeCells count="1">
    <mergeCell ref="M1:U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82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C10" activeCellId="0" sqref="C10"/>
    </sheetView>
  </sheetViews>
  <sheetFormatPr defaultColWidth="12.75390625" defaultRowHeight="14.25" zeroHeight="false" outlineLevelRow="0" outlineLevelCol="0"/>
  <cols>
    <col collapsed="false" customWidth="true" hidden="false" outlineLevel="0" max="2" min="1" style="2" width="18.5"/>
    <col collapsed="false" customWidth="true" hidden="false" outlineLevel="0" max="3" min="3" style="2" width="7"/>
    <col collapsed="false" customWidth="true" hidden="false" outlineLevel="0" max="4" min="4" style="2" width="61.75"/>
    <col collapsed="false" customWidth="true" hidden="false" outlineLevel="0" max="5" min="5" style="2" width="48.5"/>
    <col collapsed="false" customWidth="true" hidden="false" outlineLevel="0" max="6" min="6" style="2" width="17.88"/>
    <col collapsed="false" customWidth="true" hidden="false" outlineLevel="0" max="7" min="7" style="2" width="12.63"/>
    <col collapsed="false" customWidth="true" hidden="false" outlineLevel="0" max="8" min="8" style="2" width="12.38"/>
    <col collapsed="false" customWidth="true" hidden="false" outlineLevel="0" max="9" min="9" style="2" width="10"/>
    <col collapsed="false" customWidth="true" hidden="false" outlineLevel="0" max="10" min="10" style="2" width="8.38"/>
    <col collapsed="false" customWidth="true" hidden="false" outlineLevel="0" max="11" min="11" style="2" width="22.75"/>
    <col collapsed="false" customWidth="true" hidden="false" outlineLevel="0" max="12" min="12" style="2" width="14.5"/>
    <col collapsed="false" customWidth="true" hidden="false" outlineLevel="0" max="13" min="13" style="2" width="11.25"/>
    <col collapsed="false" customWidth="false" hidden="true" outlineLevel="0" max="14" min="14" style="2" width="12.75"/>
    <col collapsed="false" customWidth="true" hidden="true" outlineLevel="0" max="15" min="15" style="2" width="33"/>
    <col collapsed="false" customWidth="true" hidden="true" outlineLevel="0" max="17" min="16" style="2" width="18.63"/>
    <col collapsed="false" customWidth="true" hidden="true" outlineLevel="0" max="18" min="18" style="2" width="7"/>
    <col collapsed="false" customWidth="false" hidden="true" outlineLevel="0" max="19" min="19" style="2" width="12.75"/>
    <col collapsed="false" customWidth="true" hidden="true" outlineLevel="0" max="20" min="20" style="2" width="24.88"/>
    <col collapsed="false" customWidth="true" hidden="true" outlineLevel="0" max="22" min="21" style="2" width="9.25"/>
    <col collapsed="false" customWidth="true" hidden="true" outlineLevel="0" max="23" min="23" style="2" width="5.88"/>
    <col collapsed="false" customWidth="false" hidden="true" outlineLevel="0" max="24" min="24" style="2" width="12.75"/>
    <col collapsed="false" customWidth="true" hidden="true" outlineLevel="0" max="25" min="25" style="2" width="6.75"/>
    <col collapsed="false" customWidth="false" hidden="true" outlineLevel="0" max="26" min="26" style="2" width="12.75"/>
  </cols>
  <sheetData>
    <row r="1" customFormat="false" ht="15.75" hidden="false" customHeight="true" outlineLevel="0" collapsed="false">
      <c r="A1" s="383" t="s">
        <v>456</v>
      </c>
      <c r="B1" s="383"/>
      <c r="C1" s="384"/>
      <c r="D1" s="385" t="s">
        <v>457</v>
      </c>
      <c r="E1" s="385"/>
      <c r="F1" s="386"/>
      <c r="G1" s="387"/>
      <c r="H1" s="387"/>
      <c r="I1" s="388"/>
      <c r="J1" s="388"/>
      <c r="K1" s="388"/>
      <c r="L1" s="388"/>
      <c r="M1" s="389"/>
      <c r="N1" s="387"/>
      <c r="O1" s="390"/>
      <c r="P1" s="389"/>
      <c r="Q1" s="389"/>
      <c r="R1" s="390"/>
      <c r="S1" s="389"/>
      <c r="T1" s="390"/>
      <c r="U1" s="389"/>
      <c r="V1" s="389"/>
      <c r="W1" s="390"/>
      <c r="X1" s="389"/>
      <c r="Y1" s="391" t="s">
        <v>458</v>
      </c>
      <c r="Z1" s="391" t="s">
        <v>459</v>
      </c>
    </row>
    <row r="2" customFormat="false" ht="16.15" hidden="false" customHeight="false" outlineLevel="0" collapsed="false">
      <c r="A2" s="383"/>
      <c r="B2" s="383"/>
      <c r="C2" s="384"/>
      <c r="D2" s="392" t="s">
        <v>460</v>
      </c>
      <c r="E2" s="392"/>
      <c r="F2" s="393" t="n">
        <f aca="false">O9+T9</f>
        <v>0</v>
      </c>
      <c r="G2" s="394"/>
      <c r="H2" s="394"/>
      <c r="I2" s="395"/>
      <c r="J2" s="395"/>
      <c r="K2" s="395"/>
      <c r="L2" s="395"/>
      <c r="M2" s="396"/>
      <c r="N2" s="394"/>
      <c r="O2" s="390"/>
      <c r="P2" s="396"/>
      <c r="Q2" s="396"/>
      <c r="R2" s="390"/>
      <c r="S2" s="396"/>
      <c r="T2" s="390"/>
      <c r="U2" s="396"/>
      <c r="V2" s="396"/>
      <c r="W2" s="390"/>
      <c r="X2" s="396"/>
      <c r="Y2" s="391"/>
      <c r="Z2" s="391"/>
    </row>
    <row r="3" customFormat="false" ht="16.15" hidden="false" customHeight="false" outlineLevel="0" collapsed="false">
      <c r="A3" s="383"/>
      <c r="B3" s="383"/>
      <c r="C3" s="384"/>
      <c r="D3" s="397" t="s">
        <v>461</v>
      </c>
      <c r="E3" s="397"/>
      <c r="F3" s="398" t="n">
        <f aca="false">V_EST_ECO_PFISyJUR!E13</f>
        <v>34624.31</v>
      </c>
      <c r="G3" s="394"/>
      <c r="H3" s="394"/>
      <c r="I3" s="399"/>
      <c r="J3" s="399"/>
      <c r="K3" s="399"/>
      <c r="L3" s="399"/>
      <c r="M3" s="396"/>
      <c r="N3" s="394"/>
      <c r="O3" s="390"/>
      <c r="P3" s="396"/>
      <c r="Q3" s="396"/>
      <c r="R3" s="390"/>
      <c r="S3" s="396"/>
      <c r="T3" s="390"/>
      <c r="U3" s="396"/>
      <c r="V3" s="396"/>
      <c r="W3" s="390"/>
      <c r="X3" s="396"/>
      <c r="Y3" s="391"/>
      <c r="Z3" s="391"/>
    </row>
    <row r="4" customFormat="false" ht="16.15" hidden="false" customHeight="false" outlineLevel="0" collapsed="false">
      <c r="A4" s="383"/>
      <c r="B4" s="383"/>
      <c r="C4" s="384"/>
      <c r="D4" s="397" t="s">
        <v>12</v>
      </c>
      <c r="E4" s="397"/>
      <c r="F4" s="398" t="n">
        <f aca="false">P9+U9</f>
        <v>0</v>
      </c>
      <c r="G4" s="394"/>
      <c r="H4" s="394"/>
      <c r="I4" s="395"/>
      <c r="J4" s="395"/>
      <c r="K4" s="395"/>
      <c r="L4" s="395"/>
      <c r="M4" s="396"/>
      <c r="N4" s="394"/>
      <c r="O4" s="390"/>
      <c r="P4" s="396"/>
      <c r="Q4" s="396"/>
      <c r="R4" s="390"/>
      <c r="S4" s="396"/>
      <c r="T4" s="390"/>
      <c r="U4" s="396"/>
      <c r="V4" s="396"/>
      <c r="W4" s="390"/>
      <c r="X4" s="396"/>
      <c r="Y4" s="391"/>
      <c r="Z4" s="391"/>
    </row>
    <row r="5" customFormat="false" ht="16.15" hidden="false" customHeight="false" outlineLevel="0" collapsed="false">
      <c r="A5" s="383"/>
      <c r="B5" s="383"/>
      <c r="C5" s="384"/>
      <c r="D5" s="397" t="s">
        <v>30</v>
      </c>
      <c r="E5" s="397"/>
      <c r="F5" s="398" t="n">
        <f aca="false">Q9+V9</f>
        <v>0</v>
      </c>
      <c r="G5" s="394"/>
      <c r="H5" s="394"/>
      <c r="I5" s="395"/>
      <c r="J5" s="395"/>
      <c r="K5" s="395"/>
      <c r="L5" s="395"/>
      <c r="M5" s="396"/>
      <c r="N5" s="394"/>
      <c r="O5" s="400"/>
      <c r="P5" s="400"/>
      <c r="Q5" s="400"/>
      <c r="R5" s="400"/>
      <c r="S5" s="400"/>
      <c r="T5" s="400"/>
      <c r="U5" s="400"/>
      <c r="V5" s="400"/>
      <c r="W5" s="400"/>
      <c r="X5" s="396"/>
      <c r="Y5" s="391"/>
      <c r="Z5" s="391"/>
    </row>
    <row r="6" customFormat="false" ht="16.15" hidden="false" customHeight="false" outlineLevel="0" collapsed="false">
      <c r="A6" s="383"/>
      <c r="B6" s="383"/>
      <c r="C6" s="384"/>
      <c r="D6" s="401" t="s">
        <v>462</v>
      </c>
      <c r="E6" s="401"/>
      <c r="F6" s="402" t="n">
        <f aca="false">R9+W9</f>
        <v>0</v>
      </c>
      <c r="G6" s="394"/>
      <c r="H6" s="394"/>
      <c r="I6" s="395"/>
      <c r="J6" s="395"/>
      <c r="K6" s="395"/>
      <c r="L6" s="395"/>
      <c r="M6" s="396"/>
      <c r="N6" s="394"/>
      <c r="O6" s="403" t="s">
        <v>463</v>
      </c>
      <c r="P6" s="403"/>
      <c r="Q6" s="403"/>
      <c r="R6" s="403"/>
      <c r="S6" s="404"/>
      <c r="T6" s="405" t="s">
        <v>464</v>
      </c>
      <c r="U6" s="405"/>
      <c r="V6" s="405"/>
      <c r="W6" s="405"/>
      <c r="X6" s="396"/>
      <c r="Y6" s="391"/>
      <c r="Z6" s="391"/>
    </row>
    <row r="7" customFormat="false" ht="21.75" hidden="false" customHeight="true" outlineLevel="0" collapsed="false">
      <c r="A7" s="383"/>
      <c r="B7" s="383"/>
      <c r="C7" s="406"/>
      <c r="D7" s="407"/>
      <c r="E7" s="407"/>
      <c r="F7" s="408"/>
      <c r="G7" s="181"/>
      <c r="H7" s="181"/>
      <c r="I7" s="409"/>
      <c r="J7" s="409"/>
      <c r="K7" s="409"/>
      <c r="L7" s="409"/>
      <c r="M7" s="409"/>
      <c r="N7" s="181"/>
      <c r="O7" s="410"/>
      <c r="P7" s="411"/>
      <c r="Q7" s="411"/>
      <c r="R7" s="411"/>
      <c r="S7" s="153"/>
      <c r="T7" s="412"/>
      <c r="U7" s="413"/>
      <c r="V7" s="413"/>
      <c r="W7" s="413"/>
      <c r="X7" s="414"/>
      <c r="Y7" s="415" t="n">
        <v>6</v>
      </c>
      <c r="Z7" s="416" t="n">
        <v>7</v>
      </c>
    </row>
    <row r="8" customFormat="false" ht="21.75" hidden="false" customHeight="true" outlineLevel="0" collapsed="false">
      <c r="A8" s="383"/>
      <c r="B8" s="383"/>
      <c r="C8" s="406"/>
      <c r="D8" s="417"/>
      <c r="E8" s="417"/>
      <c r="F8" s="418"/>
      <c r="G8" s="181"/>
      <c r="H8" s="181"/>
      <c r="I8" s="419"/>
      <c r="J8" s="419"/>
      <c r="K8" s="419"/>
      <c r="L8" s="419"/>
      <c r="M8" s="419"/>
      <c r="N8" s="181"/>
      <c r="O8" s="420" t="s">
        <v>460</v>
      </c>
      <c r="P8" s="420" t="s">
        <v>465</v>
      </c>
      <c r="Q8" s="420" t="s">
        <v>466</v>
      </c>
      <c r="R8" s="420" t="s">
        <v>467</v>
      </c>
      <c r="S8" s="421"/>
      <c r="T8" s="422" t="s">
        <v>460</v>
      </c>
      <c r="U8" s="422" t="s">
        <v>465</v>
      </c>
      <c r="V8" s="422" t="s">
        <v>466</v>
      </c>
      <c r="W8" s="422" t="s">
        <v>467</v>
      </c>
      <c r="X8" s="414"/>
      <c r="Y8" s="181"/>
      <c r="Z8" s="181"/>
    </row>
    <row r="9" customFormat="false" ht="19.7" hidden="false" customHeight="false" outlineLevel="0" collapsed="false">
      <c r="A9" s="383"/>
      <c r="B9" s="383"/>
      <c r="C9" s="406"/>
      <c r="D9" s="423"/>
      <c r="E9" s="423"/>
      <c r="F9" s="423"/>
      <c r="G9" s="3"/>
      <c r="H9" s="3"/>
      <c r="I9" s="424"/>
      <c r="J9" s="424"/>
      <c r="K9" s="425"/>
      <c r="L9" s="425"/>
      <c r="M9" s="425"/>
      <c r="N9" s="426"/>
      <c r="O9" s="427" t="n">
        <f aca="false">SUM(O11:O82)</f>
        <v>0</v>
      </c>
      <c r="P9" s="427" t="n">
        <f aca="false">SUM(P11:P82)</f>
        <v>0</v>
      </c>
      <c r="Q9" s="427" t="n">
        <f aca="false">SUM(Q11:Q82)</f>
        <v>0</v>
      </c>
      <c r="R9" s="427" t="n">
        <f aca="false">SUM(R11:R82)</f>
        <v>0</v>
      </c>
      <c r="S9" s="427" t="n">
        <f aca="false">SUM(S11:S82)</f>
        <v>0</v>
      </c>
      <c r="T9" s="427" t="n">
        <f aca="false">SUM(T11:T82)</f>
        <v>0</v>
      </c>
      <c r="U9" s="427" t="n">
        <f aca="false">SUM(U11:U82)</f>
        <v>0</v>
      </c>
      <c r="V9" s="427" t="n">
        <f aca="false">SUM(V11:V82)</f>
        <v>0</v>
      </c>
      <c r="W9" s="427" t="n">
        <f aca="false">SUM(W11:W82)</f>
        <v>0</v>
      </c>
      <c r="X9" s="428"/>
      <c r="Y9" s="51"/>
      <c r="Z9" s="51"/>
    </row>
    <row r="10" customFormat="false" ht="53.25" hidden="false" customHeight="true" outlineLevel="0" collapsed="false">
      <c r="A10" s="78" t="s">
        <v>468</v>
      </c>
      <c r="B10" s="429" t="s">
        <v>469</v>
      </c>
      <c r="C10" s="430" t="s">
        <v>470</v>
      </c>
      <c r="D10" s="431" t="s">
        <v>471</v>
      </c>
      <c r="E10" s="431" t="s">
        <v>472</v>
      </c>
      <c r="F10" s="89" t="s">
        <v>473</v>
      </c>
      <c r="G10" s="432" t="s">
        <v>474</v>
      </c>
      <c r="H10" s="432" t="s">
        <v>475</v>
      </c>
      <c r="I10" s="89" t="s">
        <v>460</v>
      </c>
      <c r="J10" s="89" t="s">
        <v>465</v>
      </c>
      <c r="K10" s="89" t="s">
        <v>476</v>
      </c>
      <c r="L10" s="89" t="s">
        <v>467</v>
      </c>
      <c r="M10" s="89" t="s">
        <v>477</v>
      </c>
      <c r="N10" s="433"/>
      <c r="O10" s="434" t="s">
        <v>460</v>
      </c>
      <c r="P10" s="435" t="s">
        <v>465</v>
      </c>
      <c r="Q10" s="435" t="s">
        <v>478</v>
      </c>
      <c r="R10" s="434" t="s">
        <v>467</v>
      </c>
      <c r="S10" s="436"/>
      <c r="T10" s="437" t="s">
        <v>460</v>
      </c>
      <c r="U10" s="438" t="s">
        <v>465</v>
      </c>
      <c r="V10" s="438" t="s">
        <v>478</v>
      </c>
      <c r="W10" s="437" t="s">
        <v>467</v>
      </c>
      <c r="X10" s="436"/>
      <c r="Y10" s="439" t="s">
        <v>479</v>
      </c>
      <c r="Z10" s="439" t="s">
        <v>480</v>
      </c>
    </row>
    <row r="11" customFormat="false" ht="14.25" hidden="false" customHeight="false" outlineLevel="0" collapsed="false">
      <c r="A11" s="228"/>
      <c r="B11" s="440"/>
      <c r="C11" s="441" t="str">
        <f aca="false">IF(SUM(A11:B11)=0,"",SUM(A11:B11))</f>
        <v/>
      </c>
      <c r="D11" s="442" t="s">
        <v>481</v>
      </c>
      <c r="E11" s="443" t="s">
        <v>482</v>
      </c>
      <c r="F11" s="443" t="s">
        <v>483</v>
      </c>
      <c r="G11" s="134" t="n">
        <v>6</v>
      </c>
      <c r="H11" s="444" t="n">
        <v>861</v>
      </c>
      <c r="I11" s="445" t="n">
        <v>0.1</v>
      </c>
      <c r="J11" s="446" t="n">
        <v>25</v>
      </c>
      <c r="K11" s="446" t="n">
        <v>41.21</v>
      </c>
      <c r="L11" s="447" t="n">
        <v>0.001019</v>
      </c>
      <c r="M11" s="448" t="s">
        <v>484</v>
      </c>
      <c r="N11" s="51"/>
      <c r="O11" s="449" t="n">
        <f aca="false">+ROUND($A11*I11,2)</f>
        <v>0</v>
      </c>
      <c r="P11" s="450" t="n">
        <f aca="false">+ROUND($A11*J11,2)</f>
        <v>0</v>
      </c>
      <c r="Q11" s="450" t="n">
        <f aca="false">+ROUND($A11*K11,2)</f>
        <v>0</v>
      </c>
      <c r="R11" s="449" t="n">
        <f aca="false">+ROUND($A11*L11,2)</f>
        <v>0</v>
      </c>
      <c r="S11" s="451"/>
      <c r="T11" s="452" t="n">
        <f aca="false">+ROUND($B11*I11,2)</f>
        <v>0</v>
      </c>
      <c r="U11" s="453" t="n">
        <f aca="false">+ROUND($B11*J11,2)</f>
        <v>0</v>
      </c>
      <c r="V11" s="453" t="n">
        <f aca="false">+ROUND($B11*K11,2)</f>
        <v>0</v>
      </c>
      <c r="W11" s="452" t="n">
        <f aca="false">+ROUND($B11*L11,2)</f>
        <v>0</v>
      </c>
      <c r="X11" s="451"/>
      <c r="Y11" s="454" t="n">
        <f aca="false">SUMIF(G11:G82,Y7,Q11:Q82)+(SUMIF(G11:G82,Y7,V11:V82)*1.25)</f>
        <v>0</v>
      </c>
      <c r="Z11" s="454" t="n">
        <f aca="false">SUMIF(G11:G82,Z7,Q11:Q82)+(SUMIF(G11:G82,Z7,V11:V82)*1.25)</f>
        <v>0</v>
      </c>
    </row>
    <row r="12" customFormat="false" ht="14.25" hidden="false" customHeight="false" outlineLevel="0" collapsed="false">
      <c r="A12" s="228"/>
      <c r="B12" s="440"/>
      <c r="C12" s="441" t="str">
        <f aca="false">IF(SUM(A12:B12)=0,"",SUM(A12:B12))</f>
        <v/>
      </c>
      <c r="D12" s="442" t="s">
        <v>485</v>
      </c>
      <c r="E12" s="443" t="s">
        <v>482</v>
      </c>
      <c r="F12" s="443" t="s">
        <v>483</v>
      </c>
      <c r="G12" s="134" t="n">
        <v>6</v>
      </c>
      <c r="H12" s="444" t="n">
        <v>862</v>
      </c>
      <c r="I12" s="445" t="n">
        <v>0.1</v>
      </c>
      <c r="J12" s="446" t="n">
        <v>8</v>
      </c>
      <c r="K12" s="446" t="n">
        <v>6</v>
      </c>
      <c r="L12" s="447" t="n">
        <v>0.000326</v>
      </c>
      <c r="M12" s="448" t="s">
        <v>484</v>
      </c>
      <c r="N12" s="51"/>
      <c r="O12" s="449" t="n">
        <f aca="false">+ROUND($A12*I12,2)</f>
        <v>0</v>
      </c>
      <c r="P12" s="450" t="n">
        <f aca="false">+ROUND($A12*J12,2)</f>
        <v>0</v>
      </c>
      <c r="Q12" s="450" t="n">
        <f aca="false">+ROUND($A12*K12,2)</f>
        <v>0</v>
      </c>
      <c r="R12" s="449" t="n">
        <f aca="false">+ROUND($A12*L12,2)</f>
        <v>0</v>
      </c>
      <c r="S12" s="451"/>
      <c r="T12" s="452" t="n">
        <f aca="false">+ROUND($B12*I12,2)</f>
        <v>0</v>
      </c>
      <c r="U12" s="453" t="n">
        <f aca="false">+ROUND($B12*J12,2)</f>
        <v>0</v>
      </c>
      <c r="V12" s="453" t="n">
        <f aca="false">+ROUND($B12*K12,2)</f>
        <v>0</v>
      </c>
      <c r="W12" s="452" t="n">
        <f aca="false">+ROUND($B12*L12,2)</f>
        <v>0</v>
      </c>
      <c r="X12" s="451"/>
      <c r="Y12" s="51"/>
      <c r="Z12" s="51"/>
    </row>
    <row r="13" customFormat="false" ht="14.25" hidden="false" customHeight="false" outlineLevel="0" collapsed="false">
      <c r="A13" s="228"/>
      <c r="B13" s="440"/>
      <c r="C13" s="441" t="str">
        <f aca="false">IF(SUM(A13:B13)=0,"",SUM(A13:B13))</f>
        <v/>
      </c>
      <c r="D13" s="442" t="s">
        <v>486</v>
      </c>
      <c r="E13" s="443"/>
      <c r="F13" s="443" t="s">
        <v>487</v>
      </c>
      <c r="G13" s="134" t="n">
        <v>7</v>
      </c>
      <c r="H13" s="444" t="n">
        <v>901</v>
      </c>
      <c r="I13" s="445" t="n">
        <v>0</v>
      </c>
      <c r="J13" s="446" t="n">
        <v>2.5</v>
      </c>
      <c r="K13" s="446" t="n">
        <v>6.76</v>
      </c>
      <c r="L13" s="447" t="n">
        <v>0.000102</v>
      </c>
      <c r="M13" s="448" t="s">
        <v>488</v>
      </c>
      <c r="N13" s="51"/>
      <c r="O13" s="449" t="n">
        <f aca="false">+ROUND($A13*I13,2)</f>
        <v>0</v>
      </c>
      <c r="P13" s="450" t="n">
        <f aca="false">+ROUND($A13*J13,2)</f>
        <v>0</v>
      </c>
      <c r="Q13" s="450" t="n">
        <f aca="false">+ROUND($A13*K13,2)</f>
        <v>0</v>
      </c>
      <c r="R13" s="449" t="n">
        <f aca="false">+ROUND($A13*L13,2)</f>
        <v>0</v>
      </c>
      <c r="S13" s="451"/>
      <c r="T13" s="452" t="n">
        <f aca="false">+ROUND($B13*I13,2)</f>
        <v>0</v>
      </c>
      <c r="U13" s="453" t="n">
        <f aca="false">+ROUND($B13*J13,2)</f>
        <v>0</v>
      </c>
      <c r="V13" s="453" t="n">
        <f aca="false">+ROUND($B13*K13,2)</f>
        <v>0</v>
      </c>
      <c r="W13" s="452" t="n">
        <f aca="false">+ROUND($B13*L13,2)</f>
        <v>0</v>
      </c>
      <c r="X13" s="451"/>
      <c r="Y13" s="51"/>
      <c r="Z13" s="51"/>
    </row>
    <row r="14" customFormat="false" ht="14.25" hidden="false" customHeight="false" outlineLevel="0" collapsed="false">
      <c r="A14" s="228"/>
      <c r="B14" s="440"/>
      <c r="C14" s="441" t="str">
        <f aca="false">IF(SUM(A14:B14)=0,"",SUM(A14:B14))</f>
        <v/>
      </c>
      <c r="D14" s="442" t="s">
        <v>489</v>
      </c>
      <c r="E14" s="443" t="s">
        <v>490</v>
      </c>
      <c r="F14" s="443" t="s">
        <v>491</v>
      </c>
      <c r="G14" s="134" t="n">
        <v>7</v>
      </c>
      <c r="H14" s="444" t="n">
        <v>551</v>
      </c>
      <c r="I14" s="445" t="n">
        <v>0.014</v>
      </c>
      <c r="J14" s="446" t="n">
        <v>24.04</v>
      </c>
      <c r="K14" s="446" t="n">
        <v>160.94</v>
      </c>
      <c r="L14" s="447" t="n">
        <v>0.00098</v>
      </c>
      <c r="M14" s="448" t="s">
        <v>492</v>
      </c>
      <c r="N14" s="51"/>
      <c r="O14" s="449" t="n">
        <f aca="false">+ROUND($A14*I14,2)</f>
        <v>0</v>
      </c>
      <c r="P14" s="450" t="n">
        <f aca="false">+ROUND($A14*J14,2)</f>
        <v>0</v>
      </c>
      <c r="Q14" s="450" t="n">
        <f aca="false">+ROUND($A14*K14,2)</f>
        <v>0</v>
      </c>
      <c r="R14" s="449" t="n">
        <f aca="false">+ROUND($A14*L14,2)</f>
        <v>0</v>
      </c>
      <c r="S14" s="451"/>
      <c r="T14" s="452" t="n">
        <f aca="false">+ROUND($B14*I14,2)</f>
        <v>0</v>
      </c>
      <c r="U14" s="453" t="n">
        <f aca="false">+ROUND($B14*J14,2)</f>
        <v>0</v>
      </c>
      <c r="V14" s="453" t="n">
        <f aca="false">+ROUND($B14*K14,2)</f>
        <v>0</v>
      </c>
      <c r="W14" s="452" t="n">
        <f aca="false">+ROUND($B14*L14,2)</f>
        <v>0</v>
      </c>
      <c r="X14" s="451"/>
      <c r="Y14" s="51"/>
      <c r="Z14" s="51"/>
    </row>
    <row r="15" customFormat="false" ht="14.25" hidden="false" customHeight="false" outlineLevel="0" collapsed="false">
      <c r="A15" s="228"/>
      <c r="B15" s="440"/>
      <c r="C15" s="441" t="str">
        <f aca="false">IF(SUM(A15:B15)=0,"",SUM(A15:B15))</f>
        <v/>
      </c>
      <c r="D15" s="442" t="s">
        <v>493</v>
      </c>
      <c r="E15" s="443" t="s">
        <v>490</v>
      </c>
      <c r="F15" s="443" t="s">
        <v>491</v>
      </c>
      <c r="G15" s="134" t="n">
        <v>7</v>
      </c>
      <c r="H15" s="444" t="n">
        <v>552</v>
      </c>
      <c r="I15" s="445" t="n">
        <v>0.014</v>
      </c>
      <c r="J15" s="446" t="n">
        <v>8</v>
      </c>
      <c r="K15" s="446" t="n">
        <v>23</v>
      </c>
      <c r="L15" s="447" t="n">
        <v>0.000326</v>
      </c>
      <c r="M15" s="448" t="s">
        <v>492</v>
      </c>
      <c r="N15" s="51"/>
      <c r="O15" s="449" t="n">
        <f aca="false">+ROUND($A15*I15,2)</f>
        <v>0</v>
      </c>
      <c r="P15" s="450" t="n">
        <f aca="false">+ROUND($A15*J15,2)</f>
        <v>0</v>
      </c>
      <c r="Q15" s="450" t="n">
        <f aca="false">+ROUND($A15*K15,2)</f>
        <v>0</v>
      </c>
      <c r="R15" s="449" t="n">
        <f aca="false">+ROUND($A15*L15,2)</f>
        <v>0</v>
      </c>
      <c r="S15" s="451"/>
      <c r="T15" s="452" t="n">
        <f aca="false">+ROUND($B15*I15,2)</f>
        <v>0</v>
      </c>
      <c r="U15" s="453" t="n">
        <f aca="false">+ROUND($B15*J15,2)</f>
        <v>0</v>
      </c>
      <c r="V15" s="453" t="n">
        <f aca="false">+ROUND($B15*K15,2)</f>
        <v>0</v>
      </c>
      <c r="W15" s="452" t="n">
        <f aca="false">+ROUND($B15*L15,2)</f>
        <v>0</v>
      </c>
      <c r="X15" s="451"/>
      <c r="Y15" s="51"/>
      <c r="Z15" s="51"/>
    </row>
    <row r="16" customFormat="false" ht="14.25" hidden="false" customHeight="false" outlineLevel="0" collapsed="false">
      <c r="A16" s="228"/>
      <c r="B16" s="440"/>
      <c r="C16" s="441" t="str">
        <f aca="false">IF(SUM(A16:B16)=0,"",SUM(A16:B16))</f>
        <v/>
      </c>
      <c r="D16" s="442" t="s">
        <v>494</v>
      </c>
      <c r="E16" s="443" t="s">
        <v>495</v>
      </c>
      <c r="F16" s="443" t="s">
        <v>496</v>
      </c>
      <c r="G16" s="134" t="n">
        <v>7</v>
      </c>
      <c r="H16" s="444" t="n">
        <v>512</v>
      </c>
      <c r="I16" s="445" t="n">
        <v>1</v>
      </c>
      <c r="J16" s="446" t="n">
        <v>84.14</v>
      </c>
      <c r="K16" s="446" t="n">
        <v>1004.8</v>
      </c>
      <c r="L16" s="447" t="n">
        <v>0.003429</v>
      </c>
      <c r="M16" s="448" t="s">
        <v>497</v>
      </c>
      <c r="N16" s="51"/>
      <c r="O16" s="449" t="n">
        <f aca="false">+ROUND($A16*I16,2)</f>
        <v>0</v>
      </c>
      <c r="P16" s="450" t="n">
        <f aca="false">+ROUND($A16*J16,2)</f>
        <v>0</v>
      </c>
      <c r="Q16" s="450" t="n">
        <f aca="false">+ROUND($A16*K16,2)</f>
        <v>0</v>
      </c>
      <c r="R16" s="449" t="n">
        <f aca="false">+ROUND($A16*L16,2)</f>
        <v>0</v>
      </c>
      <c r="S16" s="451"/>
      <c r="T16" s="452" t="n">
        <f aca="false">+ROUND($B16*I16,2)</f>
        <v>0</v>
      </c>
      <c r="U16" s="453" t="n">
        <f aca="false">+ROUND($B16*J16,2)</f>
        <v>0</v>
      </c>
      <c r="V16" s="453" t="n">
        <f aca="false">+ROUND($B16*K16,2)</f>
        <v>0</v>
      </c>
      <c r="W16" s="452" t="n">
        <f aca="false">+ROUND($B16*L16,2)</f>
        <v>0</v>
      </c>
      <c r="X16" s="451"/>
      <c r="Y16" s="51"/>
      <c r="Z16" s="51"/>
    </row>
    <row r="17" customFormat="false" ht="14.25" hidden="false" customHeight="false" outlineLevel="0" collapsed="false">
      <c r="A17" s="228"/>
      <c r="B17" s="440"/>
      <c r="C17" s="441" t="str">
        <f aca="false">IF(SUM(A17:B17)=0,"",SUM(A17:B17))</f>
        <v/>
      </c>
      <c r="D17" s="442" t="s">
        <v>498</v>
      </c>
      <c r="E17" s="443" t="s">
        <v>499</v>
      </c>
      <c r="F17" s="443" t="s">
        <v>496</v>
      </c>
      <c r="G17" s="134" t="n">
        <v>7</v>
      </c>
      <c r="H17" s="444" t="n">
        <v>511</v>
      </c>
      <c r="I17" s="445" t="n">
        <v>1</v>
      </c>
      <c r="J17" s="446" t="n">
        <v>168.29</v>
      </c>
      <c r="K17" s="446" t="n">
        <v>356</v>
      </c>
      <c r="L17" s="447" t="n">
        <v>0.006859</v>
      </c>
      <c r="M17" s="448" t="s">
        <v>497</v>
      </c>
      <c r="N17" s="51"/>
      <c r="O17" s="449" t="n">
        <f aca="false">+ROUND($A17*I17,2)</f>
        <v>0</v>
      </c>
      <c r="P17" s="450" t="n">
        <f aca="false">+ROUND($A17*J17,2)</f>
        <v>0</v>
      </c>
      <c r="Q17" s="450" t="n">
        <f aca="false">+ROUND($A17*K17,2)</f>
        <v>0</v>
      </c>
      <c r="R17" s="449" t="n">
        <f aca="false">+ROUND($A17*L17,2)</f>
        <v>0</v>
      </c>
      <c r="S17" s="451"/>
      <c r="T17" s="452" t="n">
        <f aca="false">+ROUND($B17*I17,2)</f>
        <v>0</v>
      </c>
      <c r="U17" s="453" t="n">
        <f aca="false">+ROUND($B17*J17,2)</f>
        <v>0</v>
      </c>
      <c r="V17" s="453" t="n">
        <f aca="false">+ROUND($B17*K17,2)</f>
        <v>0</v>
      </c>
      <c r="W17" s="452" t="n">
        <f aca="false">+ROUND($B17*L17,2)</f>
        <v>0</v>
      </c>
      <c r="X17" s="455"/>
      <c r="Y17" s="3"/>
      <c r="Z17" s="3"/>
    </row>
    <row r="18" customFormat="false" ht="14.25" hidden="false" customHeight="false" outlineLevel="0" collapsed="false">
      <c r="A18" s="228"/>
      <c r="B18" s="440"/>
      <c r="C18" s="441" t="str">
        <f aca="false">IF(SUM(A18:B18)=0,"",SUM(A18:B18))</f>
        <v/>
      </c>
      <c r="D18" s="456" t="s">
        <v>500</v>
      </c>
      <c r="E18" s="456" t="s">
        <v>501</v>
      </c>
      <c r="F18" s="456" t="s">
        <v>502</v>
      </c>
      <c r="G18" s="457" t="n">
        <v>7</v>
      </c>
      <c r="H18" s="458" t="n">
        <v>737</v>
      </c>
      <c r="I18" s="459" t="n">
        <v>0.001</v>
      </c>
      <c r="J18" s="460" t="n">
        <v>1.86</v>
      </c>
      <c r="K18" s="460" t="n">
        <v>11.89</v>
      </c>
      <c r="L18" s="461" t="n">
        <v>7.6E-005</v>
      </c>
      <c r="M18" s="462" t="s">
        <v>492</v>
      </c>
      <c r="N18" s="51"/>
      <c r="O18" s="449" t="n">
        <f aca="false">+ROUND($A18*I18,2)</f>
        <v>0</v>
      </c>
      <c r="P18" s="450" t="n">
        <f aca="false">+ROUND($A18*J18,2)</f>
        <v>0</v>
      </c>
      <c r="Q18" s="450" t="n">
        <f aca="false">+ROUND($A18*K18,2)</f>
        <v>0</v>
      </c>
      <c r="R18" s="449" t="n">
        <f aca="false">+ROUND($A18*L18,2)</f>
        <v>0</v>
      </c>
      <c r="S18" s="451"/>
      <c r="T18" s="452" t="n">
        <f aca="false">+ROUND($B18*I18,2)</f>
        <v>0</v>
      </c>
      <c r="U18" s="453" t="n">
        <f aca="false">+ROUND($B18*J18,2)</f>
        <v>0</v>
      </c>
      <c r="V18" s="453" t="n">
        <f aca="false">+ROUND($B18*K18,2)</f>
        <v>0</v>
      </c>
      <c r="W18" s="452" t="n">
        <f aca="false">+ROUND($B18*L18,2)</f>
        <v>0</v>
      </c>
      <c r="X18" s="455"/>
      <c r="Y18" s="3"/>
      <c r="Z18" s="3"/>
    </row>
    <row r="19" customFormat="false" ht="14.25" hidden="false" customHeight="false" outlineLevel="0" collapsed="false">
      <c r="A19" s="228"/>
      <c r="B19" s="440"/>
      <c r="C19" s="441" t="str">
        <f aca="false">IF(SUM(A19:B19)=0,"",SUM(A19:B19))</f>
        <v/>
      </c>
      <c r="D19" s="456" t="s">
        <v>500</v>
      </c>
      <c r="E19" s="456" t="s">
        <v>503</v>
      </c>
      <c r="F19" s="456" t="s">
        <v>502</v>
      </c>
      <c r="G19" s="457" t="n">
        <v>7</v>
      </c>
      <c r="H19" s="458" t="n">
        <v>737</v>
      </c>
      <c r="I19" s="459" t="n">
        <v>0.001</v>
      </c>
      <c r="J19" s="460" t="n">
        <v>1.86</v>
      </c>
      <c r="K19" s="460" t="n">
        <v>11.89</v>
      </c>
      <c r="L19" s="461" t="n">
        <v>7.6E-005</v>
      </c>
      <c r="M19" s="462" t="s">
        <v>492</v>
      </c>
      <c r="N19" s="51"/>
      <c r="O19" s="449" t="n">
        <f aca="false">+ROUND($A19*I19,2)</f>
        <v>0</v>
      </c>
      <c r="P19" s="450" t="n">
        <f aca="false">+ROUND($A19*J19,2)</f>
        <v>0</v>
      </c>
      <c r="Q19" s="450" t="n">
        <f aca="false">+ROUND($A19*K19,2)</f>
        <v>0</v>
      </c>
      <c r="R19" s="449" t="n">
        <f aca="false">+ROUND($A19*L19,2)</f>
        <v>0</v>
      </c>
      <c r="S19" s="451"/>
      <c r="T19" s="452" t="n">
        <f aca="false">+ROUND($B19*I19,2)</f>
        <v>0</v>
      </c>
      <c r="U19" s="453" t="n">
        <f aca="false">+ROUND($B19*J19,2)</f>
        <v>0</v>
      </c>
      <c r="V19" s="453" t="n">
        <f aca="false">+ROUND($B19*K19,2)</f>
        <v>0</v>
      </c>
      <c r="W19" s="452" t="n">
        <f aca="false">+ROUND($B19*L19,2)</f>
        <v>0</v>
      </c>
      <c r="X19" s="455"/>
      <c r="Y19" s="3"/>
      <c r="Z19" s="3"/>
    </row>
    <row r="20" customFormat="false" ht="14.25" hidden="false" customHeight="false" outlineLevel="0" collapsed="false">
      <c r="A20" s="228"/>
      <c r="B20" s="440"/>
      <c r="C20" s="441" t="str">
        <f aca="false">IF(SUM(A20:B20)=0,"",SUM(A20:B20))</f>
        <v/>
      </c>
      <c r="D20" s="456" t="s">
        <v>500</v>
      </c>
      <c r="E20" s="456" t="s">
        <v>504</v>
      </c>
      <c r="F20" s="456" t="s">
        <v>502</v>
      </c>
      <c r="G20" s="457" t="n">
        <v>7</v>
      </c>
      <c r="H20" s="458" t="n">
        <v>737</v>
      </c>
      <c r="I20" s="459" t="n">
        <v>0.001</v>
      </c>
      <c r="J20" s="460" t="n">
        <v>1.86</v>
      </c>
      <c r="K20" s="460" t="n">
        <v>11.89</v>
      </c>
      <c r="L20" s="461" t="n">
        <v>7.6E-005</v>
      </c>
      <c r="M20" s="462" t="s">
        <v>492</v>
      </c>
      <c r="N20" s="51"/>
      <c r="O20" s="449" t="n">
        <f aca="false">+ROUND($A20*I20,2)</f>
        <v>0</v>
      </c>
      <c r="P20" s="450" t="n">
        <f aca="false">+ROUND($A20*J20,2)</f>
        <v>0</v>
      </c>
      <c r="Q20" s="450" t="n">
        <f aca="false">+ROUND($A20*K20,2)</f>
        <v>0</v>
      </c>
      <c r="R20" s="449" t="n">
        <f aca="false">+ROUND($A20*L20,2)</f>
        <v>0</v>
      </c>
      <c r="S20" s="451"/>
      <c r="T20" s="452" t="n">
        <f aca="false">+ROUND($B20*I20,2)</f>
        <v>0</v>
      </c>
      <c r="U20" s="453" t="n">
        <f aca="false">+ROUND($B20*J20,2)</f>
        <v>0</v>
      </c>
      <c r="V20" s="453" t="n">
        <f aca="false">+ROUND($B20*K20,2)</f>
        <v>0</v>
      </c>
      <c r="W20" s="452" t="n">
        <f aca="false">+ROUND($B20*L20,2)</f>
        <v>0</v>
      </c>
      <c r="X20" s="455"/>
      <c r="Y20" s="3"/>
      <c r="Z20" s="3"/>
    </row>
    <row r="21" customFormat="false" ht="14.25" hidden="false" customHeight="false" outlineLevel="0" collapsed="false">
      <c r="A21" s="228"/>
      <c r="B21" s="440"/>
      <c r="C21" s="441" t="str">
        <f aca="false">IF(SUM(A21:B21)=0,"",SUM(A21:B21))</f>
        <v/>
      </c>
      <c r="D21" s="456" t="s">
        <v>500</v>
      </c>
      <c r="E21" s="456" t="s">
        <v>505</v>
      </c>
      <c r="F21" s="456" t="s">
        <v>502</v>
      </c>
      <c r="G21" s="457" t="n">
        <v>7</v>
      </c>
      <c r="H21" s="458" t="n">
        <v>737</v>
      </c>
      <c r="I21" s="459" t="n">
        <v>0.001</v>
      </c>
      <c r="J21" s="460" t="n">
        <v>1.86</v>
      </c>
      <c r="K21" s="460" t="n">
        <v>11.89</v>
      </c>
      <c r="L21" s="461" t="n">
        <v>7.6E-005</v>
      </c>
      <c r="M21" s="462" t="s">
        <v>492</v>
      </c>
      <c r="N21" s="51"/>
      <c r="O21" s="449" t="n">
        <f aca="false">+ROUND($A21*I21,2)</f>
        <v>0</v>
      </c>
      <c r="P21" s="450" t="n">
        <f aca="false">+ROUND($A21*J21,2)</f>
        <v>0</v>
      </c>
      <c r="Q21" s="450" t="n">
        <f aca="false">+ROUND($A21*K21,2)</f>
        <v>0</v>
      </c>
      <c r="R21" s="449" t="n">
        <f aca="false">+ROUND($A21*L21,2)</f>
        <v>0</v>
      </c>
      <c r="S21" s="451"/>
      <c r="T21" s="452" t="n">
        <f aca="false">+ROUND($B21*I21,2)</f>
        <v>0</v>
      </c>
      <c r="U21" s="453" t="n">
        <f aca="false">+ROUND($B21*J21,2)</f>
        <v>0</v>
      </c>
      <c r="V21" s="453" t="n">
        <f aca="false">+ROUND($B21*K21,2)</f>
        <v>0</v>
      </c>
      <c r="W21" s="452" t="n">
        <f aca="false">+ROUND($B21*L21,2)</f>
        <v>0</v>
      </c>
      <c r="X21" s="455"/>
      <c r="Y21" s="3"/>
      <c r="Z21" s="3"/>
    </row>
    <row r="22" customFormat="false" ht="14.25" hidden="false" customHeight="false" outlineLevel="0" collapsed="false">
      <c r="A22" s="228"/>
      <c r="B22" s="440"/>
      <c r="C22" s="441" t="str">
        <f aca="false">IF(SUM(A22:B22)=0,"",SUM(A22:B22))</f>
        <v/>
      </c>
      <c r="D22" s="463" t="s">
        <v>506</v>
      </c>
      <c r="E22" s="463" t="s">
        <v>501</v>
      </c>
      <c r="F22" s="463" t="s">
        <v>502</v>
      </c>
      <c r="G22" s="464" t="n">
        <v>7</v>
      </c>
      <c r="H22" s="465" t="n">
        <v>747</v>
      </c>
      <c r="I22" s="466" t="n">
        <v>0.001</v>
      </c>
      <c r="J22" s="467" t="n">
        <v>0.35</v>
      </c>
      <c r="K22" s="467" t="n">
        <v>2.72</v>
      </c>
      <c r="L22" s="468" t="n">
        <v>1.4E-005</v>
      </c>
      <c r="M22" s="469" t="s">
        <v>492</v>
      </c>
      <c r="N22" s="51"/>
      <c r="O22" s="449" t="n">
        <f aca="false">+ROUND($A22*I22,2)</f>
        <v>0</v>
      </c>
      <c r="P22" s="450" t="n">
        <f aca="false">+ROUND($A22*J22,2)</f>
        <v>0</v>
      </c>
      <c r="Q22" s="450" t="n">
        <f aca="false">+ROUND($A22*K22,2)</f>
        <v>0</v>
      </c>
      <c r="R22" s="449" t="n">
        <f aca="false">+ROUND($A22*L22,2)</f>
        <v>0</v>
      </c>
      <c r="S22" s="451"/>
      <c r="T22" s="452" t="n">
        <f aca="false">+ROUND($B22*I22,2)</f>
        <v>0</v>
      </c>
      <c r="U22" s="453" t="n">
        <f aca="false">+ROUND($B22*J22,2)</f>
        <v>0</v>
      </c>
      <c r="V22" s="453" t="n">
        <f aca="false">+ROUND($B22*K22,2)</f>
        <v>0</v>
      </c>
      <c r="W22" s="452" t="n">
        <f aca="false">+ROUND($B22*L22,2)</f>
        <v>0</v>
      </c>
      <c r="X22" s="455"/>
      <c r="Y22" s="3"/>
      <c r="Z22" s="3"/>
    </row>
    <row r="23" customFormat="false" ht="14.25" hidden="false" customHeight="false" outlineLevel="0" collapsed="false">
      <c r="A23" s="228"/>
      <c r="B23" s="440"/>
      <c r="C23" s="441" t="str">
        <f aca="false">IF(SUM(A23:B23)=0,"",SUM(A23:B23))</f>
        <v/>
      </c>
      <c r="D23" s="463" t="s">
        <v>506</v>
      </c>
      <c r="E23" s="463" t="s">
        <v>503</v>
      </c>
      <c r="F23" s="463" t="s">
        <v>502</v>
      </c>
      <c r="G23" s="464" t="n">
        <v>7</v>
      </c>
      <c r="H23" s="465" t="n">
        <v>747</v>
      </c>
      <c r="I23" s="466" t="n">
        <v>0.001</v>
      </c>
      <c r="J23" s="467" t="n">
        <v>0.35</v>
      </c>
      <c r="K23" s="467" t="n">
        <v>2.72</v>
      </c>
      <c r="L23" s="468" t="n">
        <v>1.4E-005</v>
      </c>
      <c r="M23" s="469" t="s">
        <v>492</v>
      </c>
      <c r="N23" s="51"/>
      <c r="O23" s="449" t="n">
        <f aca="false">+ROUND($A23*I23,2)</f>
        <v>0</v>
      </c>
      <c r="P23" s="450" t="n">
        <f aca="false">+ROUND($A23*J23,2)</f>
        <v>0</v>
      </c>
      <c r="Q23" s="450" t="n">
        <f aca="false">+ROUND($A23*K23,2)</f>
        <v>0</v>
      </c>
      <c r="R23" s="449" t="n">
        <f aca="false">+ROUND($A23*L23,2)</f>
        <v>0</v>
      </c>
      <c r="S23" s="451"/>
      <c r="T23" s="452" t="n">
        <f aca="false">+ROUND($B23*I23,2)</f>
        <v>0</v>
      </c>
      <c r="U23" s="453" t="n">
        <f aca="false">+ROUND($B23*J23,2)</f>
        <v>0</v>
      </c>
      <c r="V23" s="453" t="n">
        <f aca="false">+ROUND($B23*K23,2)</f>
        <v>0</v>
      </c>
      <c r="W23" s="452" t="n">
        <f aca="false">+ROUND($B23*L23,2)</f>
        <v>0</v>
      </c>
      <c r="X23" s="455"/>
      <c r="Y23" s="3"/>
      <c r="Z23" s="3"/>
    </row>
    <row r="24" customFormat="false" ht="14.25" hidden="false" customHeight="false" outlineLevel="0" collapsed="false">
      <c r="A24" s="228"/>
      <c r="B24" s="440"/>
      <c r="C24" s="441" t="str">
        <f aca="false">IF(SUM(A24:B24)=0,"",SUM(A24:B24))</f>
        <v/>
      </c>
      <c r="D24" s="463" t="s">
        <v>506</v>
      </c>
      <c r="E24" s="463" t="s">
        <v>504</v>
      </c>
      <c r="F24" s="463" t="s">
        <v>502</v>
      </c>
      <c r="G24" s="464" t="n">
        <v>7</v>
      </c>
      <c r="H24" s="465" t="n">
        <v>747</v>
      </c>
      <c r="I24" s="466" t="n">
        <v>0.001</v>
      </c>
      <c r="J24" s="467" t="n">
        <v>0.35</v>
      </c>
      <c r="K24" s="467" t="n">
        <v>2.72</v>
      </c>
      <c r="L24" s="468" t="n">
        <v>1.4E-005</v>
      </c>
      <c r="M24" s="469" t="s">
        <v>492</v>
      </c>
      <c r="N24" s="51"/>
      <c r="O24" s="449" t="n">
        <f aca="false">+ROUND($A24*I24,2)</f>
        <v>0</v>
      </c>
      <c r="P24" s="450" t="n">
        <f aca="false">+ROUND($A24*J24,2)</f>
        <v>0</v>
      </c>
      <c r="Q24" s="450" t="n">
        <f aca="false">+ROUND($A24*K24,2)</f>
        <v>0</v>
      </c>
      <c r="R24" s="449" t="n">
        <f aca="false">+ROUND($A24*L24,2)</f>
        <v>0</v>
      </c>
      <c r="S24" s="451"/>
      <c r="T24" s="452" t="n">
        <f aca="false">+ROUND($B24*I24,2)</f>
        <v>0</v>
      </c>
      <c r="U24" s="453" t="n">
        <f aca="false">+ROUND($B24*J24,2)</f>
        <v>0</v>
      </c>
      <c r="V24" s="453" t="n">
        <f aca="false">+ROUND($B24*K24,2)</f>
        <v>0</v>
      </c>
      <c r="W24" s="452" t="n">
        <f aca="false">+ROUND($B24*L24,2)</f>
        <v>0</v>
      </c>
      <c r="X24" s="455"/>
      <c r="Y24" s="3"/>
      <c r="Z24" s="3"/>
    </row>
    <row r="25" customFormat="false" ht="14.25" hidden="false" customHeight="false" outlineLevel="0" collapsed="false">
      <c r="A25" s="228"/>
      <c r="B25" s="440"/>
      <c r="C25" s="441" t="str">
        <f aca="false">IF(SUM(A25:B25)=0,"",SUM(A25:B25))</f>
        <v/>
      </c>
      <c r="D25" s="463" t="s">
        <v>506</v>
      </c>
      <c r="E25" s="463" t="s">
        <v>505</v>
      </c>
      <c r="F25" s="463" t="s">
        <v>502</v>
      </c>
      <c r="G25" s="464" t="n">
        <v>7</v>
      </c>
      <c r="H25" s="465" t="n">
        <v>747</v>
      </c>
      <c r="I25" s="466" t="n">
        <v>0.001</v>
      </c>
      <c r="J25" s="467" t="n">
        <v>0.35</v>
      </c>
      <c r="K25" s="467" t="n">
        <v>2.72</v>
      </c>
      <c r="L25" s="468" t="n">
        <v>1.4E-005</v>
      </c>
      <c r="M25" s="469" t="s">
        <v>492</v>
      </c>
      <c r="N25" s="51"/>
      <c r="O25" s="449" t="n">
        <f aca="false">+ROUND($A25*I25,2)</f>
        <v>0</v>
      </c>
      <c r="P25" s="450" t="n">
        <f aca="false">+ROUND($A25*J25,2)</f>
        <v>0</v>
      </c>
      <c r="Q25" s="450" t="n">
        <f aca="false">+ROUND($A25*K25,2)</f>
        <v>0</v>
      </c>
      <c r="R25" s="449" t="n">
        <f aca="false">+ROUND($A25*L25,2)</f>
        <v>0</v>
      </c>
      <c r="S25" s="451"/>
      <c r="T25" s="452" t="n">
        <f aca="false">+ROUND($B25*I25,2)</f>
        <v>0</v>
      </c>
      <c r="U25" s="453" t="n">
        <f aca="false">+ROUND($B25*J25,2)</f>
        <v>0</v>
      </c>
      <c r="V25" s="453" t="n">
        <f aca="false">+ROUND($B25*K25,2)</f>
        <v>0</v>
      </c>
      <c r="W25" s="452" t="n">
        <f aca="false">+ROUND($B25*L25,2)</f>
        <v>0</v>
      </c>
      <c r="X25" s="455"/>
      <c r="Y25" s="3"/>
      <c r="Z25" s="3"/>
    </row>
    <row r="26" customFormat="false" ht="14.25" hidden="false" customHeight="false" outlineLevel="0" collapsed="false">
      <c r="A26" s="228"/>
      <c r="B26" s="440"/>
      <c r="C26" s="441" t="str">
        <f aca="false">IF(SUM(A26:B26)=0,"",SUM(A26:B26))</f>
        <v/>
      </c>
      <c r="D26" s="470" t="s">
        <v>507</v>
      </c>
      <c r="E26" s="471" t="s">
        <v>508</v>
      </c>
      <c r="F26" s="472" t="s">
        <v>502</v>
      </c>
      <c r="G26" s="473" t="n">
        <v>7</v>
      </c>
      <c r="H26" s="472" t="n">
        <v>741</v>
      </c>
      <c r="I26" s="474" t="n">
        <v>0.004</v>
      </c>
      <c r="J26" s="475" t="n">
        <v>1.44</v>
      </c>
      <c r="K26" s="475" t="n">
        <v>22.4</v>
      </c>
      <c r="L26" s="476" t="n">
        <v>5.9E-005</v>
      </c>
      <c r="M26" s="477" t="s">
        <v>492</v>
      </c>
      <c r="N26" s="51"/>
      <c r="O26" s="449" t="n">
        <f aca="false">+ROUND($A26*I26,2)</f>
        <v>0</v>
      </c>
      <c r="P26" s="450" t="n">
        <f aca="false">+ROUND($A26*J26,2)</f>
        <v>0</v>
      </c>
      <c r="Q26" s="450" t="n">
        <f aca="false">+ROUND($A26*K26,2)</f>
        <v>0</v>
      </c>
      <c r="R26" s="449" t="n">
        <f aca="false">+ROUND($A26*L26,2)</f>
        <v>0</v>
      </c>
      <c r="S26" s="451"/>
      <c r="T26" s="452" t="n">
        <f aca="false">+ROUND($B26*I26,2)</f>
        <v>0</v>
      </c>
      <c r="U26" s="453" t="n">
        <f aca="false">+ROUND($B26*J26,2)</f>
        <v>0</v>
      </c>
      <c r="V26" s="453" t="n">
        <f aca="false">+ROUND($B26*K26,2)</f>
        <v>0</v>
      </c>
      <c r="W26" s="452" t="n">
        <f aca="false">+ROUND($B26*L26,2)</f>
        <v>0</v>
      </c>
      <c r="X26" s="455"/>
      <c r="Y26" s="3"/>
      <c r="Z26" s="3"/>
    </row>
    <row r="27" customFormat="false" ht="14.25" hidden="false" customHeight="false" outlineLevel="0" collapsed="false">
      <c r="A27" s="228"/>
      <c r="B27" s="440"/>
      <c r="C27" s="441" t="str">
        <f aca="false">IF(SUM(A27:B27)=0,"",SUM(A27:B27))</f>
        <v/>
      </c>
      <c r="D27" s="470" t="s">
        <v>507</v>
      </c>
      <c r="E27" s="471" t="s">
        <v>509</v>
      </c>
      <c r="F27" s="478"/>
      <c r="G27" s="473" t="n">
        <v>7</v>
      </c>
      <c r="H27" s="472" t="n">
        <v>741</v>
      </c>
      <c r="I27" s="474" t="n">
        <v>0.004</v>
      </c>
      <c r="J27" s="475" t="n">
        <v>1.44</v>
      </c>
      <c r="K27" s="475" t="n">
        <v>22.4</v>
      </c>
      <c r="L27" s="476" t="n">
        <v>5.9E-005</v>
      </c>
      <c r="M27" s="477" t="s">
        <v>492</v>
      </c>
      <c r="N27" s="51"/>
      <c r="O27" s="449" t="n">
        <f aca="false">+ROUND($A27*I27,2)</f>
        <v>0</v>
      </c>
      <c r="P27" s="450" t="n">
        <f aca="false">+ROUND($A27*J27,2)</f>
        <v>0</v>
      </c>
      <c r="Q27" s="450" t="n">
        <f aca="false">+ROUND($A27*K27,2)</f>
        <v>0</v>
      </c>
      <c r="R27" s="449" t="n">
        <f aca="false">+ROUND($A27*L27,2)</f>
        <v>0</v>
      </c>
      <c r="S27" s="451"/>
      <c r="T27" s="452" t="n">
        <f aca="false">+ROUND($B27*I27,2)</f>
        <v>0</v>
      </c>
      <c r="U27" s="453" t="n">
        <f aca="false">+ROUND($B27*J27,2)</f>
        <v>0</v>
      </c>
      <c r="V27" s="453" t="n">
        <f aca="false">+ROUND($B27*K27,2)</f>
        <v>0</v>
      </c>
      <c r="W27" s="452" t="n">
        <f aca="false">+ROUND($B27*L27,2)</f>
        <v>0</v>
      </c>
      <c r="X27" s="455"/>
      <c r="Y27" s="3"/>
      <c r="Z27" s="3"/>
    </row>
    <row r="28" customFormat="false" ht="14.25" hidden="false" customHeight="false" outlineLevel="0" collapsed="false">
      <c r="A28" s="228"/>
      <c r="B28" s="440"/>
      <c r="C28" s="441" t="str">
        <f aca="false">IF(SUM(A28:B28)=0,"",SUM(A28:B28))</f>
        <v/>
      </c>
      <c r="D28" s="479" t="s">
        <v>510</v>
      </c>
      <c r="E28" s="480" t="s">
        <v>508</v>
      </c>
      <c r="F28" s="479" t="s">
        <v>502</v>
      </c>
      <c r="G28" s="481" t="n">
        <v>7</v>
      </c>
      <c r="H28" s="482" t="n">
        <v>744</v>
      </c>
      <c r="I28" s="483" t="n">
        <v>0.004</v>
      </c>
      <c r="J28" s="484" t="n">
        <v>0.32</v>
      </c>
      <c r="K28" s="484" t="n">
        <v>4.53</v>
      </c>
      <c r="L28" s="485" t="n">
        <v>1.3E-005</v>
      </c>
      <c r="M28" s="486" t="s">
        <v>492</v>
      </c>
      <c r="N28" s="51"/>
      <c r="O28" s="449" t="n">
        <f aca="false">+ROUND($A28*I28,2)</f>
        <v>0</v>
      </c>
      <c r="P28" s="450" t="n">
        <f aca="false">+ROUND($A28*J28,2)</f>
        <v>0</v>
      </c>
      <c r="Q28" s="450" t="n">
        <f aca="false">+ROUND($A28*K28,2)</f>
        <v>0</v>
      </c>
      <c r="R28" s="449" t="n">
        <f aca="false">+ROUND($A28*L28,2)</f>
        <v>0</v>
      </c>
      <c r="S28" s="451"/>
      <c r="T28" s="452" t="n">
        <f aca="false">+ROUND($B28*I28,2)</f>
        <v>0</v>
      </c>
      <c r="U28" s="453" t="n">
        <f aca="false">+ROUND($B28*J28,2)</f>
        <v>0</v>
      </c>
      <c r="V28" s="453" t="n">
        <f aca="false">+ROUND($B28*K28,2)</f>
        <v>0</v>
      </c>
      <c r="W28" s="452" t="n">
        <f aca="false">+ROUND($B28*L28,2)</f>
        <v>0</v>
      </c>
      <c r="X28" s="455"/>
      <c r="Y28" s="3"/>
      <c r="Z28" s="3"/>
    </row>
    <row r="29" customFormat="false" ht="14.25" hidden="false" customHeight="false" outlineLevel="0" collapsed="false">
      <c r="A29" s="228"/>
      <c r="B29" s="440"/>
      <c r="C29" s="441" t="str">
        <f aca="false">IF(SUM(A29:B29)=0,"",SUM(A29:B29))</f>
        <v/>
      </c>
      <c r="D29" s="479" t="s">
        <v>510</v>
      </c>
      <c r="E29" s="480" t="s">
        <v>509</v>
      </c>
      <c r="F29" s="479" t="s">
        <v>502</v>
      </c>
      <c r="G29" s="481" t="n">
        <v>7</v>
      </c>
      <c r="H29" s="482" t="n">
        <v>744</v>
      </c>
      <c r="I29" s="483" t="n">
        <v>0.004</v>
      </c>
      <c r="J29" s="484" t="n">
        <v>0.32</v>
      </c>
      <c r="K29" s="484" t="n">
        <v>4.53</v>
      </c>
      <c r="L29" s="485" t="n">
        <v>1.3E-005</v>
      </c>
      <c r="M29" s="486" t="s">
        <v>492</v>
      </c>
      <c r="N29" s="51"/>
      <c r="O29" s="449" t="n">
        <f aca="false">+ROUND($A29*I29,2)</f>
        <v>0</v>
      </c>
      <c r="P29" s="450" t="n">
        <f aca="false">+ROUND($A29*J29,2)</f>
        <v>0</v>
      </c>
      <c r="Q29" s="450" t="n">
        <f aca="false">+ROUND($A29*K29,2)</f>
        <v>0</v>
      </c>
      <c r="R29" s="449" t="n">
        <f aca="false">+ROUND($A29*L29,2)</f>
        <v>0</v>
      </c>
      <c r="S29" s="451"/>
      <c r="T29" s="452" t="n">
        <f aca="false">+ROUND($B29*I29,2)</f>
        <v>0</v>
      </c>
      <c r="U29" s="453" t="n">
        <f aca="false">+ROUND($B29*J29,2)</f>
        <v>0</v>
      </c>
      <c r="V29" s="453" t="n">
        <f aca="false">+ROUND($B29*K29,2)</f>
        <v>0</v>
      </c>
      <c r="W29" s="452" t="n">
        <f aca="false">+ROUND($B29*L29,2)</f>
        <v>0</v>
      </c>
      <c r="X29" s="455"/>
      <c r="Y29" s="3"/>
      <c r="Z29" s="3"/>
    </row>
    <row r="30" customFormat="false" ht="14.25" hidden="false" customHeight="false" outlineLevel="0" collapsed="false">
      <c r="A30" s="228"/>
      <c r="B30" s="440"/>
      <c r="C30" s="441" t="str">
        <f aca="false">IF(SUM(A30:B30)=0,"",SUM(A30:B30))</f>
        <v/>
      </c>
      <c r="D30" s="442" t="s">
        <v>511</v>
      </c>
      <c r="E30" s="487" t="s">
        <v>512</v>
      </c>
      <c r="F30" s="443" t="s">
        <v>502</v>
      </c>
      <c r="G30" s="134" t="n">
        <v>7</v>
      </c>
      <c r="H30" s="444" t="n">
        <v>743</v>
      </c>
      <c r="I30" s="445" t="n">
        <v>0.004</v>
      </c>
      <c r="J30" s="446" t="n">
        <v>3.75</v>
      </c>
      <c r="K30" s="446" t="n">
        <v>29.7</v>
      </c>
      <c r="L30" s="447" t="n">
        <v>0.000153</v>
      </c>
      <c r="M30" s="448" t="s">
        <v>492</v>
      </c>
      <c r="N30" s="51"/>
      <c r="O30" s="449" t="n">
        <f aca="false">+ROUND($A30*I30,2)</f>
        <v>0</v>
      </c>
      <c r="P30" s="450" t="n">
        <f aca="false">+ROUND($A30*J30,2)</f>
        <v>0</v>
      </c>
      <c r="Q30" s="450" t="n">
        <f aca="false">+ROUND($A30*K30,2)</f>
        <v>0</v>
      </c>
      <c r="R30" s="449" t="n">
        <f aca="false">+ROUND($A30*L30,2)</f>
        <v>0</v>
      </c>
      <c r="S30" s="451"/>
      <c r="T30" s="452" t="n">
        <f aca="false">+ROUND($B30*I30,2)</f>
        <v>0</v>
      </c>
      <c r="U30" s="453" t="n">
        <f aca="false">+ROUND($B30*J30,2)</f>
        <v>0</v>
      </c>
      <c r="V30" s="453" t="n">
        <f aca="false">+ROUND($B30*K30,2)</f>
        <v>0</v>
      </c>
      <c r="W30" s="452" t="n">
        <f aca="false">+ROUND($B30*L30,2)</f>
        <v>0</v>
      </c>
      <c r="X30" s="455"/>
      <c r="Y30" s="3"/>
      <c r="Z30" s="3"/>
    </row>
    <row r="31" customFormat="false" ht="14.25" hidden="false" customHeight="false" outlineLevel="0" collapsed="false">
      <c r="A31" s="228"/>
      <c r="B31" s="440"/>
      <c r="C31" s="441" t="str">
        <f aca="false">IF(SUM(A31:B31)=0,"",SUM(A31:B31))</f>
        <v/>
      </c>
      <c r="D31" s="442" t="s">
        <v>513</v>
      </c>
      <c r="E31" s="487" t="s">
        <v>512</v>
      </c>
      <c r="F31" s="443" t="s">
        <v>502</v>
      </c>
      <c r="G31" s="134" t="n">
        <v>7</v>
      </c>
      <c r="H31" s="444" t="n">
        <v>746</v>
      </c>
      <c r="I31" s="445" t="n">
        <v>0.004</v>
      </c>
      <c r="J31" s="446" t="n">
        <v>0.83</v>
      </c>
      <c r="K31" s="446" t="n">
        <v>6</v>
      </c>
      <c r="L31" s="447" t="n">
        <v>3.4E-005</v>
      </c>
      <c r="M31" s="448" t="s">
        <v>492</v>
      </c>
      <c r="N31" s="51"/>
      <c r="O31" s="449" t="n">
        <f aca="false">+ROUND($A31*I31,2)</f>
        <v>0</v>
      </c>
      <c r="P31" s="450" t="n">
        <f aca="false">+ROUND($A31*J31,2)</f>
        <v>0</v>
      </c>
      <c r="Q31" s="450" t="n">
        <f aca="false">+ROUND($A31*K31,2)</f>
        <v>0</v>
      </c>
      <c r="R31" s="449" t="n">
        <f aca="false">+ROUND($A31*L31,2)</f>
        <v>0</v>
      </c>
      <c r="S31" s="451"/>
      <c r="T31" s="452" t="n">
        <f aca="false">+ROUND($B31*I31,2)</f>
        <v>0</v>
      </c>
      <c r="U31" s="453" t="n">
        <f aca="false">+ROUND($B31*J31,2)</f>
        <v>0</v>
      </c>
      <c r="V31" s="453" t="n">
        <f aca="false">+ROUND($B31*K31,2)</f>
        <v>0</v>
      </c>
      <c r="W31" s="452" t="n">
        <f aca="false">+ROUND($B31*L31,2)</f>
        <v>0</v>
      </c>
      <c r="X31" s="455"/>
      <c r="Y31" s="3"/>
      <c r="Z31" s="3"/>
    </row>
    <row r="32" customFormat="false" ht="14.25" hidden="false" customHeight="false" outlineLevel="0" collapsed="false">
      <c r="A32" s="228"/>
      <c r="B32" s="440"/>
      <c r="C32" s="441" t="str">
        <f aca="false">IF(SUM(A32:B32)=0,"",SUM(A32:B32))</f>
        <v/>
      </c>
      <c r="D32" s="442" t="s">
        <v>514</v>
      </c>
      <c r="E32" s="487" t="s">
        <v>515</v>
      </c>
      <c r="F32" s="443" t="s">
        <v>502</v>
      </c>
      <c r="G32" s="134" t="n">
        <v>7</v>
      </c>
      <c r="H32" s="444" t="n">
        <v>742</v>
      </c>
      <c r="I32" s="445" t="n">
        <v>0.004</v>
      </c>
      <c r="J32" s="446" t="n">
        <v>7.85</v>
      </c>
      <c r="K32" s="446" t="n">
        <v>45</v>
      </c>
      <c r="L32" s="447" t="n">
        <v>0.00032</v>
      </c>
      <c r="M32" s="448" t="s">
        <v>492</v>
      </c>
      <c r="N32" s="51"/>
      <c r="O32" s="449" t="n">
        <f aca="false">+ROUND($A32*I32,2)</f>
        <v>0</v>
      </c>
      <c r="P32" s="450" t="n">
        <f aca="false">+ROUND($A32*J32,2)</f>
        <v>0</v>
      </c>
      <c r="Q32" s="450" t="n">
        <f aca="false">+ROUND($A32*K32,2)</f>
        <v>0</v>
      </c>
      <c r="R32" s="449" t="n">
        <f aca="false">+ROUND($A32*L32,2)</f>
        <v>0</v>
      </c>
      <c r="S32" s="451"/>
      <c r="T32" s="452" t="n">
        <f aca="false">+ROUND($B32*I32,2)</f>
        <v>0</v>
      </c>
      <c r="U32" s="453" t="n">
        <f aca="false">+ROUND($B32*J32,2)</f>
        <v>0</v>
      </c>
      <c r="V32" s="453" t="n">
        <f aca="false">+ROUND($B32*K32,2)</f>
        <v>0</v>
      </c>
      <c r="W32" s="452" t="n">
        <f aca="false">+ROUND($B32*L32,2)</f>
        <v>0</v>
      </c>
      <c r="X32" s="455"/>
      <c r="Y32" s="3"/>
      <c r="Z32" s="3"/>
    </row>
    <row r="33" customFormat="false" ht="14.25" hidden="false" customHeight="false" outlineLevel="0" collapsed="false">
      <c r="A33" s="228"/>
      <c r="B33" s="440"/>
      <c r="C33" s="441" t="str">
        <f aca="false">IF(SUM(A33:B33)=0,"",SUM(A33:B33))</f>
        <v/>
      </c>
      <c r="D33" s="442" t="s">
        <v>516</v>
      </c>
      <c r="E33" s="487" t="s">
        <v>515</v>
      </c>
      <c r="F33" s="443" t="s">
        <v>502</v>
      </c>
      <c r="G33" s="134" t="n">
        <v>7</v>
      </c>
      <c r="H33" s="444" t="n">
        <v>745</v>
      </c>
      <c r="I33" s="445" t="n">
        <v>0.004</v>
      </c>
      <c r="J33" s="446" t="n">
        <v>2.25</v>
      </c>
      <c r="K33" s="446" t="n">
        <v>16.75</v>
      </c>
      <c r="L33" s="447" t="n">
        <v>9.2E-005</v>
      </c>
      <c r="M33" s="448" t="s">
        <v>492</v>
      </c>
      <c r="N33" s="51"/>
      <c r="O33" s="449" t="n">
        <f aca="false">+ROUND($A33*I33,2)</f>
        <v>0</v>
      </c>
      <c r="P33" s="450" t="n">
        <f aca="false">+ROUND($A33*J33,2)</f>
        <v>0</v>
      </c>
      <c r="Q33" s="450" t="n">
        <f aca="false">+ROUND($A33*K33,2)</f>
        <v>0</v>
      </c>
      <c r="R33" s="449" t="n">
        <f aca="false">+ROUND($A33*L33,2)</f>
        <v>0</v>
      </c>
      <c r="S33" s="451"/>
      <c r="T33" s="452" t="n">
        <f aca="false">+ROUND($B33*I33,2)</f>
        <v>0</v>
      </c>
      <c r="U33" s="453" t="n">
        <f aca="false">+ROUND($B33*J33,2)</f>
        <v>0</v>
      </c>
      <c r="V33" s="453" t="n">
        <f aca="false">+ROUND($B33*K33,2)</f>
        <v>0</v>
      </c>
      <c r="W33" s="452" t="n">
        <f aca="false">+ROUND($B33*L33,2)</f>
        <v>0</v>
      </c>
      <c r="X33" s="455"/>
      <c r="Y33" s="3"/>
      <c r="Z33" s="3"/>
    </row>
    <row r="34" customFormat="false" ht="14.25" hidden="false" customHeight="false" outlineLevel="0" collapsed="false">
      <c r="A34" s="228"/>
      <c r="B34" s="440"/>
      <c r="C34" s="441" t="str">
        <f aca="false">IF(SUM(A34:B34)=0,"",SUM(A34:B34))</f>
        <v/>
      </c>
      <c r="D34" s="488" t="s">
        <v>517</v>
      </c>
      <c r="E34" s="489" t="s">
        <v>518</v>
      </c>
      <c r="F34" s="489" t="s">
        <v>502</v>
      </c>
      <c r="G34" s="490" t="n">
        <v>7</v>
      </c>
      <c r="H34" s="491" t="n">
        <v>738</v>
      </c>
      <c r="I34" s="492" t="n">
        <v>0.005</v>
      </c>
      <c r="J34" s="493" t="n">
        <v>0.32</v>
      </c>
      <c r="K34" s="493" t="n">
        <v>4.53</v>
      </c>
      <c r="L34" s="494" t="n">
        <v>1.3E-005</v>
      </c>
      <c r="M34" s="495" t="s">
        <v>492</v>
      </c>
      <c r="N34" s="51"/>
      <c r="O34" s="449" t="n">
        <f aca="false">+ROUND($A34*I34,2)</f>
        <v>0</v>
      </c>
      <c r="P34" s="450" t="n">
        <f aca="false">+ROUND($A34*J34,2)</f>
        <v>0</v>
      </c>
      <c r="Q34" s="450" t="n">
        <f aca="false">+ROUND($A34*K34,2)</f>
        <v>0</v>
      </c>
      <c r="R34" s="449" t="n">
        <f aca="false">+ROUND($A34*L34,2)</f>
        <v>0</v>
      </c>
      <c r="S34" s="451"/>
      <c r="T34" s="452" t="n">
        <f aca="false">+ROUND($B34*I34,2)</f>
        <v>0</v>
      </c>
      <c r="U34" s="453" t="n">
        <f aca="false">+ROUND($B34*J34,2)</f>
        <v>0</v>
      </c>
      <c r="V34" s="453" t="n">
        <f aca="false">+ROUND($B34*K34,2)</f>
        <v>0</v>
      </c>
      <c r="W34" s="452" t="n">
        <f aca="false">+ROUND($B34*L34,2)</f>
        <v>0</v>
      </c>
      <c r="X34" s="455"/>
      <c r="Y34" s="3"/>
      <c r="Z34" s="3"/>
    </row>
    <row r="35" customFormat="false" ht="14.25" hidden="false" customHeight="false" outlineLevel="0" collapsed="false">
      <c r="A35" s="228"/>
      <c r="B35" s="440"/>
      <c r="C35" s="441" t="str">
        <f aca="false">IF(SUM(A35:B35)=0,"",SUM(A35:B35))</f>
        <v/>
      </c>
      <c r="D35" s="488" t="s">
        <v>517</v>
      </c>
      <c r="E35" s="489" t="s">
        <v>519</v>
      </c>
      <c r="F35" s="489" t="s">
        <v>502</v>
      </c>
      <c r="G35" s="490" t="n">
        <v>7</v>
      </c>
      <c r="H35" s="491" t="n">
        <v>738</v>
      </c>
      <c r="I35" s="492" t="n">
        <v>0.005</v>
      </c>
      <c r="J35" s="493" t="n">
        <v>0.32</v>
      </c>
      <c r="K35" s="493" t="n">
        <v>4.53</v>
      </c>
      <c r="L35" s="494" t="n">
        <v>1.3E-005</v>
      </c>
      <c r="M35" s="495" t="s">
        <v>492</v>
      </c>
      <c r="N35" s="51"/>
      <c r="O35" s="449" t="n">
        <f aca="false">+ROUND($A35*I35,2)</f>
        <v>0</v>
      </c>
      <c r="P35" s="450" t="n">
        <f aca="false">+ROUND($A35*J35,2)</f>
        <v>0</v>
      </c>
      <c r="Q35" s="450" t="n">
        <f aca="false">+ROUND($A35*K35,2)</f>
        <v>0</v>
      </c>
      <c r="R35" s="449" t="n">
        <f aca="false">+ROUND($A35*L35,2)</f>
        <v>0</v>
      </c>
      <c r="S35" s="451"/>
      <c r="T35" s="452" t="n">
        <f aca="false">+ROUND($B35*I35,2)</f>
        <v>0</v>
      </c>
      <c r="U35" s="453" t="n">
        <f aca="false">+ROUND($B35*J35,2)</f>
        <v>0</v>
      </c>
      <c r="V35" s="453" t="n">
        <f aca="false">+ROUND($B35*K35,2)</f>
        <v>0</v>
      </c>
      <c r="W35" s="452" t="n">
        <f aca="false">+ROUND($B35*L35,2)</f>
        <v>0</v>
      </c>
      <c r="X35" s="455"/>
      <c r="Y35" s="3"/>
      <c r="Z35" s="3"/>
    </row>
    <row r="36" customFormat="false" ht="14.25" hidden="false" customHeight="false" outlineLevel="0" collapsed="false">
      <c r="A36" s="228"/>
      <c r="B36" s="440"/>
      <c r="C36" s="441" t="str">
        <f aca="false">IF(SUM(A36:B36)=0,"",SUM(A36:B36))</f>
        <v/>
      </c>
      <c r="D36" s="496" t="s">
        <v>520</v>
      </c>
      <c r="E36" s="497" t="s">
        <v>521</v>
      </c>
      <c r="F36" s="497" t="s">
        <v>502</v>
      </c>
      <c r="G36" s="498" t="n">
        <v>7</v>
      </c>
      <c r="H36" s="499" t="n">
        <v>739</v>
      </c>
      <c r="I36" s="500" t="n">
        <v>0.005</v>
      </c>
      <c r="J36" s="501" t="n">
        <v>0.32</v>
      </c>
      <c r="K36" s="501" t="n">
        <v>4.53</v>
      </c>
      <c r="L36" s="502" t="n">
        <v>1.3E-005</v>
      </c>
      <c r="M36" s="503" t="s">
        <v>492</v>
      </c>
      <c r="N36" s="51"/>
      <c r="O36" s="504" t="n">
        <f aca="false">+ROUND($A36*I36,2)</f>
        <v>0</v>
      </c>
      <c r="P36" s="505" t="n">
        <f aca="false">+ROUND($A36*J36,2)</f>
        <v>0</v>
      </c>
      <c r="Q36" s="505" t="n">
        <f aca="false">+ROUND($A36*K36,2)</f>
        <v>0</v>
      </c>
      <c r="R36" s="504" t="n">
        <f aca="false">+ROUND($A36*L36,2)</f>
        <v>0</v>
      </c>
      <c r="S36" s="451"/>
      <c r="T36" s="506" t="n">
        <f aca="false">+ROUND($B36*I36,2)</f>
        <v>0</v>
      </c>
      <c r="U36" s="507" t="n">
        <f aca="false">+ROUND($B36*J36,2)</f>
        <v>0</v>
      </c>
      <c r="V36" s="507" t="n">
        <f aca="false">+ROUND($B36*K36,2)</f>
        <v>0</v>
      </c>
      <c r="W36" s="506" t="n">
        <f aca="false">+ROUND($B36*L36,2)</f>
        <v>0</v>
      </c>
      <c r="X36" s="455"/>
      <c r="Y36" s="3"/>
      <c r="Z36" s="3"/>
    </row>
    <row r="37" customFormat="false" ht="14.25" hidden="false" customHeight="false" outlineLevel="0" collapsed="false">
      <c r="A37" s="228"/>
      <c r="B37" s="440"/>
      <c r="C37" s="441"/>
      <c r="D37" s="496" t="s">
        <v>520</v>
      </c>
      <c r="E37" s="497" t="s">
        <v>522</v>
      </c>
      <c r="F37" s="497" t="s">
        <v>502</v>
      </c>
      <c r="G37" s="498" t="n">
        <v>7</v>
      </c>
      <c r="H37" s="499" t="n">
        <v>739</v>
      </c>
      <c r="I37" s="500" t="n">
        <v>0.005</v>
      </c>
      <c r="J37" s="501" t="n">
        <v>0.32</v>
      </c>
      <c r="K37" s="501" t="n">
        <v>4.53</v>
      </c>
      <c r="L37" s="502" t="n">
        <v>1.3E-005</v>
      </c>
      <c r="M37" s="503" t="s">
        <v>492</v>
      </c>
      <c r="N37" s="508"/>
      <c r="O37" s="509" t="n">
        <f aca="false">+ROUND($A37*I37,2)</f>
        <v>0</v>
      </c>
      <c r="P37" s="510" t="n">
        <f aca="false">+ROUND($A37*J37,2)</f>
        <v>0</v>
      </c>
      <c r="Q37" s="510" t="n">
        <f aca="false">+ROUND($A37*K37,2)</f>
        <v>0</v>
      </c>
      <c r="R37" s="509" t="n">
        <f aca="false">+ROUND($A37*L37,2)</f>
        <v>0</v>
      </c>
      <c r="S37" s="511"/>
      <c r="T37" s="512" t="n">
        <f aca="false">+ROUND($B37*I37,2)</f>
        <v>0</v>
      </c>
      <c r="U37" s="513" t="n">
        <f aca="false">+ROUND($B37*J37,2)</f>
        <v>0</v>
      </c>
      <c r="V37" s="513" t="n">
        <f aca="false">+ROUND($B37*K37,2)</f>
        <v>0</v>
      </c>
      <c r="W37" s="512" t="n">
        <f aca="false">+ROUND($B37*L37,2)</f>
        <v>0</v>
      </c>
      <c r="X37" s="455"/>
      <c r="Y37" s="3"/>
      <c r="Z37" s="3"/>
    </row>
    <row r="38" customFormat="false" ht="14.25" hidden="false" customHeight="false" outlineLevel="0" collapsed="false">
      <c r="A38" s="228"/>
      <c r="B38" s="440"/>
      <c r="C38" s="441" t="str">
        <f aca="false">IF(SUM(A38:B38)=0,"",SUM(A38:B38))</f>
        <v/>
      </c>
      <c r="D38" s="442" t="s">
        <v>523</v>
      </c>
      <c r="E38" s="443" t="s">
        <v>524</v>
      </c>
      <c r="F38" s="443" t="s">
        <v>502</v>
      </c>
      <c r="G38" s="134" t="n">
        <v>7</v>
      </c>
      <c r="H38" s="444" t="n">
        <v>541</v>
      </c>
      <c r="I38" s="445" t="n">
        <v>0.003</v>
      </c>
      <c r="J38" s="446" t="n">
        <v>1.44</v>
      </c>
      <c r="K38" s="446" t="n">
        <v>11.19</v>
      </c>
      <c r="L38" s="447" t="n">
        <v>5.9E-005</v>
      </c>
      <c r="M38" s="448" t="s">
        <v>492</v>
      </c>
      <c r="N38" s="51"/>
      <c r="O38" s="514" t="n">
        <f aca="false">+ROUND($A38*I38,2)</f>
        <v>0</v>
      </c>
      <c r="P38" s="515" t="n">
        <f aca="false">+ROUND($A38*J38,2)</f>
        <v>0</v>
      </c>
      <c r="Q38" s="515" t="n">
        <f aca="false">+ROUND($A38*K38,2)</f>
        <v>0</v>
      </c>
      <c r="R38" s="514" t="n">
        <f aca="false">+ROUND($A38*L38,2)</f>
        <v>0</v>
      </c>
      <c r="S38" s="451"/>
      <c r="T38" s="516" t="n">
        <f aca="false">+ROUND($B38*I38,2)</f>
        <v>0</v>
      </c>
      <c r="U38" s="517" t="n">
        <f aca="false">+ROUND($B38*J38,2)</f>
        <v>0</v>
      </c>
      <c r="V38" s="517" t="n">
        <f aca="false">+ROUND($B38*K38,2)</f>
        <v>0</v>
      </c>
      <c r="W38" s="516" t="n">
        <f aca="false">+ROUND($B38*L38,2)</f>
        <v>0</v>
      </c>
      <c r="X38" s="455"/>
      <c r="Y38" s="3"/>
      <c r="Z38" s="3"/>
    </row>
    <row r="39" customFormat="false" ht="14.25" hidden="false" customHeight="false" outlineLevel="0" collapsed="false">
      <c r="A39" s="228"/>
      <c r="B39" s="440"/>
      <c r="C39" s="441" t="str">
        <f aca="false">IF(SUM(A39:B39)=0,"",SUM(A39:B39))</f>
        <v/>
      </c>
      <c r="D39" s="442" t="s">
        <v>525</v>
      </c>
      <c r="E39" s="443" t="s">
        <v>524</v>
      </c>
      <c r="F39" s="443" t="s">
        <v>502</v>
      </c>
      <c r="G39" s="134" t="n">
        <v>7</v>
      </c>
      <c r="H39" s="444" t="n">
        <v>542</v>
      </c>
      <c r="I39" s="445" t="n">
        <v>0.003</v>
      </c>
      <c r="J39" s="446" t="n">
        <v>0.3</v>
      </c>
      <c r="K39" s="446" t="n">
        <v>2.56</v>
      </c>
      <c r="L39" s="447" t="n">
        <v>1.2E-005</v>
      </c>
      <c r="M39" s="448" t="s">
        <v>492</v>
      </c>
      <c r="N39" s="51"/>
      <c r="O39" s="514" t="n">
        <f aca="false">+ROUND($A39*I39,2)</f>
        <v>0</v>
      </c>
      <c r="P39" s="515" t="n">
        <f aca="false">+ROUND($A39*J39,2)</f>
        <v>0</v>
      </c>
      <c r="Q39" s="515" t="n">
        <f aca="false">+ROUND($A39*K39,2)</f>
        <v>0</v>
      </c>
      <c r="R39" s="514" t="n">
        <f aca="false">+ROUND($A39*L39,2)</f>
        <v>0</v>
      </c>
      <c r="S39" s="451"/>
      <c r="T39" s="516" t="n">
        <f aca="false">+ROUND($B39*I39,2)</f>
        <v>0</v>
      </c>
      <c r="U39" s="517" t="n">
        <f aca="false">+ROUND($B39*J39,2)</f>
        <v>0</v>
      </c>
      <c r="V39" s="517" t="n">
        <f aca="false">+ROUND($B39*K39,2)</f>
        <v>0</v>
      </c>
      <c r="W39" s="516" t="n">
        <f aca="false">+ROUND($B39*L39,2)</f>
        <v>0</v>
      </c>
      <c r="X39" s="455"/>
      <c r="Y39" s="3"/>
      <c r="Z39" s="3"/>
    </row>
    <row r="40" customFormat="false" ht="14.25" hidden="false" customHeight="false" outlineLevel="0" collapsed="false">
      <c r="A40" s="228"/>
      <c r="B40" s="440"/>
      <c r="C40" s="441" t="str">
        <f aca="false">IF(SUM(A40:B40)=0,"",SUM(A40:B40))</f>
        <v/>
      </c>
      <c r="D40" s="442" t="s">
        <v>526</v>
      </c>
      <c r="E40" s="443" t="s">
        <v>482</v>
      </c>
      <c r="F40" s="443" t="s">
        <v>527</v>
      </c>
      <c r="G40" s="134" t="n">
        <v>7</v>
      </c>
      <c r="H40" s="444" t="n">
        <v>545</v>
      </c>
      <c r="I40" s="445" t="n">
        <v>0.005</v>
      </c>
      <c r="J40" s="446" t="n">
        <v>1.55</v>
      </c>
      <c r="K40" s="446" t="n">
        <v>39.18</v>
      </c>
      <c r="L40" s="447" t="n">
        <v>6.3E-005</v>
      </c>
      <c r="M40" s="448" t="s">
        <v>492</v>
      </c>
      <c r="N40" s="51"/>
      <c r="O40" s="514" t="n">
        <f aca="false">+ROUND($A40*I40,2)</f>
        <v>0</v>
      </c>
      <c r="P40" s="515" t="n">
        <f aca="false">+ROUND($A40*J40,2)</f>
        <v>0</v>
      </c>
      <c r="Q40" s="515" t="n">
        <f aca="false">+ROUND($A40*K40,2)</f>
        <v>0</v>
      </c>
      <c r="R40" s="514" t="n">
        <f aca="false">+ROUND($A40*L40,2)</f>
        <v>0</v>
      </c>
      <c r="S40" s="451"/>
      <c r="T40" s="516" t="n">
        <f aca="false">+ROUND($B40*I40,2)</f>
        <v>0</v>
      </c>
      <c r="U40" s="517" t="n">
        <f aca="false">+ROUND($B40*J40,2)</f>
        <v>0</v>
      </c>
      <c r="V40" s="517" t="n">
        <f aca="false">+ROUND($B40*K40,2)</f>
        <v>0</v>
      </c>
      <c r="W40" s="516" t="n">
        <f aca="false">+ROUND($B40*L40,2)</f>
        <v>0</v>
      </c>
      <c r="X40" s="455"/>
      <c r="Y40" s="3"/>
      <c r="Z40" s="3"/>
    </row>
    <row r="41" customFormat="false" ht="14.25" hidden="false" customHeight="false" outlineLevel="0" collapsed="false">
      <c r="A41" s="228"/>
      <c r="B41" s="440"/>
      <c r="C41" s="441" t="str">
        <f aca="false">IF(SUM(A41:B41)=0,"",SUM(A41:B41))</f>
        <v/>
      </c>
      <c r="D41" s="442" t="s">
        <v>528</v>
      </c>
      <c r="E41" s="443" t="s">
        <v>482</v>
      </c>
      <c r="F41" s="443" t="s">
        <v>527</v>
      </c>
      <c r="G41" s="134" t="n">
        <v>7</v>
      </c>
      <c r="H41" s="444" t="n">
        <v>546</v>
      </c>
      <c r="I41" s="445" t="n">
        <v>0.005</v>
      </c>
      <c r="J41" s="446" t="n">
        <v>0.78</v>
      </c>
      <c r="K41" s="446" t="n">
        <v>5.33</v>
      </c>
      <c r="L41" s="447" t="n">
        <v>3.2E-005</v>
      </c>
      <c r="M41" s="448" t="s">
        <v>492</v>
      </c>
      <c r="N41" s="51"/>
      <c r="O41" s="514" t="n">
        <f aca="false">+ROUND($A41*I41,2)</f>
        <v>0</v>
      </c>
      <c r="P41" s="515" t="n">
        <f aca="false">+ROUND($A41*J41,2)</f>
        <v>0</v>
      </c>
      <c r="Q41" s="515" t="n">
        <f aca="false">+ROUND($A41*K41,2)</f>
        <v>0</v>
      </c>
      <c r="R41" s="514" t="n">
        <f aca="false">+ROUND($A41*L41,2)</f>
        <v>0</v>
      </c>
      <c r="S41" s="451"/>
      <c r="T41" s="516" t="n">
        <f aca="false">+ROUND($B41*I41,2)</f>
        <v>0</v>
      </c>
      <c r="U41" s="517" t="n">
        <f aca="false">+ROUND($B41*J41,2)</f>
        <v>0</v>
      </c>
      <c r="V41" s="517" t="n">
        <f aca="false">+ROUND($B41*K41,2)</f>
        <v>0</v>
      </c>
      <c r="W41" s="516" t="n">
        <f aca="false">+ROUND($B41*L41,2)</f>
        <v>0</v>
      </c>
      <c r="X41" s="455"/>
      <c r="Y41" s="3"/>
      <c r="Z41" s="3"/>
    </row>
    <row r="42" customFormat="false" ht="14.25" hidden="false" customHeight="false" outlineLevel="0" collapsed="false">
      <c r="A42" s="228"/>
      <c r="B42" s="440"/>
      <c r="C42" s="441" t="str">
        <f aca="false">IF(SUM(A42:B42)=0,"",SUM(A42:B42))</f>
        <v/>
      </c>
      <c r="D42" s="442" t="s">
        <v>529</v>
      </c>
      <c r="E42" s="518"/>
      <c r="F42" s="519" t="s">
        <v>530</v>
      </c>
      <c r="G42" s="519" t="n">
        <v>7</v>
      </c>
      <c r="H42" s="444" t="n">
        <v>543</v>
      </c>
      <c r="I42" s="445" t="n">
        <v>0.005</v>
      </c>
      <c r="J42" s="446" t="n">
        <v>0.48</v>
      </c>
      <c r="K42" s="446" t="n">
        <v>20</v>
      </c>
      <c r="L42" s="447" t="n">
        <v>2E-005</v>
      </c>
      <c r="M42" s="448" t="s">
        <v>492</v>
      </c>
      <c r="N42" s="520"/>
      <c r="O42" s="521" t="n">
        <f aca="false">+ROUND($A42*I42,2)</f>
        <v>0</v>
      </c>
      <c r="P42" s="522" t="n">
        <f aca="false">+ROUND($A42*J42,2)</f>
        <v>0</v>
      </c>
      <c r="Q42" s="522" t="n">
        <f aca="false">+ROUND($A42*K42,2)</f>
        <v>0</v>
      </c>
      <c r="R42" s="521" t="n">
        <f aca="false">+ROUND($A42*L42,2)</f>
        <v>0</v>
      </c>
      <c r="S42" s="523"/>
      <c r="T42" s="524" t="n">
        <f aca="false">+ROUND($B42*I42,2)</f>
        <v>0</v>
      </c>
      <c r="U42" s="525" t="n">
        <f aca="false">+ROUND($B42*J42,2)</f>
        <v>0</v>
      </c>
      <c r="V42" s="525" t="n">
        <f aca="false">+ROUND($B42*K42,2)</f>
        <v>0</v>
      </c>
      <c r="W42" s="524" t="n">
        <f aca="false">+ROUND($B42*L42,2)</f>
        <v>0</v>
      </c>
      <c r="X42" s="455"/>
      <c r="Y42" s="3"/>
      <c r="Z42" s="3"/>
    </row>
    <row r="43" customFormat="false" ht="14.25" hidden="false" customHeight="false" outlineLevel="0" collapsed="false">
      <c r="A43" s="228"/>
      <c r="B43" s="440"/>
      <c r="C43" s="441" t="str">
        <f aca="false">IF(SUM(A43:B43)=0,"",SUM(A43:B43))</f>
        <v/>
      </c>
      <c r="D43" s="442" t="s">
        <v>531</v>
      </c>
      <c r="E43" s="443" t="s">
        <v>518</v>
      </c>
      <c r="F43" s="443" t="s">
        <v>532</v>
      </c>
      <c r="G43" s="134" t="n">
        <v>7</v>
      </c>
      <c r="H43" s="444" t="n">
        <v>752</v>
      </c>
      <c r="I43" s="445" t="n">
        <v>0.006</v>
      </c>
      <c r="J43" s="446" t="n">
        <v>0.32</v>
      </c>
      <c r="K43" s="446" t="n">
        <v>4.53</v>
      </c>
      <c r="L43" s="447" t="n">
        <v>1.3E-005</v>
      </c>
      <c r="M43" s="448" t="s">
        <v>492</v>
      </c>
      <c r="N43" s="51"/>
      <c r="O43" s="526" t="n">
        <f aca="false">+ROUND($A43*I43,2)</f>
        <v>0</v>
      </c>
      <c r="P43" s="527" t="n">
        <f aca="false">+ROUND($A43*J43,2)</f>
        <v>0</v>
      </c>
      <c r="Q43" s="527" t="n">
        <f aca="false">+ROUND($A43*K43,2)</f>
        <v>0</v>
      </c>
      <c r="R43" s="526" t="n">
        <f aca="false">+ROUND($A43*L43,2)</f>
        <v>0</v>
      </c>
      <c r="S43" s="451"/>
      <c r="T43" s="528" t="n">
        <f aca="false">+ROUND($B43*I43,2)</f>
        <v>0</v>
      </c>
      <c r="U43" s="529" t="n">
        <f aca="false">+ROUND($B43*J43,2)</f>
        <v>0</v>
      </c>
      <c r="V43" s="529" t="n">
        <f aca="false">+ROUND($B43*K43,2)</f>
        <v>0</v>
      </c>
      <c r="W43" s="528" t="n">
        <f aca="false">+ROUND($B43*L43,2)</f>
        <v>0</v>
      </c>
      <c r="X43" s="455"/>
      <c r="Y43" s="3"/>
      <c r="Z43" s="3"/>
    </row>
    <row r="44" customFormat="false" ht="14.25" hidden="false" customHeight="false" outlineLevel="0" collapsed="false">
      <c r="A44" s="228"/>
      <c r="B44" s="440"/>
      <c r="C44" s="441" t="str">
        <f aca="false">IF(SUM(A44:B44)=0,"",SUM(A44:B44))</f>
        <v/>
      </c>
      <c r="D44" s="442" t="s">
        <v>533</v>
      </c>
      <c r="E44" s="443" t="s">
        <v>482</v>
      </c>
      <c r="F44" s="443" t="s">
        <v>534</v>
      </c>
      <c r="G44" s="134" t="n">
        <v>7</v>
      </c>
      <c r="H44" s="444" t="n">
        <v>749</v>
      </c>
      <c r="I44" s="445" t="n">
        <v>0.0004</v>
      </c>
      <c r="J44" s="446" t="n">
        <v>0.14</v>
      </c>
      <c r="K44" s="446" t="n">
        <v>0.91</v>
      </c>
      <c r="L44" s="447" t="n">
        <v>6E-006</v>
      </c>
      <c r="M44" s="448" t="s">
        <v>492</v>
      </c>
      <c r="N44" s="51"/>
      <c r="O44" s="449" t="n">
        <f aca="false">+ROUND($A44*I44,2)</f>
        <v>0</v>
      </c>
      <c r="P44" s="450" t="n">
        <f aca="false">+ROUND($A44*J44,2)</f>
        <v>0</v>
      </c>
      <c r="Q44" s="450" t="n">
        <f aca="false">+ROUND($A44*K44,2)</f>
        <v>0</v>
      </c>
      <c r="R44" s="449" t="n">
        <f aca="false">+ROUND($A44*L44,2)</f>
        <v>0</v>
      </c>
      <c r="S44" s="451"/>
      <c r="T44" s="452" t="n">
        <f aca="false">+ROUND($B44*I44,2)</f>
        <v>0</v>
      </c>
      <c r="U44" s="453" t="n">
        <f aca="false">+ROUND($B44*J44,2)</f>
        <v>0</v>
      </c>
      <c r="V44" s="453" t="n">
        <f aca="false">+ROUND($B44*K44,2)</f>
        <v>0</v>
      </c>
      <c r="W44" s="452" t="n">
        <f aca="false">+ROUND($B44*L44,2)</f>
        <v>0</v>
      </c>
      <c r="X44" s="455"/>
      <c r="Y44" s="3"/>
      <c r="Z44" s="3"/>
    </row>
    <row r="45" customFormat="false" ht="14.25" hidden="false" customHeight="false" outlineLevel="0" collapsed="false">
      <c r="A45" s="228"/>
      <c r="B45" s="440"/>
      <c r="C45" s="441" t="str">
        <f aca="false">IF(SUM(A45:B45)=0,"",SUM(A45:B45))</f>
        <v/>
      </c>
      <c r="D45" s="442" t="s">
        <v>535</v>
      </c>
      <c r="E45" s="443" t="s">
        <v>482</v>
      </c>
      <c r="F45" s="443" t="s">
        <v>534</v>
      </c>
      <c r="G45" s="134" t="n">
        <v>7</v>
      </c>
      <c r="H45" s="444" t="n">
        <v>751</v>
      </c>
      <c r="I45" s="445" t="n">
        <v>0.0004</v>
      </c>
      <c r="J45" s="446" t="n">
        <v>0.045</v>
      </c>
      <c r="K45" s="446" t="n">
        <v>0.13</v>
      </c>
      <c r="L45" s="447" t="n">
        <v>2E-006</v>
      </c>
      <c r="M45" s="448" t="s">
        <v>492</v>
      </c>
      <c r="N45" s="51"/>
      <c r="O45" s="449" t="n">
        <f aca="false">+ROUND($A45*I45,2)</f>
        <v>0</v>
      </c>
      <c r="P45" s="450" t="n">
        <f aca="false">+ROUND($A45*J45,2)</f>
        <v>0</v>
      </c>
      <c r="Q45" s="450" t="n">
        <f aca="false">+ROUND($A45*K45,2)</f>
        <v>0</v>
      </c>
      <c r="R45" s="449" t="n">
        <f aca="false">+ROUND($A45*L45,2)</f>
        <v>0</v>
      </c>
      <c r="S45" s="451"/>
      <c r="T45" s="452" t="n">
        <f aca="false">+ROUND($B45*I45,2)</f>
        <v>0</v>
      </c>
      <c r="U45" s="453" t="n">
        <f aca="false">+ROUND($B45*J45,2)</f>
        <v>0</v>
      </c>
      <c r="V45" s="453" t="n">
        <f aca="false">+ROUND($B45*K45,2)</f>
        <v>0</v>
      </c>
      <c r="W45" s="452" t="n">
        <f aca="false">+ROUND($B45*L45,2)</f>
        <v>0</v>
      </c>
      <c r="X45" s="455"/>
      <c r="Y45" s="3"/>
      <c r="Z45" s="3"/>
    </row>
    <row r="46" customFormat="false" ht="14.25" hidden="false" customHeight="false" outlineLevel="0" collapsed="false">
      <c r="A46" s="228"/>
      <c r="B46" s="440"/>
      <c r="C46" s="441" t="str">
        <f aca="false">IF(SUM(A46:B46)=0,"",SUM(A46:B46))</f>
        <v/>
      </c>
      <c r="D46" s="442" t="s">
        <v>536</v>
      </c>
      <c r="E46" s="487" t="s">
        <v>482</v>
      </c>
      <c r="F46" s="443" t="s">
        <v>537</v>
      </c>
      <c r="G46" s="134" t="n">
        <v>7</v>
      </c>
      <c r="H46" s="444" t="n">
        <v>748</v>
      </c>
      <c r="I46" s="445" t="n">
        <v>0.002</v>
      </c>
      <c r="J46" s="446" t="n">
        <v>1.5</v>
      </c>
      <c r="K46" s="446" t="n">
        <v>6</v>
      </c>
      <c r="L46" s="447" t="n">
        <v>6.1E-005</v>
      </c>
      <c r="M46" s="448" t="s">
        <v>492</v>
      </c>
      <c r="N46" s="51"/>
      <c r="O46" s="449" t="n">
        <f aca="false">+ROUND($A46*I46,2)</f>
        <v>0</v>
      </c>
      <c r="P46" s="450" t="n">
        <f aca="false">+ROUND($A46*J46,2)</f>
        <v>0</v>
      </c>
      <c r="Q46" s="450" t="n">
        <f aca="false">+ROUND($A46*K46,2)</f>
        <v>0</v>
      </c>
      <c r="R46" s="449" t="n">
        <f aca="false">+ROUND($A46*L46,2)</f>
        <v>0</v>
      </c>
      <c r="S46" s="451"/>
      <c r="T46" s="452" t="n">
        <f aca="false">+ROUND($B46*I46,2)</f>
        <v>0</v>
      </c>
      <c r="U46" s="453" t="n">
        <f aca="false">+ROUND($B46*J46,2)</f>
        <v>0</v>
      </c>
      <c r="V46" s="453" t="n">
        <f aca="false">+ROUND($B46*K46,2)</f>
        <v>0</v>
      </c>
      <c r="W46" s="452" t="n">
        <f aca="false">+ROUND($B46*L46,2)</f>
        <v>0</v>
      </c>
      <c r="X46" s="455"/>
      <c r="Y46" s="3"/>
      <c r="Z46" s="3"/>
    </row>
    <row r="47" customFormat="false" ht="14.25" hidden="false" customHeight="false" outlineLevel="0" collapsed="false">
      <c r="A47" s="228"/>
      <c r="B47" s="440"/>
      <c r="C47" s="441" t="str">
        <f aca="false">IF(SUM(A47:B47)=0,"",SUM(A47:B47))</f>
        <v/>
      </c>
      <c r="D47" s="442" t="s">
        <v>538</v>
      </c>
      <c r="E47" s="443" t="s">
        <v>499</v>
      </c>
      <c r="F47" s="443" t="s">
        <v>539</v>
      </c>
      <c r="G47" s="134" t="n">
        <v>6</v>
      </c>
      <c r="H47" s="444" t="n">
        <v>521</v>
      </c>
      <c r="I47" s="445" t="n">
        <v>0.1</v>
      </c>
      <c r="J47" s="446" t="n">
        <v>21</v>
      </c>
      <c r="K47" s="446" t="n">
        <v>83.41</v>
      </c>
      <c r="L47" s="447" t="n">
        <v>0.000856</v>
      </c>
      <c r="M47" s="448" t="s">
        <v>497</v>
      </c>
      <c r="N47" s="51"/>
      <c r="O47" s="449" t="n">
        <f aca="false">+ROUND($A47*I47,2)</f>
        <v>0</v>
      </c>
      <c r="P47" s="450" t="n">
        <f aca="false">+ROUND($A47*J47,2)</f>
        <v>0</v>
      </c>
      <c r="Q47" s="450" t="n">
        <f aca="false">+ROUND($A47*K47,2)</f>
        <v>0</v>
      </c>
      <c r="R47" s="449" t="n">
        <f aca="false">+ROUND($A47*L47,2)</f>
        <v>0</v>
      </c>
      <c r="S47" s="451"/>
      <c r="T47" s="452" t="n">
        <f aca="false">+ROUND($B47*I47,2)</f>
        <v>0</v>
      </c>
      <c r="U47" s="453" t="n">
        <f aca="false">+ROUND($B47*J47,2)</f>
        <v>0</v>
      </c>
      <c r="V47" s="453" t="n">
        <f aca="false">+ROUND($B47*K47,2)</f>
        <v>0</v>
      </c>
      <c r="W47" s="452" t="n">
        <f aca="false">+ROUND($B47*L47,2)</f>
        <v>0</v>
      </c>
      <c r="X47" s="455"/>
      <c r="Y47" s="3"/>
      <c r="Z47" s="3"/>
    </row>
    <row r="48" customFormat="false" ht="14.25" hidden="false" customHeight="false" outlineLevel="0" collapsed="false">
      <c r="A48" s="228"/>
      <c r="B48" s="440"/>
      <c r="C48" s="441" t="str">
        <f aca="false">IF(SUM(A48:B48)=0,"",SUM(A48:B48))</f>
        <v/>
      </c>
      <c r="D48" s="442" t="s">
        <v>540</v>
      </c>
      <c r="E48" s="443" t="s">
        <v>541</v>
      </c>
      <c r="F48" s="443" t="s">
        <v>539</v>
      </c>
      <c r="G48" s="134" t="n">
        <v>6</v>
      </c>
      <c r="H48" s="444" t="n">
        <v>621</v>
      </c>
      <c r="I48" s="445" t="n">
        <v>0.1</v>
      </c>
      <c r="J48" s="446" t="n">
        <v>51.09</v>
      </c>
      <c r="K48" s="446" t="n">
        <v>292.49</v>
      </c>
      <c r="L48" s="447" t="n">
        <v>0.002082</v>
      </c>
      <c r="M48" s="448" t="s">
        <v>497</v>
      </c>
      <c r="N48" s="51"/>
      <c r="O48" s="449" t="n">
        <f aca="false">+ROUND($A48*I48,2)</f>
        <v>0</v>
      </c>
      <c r="P48" s="450" t="n">
        <f aca="false">+ROUND($A48*J48,2)</f>
        <v>0</v>
      </c>
      <c r="Q48" s="450" t="n">
        <f aca="false">+ROUND($A48*K48,2)</f>
        <v>0</v>
      </c>
      <c r="R48" s="449" t="n">
        <f aca="false">+ROUND($A48*L48,2)</f>
        <v>0</v>
      </c>
      <c r="S48" s="451"/>
      <c r="T48" s="452" t="n">
        <f aca="false">+ROUND($B48*I48,2)</f>
        <v>0</v>
      </c>
      <c r="U48" s="453" t="n">
        <f aca="false">+ROUND($B48*J48,2)</f>
        <v>0</v>
      </c>
      <c r="V48" s="453" t="n">
        <f aca="false">+ROUND($B48*K48,2)</f>
        <v>0</v>
      </c>
      <c r="W48" s="452" t="n">
        <f aca="false">+ROUND($B48*L48,2)</f>
        <v>0</v>
      </c>
      <c r="X48" s="455"/>
      <c r="Y48" s="3"/>
      <c r="Z48" s="3"/>
    </row>
    <row r="49" customFormat="false" ht="14.25" hidden="false" customHeight="false" outlineLevel="0" collapsed="false">
      <c r="A49" s="228"/>
      <c r="B49" s="440"/>
      <c r="C49" s="441" t="str">
        <f aca="false">IF(SUM(A49:B49)=0,"",SUM(A49:B49))</f>
        <v/>
      </c>
      <c r="D49" s="442" t="s">
        <v>542</v>
      </c>
      <c r="E49" s="443" t="s">
        <v>543</v>
      </c>
      <c r="F49" s="443" t="s">
        <v>539</v>
      </c>
      <c r="G49" s="134" t="n">
        <v>6</v>
      </c>
      <c r="H49" s="444" t="n">
        <v>721</v>
      </c>
      <c r="I49" s="445" t="n">
        <v>0.1</v>
      </c>
      <c r="J49" s="446" t="n">
        <v>31.05</v>
      </c>
      <c r="K49" s="446" t="n">
        <v>125.11</v>
      </c>
      <c r="L49" s="447" t="n">
        <v>0.001266</v>
      </c>
      <c r="M49" s="448" t="s">
        <v>497</v>
      </c>
      <c r="N49" s="51"/>
      <c r="O49" s="449" t="n">
        <f aca="false">+ROUND($A49*I49,2)</f>
        <v>0</v>
      </c>
      <c r="P49" s="450" t="n">
        <f aca="false">+ROUND($A49*J49,2)</f>
        <v>0</v>
      </c>
      <c r="Q49" s="450" t="n">
        <f aca="false">+ROUND($A49*K49,2)</f>
        <v>0</v>
      </c>
      <c r="R49" s="449" t="n">
        <f aca="false">+ROUND($A49*L49,2)</f>
        <v>0</v>
      </c>
      <c r="S49" s="451"/>
      <c r="T49" s="452" t="n">
        <f aca="false">+ROUND($B49*I49,2)</f>
        <v>0</v>
      </c>
      <c r="U49" s="453" t="n">
        <f aca="false">+ROUND($B49*J49,2)</f>
        <v>0</v>
      </c>
      <c r="V49" s="453" t="n">
        <f aca="false">+ROUND($B49*K49,2)</f>
        <v>0</v>
      </c>
      <c r="W49" s="452" t="n">
        <f aca="false">+ROUND($B49*L49,2)</f>
        <v>0</v>
      </c>
      <c r="X49" s="455"/>
      <c r="Y49" s="3"/>
      <c r="Z49" s="3"/>
    </row>
    <row r="50" customFormat="false" ht="14.25" hidden="false" customHeight="false" outlineLevel="0" collapsed="false">
      <c r="A50" s="228"/>
      <c r="B50" s="440"/>
      <c r="C50" s="441" t="str">
        <f aca="false">IF(SUM(A50:B50)=0,"",SUM(A50:B50))</f>
        <v/>
      </c>
      <c r="D50" s="442" t="s">
        <v>544</v>
      </c>
      <c r="E50" s="443" t="s">
        <v>499</v>
      </c>
      <c r="F50" s="443" t="s">
        <v>545</v>
      </c>
      <c r="G50" s="134" t="n">
        <v>6</v>
      </c>
      <c r="H50" s="444" t="n">
        <v>522</v>
      </c>
      <c r="I50" s="445" t="n">
        <v>0.1</v>
      </c>
      <c r="J50" s="446" t="n">
        <v>25</v>
      </c>
      <c r="K50" s="446" t="n">
        <v>84.5</v>
      </c>
      <c r="L50" s="447" t="n">
        <v>0.001019</v>
      </c>
      <c r="M50" s="448" t="s">
        <v>497</v>
      </c>
      <c r="N50" s="51"/>
      <c r="O50" s="449" t="n">
        <f aca="false">+ROUND($A50*I50,2)</f>
        <v>0</v>
      </c>
      <c r="P50" s="450" t="n">
        <f aca="false">+ROUND($A50*J50,2)</f>
        <v>0</v>
      </c>
      <c r="Q50" s="450" t="n">
        <f aca="false">+ROUND($A50*K50,2)</f>
        <v>0</v>
      </c>
      <c r="R50" s="449" t="n">
        <f aca="false">+ROUND($A50*L50,2)</f>
        <v>0</v>
      </c>
      <c r="S50" s="451"/>
      <c r="T50" s="452" t="n">
        <f aca="false">+ROUND($B50*I50,2)</f>
        <v>0</v>
      </c>
      <c r="U50" s="453" t="n">
        <f aca="false">+ROUND($B50*J50,2)</f>
        <v>0</v>
      </c>
      <c r="V50" s="453" t="n">
        <f aca="false">+ROUND($B50*K50,2)</f>
        <v>0</v>
      </c>
      <c r="W50" s="452" t="n">
        <f aca="false">+ROUND($B50*L50,2)</f>
        <v>0</v>
      </c>
      <c r="X50" s="455"/>
      <c r="Y50" s="3"/>
      <c r="Z50" s="3"/>
    </row>
    <row r="51" customFormat="false" ht="14.25" hidden="false" customHeight="false" outlineLevel="0" collapsed="false">
      <c r="A51" s="228"/>
      <c r="B51" s="440"/>
      <c r="C51" s="441" t="str">
        <f aca="false">IF(SUM(A51:B51)=0,"",SUM(A51:B51))</f>
        <v/>
      </c>
      <c r="D51" s="442" t="s">
        <v>546</v>
      </c>
      <c r="E51" s="443" t="s">
        <v>541</v>
      </c>
      <c r="F51" s="443" t="s">
        <v>545</v>
      </c>
      <c r="G51" s="134" t="n">
        <v>6</v>
      </c>
      <c r="H51" s="444" t="n">
        <v>622</v>
      </c>
      <c r="I51" s="445" t="n">
        <v>0.1</v>
      </c>
      <c r="J51" s="446" t="n">
        <v>51.09</v>
      </c>
      <c r="K51" s="446" t="n">
        <v>264.95</v>
      </c>
      <c r="L51" s="447" t="n">
        <v>0.002082</v>
      </c>
      <c r="M51" s="448" t="s">
        <v>497</v>
      </c>
      <c r="N51" s="51"/>
      <c r="O51" s="449" t="n">
        <f aca="false">+ROUND($A51*I51,2)</f>
        <v>0</v>
      </c>
      <c r="P51" s="450" t="n">
        <f aca="false">+ROUND($A51*J51,2)</f>
        <v>0</v>
      </c>
      <c r="Q51" s="450" t="n">
        <f aca="false">+ROUND($A51*K51,2)</f>
        <v>0</v>
      </c>
      <c r="R51" s="449" t="n">
        <f aca="false">+ROUND($A51*L51,2)</f>
        <v>0</v>
      </c>
      <c r="S51" s="451"/>
      <c r="T51" s="452" t="n">
        <f aca="false">+ROUND($B51*I51,2)</f>
        <v>0</v>
      </c>
      <c r="U51" s="453" t="n">
        <f aca="false">+ROUND($B51*J51,2)</f>
        <v>0</v>
      </c>
      <c r="V51" s="453" t="n">
        <f aca="false">+ROUND($B51*K51,2)</f>
        <v>0</v>
      </c>
      <c r="W51" s="452" t="n">
        <f aca="false">+ROUND($B51*L51,2)</f>
        <v>0</v>
      </c>
      <c r="X51" s="455"/>
      <c r="Y51" s="3"/>
      <c r="Z51" s="3"/>
    </row>
    <row r="52" customFormat="false" ht="14.25" hidden="false" customHeight="false" outlineLevel="0" collapsed="false">
      <c r="A52" s="228"/>
      <c r="B52" s="440"/>
      <c r="C52" s="441" t="str">
        <f aca="false">IF(SUM(A52:B52)=0,"",SUM(A52:B52))</f>
        <v/>
      </c>
      <c r="D52" s="442" t="s">
        <v>547</v>
      </c>
      <c r="E52" s="443" t="s">
        <v>543</v>
      </c>
      <c r="F52" s="443" t="s">
        <v>545</v>
      </c>
      <c r="G52" s="134" t="n">
        <v>6</v>
      </c>
      <c r="H52" s="444" t="n">
        <v>722</v>
      </c>
      <c r="I52" s="445" t="n">
        <v>0.1</v>
      </c>
      <c r="J52" s="446" t="n">
        <v>37.5</v>
      </c>
      <c r="K52" s="446" t="n">
        <v>126.75</v>
      </c>
      <c r="L52" s="447" t="n">
        <v>0.001528</v>
      </c>
      <c r="M52" s="448" t="s">
        <v>497</v>
      </c>
      <c r="N52" s="51"/>
      <c r="O52" s="449" t="n">
        <f aca="false">+ROUND($A52*I52,2)</f>
        <v>0</v>
      </c>
      <c r="P52" s="450" t="n">
        <f aca="false">+ROUND($A52*J52,2)</f>
        <v>0</v>
      </c>
      <c r="Q52" s="450" t="n">
        <f aca="false">+ROUND($A52*K52,2)</f>
        <v>0</v>
      </c>
      <c r="R52" s="449" t="n">
        <f aca="false">+ROUND($A52*L52,2)</f>
        <v>0</v>
      </c>
      <c r="S52" s="451"/>
      <c r="T52" s="452" t="n">
        <f aca="false">+ROUND($B52*I52,2)</f>
        <v>0</v>
      </c>
      <c r="U52" s="453" t="n">
        <f aca="false">+ROUND($B52*J52,2)</f>
        <v>0</v>
      </c>
      <c r="V52" s="453" t="n">
        <f aca="false">+ROUND($B52*K52,2)</f>
        <v>0</v>
      </c>
      <c r="W52" s="452" t="n">
        <f aca="false">+ROUND($B52*L52,2)</f>
        <v>0</v>
      </c>
      <c r="X52" s="455"/>
      <c r="Y52" s="3"/>
      <c r="Z52" s="3"/>
    </row>
    <row r="53" customFormat="false" ht="14.25" hidden="false" customHeight="false" outlineLevel="0" collapsed="false">
      <c r="A53" s="228"/>
      <c r="B53" s="440"/>
      <c r="C53" s="441" t="str">
        <f aca="false">IF(SUM(A53:B53)=0,"",SUM(A53:B53))</f>
        <v/>
      </c>
      <c r="D53" s="530" t="s">
        <v>548</v>
      </c>
      <c r="E53" s="530" t="s">
        <v>549</v>
      </c>
      <c r="F53" s="443"/>
      <c r="G53" s="134" t="n">
        <v>7</v>
      </c>
      <c r="H53" s="444" t="n">
        <v>504</v>
      </c>
      <c r="I53" s="445" t="n">
        <v>0.4</v>
      </c>
      <c r="J53" s="531" t="n">
        <v>63.11</v>
      </c>
      <c r="K53" s="531" t="n">
        <v>136.88</v>
      </c>
      <c r="L53" s="447" t="n">
        <v>0.002572</v>
      </c>
      <c r="M53" s="532"/>
      <c r="N53" s="51"/>
      <c r="O53" s="449" t="n">
        <f aca="false">+ROUND($A53*I53,2)</f>
        <v>0</v>
      </c>
      <c r="P53" s="450" t="n">
        <f aca="false">+ROUND($A53*J53,2)</f>
        <v>0</v>
      </c>
      <c r="Q53" s="450" t="n">
        <f aca="false">+ROUND($A53*K53,2)</f>
        <v>0</v>
      </c>
      <c r="R53" s="449" t="n">
        <f aca="false">+ROUND($A53*L53,2)</f>
        <v>0</v>
      </c>
      <c r="S53" s="451"/>
      <c r="T53" s="452" t="n">
        <f aca="false">+ROUND($B53*I53,2)</f>
        <v>0</v>
      </c>
      <c r="U53" s="453" t="n">
        <f aca="false">+ROUND($B53*J53,2)</f>
        <v>0</v>
      </c>
      <c r="V53" s="453" t="n">
        <f aca="false">+ROUND($B53*K53,2)</f>
        <v>0</v>
      </c>
      <c r="W53" s="452" t="n">
        <f aca="false">+ROUND($B53*L53,2)</f>
        <v>0</v>
      </c>
      <c r="X53" s="455"/>
      <c r="Y53" s="3"/>
      <c r="Z53" s="3"/>
    </row>
    <row r="54" customFormat="false" ht="14.25" hidden="false" customHeight="false" outlineLevel="0" collapsed="false">
      <c r="A54" s="228"/>
      <c r="B54" s="440"/>
      <c r="C54" s="441" t="str">
        <f aca="false">IF(SUM(A54:B54)=0,"",SUM(A54:B54))</f>
        <v/>
      </c>
      <c r="D54" s="470" t="s">
        <v>550</v>
      </c>
      <c r="E54" s="470" t="s">
        <v>551</v>
      </c>
      <c r="F54" s="470" t="s">
        <v>552</v>
      </c>
      <c r="G54" s="473" t="n">
        <v>7</v>
      </c>
      <c r="H54" s="472" t="n">
        <v>502</v>
      </c>
      <c r="I54" s="533" t="n">
        <v>0.7</v>
      </c>
      <c r="J54" s="534" t="n">
        <v>90.15</v>
      </c>
      <c r="K54" s="534" t="n">
        <v>1493.14</v>
      </c>
      <c r="L54" s="476" t="n">
        <v>0.003674</v>
      </c>
      <c r="M54" s="477" t="s">
        <v>492</v>
      </c>
      <c r="N54" s="51"/>
      <c r="O54" s="449" t="n">
        <f aca="false">+ROUND($A54*I54,2)</f>
        <v>0</v>
      </c>
      <c r="P54" s="450" t="n">
        <f aca="false">+ROUND($A54*J54,2)</f>
        <v>0</v>
      </c>
      <c r="Q54" s="450" t="n">
        <f aca="false">+ROUND($A54*K54,2)</f>
        <v>0</v>
      </c>
      <c r="R54" s="449" t="n">
        <f aca="false">+ROUND($A54*L54,2)</f>
        <v>0</v>
      </c>
      <c r="S54" s="451"/>
      <c r="T54" s="452" t="n">
        <f aca="false">+ROUND($B54*I54,2)</f>
        <v>0</v>
      </c>
      <c r="U54" s="453" t="n">
        <f aca="false">+ROUND($B54*J54,2)</f>
        <v>0</v>
      </c>
      <c r="V54" s="453" t="n">
        <f aca="false">+ROUND($B54*K54,2)</f>
        <v>0</v>
      </c>
      <c r="W54" s="452" t="n">
        <f aca="false">+ROUND($B54*L54,2)</f>
        <v>0</v>
      </c>
      <c r="X54" s="455"/>
      <c r="Y54" s="3"/>
      <c r="Z54" s="3"/>
    </row>
    <row r="55" customFormat="false" ht="14.25" hidden="false" customHeight="false" outlineLevel="0" collapsed="false">
      <c r="A55" s="228"/>
      <c r="B55" s="440"/>
      <c r="C55" s="441" t="str">
        <f aca="false">IF(SUM(A55:B55)=0,"",SUM(A55:B55))</f>
        <v/>
      </c>
      <c r="D55" s="470" t="s">
        <v>550</v>
      </c>
      <c r="E55" s="470" t="s">
        <v>553</v>
      </c>
      <c r="F55" s="470" t="s">
        <v>552</v>
      </c>
      <c r="G55" s="473" t="n">
        <v>7</v>
      </c>
      <c r="H55" s="472" t="n">
        <v>502</v>
      </c>
      <c r="I55" s="533" t="n">
        <v>0.7</v>
      </c>
      <c r="J55" s="534" t="n">
        <v>90.15</v>
      </c>
      <c r="K55" s="534" t="n">
        <v>1493.14</v>
      </c>
      <c r="L55" s="476" t="n">
        <v>0</v>
      </c>
      <c r="M55" s="477" t="s">
        <v>492</v>
      </c>
      <c r="N55" s="51"/>
      <c r="O55" s="449" t="n">
        <f aca="false">+ROUND($A55*I55,2)</f>
        <v>0</v>
      </c>
      <c r="P55" s="450" t="n">
        <f aca="false">+ROUND($A55*J55,2)</f>
        <v>0</v>
      </c>
      <c r="Q55" s="450" t="n">
        <f aca="false">+ROUND($A55*K55,2)</f>
        <v>0</v>
      </c>
      <c r="R55" s="449" t="n">
        <f aca="false">+ROUND($A55*L55,2)</f>
        <v>0</v>
      </c>
      <c r="S55" s="451"/>
      <c r="T55" s="452" t="n">
        <f aca="false">+ROUND($B55*I55,2)</f>
        <v>0</v>
      </c>
      <c r="U55" s="453" t="n">
        <f aca="false">+ROUND($B55*J55,2)</f>
        <v>0</v>
      </c>
      <c r="V55" s="453" t="n">
        <f aca="false">+ROUND($B55*K55,2)</f>
        <v>0</v>
      </c>
      <c r="W55" s="452" t="n">
        <f aca="false">+ROUND($B55*L55,2)</f>
        <v>0</v>
      </c>
      <c r="X55" s="455"/>
      <c r="Y55" s="3"/>
      <c r="Z55" s="3"/>
    </row>
    <row r="56" customFormat="false" ht="14.25" hidden="false" customHeight="false" outlineLevel="0" collapsed="false">
      <c r="A56" s="228"/>
      <c r="B56" s="440"/>
      <c r="C56" s="441" t="str">
        <f aca="false">IF(SUM(A56:B56)=0,"",SUM(A56:B56))</f>
        <v/>
      </c>
      <c r="D56" s="535" t="s">
        <v>554</v>
      </c>
      <c r="E56" s="535" t="s">
        <v>551</v>
      </c>
      <c r="F56" s="535" t="s">
        <v>552</v>
      </c>
      <c r="G56" s="536" t="n">
        <v>7</v>
      </c>
      <c r="H56" s="537" t="n">
        <v>503</v>
      </c>
      <c r="I56" s="538" t="n">
        <v>0.7</v>
      </c>
      <c r="J56" s="539" t="n">
        <v>63.11</v>
      </c>
      <c r="K56" s="539" t="n">
        <v>136.88</v>
      </c>
      <c r="L56" s="540" t="n">
        <v>0.002572</v>
      </c>
      <c r="M56" s="541" t="s">
        <v>492</v>
      </c>
      <c r="N56" s="51"/>
      <c r="O56" s="449" t="n">
        <f aca="false">+ROUND($A56*I56,2)</f>
        <v>0</v>
      </c>
      <c r="P56" s="450" t="n">
        <f aca="false">+ROUND($A56*J56,2)</f>
        <v>0</v>
      </c>
      <c r="Q56" s="450" t="n">
        <f aca="false">+ROUND($A56*K56,2)</f>
        <v>0</v>
      </c>
      <c r="R56" s="449" t="n">
        <f aca="false">+ROUND($A56*L56,2)</f>
        <v>0</v>
      </c>
      <c r="S56" s="451"/>
      <c r="T56" s="452" t="n">
        <f aca="false">+ROUND($B56*I56,2)</f>
        <v>0</v>
      </c>
      <c r="U56" s="453" t="n">
        <f aca="false">+ROUND($B56*J56,2)</f>
        <v>0</v>
      </c>
      <c r="V56" s="453" t="n">
        <f aca="false">+ROUND($B56*K56,2)</f>
        <v>0</v>
      </c>
      <c r="W56" s="452" t="n">
        <f aca="false">+ROUND($B56*L56,2)</f>
        <v>0</v>
      </c>
      <c r="X56" s="455"/>
      <c r="Y56" s="3"/>
      <c r="Z56" s="3"/>
    </row>
    <row r="57" customFormat="false" ht="14.25" hidden="false" customHeight="false" outlineLevel="0" collapsed="false">
      <c r="A57" s="228"/>
      <c r="B57" s="440"/>
      <c r="C57" s="441" t="str">
        <f aca="false">IF(SUM(A57:B57)=0,"",SUM(A57:B57))</f>
        <v/>
      </c>
      <c r="D57" s="535" t="s">
        <v>554</v>
      </c>
      <c r="E57" s="535" t="s">
        <v>553</v>
      </c>
      <c r="F57" s="535" t="s">
        <v>552</v>
      </c>
      <c r="G57" s="536" t="n">
        <v>7</v>
      </c>
      <c r="H57" s="537" t="n">
        <v>503</v>
      </c>
      <c r="I57" s="538" t="n">
        <v>0.7</v>
      </c>
      <c r="J57" s="539" t="n">
        <v>63.11</v>
      </c>
      <c r="K57" s="539" t="n">
        <v>136.88</v>
      </c>
      <c r="L57" s="540" t="n">
        <v>0</v>
      </c>
      <c r="M57" s="541" t="s">
        <v>492</v>
      </c>
      <c r="N57" s="51"/>
      <c r="O57" s="449" t="n">
        <f aca="false">+ROUND($A57*I57,2)</f>
        <v>0</v>
      </c>
      <c r="P57" s="450" t="n">
        <f aca="false">+ROUND($A57*J57,2)</f>
        <v>0</v>
      </c>
      <c r="Q57" s="450" t="n">
        <f aca="false">+ROUND($A57*K57,2)</f>
        <v>0</v>
      </c>
      <c r="R57" s="449" t="n">
        <f aca="false">+ROUND($A57*L57,2)</f>
        <v>0</v>
      </c>
      <c r="S57" s="451"/>
      <c r="T57" s="452" t="n">
        <f aca="false">+ROUND($B57*I57,2)</f>
        <v>0</v>
      </c>
      <c r="U57" s="453" t="n">
        <f aca="false">+ROUND($B57*J57,2)</f>
        <v>0</v>
      </c>
      <c r="V57" s="453" t="n">
        <f aca="false">+ROUND($B57*K57,2)</f>
        <v>0</v>
      </c>
      <c r="W57" s="452" t="n">
        <f aca="false">+ROUND($B57*L57,2)</f>
        <v>0</v>
      </c>
      <c r="X57" s="455"/>
      <c r="Y57" s="3"/>
      <c r="Z57" s="3"/>
    </row>
    <row r="58" customFormat="false" ht="14.25" hidden="false" customHeight="false" outlineLevel="0" collapsed="false">
      <c r="A58" s="228"/>
      <c r="B58" s="440"/>
      <c r="C58" s="441" t="str">
        <f aca="false">IF(SUM(A58:B58)=0,"",SUM(A58:B58))</f>
        <v/>
      </c>
      <c r="D58" s="442" t="s">
        <v>555</v>
      </c>
      <c r="E58" s="443" t="s">
        <v>556</v>
      </c>
      <c r="F58" s="443" t="s">
        <v>552</v>
      </c>
      <c r="G58" s="134" t="n">
        <v>7</v>
      </c>
      <c r="H58" s="444" t="n">
        <v>506</v>
      </c>
      <c r="I58" s="445" t="n">
        <v>0.7</v>
      </c>
      <c r="J58" s="446" t="n">
        <v>135.22</v>
      </c>
      <c r="K58" s="542" t="n">
        <v>2239.22</v>
      </c>
      <c r="L58" s="447" t="n">
        <v>0.005511</v>
      </c>
      <c r="M58" s="448" t="s">
        <v>492</v>
      </c>
      <c r="N58" s="51"/>
      <c r="O58" s="449" t="n">
        <f aca="false">+ROUND($A58*I58,2)</f>
        <v>0</v>
      </c>
      <c r="P58" s="450" t="n">
        <f aca="false">+ROUND($A58*J58,2)</f>
        <v>0</v>
      </c>
      <c r="Q58" s="450" t="n">
        <f aca="false">+ROUND($A58*K58,2)</f>
        <v>0</v>
      </c>
      <c r="R58" s="449" t="n">
        <f aca="false">+ROUND($A58*L58,2)</f>
        <v>0</v>
      </c>
      <c r="S58" s="451"/>
      <c r="T58" s="452" t="n">
        <f aca="false">+ROUND($B58*I58,2)</f>
        <v>0</v>
      </c>
      <c r="U58" s="453" t="n">
        <f aca="false">+ROUND($B58*J58,2)</f>
        <v>0</v>
      </c>
      <c r="V58" s="453" t="n">
        <f aca="false">+ROUND($B58*K58,2)</f>
        <v>0</v>
      </c>
      <c r="W58" s="452" t="n">
        <f aca="false">+ROUND($B58*L58,2)</f>
        <v>0</v>
      </c>
      <c r="X58" s="455"/>
      <c r="Y58" s="3"/>
      <c r="Z58" s="3"/>
    </row>
    <row r="59" customFormat="false" ht="14.25" hidden="false" customHeight="false" outlineLevel="0" collapsed="false">
      <c r="A59" s="228"/>
      <c r="B59" s="440"/>
      <c r="C59" s="441" t="str">
        <f aca="false">IF(SUM(A59:B59)=0,"",SUM(A59:B59))</f>
        <v/>
      </c>
      <c r="D59" s="442" t="s">
        <v>557</v>
      </c>
      <c r="E59" s="443" t="s">
        <v>499</v>
      </c>
      <c r="F59" s="443" t="s">
        <v>552</v>
      </c>
      <c r="G59" s="134" t="n">
        <v>6</v>
      </c>
      <c r="H59" s="444" t="n">
        <v>501</v>
      </c>
      <c r="I59" s="445" t="n">
        <v>0.8</v>
      </c>
      <c r="J59" s="446" t="n">
        <v>180.3</v>
      </c>
      <c r="K59" s="446" t="n">
        <v>363.6</v>
      </c>
      <c r="L59" s="447" t="n">
        <v>0.007349</v>
      </c>
      <c r="M59" s="448" t="s">
        <v>497</v>
      </c>
      <c r="N59" s="51"/>
      <c r="O59" s="449" t="n">
        <f aca="false">+ROUND($A59*I59,2)</f>
        <v>0</v>
      </c>
      <c r="P59" s="450" t="n">
        <f aca="false">+ROUND($A59*J59,2)</f>
        <v>0</v>
      </c>
      <c r="Q59" s="450" t="n">
        <f aca="false">+ROUND($A59*K59,2)</f>
        <v>0</v>
      </c>
      <c r="R59" s="449" t="n">
        <f aca="false">+ROUND($A59*L59,2)</f>
        <v>0</v>
      </c>
      <c r="S59" s="451"/>
      <c r="T59" s="452" t="n">
        <f aca="false">+ROUND($B59*I59,2)</f>
        <v>0</v>
      </c>
      <c r="U59" s="453" t="n">
        <f aca="false">+ROUND($B59*J59,2)</f>
        <v>0</v>
      </c>
      <c r="V59" s="453" t="n">
        <f aca="false">+ROUND($B59*K59,2)</f>
        <v>0</v>
      </c>
      <c r="W59" s="452" t="n">
        <f aca="false">+ROUND($B59*L59,2)</f>
        <v>0</v>
      </c>
      <c r="X59" s="455"/>
      <c r="Y59" s="3"/>
      <c r="Z59" s="3"/>
    </row>
    <row r="60" customFormat="false" ht="14.25" hidden="false" customHeight="false" outlineLevel="0" collapsed="false">
      <c r="A60" s="228"/>
      <c r="B60" s="440"/>
      <c r="C60" s="441" t="str">
        <f aca="false">IF(SUM(A60:B60)=0,"",SUM(A60:B60))</f>
        <v/>
      </c>
      <c r="D60" s="442" t="s">
        <v>558</v>
      </c>
      <c r="E60" s="443" t="s">
        <v>499</v>
      </c>
      <c r="F60" s="443" t="s">
        <v>552</v>
      </c>
      <c r="G60" s="134" t="n">
        <v>6</v>
      </c>
      <c r="H60" s="444" t="n">
        <v>505</v>
      </c>
      <c r="I60" s="445" t="n">
        <v>0.8</v>
      </c>
      <c r="J60" s="446" t="n">
        <v>60</v>
      </c>
      <c r="K60" s="446" t="n">
        <v>51.8</v>
      </c>
      <c r="L60" s="447" t="n">
        <v>0.002446</v>
      </c>
      <c r="M60" s="448" t="s">
        <v>497</v>
      </c>
      <c r="N60" s="51"/>
      <c r="O60" s="449" t="n">
        <f aca="false">+ROUND($A60*I60,2)</f>
        <v>0</v>
      </c>
      <c r="P60" s="450" t="n">
        <f aca="false">+ROUND($A60*J60,2)</f>
        <v>0</v>
      </c>
      <c r="Q60" s="450" t="n">
        <f aca="false">+ROUND($A60*K60,2)</f>
        <v>0</v>
      </c>
      <c r="R60" s="449" t="n">
        <f aca="false">+ROUND($A60*L60,2)</f>
        <v>0</v>
      </c>
      <c r="S60" s="451"/>
      <c r="T60" s="452" t="n">
        <f aca="false">+ROUND($B60*I60,2)</f>
        <v>0</v>
      </c>
      <c r="U60" s="453" t="n">
        <f aca="false">+ROUND($B60*J60,2)</f>
        <v>0</v>
      </c>
      <c r="V60" s="453" t="n">
        <f aca="false">+ROUND($B60*K60,2)</f>
        <v>0</v>
      </c>
      <c r="W60" s="452" t="n">
        <f aca="false">+ROUND($B60*L60,2)</f>
        <v>0</v>
      </c>
      <c r="X60" s="455"/>
      <c r="Y60" s="3"/>
      <c r="Z60" s="3"/>
    </row>
    <row r="61" customFormat="false" ht="14.25" hidden="false" customHeight="false" outlineLevel="0" collapsed="false">
      <c r="A61" s="228"/>
      <c r="B61" s="440"/>
      <c r="C61" s="441" t="str">
        <f aca="false">IF(SUM(A61:B61)=0,"",SUM(A61:B61))</f>
        <v/>
      </c>
      <c r="D61" s="442" t="s">
        <v>559</v>
      </c>
      <c r="E61" s="443" t="s">
        <v>541</v>
      </c>
      <c r="F61" s="443" t="s">
        <v>552</v>
      </c>
      <c r="G61" s="134" t="n">
        <v>7</v>
      </c>
      <c r="H61" s="444" t="n">
        <v>601</v>
      </c>
      <c r="I61" s="445" t="n">
        <v>1</v>
      </c>
      <c r="J61" s="446" t="n">
        <v>270.46</v>
      </c>
      <c r="K61" s="446" t="n">
        <v>2697.53</v>
      </c>
      <c r="L61" s="447" t="n">
        <v>0.011024</v>
      </c>
      <c r="M61" s="448" t="s">
        <v>497</v>
      </c>
      <c r="N61" s="51"/>
      <c r="O61" s="449" t="n">
        <f aca="false">+ROUND($A61*I61,2)</f>
        <v>0</v>
      </c>
      <c r="P61" s="450" t="n">
        <f aca="false">+ROUND($A61*J61,2)</f>
        <v>0</v>
      </c>
      <c r="Q61" s="450" t="n">
        <f aca="false">+ROUND($A61*K61,2)</f>
        <v>0</v>
      </c>
      <c r="R61" s="449" t="n">
        <f aca="false">+ROUND($A61*L61,2)</f>
        <v>0</v>
      </c>
      <c r="S61" s="451"/>
      <c r="T61" s="452" t="n">
        <f aca="false">+ROUND($B61*I61,2)</f>
        <v>0</v>
      </c>
      <c r="U61" s="453" t="n">
        <f aca="false">+ROUND($B61*J61,2)</f>
        <v>0</v>
      </c>
      <c r="V61" s="453" t="n">
        <f aca="false">+ROUND($B61*K61,2)</f>
        <v>0</v>
      </c>
      <c r="W61" s="452" t="n">
        <f aca="false">+ROUND($B61*L61,2)</f>
        <v>0</v>
      </c>
      <c r="X61" s="455"/>
      <c r="Y61" s="3"/>
      <c r="Z61" s="3"/>
    </row>
    <row r="62" customFormat="false" ht="14.25" hidden="false" customHeight="false" outlineLevel="0" collapsed="false">
      <c r="A62" s="228"/>
      <c r="B62" s="440"/>
      <c r="C62" s="441" t="str">
        <f aca="false">IF(SUM(A62:B62)=0,"",SUM(A62:B62))</f>
        <v/>
      </c>
      <c r="D62" s="442" t="s">
        <v>560</v>
      </c>
      <c r="E62" s="443" t="s">
        <v>543</v>
      </c>
      <c r="F62" s="443" t="s">
        <v>552</v>
      </c>
      <c r="G62" s="134" t="n">
        <v>6</v>
      </c>
      <c r="H62" s="444" t="n">
        <v>701</v>
      </c>
      <c r="I62" s="445" t="n">
        <v>1</v>
      </c>
      <c r="J62" s="446" t="n">
        <v>225.38</v>
      </c>
      <c r="K62" s="446" t="n">
        <v>454.51</v>
      </c>
      <c r="L62" s="447" t="n">
        <v>0.009186</v>
      </c>
      <c r="M62" s="448" t="s">
        <v>497</v>
      </c>
      <c r="N62" s="3"/>
      <c r="O62" s="449" t="n">
        <f aca="false">+ROUND($A62*I62,2)</f>
        <v>0</v>
      </c>
      <c r="P62" s="450" t="n">
        <f aca="false">+ROUND($A62*J62,2)</f>
        <v>0</v>
      </c>
      <c r="Q62" s="450" t="n">
        <f aca="false">+ROUND($A62*K62,2)</f>
        <v>0</v>
      </c>
      <c r="R62" s="449" t="n">
        <f aca="false">+ROUND($A62*L62,2)</f>
        <v>0</v>
      </c>
      <c r="S62" s="451"/>
      <c r="T62" s="452" t="n">
        <f aca="false">+ROUND($B62*I62,2)</f>
        <v>0</v>
      </c>
      <c r="U62" s="453" t="n">
        <f aca="false">+ROUND($B62*J62,2)</f>
        <v>0</v>
      </c>
      <c r="V62" s="453" t="n">
        <f aca="false">+ROUND($B62*K62,2)</f>
        <v>0</v>
      </c>
      <c r="W62" s="452" t="n">
        <f aca="false">+ROUND($B62*L62,2)</f>
        <v>0</v>
      </c>
      <c r="X62" s="455"/>
      <c r="Y62" s="3"/>
      <c r="Z62" s="3"/>
    </row>
    <row r="63" customFormat="false" ht="14.25" hidden="false" customHeight="false" outlineLevel="0" collapsed="false">
      <c r="A63" s="228"/>
      <c r="B63" s="440"/>
      <c r="C63" s="441" t="str">
        <f aca="false">IF(SUM(A63:B63)=0,"",SUM(A63:B63))</f>
        <v/>
      </c>
      <c r="D63" s="442" t="s">
        <v>561</v>
      </c>
      <c r="E63" s="443" t="s">
        <v>543</v>
      </c>
      <c r="F63" s="443" t="s">
        <v>552</v>
      </c>
      <c r="G63" s="134" t="n">
        <v>6</v>
      </c>
      <c r="H63" s="444" t="n">
        <v>702</v>
      </c>
      <c r="I63" s="445" t="n">
        <v>1</v>
      </c>
      <c r="J63" s="446" t="n">
        <v>75</v>
      </c>
      <c r="K63" s="446" t="n">
        <v>64.75</v>
      </c>
      <c r="L63" s="447" t="n">
        <v>0.003057</v>
      </c>
      <c r="M63" s="448" t="s">
        <v>497</v>
      </c>
      <c r="N63" s="3"/>
      <c r="O63" s="449" t="n">
        <f aca="false">+ROUND($A63*I63,2)</f>
        <v>0</v>
      </c>
      <c r="P63" s="450" t="n">
        <f aca="false">+ROUND($A63*J63,2)</f>
        <v>0</v>
      </c>
      <c r="Q63" s="450" t="n">
        <f aca="false">+ROUND($A63*K63,2)</f>
        <v>0</v>
      </c>
      <c r="R63" s="449" t="n">
        <f aca="false">+ROUND($A63*L63,2)</f>
        <v>0</v>
      </c>
      <c r="S63" s="451"/>
      <c r="T63" s="452" t="n">
        <f aca="false">+ROUND($B63*I63,2)</f>
        <v>0</v>
      </c>
      <c r="U63" s="453" t="n">
        <f aca="false">+ROUND($B63*J63,2)</f>
        <v>0</v>
      </c>
      <c r="V63" s="453" t="n">
        <f aca="false">+ROUND($B63*K63,2)</f>
        <v>0</v>
      </c>
      <c r="W63" s="452" t="n">
        <f aca="false">+ROUND($B63*L63,2)</f>
        <v>0</v>
      </c>
      <c r="X63" s="455"/>
      <c r="Y63" s="3"/>
      <c r="Z63" s="3"/>
    </row>
    <row r="64" customFormat="false" ht="21.75" hidden="false" customHeight="true" outlineLevel="0" collapsed="false">
      <c r="A64" s="228"/>
      <c r="B64" s="440"/>
      <c r="C64" s="441" t="str">
        <f aca="false">IF(SUM(A64:B64)=0,"",SUM(A64:B64))</f>
        <v/>
      </c>
      <c r="D64" s="442" t="s">
        <v>562</v>
      </c>
      <c r="E64" s="443" t="s">
        <v>563</v>
      </c>
      <c r="F64" s="443" t="s">
        <v>564</v>
      </c>
      <c r="G64" s="134" t="n">
        <v>7</v>
      </c>
      <c r="H64" s="444" t="n">
        <v>536</v>
      </c>
      <c r="I64" s="445" t="n">
        <v>0.02</v>
      </c>
      <c r="J64" s="446" t="n">
        <v>12.02</v>
      </c>
      <c r="K64" s="446" t="n">
        <v>242.38</v>
      </c>
      <c r="L64" s="447" t="n">
        <v>0.00049</v>
      </c>
      <c r="M64" s="448" t="s">
        <v>492</v>
      </c>
      <c r="N64" s="3"/>
      <c r="O64" s="449" t="n">
        <f aca="false">+ROUND($A64*I64,2)</f>
        <v>0</v>
      </c>
      <c r="P64" s="450" t="n">
        <f aca="false">+ROUND($A64*J64,2)</f>
        <v>0</v>
      </c>
      <c r="Q64" s="450" t="n">
        <f aca="false">+ROUND($A64*K64,2)</f>
        <v>0</v>
      </c>
      <c r="R64" s="449" t="n">
        <f aca="false">+ROUND($A64*L64,2)</f>
        <v>0</v>
      </c>
      <c r="S64" s="451"/>
      <c r="T64" s="452" t="n">
        <f aca="false">+ROUND($B64*I64,2)</f>
        <v>0</v>
      </c>
      <c r="U64" s="453" t="n">
        <f aca="false">+ROUND($B64*J64,2)</f>
        <v>0</v>
      </c>
      <c r="V64" s="453" t="n">
        <f aca="false">+ROUND($B64*K64,2)</f>
        <v>0</v>
      </c>
      <c r="W64" s="452" t="n">
        <f aca="false">+ROUND($B64*L64,2)</f>
        <v>0</v>
      </c>
      <c r="X64" s="455"/>
      <c r="Y64" s="3"/>
      <c r="Z64" s="3"/>
    </row>
    <row r="65" customFormat="false" ht="21.75" hidden="false" customHeight="true" outlineLevel="0" collapsed="false">
      <c r="A65" s="228"/>
      <c r="B65" s="440"/>
      <c r="C65" s="441" t="str">
        <f aca="false">IF(SUM(A65:B65)=0,"",SUM(A65:B65))</f>
        <v/>
      </c>
      <c r="D65" s="442" t="s">
        <v>565</v>
      </c>
      <c r="E65" s="443" t="s">
        <v>563</v>
      </c>
      <c r="F65" s="443" t="s">
        <v>564</v>
      </c>
      <c r="G65" s="134" t="n">
        <v>7</v>
      </c>
      <c r="H65" s="444" t="n">
        <v>535</v>
      </c>
      <c r="I65" s="445" t="n">
        <v>0.02</v>
      </c>
      <c r="J65" s="446" t="n">
        <v>6.01</v>
      </c>
      <c r="K65" s="446" t="n">
        <v>21.7</v>
      </c>
      <c r="L65" s="447" t="n">
        <v>0.000245</v>
      </c>
      <c r="M65" s="448" t="s">
        <v>492</v>
      </c>
      <c r="N65" s="3"/>
      <c r="O65" s="449" t="n">
        <f aca="false">+ROUND($A65*I65,2)</f>
        <v>0</v>
      </c>
      <c r="P65" s="450" t="n">
        <f aca="false">+ROUND($A65*J65,2)</f>
        <v>0</v>
      </c>
      <c r="Q65" s="450" t="n">
        <f aca="false">+ROUND($A65*K65,2)</f>
        <v>0</v>
      </c>
      <c r="R65" s="449" t="n">
        <f aca="false">+ROUND($A65*L65,2)</f>
        <v>0</v>
      </c>
      <c r="S65" s="451"/>
      <c r="T65" s="452" t="n">
        <f aca="false">+ROUND($B65*I65,2)</f>
        <v>0</v>
      </c>
      <c r="U65" s="453" t="n">
        <f aca="false">+ROUND($B65*J65,2)</f>
        <v>0</v>
      </c>
      <c r="V65" s="453" t="n">
        <f aca="false">+ROUND($B65*K65,2)</f>
        <v>0</v>
      </c>
      <c r="W65" s="452" t="n">
        <f aca="false">+ROUND($B65*L65,2)</f>
        <v>0</v>
      </c>
      <c r="X65" s="455"/>
      <c r="Y65" s="3"/>
      <c r="Z65" s="3"/>
    </row>
    <row r="66" customFormat="false" ht="21.75" hidden="false" customHeight="true" outlineLevel="0" collapsed="false">
      <c r="A66" s="228"/>
      <c r="B66" s="440"/>
      <c r="C66" s="441" t="str">
        <f aca="false">IF(SUM(A66:B66)=0,"",SUM(A66:B66))</f>
        <v/>
      </c>
      <c r="D66" s="442" t="s">
        <v>566</v>
      </c>
      <c r="E66" s="443" t="s">
        <v>567</v>
      </c>
      <c r="F66" s="443" t="s">
        <v>564</v>
      </c>
      <c r="G66" s="134" t="n">
        <v>7</v>
      </c>
      <c r="H66" s="444" t="n">
        <v>537</v>
      </c>
      <c r="I66" s="445" t="n">
        <v>0.15</v>
      </c>
      <c r="J66" s="446" t="n">
        <v>75.73</v>
      </c>
      <c r="K66" s="446" t="n">
        <v>295</v>
      </c>
      <c r="L66" s="447" t="n">
        <v>0.003087</v>
      </c>
      <c r="M66" s="448" t="s">
        <v>492</v>
      </c>
      <c r="N66" s="3"/>
      <c r="O66" s="449" t="n">
        <f aca="false">+ROUND($A66*I66,2)</f>
        <v>0</v>
      </c>
      <c r="P66" s="450" t="n">
        <f aca="false">+ROUND($A66*J66,2)</f>
        <v>0</v>
      </c>
      <c r="Q66" s="450" t="n">
        <f aca="false">+ROUND($A66*K66,2)</f>
        <v>0</v>
      </c>
      <c r="R66" s="449" t="n">
        <f aca="false">+ROUND($A66*L66,2)</f>
        <v>0</v>
      </c>
      <c r="S66" s="451"/>
      <c r="T66" s="452" t="n">
        <f aca="false">+ROUND($B66*I66,2)</f>
        <v>0</v>
      </c>
      <c r="U66" s="453" t="n">
        <f aca="false">+ROUND($B66*J66,2)</f>
        <v>0</v>
      </c>
      <c r="V66" s="453" t="n">
        <f aca="false">+ROUND($B66*K66,2)</f>
        <v>0</v>
      </c>
      <c r="W66" s="452" t="n">
        <f aca="false">+ROUND($B66*L66,2)</f>
        <v>0</v>
      </c>
      <c r="X66" s="455"/>
      <c r="Y66" s="3"/>
      <c r="Z66" s="3"/>
    </row>
    <row r="67" customFormat="false" ht="21.75" hidden="false" customHeight="true" outlineLevel="0" collapsed="false">
      <c r="A67" s="228"/>
      <c r="B67" s="440"/>
      <c r="C67" s="441" t="str">
        <f aca="false">IF(SUM(A67:B67)=0,"",SUM(A67:B67))</f>
        <v/>
      </c>
      <c r="D67" s="442" t="s">
        <v>568</v>
      </c>
      <c r="E67" s="443" t="s">
        <v>569</v>
      </c>
      <c r="F67" s="443" t="s">
        <v>564</v>
      </c>
      <c r="G67" s="134" t="n">
        <v>7</v>
      </c>
      <c r="H67" s="444" t="n">
        <v>528</v>
      </c>
      <c r="I67" s="445" t="n">
        <v>0.15</v>
      </c>
      <c r="J67" s="446" t="n">
        <v>150.25</v>
      </c>
      <c r="K67" s="446" t="n">
        <v>1034.5</v>
      </c>
      <c r="L67" s="447" t="n">
        <v>0.006124</v>
      </c>
      <c r="M67" s="448" t="s">
        <v>492</v>
      </c>
      <c r="N67" s="3"/>
      <c r="O67" s="449" t="n">
        <f aca="false">+ROUND($A67*I67,2)</f>
        <v>0</v>
      </c>
      <c r="P67" s="450" t="n">
        <f aca="false">+ROUND($A67*J67,2)</f>
        <v>0</v>
      </c>
      <c r="Q67" s="450" t="n">
        <f aca="false">+ROUND($A67*K67,2)</f>
        <v>0</v>
      </c>
      <c r="R67" s="449" t="n">
        <f aca="false">+ROUND($A67*L67,2)</f>
        <v>0</v>
      </c>
      <c r="S67" s="451"/>
      <c r="T67" s="452" t="n">
        <f aca="false">+ROUND($B67*I67,2)</f>
        <v>0</v>
      </c>
      <c r="U67" s="453" t="n">
        <f aca="false">+ROUND($B67*J67,2)</f>
        <v>0</v>
      </c>
      <c r="V67" s="453" t="n">
        <f aca="false">+ROUND($B67*K67,2)</f>
        <v>0</v>
      </c>
      <c r="W67" s="452" t="n">
        <f aca="false">+ROUND($B67*L67,2)</f>
        <v>0</v>
      </c>
      <c r="X67" s="455"/>
      <c r="Y67" s="3"/>
      <c r="Z67" s="3"/>
    </row>
    <row r="68" customFormat="false" ht="21.75" hidden="false" customHeight="true" outlineLevel="0" collapsed="false">
      <c r="A68" s="228"/>
      <c r="B68" s="440"/>
      <c r="C68" s="441" t="str">
        <f aca="false">IF(SUM(A68:B68)=0,"",SUM(A68:B68))</f>
        <v/>
      </c>
      <c r="D68" s="442" t="s">
        <v>570</v>
      </c>
      <c r="E68" s="443" t="s">
        <v>569</v>
      </c>
      <c r="F68" s="443" t="s">
        <v>564</v>
      </c>
      <c r="G68" s="134" t="n">
        <v>7</v>
      </c>
      <c r="H68" s="444" t="n">
        <v>529</v>
      </c>
      <c r="I68" s="445" t="n">
        <v>0.15</v>
      </c>
      <c r="J68" s="446" t="n">
        <v>75.73</v>
      </c>
      <c r="K68" s="446" t="n">
        <v>295</v>
      </c>
      <c r="L68" s="447" t="n">
        <v>0.003087</v>
      </c>
      <c r="M68" s="448" t="s">
        <v>492</v>
      </c>
      <c r="N68" s="3"/>
      <c r="O68" s="449" t="n">
        <f aca="false">+ROUND($A68*I68,2)</f>
        <v>0</v>
      </c>
      <c r="P68" s="450" t="n">
        <f aca="false">+ROUND($A68*J68,2)</f>
        <v>0</v>
      </c>
      <c r="Q68" s="450" t="n">
        <f aca="false">+ROUND($A68*K68,2)</f>
        <v>0</v>
      </c>
      <c r="R68" s="449" t="n">
        <f aca="false">+ROUND($A68*L68,2)</f>
        <v>0</v>
      </c>
      <c r="S68" s="451"/>
      <c r="T68" s="452" t="n">
        <f aca="false">+ROUND($B68*I68,2)</f>
        <v>0</v>
      </c>
      <c r="U68" s="453" t="n">
        <f aca="false">+ROUND($B68*J68,2)</f>
        <v>0</v>
      </c>
      <c r="V68" s="453" t="n">
        <f aca="false">+ROUND($B68*K68,2)</f>
        <v>0</v>
      </c>
      <c r="W68" s="452" t="n">
        <f aca="false">+ROUND($B68*L68,2)</f>
        <v>0</v>
      </c>
      <c r="X68" s="455"/>
      <c r="Y68" s="3"/>
      <c r="Z68" s="3"/>
    </row>
    <row r="69" customFormat="false" ht="21.75" hidden="false" customHeight="true" outlineLevel="0" collapsed="false">
      <c r="A69" s="228"/>
      <c r="B69" s="440"/>
      <c r="C69" s="441" t="str">
        <f aca="false">IF(SUM(A69:B69)=0,"",SUM(A69:B69))</f>
        <v/>
      </c>
      <c r="D69" s="543" t="s">
        <v>571</v>
      </c>
      <c r="E69" s="543" t="s">
        <v>495</v>
      </c>
      <c r="F69" s="543" t="s">
        <v>564</v>
      </c>
      <c r="G69" s="544" t="n">
        <v>7</v>
      </c>
      <c r="H69" s="545" t="n">
        <v>532</v>
      </c>
      <c r="I69" s="546" t="n">
        <v>0.15</v>
      </c>
      <c r="J69" s="547" t="n">
        <v>12.02</v>
      </c>
      <c r="K69" s="547" t="n">
        <v>242.38</v>
      </c>
      <c r="L69" s="548" t="n">
        <v>0.00049</v>
      </c>
      <c r="M69" s="549" t="s">
        <v>492</v>
      </c>
      <c r="N69" s="3"/>
      <c r="O69" s="449" t="n">
        <f aca="false">+ROUND($A69*I69,2)</f>
        <v>0</v>
      </c>
      <c r="P69" s="450" t="n">
        <f aca="false">+ROUND($A69*J69,2)</f>
        <v>0</v>
      </c>
      <c r="Q69" s="450" t="n">
        <f aca="false">+ROUND($A69*K69,2)</f>
        <v>0</v>
      </c>
      <c r="R69" s="449" t="n">
        <f aca="false">+ROUND($A69*L69,2)</f>
        <v>0</v>
      </c>
      <c r="S69" s="451"/>
      <c r="T69" s="452" t="n">
        <f aca="false">+ROUND($B69*I69,2)</f>
        <v>0</v>
      </c>
      <c r="U69" s="453" t="n">
        <f aca="false">+ROUND($B69*J69,2)</f>
        <v>0</v>
      </c>
      <c r="V69" s="453" t="n">
        <f aca="false">+ROUND($B69*K69,2)</f>
        <v>0</v>
      </c>
      <c r="W69" s="452" t="n">
        <f aca="false">+ROUND($B69*L69,2)</f>
        <v>0</v>
      </c>
      <c r="X69" s="455"/>
      <c r="Y69" s="3"/>
      <c r="Z69" s="3"/>
    </row>
    <row r="70" customFormat="false" ht="21.75" hidden="false" customHeight="true" outlineLevel="0" collapsed="false">
      <c r="A70" s="228"/>
      <c r="B70" s="440"/>
      <c r="C70" s="441" t="str">
        <f aca="false">IF(SUM(A70:B70)=0,"",SUM(A70:B70))</f>
        <v/>
      </c>
      <c r="D70" s="543" t="s">
        <v>571</v>
      </c>
      <c r="E70" s="543" t="s">
        <v>572</v>
      </c>
      <c r="F70" s="543" t="s">
        <v>564</v>
      </c>
      <c r="G70" s="544" t="n">
        <v>7</v>
      </c>
      <c r="H70" s="545" t="n">
        <v>532</v>
      </c>
      <c r="I70" s="546" t="n">
        <v>0.15</v>
      </c>
      <c r="J70" s="547" t="n">
        <v>12.02</v>
      </c>
      <c r="K70" s="547" t="n">
        <v>242.38</v>
      </c>
      <c r="L70" s="548" t="n">
        <v>0.00049</v>
      </c>
      <c r="M70" s="549" t="s">
        <v>492</v>
      </c>
      <c r="N70" s="3"/>
      <c r="O70" s="449" t="n">
        <f aca="false">+ROUND($A70*I70,2)</f>
        <v>0</v>
      </c>
      <c r="P70" s="450" t="n">
        <f aca="false">+ROUND($A70*J70,2)</f>
        <v>0</v>
      </c>
      <c r="Q70" s="450" t="n">
        <f aca="false">+ROUND($A70*K70,2)</f>
        <v>0</v>
      </c>
      <c r="R70" s="449" t="n">
        <f aca="false">+ROUND($A70*L70,2)</f>
        <v>0</v>
      </c>
      <c r="S70" s="451"/>
      <c r="T70" s="452" t="n">
        <f aca="false">+ROUND($B70*I70,2)</f>
        <v>0</v>
      </c>
      <c r="U70" s="453" t="n">
        <f aca="false">+ROUND($B70*J70,2)</f>
        <v>0</v>
      </c>
      <c r="V70" s="453" t="n">
        <f aca="false">+ROUND($B70*K70,2)</f>
        <v>0</v>
      </c>
      <c r="W70" s="452" t="n">
        <f aca="false">+ROUND($B70*L70,2)</f>
        <v>0</v>
      </c>
      <c r="X70" s="455"/>
      <c r="Y70" s="3"/>
      <c r="Z70" s="3"/>
    </row>
    <row r="71" customFormat="false" ht="21.75" hidden="false" customHeight="true" outlineLevel="0" collapsed="false">
      <c r="A71" s="228"/>
      <c r="B71" s="440"/>
      <c r="C71" s="441" t="str">
        <f aca="false">IF(SUM(A71:B71)=0,"",SUM(A71:B71))</f>
        <v/>
      </c>
      <c r="D71" s="550" t="s">
        <v>573</v>
      </c>
      <c r="E71" s="550" t="s">
        <v>495</v>
      </c>
      <c r="F71" s="550" t="s">
        <v>564</v>
      </c>
      <c r="G71" s="551" t="n">
        <v>7</v>
      </c>
      <c r="H71" s="552" t="n">
        <v>534</v>
      </c>
      <c r="I71" s="553" t="n">
        <v>0.15</v>
      </c>
      <c r="J71" s="554" t="n">
        <v>6.01</v>
      </c>
      <c r="K71" s="554" t="n">
        <v>27.3</v>
      </c>
      <c r="L71" s="555" t="n">
        <v>0.000245</v>
      </c>
      <c r="M71" s="556" t="s">
        <v>492</v>
      </c>
      <c r="N71" s="3"/>
      <c r="O71" s="449" t="n">
        <f aca="false">+ROUND($A71*I71,2)</f>
        <v>0</v>
      </c>
      <c r="P71" s="450" t="n">
        <f aca="false">+ROUND($A71*J71,2)</f>
        <v>0</v>
      </c>
      <c r="Q71" s="450" t="n">
        <f aca="false">+ROUND($A71*K71,2)</f>
        <v>0</v>
      </c>
      <c r="R71" s="449" t="n">
        <f aca="false">+ROUND($A71*L71,2)</f>
        <v>0</v>
      </c>
      <c r="S71" s="451"/>
      <c r="T71" s="452" t="n">
        <f aca="false">+ROUND($B71*I71,2)</f>
        <v>0</v>
      </c>
      <c r="U71" s="453" t="n">
        <f aca="false">+ROUND($B71*J71,2)</f>
        <v>0</v>
      </c>
      <c r="V71" s="453" t="n">
        <f aca="false">+ROUND($B71*K71,2)</f>
        <v>0</v>
      </c>
      <c r="W71" s="452" t="n">
        <f aca="false">+ROUND($B71*L71,2)</f>
        <v>0</v>
      </c>
      <c r="X71" s="455"/>
      <c r="Y71" s="3"/>
      <c r="Z71" s="3"/>
    </row>
    <row r="72" customFormat="false" ht="21.75" hidden="false" customHeight="true" outlineLevel="0" collapsed="false">
      <c r="A72" s="228"/>
      <c r="B72" s="440"/>
      <c r="C72" s="441" t="str">
        <f aca="false">IF(SUM(A72:B72)=0,"",SUM(A72:B72))</f>
        <v/>
      </c>
      <c r="D72" s="550" t="s">
        <v>573</v>
      </c>
      <c r="E72" s="550" t="s">
        <v>572</v>
      </c>
      <c r="F72" s="550" t="s">
        <v>564</v>
      </c>
      <c r="G72" s="551" t="n">
        <v>7</v>
      </c>
      <c r="H72" s="552" t="n">
        <v>534</v>
      </c>
      <c r="I72" s="553" t="n">
        <v>0.15</v>
      </c>
      <c r="J72" s="554" t="n">
        <v>6.01</v>
      </c>
      <c r="K72" s="554" t="n">
        <v>27.3</v>
      </c>
      <c r="L72" s="555" t="n">
        <v>0.000245</v>
      </c>
      <c r="M72" s="556" t="s">
        <v>492</v>
      </c>
      <c r="N72" s="3"/>
      <c r="O72" s="449" t="n">
        <f aca="false">+ROUND($A72*I72,2)</f>
        <v>0</v>
      </c>
      <c r="P72" s="450" t="n">
        <f aca="false">+ROUND($A72*J72,2)</f>
        <v>0</v>
      </c>
      <c r="Q72" s="450" t="n">
        <f aca="false">+ROUND($A72*K72,2)</f>
        <v>0</v>
      </c>
      <c r="R72" s="449" t="n">
        <f aca="false">+ROUND($A72*L72,2)</f>
        <v>0</v>
      </c>
      <c r="S72" s="451"/>
      <c r="T72" s="452" t="n">
        <f aca="false">+ROUND($B72*I72,2)</f>
        <v>0</v>
      </c>
      <c r="U72" s="453" t="n">
        <f aca="false">+ROUND($B72*J72,2)</f>
        <v>0</v>
      </c>
      <c r="V72" s="453" t="n">
        <f aca="false">+ROUND($B72*K72,2)</f>
        <v>0</v>
      </c>
      <c r="W72" s="452" t="n">
        <f aca="false">+ROUND($B72*L72,2)</f>
        <v>0</v>
      </c>
      <c r="X72" s="455"/>
      <c r="Y72" s="3"/>
      <c r="Z72" s="3"/>
    </row>
    <row r="73" customFormat="false" ht="21.75" hidden="false" customHeight="true" outlineLevel="0" collapsed="false">
      <c r="A73" s="228"/>
      <c r="B73" s="440"/>
      <c r="C73" s="441" t="str">
        <f aca="false">IF(SUM(A73:B73)=0,"",SUM(A73:B73))</f>
        <v/>
      </c>
      <c r="D73" s="557" t="s">
        <v>574</v>
      </c>
      <c r="E73" s="557" t="s">
        <v>575</v>
      </c>
      <c r="F73" s="557" t="s">
        <v>564</v>
      </c>
      <c r="G73" s="558" t="n">
        <v>7</v>
      </c>
      <c r="H73" s="559" t="n">
        <v>531</v>
      </c>
      <c r="I73" s="560" t="n">
        <v>0.3</v>
      </c>
      <c r="J73" s="561" t="n">
        <v>150.25</v>
      </c>
      <c r="K73" s="561" t="n">
        <v>1034.5</v>
      </c>
      <c r="L73" s="562" t="n">
        <v>0.006124</v>
      </c>
      <c r="M73" s="563" t="s">
        <v>492</v>
      </c>
      <c r="N73" s="3"/>
      <c r="O73" s="449" t="n">
        <f aca="false">+ROUND($A73*I73,2)</f>
        <v>0</v>
      </c>
      <c r="P73" s="450" t="n">
        <f aca="false">+ROUND($A73*J73,2)</f>
        <v>0</v>
      </c>
      <c r="Q73" s="450" t="n">
        <f aca="false">+ROUND($A73*K73,2)</f>
        <v>0</v>
      </c>
      <c r="R73" s="449" t="n">
        <f aca="false">+ROUND($A73*L73,2)</f>
        <v>0</v>
      </c>
      <c r="S73" s="451"/>
      <c r="T73" s="452" t="n">
        <f aca="false">+ROUND($B73*I73,2)</f>
        <v>0</v>
      </c>
      <c r="U73" s="453" t="n">
        <f aca="false">+ROUND($B73*J73,2)</f>
        <v>0</v>
      </c>
      <c r="V73" s="453" t="n">
        <f aca="false">+ROUND($B73*K73,2)</f>
        <v>0</v>
      </c>
      <c r="W73" s="452" t="n">
        <f aca="false">+ROUND($B73*L73,2)</f>
        <v>0</v>
      </c>
      <c r="X73" s="455"/>
      <c r="Y73" s="3"/>
      <c r="Z73" s="3"/>
    </row>
    <row r="74" customFormat="false" ht="21.75" hidden="false" customHeight="true" outlineLevel="0" collapsed="false">
      <c r="A74" s="228"/>
      <c r="B74" s="440"/>
      <c r="C74" s="441" t="str">
        <f aca="false">IF(SUM(A74:B74)=0,"",SUM(A74:B74))</f>
        <v/>
      </c>
      <c r="D74" s="557" t="s">
        <v>574</v>
      </c>
      <c r="E74" s="557" t="s">
        <v>576</v>
      </c>
      <c r="F74" s="557" t="s">
        <v>564</v>
      </c>
      <c r="G74" s="558" t="n">
        <v>7</v>
      </c>
      <c r="H74" s="559" t="n">
        <v>531</v>
      </c>
      <c r="I74" s="560" t="n">
        <v>0.3</v>
      </c>
      <c r="J74" s="561" t="n">
        <v>150.25</v>
      </c>
      <c r="K74" s="561" t="n">
        <v>1034.5</v>
      </c>
      <c r="L74" s="562" t="n">
        <v>0.006124</v>
      </c>
      <c r="M74" s="563" t="s">
        <v>492</v>
      </c>
      <c r="N74" s="3"/>
      <c r="O74" s="449" t="n">
        <f aca="false">+ROUND($A74*I74,2)</f>
        <v>0</v>
      </c>
      <c r="P74" s="450" t="n">
        <f aca="false">+ROUND($A74*J74,2)</f>
        <v>0</v>
      </c>
      <c r="Q74" s="450" t="n">
        <f aca="false">+ROUND($A74*K74,2)</f>
        <v>0</v>
      </c>
      <c r="R74" s="449" t="n">
        <f aca="false">+ROUND($A74*L74,2)</f>
        <v>0</v>
      </c>
      <c r="S74" s="451"/>
      <c r="T74" s="452" t="n">
        <f aca="false">+ROUND($B74*I74,2)</f>
        <v>0</v>
      </c>
      <c r="U74" s="453" t="n">
        <f aca="false">+ROUND($B74*J74,2)</f>
        <v>0</v>
      </c>
      <c r="V74" s="453" t="n">
        <f aca="false">+ROUND($B74*K74,2)</f>
        <v>0</v>
      </c>
      <c r="W74" s="452" t="n">
        <f aca="false">+ROUND($B74*L74,2)</f>
        <v>0</v>
      </c>
      <c r="X74" s="455"/>
      <c r="Y74" s="3"/>
      <c r="Z74" s="3"/>
    </row>
    <row r="75" customFormat="false" ht="21.75" hidden="false" customHeight="true" outlineLevel="0" collapsed="false">
      <c r="A75" s="228"/>
      <c r="B75" s="440"/>
      <c r="C75" s="441" t="str">
        <f aca="false">IF(SUM(A75:B75)=0,"",SUM(A75:B75))</f>
        <v/>
      </c>
      <c r="D75" s="557" t="s">
        <v>574</v>
      </c>
      <c r="E75" s="557" t="s">
        <v>577</v>
      </c>
      <c r="F75" s="557" t="s">
        <v>564</v>
      </c>
      <c r="G75" s="558" t="n">
        <v>7</v>
      </c>
      <c r="H75" s="559" t="n">
        <v>531</v>
      </c>
      <c r="I75" s="560" t="n">
        <v>0.3</v>
      </c>
      <c r="J75" s="561" t="n">
        <v>150.25</v>
      </c>
      <c r="K75" s="561" t="n">
        <v>1034.5</v>
      </c>
      <c r="L75" s="562" t="n">
        <v>0.006124</v>
      </c>
      <c r="M75" s="563" t="s">
        <v>492</v>
      </c>
      <c r="N75" s="3"/>
      <c r="O75" s="449" t="n">
        <f aca="false">+ROUND($A75*I75,2)</f>
        <v>0</v>
      </c>
      <c r="P75" s="450" t="n">
        <f aca="false">+ROUND($A75*J75,2)</f>
        <v>0</v>
      </c>
      <c r="Q75" s="450" t="n">
        <f aca="false">+ROUND($A75*K75,2)</f>
        <v>0</v>
      </c>
      <c r="R75" s="449" t="n">
        <f aca="false">+ROUND($A75*L75,2)</f>
        <v>0</v>
      </c>
      <c r="S75" s="451"/>
      <c r="T75" s="452" t="n">
        <f aca="false">+ROUND($B75*I75,2)</f>
        <v>0</v>
      </c>
      <c r="U75" s="453" t="n">
        <f aca="false">+ROUND($B75*J75,2)</f>
        <v>0</v>
      </c>
      <c r="V75" s="453" t="n">
        <f aca="false">+ROUND($B75*K75,2)</f>
        <v>0</v>
      </c>
      <c r="W75" s="452" t="n">
        <f aca="false">+ROUND($B75*L75,2)</f>
        <v>0</v>
      </c>
      <c r="X75" s="455"/>
      <c r="Y75" s="3"/>
      <c r="Z75" s="3"/>
    </row>
    <row r="76" customFormat="false" ht="21.75" hidden="false" customHeight="true" outlineLevel="0" collapsed="false">
      <c r="A76" s="228"/>
      <c r="B76" s="440"/>
      <c r="C76" s="441" t="str">
        <f aca="false">IF(SUM(A76:B76)=0,"",SUM(A76:B76))</f>
        <v/>
      </c>
      <c r="D76" s="557" t="s">
        <v>574</v>
      </c>
      <c r="E76" s="557" t="s">
        <v>578</v>
      </c>
      <c r="F76" s="557" t="s">
        <v>564</v>
      </c>
      <c r="G76" s="558" t="n">
        <v>7</v>
      </c>
      <c r="H76" s="559" t="n">
        <v>531</v>
      </c>
      <c r="I76" s="560" t="n">
        <v>0.3</v>
      </c>
      <c r="J76" s="561" t="n">
        <v>150.25</v>
      </c>
      <c r="K76" s="561" t="n">
        <v>1034.5</v>
      </c>
      <c r="L76" s="562" t="n">
        <v>0.006124</v>
      </c>
      <c r="M76" s="563" t="s">
        <v>492</v>
      </c>
      <c r="N76" s="3"/>
      <c r="O76" s="449" t="n">
        <f aca="false">+ROUND($A76*I76,2)</f>
        <v>0</v>
      </c>
      <c r="P76" s="450" t="n">
        <f aca="false">+ROUND($A76*J76,2)</f>
        <v>0</v>
      </c>
      <c r="Q76" s="450" t="n">
        <f aca="false">+ROUND($A76*K76,2)</f>
        <v>0</v>
      </c>
      <c r="R76" s="449" t="n">
        <f aca="false">+ROUND($A76*L76,2)</f>
        <v>0</v>
      </c>
      <c r="S76" s="451"/>
      <c r="T76" s="452" t="n">
        <f aca="false">+ROUND($B76*I76,2)</f>
        <v>0</v>
      </c>
      <c r="U76" s="453" t="n">
        <f aca="false">+ROUND($B76*J76,2)</f>
        <v>0</v>
      </c>
      <c r="V76" s="453" t="n">
        <f aca="false">+ROUND($B76*K76,2)</f>
        <v>0</v>
      </c>
      <c r="W76" s="452" t="n">
        <f aca="false">+ROUND($B76*L76,2)</f>
        <v>0</v>
      </c>
      <c r="X76" s="455"/>
      <c r="Y76" s="3"/>
      <c r="Z76" s="3"/>
    </row>
    <row r="77" customFormat="false" ht="21.75" hidden="false" customHeight="true" outlineLevel="0" collapsed="false">
      <c r="A77" s="228"/>
      <c r="B77" s="440"/>
      <c r="C77" s="441" t="str">
        <f aca="false">IF(SUM(A77:B77)=0,"",SUM(A77:B77))</f>
        <v/>
      </c>
      <c r="D77" s="564" t="s">
        <v>579</v>
      </c>
      <c r="E77" s="564" t="s">
        <v>575</v>
      </c>
      <c r="F77" s="564" t="s">
        <v>564</v>
      </c>
      <c r="G77" s="565" t="n">
        <v>7</v>
      </c>
      <c r="H77" s="566" t="n">
        <v>533</v>
      </c>
      <c r="I77" s="567" t="n">
        <v>0.3</v>
      </c>
      <c r="J77" s="568" t="n">
        <v>75.73</v>
      </c>
      <c r="K77" s="568" t="n">
        <v>295</v>
      </c>
      <c r="L77" s="569" t="n">
        <v>0.003087</v>
      </c>
      <c r="M77" s="570" t="s">
        <v>492</v>
      </c>
      <c r="N77" s="3"/>
      <c r="O77" s="449" t="n">
        <f aca="false">+ROUND($A77*I77,2)</f>
        <v>0</v>
      </c>
      <c r="P77" s="450" t="n">
        <f aca="false">+ROUND($A77*J77,2)</f>
        <v>0</v>
      </c>
      <c r="Q77" s="450" t="n">
        <f aca="false">+ROUND($A77*K77,2)</f>
        <v>0</v>
      </c>
      <c r="R77" s="449" t="n">
        <f aca="false">+ROUND($A77*L77,2)</f>
        <v>0</v>
      </c>
      <c r="S77" s="451"/>
      <c r="T77" s="452" t="n">
        <f aca="false">+ROUND($B77*I77,2)</f>
        <v>0</v>
      </c>
      <c r="U77" s="453" t="n">
        <f aca="false">+ROUND($B77*J77,2)</f>
        <v>0</v>
      </c>
      <c r="V77" s="453" t="n">
        <f aca="false">+ROUND($B77*K77,2)</f>
        <v>0</v>
      </c>
      <c r="W77" s="452" t="n">
        <f aca="false">+ROUND($B77*L77,2)</f>
        <v>0</v>
      </c>
      <c r="X77" s="455"/>
      <c r="Y77" s="3"/>
      <c r="Z77" s="3"/>
    </row>
    <row r="78" customFormat="false" ht="14.25" hidden="false" customHeight="false" outlineLevel="0" collapsed="false">
      <c r="A78" s="228"/>
      <c r="B78" s="440"/>
      <c r="C78" s="441" t="str">
        <f aca="false">IF(SUM(A78:B78)=0,"",SUM(A78:B78))</f>
        <v/>
      </c>
      <c r="D78" s="564" t="s">
        <v>579</v>
      </c>
      <c r="E78" s="564" t="s">
        <v>576</v>
      </c>
      <c r="F78" s="564" t="s">
        <v>564</v>
      </c>
      <c r="G78" s="565" t="n">
        <v>7</v>
      </c>
      <c r="H78" s="566" t="n">
        <v>533</v>
      </c>
      <c r="I78" s="567" t="n">
        <v>0.3</v>
      </c>
      <c r="J78" s="568" t="n">
        <v>75.73</v>
      </c>
      <c r="K78" s="568" t="n">
        <v>295</v>
      </c>
      <c r="L78" s="569" t="n">
        <v>0.003087</v>
      </c>
      <c r="M78" s="570" t="s">
        <v>492</v>
      </c>
      <c r="N78" s="3"/>
      <c r="O78" s="449" t="n">
        <f aca="false">+ROUND($A78*I78,2)</f>
        <v>0</v>
      </c>
      <c r="P78" s="450" t="n">
        <f aca="false">+ROUND($A78*J78,2)</f>
        <v>0</v>
      </c>
      <c r="Q78" s="450" t="n">
        <f aca="false">+ROUND($A78*K78,2)</f>
        <v>0</v>
      </c>
      <c r="R78" s="449" t="n">
        <f aca="false">+ROUND($A78*L78,2)</f>
        <v>0</v>
      </c>
      <c r="S78" s="451"/>
      <c r="T78" s="452" t="n">
        <f aca="false">+ROUND($B78*I78,2)</f>
        <v>0</v>
      </c>
      <c r="U78" s="453" t="n">
        <f aca="false">+ROUND($B78*J78,2)</f>
        <v>0</v>
      </c>
      <c r="V78" s="453" t="n">
        <f aca="false">+ROUND($B78*K78,2)</f>
        <v>0</v>
      </c>
      <c r="W78" s="452" t="n">
        <f aca="false">+ROUND($B78*L78,2)</f>
        <v>0</v>
      </c>
      <c r="X78" s="455"/>
      <c r="Y78" s="3"/>
      <c r="Z78" s="3"/>
    </row>
    <row r="79" customFormat="false" ht="14.25" hidden="false" customHeight="false" outlineLevel="0" collapsed="false">
      <c r="A79" s="228"/>
      <c r="B79" s="440"/>
      <c r="C79" s="441" t="str">
        <f aca="false">IF(SUM(A79:B79)=0,"",SUM(A79:B79))</f>
        <v/>
      </c>
      <c r="D79" s="564" t="s">
        <v>579</v>
      </c>
      <c r="E79" s="564" t="s">
        <v>577</v>
      </c>
      <c r="F79" s="564" t="s">
        <v>564</v>
      </c>
      <c r="G79" s="565" t="n">
        <v>7</v>
      </c>
      <c r="H79" s="566" t="n">
        <v>533</v>
      </c>
      <c r="I79" s="567" t="n">
        <v>0.3</v>
      </c>
      <c r="J79" s="568" t="n">
        <v>75.73</v>
      </c>
      <c r="K79" s="568" t="n">
        <v>295</v>
      </c>
      <c r="L79" s="569" t="n">
        <v>0.003087</v>
      </c>
      <c r="M79" s="570" t="s">
        <v>492</v>
      </c>
      <c r="N79" s="3"/>
      <c r="O79" s="449" t="n">
        <f aca="false">+ROUND($A79*I79,2)</f>
        <v>0</v>
      </c>
      <c r="P79" s="450" t="n">
        <f aca="false">+ROUND($A79*J79,2)</f>
        <v>0</v>
      </c>
      <c r="Q79" s="450" t="n">
        <f aca="false">+ROUND($A79*K79,2)</f>
        <v>0</v>
      </c>
      <c r="R79" s="449" t="n">
        <f aca="false">+ROUND($A79*L79,2)</f>
        <v>0</v>
      </c>
      <c r="S79" s="451"/>
      <c r="T79" s="452" t="n">
        <f aca="false">+ROUND($B79*I79,2)</f>
        <v>0</v>
      </c>
      <c r="U79" s="453" t="n">
        <f aca="false">+ROUND($B79*J79,2)</f>
        <v>0</v>
      </c>
      <c r="V79" s="453" t="n">
        <f aca="false">+ROUND($B79*K79,2)</f>
        <v>0</v>
      </c>
      <c r="W79" s="452" t="n">
        <f aca="false">+ROUND($B79*L79,2)</f>
        <v>0</v>
      </c>
      <c r="X79" s="455"/>
      <c r="Y79" s="3"/>
      <c r="Z79" s="3"/>
    </row>
    <row r="80" customFormat="false" ht="14.25" hidden="false" customHeight="false" outlineLevel="0" collapsed="false">
      <c r="A80" s="228"/>
      <c r="B80" s="440"/>
      <c r="C80" s="441" t="str">
        <f aca="false">IF(SUM(A80:B80)=0,"",SUM(A80:B80))</f>
        <v/>
      </c>
      <c r="D80" s="564" t="s">
        <v>579</v>
      </c>
      <c r="E80" s="564" t="s">
        <v>578</v>
      </c>
      <c r="F80" s="564" t="s">
        <v>564</v>
      </c>
      <c r="G80" s="565" t="n">
        <v>7</v>
      </c>
      <c r="H80" s="566" t="n">
        <v>533</v>
      </c>
      <c r="I80" s="567" t="n">
        <v>0.3</v>
      </c>
      <c r="J80" s="568" t="n">
        <v>75.73</v>
      </c>
      <c r="K80" s="568" t="n">
        <v>295</v>
      </c>
      <c r="L80" s="569" t="n">
        <v>0.003087</v>
      </c>
      <c r="M80" s="570" t="s">
        <v>492</v>
      </c>
      <c r="N80" s="3"/>
      <c r="O80" s="449" t="n">
        <f aca="false">+ROUND($A80*I80,2)</f>
        <v>0</v>
      </c>
      <c r="P80" s="450" t="n">
        <f aca="false">+ROUND($A80*J80,2)</f>
        <v>0</v>
      </c>
      <c r="Q80" s="450" t="n">
        <f aca="false">+ROUND($A80*K80,2)</f>
        <v>0</v>
      </c>
      <c r="R80" s="449" t="n">
        <f aca="false">+ROUND($A80*L80,2)</f>
        <v>0</v>
      </c>
      <c r="S80" s="451"/>
      <c r="T80" s="452" t="n">
        <f aca="false">+ROUND($B80*I80,2)</f>
        <v>0</v>
      </c>
      <c r="U80" s="453" t="n">
        <f aca="false">+ROUND($B80*J80,2)</f>
        <v>0</v>
      </c>
      <c r="V80" s="453" t="n">
        <f aca="false">+ROUND($B80*K80,2)</f>
        <v>0</v>
      </c>
      <c r="W80" s="452" t="n">
        <f aca="false">+ROUND($B80*L80,2)</f>
        <v>0</v>
      </c>
      <c r="X80" s="455"/>
      <c r="Y80" s="3"/>
      <c r="Z80" s="3"/>
    </row>
    <row r="81" customFormat="false" ht="14.25" hidden="false" customHeight="false" outlineLevel="0" collapsed="false">
      <c r="A81" s="228"/>
      <c r="B81" s="440"/>
      <c r="C81" s="441" t="str">
        <f aca="false">IF(SUM(A81:B81)=0,"",SUM(A81:B81))</f>
        <v/>
      </c>
      <c r="D81" s="442" t="s">
        <v>580</v>
      </c>
      <c r="E81" s="443" t="s">
        <v>581</v>
      </c>
      <c r="F81" s="443" t="s">
        <v>564</v>
      </c>
      <c r="G81" s="134" t="n">
        <v>7</v>
      </c>
      <c r="H81" s="444" t="n">
        <v>538</v>
      </c>
      <c r="I81" s="445" t="n">
        <v>0.3</v>
      </c>
      <c r="J81" s="446" t="n">
        <v>150.25</v>
      </c>
      <c r="K81" s="446" t="n">
        <v>1034.5</v>
      </c>
      <c r="L81" s="447" t="n">
        <v>0.006124</v>
      </c>
      <c r="M81" s="448" t="s">
        <v>492</v>
      </c>
      <c r="N81" s="3"/>
      <c r="O81" s="449" t="n">
        <f aca="false">+ROUND($A81*I81,2)</f>
        <v>0</v>
      </c>
      <c r="P81" s="450" t="n">
        <f aca="false">+ROUND($A81*J81,2)</f>
        <v>0</v>
      </c>
      <c r="Q81" s="450" t="n">
        <f aca="false">+ROUND($A81*K81,2)</f>
        <v>0</v>
      </c>
      <c r="R81" s="449" t="n">
        <f aca="false">+ROUND($A81*L81,2)</f>
        <v>0</v>
      </c>
      <c r="S81" s="451"/>
      <c r="T81" s="452" t="n">
        <f aca="false">+ROUND($B81*I81,2)</f>
        <v>0</v>
      </c>
      <c r="U81" s="453" t="n">
        <f aca="false">+ROUND($B81*J81,2)</f>
        <v>0</v>
      </c>
      <c r="V81" s="453" t="n">
        <f aca="false">+ROUND($B81*K81,2)</f>
        <v>0</v>
      </c>
      <c r="W81" s="452" t="n">
        <f aca="false">+ROUND($B81*L81,2)</f>
        <v>0</v>
      </c>
      <c r="X81" s="455"/>
      <c r="Y81" s="3"/>
      <c r="Z81" s="3"/>
    </row>
    <row r="82" customFormat="false" ht="14.25" hidden="false" customHeight="false" outlineLevel="0" collapsed="false">
      <c r="A82" s="228"/>
      <c r="B82" s="440"/>
      <c r="C82" s="571" t="str">
        <f aca="false">IF(SUM(A82:B82)=0,"",SUM(A82:B82))</f>
        <v/>
      </c>
      <c r="D82" s="442" t="s">
        <v>582</v>
      </c>
      <c r="E82" s="443" t="s">
        <v>581</v>
      </c>
      <c r="F82" s="443" t="s">
        <v>564</v>
      </c>
      <c r="G82" s="134" t="n">
        <v>7</v>
      </c>
      <c r="H82" s="444" t="n">
        <v>539</v>
      </c>
      <c r="I82" s="445" t="n">
        <v>0.3</v>
      </c>
      <c r="J82" s="446" t="n">
        <v>75.73</v>
      </c>
      <c r="K82" s="446" t="n">
        <v>295</v>
      </c>
      <c r="L82" s="447" t="n">
        <v>0.003087</v>
      </c>
      <c r="M82" s="448" t="s">
        <v>492</v>
      </c>
      <c r="N82" s="3"/>
      <c r="O82" s="449" t="n">
        <f aca="false">+ROUND($A82*I82,2)</f>
        <v>0</v>
      </c>
      <c r="P82" s="450" t="n">
        <f aca="false">+ROUND($A82*J82,2)</f>
        <v>0</v>
      </c>
      <c r="Q82" s="450" t="n">
        <f aca="false">+ROUND($A82*K82,2)</f>
        <v>0</v>
      </c>
      <c r="R82" s="449" t="n">
        <f aca="false">+ROUND($A82*L82,2)</f>
        <v>0</v>
      </c>
      <c r="S82" s="451"/>
      <c r="T82" s="452" t="n">
        <f aca="false">+ROUND($B82*I82,2)</f>
        <v>0</v>
      </c>
      <c r="U82" s="453" t="n">
        <f aca="false">+ROUND($B82*J82,2)</f>
        <v>0</v>
      </c>
      <c r="V82" s="453" t="n">
        <f aca="false">+ROUND($B82*K82,2)</f>
        <v>0</v>
      </c>
      <c r="W82" s="452" t="n">
        <f aca="false">+ROUND($B82*L82,2)</f>
        <v>0</v>
      </c>
      <c r="X82" s="455"/>
      <c r="Y82" s="3"/>
      <c r="Z82" s="3"/>
    </row>
  </sheetData>
  <sheetProtection sheet="true" password="cc9e" objects="true" scenarios="true"/>
  <autoFilter ref="C10:D82"/>
  <mergeCells count="2">
    <mergeCell ref="A1:B9"/>
    <mergeCell ref="F42:G42"/>
  </mergeCells>
  <conditionalFormatting sqref="T6:T7">
    <cfRule type="cellIs" priority="2" operator="equal" aboveAverage="0" equalAverage="0" bottom="0" percent="0" rank="0" text="" dxfId="36">
      <formula>0</formula>
    </cfRule>
  </conditionalFormatting>
  <conditionalFormatting sqref="T10:W10">
    <cfRule type="cellIs" priority="3" operator="equal" aboveAverage="0" equalAverage="0" bottom="0" percent="0" rank="0" text="" dxfId="37">
      <formula>0</formula>
    </cfRule>
  </conditionalFormatting>
  <conditionalFormatting sqref="O6:O7">
    <cfRule type="cellIs" priority="4" operator="equal" aboveAverage="0" equalAverage="0" bottom="0" percent="0" rank="0" text="" dxfId="38">
      <formula>0</formula>
    </cfRule>
  </conditionalFormatting>
  <conditionalFormatting sqref="O10:R10">
    <cfRule type="cellIs" priority="5" operator="equal" aboveAverage="0" equalAverage="0" bottom="0" percent="0" rank="0" text="" dxfId="39">
      <formula>0</formula>
    </cfRule>
  </conditionalFormatting>
  <conditionalFormatting sqref="O11:X62 O63:W82">
    <cfRule type="cellIs" priority="6" operator="equal" aboveAverage="0" equalAverage="0" bottom="0" percent="0" rank="0" text="" dxfId="40">
      <formula>0</formula>
    </cfRule>
  </conditionalFormatting>
  <printOptions headings="false" gridLines="false" gridLinesSet="true" horizontalCentered="false" verticalCentered="false"/>
  <pageMargins left="0.25" right="0.25" top="1.14375" bottom="1.14375" header="0.511811023622047" footer="0.511811023622047"/>
  <pageSetup paperSize="77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I190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C25" activeCellId="0" sqref="C25"/>
    </sheetView>
  </sheetViews>
  <sheetFormatPr defaultColWidth="11.3828125" defaultRowHeight="14.25" zeroHeight="false" outlineLevelRow="0" outlineLevelCol="0"/>
  <cols>
    <col collapsed="false" customWidth="true" hidden="false" outlineLevel="0" max="1" min="1" style="2" width="2.38"/>
    <col collapsed="false" customWidth="true" hidden="false" outlineLevel="0" max="2" min="2" style="2" width="18.25"/>
    <col collapsed="false" customWidth="true" hidden="false" outlineLevel="0" max="3" min="3" style="2" width="20.88"/>
    <col collapsed="false" customWidth="true" hidden="false" outlineLevel="0" max="4" min="4" style="2" width="2.88"/>
    <col collapsed="false" customWidth="true" hidden="false" outlineLevel="0" max="5" min="5" style="2" width="22.13"/>
    <col collapsed="false" customWidth="true" hidden="false" outlineLevel="0" max="6" min="6" style="2" width="9.25"/>
    <col collapsed="false" customWidth="true" hidden="false" outlineLevel="0" max="7" min="7" style="2" width="16.38"/>
    <col collapsed="false" customWidth="true" hidden="false" outlineLevel="0" max="8" min="8" style="2" width="16.88"/>
    <col collapsed="false" customWidth="true" hidden="false" outlineLevel="0" max="9" min="9" style="2" width="7.75"/>
    <col collapsed="false" customWidth="true" hidden="false" outlineLevel="0" max="10" min="10" style="2" width="22.88"/>
    <col collapsed="false" customWidth="true" hidden="true" outlineLevel="0" max="11" min="11" style="2" width="9.25"/>
    <col collapsed="false" customWidth="true" hidden="true" outlineLevel="0" max="12" min="12" style="2" width="15.25"/>
    <col collapsed="false" customWidth="true" hidden="true" outlineLevel="0" max="13" min="13" style="2" width="5.63"/>
    <col collapsed="false" customWidth="true" hidden="true" outlineLevel="0" max="14" min="14" style="2" width="61.88"/>
    <col collapsed="false" customWidth="true" hidden="true" outlineLevel="0" max="15" min="15" style="2" width="5"/>
    <col collapsed="false" customWidth="true" hidden="true" outlineLevel="0" max="16" min="16" style="2" width="8.13"/>
    <col collapsed="false" customWidth="true" hidden="true" outlineLevel="0" max="17" min="17" style="2" width="11.88"/>
    <col collapsed="false" customWidth="true" hidden="true" outlineLevel="0" max="18" min="18" style="2" width="14.63"/>
    <col collapsed="false" customWidth="true" hidden="true" outlineLevel="0" max="19" min="19" style="2" width="13.75"/>
    <col collapsed="false" customWidth="true" hidden="true" outlineLevel="0" max="21" min="20" style="2" width="12.88"/>
    <col collapsed="false" customWidth="true" hidden="false" outlineLevel="0" max="22" min="22" style="2" width="1.63"/>
  </cols>
  <sheetData>
    <row r="1" s="3" customFormat="true" ht="15" hidden="false" customHeight="true" outlineLevel="0" collapsed="false">
      <c r="A1" s="6"/>
      <c r="B1" s="6"/>
      <c r="C1" s="6"/>
      <c r="D1" s="6"/>
      <c r="E1" s="572" t="s">
        <v>583</v>
      </c>
      <c r="F1" s="572"/>
      <c r="G1" s="572"/>
      <c r="H1" s="572"/>
      <c r="I1" s="572"/>
      <c r="J1" s="572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="3" customFormat="true" ht="14.25" hidden="false" customHeight="false" outlineLevel="0" collapsed="false">
      <c r="A2" s="6"/>
      <c r="B2" s="6"/>
      <c r="C2" s="6"/>
      <c r="D2" s="6"/>
      <c r="E2" s="572"/>
      <c r="F2" s="572"/>
      <c r="G2" s="572"/>
      <c r="H2" s="572"/>
      <c r="I2" s="572"/>
      <c r="J2" s="572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="3" customFormat="true" ht="14.25" hidden="false" customHeight="false" outlineLevel="0" collapsed="false">
      <c r="A3" s="6"/>
      <c r="B3" s="6"/>
      <c r="C3" s="6"/>
      <c r="D3" s="6"/>
      <c r="E3" s="572"/>
      <c r="F3" s="572"/>
      <c r="G3" s="572"/>
      <c r="H3" s="572"/>
      <c r="I3" s="572"/>
      <c r="J3" s="572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="3" customFormat="true" ht="14.25" hidden="false" customHeight="false" outlineLevel="0" collapsed="false">
      <c r="A4" s="6"/>
      <c r="B4" s="6"/>
      <c r="C4" s="6"/>
      <c r="D4" s="6"/>
      <c r="E4" s="572"/>
      <c r="F4" s="572"/>
      <c r="G4" s="572"/>
      <c r="H4" s="572"/>
      <c r="I4" s="572"/>
      <c r="J4" s="572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="3" customFormat="true" ht="14.25" hidden="false" customHeight="false" outlineLevel="0" collapsed="false">
      <c r="A5" s="6"/>
      <c r="B5" s="6"/>
      <c r="C5" s="6"/>
      <c r="D5" s="6"/>
      <c r="E5" s="572"/>
      <c r="F5" s="572"/>
      <c r="G5" s="572"/>
      <c r="H5" s="572"/>
      <c r="I5" s="572"/>
      <c r="J5" s="572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="3" customFormat="true" ht="15" hidden="false" customHeight="true" outlineLevel="0" collapsed="false">
      <c r="A6" s="6"/>
      <c r="B6" s="6"/>
      <c r="C6" s="6"/>
      <c r="D6" s="6"/>
      <c r="E6" s="573" t="s">
        <v>584</v>
      </c>
      <c r="F6" s="573"/>
      <c r="G6" s="573"/>
      <c r="H6" s="573"/>
      <c r="I6" s="573"/>
      <c r="J6" s="573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="3" customFormat="true" ht="15" hidden="false" customHeight="true" outlineLevel="0" collapsed="false">
      <c r="A7" s="6"/>
      <c r="B7" s="6"/>
      <c r="C7" s="6"/>
      <c r="D7" s="6"/>
      <c r="E7" s="573"/>
      <c r="F7" s="573"/>
      <c r="G7" s="573"/>
      <c r="H7" s="573"/>
      <c r="I7" s="573"/>
      <c r="J7" s="573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="3" customFormat="true" ht="17.35" hidden="false" customHeight="false" outlineLevel="0" collapsed="false">
      <c r="A8" s="6"/>
      <c r="B8" s="6"/>
      <c r="C8" s="6"/>
      <c r="D8" s="6"/>
      <c r="E8" s="574"/>
      <c r="F8" s="575"/>
      <c r="G8" s="575"/>
      <c r="H8" s="575"/>
      <c r="I8" s="575"/>
      <c r="J8" s="575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="3" customFormat="true" ht="17.25" hidden="false" customHeight="true" outlineLevel="0" collapsed="false">
      <c r="A9" s="6"/>
      <c r="B9" s="576" t="s">
        <v>585</v>
      </c>
      <c r="C9" s="577" t="n">
        <v>255151</v>
      </c>
      <c r="D9" s="578"/>
      <c r="E9" s="579" t="s">
        <v>586</v>
      </c>
      <c r="F9" s="580"/>
      <c r="G9" s="581" t="s">
        <v>587</v>
      </c>
      <c r="H9" s="581"/>
      <c r="I9" s="581"/>
      <c r="J9" s="581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="3" customFormat="true" ht="17.35" hidden="false" customHeight="false" outlineLevel="0" collapsed="false">
      <c r="A10" s="6"/>
      <c r="B10" s="6"/>
      <c r="C10" s="582"/>
      <c r="D10" s="6"/>
      <c r="E10" s="574"/>
      <c r="F10" s="575"/>
      <c r="G10" s="575"/>
      <c r="H10" s="575"/>
      <c r="I10" s="575"/>
      <c r="J10" s="575"/>
      <c r="K10" s="583" t="n">
        <f aca="false">E96</f>
        <v>0.773789550804145</v>
      </c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="3" customFormat="true" ht="36.75" hidden="false" customHeight="true" outlineLevel="0" collapsed="false">
      <c r="A11" s="6"/>
      <c r="B11" s="51"/>
      <c r="C11" s="584" t="s">
        <v>588</v>
      </c>
      <c r="D11" s="585"/>
      <c r="E11" s="586" t="n">
        <v>2025</v>
      </c>
      <c r="F11" s="587"/>
      <c r="G11" s="588" t="s">
        <v>589</v>
      </c>
      <c r="H11" s="588"/>
      <c r="I11" s="588"/>
      <c r="J11" s="588"/>
      <c r="L11" s="455"/>
      <c r="M11" s="175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="3" customFormat="true" ht="14.25" hidden="false" customHeight="false" outlineLevel="0" collapsed="false">
      <c r="A12" s="6"/>
      <c r="B12" s="589"/>
      <c r="C12" s="589"/>
      <c r="D12" s="589"/>
      <c r="E12" s="590"/>
      <c r="F12" s="47"/>
      <c r="G12" s="591"/>
      <c r="H12" s="592"/>
      <c r="I12" s="592"/>
      <c r="J12" s="593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="3" customFormat="true" ht="18" hidden="false" customHeight="true" outlineLevel="0" collapsed="false">
      <c r="A13" s="594"/>
      <c r="B13" s="595" t="s">
        <v>590</v>
      </c>
      <c r="C13" s="596" t="str">
        <f aca="false">CONCATENATE("VALOR RR"," ",E11)</f>
        <v>VALOR RR 2025</v>
      </c>
      <c r="D13" s="596"/>
      <c r="E13" s="597" t="n">
        <f aca="false">+IF(E11="(Seleccionar)","¿€ Renta Ref?",VLOOKUP(E11,$B$116:$C$1314,2,0))</f>
        <v>34624.31</v>
      </c>
      <c r="F13" s="598"/>
      <c r="G13" s="599" t="s">
        <v>591</v>
      </c>
      <c r="H13" s="599"/>
      <c r="I13" s="600"/>
      <c r="J13" s="601" t="n">
        <f aca="false">V_PFIS_MOD_2024_VIABILIDAD_!F31</f>
        <v>0</v>
      </c>
      <c r="K13" s="602"/>
      <c r="V13" s="603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="3" customFormat="true" ht="18" hidden="false" customHeight="true" outlineLevel="0" collapsed="false">
      <c r="A14" s="603"/>
      <c r="B14" s="595"/>
      <c r="C14" s="604"/>
      <c r="D14" s="604"/>
      <c r="E14" s="605"/>
      <c r="F14" s="606"/>
      <c r="G14" s="607"/>
      <c r="H14" s="608"/>
      <c r="I14" s="608"/>
      <c r="J14" s="609"/>
      <c r="V14" s="603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="3" customFormat="true" ht="18" hidden="false" customHeight="true" outlineLevel="0" collapsed="false">
      <c r="A15" s="594"/>
      <c r="B15" s="595"/>
      <c r="C15" s="596" t="s">
        <v>592</v>
      </c>
      <c r="D15" s="596"/>
      <c r="E15" s="597" t="n">
        <f aca="false">$E$13*1.2</f>
        <v>41549.172</v>
      </c>
      <c r="F15" s="610"/>
      <c r="G15" s="599" t="s">
        <v>593</v>
      </c>
      <c r="H15" s="599"/>
      <c r="I15" s="600"/>
      <c r="J15" s="601" t="n">
        <f aca="false">V_PFIS_MOD_2024_VIABILIDAD_!F35</f>
        <v>0</v>
      </c>
      <c r="L15" s="455"/>
      <c r="V15" s="603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="3" customFormat="true" ht="18" hidden="false" customHeight="true" outlineLevel="0" collapsed="false">
      <c r="A16" s="594"/>
      <c r="B16" s="595"/>
      <c r="C16" s="611"/>
      <c r="D16" s="611"/>
      <c r="E16" s="612"/>
      <c r="F16" s="610"/>
      <c r="G16" s="613"/>
      <c r="H16" s="614"/>
      <c r="I16" s="614"/>
      <c r="J16" s="615"/>
      <c r="L16" s="616"/>
      <c r="V16" s="603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="3" customFormat="true" ht="18" hidden="false" customHeight="true" outlineLevel="0" collapsed="false">
      <c r="A17" s="594"/>
      <c r="B17" s="595"/>
      <c r="C17" s="596" t="s">
        <v>594</v>
      </c>
      <c r="D17" s="596"/>
      <c r="E17" s="597" t="n">
        <f aca="false">$E$13*0.35</f>
        <v>12118.5085</v>
      </c>
      <c r="F17" s="610"/>
      <c r="G17" s="599" t="s">
        <v>595</v>
      </c>
      <c r="H17" s="599"/>
      <c r="I17" s="600"/>
      <c r="J17" s="601" t="n">
        <f aca="false">MNTOTAL+E36</f>
        <v>178421.875</v>
      </c>
      <c r="K17" s="414"/>
      <c r="V17" s="603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  <row r="18" s="3" customFormat="true" ht="18" hidden="false" customHeight="true" outlineLevel="0" collapsed="false">
      <c r="A18" s="594"/>
      <c r="B18" s="595"/>
      <c r="C18" s="611"/>
      <c r="D18" s="611"/>
      <c r="E18" s="612"/>
      <c r="F18" s="617"/>
      <c r="G18" s="618"/>
      <c r="H18" s="619"/>
      <c r="I18" s="619"/>
      <c r="J18" s="620"/>
      <c r="K18" s="181"/>
      <c r="V18" s="603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</row>
    <row r="19" s="3" customFormat="true" ht="18" hidden="false" customHeight="true" outlineLevel="0" collapsed="false">
      <c r="A19" s="594"/>
      <c r="B19" s="595"/>
      <c r="C19" s="621" t="s">
        <v>596</v>
      </c>
      <c r="D19" s="621"/>
      <c r="E19" s="597" t="n">
        <f aca="false">E13*0.15</f>
        <v>5193.6465</v>
      </c>
      <c r="F19" s="617"/>
      <c r="G19" s="622" t="s">
        <v>597</v>
      </c>
      <c r="H19" s="622"/>
      <c r="I19" s="623"/>
      <c r="J19" s="624" t="str">
        <f aca="false">V_PFIS_MOD_2024_VIABILIDAD_!F39</f>
        <v>NO LLEGA</v>
      </c>
      <c r="K19" s="414"/>
      <c r="V19" s="603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</row>
    <row r="20" s="3" customFormat="true" ht="14.25" hidden="false" customHeight="false" outlineLevel="0" collapsed="false">
      <c r="A20" s="6"/>
      <c r="B20" s="625"/>
      <c r="C20" s="626"/>
      <c r="D20" s="626"/>
      <c r="E20" s="626"/>
      <c r="F20" s="627"/>
      <c r="G20" s="622"/>
      <c r="H20" s="622"/>
      <c r="I20" s="623"/>
      <c r="J20" s="624"/>
      <c r="V20" s="603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</row>
    <row r="21" s="3" customFormat="true" ht="40.5" hidden="false" customHeight="true" outlineLevel="0" collapsed="false">
      <c r="A21" s="6"/>
      <c r="B21" s="628" t="s">
        <v>598</v>
      </c>
      <c r="C21" s="629" t="s">
        <v>599</v>
      </c>
      <c r="D21" s="629"/>
      <c r="E21" s="630" t="n">
        <v>1200</v>
      </c>
      <c r="F21" s="631"/>
      <c r="G21" s="632" t="str">
        <f aca="false">IF($J$19&gt;=3,"SI LA EXPLOTACION TIENE MAS DE 3 UTA DEBE JUSTIFICAR LA CONTRATACION","")</f>
        <v>SI LA EXPLOTACION TIENE MAS DE 3 UTA DEBE JUSTIFICAR LA CONTRATACION</v>
      </c>
      <c r="H21" s="632"/>
      <c r="I21" s="632"/>
      <c r="J21" s="632"/>
      <c r="K21" s="633" t="s">
        <v>600</v>
      </c>
      <c r="Q21" s="634" t="n">
        <f aca="false">$E$17*0.75</f>
        <v>9088.881375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</row>
    <row r="22" s="3" customFormat="true" ht="24" hidden="false" customHeight="true" outlineLevel="0" collapsed="false">
      <c r="A22" s="6"/>
      <c r="B22" s="628"/>
      <c r="C22" s="635" t="s">
        <v>601</v>
      </c>
      <c r="D22" s="635"/>
      <c r="E22" s="636" t="n">
        <v>300</v>
      </c>
      <c r="F22" s="637"/>
      <c r="G22" s="638"/>
      <c r="H22" s="638"/>
      <c r="I22" s="623"/>
      <c r="J22" s="639"/>
      <c r="K22" s="633" t="s">
        <v>602</v>
      </c>
      <c r="Q22" s="634" t="n">
        <f aca="false">E19*0.75</f>
        <v>3895.234875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</row>
    <row r="23" s="3" customFormat="true" ht="14.25" hidden="false" customHeight="false" outlineLevel="0" collapsed="false">
      <c r="A23" s="6"/>
      <c r="B23" s="640"/>
      <c r="C23" s="640"/>
      <c r="D23" s="640"/>
      <c r="E23" s="640"/>
      <c r="F23" s="640"/>
      <c r="G23" s="638"/>
      <c r="H23" s="638"/>
      <c r="I23" s="623"/>
      <c r="J23" s="639"/>
      <c r="K23" s="6"/>
      <c r="L23" s="6"/>
      <c r="M23" s="6"/>
      <c r="N23" s="6"/>
      <c r="O23" s="6"/>
      <c r="P23" s="6"/>
      <c r="Q23" s="641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="3" customFormat="true" ht="14.25" hidden="false" customHeight="false" outlineLevel="0" collapsed="false">
      <c r="A24" s="6"/>
      <c r="B24" s="642" t="s">
        <v>603</v>
      </c>
      <c r="C24" s="642" t="s">
        <v>604</v>
      </c>
      <c r="D24" s="643"/>
      <c r="E24" s="644"/>
      <c r="F24" s="640"/>
      <c r="G24" s="47"/>
      <c r="H24" s="47"/>
      <c r="I24" s="47"/>
      <c r="J24" s="47"/>
      <c r="K24" s="6"/>
      <c r="L24" s="6"/>
      <c r="M24" s="6"/>
      <c r="N24" s="6"/>
      <c r="O24" s="6"/>
      <c r="P24" s="6"/>
      <c r="Q24" s="641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="3" customFormat="true" ht="34.5" hidden="false" customHeight="true" outlineLevel="0" collapsed="false">
      <c r="A25" s="6"/>
      <c r="B25" s="645" t="s">
        <v>605</v>
      </c>
      <c r="C25" s="646" t="s">
        <v>606</v>
      </c>
      <c r="D25" s="647"/>
      <c r="E25" s="648" t="str">
        <f aca="false">VLOOKUP(C25,O_LISTA_MUN_ZM_ZLE_2019!K2:L675,2)</f>
        <v>Zona con limitaciones naturales distintas de las de montaña</v>
      </c>
      <c r="F25" s="640"/>
      <c r="G25" s="649" t="s">
        <v>607</v>
      </c>
      <c r="H25" s="649"/>
      <c r="I25" s="649"/>
      <c r="J25" s="650" t="str">
        <f aca="false">IF(V_PFIS_MOD_2024_VIABILIDAD_!F39&gt;0.5,"cumple","NO CUMPLE")</f>
        <v>cumple</v>
      </c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="6" customFormat="true" ht="15.75" hidden="false" customHeight="true" outlineLevel="0" collapsed="false">
      <c r="B26" s="640"/>
      <c r="C26" s="640"/>
      <c r="D26" s="640"/>
      <c r="E26" s="640"/>
      <c r="F26" s="640"/>
      <c r="G26" s="47"/>
      <c r="H26" s="47"/>
      <c r="I26" s="47"/>
      <c r="J26" s="47"/>
      <c r="N26" s="6" t="s">
        <v>608</v>
      </c>
    </row>
    <row r="27" s="3" customFormat="true" ht="16.15" hidden="false" customHeight="false" outlineLevel="0" collapsed="false">
      <c r="A27" s="6"/>
      <c r="B27" s="649" t="s">
        <v>609</v>
      </c>
      <c r="C27" s="649"/>
      <c r="D27" s="651"/>
      <c r="E27" s="652" t="str">
        <f aca="false">IF(E25="Zona de montaña","SI","NO")</f>
        <v>NO</v>
      </c>
      <c r="F27" s="640"/>
      <c r="G27" s="653" t="s">
        <v>610</v>
      </c>
      <c r="H27" s="653"/>
      <c r="I27" s="653"/>
      <c r="J27" s="653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8" s="3" customFormat="true" ht="14.25" hidden="false" customHeight="false" outlineLevel="0" collapsed="false">
      <c r="A28" s="6"/>
      <c r="B28" s="654"/>
      <c r="C28" s="640"/>
      <c r="D28" s="640"/>
      <c r="E28" s="640"/>
      <c r="F28" s="640"/>
      <c r="G28" s="655"/>
      <c r="H28" s="640"/>
      <c r="I28" s="640"/>
      <c r="J28" s="65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="3" customFormat="true" ht="15.75" hidden="false" customHeight="true" outlineLevel="0" collapsed="false">
      <c r="A29" s="6"/>
      <c r="B29" s="657"/>
      <c r="C29" s="657"/>
      <c r="D29" s="657"/>
      <c r="E29" s="657"/>
      <c r="F29" s="640"/>
      <c r="G29" s="658" t="s">
        <v>611</v>
      </c>
      <c r="H29" s="659" t="s">
        <v>612</v>
      </c>
      <c r="I29" s="660" t="s">
        <v>613</v>
      </c>
      <c r="J29" s="661" t="n">
        <f aca="false">J15/E21</f>
        <v>0</v>
      </c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="3" customFormat="true" ht="15" hidden="false" customHeight="true" outlineLevel="0" collapsed="false">
      <c r="A30" s="662"/>
      <c r="B30" s="663" t="s">
        <v>614</v>
      </c>
      <c r="C30" s="664" t="s">
        <v>615</v>
      </c>
      <c r="D30" s="664"/>
      <c r="E30" s="665" t="n">
        <f aca="false">J13</f>
        <v>0</v>
      </c>
      <c r="F30" s="666"/>
      <c r="G30" s="658"/>
      <c r="H30" s="660" t="s">
        <v>616</v>
      </c>
      <c r="I30" s="660"/>
      <c r="J30" s="661"/>
      <c r="K30" s="175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1" s="3" customFormat="true" ht="15.75" hidden="false" customHeight="true" outlineLevel="0" collapsed="false">
      <c r="A31" s="662"/>
      <c r="B31" s="663"/>
      <c r="C31" s="667"/>
      <c r="D31" s="667"/>
      <c r="E31" s="668"/>
      <c r="F31" s="669"/>
      <c r="G31" s="670"/>
      <c r="H31" s="657"/>
      <c r="I31" s="657"/>
      <c r="J31" s="671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="3" customFormat="true" ht="14.25" hidden="false" customHeight="false" outlineLevel="0" collapsed="false">
      <c r="A32" s="662"/>
      <c r="B32" s="663"/>
      <c r="C32" s="672" t="s">
        <v>617</v>
      </c>
      <c r="D32" s="672"/>
      <c r="E32" s="673" t="n">
        <f aca="false">E30*0.75</f>
        <v>0</v>
      </c>
      <c r="F32" s="674"/>
      <c r="G32" s="640"/>
      <c r="H32" s="640"/>
      <c r="I32" s="640"/>
      <c r="J32" s="640"/>
      <c r="L32" s="51"/>
      <c r="M32" s="455"/>
      <c r="N32" s="675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</row>
    <row r="33" s="3" customFormat="true" ht="14.25" hidden="false" customHeight="false" outlineLevel="0" collapsed="false">
      <c r="A33" s="662"/>
      <c r="B33" s="663"/>
      <c r="C33" s="672" t="s">
        <v>618</v>
      </c>
      <c r="D33" s="672"/>
      <c r="E33" s="673" t="n">
        <f aca="false">E32-(0.1*(0.25*E30))</f>
        <v>0</v>
      </c>
      <c r="F33" s="674"/>
      <c r="G33" s="676" t="s">
        <v>619</v>
      </c>
      <c r="H33" s="676"/>
      <c r="I33" s="676"/>
      <c r="J33" s="676"/>
      <c r="L33" s="51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</row>
    <row r="34" s="3" customFormat="true" ht="14.25" hidden="false" customHeight="false" outlineLevel="0" collapsed="false">
      <c r="A34" s="662"/>
      <c r="B34" s="663"/>
      <c r="C34" s="672" t="s">
        <v>620</v>
      </c>
      <c r="D34" s="672"/>
      <c r="E34" s="673" t="n">
        <f aca="false">E30*1.25</f>
        <v>0</v>
      </c>
      <c r="F34" s="674"/>
      <c r="G34" s="677"/>
      <c r="H34" s="678"/>
      <c r="I34" s="678"/>
      <c r="J34" s="679"/>
      <c r="L34" s="51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</row>
    <row r="35" s="3" customFormat="true" ht="14.25" hidden="false" customHeight="false" outlineLevel="0" collapsed="false">
      <c r="A35" s="662"/>
      <c r="B35" s="663"/>
      <c r="C35" s="667"/>
      <c r="D35" s="667"/>
      <c r="E35" s="668"/>
      <c r="F35" s="674"/>
      <c r="G35" s="680" t="s">
        <v>621</v>
      </c>
      <c r="H35" s="681" t="s">
        <v>612</v>
      </c>
      <c r="I35" s="682" t="s">
        <v>613</v>
      </c>
      <c r="J35" s="683" t="n">
        <f aca="false">J15/E22</f>
        <v>0</v>
      </c>
      <c r="L35" s="52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</row>
    <row r="36" s="3" customFormat="true" ht="25.5" hidden="false" customHeight="true" outlineLevel="0" collapsed="false">
      <c r="A36" s="662"/>
      <c r="B36" s="663"/>
      <c r="C36" s="667" t="s">
        <v>622</v>
      </c>
      <c r="D36" s="667"/>
      <c r="E36" s="684" t="n">
        <v>178421.875</v>
      </c>
      <c r="F36" s="685"/>
      <c r="G36" s="680"/>
      <c r="H36" s="686" t="s">
        <v>623</v>
      </c>
      <c r="I36" s="682"/>
      <c r="J36" s="683"/>
      <c r="L36" s="52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</row>
    <row r="37" s="3" customFormat="true" ht="14.25" hidden="false" customHeight="false" outlineLevel="0" collapsed="false">
      <c r="A37" s="6"/>
      <c r="B37" s="687"/>
      <c r="C37" s="688"/>
      <c r="D37" s="688"/>
      <c r="E37" s="689" t="s">
        <v>624</v>
      </c>
      <c r="F37" s="690"/>
      <c r="L37" s="52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38" s="3" customFormat="true" ht="14.25" hidden="false" customHeight="false" outlineLevel="0" collapsed="false">
      <c r="A38" s="6"/>
      <c r="B38" s="691"/>
      <c r="C38" s="692"/>
      <c r="D38" s="692"/>
      <c r="E38" s="693"/>
      <c r="F38" s="690"/>
      <c r="L38" s="52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39" s="3" customFormat="true" ht="15.75" hidden="false" customHeight="true" outlineLevel="0" collapsed="false">
      <c r="A39" s="6"/>
      <c r="B39" s="694" t="s">
        <v>597</v>
      </c>
      <c r="C39" s="694"/>
      <c r="D39" s="695"/>
      <c r="E39" s="696" t="str">
        <f aca="false">V_PFIS_MOD_2024_VIABILIDAD_!F39</f>
        <v>NO LLEGA</v>
      </c>
      <c r="F39" s="690"/>
      <c r="G39" s="697" t="s">
        <v>625</v>
      </c>
      <c r="H39" s="697"/>
      <c r="I39" s="698"/>
      <c r="J39" s="699" t="n">
        <v>3</v>
      </c>
      <c r="L39" s="52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</row>
    <row r="40" s="3" customFormat="true" ht="15.75" hidden="false" customHeight="true" outlineLevel="0" collapsed="false">
      <c r="A40" s="6"/>
      <c r="B40" s="694"/>
      <c r="C40" s="694"/>
      <c r="D40" s="695"/>
      <c r="E40" s="696"/>
      <c r="F40" s="690"/>
      <c r="G40" s="697"/>
      <c r="H40" s="697"/>
      <c r="I40" s="698"/>
      <c r="J40" s="699"/>
      <c r="L40" s="52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</row>
    <row r="41" s="3" customFormat="true" ht="15.75" hidden="false" customHeight="true" outlineLevel="0" collapsed="false">
      <c r="A41" s="6"/>
      <c r="B41" s="692"/>
      <c r="C41" s="692"/>
      <c r="D41" s="692"/>
      <c r="F41" s="690"/>
      <c r="L41" s="51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</row>
    <row r="42" s="3" customFormat="true" ht="15.75" hidden="false" customHeight="true" outlineLevel="0" collapsed="false">
      <c r="A42" s="6"/>
      <c r="B42" s="700" t="s">
        <v>626</v>
      </c>
      <c r="C42" s="700"/>
      <c r="D42" s="700"/>
      <c r="E42" s="700"/>
      <c r="F42" s="690"/>
      <c r="G42" s="700" t="s">
        <v>626</v>
      </c>
      <c r="H42" s="700"/>
      <c r="I42" s="700"/>
      <c r="J42" s="700"/>
      <c r="L42" s="51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</row>
    <row r="43" s="3" customFormat="true" ht="15" hidden="false" customHeight="false" outlineLevel="0" collapsed="false">
      <c r="A43" s="6"/>
      <c r="B43" s="701" t="s">
        <v>627</v>
      </c>
      <c r="C43" s="701"/>
      <c r="D43" s="701"/>
      <c r="E43" s="701"/>
      <c r="F43" s="702"/>
      <c r="G43" s="701" t="s">
        <v>628</v>
      </c>
      <c r="H43" s="701"/>
      <c r="I43" s="701"/>
      <c r="J43" s="701"/>
      <c r="L43" s="703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</row>
    <row r="44" s="3" customFormat="true" ht="15" hidden="false" customHeight="false" outlineLevel="0" collapsed="false">
      <c r="A44" s="6"/>
      <c r="B44" s="704"/>
      <c r="C44" s="705"/>
      <c r="D44" s="705"/>
      <c r="E44" s="706"/>
      <c r="F44" s="702"/>
      <c r="G44" s="707"/>
      <c r="H44" s="708"/>
      <c r="I44" s="708"/>
      <c r="J44" s="709"/>
      <c r="L44" s="703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</row>
    <row r="45" s="3" customFormat="true" ht="14.25" hidden="false" customHeight="false" outlineLevel="0" collapsed="false">
      <c r="A45" s="6"/>
      <c r="B45" s="710"/>
      <c r="C45" s="690"/>
      <c r="D45" s="690"/>
      <c r="E45" s="711"/>
      <c r="F45" s="712"/>
      <c r="G45" s="710"/>
      <c r="H45" s="690"/>
      <c r="I45" s="690"/>
      <c r="J45" s="711"/>
      <c r="L45" s="703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</row>
    <row r="46" s="3" customFormat="true" ht="15" hidden="false" customHeight="false" outlineLevel="0" collapsed="false">
      <c r="A46" s="6"/>
      <c r="B46" s="713" t="s">
        <v>629</v>
      </c>
      <c r="C46" s="714" t="s">
        <v>630</v>
      </c>
      <c r="D46" s="715" t="s">
        <v>613</v>
      </c>
      <c r="E46" s="716" t="str">
        <f aca="false">IF(ISNUMBER(E39),IF(E39&lt;=1,J13,J13/E39),"-")</f>
        <v>-</v>
      </c>
      <c r="F46" s="717"/>
      <c r="G46" s="713" t="s">
        <v>629</v>
      </c>
      <c r="H46" s="714" t="s">
        <v>630</v>
      </c>
      <c r="I46" s="715" t="s">
        <v>613</v>
      </c>
      <c r="J46" s="716" t="n">
        <f aca="false">IF(J39&lt;=1,J13,J13/J39)</f>
        <v>0</v>
      </c>
      <c r="K46" s="718"/>
      <c r="L46" s="51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</row>
    <row r="47" s="3" customFormat="true" ht="15" hidden="false" customHeight="false" outlineLevel="0" collapsed="false">
      <c r="A47" s="6"/>
      <c r="B47" s="713"/>
      <c r="C47" s="719" t="s">
        <v>631</v>
      </c>
      <c r="D47" s="715"/>
      <c r="E47" s="716"/>
      <c r="F47" s="717"/>
      <c r="G47" s="713"/>
      <c r="H47" s="719" t="s">
        <v>631</v>
      </c>
      <c r="I47" s="715"/>
      <c r="J47" s="716"/>
      <c r="K47" s="720"/>
      <c r="L47" s="51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</row>
    <row r="48" s="3" customFormat="true" ht="14.25" hidden="false" customHeight="false" outlineLevel="0" collapsed="false">
      <c r="A48" s="6"/>
      <c r="B48" s="710"/>
      <c r="C48" s="690"/>
      <c r="D48" s="690"/>
      <c r="E48" s="721"/>
      <c r="F48" s="712"/>
      <c r="G48" s="710"/>
      <c r="H48" s="690"/>
      <c r="I48" s="690"/>
      <c r="J48" s="721"/>
      <c r="K48" s="718"/>
      <c r="L48" s="51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</row>
    <row r="49" s="3" customFormat="true" ht="15" hidden="false" customHeight="false" outlineLevel="0" collapsed="false">
      <c r="A49" s="6"/>
      <c r="B49" s="713" t="s">
        <v>632</v>
      </c>
      <c r="C49" s="722" t="s">
        <v>633</v>
      </c>
      <c r="D49" s="715" t="s">
        <v>613</v>
      </c>
      <c r="E49" s="716" t="str">
        <f aca="false">IF(ISERROR(IF($E$39&lt;1,(E36)/1,(E36)/$E$39)),"-",IF($E$39&lt;1,(E36)/1,(E36)/$E$39))</f>
        <v>-</v>
      </c>
      <c r="F49" s="717"/>
      <c r="G49" s="713" t="s">
        <v>632</v>
      </c>
      <c r="H49" s="714" t="s">
        <v>633</v>
      </c>
      <c r="I49" s="715" t="s">
        <v>613</v>
      </c>
      <c r="J49" s="716" t="n">
        <f aca="false">IF($J$39&lt;1,(E36)/1,(E36)/J39)</f>
        <v>59473.9583333333</v>
      </c>
      <c r="K49" s="723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</row>
    <row r="50" s="3" customFormat="true" ht="15" hidden="false" customHeight="false" outlineLevel="0" collapsed="false">
      <c r="A50" s="6"/>
      <c r="B50" s="713"/>
      <c r="C50" s="719" t="s">
        <v>631</v>
      </c>
      <c r="D50" s="715"/>
      <c r="E50" s="716"/>
      <c r="F50" s="717"/>
      <c r="G50" s="713"/>
      <c r="H50" s="719" t="s">
        <v>631</v>
      </c>
      <c r="I50" s="715"/>
      <c r="J50" s="716"/>
      <c r="K50" s="723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51" s="3" customFormat="true" ht="15" hidden="false" customHeight="false" outlineLevel="0" collapsed="false">
      <c r="A51" s="6"/>
      <c r="B51" s="710"/>
      <c r="C51" s="690"/>
      <c r="D51" s="690"/>
      <c r="E51" s="711"/>
      <c r="F51" s="724"/>
      <c r="G51" s="725"/>
      <c r="H51" s="712"/>
      <c r="I51" s="712"/>
      <c r="J51" s="726"/>
      <c r="K51" s="727"/>
      <c r="Q51" s="728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52" s="3" customFormat="true" ht="27" hidden="false" customHeight="true" outlineLevel="0" collapsed="false">
      <c r="A52" s="6"/>
      <c r="B52" s="729" t="str">
        <f aca="false">+IF($E$46="","",IF($E$27="","Faltan Datos",IF(OR(AND($E$27="NO",$E$46&gt;$E$17,$E$46&lt;$E$15),AND($E$27="SI",$E$46&gt;$E$19,$J$13&lt;$E$15)),"ESTUDIO ECONÓMICO EAP (+)","NO CUMPLE ESTUDIO ECONÓMICO de EAP, Seleccionar COMODÍN")))</f>
        <v>NO CUMPLE ESTUDIO ECONÓMICO de EAP, Seleccionar COMODÍN</v>
      </c>
      <c r="C52" s="729"/>
      <c r="D52" s="729"/>
      <c r="E52" s="729"/>
      <c r="F52" s="712"/>
      <c r="G52" s="729" t="str">
        <f aca="false">+IF($J$46="","",IF($E$27="","Faltan Datos",IF(OR(AND($E$27="NO",$J$46&gt;$E$17,$J$46&lt;$E$15),AND($E$27="SI",$J$46&gt;$E$19,$J$13&lt;$E$15)),"ESTUDIO ECONÓMICO EAP (+)","NO CUMPLE ESTUDIO ECONÓMICO de EAP, Seleccionar COMODÍN")))</f>
        <v>NO CUMPLE ESTUDIO ECONÓMICO de EAP, Seleccionar COMODÍN</v>
      </c>
      <c r="H52" s="729"/>
      <c r="I52" s="729"/>
      <c r="J52" s="729"/>
      <c r="K52" s="727"/>
      <c r="Q52" s="728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</row>
    <row r="53" s="3" customFormat="true" ht="23.25" hidden="false" customHeight="true" outlineLevel="0" collapsed="false">
      <c r="A53" s="6"/>
      <c r="B53" s="729"/>
      <c r="C53" s="729"/>
      <c r="D53" s="729"/>
      <c r="E53" s="729"/>
      <c r="F53" s="712"/>
      <c r="G53" s="729"/>
      <c r="H53" s="729"/>
      <c r="I53" s="729"/>
      <c r="J53" s="729"/>
      <c r="K53" s="727"/>
      <c r="Q53" s="728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</row>
    <row r="54" s="3" customFormat="true" ht="15" hidden="false" customHeight="false" outlineLevel="0" collapsed="false">
      <c r="A54" s="6"/>
      <c r="B54" s="690"/>
      <c r="C54" s="690"/>
      <c r="D54" s="690"/>
      <c r="E54" s="692"/>
      <c r="F54" s="712"/>
      <c r="G54" s="712"/>
      <c r="H54" s="712"/>
      <c r="I54" s="712"/>
      <c r="J54" s="712"/>
      <c r="K54" s="727"/>
      <c r="Q54" s="728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</row>
    <row r="55" s="6" customFormat="true" ht="17.35" hidden="false" customHeight="false" outlineLevel="0" collapsed="false">
      <c r="B55" s="690"/>
      <c r="C55" s="690"/>
      <c r="D55" s="690"/>
      <c r="E55" s="690"/>
      <c r="F55" s="690"/>
      <c r="G55" s="690"/>
      <c r="H55" s="690"/>
      <c r="I55" s="690"/>
      <c r="J55" s="690"/>
      <c r="K55" s="730"/>
      <c r="Q55" s="731"/>
    </row>
    <row r="56" s="6" customFormat="true" ht="17.25" hidden="false" customHeight="true" outlineLevel="0" collapsed="false">
      <c r="B56" s="732" t="s">
        <v>634</v>
      </c>
      <c r="C56" s="732"/>
      <c r="D56" s="732"/>
      <c r="E56" s="733" t="s">
        <v>635</v>
      </c>
      <c r="F56" s="733"/>
      <c r="G56" s="733"/>
      <c r="H56" s="733"/>
      <c r="I56" s="733"/>
      <c r="J56" s="733"/>
      <c r="K56" s="730"/>
      <c r="Q56" s="731"/>
    </row>
    <row r="57" s="6" customFormat="true" ht="17.35" hidden="false" customHeight="false" outlineLevel="0" collapsed="false">
      <c r="B57" s="732"/>
      <c r="C57" s="732"/>
      <c r="D57" s="732"/>
      <c r="E57" s="733"/>
      <c r="F57" s="733"/>
      <c r="G57" s="733"/>
      <c r="H57" s="733"/>
      <c r="I57" s="733"/>
      <c r="J57" s="733"/>
      <c r="K57" s="730"/>
      <c r="Q57" s="731"/>
    </row>
    <row r="58" s="6" customFormat="true" ht="26.25" hidden="false" customHeight="true" outlineLevel="0" collapsed="false">
      <c r="B58" s="732"/>
      <c r="C58" s="732"/>
      <c r="D58" s="732"/>
      <c r="E58" s="733"/>
      <c r="F58" s="733"/>
      <c r="G58" s="733"/>
      <c r="H58" s="733"/>
      <c r="I58" s="733"/>
      <c r="J58" s="733"/>
      <c r="K58" s="730"/>
      <c r="Q58" s="731"/>
    </row>
    <row r="59" s="6" customFormat="true" ht="4.5" hidden="true" customHeight="true" outlineLevel="0" collapsed="false">
      <c r="B59" s="690"/>
      <c r="C59" s="690"/>
      <c r="D59" s="690"/>
      <c r="E59" s="690"/>
      <c r="F59" s="690"/>
      <c r="G59" s="690"/>
      <c r="H59" s="690"/>
      <c r="I59" s="690"/>
      <c r="J59" s="690"/>
      <c r="K59" s="730"/>
      <c r="Q59" s="731"/>
    </row>
    <row r="60" s="6" customFormat="true" ht="4.5" hidden="true" customHeight="true" outlineLevel="0" collapsed="false">
      <c r="B60" s="690"/>
      <c r="C60" s="690"/>
      <c r="D60" s="690"/>
      <c r="E60" s="690"/>
      <c r="F60" s="690"/>
      <c r="G60" s="690"/>
      <c r="H60" s="690"/>
      <c r="I60" s="690"/>
      <c r="J60" s="690"/>
      <c r="K60" s="730"/>
      <c r="Q60" s="731"/>
    </row>
    <row r="61" s="6" customFormat="true" ht="4.5" hidden="true" customHeight="true" outlineLevel="0" collapsed="false">
      <c r="B61" s="690"/>
      <c r="C61" s="690"/>
      <c r="D61" s="690"/>
      <c r="E61" s="690"/>
      <c r="F61" s="690"/>
      <c r="G61" s="690"/>
      <c r="H61" s="690"/>
      <c r="I61" s="690"/>
      <c r="J61" s="690"/>
      <c r="K61" s="730"/>
      <c r="Q61" s="731"/>
    </row>
    <row r="62" s="6" customFormat="true" ht="4.5" hidden="true" customHeight="true" outlineLevel="0" collapsed="false">
      <c r="B62" s="690"/>
      <c r="C62" s="690"/>
      <c r="D62" s="690"/>
      <c r="E62" s="690"/>
      <c r="F62" s="690"/>
      <c r="G62" s="690"/>
      <c r="H62" s="690"/>
      <c r="I62" s="690"/>
      <c r="J62" s="690"/>
      <c r="K62" s="730"/>
      <c r="Q62" s="731"/>
      <c r="AD62" s="6" t="e">
        <f aca="false">S62*(1-(0.36*RR/MNCALCULADO))</f>
        <v>#REF!</v>
      </c>
    </row>
    <row r="63" s="6" customFormat="true" ht="4.5" hidden="true" customHeight="true" outlineLevel="0" collapsed="false">
      <c r="B63" s="690"/>
      <c r="C63" s="690"/>
      <c r="D63" s="690"/>
      <c r="E63" s="690"/>
      <c r="F63" s="690"/>
      <c r="G63" s="690"/>
      <c r="H63" s="690"/>
      <c r="I63" s="690"/>
      <c r="J63" s="690"/>
      <c r="K63" s="730"/>
      <c r="Q63" s="731"/>
    </row>
    <row r="64" s="3" customFormat="true" ht="15" hidden="true" customHeight="false" outlineLevel="0" collapsed="false">
      <c r="A64" s="6"/>
      <c r="B64" s="734" t="s">
        <v>636</v>
      </c>
      <c r="C64" s="734"/>
      <c r="D64" s="692"/>
      <c r="E64" s="735" t="str">
        <f aca="false">+IF($E$46&gt;$E$17,"CUMPLE",IF($E$49&gt;$E$17,"CUMPLE","NO CUMPLE"))</f>
        <v>CUMPLE</v>
      </c>
      <c r="F64" s="735"/>
      <c r="G64" s="735"/>
      <c r="H64" s="735"/>
      <c r="I64" s="735"/>
      <c r="J64" s="735"/>
      <c r="K64" s="723"/>
      <c r="L64" s="723"/>
      <c r="M64" s="723"/>
      <c r="N64" s="723"/>
      <c r="O64" s="723"/>
      <c r="Q64" s="17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</row>
    <row r="65" s="3" customFormat="true" ht="17.25" hidden="true" customHeight="true" outlineLevel="0" collapsed="false">
      <c r="A65" s="6"/>
      <c r="B65" s="736" t="s">
        <v>637</v>
      </c>
      <c r="C65" s="736"/>
      <c r="D65" s="692"/>
      <c r="E65" s="737" t="e">
        <f aca="false">IF(AND(J25="CUMPLE",#REF!="CUMPLE ESTUDIO ECONÓMICO EAP"),"CUMPLE EAP",IF(AND(J25="CUMPLE",#REF!="CUMPLE ESTUDIO ECONÓMICO de EAP CON COMODIN"),"Cumple EAP","NO CUMPLE EAP"))</f>
        <v>#REF!</v>
      </c>
      <c r="F65" s="737"/>
      <c r="G65" s="737"/>
      <c r="H65" s="737"/>
      <c r="I65" s="737"/>
      <c r="J65" s="737"/>
      <c r="K65" s="738"/>
      <c r="Q65" s="17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</row>
    <row r="66" s="3" customFormat="true" ht="17.35" hidden="true" customHeight="false" outlineLevel="0" collapsed="false">
      <c r="A66" s="6"/>
      <c r="B66" s="736"/>
      <c r="C66" s="736"/>
      <c r="D66" s="692"/>
      <c r="E66" s="734" t="s">
        <v>638</v>
      </c>
      <c r="F66" s="734"/>
      <c r="G66" s="692"/>
      <c r="H66" s="739" t="str">
        <f aca="false">+IF(AND($J$49&gt;=8000,$J$49&lt;=25000),"10.000€",IF(AND($J$49&gt;=25001,$J$49&lt;=50000),"15.000€",IF(AND($J$49&gt;=50001,$J$49&lt;=75000),"17.500€",IF(AND($J$49&gt;75001),"20.000€",IF(AND($J$49&lt;8000),"NO AYUDA COMPLEMENTARIA","Faltan datos")))))</f>
        <v>17.500€</v>
      </c>
      <c r="I66" s="739"/>
      <c r="J66" s="739"/>
      <c r="K66" s="738"/>
      <c r="Q66" s="17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</row>
    <row r="67" s="3" customFormat="true" ht="17.35" hidden="true" customHeight="false" outlineLevel="0" collapsed="false">
      <c r="A67" s="6"/>
      <c r="B67" s="736"/>
      <c r="C67" s="736"/>
      <c r="D67" s="692"/>
      <c r="E67" s="692"/>
      <c r="F67" s="692"/>
      <c r="G67" s="692"/>
      <c r="H67" s="692"/>
      <c r="I67" s="692"/>
      <c r="J67" s="692"/>
      <c r="K67" s="738"/>
      <c r="Q67" s="17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</row>
    <row r="68" s="3" customFormat="true" ht="17.35" hidden="true" customHeight="false" outlineLevel="0" collapsed="false">
      <c r="A68" s="6"/>
      <c r="B68" s="740" t="s">
        <v>639</v>
      </c>
      <c r="C68" s="740"/>
      <c r="D68" s="740"/>
      <c r="E68" s="740"/>
      <c r="F68" s="741"/>
      <c r="G68" s="740" t="s">
        <v>640</v>
      </c>
      <c r="H68" s="740"/>
      <c r="I68" s="740"/>
      <c r="J68" s="740"/>
      <c r="K68" s="738"/>
      <c r="Q68" s="17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</row>
    <row r="69" s="3" customFormat="true" ht="17.35" hidden="true" customHeight="false" outlineLevel="0" collapsed="false">
      <c r="A69" s="6"/>
      <c r="B69" s="742" t="s">
        <v>641</v>
      </c>
      <c r="C69" s="742"/>
      <c r="D69" s="743"/>
      <c r="E69" s="744"/>
      <c r="F69" s="745"/>
      <c r="G69" s="746" t="s">
        <v>642</v>
      </c>
      <c r="H69" s="746"/>
      <c r="I69" s="743"/>
      <c r="J69" s="744"/>
      <c r="K69" s="738"/>
      <c r="Q69" s="17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</row>
    <row r="70" s="3" customFormat="true" ht="17.35" hidden="true" customHeight="false" outlineLevel="0" collapsed="false">
      <c r="A70" s="6"/>
      <c r="B70" s="747" t="s">
        <v>643</v>
      </c>
      <c r="C70" s="747"/>
      <c r="D70" s="748"/>
      <c r="E70" s="749"/>
      <c r="F70" s="745"/>
      <c r="G70" s="750" t="s">
        <v>644</v>
      </c>
      <c r="H70" s="750"/>
      <c r="I70" s="748"/>
      <c r="J70" s="749"/>
      <c r="K70" s="738"/>
      <c r="Q70" s="17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</row>
    <row r="71" s="3" customFormat="true" ht="17.35" hidden="true" customHeight="false" outlineLevel="0" collapsed="false">
      <c r="A71" s="6"/>
      <c r="B71" s="747" t="s">
        <v>645</v>
      </c>
      <c r="C71" s="747"/>
      <c r="D71" s="748"/>
      <c r="E71" s="749"/>
      <c r="F71" s="745"/>
      <c r="G71" s="750" t="s">
        <v>646</v>
      </c>
      <c r="H71" s="750"/>
      <c r="I71" s="748"/>
      <c r="J71" s="749"/>
      <c r="K71" s="738"/>
      <c r="Q71" s="17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</row>
    <row r="72" s="3" customFormat="true" ht="17.35" hidden="true" customHeight="false" outlineLevel="0" collapsed="false">
      <c r="A72" s="6"/>
      <c r="B72" s="747" t="s">
        <v>647</v>
      </c>
      <c r="C72" s="747"/>
      <c r="D72" s="748"/>
      <c r="E72" s="749"/>
      <c r="F72" s="745"/>
      <c r="G72" s="750" t="s">
        <v>648</v>
      </c>
      <c r="H72" s="750"/>
      <c r="I72" s="748"/>
      <c r="J72" s="749"/>
      <c r="K72" s="738"/>
      <c r="Q72" s="17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</row>
    <row r="73" s="3" customFormat="true" ht="17.35" hidden="true" customHeight="false" outlineLevel="0" collapsed="false">
      <c r="A73" s="6"/>
      <c r="B73" s="747" t="s">
        <v>649</v>
      </c>
      <c r="C73" s="747"/>
      <c r="D73" s="748"/>
      <c r="E73" s="749"/>
      <c r="F73" s="745"/>
      <c r="G73" s="750" t="s">
        <v>650</v>
      </c>
      <c r="H73" s="750"/>
      <c r="I73" s="748"/>
      <c r="J73" s="749"/>
      <c r="K73" s="738"/>
      <c r="Q73" s="17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</row>
    <row r="74" s="3" customFormat="true" ht="17.35" hidden="true" customHeight="false" outlineLevel="0" collapsed="false">
      <c r="A74" s="6"/>
      <c r="B74" s="751" t="s">
        <v>651</v>
      </c>
      <c r="C74" s="751"/>
      <c r="D74" s="748"/>
      <c r="E74" s="749"/>
      <c r="F74" s="745"/>
      <c r="G74" s="752" t="s">
        <v>652</v>
      </c>
      <c r="H74" s="752"/>
      <c r="I74" s="753"/>
      <c r="J74" s="754"/>
      <c r="K74" s="738"/>
      <c r="Q74" s="17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</row>
    <row r="75" s="3" customFormat="true" ht="17.35" hidden="true" customHeight="false" outlineLevel="0" collapsed="false">
      <c r="A75" s="6"/>
      <c r="B75" s="414"/>
      <c r="C75" s="414"/>
      <c r="D75" s="692"/>
      <c r="E75" s="745"/>
      <c r="F75" s="745"/>
      <c r="G75" s="755"/>
      <c r="H75" s="755"/>
      <c r="I75" s="692"/>
      <c r="J75" s="745"/>
      <c r="K75" s="738"/>
      <c r="Q75" s="17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</row>
    <row r="76" s="3" customFormat="true" ht="17.35" hidden="true" customHeight="false" outlineLevel="0" collapsed="false">
      <c r="A76" s="756"/>
      <c r="B76" s="757" t="s">
        <v>653</v>
      </c>
      <c r="C76" s="758"/>
      <c r="D76" s="723"/>
      <c r="E76" s="759" t="n">
        <v>24393.3032</v>
      </c>
      <c r="F76" s="745"/>
      <c r="G76" s="693" t="s">
        <v>654</v>
      </c>
      <c r="H76" s="692"/>
      <c r="I76" s="692"/>
      <c r="J76" s="760" t="n">
        <v>53962.8423</v>
      </c>
      <c r="K76" s="738"/>
      <c r="Q76" s="17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</row>
    <row r="77" s="3" customFormat="true" ht="17.35" hidden="true" customHeight="false" outlineLevel="0" collapsed="false">
      <c r="A77" s="756"/>
      <c r="B77" s="723"/>
      <c r="C77" s="723"/>
      <c r="D77" s="723"/>
      <c r="E77" s="761"/>
      <c r="F77" s="745"/>
      <c r="G77" s="693"/>
      <c r="H77" s="692"/>
      <c r="I77" s="692"/>
      <c r="J77" s="762"/>
      <c r="K77" s="738"/>
      <c r="Q77" s="17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78" s="3" customFormat="true" ht="17.35" hidden="true" customHeight="false" outlineLevel="0" collapsed="false">
      <c r="A78" s="6"/>
      <c r="B78" s="763" t="s">
        <v>655</v>
      </c>
      <c r="C78" s="764"/>
      <c r="D78" s="692"/>
      <c r="E78" s="765" t="e">
        <f aca="false">IF(AND(J78&gt;C187,J78&lt;E187),F187,IF(AND(J78&gt;C188,J78&lt;E188),F188,IF(AND(J78&gt;C189,J78&lt;E189),F189,IF(AND(J78&gt;C190,J78&lt;E190),F190,"0"))))</f>
        <v>#DIV/0!</v>
      </c>
      <c r="F78" s="745"/>
      <c r="G78" s="693" t="s">
        <v>656</v>
      </c>
      <c r="H78" s="693"/>
      <c r="I78" s="692"/>
      <c r="J78" s="760" t="e">
        <f aca="false">J76*(1-(0.35*E13/E30))</f>
        <v>#DIV/0!</v>
      </c>
      <c r="K78" s="738"/>
      <c r="Q78" s="17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</row>
    <row r="79" s="3" customFormat="true" ht="17.35" hidden="true" customHeight="false" outlineLevel="0" collapsed="false">
      <c r="A79" s="6"/>
      <c r="B79" s="763" t="s">
        <v>657</v>
      </c>
      <c r="C79" s="764"/>
      <c r="D79" s="692"/>
      <c r="E79" s="765" t="str">
        <f aca="false">IF(AND(E76&gt;J187,E76&lt;H187),K187,IF(AND(E76&gt;J188,E76&lt;H188),K188,IF(AND(E76&gt;J189,E76&lt;H189),K189,IF(AND(E76&gt;J190,E76&lt;H190),K190,"0"))))</f>
        <v>0</v>
      </c>
      <c r="F79" s="745"/>
      <c r="G79" s="693"/>
      <c r="H79" s="693"/>
      <c r="I79" s="692"/>
      <c r="J79" s="766"/>
      <c r="K79" s="738"/>
      <c r="L79" s="765"/>
      <c r="Q79" s="17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80" s="3" customFormat="true" ht="17.35" hidden="true" customHeight="false" outlineLevel="0" collapsed="false">
      <c r="A80" s="6"/>
      <c r="B80" s="455" t="s">
        <v>658</v>
      </c>
      <c r="C80" s="692"/>
      <c r="D80" s="692"/>
      <c r="E80" s="692"/>
      <c r="F80" s="745"/>
      <c r="G80" s="693"/>
      <c r="H80" s="693"/>
      <c r="I80" s="692"/>
      <c r="J80" s="762"/>
      <c r="K80" s="738"/>
      <c r="Q80" s="17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</row>
    <row r="81" s="3" customFormat="true" ht="17.25" hidden="true" customHeight="true" outlineLevel="0" collapsed="false">
      <c r="A81" s="6"/>
      <c r="B81" s="767" t="s">
        <v>634</v>
      </c>
      <c r="C81" s="767"/>
      <c r="D81" s="688"/>
      <c r="E81" s="768" t="s">
        <v>659</v>
      </c>
      <c r="F81" s="768"/>
      <c r="G81" s="768"/>
      <c r="H81" s="768"/>
      <c r="I81" s="768"/>
      <c r="J81" s="768"/>
      <c r="K81" s="738"/>
      <c r="Q81" s="17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</row>
    <row r="82" s="3" customFormat="true" ht="17.35" hidden="true" customHeight="false" outlineLevel="0" collapsed="false">
      <c r="A82" s="6"/>
      <c r="B82" s="767"/>
      <c r="C82" s="767"/>
      <c r="D82" s="692"/>
      <c r="E82" s="692"/>
      <c r="F82" s="769"/>
      <c r="G82" s="692"/>
      <c r="H82" s="692"/>
      <c r="I82" s="692"/>
      <c r="J82" s="711"/>
      <c r="K82" s="738"/>
      <c r="Q82" s="17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</row>
    <row r="83" s="3" customFormat="true" ht="17.35" hidden="true" customHeight="false" outlineLevel="0" collapsed="false">
      <c r="A83" s="6"/>
      <c r="B83" s="767"/>
      <c r="C83" s="767"/>
      <c r="D83" s="770"/>
      <c r="E83" s="771" t="s">
        <v>660</v>
      </c>
      <c r="F83" s="771" t="str">
        <f aca="false">IF(ISERROR(MID(E81,1,3)),"",MID(E81,1,3))</f>
        <v>151</v>
      </c>
      <c r="G83" s="772"/>
      <c r="H83" s="770"/>
      <c r="I83" s="770"/>
      <c r="J83" s="773"/>
      <c r="K83" s="738"/>
      <c r="Q83" s="17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</row>
    <row r="84" s="3" customFormat="true" ht="17.35" hidden="true" customHeight="false" outlineLevel="0" collapsed="false">
      <c r="A84" s="6"/>
      <c r="B84" s="414"/>
      <c r="C84" s="414"/>
      <c r="E84" s="769"/>
      <c r="F84" s="769"/>
      <c r="K84" s="738"/>
      <c r="Q84" s="17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</row>
    <row r="85" s="3" customFormat="true" ht="17.35" hidden="true" customHeight="false" outlineLevel="0" collapsed="false">
      <c r="A85" s="6"/>
      <c r="B85" s="774" t="s">
        <v>1</v>
      </c>
      <c r="C85" s="774"/>
      <c r="K85" s="738"/>
      <c r="Q85" s="17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</row>
    <row r="86" s="3" customFormat="true" ht="17.35" hidden="true" customHeight="false" outlineLevel="0" collapsed="false">
      <c r="A86" s="6"/>
      <c r="B86" s="775" t="s">
        <v>87</v>
      </c>
      <c r="C86" s="776" t="e">
        <f aca="false">SUPSEC</f>
        <v>#VALUE!</v>
      </c>
      <c r="E86" s="777" t="s">
        <v>661</v>
      </c>
      <c r="F86" s="778"/>
      <c r="G86" s="19"/>
      <c r="H86" s="19"/>
      <c r="I86" s="19"/>
      <c r="J86" s="779"/>
      <c r="K86" s="738"/>
      <c r="L86" s="455"/>
      <c r="Q86" s="17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</row>
    <row r="87" s="3" customFormat="true" ht="17.35" hidden="true" customHeight="false" outlineLevel="0" collapsed="false">
      <c r="A87" s="6"/>
      <c r="B87" s="775" t="s">
        <v>88</v>
      </c>
      <c r="C87" s="776" t="e">
        <f aca="false">SUPREG</f>
        <v>#VALUE!</v>
      </c>
      <c r="E87" s="780"/>
      <c r="J87" s="781"/>
      <c r="K87" s="738"/>
      <c r="Q87" s="17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</row>
    <row r="88" s="3" customFormat="true" ht="17.35" hidden="true" customHeight="false" outlineLevel="0" collapsed="false">
      <c r="A88" s="6"/>
      <c r="B88" s="775" t="s">
        <v>662</v>
      </c>
      <c r="C88" s="776" t="e">
        <f aca="false">SUPINTEN</f>
        <v>#VALUE!</v>
      </c>
      <c r="E88" s="780"/>
      <c r="J88" s="781"/>
      <c r="K88" s="738"/>
      <c r="Q88" s="17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</row>
    <row r="89" s="3" customFormat="true" ht="17.35" hidden="true" customHeight="false" outlineLevel="0" collapsed="false">
      <c r="A89" s="6"/>
      <c r="B89" s="775" t="s">
        <v>663</v>
      </c>
      <c r="C89" s="776" t="e">
        <f aca="false">SUPFORESTAL</f>
        <v>#VALUE!</v>
      </c>
      <c r="E89" s="782" t="s">
        <v>664</v>
      </c>
      <c r="F89" s="414"/>
      <c r="G89" s="783"/>
      <c r="H89" s="783"/>
      <c r="I89" s="783"/>
      <c r="J89" s="783"/>
      <c r="K89" s="738"/>
      <c r="Q89" s="17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</row>
    <row r="90" s="3" customFormat="true" ht="17.35" hidden="true" customHeight="false" outlineLevel="0" collapsed="false">
      <c r="A90" s="6"/>
      <c r="B90" s="784" t="s">
        <v>10</v>
      </c>
      <c r="C90" s="776" t="n">
        <f aca="false">SUPTOTAL</f>
        <v>0</v>
      </c>
      <c r="E90" s="785"/>
      <c r="F90" s="786"/>
      <c r="G90" s="787"/>
      <c r="H90" s="787"/>
      <c r="I90" s="787"/>
      <c r="J90" s="788"/>
      <c r="K90" s="738"/>
      <c r="Q90" s="17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</row>
    <row r="91" s="3" customFormat="true" ht="17.35" hidden="true" customHeight="false" outlineLevel="0" collapsed="false">
      <c r="A91" s="6"/>
      <c r="B91" s="455"/>
      <c r="E91" s="414"/>
      <c r="F91" s="789"/>
      <c r="G91" s="769"/>
      <c r="H91" s="769"/>
      <c r="I91" s="769"/>
      <c r="J91" s="769"/>
      <c r="K91" s="738"/>
      <c r="Q91" s="17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</row>
    <row r="92" s="3" customFormat="true" ht="17.35" hidden="true" customHeight="false" outlineLevel="0" collapsed="false">
      <c r="A92" s="6"/>
      <c r="F92" s="789"/>
      <c r="G92" s="769"/>
      <c r="H92" s="769"/>
      <c r="I92" s="769"/>
      <c r="J92" s="769"/>
      <c r="K92" s="738"/>
      <c r="Q92" s="17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93" s="3" customFormat="true" ht="17.35" hidden="true" customHeight="false" outlineLevel="0" collapsed="false">
      <c r="A93" s="6"/>
      <c r="E93" s="414"/>
      <c r="F93" s="789"/>
      <c r="G93" s="769"/>
      <c r="H93" s="769"/>
      <c r="I93" s="769"/>
      <c r="J93" s="769"/>
      <c r="K93" s="738"/>
      <c r="Q93" s="17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</row>
    <row r="94" s="3" customFormat="true" ht="17.35" hidden="true" customHeight="false" outlineLevel="0" collapsed="false">
      <c r="A94" s="6"/>
      <c r="B94" s="3" t="str">
        <f aca="false">E81</f>
        <v>151-Exp. especializadas en cereal (distinta de la de arroz), cultivo plantas oleaginosas y proteaginosas </v>
      </c>
      <c r="E94" s="414"/>
      <c r="F94" s="789"/>
      <c r="G94" s="769"/>
      <c r="H94" s="769"/>
      <c r="I94" s="769"/>
      <c r="J94" s="769"/>
      <c r="K94" s="738"/>
      <c r="Q94" s="17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</row>
    <row r="95" s="3" customFormat="true" ht="17.35" hidden="true" customHeight="false" outlineLevel="0" collapsed="false">
      <c r="A95" s="6"/>
      <c r="B95" s="455" t="s">
        <v>665</v>
      </c>
      <c r="E95" s="790" t="e">
        <f aca="false" t="array" ref="E95:E95">RUTNORMAL</f>
        <v>#REF!</v>
      </c>
      <c r="F95" s="789"/>
      <c r="G95" s="769"/>
      <c r="H95" s="769"/>
      <c r="I95" s="769"/>
      <c r="J95" s="769"/>
      <c r="K95" s="738"/>
      <c r="Q95" s="17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</row>
    <row r="96" s="3" customFormat="true" ht="17.35" hidden="true" customHeight="false" outlineLevel="0" collapsed="false">
      <c r="A96" s="6"/>
      <c r="B96" s="455" t="s">
        <v>666</v>
      </c>
      <c r="E96" s="791" t="n">
        <v>0.773789550804145</v>
      </c>
      <c r="F96" s="789"/>
      <c r="G96" s="769"/>
      <c r="H96" s="769"/>
      <c r="I96" s="769"/>
      <c r="J96" s="769"/>
      <c r="K96" s="738"/>
      <c r="Q96" s="17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</row>
    <row r="97" s="3" customFormat="true" ht="17.35" hidden="true" customHeight="false" outlineLevel="0" collapsed="false">
      <c r="A97" s="6"/>
      <c r="B97" s="3" t="s">
        <v>667</v>
      </c>
      <c r="E97" s="414" t="e">
        <f aca="false">PETOTAL</f>
        <v>#REF!</v>
      </c>
      <c r="F97" s="789"/>
      <c r="G97" s="769"/>
      <c r="H97" s="769"/>
      <c r="I97" s="769"/>
      <c r="J97" s="769"/>
      <c r="K97" s="738"/>
      <c r="Q97" s="17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</row>
    <row r="98" s="3" customFormat="true" ht="17.35" hidden="true" customHeight="false" outlineLevel="0" collapsed="false">
      <c r="A98" s="6"/>
      <c r="E98" s="414"/>
      <c r="F98" s="789"/>
      <c r="G98" s="769"/>
      <c r="H98" s="769"/>
      <c r="I98" s="769"/>
      <c r="J98" s="769"/>
      <c r="K98" s="738"/>
      <c r="Q98" s="17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</row>
    <row r="99" s="3" customFormat="true" ht="17.35" hidden="true" customHeight="false" outlineLevel="0" collapsed="false">
      <c r="A99" s="6"/>
      <c r="B99" s="455"/>
      <c r="E99" s="414"/>
      <c r="F99" s="789"/>
      <c r="G99" s="769"/>
      <c r="H99" s="769"/>
      <c r="I99" s="769"/>
      <c r="J99" s="769"/>
      <c r="K99" s="738"/>
      <c r="Q99" s="17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0" s="3" customFormat="true" ht="17.35" hidden="true" customHeight="false" outlineLevel="0" collapsed="false">
      <c r="A100" s="6"/>
      <c r="B100" s="455"/>
      <c r="E100" s="414"/>
      <c r="F100" s="789"/>
      <c r="G100" s="769"/>
      <c r="H100" s="769"/>
      <c r="I100" s="769"/>
      <c r="J100" s="769"/>
      <c r="K100" s="738"/>
      <c r="Q100" s="17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</row>
    <row r="101" s="3" customFormat="true" ht="15" hidden="true" customHeight="false" outlineLevel="0" collapsed="false">
      <c r="A101" s="6"/>
      <c r="F101" s="6"/>
      <c r="H101" s="727"/>
      <c r="I101" s="727"/>
      <c r="J101" s="727"/>
      <c r="K101" s="723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02" s="3" customFormat="true" ht="14.25" hidden="true" customHeight="false" outlineLevel="0" collapsed="false">
      <c r="A102" s="6"/>
      <c r="B102" s="792" t="s">
        <v>668</v>
      </c>
      <c r="C102" s="19" t="str">
        <f aca="false">IF(OR(AND($E$27="no",$E$46&gt;$E$17,$E$46&lt;$E$15),AND($E$27="si",$E$46&gt;$E$19,$E$46&lt;$E$15)),"Cumple estudio económico EAP con MN normal","NO cumple estudio económico EAP con el MN normal")</f>
        <v>NO cumple estudio económico EAP con el MN normal</v>
      </c>
      <c r="D102" s="19"/>
      <c r="E102" s="19"/>
      <c r="F102" s="793"/>
      <c r="H102" s="794" t="s">
        <v>669</v>
      </c>
      <c r="I102" s="51"/>
      <c r="J102" s="51"/>
      <c r="K102" s="718"/>
      <c r="N102" s="51"/>
      <c r="P102" s="181"/>
      <c r="Q102" s="176"/>
      <c r="R102" s="795"/>
      <c r="S102" s="795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</row>
    <row r="103" s="3" customFormat="true" ht="17.35" hidden="true" customHeight="false" outlineLevel="0" collapsed="false">
      <c r="A103" s="6"/>
      <c r="B103" s="796" t="s">
        <v>670</v>
      </c>
      <c r="C103" s="3" t="e">
        <f aca="false">IF($C$102="Cumple estudio económico EAP con MN normal","Cumple Estudio Económico EAP",IF(AND($C$102="NO cumple estudio económico EAP con el MN normal",$E$27="no",$E$46&lt;$E$17,#REF!&gt;$E$17,#REF!&lt;$E$15),"Cumple estudio económico EAP con MN+25%","NO cumple estudio económico EAP con el MN normal"))</f>
        <v>#REF!</v>
      </c>
      <c r="F103" s="6"/>
      <c r="H103" s="797" t="s">
        <v>15</v>
      </c>
      <c r="I103" s="798"/>
      <c r="J103" s="799"/>
      <c r="K103" s="738"/>
      <c r="N103" s="51"/>
      <c r="P103" s="181"/>
      <c r="Q103" s="176"/>
      <c r="R103" s="795"/>
      <c r="S103" s="795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</row>
    <row r="104" s="3" customFormat="true" ht="14.25" hidden="true" customHeight="false" outlineLevel="0" collapsed="false">
      <c r="A104" s="6"/>
      <c r="B104" s="796" t="s">
        <v>671</v>
      </c>
      <c r="C104" s="3" t="e">
        <f aca="false">IF($C$102="Cumple estudio económico EAP con MN normal","Cumple Estudio Económico EAP",IF(AND($C$102="NO cumple estudio económico EAP con el MN normal",$E$27="si",$E$46&lt;$E$19,#REF!&gt;$E$19,#REF!&lt;$E$15),"Cumple estudio económico EAP con MN+25%","NO cumple estudio económico EAP con el MN normal"))</f>
        <v>#REF!</v>
      </c>
      <c r="F104" s="6"/>
      <c r="H104" s="800" t="s">
        <v>19</v>
      </c>
      <c r="N104" s="51"/>
      <c r="P104" s="181"/>
      <c r="Q104" s="176"/>
      <c r="R104" s="795"/>
      <c r="S104" s="795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</row>
    <row r="105" s="3" customFormat="true" ht="14.25" hidden="true" customHeight="false" outlineLevel="0" collapsed="false">
      <c r="A105" s="6"/>
      <c r="B105" s="796" t="s">
        <v>672</v>
      </c>
      <c r="C105" s="3" t="str">
        <f aca="false">IF($C$102="Cumple estudio económico EAP con MN normal","Cumple Estudio Económico EAP",IF(AND($C$102="NO cumple estudio económico EAP con el MN normal",$E$27="no",$E$46&gt;$E$17,$E$46&gt;$E$15,$E$49&lt;$E$15),"Cumple estudio económico EAP con MN-25%","NO cumple estudio económico EAP con el MN normal"))</f>
        <v>NO cumple estudio económico EAP con el MN normal</v>
      </c>
      <c r="F105" s="6"/>
      <c r="H105" s="801" t="s">
        <v>673</v>
      </c>
      <c r="N105" s="51"/>
      <c r="P105" s="181"/>
      <c r="Q105" s="176"/>
      <c r="R105" s="795"/>
      <c r="S105" s="795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</row>
    <row r="106" s="3" customFormat="true" ht="14.25" hidden="true" customHeight="false" outlineLevel="0" collapsed="false">
      <c r="A106" s="6"/>
      <c r="B106" s="796" t="s">
        <v>674</v>
      </c>
      <c r="C106" s="3" t="str">
        <f aca="false">IF($C$102="Cumple estudio económico EAP","Cumple Estudio Económico EAP con MN normal",IF(AND($C$102="NO cumple estudio económico EAP con el MN normal",$E$27="si",$E$46&gt;$E$19,$E$46&gt;$E$15,$E$49&lt;$E$15),"Cumple estudio económico EAP con MN-25%","NO cumple estudio económico EAP con el MN normal"))</f>
        <v>NO cumple estudio económico EAP con el MN normal</v>
      </c>
      <c r="F106" s="6"/>
      <c r="N106" s="51"/>
      <c r="P106" s="181"/>
      <c r="Q106" s="176"/>
      <c r="R106" s="795"/>
      <c r="S106" s="795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</row>
    <row r="107" s="3" customFormat="true" ht="14.25" hidden="true" customHeight="false" outlineLevel="0" collapsed="false">
      <c r="A107" s="6"/>
      <c r="B107" s="802"/>
      <c r="F107" s="6"/>
      <c r="N107" s="51"/>
      <c r="P107" s="181"/>
      <c r="Q107" s="176"/>
      <c r="R107" s="795"/>
      <c r="S107" s="795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</row>
    <row r="108" s="3" customFormat="true" ht="14.25" hidden="true" customHeight="false" outlineLevel="0" collapsed="false">
      <c r="A108" s="6"/>
      <c r="B108" s="803"/>
      <c r="C108" s="804" t="e">
        <f aca="false">IF(OR($C$102="Cumple estudio económico EAP con MN normal ",$C$103="Cumple estudio económico EAP con MN+25%",$C$104="Cumple estudio económico EAP con MN+25%",$C$105="Cumple estudio económico EAP con MN-25%",$C$106="Cumple estudio económico EAP con MN-25%"),"Cumple estudio económico EAP","NO cumple estudio económico EAP")</f>
        <v>#REF!</v>
      </c>
      <c r="D108" s="804"/>
      <c r="E108" s="423"/>
      <c r="F108" s="805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</row>
    <row r="109" s="3" customFormat="true" ht="14.25" hidden="true" customHeight="false" outlineLevel="0" collapsed="false">
      <c r="A109" s="6"/>
      <c r="F109" s="6"/>
      <c r="P109" s="181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</row>
    <row r="110" s="3" customFormat="true" ht="14.25" hidden="true" customHeight="false" outlineLevel="0" collapsed="false">
      <c r="A110" s="6"/>
      <c r="F110" s="6"/>
      <c r="P110" s="181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</row>
    <row r="111" s="3" customFormat="true" ht="14.25" hidden="true" customHeight="false" outlineLevel="0" collapsed="false">
      <c r="A111" s="6"/>
      <c r="F111" s="6"/>
      <c r="M111" s="806" t="s">
        <v>675</v>
      </c>
      <c r="N111" s="806"/>
      <c r="O111" s="806"/>
      <c r="P111" s="806"/>
      <c r="Q111" s="806"/>
      <c r="R111" s="806"/>
      <c r="S111" s="806"/>
      <c r="T111" s="806"/>
      <c r="U111" s="806"/>
      <c r="V111" s="806"/>
      <c r="W111" s="806"/>
      <c r="X111" s="806"/>
      <c r="Y111" s="806"/>
      <c r="Z111" s="806"/>
      <c r="AA111" s="806"/>
      <c r="AB111" s="806"/>
      <c r="AC111" s="806"/>
      <c r="AD111" s="806"/>
      <c r="AE111" s="806"/>
      <c r="AF111" s="806"/>
      <c r="AG111" s="806"/>
      <c r="AH111" s="806"/>
      <c r="AI111" s="806"/>
    </row>
    <row r="112" s="3" customFormat="true" ht="14.25" hidden="true" customHeight="false" outlineLevel="0" collapsed="false">
      <c r="A112" s="6"/>
      <c r="F112" s="6"/>
      <c r="M112" s="807"/>
      <c r="N112" s="51"/>
      <c r="O112" s="808"/>
      <c r="P112" s="808"/>
      <c r="Q112" s="808"/>
      <c r="R112" s="45"/>
      <c r="S112" s="45"/>
      <c r="T112" s="45"/>
      <c r="U112" s="51"/>
      <c r="W112" s="809" t="s">
        <v>676</v>
      </c>
      <c r="X112" s="47"/>
      <c r="Y112" s="810"/>
      <c r="Z112" s="47"/>
      <c r="AA112" s="810"/>
      <c r="AB112" s="47"/>
      <c r="AC112" s="47"/>
      <c r="AD112" s="47"/>
      <c r="AE112" s="46"/>
      <c r="AF112" s="47"/>
      <c r="AG112" s="74"/>
      <c r="AH112" s="51"/>
      <c r="AI112" s="51"/>
    </row>
    <row r="113" s="3" customFormat="true" ht="14.25" hidden="true" customHeight="false" outlineLevel="0" collapsed="false">
      <c r="A113" s="6"/>
      <c r="F113" s="6"/>
      <c r="M113" s="811"/>
      <c r="N113" s="812"/>
      <c r="O113" s="811"/>
      <c r="P113" s="811"/>
      <c r="Q113" s="813"/>
      <c r="R113" s="814"/>
      <c r="S113" s="813"/>
      <c r="T113" s="815"/>
      <c r="U113" s="816"/>
      <c r="V113" s="816"/>
      <c r="W113" s="817"/>
      <c r="X113" s="818"/>
      <c r="Y113" s="819"/>
      <c r="Z113" s="818"/>
      <c r="AA113" s="819"/>
      <c r="AB113" s="818"/>
      <c r="AC113" s="818"/>
      <c r="AD113" s="818"/>
      <c r="AE113" s="820"/>
      <c r="AF113" s="818"/>
      <c r="AG113" s="821"/>
      <c r="AH113" s="811"/>
      <c r="AI113" s="822"/>
    </row>
    <row r="114" s="3" customFormat="true" ht="15" hidden="true" customHeight="true" outlineLevel="0" collapsed="false">
      <c r="A114" s="6"/>
      <c r="F114" s="6"/>
      <c r="M114" s="823" t="s">
        <v>677</v>
      </c>
      <c r="N114" s="824" t="n">
        <v>15</v>
      </c>
      <c r="O114" s="825" t="s">
        <v>678</v>
      </c>
      <c r="P114" s="825"/>
      <c r="Q114" s="825"/>
      <c r="R114" s="825"/>
      <c r="S114" s="825"/>
      <c r="T114" s="825"/>
      <c r="U114" s="826" t="n">
        <v>151</v>
      </c>
      <c r="V114" s="827" t="s">
        <v>679</v>
      </c>
      <c r="W114" s="828" t="str">
        <f aca="false">CONCATENATE(U114,"-",V114)</f>
        <v>151-Exp. especializadas en cereal (distinta de la de arroz), cultivo plantas oleaginosas y proteaginosas </v>
      </c>
      <c r="X114" s="829"/>
      <c r="Y114" s="830"/>
      <c r="Z114" s="829"/>
      <c r="AA114" s="830"/>
      <c r="AB114" s="829"/>
      <c r="AC114" s="829"/>
      <c r="AD114" s="829"/>
      <c r="AE114" s="831"/>
      <c r="AF114" s="829"/>
      <c r="AG114" s="832"/>
      <c r="AH114" s="833"/>
      <c r="AI114" s="826" t="n">
        <v>151</v>
      </c>
    </row>
    <row r="115" s="3" customFormat="true" ht="14.25" hidden="true" customHeight="false" outlineLevel="0" collapsed="false">
      <c r="A115" s="6"/>
      <c r="F115" s="6"/>
      <c r="M115" s="823"/>
      <c r="N115" s="824"/>
      <c r="O115" s="825"/>
      <c r="P115" s="825"/>
      <c r="Q115" s="825"/>
      <c r="R115" s="825"/>
      <c r="S115" s="825"/>
      <c r="T115" s="825"/>
      <c r="U115" s="834" t="n">
        <v>152</v>
      </c>
      <c r="V115" s="835" t="s">
        <v>680</v>
      </c>
      <c r="W115" s="828" t="str">
        <f aca="false">CONCATENATE(U115,"-",V115)</f>
        <v>152-Explotaciones especializadas en arroz </v>
      </c>
      <c r="X115" s="836"/>
      <c r="Y115" s="837"/>
      <c r="Z115" s="836"/>
      <c r="AA115" s="837"/>
      <c r="AB115" s="836"/>
      <c r="AC115" s="836"/>
      <c r="AD115" s="836"/>
      <c r="AE115" s="838"/>
      <c r="AF115" s="836"/>
      <c r="AG115" s="839"/>
      <c r="AH115" s="840"/>
      <c r="AI115" s="834" t="n">
        <v>152</v>
      </c>
    </row>
    <row r="116" s="3" customFormat="true" ht="14.25" hidden="true" customHeight="false" outlineLevel="0" collapsed="false">
      <c r="A116" s="6"/>
      <c r="B116" s="66" t="s">
        <v>13</v>
      </c>
      <c r="C116" s="51"/>
      <c r="D116" s="51"/>
      <c r="F116" s="6"/>
      <c r="M116" s="823"/>
      <c r="N116" s="824"/>
      <c r="O116" s="825"/>
      <c r="P116" s="825"/>
      <c r="Q116" s="825"/>
      <c r="R116" s="825"/>
      <c r="S116" s="825"/>
      <c r="T116" s="825"/>
      <c r="U116" s="841" t="n">
        <v>153</v>
      </c>
      <c r="V116" s="842" t="s">
        <v>681</v>
      </c>
      <c r="W116" s="828" t="str">
        <f aca="false">CONCATENATE(U116,"-",V116)</f>
        <v>153-Explotaciones que combinen cereales, arroz, semillas oleaginosas y proteaginosas </v>
      </c>
      <c r="X116" s="843"/>
      <c r="Y116" s="844"/>
      <c r="Z116" s="843"/>
      <c r="AA116" s="844"/>
      <c r="AB116" s="843"/>
      <c r="AC116" s="843"/>
      <c r="AD116" s="843"/>
      <c r="AE116" s="845"/>
      <c r="AF116" s="843"/>
      <c r="AG116" s="846"/>
      <c r="AH116" s="847"/>
      <c r="AI116" s="841" t="n">
        <v>153</v>
      </c>
    </row>
    <row r="117" s="3" customFormat="true" ht="15" hidden="true" customHeight="true" outlineLevel="0" collapsed="false">
      <c r="A117" s="6"/>
      <c r="B117" s="848" t="n">
        <v>2004</v>
      </c>
      <c r="C117" s="92" t="n">
        <v>20583</v>
      </c>
      <c r="D117" s="92"/>
      <c r="F117" s="6"/>
      <c r="M117" s="823"/>
      <c r="N117" s="849" t="n">
        <v>16</v>
      </c>
      <c r="O117" s="850" t="s">
        <v>682</v>
      </c>
      <c r="P117" s="850"/>
      <c r="Q117" s="850"/>
      <c r="R117" s="850"/>
      <c r="S117" s="850"/>
      <c r="T117" s="850"/>
      <c r="U117" s="826" t="n">
        <v>161</v>
      </c>
      <c r="V117" s="851" t="s">
        <v>683</v>
      </c>
      <c r="W117" s="828" t="str">
        <f aca="false">CONCATENATE(U117,"-",V117)</f>
        <v>161-Explotaciones especializadas en el cultivo de raíces y tubérculos </v>
      </c>
      <c r="X117" s="852"/>
      <c r="Y117" s="853"/>
      <c r="Z117" s="852"/>
      <c r="AA117" s="853"/>
      <c r="AB117" s="852"/>
      <c r="AC117" s="852"/>
      <c r="AD117" s="852"/>
      <c r="AE117" s="854"/>
      <c r="AF117" s="852"/>
      <c r="AG117" s="855"/>
      <c r="AH117" s="856"/>
      <c r="AI117" s="826" t="n">
        <v>161</v>
      </c>
    </row>
    <row r="118" s="3" customFormat="true" ht="14.25" hidden="true" customHeight="false" outlineLevel="0" collapsed="false">
      <c r="A118" s="6"/>
      <c r="B118" s="848" t="n">
        <v>2005</v>
      </c>
      <c r="C118" s="92" t="n">
        <v>21229</v>
      </c>
      <c r="D118" s="92"/>
      <c r="F118" s="6"/>
      <c r="M118" s="823"/>
      <c r="N118" s="849"/>
      <c r="O118" s="850"/>
      <c r="P118" s="850"/>
      <c r="Q118" s="850"/>
      <c r="R118" s="850"/>
      <c r="S118" s="850"/>
      <c r="T118" s="850"/>
      <c r="U118" s="834" t="n">
        <v>162</v>
      </c>
      <c r="V118" s="835" t="s">
        <v>684</v>
      </c>
      <c r="W118" s="828" t="str">
        <f aca="false">CONCATENATE(U118,"-",V118)</f>
        <v>162-Explotaciones que combinen cereales, semillas oleaginosas y proteaginosas y raíces y tubérculos </v>
      </c>
      <c r="X118" s="836"/>
      <c r="Y118" s="837"/>
      <c r="Z118" s="836"/>
      <c r="AA118" s="837"/>
      <c r="AB118" s="836"/>
      <c r="AC118" s="836"/>
      <c r="AD118" s="836"/>
      <c r="AE118" s="838"/>
      <c r="AF118" s="836"/>
      <c r="AG118" s="839"/>
      <c r="AH118" s="840"/>
      <c r="AI118" s="834" t="n">
        <v>162</v>
      </c>
    </row>
    <row r="119" s="3" customFormat="true" ht="14.25" hidden="true" customHeight="false" outlineLevel="0" collapsed="false">
      <c r="A119" s="6"/>
      <c r="B119" s="848" t="n">
        <v>2006</v>
      </c>
      <c r="C119" s="92" t="n">
        <v>22022</v>
      </c>
      <c r="D119" s="92"/>
      <c r="F119" s="6"/>
      <c r="M119" s="823"/>
      <c r="N119" s="849"/>
      <c r="O119" s="850"/>
      <c r="P119" s="850"/>
      <c r="Q119" s="850"/>
      <c r="R119" s="850"/>
      <c r="S119" s="850"/>
      <c r="T119" s="850"/>
      <c r="U119" s="834" t="n">
        <v>163</v>
      </c>
      <c r="V119" s="835" t="s">
        <v>685</v>
      </c>
      <c r="W119" s="828" t="str">
        <f aca="false">CONCATENATE(U119,"-",V119)</f>
        <v>163-Explotaciones especializadas en el cultivo de hortalizas producidas al aire libre </v>
      </c>
      <c r="X119" s="836"/>
      <c r="Y119" s="837"/>
      <c r="Z119" s="836"/>
      <c r="AA119" s="837"/>
      <c r="AB119" s="836"/>
      <c r="AC119" s="836"/>
      <c r="AD119" s="836"/>
      <c r="AE119" s="838"/>
      <c r="AF119" s="836"/>
      <c r="AG119" s="839"/>
      <c r="AH119" s="840"/>
      <c r="AI119" s="834" t="n">
        <v>163</v>
      </c>
    </row>
    <row r="120" s="3" customFormat="true" ht="14.25" hidden="true" customHeight="false" outlineLevel="0" collapsed="false">
      <c r="A120" s="6"/>
      <c r="B120" s="848" t="n">
        <v>2007</v>
      </c>
      <c r="C120" s="92" t="n">
        <v>22732</v>
      </c>
      <c r="D120" s="92"/>
      <c r="F120" s="6"/>
      <c r="M120" s="823"/>
      <c r="N120" s="849"/>
      <c r="O120" s="850"/>
      <c r="P120" s="850"/>
      <c r="Q120" s="850"/>
      <c r="R120" s="850"/>
      <c r="S120" s="850"/>
      <c r="T120" s="850"/>
      <c r="U120" s="834" t="n">
        <v>164</v>
      </c>
      <c r="V120" s="835" t="s">
        <v>686</v>
      </c>
      <c r="W120" s="828" t="str">
        <f aca="false">CONCATENATE(U120,"-",V120)</f>
        <v>164-Explotaciones especializadas en el cultivo de tabaco</v>
      </c>
      <c r="X120" s="836"/>
      <c r="Y120" s="837"/>
      <c r="Z120" s="836"/>
      <c r="AA120" s="837"/>
      <c r="AB120" s="836"/>
      <c r="AC120" s="836"/>
      <c r="AD120" s="836"/>
      <c r="AE120" s="838"/>
      <c r="AF120" s="836"/>
      <c r="AG120" s="839"/>
      <c r="AH120" s="840"/>
      <c r="AI120" s="834" t="n">
        <v>164</v>
      </c>
    </row>
    <row r="121" s="3" customFormat="true" ht="14.25" hidden="true" customHeight="false" outlineLevel="0" collapsed="false">
      <c r="A121" s="6"/>
      <c r="B121" s="848" t="n">
        <v>2009</v>
      </c>
      <c r="C121" s="92" t="n">
        <v>24906</v>
      </c>
      <c r="D121" s="92"/>
      <c r="F121" s="6"/>
      <c r="L121" s="5"/>
      <c r="M121" s="823"/>
      <c r="N121" s="849"/>
      <c r="O121" s="850"/>
      <c r="P121" s="850"/>
      <c r="Q121" s="850"/>
      <c r="R121" s="850"/>
      <c r="S121" s="850"/>
      <c r="T121" s="850"/>
      <c r="U121" s="834" t="n">
        <v>165</v>
      </c>
      <c r="V121" s="835" t="s">
        <v>687</v>
      </c>
      <c r="W121" s="828" t="str">
        <f aca="false">CONCATENATE(U121,"-",V121)</f>
        <v>165-Explotaciones especializadas en el cultivo de algodón</v>
      </c>
      <c r="X121" s="836"/>
      <c r="Y121" s="837"/>
      <c r="Z121" s="836"/>
      <c r="AA121" s="837"/>
      <c r="AB121" s="836"/>
      <c r="AC121" s="836"/>
      <c r="AD121" s="836"/>
      <c r="AE121" s="838"/>
      <c r="AF121" s="836"/>
      <c r="AG121" s="839"/>
      <c r="AH121" s="840"/>
      <c r="AI121" s="834" t="n">
        <v>165</v>
      </c>
    </row>
    <row r="122" s="3" customFormat="true" ht="14.25" hidden="true" customHeight="false" outlineLevel="0" collapsed="false">
      <c r="A122" s="6"/>
      <c r="B122" s="848" t="n">
        <v>2010</v>
      </c>
      <c r="C122" s="92" t="n">
        <v>26305</v>
      </c>
      <c r="D122" s="92"/>
      <c r="F122" s="6"/>
      <c r="G122" s="857"/>
      <c r="H122" s="616"/>
      <c r="M122" s="823"/>
      <c r="N122" s="849"/>
      <c r="O122" s="850"/>
      <c r="P122" s="850"/>
      <c r="Q122" s="850"/>
      <c r="R122" s="850"/>
      <c r="S122" s="850"/>
      <c r="T122" s="850"/>
      <c r="U122" s="858" t="n">
        <v>166</v>
      </c>
      <c r="V122" s="859" t="s">
        <v>688</v>
      </c>
      <c r="W122" s="828" t="str">
        <f aca="false">CONCATENATE(U122,"-",V122)</f>
        <v>166-Explotaciones con combinaciones de varios grandes  cultivos </v>
      </c>
      <c r="X122" s="860"/>
      <c r="Y122" s="861"/>
      <c r="Z122" s="860"/>
      <c r="AA122" s="861"/>
      <c r="AB122" s="860"/>
      <c r="AC122" s="860"/>
      <c r="AD122" s="860"/>
      <c r="AE122" s="862"/>
      <c r="AF122" s="860"/>
      <c r="AG122" s="863"/>
      <c r="AH122" s="864"/>
      <c r="AI122" s="858" t="n">
        <v>166</v>
      </c>
    </row>
    <row r="123" s="3" customFormat="true" ht="14.25" hidden="true" customHeight="false" outlineLevel="0" collapsed="false">
      <c r="A123" s="6"/>
      <c r="B123" s="848" t="n">
        <v>2011</v>
      </c>
      <c r="C123" s="92" t="n">
        <v>27503</v>
      </c>
      <c r="D123" s="92"/>
      <c r="F123" s="6"/>
      <c r="G123" s="857"/>
      <c r="H123" s="616"/>
      <c r="M123" s="814" t="n">
        <v>2</v>
      </c>
      <c r="N123" s="812" t="s">
        <v>689</v>
      </c>
      <c r="O123" s="865"/>
      <c r="P123" s="865"/>
      <c r="Q123" s="813"/>
      <c r="R123" s="813"/>
      <c r="S123" s="813"/>
      <c r="T123" s="866"/>
      <c r="U123" s="867"/>
      <c r="V123" s="816"/>
      <c r="W123" s="828" t="str">
        <f aca="false">CONCATENATE(U123,"-",V123)</f>
        <v>-</v>
      </c>
      <c r="X123" s="818"/>
      <c r="Y123" s="819"/>
      <c r="Z123" s="818"/>
      <c r="AA123" s="819"/>
      <c r="AB123" s="818"/>
      <c r="AC123" s="818"/>
      <c r="AD123" s="818"/>
      <c r="AE123" s="820"/>
      <c r="AF123" s="818"/>
      <c r="AG123" s="821"/>
      <c r="AH123" s="811"/>
      <c r="AI123" s="867"/>
    </row>
    <row r="124" s="3" customFormat="true" ht="15" hidden="true" customHeight="true" outlineLevel="0" collapsed="false">
      <c r="A124" s="6"/>
      <c r="B124" s="848" t="n">
        <v>2012</v>
      </c>
      <c r="C124" s="92" t="n">
        <v>27907</v>
      </c>
      <c r="D124" s="92"/>
      <c r="F124" s="6"/>
      <c r="G124" s="857"/>
      <c r="H124" s="616"/>
      <c r="M124" s="814"/>
      <c r="N124" s="826" t="n">
        <v>21</v>
      </c>
      <c r="O124" s="825" t="s">
        <v>690</v>
      </c>
      <c r="P124" s="825"/>
      <c r="Q124" s="825"/>
      <c r="R124" s="825"/>
      <c r="S124" s="825"/>
      <c r="T124" s="825"/>
      <c r="U124" s="826" t="n">
        <v>211</v>
      </c>
      <c r="V124" s="827" t="s">
        <v>691</v>
      </c>
      <c r="W124" s="828" t="str">
        <f aca="false">CONCATENATE(U124,"-",V124)</f>
        <v>211-Explotaciones especializadas en hortalizas en invernadero </v>
      </c>
      <c r="X124" s="829"/>
      <c r="Y124" s="830"/>
      <c r="Z124" s="829"/>
      <c r="AA124" s="830"/>
      <c r="AB124" s="829"/>
      <c r="AC124" s="829"/>
      <c r="AD124" s="829"/>
      <c r="AE124" s="831"/>
      <c r="AF124" s="829"/>
      <c r="AG124" s="832"/>
      <c r="AH124" s="833"/>
      <c r="AI124" s="826" t="n">
        <v>211</v>
      </c>
    </row>
    <row r="125" s="3" customFormat="true" ht="14.25" hidden="true" customHeight="false" outlineLevel="0" collapsed="false">
      <c r="A125" s="6"/>
      <c r="B125" s="848" t="n">
        <v>2013</v>
      </c>
      <c r="C125" s="92" t="n">
        <v>28278</v>
      </c>
      <c r="D125" s="92"/>
      <c r="F125" s="6"/>
      <c r="M125" s="814"/>
      <c r="N125" s="826"/>
      <c r="O125" s="825"/>
      <c r="P125" s="825"/>
      <c r="Q125" s="825"/>
      <c r="R125" s="825"/>
      <c r="S125" s="825"/>
      <c r="T125" s="825"/>
      <c r="U125" s="834" t="n">
        <v>212</v>
      </c>
      <c r="V125" s="835" t="s">
        <v>692</v>
      </c>
      <c r="W125" s="828" t="str">
        <f aca="false">CONCATENATE(U125,"-",V125)</f>
        <v>212-Explotaciones especializadas en floricultura y plantas ornamentales en invernadero </v>
      </c>
      <c r="X125" s="836"/>
      <c r="Y125" s="837"/>
      <c r="Z125" s="836"/>
      <c r="AA125" s="837"/>
      <c r="AB125" s="836"/>
      <c r="AC125" s="836"/>
      <c r="AD125" s="836"/>
      <c r="AE125" s="838"/>
      <c r="AF125" s="836"/>
      <c r="AG125" s="839"/>
      <c r="AH125" s="840"/>
      <c r="AI125" s="834" t="n">
        <v>212</v>
      </c>
    </row>
    <row r="126" s="3" customFormat="true" ht="14.25" hidden="true" customHeight="false" outlineLevel="0" collapsed="false">
      <c r="A126" s="6"/>
      <c r="B126" s="848" t="n">
        <v>2014</v>
      </c>
      <c r="C126" s="92" t="n">
        <v>28165</v>
      </c>
      <c r="D126" s="92"/>
      <c r="F126" s="6"/>
      <c r="G126" s="455"/>
      <c r="H126" s="868"/>
      <c r="M126" s="814"/>
      <c r="N126" s="826"/>
      <c r="O126" s="825"/>
      <c r="P126" s="825"/>
      <c r="Q126" s="825"/>
      <c r="R126" s="825"/>
      <c r="S126" s="825"/>
      <c r="T126" s="825"/>
      <c r="U126" s="841" t="n">
        <v>213</v>
      </c>
      <c r="V126" s="842" t="s">
        <v>693</v>
      </c>
      <c r="W126" s="828" t="str">
        <f aca="false">CONCATENATE(U126,"-",V126)</f>
        <v>213-Explotaciones especialistas en policultivo hortícola en invernadero </v>
      </c>
      <c r="X126" s="843"/>
      <c r="Y126" s="844"/>
      <c r="Z126" s="843"/>
      <c r="AA126" s="844"/>
      <c r="AB126" s="843"/>
      <c r="AC126" s="843"/>
      <c r="AD126" s="843"/>
      <c r="AE126" s="845"/>
      <c r="AF126" s="843"/>
      <c r="AG126" s="846"/>
      <c r="AH126" s="847"/>
      <c r="AI126" s="841" t="n">
        <v>213</v>
      </c>
    </row>
    <row r="127" s="3" customFormat="true" ht="15" hidden="true" customHeight="true" outlineLevel="0" collapsed="false">
      <c r="A127" s="6"/>
      <c r="B127" s="848" t="n">
        <v>2015</v>
      </c>
      <c r="C127" s="92" t="n">
        <v>28051.2</v>
      </c>
      <c r="D127" s="92"/>
      <c r="F127" s="6"/>
      <c r="G127" s="455"/>
      <c r="M127" s="814"/>
      <c r="N127" s="869" t="n">
        <v>22</v>
      </c>
      <c r="O127" s="850" t="s">
        <v>694</v>
      </c>
      <c r="P127" s="850"/>
      <c r="Q127" s="850"/>
      <c r="R127" s="850"/>
      <c r="S127" s="850"/>
      <c r="T127" s="850"/>
      <c r="U127" s="826" t="n">
        <v>221</v>
      </c>
      <c r="V127" s="851" t="s">
        <v>695</v>
      </c>
      <c r="W127" s="828" t="str">
        <f aca="false">CONCATENATE(U127,"-",V127)</f>
        <v>221-Explotaciones especializadas en hortalizas al aire libre </v>
      </c>
      <c r="X127" s="852"/>
      <c r="Y127" s="853"/>
      <c r="Z127" s="852"/>
      <c r="AA127" s="853"/>
      <c r="AB127" s="852"/>
      <c r="AC127" s="852"/>
      <c r="AD127" s="852"/>
      <c r="AE127" s="854"/>
      <c r="AF127" s="852"/>
      <c r="AG127" s="855"/>
      <c r="AH127" s="856"/>
      <c r="AI127" s="826" t="n">
        <v>221</v>
      </c>
    </row>
    <row r="128" s="3" customFormat="true" ht="14.25" hidden="true" customHeight="false" outlineLevel="0" collapsed="false">
      <c r="A128" s="6"/>
      <c r="B128" s="848" t="n">
        <v>2016</v>
      </c>
      <c r="C128" s="92" t="n">
        <v>28396.56</v>
      </c>
      <c r="D128" s="92"/>
      <c r="F128" s="6"/>
      <c r="G128" s="455"/>
      <c r="M128" s="814"/>
      <c r="N128" s="869"/>
      <c r="O128" s="850"/>
      <c r="P128" s="850"/>
      <c r="Q128" s="850"/>
      <c r="R128" s="850"/>
      <c r="S128" s="850"/>
      <c r="T128" s="850"/>
      <c r="U128" s="834" t="n">
        <v>222</v>
      </c>
      <c r="V128" s="835" t="s">
        <v>696</v>
      </c>
      <c r="W128" s="828" t="str">
        <f aca="false">CONCATENATE(U128,"-",V128)</f>
        <v>222-Explotaciones especializadas en floricultura y plantas ornamentales al aire libre </v>
      </c>
      <c r="X128" s="836"/>
      <c r="Y128" s="837"/>
      <c r="Z128" s="836"/>
      <c r="AA128" s="837"/>
      <c r="AB128" s="836"/>
      <c r="AC128" s="836"/>
      <c r="AD128" s="836"/>
      <c r="AE128" s="838"/>
      <c r="AF128" s="836"/>
      <c r="AG128" s="839"/>
      <c r="AH128" s="840"/>
      <c r="AI128" s="834" t="n">
        <v>222</v>
      </c>
    </row>
    <row r="129" s="3" customFormat="true" ht="14.25" hidden="true" customHeight="false" outlineLevel="0" collapsed="false">
      <c r="A129" s="6"/>
      <c r="B129" s="848" t="n">
        <v>2017</v>
      </c>
      <c r="C129" s="45" t="n">
        <v>28549.87</v>
      </c>
      <c r="D129" s="45"/>
      <c r="F129" s="6"/>
      <c r="M129" s="814"/>
      <c r="N129" s="869"/>
      <c r="O129" s="850"/>
      <c r="P129" s="850"/>
      <c r="Q129" s="850"/>
      <c r="R129" s="850"/>
      <c r="S129" s="850"/>
      <c r="T129" s="850"/>
      <c r="U129" s="858" t="n">
        <v>223</v>
      </c>
      <c r="V129" s="859" t="s">
        <v>697</v>
      </c>
      <c r="W129" s="828" t="str">
        <f aca="false">CONCATENATE(U129,"-",V129)</f>
        <v>223-Explotaciones especializadas en policultivo hortícola al aire libre </v>
      </c>
      <c r="X129" s="860"/>
      <c r="Y129" s="861"/>
      <c r="Z129" s="860"/>
      <c r="AA129" s="861"/>
      <c r="AB129" s="860"/>
      <c r="AC129" s="860"/>
      <c r="AD129" s="860"/>
      <c r="AE129" s="862"/>
      <c r="AF129" s="860"/>
      <c r="AG129" s="863"/>
      <c r="AH129" s="864"/>
      <c r="AI129" s="858" t="n">
        <v>223</v>
      </c>
    </row>
    <row r="130" s="3" customFormat="true" ht="15" hidden="true" customHeight="true" outlineLevel="0" collapsed="false">
      <c r="A130" s="6"/>
      <c r="B130" s="848" t="n">
        <v>2018</v>
      </c>
      <c r="C130" s="45" t="n">
        <v>28725.31</v>
      </c>
      <c r="F130" s="6"/>
      <c r="M130" s="814"/>
      <c r="N130" s="858" t="n">
        <v>23</v>
      </c>
      <c r="O130" s="825" t="s">
        <v>698</v>
      </c>
      <c r="P130" s="825"/>
      <c r="Q130" s="825"/>
      <c r="R130" s="825"/>
      <c r="S130" s="825"/>
      <c r="T130" s="825"/>
      <c r="U130" s="870" t="n">
        <v>231</v>
      </c>
      <c r="V130" s="827" t="s">
        <v>699</v>
      </c>
      <c r="W130" s="828" t="str">
        <f aca="false">CONCATENATE(U130,"-",V130)</f>
        <v>231-Explotaciones especializadas en el cultivo de setas </v>
      </c>
      <c r="X130" s="829"/>
      <c r="Y130" s="830"/>
      <c r="Z130" s="829"/>
      <c r="AA130" s="830"/>
      <c r="AB130" s="829"/>
      <c r="AC130" s="829"/>
      <c r="AD130" s="829"/>
      <c r="AE130" s="831"/>
      <c r="AF130" s="829"/>
      <c r="AG130" s="832"/>
      <c r="AH130" s="833"/>
      <c r="AI130" s="870" t="n">
        <v>231</v>
      </c>
    </row>
    <row r="131" s="3" customFormat="true" ht="14.25" hidden="true" customHeight="false" outlineLevel="0" collapsed="false">
      <c r="A131" s="6"/>
      <c r="B131" s="848" t="n">
        <v>2019</v>
      </c>
      <c r="C131" s="45" t="n">
        <v>28884.88</v>
      </c>
      <c r="F131" s="6"/>
      <c r="L131" s="5"/>
      <c r="M131" s="814"/>
      <c r="N131" s="858"/>
      <c r="O131" s="825"/>
      <c r="P131" s="825"/>
      <c r="Q131" s="825"/>
      <c r="R131" s="825"/>
      <c r="S131" s="825"/>
      <c r="T131" s="825"/>
      <c r="U131" s="834" t="n">
        <v>232</v>
      </c>
      <c r="V131" s="835" t="s">
        <v>700</v>
      </c>
      <c r="W131" s="828" t="str">
        <f aca="false">CONCATENATE(U131,"-",V131)</f>
        <v>232-Explotaciones especializadas en viveros </v>
      </c>
      <c r="X131" s="836"/>
      <c r="Y131" s="837"/>
      <c r="Z131" s="836"/>
      <c r="AA131" s="837"/>
      <c r="AB131" s="836"/>
      <c r="AC131" s="836"/>
      <c r="AD131" s="836"/>
      <c r="AE131" s="838"/>
      <c r="AF131" s="836"/>
      <c r="AG131" s="839"/>
      <c r="AH131" s="840"/>
      <c r="AI131" s="834" t="n">
        <v>232</v>
      </c>
    </row>
    <row r="132" s="3" customFormat="true" ht="14.25" hidden="true" customHeight="false" outlineLevel="0" collapsed="false">
      <c r="A132" s="6"/>
      <c r="B132" s="848" t="n">
        <v>2020</v>
      </c>
      <c r="C132" s="45" t="n">
        <v>29339.08</v>
      </c>
      <c r="F132" s="6"/>
      <c r="M132" s="814"/>
      <c r="N132" s="858"/>
      <c r="O132" s="825"/>
      <c r="P132" s="825"/>
      <c r="Q132" s="825"/>
      <c r="R132" s="825"/>
      <c r="S132" s="825"/>
      <c r="T132" s="825"/>
      <c r="U132" s="858" t="n">
        <v>233</v>
      </c>
      <c r="V132" s="842" t="s">
        <v>701</v>
      </c>
      <c r="W132" s="828" t="str">
        <f aca="false">CONCATENATE(U132,"-",V132)</f>
        <v>233-Horticultura Diversa</v>
      </c>
      <c r="X132" s="843"/>
      <c r="Y132" s="844"/>
      <c r="Z132" s="843"/>
      <c r="AA132" s="844"/>
      <c r="AB132" s="843"/>
      <c r="AC132" s="843"/>
      <c r="AD132" s="843"/>
      <c r="AE132" s="845"/>
      <c r="AF132" s="843"/>
      <c r="AG132" s="846"/>
      <c r="AH132" s="847"/>
      <c r="AI132" s="858" t="n">
        <v>233</v>
      </c>
    </row>
    <row r="133" s="3" customFormat="true" ht="14.25" hidden="true" customHeight="false" outlineLevel="0" collapsed="false">
      <c r="A133" s="6"/>
      <c r="B133" s="848" t="n">
        <v>2021</v>
      </c>
      <c r="C133" s="45" t="n">
        <v>30622.23</v>
      </c>
      <c r="F133" s="6"/>
      <c r="M133" s="814" t="n">
        <v>3</v>
      </c>
      <c r="N133" s="812" t="s">
        <v>702</v>
      </c>
      <c r="O133" s="865"/>
      <c r="P133" s="865"/>
      <c r="Q133" s="813"/>
      <c r="R133" s="813"/>
      <c r="S133" s="813"/>
      <c r="T133" s="866"/>
      <c r="U133" s="867"/>
      <c r="V133" s="816"/>
      <c r="W133" s="828" t="str">
        <f aca="false">CONCATENATE(U133,"-",V133)</f>
        <v>-</v>
      </c>
      <c r="X133" s="818"/>
      <c r="Y133" s="819"/>
      <c r="Z133" s="818"/>
      <c r="AA133" s="819"/>
      <c r="AB133" s="818"/>
      <c r="AC133" s="818"/>
      <c r="AD133" s="818"/>
      <c r="AE133" s="820"/>
      <c r="AF133" s="818"/>
      <c r="AG133" s="821"/>
      <c r="AH133" s="811"/>
      <c r="AI133" s="867"/>
    </row>
    <row r="134" s="3" customFormat="true" ht="15" hidden="true" customHeight="true" outlineLevel="0" collapsed="false">
      <c r="A134" s="6"/>
      <c r="B134" s="848" t="n">
        <v>2022</v>
      </c>
      <c r="C134" s="45" t="n">
        <v>31502.93</v>
      </c>
      <c r="F134" s="6"/>
      <c r="M134" s="814"/>
      <c r="N134" s="826" t="n">
        <v>35</v>
      </c>
      <c r="O134" s="871" t="s">
        <v>703</v>
      </c>
      <c r="P134" s="871"/>
      <c r="Q134" s="871"/>
      <c r="R134" s="871"/>
      <c r="S134" s="871"/>
      <c r="T134" s="871"/>
      <c r="U134" s="826" t="n">
        <v>351</v>
      </c>
      <c r="V134" s="827" t="s">
        <v>704</v>
      </c>
      <c r="W134" s="828" t="str">
        <f aca="false">CONCATENATE(U134,"-",V134)</f>
        <v>351-Explotaciones vinícolas especializadas que produzcan vinos de calidad </v>
      </c>
      <c r="X134" s="829"/>
      <c r="Y134" s="830"/>
      <c r="Z134" s="829"/>
      <c r="AA134" s="830"/>
      <c r="AB134" s="829"/>
      <c r="AC134" s="829"/>
      <c r="AD134" s="829"/>
      <c r="AE134" s="831"/>
      <c r="AF134" s="829"/>
      <c r="AG134" s="832"/>
      <c r="AH134" s="833"/>
      <c r="AI134" s="826" t="n">
        <v>351</v>
      </c>
    </row>
    <row r="135" s="3" customFormat="true" ht="14.25" hidden="true" customHeight="false" outlineLevel="0" collapsed="false">
      <c r="A135" s="6"/>
      <c r="B135" s="848" t="n">
        <v>2023</v>
      </c>
      <c r="C135" s="872" t="n">
        <v>32570.47</v>
      </c>
      <c r="F135" s="6"/>
      <c r="M135" s="814"/>
      <c r="N135" s="826"/>
      <c r="O135" s="871"/>
      <c r="P135" s="871"/>
      <c r="Q135" s="871"/>
      <c r="R135" s="871"/>
      <c r="S135" s="871"/>
      <c r="T135" s="871"/>
      <c r="U135" s="834" t="n">
        <v>352</v>
      </c>
      <c r="V135" s="835" t="s">
        <v>705</v>
      </c>
      <c r="W135" s="828" t="str">
        <f aca="false">CONCATENATE(U135,"-",V135)</f>
        <v>352-Explotaciones vinícolas especializadas que produzcan vinos distintos de los vinos de calidad </v>
      </c>
      <c r="X135" s="836"/>
      <c r="Y135" s="837"/>
      <c r="Z135" s="836"/>
      <c r="AA135" s="837"/>
      <c r="AB135" s="836"/>
      <c r="AC135" s="836"/>
      <c r="AD135" s="836"/>
      <c r="AE135" s="838"/>
      <c r="AF135" s="836"/>
      <c r="AG135" s="839"/>
      <c r="AH135" s="840"/>
      <c r="AI135" s="834" t="n">
        <v>352</v>
      </c>
    </row>
    <row r="136" s="3" customFormat="true" ht="14.25" hidden="true" customHeight="false" outlineLevel="0" collapsed="false">
      <c r="A136" s="6"/>
      <c r="B136" s="848" t="n">
        <v>2024</v>
      </c>
      <c r="C136" s="872" t="n">
        <v>34049.72</v>
      </c>
      <c r="F136" s="6"/>
      <c r="M136" s="814"/>
      <c r="N136" s="826"/>
      <c r="O136" s="871"/>
      <c r="P136" s="871"/>
      <c r="Q136" s="871"/>
      <c r="R136" s="871"/>
      <c r="S136" s="871"/>
      <c r="T136" s="871"/>
      <c r="U136" s="834" t="n">
        <v>353</v>
      </c>
      <c r="V136" s="835" t="s">
        <v>706</v>
      </c>
      <c r="W136" s="828" t="str">
        <f aca="false">CONCATENATE(U136,"-",V136)</f>
        <v>353-Explotaciones especializadas en la producción de uva de mesa </v>
      </c>
      <c r="X136" s="836"/>
      <c r="Y136" s="837"/>
      <c r="Z136" s="836"/>
      <c r="AA136" s="837"/>
      <c r="AB136" s="836"/>
      <c r="AC136" s="836"/>
      <c r="AD136" s="836"/>
      <c r="AE136" s="838"/>
      <c r="AF136" s="836"/>
      <c r="AG136" s="839"/>
      <c r="AH136" s="840"/>
      <c r="AI136" s="834" t="n">
        <v>353</v>
      </c>
    </row>
    <row r="137" s="3" customFormat="true" ht="14.25" hidden="true" customHeight="false" outlineLevel="0" collapsed="false">
      <c r="A137" s="6"/>
      <c r="B137" s="848" t="n">
        <v>2025</v>
      </c>
      <c r="C137" s="872" t="n">
        <v>34624.31</v>
      </c>
      <c r="F137" s="6"/>
      <c r="M137" s="814"/>
      <c r="N137" s="826"/>
      <c r="O137" s="871"/>
      <c r="P137" s="871"/>
      <c r="Q137" s="871"/>
      <c r="R137" s="871"/>
      <c r="S137" s="871"/>
      <c r="T137" s="871"/>
      <c r="U137" s="841" t="n">
        <v>354</v>
      </c>
      <c r="V137" s="842" t="s">
        <v>707</v>
      </c>
      <c r="W137" s="828" t="str">
        <f aca="false">CONCATENATE(U137,"-",V137)</f>
        <v>354-Otros viñedos</v>
      </c>
      <c r="X137" s="843"/>
      <c r="Y137" s="844"/>
      <c r="Z137" s="843"/>
      <c r="AA137" s="844"/>
      <c r="AB137" s="843"/>
      <c r="AC137" s="843"/>
      <c r="AD137" s="843"/>
      <c r="AE137" s="845"/>
      <c r="AF137" s="843"/>
      <c r="AG137" s="846"/>
      <c r="AH137" s="847"/>
      <c r="AI137" s="841" t="n">
        <v>354</v>
      </c>
    </row>
    <row r="138" s="3" customFormat="true" ht="15" hidden="true" customHeight="true" outlineLevel="0" collapsed="false">
      <c r="A138" s="6"/>
      <c r="F138" s="6"/>
      <c r="M138" s="814"/>
      <c r="N138" s="869" t="n">
        <v>36</v>
      </c>
      <c r="O138" s="871" t="s">
        <v>708</v>
      </c>
      <c r="P138" s="871"/>
      <c r="Q138" s="871"/>
      <c r="R138" s="871"/>
      <c r="S138" s="871"/>
      <c r="T138" s="871"/>
      <c r="U138" s="826" t="n">
        <v>361</v>
      </c>
      <c r="V138" s="873" t="s">
        <v>709</v>
      </c>
      <c r="W138" s="828" t="str">
        <f aca="false">CONCATENATE(U138,"-",V138)</f>
        <v>361-Exp.frutícolas especializadas (¹ cítricos, frutas tropicales, subtropicales y frutos de cáscara) </v>
      </c>
      <c r="X138" s="852"/>
      <c r="Y138" s="853"/>
      <c r="Z138" s="852"/>
      <c r="AA138" s="853"/>
      <c r="AB138" s="852"/>
      <c r="AC138" s="852"/>
      <c r="AD138" s="852"/>
      <c r="AE138" s="854"/>
      <c r="AF138" s="852"/>
      <c r="AG138" s="855"/>
      <c r="AH138" s="856"/>
      <c r="AI138" s="826" t="n">
        <v>361</v>
      </c>
    </row>
    <row r="139" s="3" customFormat="true" ht="14.25" hidden="true" customHeight="false" outlineLevel="0" collapsed="false">
      <c r="A139" s="6"/>
      <c r="B139" s="3" t="s">
        <v>710</v>
      </c>
      <c r="F139" s="6"/>
      <c r="M139" s="814"/>
      <c r="N139" s="869"/>
      <c r="O139" s="871"/>
      <c r="P139" s="871"/>
      <c r="Q139" s="871"/>
      <c r="R139" s="871"/>
      <c r="S139" s="871"/>
      <c r="T139" s="871"/>
      <c r="U139" s="834" t="n">
        <v>362</v>
      </c>
      <c r="V139" s="835" t="s">
        <v>711</v>
      </c>
      <c r="W139" s="828" t="str">
        <f aca="false">CONCATENATE(U139,"-",V139)</f>
        <v>362-Explotaciones de cítricos especializadas </v>
      </c>
      <c r="X139" s="836"/>
      <c r="Y139" s="837"/>
      <c r="Z139" s="836"/>
      <c r="AA139" s="837"/>
      <c r="AB139" s="836"/>
      <c r="AC139" s="836"/>
      <c r="AD139" s="836"/>
      <c r="AE139" s="838"/>
      <c r="AF139" s="836"/>
      <c r="AG139" s="839"/>
      <c r="AH139" s="840"/>
      <c r="AI139" s="834" t="n">
        <v>362</v>
      </c>
    </row>
    <row r="140" s="3" customFormat="true" ht="14.25" hidden="true" customHeight="false" outlineLevel="0" collapsed="false">
      <c r="A140" s="6"/>
      <c r="B140" s="3" t="s">
        <v>712</v>
      </c>
      <c r="F140" s="6"/>
      <c r="M140" s="814"/>
      <c r="N140" s="869"/>
      <c r="O140" s="871"/>
      <c r="P140" s="871"/>
      <c r="Q140" s="871"/>
      <c r="R140" s="871"/>
      <c r="S140" s="871"/>
      <c r="T140" s="871"/>
      <c r="U140" s="834" t="n">
        <v>363</v>
      </c>
      <c r="V140" s="835" t="s">
        <v>713</v>
      </c>
      <c r="W140" s="828" t="str">
        <f aca="false">CONCATENATE(U140,"-",V140)</f>
        <v>363-Explotaciones especializadas en la producción de frutos de cáscara </v>
      </c>
      <c r="X140" s="836"/>
      <c r="Y140" s="837"/>
      <c r="Z140" s="836"/>
      <c r="AA140" s="837"/>
      <c r="AB140" s="836"/>
      <c r="AC140" s="836"/>
      <c r="AD140" s="836"/>
      <c r="AE140" s="838"/>
      <c r="AF140" s="836"/>
      <c r="AG140" s="839"/>
      <c r="AH140" s="840"/>
      <c r="AI140" s="834" t="n">
        <v>363</v>
      </c>
    </row>
    <row r="141" s="3" customFormat="true" ht="14.25" hidden="true" customHeight="false" outlineLevel="0" collapsed="false">
      <c r="A141" s="6"/>
      <c r="B141" s="3" t="s">
        <v>605</v>
      </c>
      <c r="F141" s="6"/>
      <c r="M141" s="814"/>
      <c r="N141" s="869"/>
      <c r="O141" s="871"/>
      <c r="P141" s="871"/>
      <c r="Q141" s="871"/>
      <c r="R141" s="871"/>
      <c r="S141" s="871"/>
      <c r="T141" s="871"/>
      <c r="U141" s="834" t="n">
        <v>364</v>
      </c>
      <c r="V141" s="835" t="s">
        <v>714</v>
      </c>
      <c r="W141" s="828" t="str">
        <f aca="false">CONCATENATE(U141,"-",V141)</f>
        <v>364-Explotaciones especializadas en la producción de frutas tropicales y subtropicales </v>
      </c>
      <c r="X141" s="836"/>
      <c r="Y141" s="837"/>
      <c r="Z141" s="836"/>
      <c r="AA141" s="837"/>
      <c r="AB141" s="836"/>
      <c r="AC141" s="836"/>
      <c r="AD141" s="836"/>
      <c r="AE141" s="838"/>
      <c r="AF141" s="836"/>
      <c r="AG141" s="839"/>
      <c r="AH141" s="840"/>
      <c r="AI141" s="834" t="n">
        <v>364</v>
      </c>
    </row>
    <row r="142" s="3" customFormat="true" ht="14.25" hidden="true" customHeight="false" outlineLevel="0" collapsed="false">
      <c r="A142" s="6"/>
      <c r="B142" s="3" t="s">
        <v>715</v>
      </c>
      <c r="F142" s="6"/>
      <c r="M142" s="814"/>
      <c r="N142" s="869"/>
      <c r="O142" s="871"/>
      <c r="P142" s="871"/>
      <c r="Q142" s="871"/>
      <c r="R142" s="871"/>
      <c r="S142" s="871"/>
      <c r="T142" s="871"/>
      <c r="U142" s="858" t="n">
        <v>365</v>
      </c>
      <c r="V142" s="859" t="s">
        <v>716</v>
      </c>
      <c r="W142" s="828" t="str">
        <f aca="false">CONCATENATE(U142,"-",V142)</f>
        <v>365-Exp.Frutícola Mixta especializada en cítrico, fruta tropical, subtropical y frutos de cáscara</v>
      </c>
      <c r="X142" s="860"/>
      <c r="Y142" s="861"/>
      <c r="Z142" s="860"/>
      <c r="AA142" s="861"/>
      <c r="AB142" s="860"/>
      <c r="AC142" s="860"/>
      <c r="AD142" s="860"/>
      <c r="AE142" s="862"/>
      <c r="AF142" s="860"/>
      <c r="AG142" s="863"/>
      <c r="AH142" s="864"/>
      <c r="AI142" s="858" t="n">
        <v>365</v>
      </c>
    </row>
    <row r="143" s="3" customFormat="true" ht="115.5" hidden="true" customHeight="true" outlineLevel="0" collapsed="false">
      <c r="A143" s="6"/>
      <c r="F143" s="6"/>
      <c r="M143" s="814"/>
      <c r="N143" s="869" t="n">
        <v>37</v>
      </c>
      <c r="O143" s="871" t="s">
        <v>717</v>
      </c>
      <c r="P143" s="871"/>
      <c r="Q143" s="871"/>
      <c r="R143" s="871"/>
      <c r="S143" s="871"/>
      <c r="T143" s="871"/>
      <c r="U143" s="869" t="n">
        <v>370</v>
      </c>
      <c r="V143" s="874" t="s">
        <v>717</v>
      </c>
      <c r="W143" s="828" t="str">
        <f aca="false">CONCATENATE(U143,"-",V143)</f>
        <v>370-Explotaciones especializadas en aceitunas </v>
      </c>
      <c r="X143" s="818"/>
      <c r="Y143" s="819"/>
      <c r="Z143" s="818"/>
      <c r="AA143" s="819"/>
      <c r="AB143" s="818"/>
      <c r="AC143" s="818"/>
      <c r="AD143" s="818"/>
      <c r="AE143" s="820"/>
      <c r="AF143" s="818"/>
      <c r="AG143" s="821"/>
      <c r="AH143" s="811"/>
      <c r="AI143" s="869" t="n">
        <v>370</v>
      </c>
    </row>
    <row r="144" s="3" customFormat="true" ht="204" hidden="true" customHeight="true" outlineLevel="0" collapsed="false">
      <c r="A144" s="6"/>
      <c r="F144" s="6"/>
      <c r="M144" s="814"/>
      <c r="N144" s="869" t="n">
        <v>38</v>
      </c>
      <c r="O144" s="871" t="s">
        <v>718</v>
      </c>
      <c r="P144" s="871"/>
      <c r="Q144" s="871"/>
      <c r="R144" s="871"/>
      <c r="S144" s="871"/>
      <c r="T144" s="871"/>
      <c r="U144" s="869" t="n">
        <v>380</v>
      </c>
      <c r="V144" s="874" t="s">
        <v>718</v>
      </c>
      <c r="W144" s="828" t="str">
        <f aca="false">CONCATENATE(U144,"-",V144)</f>
        <v>380-Explotaciones con varias combinaciones de cultivos permanentes </v>
      </c>
      <c r="X144" s="818"/>
      <c r="Y144" s="819"/>
      <c r="Z144" s="818"/>
      <c r="AA144" s="819"/>
      <c r="AB144" s="818"/>
      <c r="AC144" s="818"/>
      <c r="AD144" s="818"/>
      <c r="AE144" s="820"/>
      <c r="AF144" s="818"/>
      <c r="AG144" s="821"/>
      <c r="AH144" s="811"/>
      <c r="AI144" s="869" t="n">
        <v>380</v>
      </c>
    </row>
    <row r="145" s="3" customFormat="true" ht="14.25" hidden="true" customHeight="false" outlineLevel="0" collapsed="false">
      <c r="A145" s="6"/>
      <c r="F145" s="6"/>
      <c r="M145" s="814" t="n">
        <v>4</v>
      </c>
      <c r="N145" s="875" t="s">
        <v>719</v>
      </c>
      <c r="O145" s="876"/>
      <c r="P145" s="876"/>
      <c r="Q145" s="877"/>
      <c r="R145" s="877"/>
      <c r="S145" s="877"/>
      <c r="T145" s="878"/>
      <c r="U145" s="879"/>
      <c r="V145" s="423"/>
      <c r="W145" s="828" t="str">
        <f aca="false">CONCATENATE(U145,"-",V145)</f>
        <v>-</v>
      </c>
      <c r="X145" s="880"/>
      <c r="Y145" s="881"/>
      <c r="Z145" s="880"/>
      <c r="AA145" s="881"/>
      <c r="AB145" s="880"/>
      <c r="AC145" s="880"/>
      <c r="AD145" s="880"/>
      <c r="AE145" s="882"/>
      <c r="AF145" s="880"/>
      <c r="AG145" s="883"/>
      <c r="AH145" s="520"/>
      <c r="AI145" s="879"/>
    </row>
    <row r="146" s="3" customFormat="true" ht="191.25" hidden="true" customHeight="true" outlineLevel="0" collapsed="false">
      <c r="A146" s="6"/>
      <c r="F146" s="6"/>
      <c r="M146" s="814"/>
      <c r="N146" s="884" t="n">
        <v>45</v>
      </c>
      <c r="O146" s="885" t="s">
        <v>720</v>
      </c>
      <c r="P146" s="885"/>
      <c r="Q146" s="885"/>
      <c r="R146" s="885"/>
      <c r="S146" s="885"/>
      <c r="T146" s="886"/>
      <c r="U146" s="884" t="n">
        <v>450</v>
      </c>
      <c r="V146" s="887" t="s">
        <v>721</v>
      </c>
      <c r="W146" s="828" t="str">
        <f aca="false">CONCATENATE(U146,"-",V146)</f>
        <v>450-Explotaciones de bovinos especializadas: orientación leche</v>
      </c>
      <c r="X146" s="888"/>
      <c r="Y146" s="888"/>
      <c r="Z146" s="888"/>
      <c r="AA146" s="888"/>
      <c r="AB146" s="888"/>
      <c r="AC146" s="888"/>
      <c r="AD146" s="888"/>
      <c r="AE146" s="888"/>
      <c r="AF146" s="888"/>
      <c r="AG146" s="888"/>
      <c r="AH146" s="889"/>
      <c r="AI146" s="884" t="n">
        <v>450</v>
      </c>
    </row>
    <row r="147" s="3" customFormat="true" ht="216.75" hidden="true" customHeight="true" outlineLevel="0" collapsed="false">
      <c r="A147" s="6"/>
      <c r="F147" s="6"/>
      <c r="M147" s="814"/>
      <c r="N147" s="869" t="n">
        <v>46</v>
      </c>
      <c r="O147" s="890" t="s">
        <v>722</v>
      </c>
      <c r="P147" s="890"/>
      <c r="Q147" s="890"/>
      <c r="R147" s="890"/>
      <c r="S147" s="890"/>
      <c r="T147" s="891"/>
      <c r="U147" s="869" t="n">
        <v>460</v>
      </c>
      <c r="V147" s="874" t="s">
        <v>722</v>
      </c>
      <c r="W147" s="828" t="str">
        <f aca="false">CONCATENATE(U147,"-",V147)</f>
        <v>460-Explotaciones de bovinos especializadas: orientación cría y carne </v>
      </c>
      <c r="X147" s="817"/>
      <c r="Y147" s="817"/>
      <c r="Z147" s="817"/>
      <c r="AA147" s="817"/>
      <c r="AB147" s="817"/>
      <c r="AC147" s="817"/>
      <c r="AD147" s="817"/>
      <c r="AE147" s="817"/>
      <c r="AF147" s="817"/>
      <c r="AG147" s="817"/>
      <c r="AH147" s="816"/>
      <c r="AI147" s="869" t="n">
        <v>460</v>
      </c>
    </row>
    <row r="148" s="3" customFormat="true" ht="204" hidden="true" customHeight="true" outlineLevel="0" collapsed="false">
      <c r="A148" s="6"/>
      <c r="F148" s="6"/>
      <c r="M148" s="814"/>
      <c r="N148" s="869" t="n">
        <v>47</v>
      </c>
      <c r="O148" s="890" t="s">
        <v>723</v>
      </c>
      <c r="P148" s="890"/>
      <c r="Q148" s="890"/>
      <c r="R148" s="890"/>
      <c r="S148" s="890"/>
      <c r="T148" s="891"/>
      <c r="U148" s="869" t="n">
        <v>470</v>
      </c>
      <c r="V148" s="874" t="s">
        <v>724</v>
      </c>
      <c r="W148" s="828" t="str">
        <f aca="false">CONCATENATE(U148,"-",V148)</f>
        <v>470-Explotaciones de bovinos: leche, cría y carne combinados </v>
      </c>
      <c r="X148" s="817"/>
      <c r="Y148" s="817"/>
      <c r="Z148" s="817"/>
      <c r="AA148" s="817"/>
      <c r="AB148" s="817"/>
      <c r="AC148" s="817"/>
      <c r="AD148" s="817"/>
      <c r="AE148" s="817"/>
      <c r="AF148" s="817"/>
      <c r="AG148" s="817"/>
      <c r="AH148" s="816"/>
      <c r="AI148" s="869" t="n">
        <v>470</v>
      </c>
    </row>
    <row r="149" s="3" customFormat="true" ht="15" hidden="true" customHeight="true" outlineLevel="0" collapsed="false">
      <c r="A149" s="6"/>
      <c r="F149" s="6"/>
      <c r="M149" s="814"/>
      <c r="N149" s="858" t="n">
        <v>48</v>
      </c>
      <c r="O149" s="871" t="s">
        <v>725</v>
      </c>
      <c r="P149" s="871"/>
      <c r="Q149" s="871"/>
      <c r="R149" s="871"/>
      <c r="S149" s="871"/>
      <c r="T149" s="871"/>
      <c r="U149" s="870" t="n">
        <v>481</v>
      </c>
      <c r="V149" s="827" t="s">
        <v>726</v>
      </c>
      <c r="W149" s="828" t="str">
        <f aca="false">CONCATENATE(U149,"-",V149)</f>
        <v>481-Explotaciones de ovinos especializadas </v>
      </c>
      <c r="X149" s="892"/>
      <c r="Y149" s="892"/>
      <c r="Z149" s="892"/>
      <c r="AA149" s="892"/>
      <c r="AB149" s="892"/>
      <c r="AC149" s="892"/>
      <c r="AD149" s="892"/>
      <c r="AE149" s="892"/>
      <c r="AF149" s="892"/>
      <c r="AG149" s="892"/>
      <c r="AH149" s="893"/>
      <c r="AI149" s="870" t="n">
        <v>481</v>
      </c>
    </row>
    <row r="150" s="3" customFormat="true" ht="14.25" hidden="true" customHeight="false" outlineLevel="0" collapsed="false">
      <c r="A150" s="6"/>
      <c r="F150" s="6"/>
      <c r="M150" s="814"/>
      <c r="N150" s="858"/>
      <c r="O150" s="871"/>
      <c r="P150" s="871"/>
      <c r="Q150" s="871"/>
      <c r="R150" s="871"/>
      <c r="S150" s="871"/>
      <c r="T150" s="871"/>
      <c r="U150" s="834" t="n">
        <v>482</v>
      </c>
      <c r="V150" s="835" t="s">
        <v>727</v>
      </c>
      <c r="W150" s="828" t="str">
        <f aca="false">CONCATENATE(U150,"-",V150)</f>
        <v>482-Explotaciones con ovinos y bovinos combinados </v>
      </c>
      <c r="X150" s="894"/>
      <c r="Y150" s="894"/>
      <c r="Z150" s="894"/>
      <c r="AA150" s="894"/>
      <c r="AB150" s="894"/>
      <c r="AC150" s="894"/>
      <c r="AD150" s="894"/>
      <c r="AE150" s="894"/>
      <c r="AF150" s="894"/>
      <c r="AG150" s="894"/>
      <c r="AH150" s="895"/>
      <c r="AI150" s="834" t="n">
        <v>482</v>
      </c>
    </row>
    <row r="151" s="3" customFormat="true" ht="14.25" hidden="true" customHeight="false" outlineLevel="0" collapsed="false">
      <c r="A151" s="6"/>
      <c r="F151" s="6"/>
      <c r="M151" s="814"/>
      <c r="N151" s="858"/>
      <c r="O151" s="871"/>
      <c r="P151" s="871"/>
      <c r="Q151" s="871"/>
      <c r="R151" s="871"/>
      <c r="S151" s="871"/>
      <c r="T151" s="871"/>
      <c r="U151" s="834" t="n">
        <v>483</v>
      </c>
      <c r="V151" s="835" t="s">
        <v>728</v>
      </c>
      <c r="W151" s="828" t="str">
        <f aca="false">CONCATENATE(U151,"-",V151)</f>
        <v>483-Explotaciones de caprinos especializadas</v>
      </c>
      <c r="X151" s="894"/>
      <c r="Y151" s="894"/>
      <c r="Z151" s="894"/>
      <c r="AA151" s="894"/>
      <c r="AB151" s="894"/>
      <c r="AC151" s="894"/>
      <c r="AD151" s="894"/>
      <c r="AE151" s="894"/>
      <c r="AF151" s="894"/>
      <c r="AG151" s="894"/>
      <c r="AH151" s="895"/>
      <c r="AI151" s="834" t="n">
        <v>483</v>
      </c>
    </row>
    <row r="152" s="3" customFormat="true" ht="14.25" hidden="true" customHeight="false" outlineLevel="0" collapsed="false">
      <c r="A152" s="6"/>
      <c r="F152" s="6"/>
      <c r="M152" s="814"/>
      <c r="N152" s="858"/>
      <c r="O152" s="871"/>
      <c r="P152" s="871"/>
      <c r="Q152" s="871"/>
      <c r="R152" s="871"/>
      <c r="S152" s="871"/>
      <c r="T152" s="871"/>
      <c r="U152" s="858" t="n">
        <v>484</v>
      </c>
      <c r="V152" s="842" t="s">
        <v>729</v>
      </c>
      <c r="W152" s="828" t="str">
        <f aca="false">CONCATENATE(U152,"-",V152)</f>
        <v>484-Explotaciones de herbívoros</v>
      </c>
      <c r="X152" s="896"/>
      <c r="Y152" s="896"/>
      <c r="Z152" s="896"/>
      <c r="AA152" s="896"/>
      <c r="AB152" s="896"/>
      <c r="AC152" s="896"/>
      <c r="AD152" s="896"/>
      <c r="AE152" s="896"/>
      <c r="AF152" s="896"/>
      <c r="AG152" s="896"/>
      <c r="AH152" s="897"/>
      <c r="AI152" s="858" t="n">
        <v>484</v>
      </c>
    </row>
    <row r="153" s="3" customFormat="true" ht="14.25" hidden="true" customHeight="false" outlineLevel="0" collapsed="false">
      <c r="A153" s="6"/>
      <c r="F153" s="6"/>
      <c r="M153" s="814" t="n">
        <v>5</v>
      </c>
      <c r="N153" s="812" t="s">
        <v>730</v>
      </c>
      <c r="O153" s="898"/>
      <c r="P153" s="898"/>
      <c r="Q153" s="813"/>
      <c r="R153" s="813"/>
      <c r="S153" s="813"/>
      <c r="T153" s="891"/>
      <c r="U153" s="867"/>
      <c r="V153" s="816"/>
      <c r="W153" s="828" t="str">
        <f aca="false">CONCATENATE(U153,"-",V153)</f>
        <v>-</v>
      </c>
      <c r="X153" s="817"/>
      <c r="Y153" s="817"/>
      <c r="Z153" s="817"/>
      <c r="AA153" s="817"/>
      <c r="AB153" s="817"/>
      <c r="AC153" s="817"/>
      <c r="AD153" s="817"/>
      <c r="AE153" s="817"/>
      <c r="AF153" s="817"/>
      <c r="AG153" s="817"/>
      <c r="AH153" s="816"/>
      <c r="AI153" s="867"/>
    </row>
    <row r="154" s="3" customFormat="true" ht="15" hidden="true" customHeight="true" outlineLevel="0" collapsed="false">
      <c r="A154" s="6"/>
      <c r="F154" s="6"/>
      <c r="M154" s="814"/>
      <c r="N154" s="826" t="n">
        <v>51</v>
      </c>
      <c r="O154" s="899" t="s">
        <v>731</v>
      </c>
      <c r="P154" s="899"/>
      <c r="Q154" s="899"/>
      <c r="R154" s="899"/>
      <c r="S154" s="899"/>
      <c r="T154" s="899"/>
      <c r="U154" s="826" t="n">
        <v>511</v>
      </c>
      <c r="V154" s="827" t="s">
        <v>732</v>
      </c>
      <c r="W154" s="828" t="str">
        <f aca="false">CONCATENATE(U154,"-",V154)</f>
        <v>511- Explotaciones de porcinos de cría especializadas</v>
      </c>
      <c r="X154" s="892"/>
      <c r="Y154" s="892"/>
      <c r="Z154" s="892"/>
      <c r="AA154" s="892"/>
      <c r="AB154" s="892"/>
      <c r="AC154" s="892"/>
      <c r="AD154" s="892"/>
      <c r="AE154" s="892"/>
      <c r="AF154" s="892"/>
      <c r="AG154" s="892"/>
      <c r="AH154" s="893"/>
      <c r="AI154" s="826" t="n">
        <v>511</v>
      </c>
    </row>
    <row r="155" s="3" customFormat="true" ht="14.25" hidden="true" customHeight="false" outlineLevel="0" collapsed="false">
      <c r="A155" s="6"/>
      <c r="F155" s="6"/>
      <c r="M155" s="814"/>
      <c r="N155" s="826"/>
      <c r="O155" s="899"/>
      <c r="P155" s="899"/>
      <c r="Q155" s="899"/>
      <c r="R155" s="899"/>
      <c r="S155" s="899"/>
      <c r="T155" s="899"/>
      <c r="U155" s="834" t="n">
        <v>512</v>
      </c>
      <c r="V155" s="835" t="s">
        <v>733</v>
      </c>
      <c r="W155" s="828" t="str">
        <f aca="false">CONCATENATE(U155,"-",V155)</f>
        <v>512- Explotaciones de porcinos de engorde especializadas </v>
      </c>
      <c r="X155" s="894"/>
      <c r="Y155" s="894"/>
      <c r="Z155" s="894"/>
      <c r="AA155" s="894"/>
      <c r="AB155" s="894"/>
      <c r="AC155" s="894"/>
      <c r="AD155" s="894"/>
      <c r="AE155" s="894"/>
      <c r="AF155" s="894"/>
      <c r="AG155" s="894"/>
      <c r="AH155" s="895"/>
      <c r="AI155" s="834" t="n">
        <v>512</v>
      </c>
    </row>
    <row r="156" s="3" customFormat="true" ht="14.25" hidden="true" customHeight="false" outlineLevel="0" collapsed="false">
      <c r="A156" s="6"/>
      <c r="F156" s="6"/>
      <c r="M156" s="814"/>
      <c r="N156" s="826"/>
      <c r="O156" s="899"/>
      <c r="P156" s="899"/>
      <c r="Q156" s="899"/>
      <c r="R156" s="899"/>
      <c r="S156" s="899"/>
      <c r="T156" s="899"/>
      <c r="U156" s="841" t="n">
        <v>513</v>
      </c>
      <c r="V156" s="842" t="s">
        <v>734</v>
      </c>
      <c r="W156" s="828" t="str">
        <f aca="false">CONCATENATE(U156,"-",V156)</f>
        <v>513-Explotaciones que combinen la cría y el engorde de porcinos </v>
      </c>
      <c r="X156" s="900"/>
      <c r="Y156" s="900"/>
      <c r="Z156" s="900"/>
      <c r="AA156" s="900"/>
      <c r="AB156" s="900"/>
      <c r="AC156" s="900"/>
      <c r="AD156" s="900"/>
      <c r="AE156" s="900"/>
      <c r="AF156" s="900"/>
      <c r="AG156" s="900"/>
      <c r="AH156" s="901"/>
      <c r="AI156" s="841" t="n">
        <v>513</v>
      </c>
    </row>
    <row r="157" s="3" customFormat="true" ht="15" hidden="true" customHeight="true" outlineLevel="0" collapsed="false">
      <c r="A157" s="6"/>
      <c r="F157" s="6"/>
      <c r="M157" s="814"/>
      <c r="N157" s="869" t="n">
        <v>52</v>
      </c>
      <c r="O157" s="899" t="s">
        <v>735</v>
      </c>
      <c r="P157" s="899"/>
      <c r="Q157" s="899"/>
      <c r="R157" s="899"/>
      <c r="S157" s="899"/>
      <c r="T157" s="899"/>
      <c r="U157" s="826" t="n">
        <v>521</v>
      </c>
      <c r="V157" s="851" t="s">
        <v>736</v>
      </c>
      <c r="W157" s="828" t="str">
        <f aca="false">CONCATENATE(U157,"-",V157)</f>
        <v>521-Explotaciones de gallinas ponedoras especializadas </v>
      </c>
      <c r="X157" s="902"/>
      <c r="Y157" s="902"/>
      <c r="Z157" s="902"/>
      <c r="AA157" s="902"/>
      <c r="AB157" s="902"/>
      <c r="AC157" s="902"/>
      <c r="AD157" s="902"/>
      <c r="AE157" s="902"/>
      <c r="AF157" s="902"/>
      <c r="AG157" s="902"/>
      <c r="AH157" s="903"/>
      <c r="AI157" s="826" t="n">
        <v>521</v>
      </c>
    </row>
    <row r="158" s="3" customFormat="true" ht="14.25" hidden="true" customHeight="false" outlineLevel="0" collapsed="false">
      <c r="A158" s="6"/>
      <c r="F158" s="6"/>
      <c r="M158" s="814"/>
      <c r="N158" s="869"/>
      <c r="O158" s="899"/>
      <c r="P158" s="899"/>
      <c r="Q158" s="899"/>
      <c r="R158" s="899"/>
      <c r="S158" s="899"/>
      <c r="T158" s="899"/>
      <c r="U158" s="834" t="n">
        <v>522</v>
      </c>
      <c r="V158" s="835" t="s">
        <v>737</v>
      </c>
      <c r="W158" s="828" t="str">
        <f aca="false">CONCATENATE(U158,"-",V158)</f>
        <v>522- Explotaciones de aves de corral de carne especializadas </v>
      </c>
      <c r="X158" s="894"/>
      <c r="Y158" s="894"/>
      <c r="Z158" s="894"/>
      <c r="AA158" s="894"/>
      <c r="AB158" s="894"/>
      <c r="AC158" s="894"/>
      <c r="AD158" s="894"/>
      <c r="AE158" s="894"/>
      <c r="AF158" s="894"/>
      <c r="AG158" s="894"/>
      <c r="AH158" s="895"/>
      <c r="AI158" s="834" t="n">
        <v>522</v>
      </c>
    </row>
    <row r="159" s="3" customFormat="true" ht="14.25" hidden="true" customHeight="false" outlineLevel="0" collapsed="false">
      <c r="A159" s="6"/>
      <c r="F159" s="6"/>
      <c r="M159" s="814"/>
      <c r="N159" s="869"/>
      <c r="O159" s="899"/>
      <c r="P159" s="899"/>
      <c r="Q159" s="899"/>
      <c r="R159" s="899"/>
      <c r="S159" s="899"/>
      <c r="T159" s="899"/>
      <c r="U159" s="858" t="n">
        <v>523</v>
      </c>
      <c r="V159" s="859" t="s">
        <v>738</v>
      </c>
      <c r="W159" s="828" t="str">
        <f aca="false">CONCATENATE(U159,"-",V159)</f>
        <v>523- Explotaciones que combinen gallinas ponedoras y aves de corral de carne </v>
      </c>
      <c r="X159" s="904"/>
      <c r="Y159" s="904"/>
      <c r="Z159" s="904"/>
      <c r="AA159" s="904"/>
      <c r="AB159" s="904"/>
      <c r="AC159" s="904"/>
      <c r="AD159" s="904"/>
      <c r="AE159" s="904"/>
      <c r="AF159" s="904"/>
      <c r="AG159" s="904"/>
      <c r="AH159" s="905"/>
      <c r="AI159" s="858" t="n">
        <v>523</v>
      </c>
    </row>
    <row r="160" s="3" customFormat="true" ht="178.5" hidden="true" customHeight="true" outlineLevel="0" collapsed="false">
      <c r="A160" s="6"/>
      <c r="F160" s="6"/>
      <c r="M160" s="814"/>
      <c r="N160" s="906" t="n">
        <v>53</v>
      </c>
      <c r="O160" s="885" t="s">
        <v>739</v>
      </c>
      <c r="P160" s="885"/>
      <c r="Q160" s="885"/>
      <c r="R160" s="885"/>
      <c r="S160" s="885"/>
      <c r="T160" s="5"/>
      <c r="U160" s="907" t="n">
        <v>530</v>
      </c>
      <c r="V160" s="887" t="s">
        <v>739</v>
      </c>
      <c r="W160" s="828" t="str">
        <f aca="false">CONCATENATE(U160,"-",V160)</f>
        <v>530-Explotaciones con varias combinaciones de granívoros </v>
      </c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I160" s="907" t="n">
        <v>530</v>
      </c>
    </row>
    <row r="161" s="3" customFormat="true" ht="14.25" hidden="true" customHeight="false" outlineLevel="0" collapsed="false">
      <c r="A161" s="6"/>
      <c r="F161" s="6"/>
      <c r="M161" s="908" t="n">
        <v>6</v>
      </c>
      <c r="N161" s="812" t="s">
        <v>740</v>
      </c>
      <c r="O161" s="898"/>
      <c r="P161" s="898"/>
      <c r="Q161" s="813"/>
      <c r="R161" s="813"/>
      <c r="S161" s="813"/>
      <c r="T161" s="891"/>
      <c r="U161" s="867"/>
      <c r="V161" s="816"/>
      <c r="W161" s="828" t="str">
        <f aca="false">CONCATENATE(U161,"-",V161)</f>
        <v>-</v>
      </c>
      <c r="X161" s="817"/>
      <c r="Y161" s="817"/>
      <c r="Z161" s="817"/>
      <c r="AA161" s="817"/>
      <c r="AB161" s="817"/>
      <c r="AC161" s="817"/>
      <c r="AD161" s="817"/>
      <c r="AE161" s="817"/>
      <c r="AF161" s="817"/>
      <c r="AG161" s="817"/>
      <c r="AH161" s="816"/>
      <c r="AI161" s="867"/>
    </row>
    <row r="162" s="3" customFormat="true" ht="15" hidden="true" customHeight="true" outlineLevel="0" collapsed="false">
      <c r="A162" s="6"/>
      <c r="F162" s="6"/>
      <c r="M162" s="908"/>
      <c r="N162" s="869" t="n">
        <v>61</v>
      </c>
      <c r="O162" s="899" t="s">
        <v>741</v>
      </c>
      <c r="P162" s="899"/>
      <c r="Q162" s="899"/>
      <c r="R162" s="899"/>
      <c r="S162" s="899"/>
      <c r="T162" s="899"/>
      <c r="U162" s="826" t="n">
        <v>611</v>
      </c>
      <c r="V162" s="909" t="s">
        <v>742</v>
      </c>
      <c r="W162" s="828" t="str">
        <f aca="false">CONCATENATE(U162,"-",V162)</f>
        <v>611-Horticultura y combinaciones de cultivos permanentes</v>
      </c>
      <c r="X162" s="892"/>
      <c r="Y162" s="892"/>
      <c r="Z162" s="892"/>
      <c r="AA162" s="892"/>
      <c r="AB162" s="892"/>
      <c r="AC162" s="892"/>
      <c r="AD162" s="892"/>
      <c r="AE162" s="892"/>
      <c r="AF162" s="892"/>
      <c r="AG162" s="892"/>
      <c r="AH162" s="893"/>
      <c r="AI162" s="826" t="n">
        <v>611</v>
      </c>
    </row>
    <row r="163" s="3" customFormat="true" ht="14.25" hidden="true" customHeight="false" outlineLevel="0" collapsed="false">
      <c r="A163" s="6"/>
      <c r="F163" s="6"/>
      <c r="M163" s="908"/>
      <c r="N163" s="869"/>
      <c r="O163" s="899"/>
      <c r="P163" s="899"/>
      <c r="Q163" s="899"/>
      <c r="R163" s="899"/>
      <c r="S163" s="899"/>
      <c r="T163" s="899"/>
      <c r="U163" s="834" t="n">
        <v>612</v>
      </c>
      <c r="V163" s="910" t="s">
        <v>743</v>
      </c>
      <c r="W163" s="828" t="str">
        <f aca="false">CONCATENATE(U163,"-",V163)</f>
        <v>612-Explotaciones que combinen grandes cultivos y horticultura</v>
      </c>
      <c r="X163" s="894"/>
      <c r="Y163" s="894"/>
      <c r="Z163" s="894"/>
      <c r="AA163" s="894"/>
      <c r="AB163" s="894"/>
      <c r="AC163" s="894"/>
      <c r="AD163" s="894"/>
      <c r="AE163" s="894"/>
      <c r="AF163" s="894"/>
      <c r="AG163" s="894"/>
      <c r="AH163" s="895"/>
      <c r="AI163" s="834" t="n">
        <v>612</v>
      </c>
    </row>
    <row r="164" s="3" customFormat="true" ht="14.25" hidden="true" customHeight="false" outlineLevel="0" collapsed="false">
      <c r="A164" s="6"/>
      <c r="F164" s="6"/>
      <c r="M164" s="908"/>
      <c r="N164" s="869"/>
      <c r="O164" s="899"/>
      <c r="P164" s="899"/>
      <c r="Q164" s="899"/>
      <c r="R164" s="899"/>
      <c r="S164" s="899"/>
      <c r="T164" s="899"/>
      <c r="U164" s="834" t="n">
        <v>613</v>
      </c>
      <c r="V164" s="910" t="s">
        <v>744</v>
      </c>
      <c r="W164" s="828" t="str">
        <f aca="false">CONCATENATE(U164,"-",V164)</f>
        <v>613-Explotaciones que combinen grandes cultivos y vides</v>
      </c>
      <c r="X164" s="894"/>
      <c r="Y164" s="894"/>
      <c r="Z164" s="894"/>
      <c r="AA164" s="894"/>
      <c r="AB164" s="894"/>
      <c r="AC164" s="894"/>
      <c r="AD164" s="894"/>
      <c r="AE164" s="894"/>
      <c r="AF164" s="894"/>
      <c r="AG164" s="894"/>
      <c r="AH164" s="895"/>
      <c r="AI164" s="834" t="n">
        <v>613</v>
      </c>
    </row>
    <row r="165" s="3" customFormat="true" ht="14.25" hidden="true" customHeight="false" outlineLevel="0" collapsed="false">
      <c r="A165" s="6"/>
      <c r="F165" s="6"/>
      <c r="M165" s="908"/>
      <c r="N165" s="869"/>
      <c r="O165" s="899"/>
      <c r="P165" s="899"/>
      <c r="Q165" s="899"/>
      <c r="R165" s="899"/>
      <c r="S165" s="899"/>
      <c r="T165" s="899"/>
      <c r="U165" s="834" t="n">
        <v>614</v>
      </c>
      <c r="V165" s="910" t="s">
        <v>745</v>
      </c>
      <c r="W165" s="828" t="str">
        <f aca="false">CONCATENATE(U165,"-",V165)</f>
        <v>614-Explotaciones que combinen grandes cultivos y cultivos permanentes</v>
      </c>
      <c r="X165" s="894"/>
      <c r="Y165" s="894"/>
      <c r="Z165" s="894"/>
      <c r="AA165" s="894"/>
      <c r="AB165" s="894"/>
      <c r="AC165" s="894"/>
      <c r="AD165" s="894"/>
      <c r="AE165" s="894"/>
      <c r="AF165" s="894"/>
      <c r="AG165" s="894"/>
      <c r="AH165" s="895"/>
      <c r="AI165" s="834" t="n">
        <v>614</v>
      </c>
    </row>
    <row r="166" s="3" customFormat="true" ht="14.25" hidden="true" customHeight="false" outlineLevel="0" collapsed="false">
      <c r="A166" s="6"/>
      <c r="F166" s="6"/>
      <c r="M166" s="908"/>
      <c r="N166" s="869"/>
      <c r="O166" s="899"/>
      <c r="P166" s="899"/>
      <c r="Q166" s="899"/>
      <c r="R166" s="899"/>
      <c r="S166" s="899"/>
      <c r="T166" s="899"/>
      <c r="U166" s="834" t="n">
        <v>615</v>
      </c>
      <c r="V166" s="910" t="s">
        <v>746</v>
      </c>
      <c r="W166" s="828" t="str">
        <f aca="false">CONCATENATE(U166,"-",V166)</f>
        <v>615-Explotaciones de policultivo con orientación grandes cultivos</v>
      </c>
      <c r="X166" s="911"/>
      <c r="Y166" s="911"/>
      <c r="Z166" s="911"/>
      <c r="AA166" s="911"/>
      <c r="AB166" s="911"/>
      <c r="AC166" s="911"/>
      <c r="AD166" s="911"/>
      <c r="AE166" s="911"/>
      <c r="AF166" s="911"/>
      <c r="AG166" s="911"/>
      <c r="AH166" s="912"/>
      <c r="AI166" s="834" t="n">
        <v>615</v>
      </c>
    </row>
    <row r="167" s="3" customFormat="true" ht="14.25" hidden="true" customHeight="false" outlineLevel="0" collapsed="false">
      <c r="A167" s="6"/>
      <c r="F167" s="6"/>
      <c r="M167" s="908"/>
      <c r="N167" s="869"/>
      <c r="O167" s="899"/>
      <c r="P167" s="899"/>
      <c r="Q167" s="899"/>
      <c r="R167" s="899"/>
      <c r="S167" s="899"/>
      <c r="T167" s="899"/>
      <c r="U167" s="858" t="n">
        <v>616</v>
      </c>
      <c r="V167" s="913" t="s">
        <v>747</v>
      </c>
      <c r="W167" s="828" t="str">
        <f aca="false">CONCATENATE(U167,"-",V167)</f>
        <v>616-Explotaciones de otros policultivos</v>
      </c>
      <c r="X167" s="896"/>
      <c r="Y167" s="896"/>
      <c r="Z167" s="896"/>
      <c r="AA167" s="896"/>
      <c r="AB167" s="896"/>
      <c r="AC167" s="896"/>
      <c r="AD167" s="896"/>
      <c r="AE167" s="896"/>
      <c r="AF167" s="896"/>
      <c r="AG167" s="896"/>
      <c r="AH167" s="897"/>
      <c r="AI167" s="858" t="n">
        <v>616</v>
      </c>
    </row>
    <row r="168" s="3" customFormat="true" ht="14.25" hidden="true" customHeight="false" outlineLevel="0" collapsed="false">
      <c r="A168" s="6"/>
      <c r="F168" s="6"/>
      <c r="M168" s="908" t="n">
        <v>7</v>
      </c>
      <c r="N168" s="914" t="s">
        <v>748</v>
      </c>
      <c r="O168" s="898"/>
      <c r="P168" s="898"/>
      <c r="Q168" s="874"/>
      <c r="R168" s="874"/>
      <c r="S168" s="874"/>
      <c r="T168" s="891"/>
      <c r="U168" s="867"/>
      <c r="V168" s="816"/>
      <c r="W168" s="828" t="str">
        <f aca="false">CONCATENATE(U168,"-",V168)</f>
        <v>-</v>
      </c>
      <c r="X168" s="817"/>
      <c r="Y168" s="817"/>
      <c r="Z168" s="817"/>
      <c r="AA168" s="817"/>
      <c r="AB168" s="817"/>
      <c r="AC168" s="817"/>
      <c r="AD168" s="817"/>
      <c r="AE168" s="817"/>
      <c r="AF168" s="817"/>
      <c r="AG168" s="817"/>
      <c r="AH168" s="816"/>
      <c r="AI168" s="867"/>
    </row>
    <row r="169" s="3" customFormat="true" ht="15" hidden="true" customHeight="true" outlineLevel="0" collapsed="false">
      <c r="A169" s="6"/>
      <c r="F169" s="6"/>
      <c r="M169" s="908"/>
      <c r="N169" s="869" t="n">
        <v>73</v>
      </c>
      <c r="O169" s="899" t="s">
        <v>749</v>
      </c>
      <c r="P169" s="899"/>
      <c r="Q169" s="899"/>
      <c r="R169" s="899"/>
      <c r="S169" s="899"/>
      <c r="T169" s="899"/>
      <c r="U169" s="826" t="n">
        <v>731</v>
      </c>
      <c r="V169" s="915" t="s">
        <v>750</v>
      </c>
      <c r="W169" s="828" t="str">
        <f aca="false">CONCATENATE(U169,"-",V169)</f>
        <v>731-Explotaciones de poliganadería con orientación lechera</v>
      </c>
      <c r="X169" s="902"/>
      <c r="Y169" s="902"/>
      <c r="Z169" s="902"/>
      <c r="AA169" s="902"/>
      <c r="AB169" s="902"/>
      <c r="AC169" s="902"/>
      <c r="AD169" s="902"/>
      <c r="AE169" s="902"/>
      <c r="AF169" s="902"/>
      <c r="AG169" s="902"/>
      <c r="AH169" s="903"/>
      <c r="AI169" s="826" t="n">
        <v>731</v>
      </c>
    </row>
    <row r="170" s="3" customFormat="true" ht="14.25" hidden="true" customHeight="false" outlineLevel="0" collapsed="false">
      <c r="A170" s="6"/>
      <c r="F170" s="6"/>
      <c r="M170" s="908"/>
      <c r="N170" s="869"/>
      <c r="O170" s="899"/>
      <c r="P170" s="899"/>
      <c r="Q170" s="899"/>
      <c r="R170" s="899"/>
      <c r="S170" s="899"/>
      <c r="T170" s="899"/>
      <c r="U170" s="858" t="n">
        <v>732</v>
      </c>
      <c r="V170" s="916" t="s">
        <v>751</v>
      </c>
      <c r="W170" s="828" t="str">
        <f aca="false">CONCATENATE(U170,"-",V170)</f>
        <v>732-Explotaciones de poliganadería con orientación herbívoros no lecheros</v>
      </c>
      <c r="X170" s="904"/>
      <c r="Y170" s="904"/>
      <c r="Z170" s="904"/>
      <c r="AA170" s="904"/>
      <c r="AB170" s="904"/>
      <c r="AC170" s="904"/>
      <c r="AD170" s="904"/>
      <c r="AE170" s="904"/>
      <c r="AF170" s="904"/>
      <c r="AG170" s="904"/>
      <c r="AH170" s="905"/>
      <c r="AI170" s="858" t="n">
        <v>732</v>
      </c>
    </row>
    <row r="171" s="3" customFormat="true" ht="15" hidden="true" customHeight="true" outlineLevel="0" collapsed="false">
      <c r="A171" s="6"/>
      <c r="F171" s="6"/>
      <c r="M171" s="908"/>
      <c r="N171" s="858" t="n">
        <v>74</v>
      </c>
      <c r="O171" s="899" t="s">
        <v>752</v>
      </c>
      <c r="P171" s="899"/>
      <c r="Q171" s="899"/>
      <c r="R171" s="899"/>
      <c r="S171" s="899"/>
      <c r="T171" s="899"/>
      <c r="U171" s="870" t="n">
        <v>741</v>
      </c>
      <c r="V171" s="917" t="s">
        <v>753</v>
      </c>
      <c r="W171" s="828" t="str">
        <f aca="false">CONCATENATE(U171,"-",V171)</f>
        <v>741-Explotaciones de policultivo: granívoros y bovinos lecheros combinados</v>
      </c>
      <c r="X171" s="892"/>
      <c r="Y171" s="892"/>
      <c r="Z171" s="892"/>
      <c r="AA171" s="892"/>
      <c r="AB171" s="892"/>
      <c r="AC171" s="892"/>
      <c r="AD171" s="892"/>
      <c r="AE171" s="892"/>
      <c r="AF171" s="892"/>
      <c r="AG171" s="892"/>
      <c r="AH171" s="893"/>
      <c r="AI171" s="870" t="n">
        <v>741</v>
      </c>
    </row>
    <row r="172" s="3" customFormat="true" ht="14.25" hidden="true" customHeight="false" outlineLevel="0" collapsed="false">
      <c r="A172" s="6"/>
      <c r="F172" s="6"/>
      <c r="M172" s="908"/>
      <c r="N172" s="858"/>
      <c r="O172" s="899"/>
      <c r="P172" s="899"/>
      <c r="Q172" s="899"/>
      <c r="R172" s="899"/>
      <c r="S172" s="899"/>
      <c r="T172" s="899"/>
      <c r="U172" s="858" t="n">
        <v>742</v>
      </c>
      <c r="V172" s="918" t="s">
        <v>754</v>
      </c>
      <c r="W172" s="828" t="str">
        <f aca="false">CONCATENATE(U172,"-",V172)</f>
        <v>742-Explotaciones de policultivo: granívoros y herbívoros no lecheros</v>
      </c>
      <c r="X172" s="896"/>
      <c r="Y172" s="896"/>
      <c r="Z172" s="896"/>
      <c r="AA172" s="896"/>
      <c r="AB172" s="896"/>
      <c r="AC172" s="896"/>
      <c r="AD172" s="896"/>
      <c r="AE172" s="896"/>
      <c r="AF172" s="896"/>
      <c r="AG172" s="896"/>
      <c r="AH172" s="897"/>
      <c r="AI172" s="858" t="n">
        <v>742</v>
      </c>
    </row>
    <row r="173" s="3" customFormat="true" ht="14.25" hidden="true" customHeight="false" outlineLevel="0" collapsed="false">
      <c r="A173" s="6"/>
      <c r="F173" s="6"/>
      <c r="M173" s="908" t="n">
        <v>8</v>
      </c>
      <c r="N173" s="914" t="s">
        <v>755</v>
      </c>
      <c r="O173" s="898"/>
      <c r="P173" s="898"/>
      <c r="Q173" s="874"/>
      <c r="R173" s="874"/>
      <c r="S173" s="874"/>
      <c r="T173" s="891"/>
      <c r="U173" s="867"/>
      <c r="V173" s="816"/>
      <c r="W173" s="828" t="str">
        <f aca="false">CONCATENATE(U173,"-",V173)</f>
        <v>-</v>
      </c>
      <c r="X173" s="817"/>
      <c r="Y173" s="817"/>
      <c r="Z173" s="817"/>
      <c r="AA173" s="817"/>
      <c r="AB173" s="817"/>
      <c r="AC173" s="817"/>
      <c r="AD173" s="817"/>
      <c r="AE173" s="817"/>
      <c r="AF173" s="817"/>
      <c r="AG173" s="817"/>
      <c r="AH173" s="816"/>
      <c r="AI173" s="867"/>
    </row>
    <row r="174" s="3" customFormat="true" ht="15" hidden="true" customHeight="true" outlineLevel="0" collapsed="false">
      <c r="A174" s="6"/>
      <c r="F174" s="6"/>
      <c r="M174" s="908"/>
      <c r="N174" s="834" t="n">
        <v>83</v>
      </c>
      <c r="O174" s="899" t="s">
        <v>756</v>
      </c>
      <c r="P174" s="899"/>
      <c r="Q174" s="899"/>
      <c r="R174" s="899"/>
      <c r="S174" s="899"/>
      <c r="T174" s="899"/>
      <c r="U174" s="826" t="n">
        <v>831</v>
      </c>
      <c r="V174" s="909" t="s">
        <v>757</v>
      </c>
      <c r="W174" s="828" t="str">
        <f aca="false">CONCATENATE(U174,"-",V174)</f>
        <v>831-Explotaciones mixtas grandes cultivos con bovinos lecheros</v>
      </c>
      <c r="X174" s="892"/>
      <c r="Y174" s="892"/>
      <c r="Z174" s="892"/>
      <c r="AA174" s="892"/>
      <c r="AB174" s="892"/>
      <c r="AC174" s="892"/>
      <c r="AD174" s="892"/>
      <c r="AE174" s="892"/>
      <c r="AF174" s="892"/>
      <c r="AG174" s="892"/>
      <c r="AH174" s="893"/>
      <c r="AI174" s="826" t="n">
        <v>831</v>
      </c>
    </row>
    <row r="175" s="3" customFormat="true" ht="14.25" hidden="true" customHeight="false" outlineLevel="0" collapsed="false">
      <c r="A175" s="6"/>
      <c r="F175" s="6"/>
      <c r="M175" s="908"/>
      <c r="N175" s="834"/>
      <c r="O175" s="899"/>
      <c r="P175" s="899"/>
      <c r="Q175" s="899"/>
      <c r="R175" s="899"/>
      <c r="S175" s="899"/>
      <c r="T175" s="899"/>
      <c r="U175" s="834" t="n">
        <v>832</v>
      </c>
      <c r="V175" s="919" t="s">
        <v>758</v>
      </c>
      <c r="W175" s="828" t="str">
        <f aca="false">CONCATENATE(U175,"-",V175)</f>
        <v>832-Explotaciones mixtas bovinos lecheros con grandes cultivos </v>
      </c>
      <c r="X175" s="894"/>
      <c r="Y175" s="894"/>
      <c r="Z175" s="894"/>
      <c r="AA175" s="894"/>
      <c r="AB175" s="894"/>
      <c r="AC175" s="894"/>
      <c r="AD175" s="894"/>
      <c r="AE175" s="894"/>
      <c r="AF175" s="894"/>
      <c r="AG175" s="894"/>
      <c r="AH175" s="895"/>
      <c r="AI175" s="834" t="n">
        <v>832</v>
      </c>
    </row>
    <row r="176" s="3" customFormat="true" ht="14.25" hidden="true" customHeight="false" outlineLevel="0" collapsed="false">
      <c r="A176" s="6"/>
      <c r="F176" s="6"/>
      <c r="M176" s="908"/>
      <c r="N176" s="834"/>
      <c r="O176" s="899"/>
      <c r="P176" s="899"/>
      <c r="Q176" s="899"/>
      <c r="R176" s="899"/>
      <c r="S176" s="899"/>
      <c r="T176" s="899"/>
      <c r="U176" s="834" t="n">
        <v>833</v>
      </c>
      <c r="V176" s="919" t="s">
        <v>759</v>
      </c>
      <c r="W176" s="828" t="str">
        <f aca="false">CONCATENATE(U176,"-",V176)</f>
        <v>833-Explotaciones mixtas grandes cultivos con herbívoros no lecheros</v>
      </c>
      <c r="X176" s="894"/>
      <c r="Y176" s="894"/>
      <c r="Z176" s="894"/>
      <c r="AA176" s="894"/>
      <c r="AB176" s="894"/>
      <c r="AC176" s="894"/>
      <c r="AD176" s="894"/>
      <c r="AE176" s="894"/>
      <c r="AF176" s="894"/>
      <c r="AG176" s="894"/>
      <c r="AH176" s="895"/>
      <c r="AI176" s="834" t="n">
        <v>833</v>
      </c>
    </row>
    <row r="177" s="3" customFormat="true" ht="14.25" hidden="true" customHeight="false" outlineLevel="0" collapsed="false">
      <c r="A177" s="6"/>
      <c r="F177" s="6"/>
      <c r="M177" s="908"/>
      <c r="N177" s="834"/>
      <c r="O177" s="899"/>
      <c r="P177" s="899"/>
      <c r="Q177" s="899"/>
      <c r="R177" s="899"/>
      <c r="S177" s="899"/>
      <c r="T177" s="899"/>
      <c r="U177" s="841" t="n">
        <v>834</v>
      </c>
      <c r="V177" s="913" t="s">
        <v>760</v>
      </c>
      <c r="W177" s="828" t="str">
        <f aca="false">CONCATENATE(U177,"-",V177)</f>
        <v>834-Explotaciones mixtas herbívoros no lecheros con grandes cultivos</v>
      </c>
      <c r="X177" s="896"/>
      <c r="Y177" s="896"/>
      <c r="Z177" s="896"/>
      <c r="AA177" s="896"/>
      <c r="AB177" s="896"/>
      <c r="AC177" s="896"/>
      <c r="AD177" s="896"/>
      <c r="AE177" s="896"/>
      <c r="AF177" s="896"/>
      <c r="AG177" s="896"/>
      <c r="AH177" s="897"/>
      <c r="AI177" s="841" t="n">
        <v>834</v>
      </c>
    </row>
    <row r="178" s="3" customFormat="true" ht="15" hidden="true" customHeight="true" outlineLevel="0" collapsed="false">
      <c r="A178" s="6"/>
      <c r="F178" s="6"/>
      <c r="M178" s="908"/>
      <c r="N178" s="869" t="n">
        <v>84</v>
      </c>
      <c r="O178" s="899" t="s">
        <v>761</v>
      </c>
      <c r="P178" s="899"/>
      <c r="Q178" s="899"/>
      <c r="R178" s="899"/>
      <c r="S178" s="899"/>
      <c r="T178" s="899"/>
      <c r="U178" s="826" t="n">
        <v>841</v>
      </c>
      <c r="V178" s="920" t="s">
        <v>762</v>
      </c>
      <c r="W178" s="828" t="str">
        <f aca="false">CONCATENATE(U178,"-",V178)</f>
        <v>841-Explotaciones mixtas con grandes cultivos y granívoros</v>
      </c>
      <c r="X178" s="921"/>
      <c r="Y178" s="921"/>
      <c r="Z178" s="921"/>
      <c r="AA178" s="921"/>
      <c r="AB178" s="921"/>
      <c r="AC178" s="921"/>
      <c r="AD178" s="921"/>
      <c r="AE178" s="921"/>
      <c r="AF178" s="921"/>
      <c r="AG178" s="921"/>
      <c r="AH178" s="922"/>
      <c r="AI178" s="826" t="n">
        <v>841</v>
      </c>
    </row>
    <row r="179" s="3" customFormat="true" ht="14.25" hidden="true" customHeight="false" outlineLevel="0" collapsed="false">
      <c r="A179" s="6"/>
      <c r="F179" s="6"/>
      <c r="M179" s="908"/>
      <c r="N179" s="869"/>
      <c r="O179" s="899"/>
      <c r="P179" s="899"/>
      <c r="Q179" s="899"/>
      <c r="R179" s="899"/>
      <c r="S179" s="899"/>
      <c r="T179" s="899"/>
      <c r="U179" s="834" t="n">
        <v>842</v>
      </c>
      <c r="V179" s="910" t="s">
        <v>763</v>
      </c>
      <c r="W179" s="828" t="str">
        <f aca="false">CONCATENATE(U179,"-",V179)</f>
        <v>842-Explotaciones mixtas con cultivos permanentes y herbívoros</v>
      </c>
      <c r="X179" s="894"/>
      <c r="Y179" s="894"/>
      <c r="Z179" s="894"/>
      <c r="AA179" s="894"/>
      <c r="AB179" s="894"/>
      <c r="AC179" s="894"/>
      <c r="AD179" s="894"/>
      <c r="AE179" s="894"/>
      <c r="AF179" s="894"/>
      <c r="AG179" s="894"/>
      <c r="AH179" s="895"/>
      <c r="AI179" s="834" t="n">
        <v>842</v>
      </c>
    </row>
    <row r="180" s="3" customFormat="true" ht="14.25" hidden="true" customHeight="false" outlineLevel="0" collapsed="false">
      <c r="A180" s="6"/>
      <c r="F180" s="6"/>
      <c r="M180" s="908"/>
      <c r="N180" s="869"/>
      <c r="O180" s="899"/>
      <c r="P180" s="899"/>
      <c r="Q180" s="899"/>
      <c r="R180" s="899"/>
      <c r="S180" s="899"/>
      <c r="T180" s="899"/>
      <c r="U180" s="834" t="n">
        <v>843</v>
      </c>
      <c r="V180" s="910" t="s">
        <v>764</v>
      </c>
      <c r="W180" s="828" t="str">
        <f aca="false">CONCATENATE(U180,"-",V180)</f>
        <v>843-Explotaciones apícolas</v>
      </c>
      <c r="X180" s="894"/>
      <c r="Y180" s="894"/>
      <c r="Z180" s="894"/>
      <c r="AA180" s="894"/>
      <c r="AB180" s="894"/>
      <c r="AC180" s="894"/>
      <c r="AD180" s="894"/>
      <c r="AE180" s="894"/>
      <c r="AF180" s="894"/>
      <c r="AG180" s="894"/>
      <c r="AH180" s="895"/>
      <c r="AI180" s="834" t="n">
        <v>843</v>
      </c>
    </row>
    <row r="181" s="3" customFormat="true" ht="14.25" hidden="true" customHeight="false" outlineLevel="0" collapsed="false">
      <c r="A181" s="6"/>
      <c r="F181" s="6"/>
      <c r="M181" s="908"/>
      <c r="N181" s="869"/>
      <c r="O181" s="899"/>
      <c r="P181" s="899"/>
      <c r="Q181" s="899"/>
      <c r="R181" s="899"/>
      <c r="S181" s="899"/>
      <c r="T181" s="899"/>
      <c r="U181" s="858" t="n">
        <v>844</v>
      </c>
      <c r="V181" s="923" t="s">
        <v>765</v>
      </c>
      <c r="W181" s="828" t="str">
        <f aca="false">CONCATENATE(U181,"-",V181)</f>
        <v>844-Explotaciones con varios cultivos y ganaderías mixtas</v>
      </c>
      <c r="X181" s="904"/>
      <c r="Y181" s="904"/>
      <c r="Z181" s="904"/>
      <c r="AA181" s="904"/>
      <c r="AB181" s="904"/>
      <c r="AC181" s="904"/>
      <c r="AD181" s="904"/>
      <c r="AE181" s="904"/>
      <c r="AF181" s="904"/>
      <c r="AG181" s="904"/>
      <c r="AH181" s="905"/>
      <c r="AI181" s="858" t="n">
        <v>844</v>
      </c>
    </row>
    <row r="182" s="3" customFormat="true" ht="15" hidden="true" customHeight="false" outlineLevel="0" collapsed="false">
      <c r="A182" s="6"/>
      <c r="F182" s="6"/>
      <c r="M182" s="908" t="n">
        <v>9</v>
      </c>
      <c r="N182" s="914" t="s">
        <v>766</v>
      </c>
      <c r="O182" s="898"/>
      <c r="P182" s="898"/>
      <c r="Q182" s="924"/>
      <c r="R182" s="924"/>
      <c r="S182" s="924"/>
      <c r="T182" s="891"/>
      <c r="U182" s="867"/>
      <c r="V182" s="816"/>
      <c r="W182" s="828" t="str">
        <f aca="false">CONCATENATE(U182,"-",V182)</f>
        <v>-</v>
      </c>
      <c r="X182" s="817"/>
      <c r="Y182" s="817"/>
      <c r="Z182" s="817"/>
      <c r="AA182" s="817"/>
      <c r="AB182" s="817"/>
      <c r="AC182" s="817"/>
      <c r="AD182" s="817"/>
      <c r="AE182" s="817"/>
      <c r="AF182" s="817"/>
      <c r="AG182" s="817"/>
      <c r="AH182" s="816"/>
      <c r="AI182" s="867"/>
    </row>
    <row r="183" s="3" customFormat="true" ht="90" hidden="true" customHeight="true" outlineLevel="0" collapsed="false">
      <c r="A183" s="6"/>
      <c r="F183" s="6"/>
      <c r="M183" s="925"/>
      <c r="N183" s="926" t="n">
        <v>90</v>
      </c>
      <c r="O183" s="927" t="s">
        <v>766</v>
      </c>
      <c r="P183" s="927"/>
      <c r="Q183" s="927"/>
      <c r="R183" s="927"/>
      <c r="S183" s="927"/>
      <c r="T183" s="891"/>
      <c r="U183" s="869" t="n">
        <v>900</v>
      </c>
      <c r="V183" s="928" t="s">
        <v>766</v>
      </c>
      <c r="W183" s="828" t="str">
        <f aca="false">CONCATENATE(U183,"-",V183)</f>
        <v>900-Explotaciones no clasificadas</v>
      </c>
      <c r="X183" s="817"/>
      <c r="Y183" s="817"/>
      <c r="Z183" s="817"/>
      <c r="AA183" s="817"/>
      <c r="AB183" s="817"/>
      <c r="AC183" s="817"/>
      <c r="AD183" s="817"/>
      <c r="AE183" s="817"/>
      <c r="AF183" s="817"/>
      <c r="AG183" s="817"/>
      <c r="AH183" s="816"/>
      <c r="AI183" s="869" t="n">
        <v>900</v>
      </c>
    </row>
    <row r="184" s="3" customFormat="true" ht="14.25" hidden="true" customHeight="false" outlineLevel="0" collapsed="false">
      <c r="A184" s="6"/>
      <c r="F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</row>
    <row r="185" s="3" customFormat="true" ht="14.25" hidden="true" customHeight="false" outlineLevel="0" collapsed="false">
      <c r="A185" s="6"/>
      <c r="F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</row>
    <row r="186" s="3" customFormat="true" ht="14.25" hidden="true" customHeight="false" outlineLevel="0" collapsed="false">
      <c r="A186" s="6"/>
      <c r="E186" s="3" t="s">
        <v>767</v>
      </c>
      <c r="F186" s="6"/>
      <c r="J186" s="3" t="s">
        <v>768</v>
      </c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</row>
    <row r="187" s="3" customFormat="true" ht="14.25" hidden="true" customHeight="false" outlineLevel="0" collapsed="false">
      <c r="A187" s="6"/>
      <c r="C187" s="929" t="n">
        <v>8000</v>
      </c>
      <c r="D187" s="929"/>
      <c r="E187" s="929" t="n">
        <v>25000</v>
      </c>
      <c r="F187" s="930" t="n">
        <v>10000</v>
      </c>
      <c r="H187" s="929" t="n">
        <v>25000</v>
      </c>
      <c r="I187" s="929"/>
      <c r="J187" s="929" t="n">
        <v>50000</v>
      </c>
      <c r="K187" s="930" t="n">
        <v>5000</v>
      </c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</row>
    <row r="188" s="3" customFormat="true" ht="14.25" hidden="true" customHeight="false" outlineLevel="0" collapsed="false">
      <c r="A188" s="6"/>
      <c r="C188" s="929" t="n">
        <v>25001</v>
      </c>
      <c r="D188" s="929"/>
      <c r="E188" s="929" t="n">
        <v>50000</v>
      </c>
      <c r="F188" s="930" t="n">
        <v>15000</v>
      </c>
      <c r="H188" s="929" t="n">
        <v>50001</v>
      </c>
      <c r="I188" s="929"/>
      <c r="J188" s="929" t="n">
        <v>100000</v>
      </c>
      <c r="K188" s="930" t="n">
        <v>8000</v>
      </c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</row>
    <row r="189" s="3" customFormat="true" ht="14.25" hidden="true" customHeight="false" outlineLevel="0" collapsed="false">
      <c r="A189" s="6"/>
      <c r="C189" s="929" t="n">
        <v>50001</v>
      </c>
      <c r="D189" s="929"/>
      <c r="E189" s="929" t="n">
        <v>75000</v>
      </c>
      <c r="F189" s="930" t="n">
        <v>17500</v>
      </c>
      <c r="H189" s="929" t="n">
        <v>100001</v>
      </c>
      <c r="I189" s="929"/>
      <c r="J189" s="929" t="n">
        <v>150000</v>
      </c>
      <c r="K189" s="930" t="n">
        <v>10000</v>
      </c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</row>
    <row r="190" s="3" customFormat="true" ht="14.25" hidden="true" customHeight="false" outlineLevel="0" collapsed="false">
      <c r="A190" s="6"/>
      <c r="C190" s="931" t="n">
        <v>75000</v>
      </c>
      <c r="D190" s="931"/>
      <c r="E190" s="931" t="n">
        <v>4000000</v>
      </c>
      <c r="F190" s="932" t="n">
        <v>20000</v>
      </c>
      <c r="H190" s="931" t="n">
        <v>150000</v>
      </c>
      <c r="I190" s="931"/>
      <c r="J190" s="931" t="n">
        <v>4000000</v>
      </c>
      <c r="K190" s="932" t="n">
        <v>15000</v>
      </c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</row>
  </sheetData>
  <sheetProtection sheet="true" password="cc9e" objects="true" scenarios="true"/>
  <mergeCells count="140">
    <mergeCell ref="E1:J5"/>
    <mergeCell ref="E6:J7"/>
    <mergeCell ref="G9:J9"/>
    <mergeCell ref="G11:J11"/>
    <mergeCell ref="B13:B19"/>
    <mergeCell ref="C13:D13"/>
    <mergeCell ref="G13:H13"/>
    <mergeCell ref="C14:D14"/>
    <mergeCell ref="C15:D15"/>
    <mergeCell ref="G15:H15"/>
    <mergeCell ref="C16:D16"/>
    <mergeCell ref="C17:D17"/>
    <mergeCell ref="G17:H17"/>
    <mergeCell ref="C18:D18"/>
    <mergeCell ref="C19:D19"/>
    <mergeCell ref="G19:H20"/>
    <mergeCell ref="I19:I20"/>
    <mergeCell ref="J19:J20"/>
    <mergeCell ref="C20:E20"/>
    <mergeCell ref="B21:B22"/>
    <mergeCell ref="C21:D21"/>
    <mergeCell ref="G21:J21"/>
    <mergeCell ref="C22:D22"/>
    <mergeCell ref="G22:H23"/>
    <mergeCell ref="I22:I23"/>
    <mergeCell ref="J22:J23"/>
    <mergeCell ref="G25:I25"/>
    <mergeCell ref="B27:C27"/>
    <mergeCell ref="G27:J27"/>
    <mergeCell ref="G29:G30"/>
    <mergeCell ref="I29:I30"/>
    <mergeCell ref="J29:J30"/>
    <mergeCell ref="B30:B36"/>
    <mergeCell ref="C31:D31"/>
    <mergeCell ref="C32:D32"/>
    <mergeCell ref="C33:D33"/>
    <mergeCell ref="G33:J33"/>
    <mergeCell ref="C34:D34"/>
    <mergeCell ref="C35:D35"/>
    <mergeCell ref="G35:G36"/>
    <mergeCell ref="I35:I36"/>
    <mergeCell ref="J35:J36"/>
    <mergeCell ref="C36:D36"/>
    <mergeCell ref="B39:C40"/>
    <mergeCell ref="D39:D40"/>
    <mergeCell ref="E39:E40"/>
    <mergeCell ref="G39:H40"/>
    <mergeCell ref="I39:I40"/>
    <mergeCell ref="J39:J40"/>
    <mergeCell ref="B42:E42"/>
    <mergeCell ref="G42:J42"/>
    <mergeCell ref="B43:E43"/>
    <mergeCell ref="G43:J43"/>
    <mergeCell ref="B46:B47"/>
    <mergeCell ref="D46:D47"/>
    <mergeCell ref="E46:E47"/>
    <mergeCell ref="G46:G47"/>
    <mergeCell ref="I46:I47"/>
    <mergeCell ref="J46:J47"/>
    <mergeCell ref="B49:B50"/>
    <mergeCell ref="D49:D50"/>
    <mergeCell ref="E49:E50"/>
    <mergeCell ref="G49:G50"/>
    <mergeCell ref="I49:I50"/>
    <mergeCell ref="J49:J50"/>
    <mergeCell ref="B52:E53"/>
    <mergeCell ref="G52:J53"/>
    <mergeCell ref="B56:D58"/>
    <mergeCell ref="E56:J58"/>
    <mergeCell ref="B64:C64"/>
    <mergeCell ref="E64:J64"/>
    <mergeCell ref="B65:C67"/>
    <mergeCell ref="E65:J65"/>
    <mergeCell ref="E66:F66"/>
    <mergeCell ref="H66:J66"/>
    <mergeCell ref="B68:E68"/>
    <mergeCell ref="G68:J68"/>
    <mergeCell ref="B69:C69"/>
    <mergeCell ref="G69:H69"/>
    <mergeCell ref="B70:C70"/>
    <mergeCell ref="G70:H70"/>
    <mergeCell ref="B71:C71"/>
    <mergeCell ref="G71:H71"/>
    <mergeCell ref="B72:C72"/>
    <mergeCell ref="G72:H72"/>
    <mergeCell ref="B73:C73"/>
    <mergeCell ref="G73:H73"/>
    <mergeCell ref="B74:C74"/>
    <mergeCell ref="G74:H74"/>
    <mergeCell ref="B81:C83"/>
    <mergeCell ref="E81:J81"/>
    <mergeCell ref="B85:C85"/>
    <mergeCell ref="G89:J89"/>
    <mergeCell ref="C108:D108"/>
    <mergeCell ref="M111:AI111"/>
    <mergeCell ref="M114:M122"/>
    <mergeCell ref="N114:N116"/>
    <mergeCell ref="O114:T116"/>
    <mergeCell ref="N117:N122"/>
    <mergeCell ref="O117:T122"/>
    <mergeCell ref="M123:M132"/>
    <mergeCell ref="N124:N126"/>
    <mergeCell ref="O124:T126"/>
    <mergeCell ref="N127:N129"/>
    <mergeCell ref="O127:T129"/>
    <mergeCell ref="N130:N132"/>
    <mergeCell ref="O130:T132"/>
    <mergeCell ref="M133:M144"/>
    <mergeCell ref="N134:N137"/>
    <mergeCell ref="O134:T137"/>
    <mergeCell ref="N138:N142"/>
    <mergeCell ref="O138:T142"/>
    <mergeCell ref="O143:T143"/>
    <mergeCell ref="O144:T144"/>
    <mergeCell ref="M145:M152"/>
    <mergeCell ref="O146:S146"/>
    <mergeCell ref="O147:S147"/>
    <mergeCell ref="O148:S148"/>
    <mergeCell ref="N149:N152"/>
    <mergeCell ref="O149:T152"/>
    <mergeCell ref="M153:M160"/>
    <mergeCell ref="N154:N156"/>
    <mergeCell ref="O154:T156"/>
    <mergeCell ref="N157:N159"/>
    <mergeCell ref="O157:T159"/>
    <mergeCell ref="O160:S160"/>
    <mergeCell ref="M161:M167"/>
    <mergeCell ref="N162:N167"/>
    <mergeCell ref="O162:T167"/>
    <mergeCell ref="M168:M172"/>
    <mergeCell ref="N169:N170"/>
    <mergeCell ref="O169:T170"/>
    <mergeCell ref="N171:N172"/>
    <mergeCell ref="O171:T172"/>
    <mergeCell ref="M173:M181"/>
    <mergeCell ref="N174:N177"/>
    <mergeCell ref="O174:T177"/>
    <mergeCell ref="N178:N181"/>
    <mergeCell ref="O178:T181"/>
    <mergeCell ref="O183:S183"/>
  </mergeCells>
  <conditionalFormatting sqref="G52:J53">
    <cfRule type="cellIs" priority="2" operator="equal" aboveAverage="0" equalAverage="0" bottom="0" percent="0" rank="0" text="" dxfId="41">
      <formula>"NO CUMPLE ESTUDIO ECONÓMICO de EAP, Seleccionar COMODÍN"</formula>
    </cfRule>
  </conditionalFormatting>
  <conditionalFormatting sqref="B52:E53">
    <cfRule type="cellIs" priority="3" operator="equal" aboveAverage="0" equalAverage="0" bottom="0" percent="0" rank="0" text="" dxfId="42">
      <formula>"NO CUMPLE ESTUDIO ECONÓMICO de EAP, Seleccionar COMODÍN"</formula>
    </cfRule>
  </conditionalFormatting>
  <conditionalFormatting sqref="E78:E79">
    <cfRule type="cellIs" priority="4" operator="equal" aboveAverage="0" equalAverage="0" bottom="0" percent="0" rank="0" text="" dxfId="43">
      <formula>+"CUMPLE ESTUDIO ECONÓMICO EAP con el USO de COMODÍN"</formula>
    </cfRule>
    <cfRule type="cellIs" priority="5" operator="equal" aboveAverage="0" equalAverage="0" bottom="0" percent="0" rank="0" text="" dxfId="44">
      <formula>"NO CUMPLE"</formula>
    </cfRule>
  </conditionalFormatting>
  <conditionalFormatting sqref="L79">
    <cfRule type="cellIs" priority="6" operator="equal" aboveAverage="0" equalAverage="0" bottom="0" percent="0" rank="0" text="" dxfId="45">
      <formula>+"CUMPLE ESTUDIO ECONÓMICO EAP con el USO de COMODÍN"</formula>
    </cfRule>
    <cfRule type="cellIs" priority="7" operator="equal" aboveAverage="0" equalAverage="0" bottom="0" percent="0" rank="0" text="" dxfId="46">
      <formula>"NO CUMPLE"</formula>
    </cfRule>
  </conditionalFormatting>
  <conditionalFormatting sqref="F83">
    <cfRule type="cellIs" priority="8" operator="equal" aboveAverage="0" equalAverage="0" bottom="0" percent="0" rank="0" text="" dxfId="47">
      <formula>"(Se"</formula>
    </cfRule>
  </conditionalFormatting>
  <conditionalFormatting sqref="E65:J65">
    <cfRule type="containsText" priority="9" operator="containsText" aboveAverage="0" equalAverage="0" bottom="0" percent="0" rank="0" text="NO CUMPLE EAP" dxfId="48">
      <formula>NOT(ISERROR(SEARCH("NO CUMPLE EAP",E65)))</formula>
    </cfRule>
    <cfRule type="containsText" priority="10" operator="containsText" aboveAverage="0" equalAverage="0" bottom="0" percent="0" rank="0" text="CUMPLE EAP" dxfId="49">
      <formula>NOT(ISERROR(SEARCH("CUMPLE EAP",E65)))</formula>
    </cfRule>
  </conditionalFormatting>
  <conditionalFormatting sqref="A76:E77">
    <cfRule type="cellIs" priority="11" operator="equal" aboveAverage="0" equalAverage="0" bottom="0" percent="0" rank="0" text="" dxfId="50">
      <formula>+"CUMPLE ESTUDIO ECONÓMICO EAP con el USO de COMODÍN"</formula>
    </cfRule>
    <cfRule type="cellIs" priority="12" operator="equal" aboveAverage="0" equalAverage="0" bottom="0" percent="0" rank="0" text="" dxfId="51">
      <formula>"NO CUMPLE"</formula>
    </cfRule>
  </conditionalFormatting>
  <conditionalFormatting sqref="K64:O64">
    <cfRule type="cellIs" priority="13" operator="equal" aboveAverage="0" equalAverage="0" bottom="0" percent="0" rank="0" text="" dxfId="52">
      <formula>+"CUMPLE ESTUDIO ECONÓMICO EAP con el USO de COMODÍN"</formula>
    </cfRule>
  </conditionalFormatting>
  <conditionalFormatting sqref="E64:O64">
    <cfRule type="cellIs" priority="14" operator="equal" aboveAverage="0" equalAverage="0" bottom="0" percent="0" rank="0" text="" dxfId="53">
      <formula>"NO CUMPLE"</formula>
    </cfRule>
  </conditionalFormatting>
  <conditionalFormatting sqref="E64:J64">
    <cfRule type="cellIs" priority="15" operator="equal" aboveAverage="0" equalAverage="0" bottom="0" percent="0" rank="0" text="" dxfId="54">
      <formula>"CUMPLE"</formula>
    </cfRule>
  </conditionalFormatting>
  <conditionalFormatting sqref="H66:J66">
    <cfRule type="cellIs" priority="16" operator="equal" aboveAverage="0" equalAverage="0" bottom="0" percent="0" rank="0" text="" dxfId="55">
      <formula>"NO ENTRA"</formula>
    </cfRule>
    <cfRule type="cellIs" priority="17" operator="equal" aboveAverage="0" equalAverage="0" bottom="0" percent="0" rank="0" text="" dxfId="56">
      <formula>"Faltan datos"</formula>
    </cfRule>
    <cfRule type="cellIs" priority="18" operator="equal" aboveAverage="0" equalAverage="0" bottom="0" percent="0" rank="0" text="" dxfId="57">
      <formula>"NO AYUDA"</formula>
    </cfRule>
  </conditionalFormatting>
  <dataValidations count="10">
    <dataValidation allowBlank="true" errorStyle="stop" operator="between" showDropDown="false" showErrorMessage="true" showInputMessage="false" sqref="E81:J81" type="list">
      <formula1>$W$114:$W$183</formula1>
      <formula2>0</formula2>
    </dataValidation>
    <dataValidation allowBlank="true" errorStyle="stop" operator="between" showDropDown="false" showErrorMessage="true" showInputMessage="false" sqref="E76:E79 L79" type="none">
      <formula1>0</formula1>
      <formula2>0</formula2>
    </dataValidation>
    <dataValidation allowBlank="true" errorStyle="stop" operator="between" showDropDown="false" showErrorMessage="true" showInputMessage="false" sqref="E56" type="list">
      <formula1>$W$112:$W$183</formula1>
      <formula2>0</formula2>
    </dataValidation>
    <dataValidation allowBlank="true" errorStyle="stop" operator="between" showDropDown="false" showErrorMessage="true" showInputMessage="false" sqref="F11" type="list">
      <formula1>$B$116:$B$133</formula1>
      <formula2>0</formula2>
    </dataValidation>
    <dataValidation allowBlank="true" errorStyle="stop" operator="between" showDropDown="false" showErrorMessage="true" showInputMessage="false" sqref="E36:F36" type="list">
      <formula1>$E$31:$E$34</formula1>
      <formula2>0</formula2>
    </dataValidation>
    <dataValidation allowBlank="true" errorStyle="stop" operator="between" showDropDown="false" showErrorMessage="true" showInputMessage="false" sqref="E69:F75 J69:J75 F76:F80 E80 E84:F84" type="list">
      <formula1>$H$102:$H$105</formula1>
      <formula2>0</formula2>
    </dataValidation>
    <dataValidation allowBlank="true" errorStyle="stop" operator="between" showDropDown="false" showErrorMessage="true" showInputMessage="false" sqref="B25" type="list">
      <formula1>$B$139:$B$142</formula1>
      <formula2>0</formula2>
    </dataValidation>
    <dataValidation allowBlank="true" errorStyle="stop" operator="between" showDropDown="false" showErrorMessage="true" showInputMessage="false" sqref="D25:E25" type="list">
      <formula1>IF($J$45="HUESCA",$V$101:$V$869,IF($J$45="TERUEL",$AA$101:$AA$458,IF($J$45="ZARAGOZA",$AF$101:$AF$516,"ERROR")))</formula1>
      <formula2>0</formula2>
    </dataValidation>
    <dataValidation allowBlank="true" errorStyle="stop" operator="between" showDropDown="false" showErrorMessage="true" showInputMessage="false" sqref="E11" type="list">
      <formula1>$B$116:$B$137</formula1>
      <formula2>0</formula2>
    </dataValidation>
    <dataValidation allowBlank="true" errorStyle="stop" operator="between" showDropDown="false" showErrorMessage="true" showInputMessage="false" sqref="C25" type="list">
      <formula1>IF($B$25="HUESCA",O_LISTA_MUN_ZM_ZLE_2019!F2:F167,IF(B25="TERUEL",O_LISTA_MUN_ZM_ZLE_2019!F168:F403,IF(B25="ZARAGOZA",O_LISTA_MUN_ZM_ZLE_2019!F404:F675,"seleccionar")))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" operator="containsText" id="{919ED570-ED25-4F4E-A16A-DBFE5A28808F}">
            <xm:f>NOT(ISERROR(SEARCH($G$21,G21)))</xm:f>
            <xm:f>$G$21</xm:f>
            <x14:dxf>
              <font>
                <b val="1"/>
                <i val="0"/>
                <color rgb="FFFF0000"/>
              </font>
            </x14:dxf>
          </x14:cfRule>
          <xm:sqref>G21:J21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N219"/>
  <sheetViews>
    <sheetView showFormulas="false" showGridLines="true" showRowColHeaders="true" showZeros="true" rightToLeft="false" tabSelected="false" showOutlineSymbols="true" defaultGridColor="true" view="normal" topLeftCell="B1" colorId="64" zoomScale="65" zoomScaleNormal="65" zoomScalePageLayoutView="100" workbookViewId="0">
      <selection pane="topLeft" activeCell="F35" activeCellId="0" sqref="F35"/>
    </sheetView>
  </sheetViews>
  <sheetFormatPr defaultColWidth="10.1328125" defaultRowHeight="14.25" zeroHeight="false" outlineLevelRow="0" outlineLevelCol="0"/>
  <cols>
    <col collapsed="false" customWidth="true" hidden="false" outlineLevel="0" max="1" min="1" style="2" width="7.88"/>
    <col collapsed="false" customWidth="true" hidden="false" outlineLevel="0" max="2" min="2" style="2" width="6.13"/>
    <col collapsed="false" customWidth="true" hidden="false" outlineLevel="0" max="3" min="3" style="2" width="43.13"/>
    <col collapsed="false" customWidth="true" hidden="false" outlineLevel="0" max="4" min="4" style="2" width="36.25"/>
    <col collapsed="false" customWidth="true" hidden="false" outlineLevel="0" max="5" min="5" style="2" width="36.13"/>
    <col collapsed="false" customWidth="true" hidden="false" outlineLevel="0" max="6" min="6" style="2" width="39.63"/>
    <col collapsed="false" customWidth="true" hidden="false" outlineLevel="0" max="7" min="7" style="2" width="38.13"/>
    <col collapsed="false" customWidth="true" hidden="false" outlineLevel="0" max="8" min="8" style="2" width="7.75"/>
    <col collapsed="false" customWidth="true" hidden="false" outlineLevel="0" max="9" min="9" style="2" width="55.25"/>
    <col collapsed="false" customWidth="true" hidden="false" outlineLevel="0" max="10" min="10" style="2" width="37.25"/>
    <col collapsed="false" customWidth="true" hidden="false" outlineLevel="0" max="11" min="11" style="2" width="26.25"/>
    <col collapsed="false" customWidth="true" hidden="false" outlineLevel="0" max="13" min="12" style="2" width="37.88"/>
    <col collapsed="false" customWidth="true" hidden="false" outlineLevel="0" max="14" min="14" style="2" width="11.13"/>
    <col collapsed="false" customWidth="true" hidden="false" outlineLevel="0" max="15" min="15" style="2" width="25.88"/>
    <col collapsed="false" customWidth="true" hidden="true" outlineLevel="0" max="16" min="16" style="2" width="21.13"/>
    <col collapsed="false" customWidth="true" hidden="true" outlineLevel="0" max="17" min="17" style="2" width="52.13"/>
    <col collapsed="false" customWidth="true" hidden="true" outlineLevel="0" max="18" min="18" style="2" width="54.75"/>
    <col collapsed="false" customWidth="true" hidden="true" outlineLevel="0" max="19" min="19" style="2" width="65.38"/>
    <col collapsed="false" customWidth="true" hidden="true" outlineLevel="0" max="20" min="20" style="2" width="22"/>
    <col collapsed="false" customWidth="true" hidden="true" outlineLevel="0" max="21" min="21" style="2" width="19.88"/>
    <col collapsed="false" customWidth="true" hidden="true" outlineLevel="0" max="22" min="22" style="2" width="35"/>
    <col collapsed="false" customWidth="true" hidden="true" outlineLevel="0" max="23" min="23" style="2" width="9.75"/>
    <col collapsed="false" customWidth="true" hidden="true" outlineLevel="0" max="40" min="24" style="2" width="12.88"/>
  </cols>
  <sheetData>
    <row r="1" customFormat="false" ht="26.8" hidden="false" customHeight="false" outlineLevel="0" collapsed="false">
      <c r="A1" s="933"/>
      <c r="B1" s="933"/>
      <c r="C1" s="933"/>
      <c r="D1" s="933"/>
      <c r="E1" s="933"/>
      <c r="F1" s="933"/>
      <c r="G1" s="933"/>
      <c r="H1" s="933"/>
      <c r="I1" s="933"/>
      <c r="J1" s="933"/>
      <c r="K1" s="933"/>
      <c r="L1" s="933"/>
      <c r="M1" s="933"/>
      <c r="N1" s="933"/>
      <c r="O1" s="934" t="s">
        <v>769</v>
      </c>
      <c r="P1" s="3"/>
      <c r="Q1" s="182"/>
      <c r="R1" s="3"/>
      <c r="S1" s="3"/>
      <c r="T1" s="3"/>
      <c r="U1" s="3"/>
      <c r="V1" s="3"/>
      <c r="W1" s="935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customFormat="false" ht="32.25" hidden="false" customHeight="true" outlineLevel="0" collapsed="false">
      <c r="A2" s="933"/>
      <c r="B2" s="933"/>
      <c r="C2" s="936"/>
      <c r="D2" s="937"/>
      <c r="E2" s="938" t="s">
        <v>770</v>
      </c>
      <c r="F2" s="938"/>
      <c r="G2" s="938"/>
      <c r="H2" s="938"/>
      <c r="I2" s="938"/>
      <c r="J2" s="938"/>
      <c r="K2" s="938"/>
      <c r="L2" s="938"/>
      <c r="M2" s="938"/>
      <c r="N2" s="933"/>
      <c r="O2" s="934" t="s">
        <v>771</v>
      </c>
      <c r="P2" s="3"/>
      <c r="Q2" s="182"/>
      <c r="R2" s="3"/>
      <c r="S2" s="3"/>
      <c r="T2" s="3"/>
      <c r="U2" s="3"/>
      <c r="V2" s="3"/>
      <c r="W2" s="935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customFormat="false" ht="32.25" hidden="false" customHeight="true" outlineLevel="0" collapsed="false">
      <c r="A3" s="933"/>
      <c r="B3" s="933"/>
      <c r="C3" s="939"/>
      <c r="D3" s="3"/>
      <c r="E3" s="938"/>
      <c r="F3" s="938"/>
      <c r="G3" s="938"/>
      <c r="H3" s="938"/>
      <c r="I3" s="938"/>
      <c r="J3" s="938"/>
      <c r="K3" s="938"/>
      <c r="L3" s="938"/>
      <c r="M3" s="938"/>
      <c r="N3" s="933"/>
      <c r="O3" s="934" t="s">
        <v>772</v>
      </c>
      <c r="P3" s="3"/>
      <c r="Q3" s="182"/>
      <c r="R3" s="3"/>
      <c r="S3" s="3"/>
      <c r="T3" s="3"/>
      <c r="U3" s="3"/>
      <c r="V3" s="3"/>
      <c r="W3" s="935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customFormat="false" ht="32.25" hidden="false" customHeight="true" outlineLevel="0" collapsed="false">
      <c r="A4" s="933"/>
      <c r="B4" s="933"/>
      <c r="C4" s="939"/>
      <c r="D4" s="3"/>
      <c r="E4" s="938"/>
      <c r="F4" s="938"/>
      <c r="G4" s="938"/>
      <c r="H4" s="938"/>
      <c r="I4" s="938"/>
      <c r="J4" s="938"/>
      <c r="K4" s="938"/>
      <c r="L4" s="938"/>
      <c r="M4" s="938"/>
      <c r="N4" s="933"/>
      <c r="O4" s="934" t="s">
        <v>772</v>
      </c>
      <c r="P4" s="3"/>
      <c r="Q4" s="182"/>
      <c r="R4" s="3"/>
      <c r="S4" s="3"/>
      <c r="T4" s="3"/>
      <c r="U4" s="3"/>
      <c r="V4" s="3"/>
      <c r="W4" s="935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customFormat="false" ht="21.75" hidden="false" customHeight="true" outlineLevel="0" collapsed="false">
      <c r="A5" s="933"/>
      <c r="B5" s="933"/>
      <c r="C5" s="940"/>
      <c r="D5" s="941"/>
      <c r="E5" s="941"/>
      <c r="F5" s="941"/>
      <c r="G5" s="941"/>
      <c r="H5" s="941"/>
      <c r="I5" s="941"/>
      <c r="J5" s="941"/>
      <c r="K5" s="941"/>
      <c r="L5" s="941"/>
      <c r="M5" s="942"/>
      <c r="N5" s="933"/>
      <c r="O5" s="934" t="s">
        <v>772</v>
      </c>
      <c r="P5" s="941"/>
      <c r="Q5" s="182"/>
      <c r="R5" s="3"/>
      <c r="S5" s="3"/>
      <c r="T5" s="3"/>
      <c r="U5" s="3"/>
      <c r="V5" s="3"/>
      <c r="W5" s="935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customFormat="false" ht="39.75" hidden="false" customHeight="true" outlineLevel="0" collapsed="false">
      <c r="A6" s="933"/>
      <c r="B6" s="933"/>
      <c r="C6" s="943" t="s">
        <v>773</v>
      </c>
      <c r="D6" s="944" t="n">
        <v>34624.31</v>
      </c>
      <c r="E6" s="944"/>
      <c r="F6" s="3"/>
      <c r="G6" s="3"/>
      <c r="H6" s="3"/>
      <c r="I6" s="3"/>
      <c r="J6" s="176"/>
      <c r="K6" s="176"/>
      <c r="L6" s="3"/>
      <c r="M6" s="945"/>
      <c r="N6" s="933"/>
      <c r="O6" s="934" t="s">
        <v>772</v>
      </c>
      <c r="P6" s="3"/>
      <c r="Q6" s="182"/>
      <c r="R6" s="3"/>
      <c r="S6" s="3"/>
      <c r="T6" s="3"/>
      <c r="U6" s="3"/>
      <c r="V6" s="3"/>
      <c r="W6" s="935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customFormat="false" ht="39.75" hidden="false" customHeight="true" outlineLevel="0" collapsed="false">
      <c r="A7" s="933"/>
      <c r="B7" s="933"/>
      <c r="C7" s="946" t="s">
        <v>594</v>
      </c>
      <c r="D7" s="944" t="n">
        <f aca="false">$D$6*0.35</f>
        <v>12118.5085</v>
      </c>
      <c r="E7" s="944"/>
      <c r="F7" s="3"/>
      <c r="G7" s="3"/>
      <c r="H7" s="3"/>
      <c r="I7" s="3"/>
      <c r="J7" s="176"/>
      <c r="K7" s="176"/>
      <c r="L7" s="3"/>
      <c r="M7" s="945"/>
      <c r="N7" s="933"/>
      <c r="O7" s="934" t="s">
        <v>772</v>
      </c>
      <c r="P7" s="3"/>
      <c r="Q7" s="182"/>
      <c r="R7" s="3"/>
      <c r="S7" s="3"/>
      <c r="T7" s="3"/>
      <c r="U7" s="3"/>
      <c r="V7" s="3"/>
      <c r="W7" s="935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customFormat="false" ht="28.5" hidden="false" customHeight="true" outlineLevel="0" collapsed="false">
      <c r="A8" s="933"/>
      <c r="B8" s="933"/>
      <c r="C8" s="947"/>
      <c r="D8" s="3"/>
      <c r="E8" s="3"/>
      <c r="F8" s="3"/>
      <c r="G8" s="3"/>
      <c r="H8" s="3"/>
      <c r="I8" s="3"/>
      <c r="J8" s="176"/>
      <c r="K8" s="176"/>
      <c r="L8" s="948"/>
      <c r="M8" s="949"/>
      <c r="N8" s="933"/>
      <c r="O8" s="934" t="s">
        <v>772</v>
      </c>
      <c r="P8" s="3"/>
      <c r="Q8" s="182"/>
      <c r="R8" s="3"/>
      <c r="S8" s="3"/>
      <c r="T8" s="3"/>
      <c r="U8" s="3"/>
      <c r="V8" s="3"/>
      <c r="W8" s="935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customFormat="false" ht="43.5" hidden="false" customHeight="true" outlineLevel="0" collapsed="false">
      <c r="A9" s="933"/>
      <c r="B9" s="933"/>
      <c r="C9" s="950" t="s">
        <v>774</v>
      </c>
      <c r="D9" s="950"/>
      <c r="E9" s="950"/>
      <c r="F9" s="950"/>
      <c r="G9" s="950"/>
      <c r="H9" s="951"/>
      <c r="I9" s="952" t="s">
        <v>775</v>
      </c>
      <c r="J9" s="952"/>
      <c r="K9" s="952"/>
      <c r="L9" s="952"/>
      <c r="M9" s="952"/>
      <c r="N9" s="933"/>
      <c r="O9" s="934" t="s">
        <v>772</v>
      </c>
      <c r="P9" s="3"/>
      <c r="Q9" s="953" t="s">
        <v>586</v>
      </c>
      <c r="R9" s="954"/>
      <c r="S9" s="954"/>
      <c r="T9" s="954"/>
      <c r="U9" s="954"/>
      <c r="V9" s="954"/>
      <c r="W9" s="954"/>
      <c r="X9" s="954"/>
      <c r="Y9" s="954"/>
      <c r="Z9" s="954"/>
      <c r="AA9" s="954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customFormat="false" ht="43.5" hidden="false" customHeight="true" outlineLevel="0" collapsed="false">
      <c r="A10" s="933"/>
      <c r="B10" s="933"/>
      <c r="C10" s="950"/>
      <c r="D10" s="950"/>
      <c r="E10" s="950"/>
      <c r="F10" s="950"/>
      <c r="G10" s="950"/>
      <c r="H10" s="951"/>
      <c r="I10" s="952"/>
      <c r="J10" s="952"/>
      <c r="K10" s="952"/>
      <c r="L10" s="952"/>
      <c r="M10" s="952"/>
      <c r="N10" s="933"/>
      <c r="O10" s="934" t="s">
        <v>772</v>
      </c>
      <c r="P10" s="3"/>
      <c r="Q10" s="955" t="s">
        <v>585</v>
      </c>
      <c r="R10" s="956" t="e">
        <f aca="false">CONCATENATE(#REF!," ",#REF!,", ",#REF!)</f>
        <v>#REF!</v>
      </c>
      <c r="S10" s="956"/>
      <c r="T10" s="956"/>
      <c r="U10" s="956"/>
      <c r="V10" s="956"/>
      <c r="W10" s="956"/>
      <c r="X10" s="956"/>
      <c r="Y10" s="956"/>
      <c r="Z10" s="956"/>
      <c r="AA10" s="956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customFormat="false" ht="26.8" hidden="false" customHeight="false" outlineLevel="0" collapsed="false">
      <c r="A11" s="933"/>
      <c r="B11" s="933"/>
      <c r="C11" s="957"/>
      <c r="D11" s="958" t="s">
        <v>614</v>
      </c>
      <c r="E11" s="958"/>
      <c r="F11" s="959" t="s">
        <v>776</v>
      </c>
      <c r="G11" s="960" t="s">
        <v>777</v>
      </c>
      <c r="H11" s="951"/>
      <c r="I11" s="961"/>
      <c r="J11" s="958" t="s">
        <v>778</v>
      </c>
      <c r="K11" s="958"/>
      <c r="L11" s="959" t="s">
        <v>776</v>
      </c>
      <c r="M11" s="962" t="s">
        <v>777</v>
      </c>
      <c r="N11" s="933"/>
      <c r="O11" s="934" t="s">
        <v>772</v>
      </c>
      <c r="P11" s="3"/>
      <c r="Q11" s="3"/>
      <c r="R11" s="182"/>
      <c r="S11" s="3"/>
      <c r="T11" s="3"/>
      <c r="U11" s="3"/>
      <c r="V11" s="3"/>
      <c r="W11" s="3"/>
      <c r="X11" s="935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customFormat="false" ht="28.5" hidden="false" customHeight="true" outlineLevel="0" collapsed="false">
      <c r="A12" s="933"/>
      <c r="B12" s="933"/>
      <c r="C12" s="963" t="s">
        <v>779</v>
      </c>
      <c r="D12" s="964" t="s">
        <v>780</v>
      </c>
      <c r="E12" s="965"/>
      <c r="F12" s="966" t="n">
        <f aca="false">O_CALC_CultivoPrincipal!DJ7</f>
        <v>0</v>
      </c>
      <c r="G12" s="967" t="n">
        <f aca="false">'V_EAP-AGRI_2024'!I5</f>
        <v>0</v>
      </c>
      <c r="H12" s="951"/>
      <c r="I12" s="968" t="s">
        <v>781</v>
      </c>
      <c r="J12" s="964" t="s">
        <v>780</v>
      </c>
      <c r="K12" s="969"/>
      <c r="L12" s="970" t="n">
        <f aca="false">O_CALC_CultivoPrincipal!AJ7</f>
        <v>0</v>
      </c>
      <c r="M12" s="971" t="n">
        <f aca="false">'V_EAP-AGRI_2024'!I3</f>
        <v>0</v>
      </c>
      <c r="N12" s="933"/>
      <c r="O12" s="934" t="s">
        <v>772</v>
      </c>
      <c r="P12" s="3"/>
      <c r="Q12" s="972" t="s">
        <v>603</v>
      </c>
      <c r="R12" s="973" t="s">
        <v>605</v>
      </c>
      <c r="S12" s="973"/>
      <c r="T12" s="3"/>
      <c r="U12" s="974" t="s">
        <v>782</v>
      </c>
      <c r="V12" s="974"/>
      <c r="W12" s="3"/>
      <c r="X12" s="935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customFormat="false" ht="28.5" hidden="false" customHeight="true" outlineLevel="0" collapsed="false">
      <c r="A13" s="933"/>
      <c r="B13" s="933"/>
      <c r="C13" s="963"/>
      <c r="D13" s="975" t="s">
        <v>783</v>
      </c>
      <c r="E13" s="976"/>
      <c r="F13" s="977" t="n">
        <f aca="false">O_CALC_CultivoPrincipal!CW7</f>
        <v>0</v>
      </c>
      <c r="G13" s="978" t="n">
        <f aca="false">'V_EAP-AGRI_2024'!J5</f>
        <v>0</v>
      </c>
      <c r="H13" s="979"/>
      <c r="I13" s="968"/>
      <c r="J13" s="975" t="s">
        <v>783</v>
      </c>
      <c r="K13" s="980"/>
      <c r="L13" s="981" t="n">
        <f aca="false">O_CALC_CultivoPrincipal!AI7</f>
        <v>0</v>
      </c>
      <c r="M13" s="982" t="n">
        <f aca="false">'V_EAP-AGRI_2024'!J3</f>
        <v>0</v>
      </c>
      <c r="N13" s="933"/>
      <c r="O13" s="934" t="s">
        <v>772</v>
      </c>
      <c r="P13" s="3"/>
      <c r="Q13" s="972" t="s">
        <v>604</v>
      </c>
      <c r="R13" s="973" t="s">
        <v>784</v>
      </c>
      <c r="S13" s="973"/>
      <c r="T13" s="3"/>
      <c r="U13" s="983" t="s">
        <v>785</v>
      </c>
      <c r="V13" s="984" t="n">
        <f aca="false">(O_CALC_CultivoPrincipal!EA7+O_CALC_CultivoPrincipal!EB7)+(O_CALC_CultivoSecundario!EA7+O_CALC_CultivoSecundario!EB7)</f>
        <v>0</v>
      </c>
      <c r="W13" s="3"/>
      <c r="X13" s="935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customFormat="false" ht="41.75" hidden="false" customHeight="false" outlineLevel="0" collapsed="false">
      <c r="A14" s="933"/>
      <c r="B14" s="933"/>
      <c r="C14" s="963"/>
      <c r="D14" s="985" t="s">
        <v>786</v>
      </c>
      <c r="E14" s="985"/>
      <c r="F14" s="986" t="n">
        <f aca="false">SUM(F12:G13)</f>
        <v>0</v>
      </c>
      <c r="G14" s="986"/>
      <c r="H14" s="987"/>
      <c r="I14" s="968"/>
      <c r="J14" s="985" t="s">
        <v>786</v>
      </c>
      <c r="K14" s="985"/>
      <c r="L14" s="988" t="n">
        <f aca="false">SUM(L12:M13)</f>
        <v>0</v>
      </c>
      <c r="M14" s="988"/>
      <c r="N14" s="933"/>
      <c r="O14" s="934" t="s">
        <v>772</v>
      </c>
      <c r="P14" s="3"/>
      <c r="Q14" s="989" t="str">
        <f aca="false">VLOOKUP(R13,O_LISTA_MUN_ZM_ZLE_2019!K2:L675,2)</f>
        <v>Zona con limitaciones naturales distintas de las de montaña</v>
      </c>
      <c r="R14" s="989"/>
      <c r="S14" s="989"/>
      <c r="T14" s="3"/>
      <c r="U14" s="990" t="s">
        <v>787</v>
      </c>
      <c r="V14" s="991" t="e">
        <f aca="false">'v_eap-agri_2024'!#ref!</f>
        <v>#VALUE!</v>
      </c>
      <c r="W14" s="3"/>
      <c r="X14" s="935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customFormat="false" ht="26.8" hidden="false" customHeight="false" outlineLevel="0" collapsed="false">
      <c r="A15" s="933"/>
      <c r="B15" s="933"/>
      <c r="C15" s="963"/>
      <c r="D15" s="992"/>
      <c r="E15" s="993"/>
      <c r="F15" s="994"/>
      <c r="G15" s="995"/>
      <c r="H15" s="996"/>
      <c r="I15" s="968"/>
      <c r="J15" s="997"/>
      <c r="K15" s="998"/>
      <c r="L15" s="999"/>
      <c r="M15" s="1000"/>
      <c r="N15" s="933"/>
      <c r="O15" s="934" t="s">
        <v>772</v>
      </c>
      <c r="P15" s="3"/>
      <c r="Q15" s="1001"/>
      <c r="R15" s="1001"/>
      <c r="S15" s="1001"/>
      <c r="T15" s="3"/>
      <c r="U15" s="1002" t="s">
        <v>788</v>
      </c>
      <c r="V15" s="991" t="n">
        <f aca="false">'V_EAP-GAN'!F6</f>
        <v>0</v>
      </c>
      <c r="W15" s="3"/>
      <c r="X15" s="935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customFormat="false" ht="26.8" hidden="false" customHeight="false" outlineLevel="0" collapsed="false">
      <c r="A16" s="933"/>
      <c r="B16" s="933"/>
      <c r="C16" s="963"/>
      <c r="D16" s="1003" t="s">
        <v>789</v>
      </c>
      <c r="E16" s="1004"/>
      <c r="F16" s="1005" t="n">
        <f aca="false">O_CALC_CultivoPrincipal!DK7</f>
        <v>0</v>
      </c>
      <c r="G16" s="1006" t="n">
        <f aca="false">'V_EAP-AGRI_2024'!K5</f>
        <v>0</v>
      </c>
      <c r="H16" s="993"/>
      <c r="I16" s="968"/>
      <c r="J16" s="1003" t="s">
        <v>790</v>
      </c>
      <c r="K16" s="1007"/>
      <c r="L16" s="1008" t="n">
        <f aca="false">O_CALC_CultivoPrincipal!AL7</f>
        <v>0</v>
      </c>
      <c r="M16" s="1009" t="n">
        <f aca="false">'V_EAP-AGRI_2024'!K3</f>
        <v>0</v>
      </c>
      <c r="N16" s="933"/>
      <c r="O16" s="934" t="s">
        <v>772</v>
      </c>
      <c r="P16" s="3"/>
      <c r="Q16" s="182"/>
      <c r="R16" s="3"/>
      <c r="S16" s="3"/>
      <c r="T16" s="3"/>
      <c r="U16" s="1010" t="s">
        <v>10</v>
      </c>
      <c r="V16" s="1011" t="e">
        <f aca="false">SUM(V13:V15)</f>
        <v>#VALUE!</v>
      </c>
      <c r="W16" s="3"/>
      <c r="X16" s="935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customFormat="false" ht="26.8" hidden="false" customHeight="false" outlineLevel="0" collapsed="false">
      <c r="A17" s="933"/>
      <c r="B17" s="933"/>
      <c r="C17" s="963"/>
      <c r="D17" s="1012" t="s">
        <v>791</v>
      </c>
      <c r="E17" s="1013"/>
      <c r="F17" s="1014" t="n">
        <f aca="false">O_CALC_CultivoPrincipal!CX7</f>
        <v>0</v>
      </c>
      <c r="G17" s="1015" t="n">
        <f aca="false">'V_EAP-AGRI_2024'!L5</f>
        <v>0</v>
      </c>
      <c r="H17" s="993"/>
      <c r="I17" s="968"/>
      <c r="J17" s="1012" t="s">
        <v>792</v>
      </c>
      <c r="K17" s="1016"/>
      <c r="L17" s="1017" t="n">
        <f aca="false">O_CALC_CultivoPrincipal!AK7</f>
        <v>0</v>
      </c>
      <c r="M17" s="1018" t="n">
        <f aca="false">'V_EAP-AGRI_2024'!L3</f>
        <v>0</v>
      </c>
      <c r="N17" s="933"/>
      <c r="O17" s="934" t="s">
        <v>772</v>
      </c>
      <c r="P17" s="6"/>
      <c r="Q17" s="182"/>
      <c r="R17" s="3"/>
      <c r="S17" s="3"/>
      <c r="T17" s="3"/>
      <c r="U17" s="3"/>
      <c r="V17" s="3"/>
      <c r="W17" s="935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customFormat="false" ht="26.8" hidden="false" customHeight="false" outlineLevel="0" collapsed="false">
      <c r="A18" s="933"/>
      <c r="B18" s="933"/>
      <c r="C18" s="963"/>
      <c r="D18" s="1019" t="s">
        <v>793</v>
      </c>
      <c r="E18" s="1019"/>
      <c r="F18" s="1020" t="n">
        <f aca="false">SUM(F16:G17)</f>
        <v>0</v>
      </c>
      <c r="G18" s="1020"/>
      <c r="H18" s="993"/>
      <c r="I18" s="968"/>
      <c r="J18" s="1019" t="s">
        <v>793</v>
      </c>
      <c r="K18" s="1019"/>
      <c r="L18" s="1021" t="n">
        <f aca="false">SUM(L16:M17)</f>
        <v>0</v>
      </c>
      <c r="M18" s="1021"/>
      <c r="N18" s="933"/>
      <c r="O18" s="934" t="s">
        <v>772</v>
      </c>
      <c r="P18" s="3"/>
      <c r="Q18" s="182" t="s">
        <v>772</v>
      </c>
      <c r="R18" s="3"/>
      <c r="S18" s="3"/>
      <c r="T18" s="3"/>
      <c r="U18" s="3"/>
      <c r="V18" s="3"/>
      <c r="W18" s="935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customFormat="false" ht="26.8" hidden="false" customHeight="false" outlineLevel="0" collapsed="false">
      <c r="A19" s="933"/>
      <c r="B19" s="933"/>
      <c r="C19" s="1022"/>
      <c r="D19" s="992"/>
      <c r="E19" s="993"/>
      <c r="F19" s="993"/>
      <c r="G19" s="1023"/>
      <c r="H19" s="993"/>
      <c r="I19" s="1024"/>
      <c r="J19" s="997"/>
      <c r="K19" s="998"/>
      <c r="L19" s="999"/>
      <c r="M19" s="1025"/>
      <c r="N19" s="933"/>
      <c r="O19" s="934" t="s">
        <v>772</v>
      </c>
      <c r="P19" s="3"/>
      <c r="Q19" s="182" t="s">
        <v>794</v>
      </c>
      <c r="R19" s="3"/>
      <c r="S19" s="3"/>
      <c r="T19" s="3"/>
      <c r="U19" s="3"/>
      <c r="V19" s="3"/>
      <c r="W19" s="935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customFormat="false" ht="28.5" hidden="false" customHeight="true" outlineLevel="0" collapsed="false">
      <c r="A20" s="933"/>
      <c r="B20" s="933"/>
      <c r="C20" s="963" t="s">
        <v>795</v>
      </c>
      <c r="D20" s="1026" t="s">
        <v>780</v>
      </c>
      <c r="E20" s="1027"/>
      <c r="F20" s="1028" t="n">
        <f aca="false">O_CALC_CultivoSecundario!DJ7</f>
        <v>0</v>
      </c>
      <c r="G20" s="1029"/>
      <c r="H20" s="951"/>
      <c r="I20" s="968" t="s">
        <v>795</v>
      </c>
      <c r="J20" s="1026" t="s">
        <v>796</v>
      </c>
      <c r="K20" s="1030"/>
      <c r="L20" s="1031" t="n">
        <f aca="false">O_CALC_CultivoSecundario!AJ7</f>
        <v>0</v>
      </c>
      <c r="M20" s="1032"/>
      <c r="N20" s="933"/>
      <c r="O20" s="934" t="s">
        <v>772</v>
      </c>
      <c r="P20" s="3"/>
      <c r="Q20" s="182"/>
      <c r="R20" s="3"/>
      <c r="S20" s="3"/>
      <c r="T20" s="3"/>
      <c r="U20" s="3"/>
      <c r="V20" s="3"/>
      <c r="W20" s="935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customFormat="false" ht="26.8" hidden="false" customHeight="false" outlineLevel="0" collapsed="false">
      <c r="A21" s="933"/>
      <c r="B21" s="933"/>
      <c r="C21" s="963"/>
      <c r="D21" s="975" t="s">
        <v>783</v>
      </c>
      <c r="E21" s="976"/>
      <c r="F21" s="977" t="n">
        <f aca="false">O_CALC_CultivoSecundario!CW7</f>
        <v>0</v>
      </c>
      <c r="G21" s="1029"/>
      <c r="H21" s="979"/>
      <c r="I21" s="968"/>
      <c r="J21" s="975" t="s">
        <v>797</v>
      </c>
      <c r="K21" s="980"/>
      <c r="L21" s="981" t="n">
        <f aca="false">O_CALC_CultivoSecundario!AI7</f>
        <v>0</v>
      </c>
      <c r="M21" s="1032"/>
      <c r="N21" s="933"/>
      <c r="O21" s="934" t="s">
        <v>772</v>
      </c>
      <c r="P21" s="3"/>
      <c r="Q21" s="182"/>
      <c r="R21" s="3"/>
      <c r="S21" s="3"/>
      <c r="T21" s="3"/>
      <c r="U21" s="3"/>
      <c r="V21" s="3"/>
      <c r="W21" s="935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customFormat="false" ht="26.8" hidden="false" customHeight="false" outlineLevel="0" collapsed="false">
      <c r="A22" s="933"/>
      <c r="B22" s="933"/>
      <c r="C22" s="963"/>
      <c r="D22" s="985" t="s">
        <v>786</v>
      </c>
      <c r="E22" s="985"/>
      <c r="F22" s="1033" t="n">
        <f aca="false">F21+F20</f>
        <v>0</v>
      </c>
      <c r="G22" s="1029"/>
      <c r="H22" s="987"/>
      <c r="I22" s="968"/>
      <c r="J22" s="985" t="s">
        <v>786</v>
      </c>
      <c r="K22" s="985"/>
      <c r="L22" s="1034" t="n">
        <f aca="false">L21+L20</f>
        <v>0</v>
      </c>
      <c r="M22" s="1032"/>
      <c r="N22" s="933"/>
      <c r="O22" s="934" t="s">
        <v>772</v>
      </c>
      <c r="P22" s="3"/>
      <c r="Q22" s="182"/>
      <c r="R22" s="3"/>
      <c r="S22" s="3"/>
      <c r="T22" s="3"/>
      <c r="U22" s="3"/>
      <c r="V22" s="3"/>
      <c r="W22" s="935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customFormat="false" ht="26.8" hidden="false" customHeight="false" outlineLevel="0" collapsed="false">
      <c r="A23" s="933"/>
      <c r="B23" s="933"/>
      <c r="C23" s="963"/>
      <c r="D23" s="992"/>
      <c r="E23" s="993"/>
      <c r="F23" s="994"/>
      <c r="G23" s="1029"/>
      <c r="H23" s="996"/>
      <c r="I23" s="968"/>
      <c r="J23" s="997"/>
      <c r="K23" s="998"/>
      <c r="L23" s="999"/>
      <c r="M23" s="1032"/>
      <c r="N23" s="933"/>
      <c r="O23" s="934" t="s">
        <v>772</v>
      </c>
      <c r="P23" s="3"/>
      <c r="Q23" s="182"/>
      <c r="R23" s="3"/>
      <c r="S23" s="3"/>
      <c r="T23" s="3"/>
      <c r="U23" s="3"/>
      <c r="V23" s="3"/>
      <c r="W23" s="935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customFormat="false" ht="26.8" hidden="false" customHeight="false" outlineLevel="0" collapsed="false">
      <c r="A24" s="933"/>
      <c r="B24" s="933"/>
      <c r="C24" s="963"/>
      <c r="D24" s="1003" t="s">
        <v>789</v>
      </c>
      <c r="E24" s="1004"/>
      <c r="F24" s="1005" t="n">
        <f aca="false">O_CALC_CultivoSecundario!DK7</f>
        <v>0</v>
      </c>
      <c r="G24" s="1029"/>
      <c r="H24" s="993"/>
      <c r="I24" s="968"/>
      <c r="J24" s="1003" t="s">
        <v>790</v>
      </c>
      <c r="K24" s="1007"/>
      <c r="L24" s="1008" t="n">
        <f aca="false">O_CALC_CultivoSecundario!AL7</f>
        <v>0</v>
      </c>
      <c r="M24" s="1032"/>
      <c r="N24" s="933"/>
      <c r="O24" s="934" t="s">
        <v>772</v>
      </c>
      <c r="P24" s="3"/>
      <c r="Q24" s="182"/>
      <c r="R24" s="3"/>
      <c r="S24" s="1035"/>
      <c r="T24" s="1035"/>
      <c r="U24" s="1035"/>
      <c r="V24" s="1036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customFormat="false" ht="26.8" hidden="false" customHeight="false" outlineLevel="0" collapsed="false">
      <c r="A25" s="933"/>
      <c r="B25" s="933"/>
      <c r="C25" s="963"/>
      <c r="D25" s="1012" t="s">
        <v>791</v>
      </c>
      <c r="E25" s="1013"/>
      <c r="F25" s="1014" t="n">
        <f aca="false">O_CALC_CultivoSecundario!CX7</f>
        <v>0</v>
      </c>
      <c r="G25" s="1029"/>
      <c r="H25" s="993"/>
      <c r="I25" s="968"/>
      <c r="J25" s="1012" t="s">
        <v>792</v>
      </c>
      <c r="K25" s="1016"/>
      <c r="L25" s="1017" t="n">
        <f aca="false">O_CALC_CultivoSecundario!AK7</f>
        <v>0</v>
      </c>
      <c r="M25" s="1032"/>
      <c r="N25" s="933"/>
      <c r="O25" s="934" t="s">
        <v>772</v>
      </c>
      <c r="P25" s="3"/>
      <c r="Q25" s="182"/>
      <c r="R25" s="3"/>
      <c r="S25" s="1035"/>
      <c r="T25" s="1035"/>
      <c r="U25" s="1035"/>
      <c r="V25" s="1036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customFormat="false" ht="26.8" hidden="false" customHeight="false" outlineLevel="0" collapsed="false">
      <c r="A26" s="933"/>
      <c r="B26" s="933"/>
      <c r="C26" s="963"/>
      <c r="D26" s="1019" t="s">
        <v>793</v>
      </c>
      <c r="E26" s="1019"/>
      <c r="F26" s="1037" t="n">
        <f aca="false">F25+F24</f>
        <v>0</v>
      </c>
      <c r="G26" s="1029"/>
      <c r="H26" s="993"/>
      <c r="I26" s="968"/>
      <c r="J26" s="1019" t="s">
        <v>793</v>
      </c>
      <c r="K26" s="1019"/>
      <c r="L26" s="1038" t="n">
        <f aca="false">L25+L24</f>
        <v>0</v>
      </c>
      <c r="M26" s="1032"/>
      <c r="N26" s="933"/>
      <c r="O26" s="934" t="s">
        <v>772</v>
      </c>
      <c r="P26" s="3"/>
      <c r="Q26" s="182"/>
      <c r="R26" s="3"/>
      <c r="S26" s="1035"/>
      <c r="T26" s="1035"/>
      <c r="U26" s="1035"/>
      <c r="V26" s="1036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customFormat="false" ht="19.5" hidden="false" customHeight="true" outlineLevel="0" collapsed="false">
      <c r="A27" s="933"/>
      <c r="B27" s="933"/>
      <c r="C27" s="1039"/>
      <c r="D27" s="1040"/>
      <c r="E27" s="1041"/>
      <c r="F27" s="1042"/>
      <c r="G27" s="995"/>
      <c r="H27" s="993"/>
      <c r="I27" s="1043"/>
      <c r="J27" s="1044"/>
      <c r="K27" s="1045"/>
      <c r="L27" s="1046"/>
      <c r="M27" s="1000"/>
      <c r="N27" s="933"/>
      <c r="O27" s="934" t="s">
        <v>772</v>
      </c>
      <c r="P27" s="3"/>
      <c r="Q27" s="182"/>
      <c r="R27" s="3"/>
      <c r="S27" s="1035"/>
      <c r="T27" s="1035"/>
      <c r="U27" s="1035"/>
      <c r="V27" s="1036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customFormat="false" ht="66.75" hidden="false" customHeight="true" outlineLevel="0" collapsed="false">
      <c r="A28" s="933"/>
      <c r="B28" s="933"/>
      <c r="C28" s="1047" t="s">
        <v>788</v>
      </c>
      <c r="D28" s="1048" t="s">
        <v>36</v>
      </c>
      <c r="E28" s="1048"/>
      <c r="F28" s="1049" t="n">
        <f aca="false">'V_EAP-GAN'!U9</f>
        <v>0</v>
      </c>
      <c r="G28" s="1049"/>
      <c r="H28" s="993"/>
      <c r="I28" s="1050" t="s">
        <v>788</v>
      </c>
      <c r="J28" s="1048" t="s">
        <v>798</v>
      </c>
      <c r="K28" s="1048"/>
      <c r="L28" s="1051" t="n">
        <f aca="false">'V_EAP-GAN'!T9</f>
        <v>0</v>
      </c>
      <c r="M28" s="1051"/>
      <c r="N28" s="933"/>
      <c r="O28" s="934" t="s">
        <v>772</v>
      </c>
      <c r="P28" s="3"/>
      <c r="Q28" s="182"/>
      <c r="R28" s="3"/>
      <c r="S28" s="1035"/>
      <c r="T28" s="1035"/>
      <c r="U28" s="1035"/>
      <c r="V28" s="1036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customFormat="false" ht="26.8" hidden="false" customHeight="false" outlineLevel="0" collapsed="false">
      <c r="A29" s="933"/>
      <c r="B29" s="933"/>
      <c r="C29" s="1047"/>
      <c r="D29" s="1052"/>
      <c r="E29" s="1053"/>
      <c r="F29" s="1054"/>
      <c r="G29" s="1055"/>
      <c r="H29" s="993"/>
      <c r="I29" s="1050"/>
      <c r="J29" s="1052"/>
      <c r="K29" s="1053"/>
      <c r="L29" s="1056"/>
      <c r="M29" s="1057"/>
      <c r="N29" s="933"/>
      <c r="O29" s="934" t="s">
        <v>772</v>
      </c>
      <c r="P29" s="3"/>
      <c r="Q29" s="182"/>
      <c r="R29" s="3"/>
      <c r="S29" s="1035"/>
      <c r="T29" s="1035"/>
      <c r="U29" s="1035"/>
      <c r="V29" s="1036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customFormat="false" ht="66.75" hidden="false" customHeight="true" outlineLevel="0" collapsed="false">
      <c r="A30" s="933"/>
      <c r="B30" s="933"/>
      <c r="C30" s="1047"/>
      <c r="D30" s="1048" t="s">
        <v>35</v>
      </c>
      <c r="E30" s="1048"/>
      <c r="F30" s="1049" t="n">
        <f aca="false">'V_EAP-GAN'!P9</f>
        <v>0</v>
      </c>
      <c r="G30" s="1049"/>
      <c r="H30" s="993"/>
      <c r="I30" s="1050"/>
      <c r="J30" s="1048" t="s">
        <v>799</v>
      </c>
      <c r="K30" s="1048"/>
      <c r="L30" s="1051" t="n">
        <f aca="false">'V_EAP-GAN'!O9</f>
        <v>0</v>
      </c>
      <c r="M30" s="1051"/>
      <c r="N30" s="933"/>
      <c r="O30" s="934" t="s">
        <v>772</v>
      </c>
      <c r="P30" s="3"/>
      <c r="Q30" s="182"/>
      <c r="R30" s="3"/>
      <c r="S30" s="3"/>
      <c r="T30" s="3"/>
      <c r="U30" s="3"/>
      <c r="V30" s="3"/>
      <c r="W30" s="935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customFormat="false" ht="35.25" hidden="false" customHeight="true" outlineLevel="0" collapsed="false">
      <c r="A31" s="933"/>
      <c r="B31" s="933"/>
      <c r="C31" s="1058" t="s">
        <v>800</v>
      </c>
      <c r="D31" s="1058"/>
      <c r="E31" s="1058"/>
      <c r="F31" s="1059" t="n">
        <f aca="false">(F18+F14)+(F22+F26)+F28+F30</f>
        <v>0</v>
      </c>
      <c r="G31" s="1059"/>
      <c r="H31" s="993"/>
      <c r="I31" s="1060" t="s">
        <v>801</v>
      </c>
      <c r="J31" s="1060"/>
      <c r="K31" s="1060"/>
      <c r="L31" s="1061" t="n">
        <f aca="false">L30+L28</f>
        <v>0</v>
      </c>
      <c r="M31" s="1061"/>
      <c r="N31" s="933"/>
      <c r="O31" s="934" t="s">
        <v>772</v>
      </c>
      <c r="P31" s="3"/>
      <c r="Q31" s="182"/>
      <c r="R31" s="3"/>
      <c r="S31" s="3"/>
      <c r="T31" s="3"/>
      <c r="U31" s="3"/>
      <c r="V31" s="3"/>
      <c r="W31" s="935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customFormat="false" ht="26.8" hidden="false" customHeight="false" outlineLevel="0" collapsed="false">
      <c r="A32" s="933"/>
      <c r="B32" s="933"/>
      <c r="C32" s="1058"/>
      <c r="D32" s="1058"/>
      <c r="E32" s="1058"/>
      <c r="F32" s="1059"/>
      <c r="G32" s="1059"/>
      <c r="H32" s="993"/>
      <c r="I32" s="1062" t="s">
        <v>802</v>
      </c>
      <c r="J32" s="1062"/>
      <c r="K32" s="1062"/>
      <c r="L32" s="1063" t="n">
        <f aca="false">(L18+L14)</f>
        <v>0</v>
      </c>
      <c r="M32" s="1063"/>
      <c r="N32" s="933"/>
      <c r="O32" s="934" t="s">
        <v>772</v>
      </c>
      <c r="P32" s="3"/>
      <c r="Q32" s="182"/>
      <c r="R32" s="3"/>
      <c r="S32" s="3"/>
      <c r="T32" s="3"/>
      <c r="U32" s="3"/>
      <c r="V32" s="3"/>
      <c r="W32" s="935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customFormat="false" ht="26.8" hidden="false" customHeight="false" outlineLevel="0" collapsed="false">
      <c r="A33" s="933"/>
      <c r="B33" s="933"/>
      <c r="C33" s="1058"/>
      <c r="D33" s="1058"/>
      <c r="E33" s="1058"/>
      <c r="F33" s="1059"/>
      <c r="G33" s="1059"/>
      <c r="H33" s="1064"/>
      <c r="I33" s="1062"/>
      <c r="J33" s="1062"/>
      <c r="K33" s="1062"/>
      <c r="L33" s="1063"/>
      <c r="M33" s="1063"/>
      <c r="N33" s="933"/>
      <c r="O33" s="934" t="s">
        <v>772</v>
      </c>
      <c r="P33" s="3"/>
      <c r="Q33" s="182"/>
      <c r="R33" s="3"/>
      <c r="S33" s="3"/>
      <c r="T33" s="3"/>
      <c r="U33" s="3"/>
      <c r="V33" s="3"/>
      <c r="W33" s="935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customFormat="false" ht="26.8" hidden="false" customHeight="false" outlineLevel="0" collapsed="false">
      <c r="A34" s="933"/>
      <c r="B34" s="933"/>
      <c r="C34" s="1065"/>
      <c r="D34" s="1066"/>
      <c r="E34" s="1066"/>
      <c r="F34" s="1067"/>
      <c r="G34" s="1067"/>
      <c r="H34" s="1064"/>
      <c r="I34" s="1066"/>
      <c r="J34" s="1066"/>
      <c r="K34" s="979"/>
      <c r="L34" s="1068"/>
      <c r="M34" s="1069"/>
      <c r="N34" s="933"/>
      <c r="O34" s="934" t="s">
        <v>772</v>
      </c>
      <c r="P34" s="3"/>
      <c r="Q34" s="182"/>
      <c r="R34" s="3"/>
      <c r="S34" s="3"/>
      <c r="T34" s="3"/>
      <c r="U34" s="3"/>
      <c r="V34" s="3"/>
      <c r="W34" s="935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customFormat="false" ht="92.25" hidden="false" customHeight="true" outlineLevel="0" collapsed="false">
      <c r="A35" s="933"/>
      <c r="B35" s="933"/>
      <c r="C35" s="1070" t="s">
        <v>803</v>
      </c>
      <c r="D35" s="1070"/>
      <c r="E35" s="1070"/>
      <c r="F35" s="1071" t="n">
        <f aca="false">O_CALC_CultivoPrincipal!DY7+O_CALC_CultivoPrincipal!DZ7+O_CALC_CultivoSecundario!DY7+O_CALC_CultivoSecundario!DZ7+PEGAN+'V_EAP-AGRI_2024'!H4</f>
        <v>0</v>
      </c>
      <c r="G35" s="1071"/>
      <c r="H35" s="1072"/>
      <c r="I35" s="1073" t="s">
        <v>626</v>
      </c>
      <c r="J35" s="1073"/>
      <c r="K35" s="1073"/>
      <c r="L35" s="1073"/>
      <c r="M35" s="1073"/>
      <c r="N35" s="933"/>
      <c r="O35" s="934" t="s">
        <v>772</v>
      </c>
      <c r="P35" s="3"/>
      <c r="Q35" s="182"/>
      <c r="R35" s="3"/>
      <c r="S35" s="3"/>
      <c r="T35" s="3"/>
      <c r="U35" s="3"/>
      <c r="V35" s="3"/>
      <c r="W35" s="935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customFormat="false" ht="26.8" hidden="false" customHeight="false" outlineLevel="0" collapsed="false">
      <c r="A36" s="933"/>
      <c r="B36" s="933"/>
      <c r="C36" s="1074"/>
      <c r="D36" s="993"/>
      <c r="E36" s="993"/>
      <c r="F36" s="993"/>
      <c r="G36" s="1072"/>
      <c r="H36" s="1072"/>
      <c r="I36" s="1075"/>
      <c r="J36" s="1076"/>
      <c r="K36" s="1076"/>
      <c r="L36" s="1077"/>
      <c r="M36" s="1078"/>
      <c r="N36" s="933"/>
      <c r="O36" s="934" t="s">
        <v>772</v>
      </c>
      <c r="P36" s="3"/>
      <c r="Q36" s="182"/>
      <c r="R36" s="3"/>
      <c r="S36" s="3"/>
      <c r="T36" s="3"/>
      <c r="U36" s="3"/>
      <c r="V36" s="3"/>
      <c r="W36" s="935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customFormat="false" ht="57.75" hidden="false" customHeight="true" outlineLevel="0" collapsed="false">
      <c r="A37" s="933"/>
      <c r="B37" s="933"/>
      <c r="C37" s="1079" t="s">
        <v>804</v>
      </c>
      <c r="D37" s="1079"/>
      <c r="E37" s="1079"/>
      <c r="F37" s="1080" t="n">
        <f aca="false">(O_CALC_CultivoPrincipal!EA7+O_CALC_CultivoPrincipal!EB7)+(O_CALC_CultivoSecundario!EA7+O_CALC_CultivoSecundario!EB7)+'V_EAP-GAN'!F6+'V_EAP-AGRI_2024'!H6</f>
        <v>0</v>
      </c>
      <c r="G37" s="1072"/>
      <c r="H37" s="1072"/>
      <c r="I37" s="1081" t="s">
        <v>805</v>
      </c>
      <c r="J37" s="1082" t="s">
        <v>806</v>
      </c>
      <c r="K37" s="1082" t="s">
        <v>613</v>
      </c>
      <c r="L37" s="1083" t="n">
        <f aca="false">F31</f>
        <v>0</v>
      </c>
      <c r="M37" s="1084" t="str">
        <f aca="false">IF(ISNUMBER(L37+L38),L37/L38,"-  €")</f>
        <v>-  €</v>
      </c>
      <c r="N37" s="933"/>
      <c r="O37" s="934" t="s">
        <v>772</v>
      </c>
      <c r="P37" s="3"/>
      <c r="Q37" s="182"/>
      <c r="R37" s="3"/>
      <c r="S37" s="3"/>
      <c r="T37" s="3"/>
      <c r="U37" s="3"/>
      <c r="V37" s="3"/>
      <c r="W37" s="935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customFormat="false" ht="26.8" hidden="false" customHeight="false" outlineLevel="0" collapsed="false">
      <c r="A38" s="933"/>
      <c r="B38" s="933"/>
      <c r="C38" s="1079"/>
      <c r="D38" s="1079"/>
      <c r="E38" s="1079"/>
      <c r="F38" s="1080"/>
      <c r="G38" s="1072"/>
      <c r="H38" s="1072"/>
      <c r="I38" s="1081"/>
      <c r="J38" s="1082" t="s">
        <v>807</v>
      </c>
      <c r="K38" s="1082"/>
      <c r="L38" s="1085" t="str">
        <f aca="false">F39</f>
        <v>NO LLEGA</v>
      </c>
      <c r="M38" s="1084"/>
      <c r="N38" s="933"/>
      <c r="O38" s="934" t="s">
        <v>772</v>
      </c>
      <c r="P38" s="3"/>
      <c r="Q38" s="182"/>
      <c r="R38" s="3"/>
      <c r="S38" s="3"/>
      <c r="T38" s="3"/>
      <c r="U38" s="3"/>
      <c r="V38" s="3"/>
      <c r="W38" s="935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customFormat="false" ht="28.5" hidden="false" customHeight="true" outlineLevel="0" collapsed="false">
      <c r="A39" s="933"/>
      <c r="B39" s="933"/>
      <c r="C39" s="1086" t="s">
        <v>808</v>
      </c>
      <c r="D39" s="1086"/>
      <c r="E39" s="1086"/>
      <c r="F39" s="1087" t="str">
        <f aca="false">IF(F37&gt;=1,F37,IF(F37&gt;=0.5,1,"NO LLEGA"))</f>
        <v>NO LLEGA</v>
      </c>
      <c r="G39" s="1067"/>
      <c r="H39" s="1064"/>
      <c r="I39" s="993"/>
      <c r="J39" s="998"/>
      <c r="K39" s="998"/>
      <c r="L39" s="993"/>
      <c r="M39" s="1088"/>
      <c r="N39" s="933"/>
      <c r="O39" s="934" t="s">
        <v>772</v>
      </c>
      <c r="P39" s="3"/>
      <c r="Q39" s="182"/>
      <c r="R39" s="3"/>
      <c r="S39" s="3"/>
      <c r="T39" s="3"/>
      <c r="U39" s="3"/>
      <c r="V39" s="3"/>
      <c r="W39" s="935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customFormat="false" ht="26.8" hidden="false" customHeight="false" outlineLevel="0" collapsed="false">
      <c r="A40" s="933"/>
      <c r="B40" s="933"/>
      <c r="C40" s="1086"/>
      <c r="D40" s="1086"/>
      <c r="E40" s="1086"/>
      <c r="F40" s="1087"/>
      <c r="G40" s="1067"/>
      <c r="H40" s="1064"/>
      <c r="I40" s="993"/>
      <c r="J40" s="998"/>
      <c r="K40" s="998"/>
      <c r="L40" s="993"/>
      <c r="M40" s="1088"/>
      <c r="N40" s="933"/>
      <c r="O40" s="934" t="s">
        <v>772</v>
      </c>
      <c r="P40" s="3"/>
      <c r="Q40" s="182"/>
      <c r="R40" s="3"/>
      <c r="S40" s="3"/>
      <c r="T40" s="3"/>
      <c r="U40" s="3"/>
      <c r="V40" s="3"/>
      <c r="W40" s="935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customFormat="false" ht="26.8" hidden="false" customHeight="false" outlineLevel="0" collapsed="false">
      <c r="A41" s="933"/>
      <c r="B41" s="933"/>
      <c r="C41" s="1074"/>
      <c r="D41" s="993"/>
      <c r="E41" s="993"/>
      <c r="F41" s="993"/>
      <c r="G41" s="993"/>
      <c r="H41" s="993"/>
      <c r="I41" s="993"/>
      <c r="J41" s="998"/>
      <c r="K41" s="998"/>
      <c r="L41" s="993"/>
      <c r="M41" s="1088"/>
      <c r="N41" s="933"/>
      <c r="O41" s="934" t="s">
        <v>772</v>
      </c>
      <c r="P41" s="3"/>
      <c r="Q41" s="182"/>
      <c r="R41" s="3"/>
      <c r="S41" s="3"/>
      <c r="T41" s="3"/>
      <c r="U41" s="3"/>
      <c r="V41" s="3"/>
      <c r="W41" s="935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customFormat="false" ht="96" hidden="false" customHeight="true" outlineLevel="0" collapsed="false">
      <c r="A42" s="933"/>
      <c r="B42" s="933"/>
      <c r="C42" s="1089" t="s">
        <v>809</v>
      </c>
      <c r="D42" s="1089"/>
      <c r="E42" s="1089"/>
      <c r="F42" s="1089"/>
      <c r="G42" s="1089"/>
      <c r="H42" s="1089"/>
      <c r="I42" s="1089"/>
      <c r="J42" s="1089"/>
      <c r="K42" s="1090" t="s">
        <v>810</v>
      </c>
      <c r="L42" s="1091" t="s">
        <v>811</v>
      </c>
      <c r="M42" s="1092" t="s">
        <v>812</v>
      </c>
      <c r="N42" s="933"/>
      <c r="O42" s="934" t="s">
        <v>772</v>
      </c>
      <c r="P42" s="3"/>
      <c r="Q42" s="182"/>
      <c r="R42" s="3"/>
      <c r="S42" s="3"/>
      <c r="T42" s="3"/>
      <c r="U42" s="3"/>
      <c r="V42" s="3"/>
      <c r="W42" s="935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customFormat="false" ht="41.25" hidden="false" customHeight="true" outlineLevel="0" collapsed="false">
      <c r="A43" s="933"/>
      <c r="B43" s="933"/>
      <c r="C43" s="1093" t="n">
        <v>1</v>
      </c>
      <c r="D43" s="1094" t="s">
        <v>59</v>
      </c>
      <c r="E43" s="1094"/>
      <c r="F43" s="1094"/>
      <c r="G43" s="1094"/>
      <c r="H43" s="1094"/>
      <c r="I43" s="1094"/>
      <c r="J43" s="1094"/>
      <c r="K43" s="1095" t="n">
        <f aca="false">O_CALC_CultivoPrincipal!V7+O_CALC_CultivoSecundario!V7</f>
        <v>0</v>
      </c>
      <c r="L43" s="1096" t="n">
        <f aca="false">'V_EAP-AGRI_2024'!J8</f>
        <v>0</v>
      </c>
      <c r="M43" s="1097" t="str">
        <f aca="false">IF(ISNUMBER((SUM(K43,L43)/K$51)),SUM(K43,L43)/K$51,"")</f>
        <v/>
      </c>
      <c r="N43" s="933"/>
      <c r="O43" s="934" t="s">
        <v>794</v>
      </c>
      <c r="P43" s="3"/>
      <c r="Q43" s="182"/>
      <c r="R43" s="3"/>
      <c r="S43" s="3"/>
      <c r="T43" s="3"/>
      <c r="U43" s="3"/>
      <c r="V43" s="3"/>
      <c r="W43" s="935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customFormat="false" ht="41.25" hidden="false" customHeight="true" outlineLevel="0" collapsed="false">
      <c r="A44" s="933"/>
      <c r="B44" s="933"/>
      <c r="C44" s="1098" t="n">
        <v>2</v>
      </c>
      <c r="D44" s="1099" t="s">
        <v>60</v>
      </c>
      <c r="E44" s="1099"/>
      <c r="F44" s="1099"/>
      <c r="G44" s="1099"/>
      <c r="H44" s="1099"/>
      <c r="I44" s="1099"/>
      <c r="J44" s="1099"/>
      <c r="K44" s="1100" t="n">
        <f aca="false">O_CALC_CultivoPrincipal!W7+O_CALC_CultivoSecundario!W7</f>
        <v>0</v>
      </c>
      <c r="L44" s="1101" t="n">
        <f aca="false">'V_EAP-AGRI_2024'!J9</f>
        <v>0</v>
      </c>
      <c r="M44" s="1097" t="str">
        <f aca="false">IF(ISNUMBER((SUM(K44,L44)/K$51)),SUM(K44,L44)/K$51,"")</f>
        <v/>
      </c>
      <c r="N44" s="933"/>
      <c r="O44" s="934" t="s">
        <v>772</v>
      </c>
      <c r="P44" s="3"/>
      <c r="Q44" s="182"/>
      <c r="R44" s="3"/>
      <c r="S44" s="3"/>
      <c r="T44" s="3"/>
      <c r="U44" s="3"/>
      <c r="V44" s="3"/>
      <c r="W44" s="935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customFormat="false" ht="41.25" hidden="false" customHeight="true" outlineLevel="0" collapsed="false">
      <c r="A45" s="933"/>
      <c r="B45" s="933"/>
      <c r="C45" s="1102" t="n">
        <v>3</v>
      </c>
      <c r="D45" s="1103" t="s">
        <v>61</v>
      </c>
      <c r="E45" s="1103"/>
      <c r="F45" s="1103"/>
      <c r="G45" s="1103"/>
      <c r="H45" s="1103"/>
      <c r="I45" s="1103"/>
      <c r="J45" s="1103"/>
      <c r="K45" s="1095" t="n">
        <f aca="false">O_CALC_CultivoPrincipal!X7+O_CALC_CultivoSecundario!X7</f>
        <v>0</v>
      </c>
      <c r="L45" s="1096" t="n">
        <f aca="false">'V_EAP-AGRI_2024'!J10</f>
        <v>0</v>
      </c>
      <c r="M45" s="1097" t="str">
        <f aca="false">IF(ISNUMBER((SUM(K45,L45)/K$51)),SUM(K45,L45)/K$51,"")</f>
        <v/>
      </c>
      <c r="N45" s="933"/>
      <c r="O45" s="934" t="s">
        <v>772</v>
      </c>
      <c r="P45" s="3"/>
      <c r="Q45" s="182"/>
      <c r="R45" s="3"/>
      <c r="S45" s="3"/>
      <c r="T45" s="3"/>
      <c r="U45" s="3"/>
      <c r="V45" s="3"/>
      <c r="W45" s="935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customFormat="false" ht="41.25" hidden="false" customHeight="true" outlineLevel="0" collapsed="false">
      <c r="A46" s="933"/>
      <c r="B46" s="933"/>
      <c r="C46" s="1098" t="n">
        <v>4</v>
      </c>
      <c r="D46" s="1099" t="s">
        <v>62</v>
      </c>
      <c r="E46" s="1099"/>
      <c r="F46" s="1099"/>
      <c r="G46" s="1099"/>
      <c r="H46" s="1099"/>
      <c r="I46" s="1099"/>
      <c r="J46" s="1099"/>
      <c r="K46" s="1100" t="n">
        <f aca="false">O_CALC_CultivoPrincipal!Y7+O_CALC_CultivoSecundario!Y7</f>
        <v>0</v>
      </c>
      <c r="L46" s="1101" t="n">
        <f aca="false">'V_EAP-AGRI_2024'!J11</f>
        <v>0</v>
      </c>
      <c r="M46" s="1097" t="str">
        <f aca="false">IF(ISNUMBER((SUM(K46,L46)/K$51)),SUM(K46,L46)/K$51,"")</f>
        <v/>
      </c>
      <c r="N46" s="933"/>
      <c r="O46" s="934" t="s">
        <v>772</v>
      </c>
      <c r="P46" s="3"/>
      <c r="Q46" s="182"/>
      <c r="R46" s="3"/>
      <c r="S46" s="3"/>
      <c r="T46" s="3"/>
      <c r="U46" s="3"/>
      <c r="V46" s="3"/>
      <c r="W46" s="935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customFormat="false" ht="41.25" hidden="false" customHeight="true" outlineLevel="0" collapsed="false">
      <c r="A47" s="933"/>
      <c r="B47" s="933"/>
      <c r="C47" s="1093" t="n">
        <v>5</v>
      </c>
      <c r="D47" s="1104" t="s">
        <v>63</v>
      </c>
      <c r="E47" s="1104"/>
      <c r="F47" s="1104"/>
      <c r="G47" s="1104"/>
      <c r="H47" s="1104"/>
      <c r="I47" s="1104"/>
      <c r="J47" s="1104"/>
      <c r="K47" s="1105" t="n">
        <f aca="false">O_CALC_CultivoPrincipal!Z7+O_CALC_CultivoSecundario!Z7</f>
        <v>0</v>
      </c>
      <c r="L47" s="1106" t="n">
        <f aca="false">'V_EAP-AGRI_2024'!J12</f>
        <v>0</v>
      </c>
      <c r="M47" s="1097" t="str">
        <f aca="false">IF(ISNUMBER((SUM(K47,L47)/K$51)),SUM(K47,L47)/K$51,"")</f>
        <v/>
      </c>
      <c r="N47" s="933"/>
      <c r="O47" s="934" t="s">
        <v>772</v>
      </c>
      <c r="P47" s="3"/>
      <c r="Q47" s="182"/>
      <c r="R47" s="3"/>
      <c r="S47" s="3"/>
      <c r="T47" s="3"/>
      <c r="U47" s="3"/>
      <c r="V47" s="3"/>
      <c r="W47" s="935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customFormat="false" ht="41.25" hidden="false" customHeight="true" outlineLevel="0" collapsed="false">
      <c r="A48" s="933"/>
      <c r="B48" s="933"/>
      <c r="C48" s="1107" t="n">
        <v>6</v>
      </c>
      <c r="D48" s="1108" t="s">
        <v>813</v>
      </c>
      <c r="E48" s="1108"/>
      <c r="F48" s="1108"/>
      <c r="G48" s="1108"/>
      <c r="H48" s="1108"/>
      <c r="I48" s="1108"/>
      <c r="J48" s="1108"/>
      <c r="K48" s="1109" t="n">
        <f aca="false">'V_EAP-GAN'!Y11</f>
        <v>0</v>
      </c>
      <c r="L48" s="1110"/>
      <c r="M48" s="1097" t="str">
        <f aca="false">IF(ISNUMBER((SUM(K48,L48)/K$51)),SUM(K48,L48)/K$51,"")</f>
        <v/>
      </c>
      <c r="N48" s="933"/>
      <c r="O48" s="934" t="s">
        <v>772</v>
      </c>
      <c r="P48" s="3"/>
      <c r="Q48" s="182"/>
      <c r="R48" s="3"/>
      <c r="S48" s="3"/>
      <c r="T48" s="3"/>
      <c r="U48" s="3"/>
      <c r="V48" s="3"/>
      <c r="W48" s="935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customFormat="false" ht="41.25" hidden="false" customHeight="true" outlineLevel="0" collapsed="false">
      <c r="A49" s="933"/>
      <c r="B49" s="933"/>
      <c r="C49" s="1111" t="n">
        <v>7</v>
      </c>
      <c r="D49" s="1112" t="s">
        <v>814</v>
      </c>
      <c r="E49" s="1112"/>
      <c r="F49" s="1112"/>
      <c r="G49" s="1112"/>
      <c r="H49" s="1112"/>
      <c r="I49" s="1112"/>
      <c r="J49" s="1112"/>
      <c r="K49" s="1113" t="n">
        <f aca="false">'V_EAP-GAN'!Z11</f>
        <v>0</v>
      </c>
      <c r="L49" s="1114"/>
      <c r="M49" s="1097" t="str">
        <f aca="false">IF(ISNUMBER((SUM(K49,L49)/K$51)),SUM(K49,L49)/K$51,"")</f>
        <v/>
      </c>
      <c r="N49" s="933"/>
      <c r="O49" s="934" t="s">
        <v>772</v>
      </c>
      <c r="P49" s="3"/>
      <c r="Q49" s="182"/>
      <c r="R49" s="3"/>
      <c r="S49" s="3"/>
      <c r="T49" s="3"/>
      <c r="U49" s="3"/>
      <c r="V49" s="3"/>
      <c r="W49" s="935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customFormat="false" ht="41.25" hidden="false" customHeight="true" outlineLevel="0" collapsed="false">
      <c r="A50" s="933"/>
      <c r="B50" s="933"/>
      <c r="C50" s="1115"/>
      <c r="D50" s="1116"/>
      <c r="E50" s="1116"/>
      <c r="F50" s="1116"/>
      <c r="G50" s="1116"/>
      <c r="H50" s="1116"/>
      <c r="I50" s="1117"/>
      <c r="J50" s="1118"/>
      <c r="K50" s="1119" t="n">
        <f aca="false">SUM(K43:K49)</f>
        <v>0</v>
      </c>
      <c r="L50" s="994" t="n">
        <f aca="false">SUM(L43:L49)</f>
        <v>0</v>
      </c>
      <c r="M50" s="1120"/>
      <c r="N50" s="933"/>
      <c r="O50" s="934" t="s">
        <v>772</v>
      </c>
      <c r="P50" s="3"/>
      <c r="Q50" s="182"/>
      <c r="R50" s="3"/>
      <c r="S50" s="3"/>
      <c r="T50" s="3"/>
      <c r="U50" s="3"/>
      <c r="V50" s="3"/>
      <c r="W50" s="935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customFormat="false" ht="55.5" hidden="false" customHeight="true" outlineLevel="0" collapsed="false">
      <c r="A51" s="933"/>
      <c r="B51" s="933"/>
      <c r="C51" s="1121" t="s">
        <v>815</v>
      </c>
      <c r="D51" s="1121"/>
      <c r="E51" s="1121"/>
      <c r="F51" s="1121"/>
      <c r="G51" s="1121"/>
      <c r="H51" s="1121"/>
      <c r="I51" s="1121"/>
      <c r="J51" s="1122" t="s">
        <v>10</v>
      </c>
      <c r="K51" s="1123" t="n">
        <f aca="false">SUM(K50:L50)</f>
        <v>0</v>
      </c>
      <c r="L51" s="1123"/>
      <c r="M51" s="1124" t="n">
        <f aca="false">SUM(M43:M49)</f>
        <v>0</v>
      </c>
      <c r="N51" s="933"/>
      <c r="O51" s="934" t="s">
        <v>772</v>
      </c>
      <c r="P51" s="3"/>
      <c r="Q51" s="182"/>
      <c r="R51" s="3"/>
      <c r="S51" s="3"/>
      <c r="T51" s="3"/>
      <c r="U51" s="3"/>
      <c r="V51" s="3"/>
      <c r="W51" s="935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customFormat="false" ht="26.8" hidden="false" customHeight="false" outlineLevel="0" collapsed="false">
      <c r="A52" s="933"/>
      <c r="B52" s="933"/>
      <c r="C52" s="939"/>
      <c r="D52" s="3"/>
      <c r="E52" s="3"/>
      <c r="F52" s="3"/>
      <c r="G52" s="3"/>
      <c r="H52" s="3"/>
      <c r="I52" s="3"/>
      <c r="J52" s="176"/>
      <c r="K52" s="176"/>
      <c r="L52" s="3"/>
      <c r="M52" s="945"/>
      <c r="N52" s="933"/>
      <c r="O52" s="934" t="s">
        <v>772</v>
      </c>
      <c r="P52" s="3"/>
      <c r="Q52" s="182"/>
      <c r="R52" s="3"/>
      <c r="S52" s="3"/>
      <c r="T52" s="3"/>
      <c r="U52" s="3"/>
      <c r="V52" s="3"/>
      <c r="W52" s="935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customFormat="false" ht="18" hidden="false" customHeight="true" outlineLevel="0" collapsed="false">
      <c r="A53" s="933"/>
      <c r="B53" s="933"/>
      <c r="C53" s="947"/>
      <c r="D53" s="3"/>
      <c r="E53" s="3"/>
      <c r="F53" s="3"/>
      <c r="G53" s="3"/>
      <c r="H53" s="3"/>
      <c r="I53" s="3"/>
      <c r="J53" s="176"/>
      <c r="K53" s="176"/>
      <c r="L53" s="3"/>
      <c r="M53" s="1125"/>
      <c r="N53" s="933"/>
      <c r="O53" s="934" t="s">
        <v>772</v>
      </c>
      <c r="P53" s="3"/>
      <c r="Q53" s="182"/>
      <c r="R53" s="3"/>
      <c r="S53" s="3"/>
      <c r="T53" s="3"/>
      <c r="U53" s="3"/>
      <c r="V53" s="3"/>
      <c r="W53" s="935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customFormat="false" ht="24" hidden="false" customHeight="true" outlineLevel="0" collapsed="false">
      <c r="A54" s="933"/>
      <c r="B54" s="933"/>
      <c r="C54" s="1126" t="s">
        <v>816</v>
      </c>
      <c r="D54" s="1126"/>
      <c r="E54" s="1126"/>
      <c r="F54" s="1126"/>
      <c r="G54" s="1126"/>
      <c r="H54" s="1126"/>
      <c r="I54" s="1126"/>
      <c r="J54" s="1126"/>
      <c r="K54" s="1126"/>
      <c r="L54" s="1126"/>
      <c r="M54" s="1126"/>
      <c r="N54" s="933"/>
      <c r="O54" s="934" t="s">
        <v>772</v>
      </c>
      <c r="P54" s="993"/>
      <c r="Q54" s="1127"/>
      <c r="R54" s="993"/>
      <c r="S54" s="993"/>
      <c r="T54" s="993"/>
      <c r="U54" s="993"/>
      <c r="V54" s="993"/>
      <c r="W54" s="1128"/>
      <c r="X54" s="993"/>
      <c r="Y54" s="993"/>
      <c r="Z54" s="993"/>
      <c r="AA54" s="993"/>
      <c r="AB54" s="993"/>
      <c r="AC54" s="993"/>
      <c r="AD54" s="993"/>
      <c r="AE54" s="993"/>
      <c r="AF54" s="993"/>
      <c r="AG54" s="993"/>
      <c r="AH54" s="993"/>
      <c r="AI54" s="993"/>
      <c r="AJ54" s="993"/>
      <c r="AK54" s="993"/>
      <c r="AL54" s="993"/>
      <c r="AM54" s="993"/>
      <c r="AN54" s="993"/>
    </row>
    <row r="55" customFormat="false" ht="28.5" hidden="false" customHeight="true" outlineLevel="0" collapsed="false">
      <c r="A55" s="933"/>
      <c r="B55" s="933"/>
      <c r="C55" s="1126"/>
      <c r="D55" s="1126"/>
      <c r="E55" s="1126"/>
      <c r="F55" s="1126"/>
      <c r="G55" s="1126"/>
      <c r="H55" s="1126"/>
      <c r="I55" s="1126"/>
      <c r="J55" s="1126"/>
      <c r="K55" s="1126"/>
      <c r="L55" s="1126"/>
      <c r="M55" s="1126"/>
      <c r="N55" s="933"/>
      <c r="O55" s="934" t="s">
        <v>772</v>
      </c>
      <c r="P55" s="993"/>
      <c r="Q55" s="1127"/>
      <c r="R55" s="993"/>
      <c r="S55" s="993"/>
      <c r="T55" s="993"/>
      <c r="U55" s="993"/>
      <c r="V55" s="993"/>
      <c r="W55" s="1128"/>
      <c r="X55" s="993"/>
      <c r="Y55" s="993"/>
      <c r="Z55" s="993"/>
      <c r="AA55" s="993"/>
      <c r="AB55" s="993"/>
      <c r="AC55" s="993"/>
      <c r="AD55" s="993"/>
      <c r="AE55" s="993"/>
      <c r="AF55" s="993"/>
      <c r="AG55" s="993"/>
      <c r="AH55" s="993"/>
      <c r="AI55" s="993"/>
      <c r="AJ55" s="993"/>
      <c r="AK55" s="993"/>
      <c r="AL55" s="993"/>
      <c r="AM55" s="993"/>
      <c r="AN55" s="993"/>
    </row>
    <row r="56" customFormat="false" ht="67.5" hidden="false" customHeight="true" outlineLevel="0" collapsed="false">
      <c r="A56" s="933"/>
      <c r="B56" s="933"/>
      <c r="C56" s="1129" t="s">
        <v>446</v>
      </c>
      <c r="D56" s="1129"/>
      <c r="E56" s="1130" t="s">
        <v>447</v>
      </c>
      <c r="F56" s="1131" t="s">
        <v>450</v>
      </c>
      <c r="G56" s="1131"/>
      <c r="H56" s="1132" t="s">
        <v>451</v>
      </c>
      <c r="I56" s="1132"/>
      <c r="J56" s="1133" t="s">
        <v>448</v>
      </c>
      <c r="K56" s="1133"/>
      <c r="L56" s="1134" t="s">
        <v>449</v>
      </c>
      <c r="M56" s="1134"/>
      <c r="N56" s="933"/>
      <c r="O56" s="934" t="s">
        <v>772</v>
      </c>
      <c r="P56" s="993"/>
      <c r="Q56" s="993"/>
      <c r="R56" s="1127"/>
      <c r="S56" s="993"/>
      <c r="T56" s="993"/>
      <c r="U56" s="993"/>
      <c r="V56" s="993"/>
      <c r="W56" s="993"/>
      <c r="X56" s="1128"/>
      <c r="Y56" s="993"/>
      <c r="Z56" s="993"/>
      <c r="AA56" s="993"/>
      <c r="AB56" s="993"/>
      <c r="AC56" s="993"/>
      <c r="AD56" s="993"/>
      <c r="AE56" s="993"/>
      <c r="AF56" s="993"/>
      <c r="AG56" s="993"/>
      <c r="AH56" s="993"/>
      <c r="AI56" s="993"/>
      <c r="AJ56" s="993"/>
      <c r="AK56" s="993"/>
      <c r="AL56" s="993"/>
      <c r="AM56" s="993"/>
      <c r="AN56" s="993"/>
    </row>
    <row r="57" customFormat="false" ht="45" hidden="false" customHeight="true" outlineLevel="0" collapsed="false">
      <c r="A57" s="933"/>
      <c r="B57" s="933"/>
      <c r="C57" s="1135" t="str">
        <f aca="false">O_resumen_cultivos!Y2</f>
        <v/>
      </c>
      <c r="D57" s="1135"/>
      <c r="E57" s="1136" t="str">
        <f aca="false">O_resumen_cultivos!Z2</f>
        <v/>
      </c>
      <c r="F57" s="1136" t="str">
        <f aca="false">O_resumen_cultivos!AA2</f>
        <v/>
      </c>
      <c r="G57" s="1136"/>
      <c r="H57" s="1136" t="str">
        <f aca="false">O_resumen_cultivos!AB2</f>
        <v/>
      </c>
      <c r="I57" s="1136"/>
      <c r="J57" s="1136" t="str">
        <f aca="false">O_resumen_cultivos!AC2</f>
        <v/>
      </c>
      <c r="K57" s="1136"/>
      <c r="L57" s="1137" t="str">
        <f aca="false">O_resumen_cultivos!AD2</f>
        <v/>
      </c>
      <c r="M57" s="1137"/>
      <c r="N57" s="933"/>
      <c r="O57" s="934" t="s">
        <v>772</v>
      </c>
      <c r="P57" s="1138"/>
      <c r="Q57" s="1138"/>
      <c r="R57" s="1138"/>
      <c r="S57" s="1138"/>
      <c r="T57" s="1138"/>
      <c r="U57" s="1138"/>
      <c r="V57" s="993"/>
      <c r="W57" s="993"/>
      <c r="X57" s="1128"/>
      <c r="Y57" s="993"/>
      <c r="Z57" s="993"/>
      <c r="AA57" s="993"/>
      <c r="AB57" s="993"/>
      <c r="AC57" s="993"/>
      <c r="AD57" s="993"/>
      <c r="AE57" s="993"/>
      <c r="AF57" s="993"/>
      <c r="AG57" s="993"/>
      <c r="AH57" s="993"/>
      <c r="AI57" s="993"/>
      <c r="AJ57" s="993"/>
      <c r="AK57" s="993"/>
      <c r="AL57" s="993"/>
      <c r="AM57" s="993"/>
      <c r="AN57" s="993"/>
    </row>
    <row r="58" customFormat="false" ht="45" hidden="false" customHeight="true" outlineLevel="0" collapsed="false">
      <c r="A58" s="933"/>
      <c r="B58" s="933"/>
      <c r="C58" s="1139" t="str">
        <f aca="false">O_resumen_cultivos!Y3</f>
        <v/>
      </c>
      <c r="D58" s="1139"/>
      <c r="E58" s="1140" t="str">
        <f aca="false">O_resumen_cultivos!Z3</f>
        <v/>
      </c>
      <c r="F58" s="1140" t="str">
        <f aca="false">O_resumen_cultivos!AA3</f>
        <v/>
      </c>
      <c r="G58" s="1140"/>
      <c r="H58" s="1140" t="str">
        <f aca="false">O_resumen_cultivos!AB3</f>
        <v/>
      </c>
      <c r="I58" s="1140"/>
      <c r="J58" s="1140" t="str">
        <f aca="false">O_resumen_cultivos!AC3</f>
        <v/>
      </c>
      <c r="K58" s="1140"/>
      <c r="L58" s="1141" t="str">
        <f aca="false">O_resumen_cultivos!AD3</f>
        <v/>
      </c>
      <c r="M58" s="1141"/>
      <c r="N58" s="933"/>
      <c r="O58" s="934" t="s">
        <v>772</v>
      </c>
      <c r="P58" s="993"/>
      <c r="Q58" s="993"/>
      <c r="R58" s="1127"/>
      <c r="S58" s="993"/>
      <c r="T58" s="993"/>
      <c r="U58" s="993"/>
      <c r="V58" s="993"/>
      <c r="W58" s="993"/>
      <c r="X58" s="1128"/>
      <c r="Y58" s="993"/>
      <c r="Z58" s="993"/>
      <c r="AA58" s="993"/>
      <c r="AB58" s="993"/>
      <c r="AC58" s="993"/>
      <c r="AD58" s="993"/>
      <c r="AE58" s="993"/>
      <c r="AF58" s="993"/>
      <c r="AG58" s="993"/>
      <c r="AH58" s="993"/>
      <c r="AI58" s="993"/>
      <c r="AJ58" s="993"/>
      <c r="AK58" s="993"/>
      <c r="AL58" s="993"/>
      <c r="AM58" s="993"/>
      <c r="AN58" s="993"/>
    </row>
    <row r="59" customFormat="false" ht="26.8" hidden="false" customHeight="false" outlineLevel="0" collapsed="false">
      <c r="A59" s="933"/>
      <c r="B59" s="933"/>
      <c r="C59" s="1135" t="str">
        <f aca="false">O_resumen_cultivos!Y4</f>
        <v/>
      </c>
      <c r="D59" s="1135"/>
      <c r="E59" s="1136" t="str">
        <f aca="false">O_resumen_cultivos!Z4</f>
        <v/>
      </c>
      <c r="F59" s="1136" t="str">
        <f aca="false">O_resumen_cultivos!AA4</f>
        <v/>
      </c>
      <c r="G59" s="1136"/>
      <c r="H59" s="1136" t="str">
        <f aca="false">O_resumen_cultivos!AB4</f>
        <v/>
      </c>
      <c r="I59" s="1136"/>
      <c r="J59" s="1136" t="str">
        <f aca="false">O_resumen_cultivos!AC4</f>
        <v/>
      </c>
      <c r="K59" s="1136"/>
      <c r="L59" s="1137" t="str">
        <f aca="false">O_resumen_cultivos!AD4</f>
        <v/>
      </c>
      <c r="M59" s="1137"/>
      <c r="N59" s="933"/>
      <c r="O59" s="934" t="s">
        <v>772</v>
      </c>
      <c r="P59" s="993"/>
      <c r="Q59" s="993"/>
      <c r="R59" s="1127"/>
      <c r="S59" s="993"/>
      <c r="T59" s="993"/>
      <c r="U59" s="993"/>
      <c r="V59" s="993"/>
      <c r="W59" s="993"/>
      <c r="X59" s="1128"/>
      <c r="Y59" s="993"/>
      <c r="Z59" s="993"/>
      <c r="AA59" s="993"/>
      <c r="AB59" s="993"/>
      <c r="AC59" s="993"/>
      <c r="AD59" s="993"/>
      <c r="AE59" s="993"/>
      <c r="AF59" s="993"/>
      <c r="AG59" s="993"/>
      <c r="AH59" s="993"/>
      <c r="AI59" s="993"/>
      <c r="AJ59" s="993"/>
      <c r="AK59" s="993"/>
      <c r="AL59" s="993"/>
      <c r="AM59" s="993"/>
      <c r="AN59" s="993"/>
    </row>
    <row r="60" customFormat="false" ht="26.8" hidden="false" customHeight="false" outlineLevel="0" collapsed="false">
      <c r="A60" s="933"/>
      <c r="B60" s="933"/>
      <c r="C60" s="1139" t="str">
        <f aca="false">O_resumen_cultivos!Y5</f>
        <v/>
      </c>
      <c r="D60" s="1139"/>
      <c r="E60" s="1140" t="str">
        <f aca="false">O_resumen_cultivos!Z5</f>
        <v/>
      </c>
      <c r="F60" s="1140" t="str">
        <f aca="false">O_resumen_cultivos!AA5</f>
        <v/>
      </c>
      <c r="G60" s="1140"/>
      <c r="H60" s="1140" t="str">
        <f aca="false">O_resumen_cultivos!AB5</f>
        <v/>
      </c>
      <c r="I60" s="1140"/>
      <c r="J60" s="1140" t="str">
        <f aca="false">O_resumen_cultivos!AC5</f>
        <v/>
      </c>
      <c r="K60" s="1140"/>
      <c r="L60" s="1141" t="str">
        <f aca="false">O_resumen_cultivos!AD5</f>
        <v/>
      </c>
      <c r="M60" s="1141"/>
      <c r="N60" s="933"/>
      <c r="O60" s="934" t="s">
        <v>772</v>
      </c>
      <c r="P60" s="993"/>
      <c r="Q60" s="993"/>
      <c r="R60" s="1127"/>
      <c r="S60" s="993"/>
      <c r="T60" s="993"/>
      <c r="U60" s="993"/>
      <c r="V60" s="993"/>
      <c r="W60" s="993"/>
      <c r="X60" s="1128"/>
      <c r="Y60" s="993"/>
      <c r="Z60" s="993"/>
      <c r="AA60" s="993"/>
      <c r="AB60" s="993"/>
      <c r="AC60" s="993"/>
      <c r="AD60" s="993"/>
      <c r="AE60" s="993"/>
      <c r="AF60" s="993"/>
      <c r="AG60" s="993"/>
      <c r="AH60" s="993"/>
      <c r="AI60" s="993"/>
      <c r="AJ60" s="993"/>
      <c r="AK60" s="993"/>
      <c r="AL60" s="993"/>
      <c r="AM60" s="993"/>
      <c r="AN60" s="993"/>
    </row>
    <row r="61" customFormat="false" ht="26.8" hidden="false" customHeight="false" outlineLevel="0" collapsed="false">
      <c r="A61" s="933"/>
      <c r="B61" s="933"/>
      <c r="C61" s="1135" t="str">
        <f aca="false">O_resumen_cultivos!Y6</f>
        <v/>
      </c>
      <c r="D61" s="1135"/>
      <c r="E61" s="1136" t="str">
        <f aca="false">O_resumen_cultivos!Z6</f>
        <v/>
      </c>
      <c r="F61" s="1136" t="str">
        <f aca="false">O_resumen_cultivos!AA6</f>
        <v/>
      </c>
      <c r="G61" s="1136"/>
      <c r="H61" s="1136" t="str">
        <f aca="false">O_resumen_cultivos!AB6</f>
        <v/>
      </c>
      <c r="I61" s="1136"/>
      <c r="J61" s="1136" t="str">
        <f aca="false">O_resumen_cultivos!AC6</f>
        <v/>
      </c>
      <c r="K61" s="1136"/>
      <c r="L61" s="1137" t="str">
        <f aca="false">O_resumen_cultivos!AD6</f>
        <v/>
      </c>
      <c r="M61" s="1137"/>
      <c r="N61" s="933"/>
      <c r="O61" s="934" t="s">
        <v>772</v>
      </c>
      <c r="P61" s="993"/>
      <c r="Q61" s="993"/>
      <c r="R61" s="1127"/>
      <c r="S61" s="993"/>
      <c r="T61" s="993"/>
      <c r="U61" s="993"/>
      <c r="V61" s="993"/>
      <c r="W61" s="993"/>
      <c r="X61" s="1128"/>
      <c r="Y61" s="993"/>
      <c r="Z61" s="993"/>
      <c r="AA61" s="993"/>
      <c r="AB61" s="993"/>
      <c r="AC61" s="993"/>
      <c r="AD61" s="993"/>
      <c r="AE61" s="993"/>
      <c r="AF61" s="993"/>
      <c r="AG61" s="993"/>
      <c r="AH61" s="993"/>
      <c r="AI61" s="993"/>
      <c r="AJ61" s="993"/>
      <c r="AK61" s="993"/>
      <c r="AL61" s="993"/>
      <c r="AM61" s="993"/>
      <c r="AN61" s="993"/>
    </row>
    <row r="62" customFormat="false" ht="26.8" hidden="false" customHeight="false" outlineLevel="0" collapsed="false">
      <c r="A62" s="933"/>
      <c r="B62" s="933"/>
      <c r="C62" s="1139" t="str">
        <f aca="false">O_resumen_cultivos!Y7</f>
        <v/>
      </c>
      <c r="D62" s="1139"/>
      <c r="E62" s="1140" t="str">
        <f aca="false">O_resumen_cultivos!Z7</f>
        <v/>
      </c>
      <c r="F62" s="1140" t="str">
        <f aca="false">O_resumen_cultivos!AA7</f>
        <v/>
      </c>
      <c r="G62" s="1140"/>
      <c r="H62" s="1140" t="str">
        <f aca="false">O_resumen_cultivos!AB7</f>
        <v/>
      </c>
      <c r="I62" s="1140"/>
      <c r="J62" s="1140" t="str">
        <f aca="false">O_resumen_cultivos!AC7</f>
        <v/>
      </c>
      <c r="K62" s="1140"/>
      <c r="L62" s="1141" t="str">
        <f aca="false">O_resumen_cultivos!AD7</f>
        <v/>
      </c>
      <c r="M62" s="1141"/>
      <c r="N62" s="933"/>
      <c r="O62" s="934" t="s">
        <v>772</v>
      </c>
      <c r="P62" s="993"/>
      <c r="Q62" s="993"/>
      <c r="R62" s="1127"/>
      <c r="S62" s="993"/>
      <c r="T62" s="993"/>
      <c r="U62" s="993"/>
      <c r="V62" s="993"/>
      <c r="W62" s="993"/>
      <c r="X62" s="1128"/>
      <c r="Y62" s="993"/>
      <c r="Z62" s="993"/>
      <c r="AA62" s="993"/>
      <c r="AB62" s="993"/>
      <c r="AC62" s="993"/>
      <c r="AD62" s="993"/>
      <c r="AE62" s="993"/>
      <c r="AF62" s="993"/>
      <c r="AG62" s="993"/>
      <c r="AH62" s="993"/>
      <c r="AI62" s="993"/>
      <c r="AJ62" s="993"/>
      <c r="AK62" s="993"/>
      <c r="AL62" s="993"/>
      <c r="AM62" s="993"/>
      <c r="AN62" s="993"/>
    </row>
    <row r="63" customFormat="false" ht="26.8" hidden="false" customHeight="false" outlineLevel="0" collapsed="false">
      <c r="A63" s="933"/>
      <c r="B63" s="933"/>
      <c r="C63" s="1135" t="str">
        <f aca="false">O_resumen_cultivos!Y8</f>
        <v/>
      </c>
      <c r="D63" s="1135"/>
      <c r="E63" s="1136" t="str">
        <f aca="false">O_resumen_cultivos!Z8</f>
        <v/>
      </c>
      <c r="F63" s="1136" t="str">
        <f aca="false">O_resumen_cultivos!AA8</f>
        <v/>
      </c>
      <c r="G63" s="1136"/>
      <c r="H63" s="1136" t="str">
        <f aca="false">O_resumen_cultivos!AB8</f>
        <v/>
      </c>
      <c r="I63" s="1136"/>
      <c r="J63" s="1136" t="str">
        <f aca="false">O_resumen_cultivos!AC8</f>
        <v/>
      </c>
      <c r="K63" s="1136"/>
      <c r="L63" s="1137" t="str">
        <f aca="false">O_resumen_cultivos!AD8</f>
        <v/>
      </c>
      <c r="M63" s="1137"/>
      <c r="N63" s="933"/>
      <c r="O63" s="934" t="s">
        <v>772</v>
      </c>
      <c r="P63" s="1068"/>
      <c r="Q63" s="993"/>
      <c r="R63" s="1127"/>
      <c r="S63" s="1127"/>
      <c r="T63" s="993"/>
      <c r="U63" s="993"/>
      <c r="V63" s="993"/>
      <c r="W63" s="993"/>
      <c r="X63" s="1128"/>
      <c r="Y63" s="993"/>
      <c r="Z63" s="993"/>
      <c r="AA63" s="993"/>
      <c r="AB63" s="993"/>
      <c r="AC63" s="993"/>
      <c r="AD63" s="993"/>
      <c r="AE63" s="993"/>
      <c r="AF63" s="993"/>
      <c r="AG63" s="993"/>
      <c r="AH63" s="993"/>
      <c r="AI63" s="993"/>
      <c r="AJ63" s="993"/>
      <c r="AK63" s="993"/>
      <c r="AL63" s="993"/>
      <c r="AM63" s="993"/>
      <c r="AN63" s="993"/>
    </row>
    <row r="64" customFormat="false" ht="26.8" hidden="false" customHeight="false" outlineLevel="0" collapsed="false">
      <c r="A64" s="933"/>
      <c r="B64" s="933"/>
      <c r="C64" s="1139" t="str">
        <f aca="false">O_resumen_cultivos!Y9</f>
        <v/>
      </c>
      <c r="D64" s="1139"/>
      <c r="E64" s="1140" t="str">
        <f aca="false">O_resumen_cultivos!Z9</f>
        <v/>
      </c>
      <c r="F64" s="1140" t="str">
        <f aca="false">O_resumen_cultivos!AA9</f>
        <v/>
      </c>
      <c r="G64" s="1140"/>
      <c r="H64" s="1140" t="str">
        <f aca="false">O_resumen_cultivos!AB9</f>
        <v/>
      </c>
      <c r="I64" s="1140"/>
      <c r="J64" s="1140" t="str">
        <f aca="false">O_resumen_cultivos!AC9</f>
        <v/>
      </c>
      <c r="K64" s="1140"/>
      <c r="L64" s="1141" t="str">
        <f aca="false">O_resumen_cultivos!AD9</f>
        <v/>
      </c>
      <c r="M64" s="1141"/>
      <c r="N64" s="933"/>
      <c r="O64" s="934" t="s">
        <v>772</v>
      </c>
      <c r="P64" s="993"/>
      <c r="Q64" s="993"/>
      <c r="R64" s="1127"/>
      <c r="S64" s="993"/>
      <c r="T64" s="993"/>
      <c r="U64" s="993"/>
      <c r="V64" s="993"/>
      <c r="W64" s="993"/>
      <c r="X64" s="1128"/>
      <c r="Y64" s="993"/>
      <c r="Z64" s="993"/>
      <c r="AA64" s="993"/>
      <c r="AB64" s="993"/>
      <c r="AC64" s="993"/>
      <c r="AD64" s="993"/>
      <c r="AE64" s="993"/>
      <c r="AF64" s="993"/>
      <c r="AG64" s="993"/>
      <c r="AH64" s="993"/>
      <c r="AI64" s="993"/>
      <c r="AJ64" s="993"/>
      <c r="AK64" s="993"/>
      <c r="AL64" s="993"/>
      <c r="AM64" s="993"/>
      <c r="AN64" s="993"/>
    </row>
    <row r="65" customFormat="false" ht="26.8" hidden="false" customHeight="false" outlineLevel="0" collapsed="false">
      <c r="A65" s="933"/>
      <c r="B65" s="933"/>
      <c r="C65" s="1135" t="str">
        <f aca="false">O_resumen_cultivos!Y10</f>
        <v/>
      </c>
      <c r="D65" s="1135"/>
      <c r="E65" s="1136" t="str">
        <f aca="false">O_resumen_cultivos!Z10</f>
        <v/>
      </c>
      <c r="F65" s="1136" t="str">
        <f aca="false">O_resumen_cultivos!AA10</f>
        <v/>
      </c>
      <c r="G65" s="1136"/>
      <c r="H65" s="1136" t="str">
        <f aca="false">O_resumen_cultivos!AB10</f>
        <v/>
      </c>
      <c r="I65" s="1136"/>
      <c r="J65" s="1136" t="str">
        <f aca="false">O_resumen_cultivos!AC10</f>
        <v/>
      </c>
      <c r="K65" s="1136"/>
      <c r="L65" s="1137" t="str">
        <f aca="false">O_resumen_cultivos!AD10</f>
        <v/>
      </c>
      <c r="M65" s="1137"/>
      <c r="N65" s="933"/>
      <c r="O65" s="934" t="s">
        <v>772</v>
      </c>
      <c r="P65" s="1142"/>
      <c r="Q65" s="1138"/>
      <c r="R65" s="1138"/>
      <c r="S65" s="1143"/>
      <c r="T65" s="1143"/>
      <c r="U65" s="993"/>
      <c r="V65" s="993"/>
      <c r="W65" s="993"/>
      <c r="X65" s="1128"/>
      <c r="Y65" s="993"/>
      <c r="Z65" s="993"/>
      <c r="AA65" s="993"/>
      <c r="AB65" s="993"/>
      <c r="AC65" s="993"/>
      <c r="AD65" s="993"/>
      <c r="AE65" s="993"/>
      <c r="AF65" s="993"/>
      <c r="AG65" s="993"/>
      <c r="AH65" s="993"/>
      <c r="AI65" s="993"/>
      <c r="AJ65" s="993"/>
      <c r="AK65" s="993"/>
      <c r="AL65" s="993"/>
      <c r="AM65" s="993"/>
      <c r="AN65" s="993"/>
    </row>
    <row r="66" customFormat="false" ht="26.8" hidden="false" customHeight="false" outlineLevel="0" collapsed="false">
      <c r="A66" s="933"/>
      <c r="B66" s="933"/>
      <c r="C66" s="1139" t="str">
        <f aca="false">O_resumen_cultivos!Y11</f>
        <v/>
      </c>
      <c r="D66" s="1139"/>
      <c r="E66" s="1140" t="str">
        <f aca="false">O_resumen_cultivos!Z11</f>
        <v/>
      </c>
      <c r="F66" s="1140" t="str">
        <f aca="false">O_resumen_cultivos!AA11</f>
        <v/>
      </c>
      <c r="G66" s="1140"/>
      <c r="H66" s="1140" t="str">
        <f aca="false">O_resumen_cultivos!AB11</f>
        <v/>
      </c>
      <c r="I66" s="1140"/>
      <c r="J66" s="1140" t="str">
        <f aca="false">O_resumen_cultivos!AC11</f>
        <v/>
      </c>
      <c r="K66" s="1140"/>
      <c r="L66" s="1141" t="str">
        <f aca="false">O_resumen_cultivos!AD11</f>
        <v/>
      </c>
      <c r="M66" s="1141"/>
      <c r="N66" s="933"/>
      <c r="O66" s="934" t="s">
        <v>772</v>
      </c>
      <c r="P66" s="1144"/>
      <c r="Q66" s="1145"/>
      <c r="R66" s="1145" t="n">
        <v>36546.0192</v>
      </c>
      <c r="S66" s="993" t="n">
        <v>1</v>
      </c>
      <c r="T66" s="993" t="s">
        <v>59</v>
      </c>
      <c r="U66" s="993"/>
      <c r="V66" s="993"/>
      <c r="W66" s="993"/>
      <c r="X66" s="1128"/>
      <c r="Y66" s="993"/>
      <c r="Z66" s="993"/>
      <c r="AA66" s="993"/>
      <c r="AB66" s="993"/>
      <c r="AC66" s="993"/>
      <c r="AD66" s="993"/>
      <c r="AE66" s="993"/>
      <c r="AF66" s="993"/>
      <c r="AG66" s="993"/>
      <c r="AH66" s="993"/>
      <c r="AI66" s="993"/>
      <c r="AJ66" s="993"/>
      <c r="AK66" s="993"/>
      <c r="AL66" s="993"/>
      <c r="AM66" s="993"/>
      <c r="AN66" s="993"/>
    </row>
    <row r="67" customFormat="false" ht="26.8" hidden="false" customHeight="false" outlineLevel="0" collapsed="false">
      <c r="A67" s="933"/>
      <c r="B67" s="933"/>
      <c r="C67" s="1135" t="str">
        <f aca="false">O_resumen_cultivos!Y12</f>
        <v/>
      </c>
      <c r="D67" s="1135"/>
      <c r="E67" s="1136" t="str">
        <f aca="false">O_resumen_cultivos!Z12</f>
        <v/>
      </c>
      <c r="F67" s="1136" t="str">
        <f aca="false">O_resumen_cultivos!AA12</f>
        <v/>
      </c>
      <c r="G67" s="1136"/>
      <c r="H67" s="1136" t="str">
        <f aca="false">O_resumen_cultivos!AB12</f>
        <v/>
      </c>
      <c r="I67" s="1136"/>
      <c r="J67" s="1136" t="str">
        <f aca="false">O_resumen_cultivos!AC12</f>
        <v/>
      </c>
      <c r="K67" s="1136"/>
      <c r="L67" s="1137" t="str">
        <f aca="false">O_resumen_cultivos!AD12</f>
        <v/>
      </c>
      <c r="M67" s="1137"/>
      <c r="N67" s="933"/>
      <c r="O67" s="934" t="s">
        <v>772</v>
      </c>
      <c r="P67" s="1144"/>
      <c r="Q67" s="1145"/>
      <c r="R67" s="1145" t="n">
        <v>203064.7332</v>
      </c>
      <c r="S67" s="993" t="n">
        <v>2</v>
      </c>
      <c r="T67" s="993" t="s">
        <v>60</v>
      </c>
      <c r="U67" s="993"/>
      <c r="V67" s="993"/>
      <c r="W67" s="993"/>
      <c r="X67" s="1128"/>
      <c r="Y67" s="993"/>
      <c r="Z67" s="993"/>
      <c r="AA67" s="993"/>
      <c r="AB67" s="993"/>
      <c r="AC67" s="993"/>
      <c r="AD67" s="993"/>
      <c r="AE67" s="993"/>
      <c r="AF67" s="993"/>
      <c r="AG67" s="993"/>
      <c r="AH67" s="993"/>
      <c r="AI67" s="993"/>
      <c r="AJ67" s="993"/>
      <c r="AK67" s="993"/>
      <c r="AL67" s="993"/>
      <c r="AM67" s="993"/>
      <c r="AN67" s="993"/>
    </row>
    <row r="68" customFormat="false" ht="26.8" hidden="false" customHeight="false" outlineLevel="0" collapsed="false">
      <c r="A68" s="933"/>
      <c r="B68" s="933"/>
      <c r="C68" s="1139" t="str">
        <f aca="false">O_resumen_cultivos!Y13</f>
        <v/>
      </c>
      <c r="D68" s="1139"/>
      <c r="E68" s="1140" t="str">
        <f aca="false">O_resumen_cultivos!Z13</f>
        <v/>
      </c>
      <c r="F68" s="1140" t="str">
        <f aca="false">O_resumen_cultivos!AA13</f>
        <v/>
      </c>
      <c r="G68" s="1140"/>
      <c r="H68" s="1140" t="str">
        <f aca="false">O_resumen_cultivos!AB13</f>
        <v/>
      </c>
      <c r="I68" s="1140"/>
      <c r="J68" s="1140" t="str">
        <f aca="false">O_resumen_cultivos!AC13</f>
        <v/>
      </c>
      <c r="K68" s="1140"/>
      <c r="L68" s="1141" t="str">
        <f aca="false">O_resumen_cultivos!AD13</f>
        <v/>
      </c>
      <c r="M68" s="1141"/>
      <c r="N68" s="933"/>
      <c r="O68" s="934" t="s">
        <v>772</v>
      </c>
      <c r="P68" s="1144"/>
      <c r="Q68" s="1145"/>
      <c r="R68" s="1145" t="n">
        <v>19305.12</v>
      </c>
      <c r="S68" s="993" t="n">
        <v>3</v>
      </c>
      <c r="T68" s="993" t="s">
        <v>61</v>
      </c>
      <c r="U68" s="993"/>
      <c r="V68" s="993"/>
      <c r="W68" s="993"/>
      <c r="X68" s="1128"/>
      <c r="Y68" s="993"/>
      <c r="Z68" s="993"/>
      <c r="AA68" s="993"/>
      <c r="AB68" s="993"/>
      <c r="AC68" s="993"/>
      <c r="AD68" s="993"/>
      <c r="AE68" s="993"/>
      <c r="AF68" s="993"/>
      <c r="AG68" s="993"/>
      <c r="AH68" s="993"/>
      <c r="AI68" s="993"/>
      <c r="AJ68" s="993"/>
      <c r="AK68" s="993"/>
      <c r="AL68" s="993"/>
      <c r="AM68" s="993"/>
      <c r="AN68" s="993"/>
    </row>
    <row r="69" customFormat="false" ht="26.8" hidden="false" customHeight="false" outlineLevel="0" collapsed="false">
      <c r="A69" s="933"/>
      <c r="B69" s="933"/>
      <c r="C69" s="1135" t="str">
        <f aca="false">O_resumen_cultivos!Y14</f>
        <v/>
      </c>
      <c r="D69" s="1135"/>
      <c r="E69" s="1136" t="str">
        <f aca="false">O_resumen_cultivos!Z14</f>
        <v/>
      </c>
      <c r="F69" s="1136" t="str">
        <f aca="false">O_resumen_cultivos!AA14</f>
        <v/>
      </c>
      <c r="G69" s="1136"/>
      <c r="H69" s="1136" t="str">
        <f aca="false">O_resumen_cultivos!AB14</f>
        <v/>
      </c>
      <c r="I69" s="1136"/>
      <c r="J69" s="1136" t="str">
        <f aca="false">O_resumen_cultivos!AC14</f>
        <v/>
      </c>
      <c r="K69" s="1136"/>
      <c r="L69" s="1137" t="str">
        <f aca="false">O_resumen_cultivos!AD14</f>
        <v/>
      </c>
      <c r="M69" s="1137"/>
      <c r="N69" s="933"/>
      <c r="O69" s="934" t="s">
        <v>772</v>
      </c>
      <c r="P69" s="1144"/>
      <c r="Q69" s="1145"/>
      <c r="R69" s="1145" t="n">
        <v>1377296.6852</v>
      </c>
      <c r="S69" s="993" t="n">
        <v>4</v>
      </c>
      <c r="T69" s="993" t="s">
        <v>62</v>
      </c>
      <c r="U69" s="993"/>
      <c r="V69" s="993"/>
      <c r="W69" s="993"/>
      <c r="X69" s="1128"/>
      <c r="Y69" s="993"/>
      <c r="Z69" s="993"/>
      <c r="AA69" s="993"/>
      <c r="AB69" s="993"/>
      <c r="AC69" s="993"/>
      <c r="AD69" s="993"/>
      <c r="AE69" s="993"/>
      <c r="AF69" s="993"/>
      <c r="AG69" s="993"/>
      <c r="AH69" s="993"/>
      <c r="AI69" s="993"/>
      <c r="AJ69" s="993"/>
      <c r="AK69" s="993"/>
      <c r="AL69" s="993"/>
      <c r="AM69" s="993"/>
      <c r="AN69" s="993"/>
    </row>
    <row r="70" customFormat="false" ht="26.8" hidden="false" customHeight="false" outlineLevel="0" collapsed="false">
      <c r="A70" s="933"/>
      <c r="B70" s="933"/>
      <c r="C70" s="1139" t="str">
        <f aca="false">O_resumen_cultivos!Y15</f>
        <v/>
      </c>
      <c r="D70" s="1139"/>
      <c r="E70" s="1140" t="str">
        <f aca="false">O_resumen_cultivos!Z15</f>
        <v/>
      </c>
      <c r="F70" s="1140" t="str">
        <f aca="false">O_resumen_cultivos!AA15</f>
        <v/>
      </c>
      <c r="G70" s="1140"/>
      <c r="H70" s="1140" t="str">
        <f aca="false">O_resumen_cultivos!AB15</f>
        <v/>
      </c>
      <c r="I70" s="1140"/>
      <c r="J70" s="1140" t="str">
        <f aca="false">O_resumen_cultivos!AC15</f>
        <v/>
      </c>
      <c r="K70" s="1140"/>
      <c r="L70" s="1141" t="str">
        <f aca="false">O_resumen_cultivos!AD15</f>
        <v/>
      </c>
      <c r="M70" s="1141"/>
      <c r="N70" s="933"/>
      <c r="O70" s="934" t="s">
        <v>772</v>
      </c>
      <c r="P70" s="1144"/>
      <c r="Q70" s="1145"/>
      <c r="R70" s="1145" t="n">
        <v>36952.3856</v>
      </c>
      <c r="S70" s="993" t="n">
        <v>5</v>
      </c>
      <c r="T70" s="993" t="s">
        <v>63</v>
      </c>
      <c r="U70" s="993"/>
      <c r="V70" s="993"/>
      <c r="W70" s="993"/>
      <c r="X70" s="1128"/>
      <c r="Y70" s="993"/>
      <c r="Z70" s="993"/>
      <c r="AA70" s="993"/>
      <c r="AB70" s="993"/>
      <c r="AC70" s="993"/>
      <c r="AD70" s="993"/>
      <c r="AE70" s="993"/>
      <c r="AF70" s="993"/>
      <c r="AG70" s="993"/>
      <c r="AH70" s="993"/>
      <c r="AI70" s="993"/>
      <c r="AJ70" s="993"/>
      <c r="AK70" s="993"/>
      <c r="AL70" s="993"/>
      <c r="AM70" s="993"/>
      <c r="AN70" s="993"/>
    </row>
    <row r="71" customFormat="false" ht="26.8" hidden="false" customHeight="false" outlineLevel="0" collapsed="false">
      <c r="A71" s="933"/>
      <c r="B71" s="933"/>
      <c r="C71" s="1135" t="str">
        <f aca="false">O_resumen_cultivos!Y16</f>
        <v/>
      </c>
      <c r="D71" s="1135"/>
      <c r="E71" s="1136" t="str">
        <f aca="false">O_resumen_cultivos!Z16</f>
        <v/>
      </c>
      <c r="F71" s="1136" t="str">
        <f aca="false">O_resumen_cultivos!AA16</f>
        <v/>
      </c>
      <c r="G71" s="1136"/>
      <c r="H71" s="1136" t="str">
        <f aca="false">O_resumen_cultivos!AB16</f>
        <v/>
      </c>
      <c r="I71" s="1136"/>
      <c r="J71" s="1136" t="str">
        <f aca="false">O_resumen_cultivos!AC16</f>
        <v/>
      </c>
      <c r="K71" s="1136"/>
      <c r="L71" s="1137" t="str">
        <f aca="false">O_resumen_cultivos!AD16</f>
        <v/>
      </c>
      <c r="M71" s="1137"/>
      <c r="N71" s="933"/>
      <c r="O71" s="934" t="s">
        <v>772</v>
      </c>
      <c r="P71" s="1144"/>
      <c r="Q71" s="1146"/>
      <c r="R71" s="1146"/>
      <c r="S71" s="993" t="n">
        <v>6</v>
      </c>
      <c r="T71" s="993" t="s">
        <v>813</v>
      </c>
      <c r="U71" s="993"/>
      <c r="V71" s="993"/>
      <c r="W71" s="993"/>
      <c r="X71" s="1128"/>
      <c r="Y71" s="993"/>
      <c r="Z71" s="993"/>
      <c r="AA71" s="993"/>
      <c r="AB71" s="993"/>
      <c r="AC71" s="993"/>
      <c r="AD71" s="993"/>
      <c r="AE71" s="993"/>
      <c r="AF71" s="993"/>
      <c r="AG71" s="993"/>
      <c r="AH71" s="993"/>
      <c r="AI71" s="993"/>
      <c r="AJ71" s="993"/>
      <c r="AK71" s="993"/>
      <c r="AL71" s="993"/>
      <c r="AM71" s="993"/>
      <c r="AN71" s="993"/>
    </row>
    <row r="72" customFormat="false" ht="26.8" hidden="false" customHeight="false" outlineLevel="0" collapsed="false">
      <c r="A72" s="933"/>
      <c r="B72" s="933"/>
      <c r="C72" s="1139" t="str">
        <f aca="false">O_resumen_cultivos!Y17</f>
        <v/>
      </c>
      <c r="D72" s="1139"/>
      <c r="E72" s="1140" t="str">
        <f aca="false">O_resumen_cultivos!Z17</f>
        <v/>
      </c>
      <c r="F72" s="1140" t="str">
        <f aca="false">O_resumen_cultivos!AA17</f>
        <v/>
      </c>
      <c r="G72" s="1140"/>
      <c r="H72" s="1140" t="str">
        <f aca="false">O_resumen_cultivos!AB17</f>
        <v/>
      </c>
      <c r="I72" s="1140"/>
      <c r="J72" s="1140" t="str">
        <f aca="false">O_resumen_cultivos!AC17</f>
        <v/>
      </c>
      <c r="K72" s="1140"/>
      <c r="L72" s="1141" t="str">
        <f aca="false">O_resumen_cultivos!AD17</f>
        <v/>
      </c>
      <c r="M72" s="1141"/>
      <c r="N72" s="933"/>
      <c r="O72" s="934" t="s">
        <v>772</v>
      </c>
      <c r="P72" s="1144"/>
      <c r="Q72" s="1146"/>
      <c r="R72" s="1146"/>
      <c r="S72" s="993" t="n">
        <v>7</v>
      </c>
      <c r="T72" s="993" t="s">
        <v>814</v>
      </c>
      <c r="U72" s="993"/>
      <c r="V72" s="993"/>
      <c r="W72" s="993"/>
      <c r="X72" s="1128"/>
      <c r="Y72" s="993"/>
      <c r="Z72" s="993"/>
      <c r="AA72" s="993"/>
      <c r="AB72" s="993"/>
      <c r="AC72" s="993"/>
      <c r="AD72" s="993"/>
      <c r="AE72" s="993"/>
      <c r="AF72" s="993"/>
      <c r="AG72" s="993"/>
      <c r="AH72" s="993"/>
      <c r="AI72" s="993"/>
      <c r="AJ72" s="993"/>
      <c r="AK72" s="993"/>
      <c r="AL72" s="993"/>
      <c r="AM72" s="993"/>
      <c r="AN72" s="993"/>
    </row>
    <row r="73" customFormat="false" ht="26.8" hidden="false" customHeight="false" outlineLevel="0" collapsed="false">
      <c r="A73" s="933"/>
      <c r="B73" s="933"/>
      <c r="C73" s="1135" t="str">
        <f aca="false">O_resumen_cultivos!Y18</f>
        <v/>
      </c>
      <c r="D73" s="1135"/>
      <c r="E73" s="1136" t="str">
        <f aca="false">O_resumen_cultivos!Z18</f>
        <v/>
      </c>
      <c r="F73" s="1136" t="str">
        <f aca="false">O_resumen_cultivos!AA18</f>
        <v/>
      </c>
      <c r="G73" s="1136"/>
      <c r="H73" s="1136" t="str">
        <f aca="false">O_resumen_cultivos!AB18</f>
        <v/>
      </c>
      <c r="I73" s="1136"/>
      <c r="J73" s="1136" t="str">
        <f aca="false">O_resumen_cultivos!AC18</f>
        <v/>
      </c>
      <c r="K73" s="1136"/>
      <c r="L73" s="1137" t="str">
        <f aca="false">O_resumen_cultivos!AD18</f>
        <v/>
      </c>
      <c r="M73" s="1137"/>
      <c r="N73" s="933"/>
      <c r="O73" s="934" t="s">
        <v>772</v>
      </c>
      <c r="P73" s="1144"/>
      <c r="Q73" s="1146"/>
      <c r="R73" s="1147"/>
      <c r="S73" s="993" t="n">
        <v>0</v>
      </c>
      <c r="T73" s="993" t="str">
        <f aca="false">""</f>
        <v/>
      </c>
      <c r="U73" s="993"/>
      <c r="V73" s="993"/>
      <c r="W73" s="993"/>
      <c r="X73" s="1128"/>
      <c r="Y73" s="993"/>
      <c r="Z73" s="993"/>
      <c r="AA73" s="993"/>
      <c r="AB73" s="993"/>
      <c r="AC73" s="993"/>
      <c r="AD73" s="993"/>
      <c r="AE73" s="993"/>
      <c r="AF73" s="993"/>
      <c r="AG73" s="993"/>
      <c r="AH73" s="993"/>
      <c r="AI73" s="993"/>
      <c r="AJ73" s="993"/>
      <c r="AK73" s="993"/>
      <c r="AL73" s="993"/>
      <c r="AM73" s="993"/>
      <c r="AN73" s="993"/>
    </row>
    <row r="74" customFormat="false" ht="26.8" hidden="false" customHeight="false" outlineLevel="0" collapsed="false">
      <c r="A74" s="933"/>
      <c r="B74" s="933"/>
      <c r="C74" s="1139" t="str">
        <f aca="false">O_resumen_cultivos!Y19</f>
        <v/>
      </c>
      <c r="D74" s="1139"/>
      <c r="E74" s="1140" t="str">
        <f aca="false">O_resumen_cultivos!Z19</f>
        <v/>
      </c>
      <c r="F74" s="1140" t="str">
        <f aca="false">O_resumen_cultivos!AA19</f>
        <v/>
      </c>
      <c r="G74" s="1140"/>
      <c r="H74" s="1140" t="str">
        <f aca="false">O_resumen_cultivos!AB19</f>
        <v/>
      </c>
      <c r="I74" s="1140"/>
      <c r="J74" s="1140" t="str">
        <f aca="false">O_resumen_cultivos!AC19</f>
        <v/>
      </c>
      <c r="K74" s="1140"/>
      <c r="L74" s="1141" t="str">
        <f aca="false">O_resumen_cultivos!AD19</f>
        <v/>
      </c>
      <c r="M74" s="1141"/>
      <c r="N74" s="933"/>
      <c r="O74" s="934" t="s">
        <v>772</v>
      </c>
      <c r="P74" s="1148"/>
      <c r="Q74" s="1146"/>
      <c r="R74" s="1149"/>
      <c r="S74" s="993" t="n">
        <v>4</v>
      </c>
      <c r="T74" s="993" t="s">
        <v>817</v>
      </c>
      <c r="U74" s="993"/>
      <c r="V74" s="993"/>
      <c r="W74" s="993"/>
      <c r="X74" s="1128"/>
      <c r="Y74" s="993"/>
      <c r="Z74" s="993"/>
      <c r="AA74" s="993"/>
      <c r="AB74" s="993"/>
      <c r="AC74" s="993"/>
      <c r="AD74" s="993"/>
      <c r="AE74" s="993"/>
      <c r="AF74" s="993"/>
      <c r="AG74" s="993"/>
      <c r="AH74" s="993"/>
      <c r="AI74" s="993"/>
      <c r="AJ74" s="993"/>
      <c r="AK74" s="993"/>
      <c r="AL74" s="993"/>
      <c r="AM74" s="993"/>
      <c r="AN74" s="993"/>
    </row>
    <row r="75" customFormat="false" ht="26.8" hidden="false" customHeight="false" outlineLevel="0" collapsed="false">
      <c r="A75" s="933"/>
      <c r="B75" s="933"/>
      <c r="C75" s="1135" t="str">
        <f aca="false">O_resumen_cultivos!Y20</f>
        <v/>
      </c>
      <c r="D75" s="1135"/>
      <c r="E75" s="1136" t="str">
        <f aca="false">O_resumen_cultivos!Z20</f>
        <v/>
      </c>
      <c r="F75" s="1136" t="str">
        <f aca="false">O_resumen_cultivos!AA20</f>
        <v/>
      </c>
      <c r="G75" s="1136"/>
      <c r="H75" s="1136" t="str">
        <f aca="false">O_resumen_cultivos!AB20</f>
        <v/>
      </c>
      <c r="I75" s="1136"/>
      <c r="J75" s="1136" t="str">
        <f aca="false">O_resumen_cultivos!AC20</f>
        <v/>
      </c>
      <c r="K75" s="1136"/>
      <c r="L75" s="1137" t="str">
        <f aca="false">O_resumen_cultivos!AD20</f>
        <v/>
      </c>
      <c r="M75" s="1137"/>
      <c r="N75" s="933"/>
      <c r="O75" s="934" t="s">
        <v>772</v>
      </c>
      <c r="P75" s="993"/>
      <c r="Q75" s="1146"/>
      <c r="R75" s="1149"/>
      <c r="S75" s="993" t="n">
        <v>6</v>
      </c>
      <c r="T75" s="993" t="s">
        <v>818</v>
      </c>
      <c r="U75" s="993"/>
      <c r="V75" s="993"/>
      <c r="W75" s="993"/>
      <c r="X75" s="1128"/>
      <c r="Y75" s="993"/>
      <c r="Z75" s="993"/>
      <c r="AA75" s="993"/>
      <c r="AB75" s="993"/>
      <c r="AC75" s="993"/>
      <c r="AD75" s="993"/>
      <c r="AE75" s="993"/>
      <c r="AF75" s="993"/>
      <c r="AG75" s="993"/>
      <c r="AH75" s="993"/>
      <c r="AI75" s="993"/>
      <c r="AJ75" s="993"/>
      <c r="AK75" s="993"/>
      <c r="AL75" s="993"/>
      <c r="AM75" s="993"/>
      <c r="AN75" s="993"/>
    </row>
    <row r="76" customFormat="false" ht="26.8" hidden="false" customHeight="false" outlineLevel="0" collapsed="false">
      <c r="A76" s="933"/>
      <c r="B76" s="933"/>
      <c r="C76" s="1150" t="str">
        <f aca="false">O_resumen_cultivos!Y21</f>
        <v/>
      </c>
      <c r="D76" s="1150"/>
      <c r="E76" s="1140" t="str">
        <f aca="false">O_resumen_cultivos!Z21</f>
        <v/>
      </c>
      <c r="F76" s="1140" t="str">
        <f aca="false">O_resumen_cultivos!AA21</f>
        <v/>
      </c>
      <c r="G76" s="1140"/>
      <c r="H76" s="1140" t="str">
        <f aca="false">O_resumen_cultivos!AB21</f>
        <v/>
      </c>
      <c r="I76" s="1140"/>
      <c r="J76" s="1140" t="str">
        <f aca="false">O_resumen_cultivos!AC21</f>
        <v/>
      </c>
      <c r="K76" s="1140"/>
      <c r="L76" s="1141" t="str">
        <f aca="false">O_resumen_cultivos!AD21</f>
        <v/>
      </c>
      <c r="M76" s="1141"/>
      <c r="N76" s="933"/>
      <c r="O76" s="934" t="s">
        <v>772</v>
      </c>
      <c r="P76" s="1151"/>
      <c r="Q76" s="1146"/>
      <c r="R76" s="993" t="n">
        <v>19</v>
      </c>
      <c r="S76" s="993" t="s">
        <v>819</v>
      </c>
      <c r="T76" s="993"/>
      <c r="U76" s="993"/>
      <c r="V76" s="993"/>
      <c r="W76" s="993"/>
      <c r="X76" s="1128"/>
      <c r="Y76" s="993"/>
      <c r="Z76" s="993"/>
      <c r="AA76" s="993"/>
      <c r="AB76" s="993"/>
      <c r="AC76" s="993"/>
      <c r="AD76" s="993"/>
      <c r="AE76" s="993"/>
      <c r="AF76" s="993"/>
      <c r="AG76" s="993"/>
      <c r="AH76" s="993"/>
      <c r="AI76" s="993"/>
      <c r="AJ76" s="993"/>
      <c r="AK76" s="993"/>
      <c r="AL76" s="993"/>
      <c r="AM76" s="993"/>
      <c r="AN76" s="993"/>
    </row>
    <row r="77" customFormat="false" ht="26.8" hidden="false" customHeight="false" outlineLevel="0" collapsed="false">
      <c r="A77" s="933"/>
      <c r="B77" s="933"/>
      <c r="C77" s="1152" t="str">
        <f aca="false">O_resumen_cultivos!Y22</f>
        <v/>
      </c>
      <c r="D77" s="1152"/>
      <c r="E77" s="1136" t="str">
        <f aca="false">O_resumen_cultivos!Z22</f>
        <v/>
      </c>
      <c r="F77" s="1136" t="str">
        <f aca="false">O_resumen_cultivos!AA22</f>
        <v/>
      </c>
      <c r="G77" s="1136"/>
      <c r="H77" s="1136" t="str">
        <f aca="false">O_resumen_cultivos!AB22</f>
        <v/>
      </c>
      <c r="I77" s="1136"/>
      <c r="J77" s="1136" t="str">
        <f aca="false">O_resumen_cultivos!AC22</f>
        <v/>
      </c>
      <c r="K77" s="1136"/>
      <c r="L77" s="1137" t="str">
        <f aca="false">O_resumen_cultivos!AD22</f>
        <v/>
      </c>
      <c r="M77" s="1137"/>
      <c r="N77" s="933"/>
      <c r="O77" s="934" t="s">
        <v>772</v>
      </c>
      <c r="P77" s="1153" t="n">
        <v>1</v>
      </c>
      <c r="Q77" s="1154" t="n">
        <v>2</v>
      </c>
      <c r="R77" s="1155" t="n">
        <v>3</v>
      </c>
      <c r="S77" s="1154" t="n">
        <v>4</v>
      </c>
      <c r="T77" s="1155" t="n">
        <v>5</v>
      </c>
      <c r="U77" s="993"/>
      <c r="V77" s="993"/>
      <c r="W77" s="993"/>
      <c r="X77" s="1128"/>
      <c r="Y77" s="993"/>
      <c r="Z77" s="993"/>
      <c r="AA77" s="993"/>
      <c r="AB77" s="993"/>
      <c r="AC77" s="993"/>
      <c r="AD77" s="993"/>
      <c r="AE77" s="993"/>
      <c r="AF77" s="993"/>
      <c r="AG77" s="993"/>
      <c r="AH77" s="993"/>
      <c r="AI77" s="993"/>
      <c r="AJ77" s="993"/>
      <c r="AK77" s="993"/>
      <c r="AL77" s="993"/>
      <c r="AM77" s="993"/>
      <c r="AN77" s="993"/>
    </row>
    <row r="78" customFormat="false" ht="26.8" hidden="false" customHeight="false" outlineLevel="0" collapsed="false">
      <c r="A78" s="933"/>
      <c r="B78" s="933"/>
      <c r="C78" s="1150" t="str">
        <f aca="false">O_resumen_cultivos!Y23</f>
        <v/>
      </c>
      <c r="D78" s="1150"/>
      <c r="E78" s="1140" t="str">
        <f aca="false">O_resumen_cultivos!Z23</f>
        <v/>
      </c>
      <c r="F78" s="1140" t="str">
        <f aca="false">O_resumen_cultivos!AA23</f>
        <v/>
      </c>
      <c r="G78" s="1140"/>
      <c r="H78" s="1140" t="str">
        <f aca="false">O_resumen_cultivos!AB23</f>
        <v/>
      </c>
      <c r="I78" s="1140"/>
      <c r="J78" s="1140" t="str">
        <f aca="false">O_resumen_cultivos!AC23</f>
        <v/>
      </c>
      <c r="K78" s="1140"/>
      <c r="L78" s="1141" t="str">
        <f aca="false">O_resumen_cultivos!AD23</f>
        <v/>
      </c>
      <c r="M78" s="1141"/>
      <c r="N78" s="933"/>
      <c r="O78" s="934" t="s">
        <v>772</v>
      </c>
      <c r="P78" s="1156" t="n">
        <f aca="false">'V_EAP-AGRI_2024'!BH14</f>
        <v>0</v>
      </c>
      <c r="Q78" s="1156" t="n">
        <f aca="false">'V_EAP-AGRI_2024'!BI14</f>
        <v>0</v>
      </c>
      <c r="R78" s="1156" t="n">
        <f aca="false">'V_EAP-AGRI_2024'!BJ14</f>
        <v>0</v>
      </c>
      <c r="S78" s="1156" t="n">
        <f aca="false">'V_EAP-AGRI_2024'!BK14</f>
        <v>0</v>
      </c>
      <c r="T78" s="3"/>
      <c r="U78" s="993"/>
      <c r="V78" s="993"/>
      <c r="W78" s="993"/>
      <c r="X78" s="1128"/>
      <c r="Y78" s="993"/>
      <c r="Z78" s="993"/>
      <c r="AA78" s="993"/>
      <c r="AB78" s="993"/>
      <c r="AC78" s="993"/>
      <c r="AD78" s="993"/>
      <c r="AE78" s="993"/>
      <c r="AF78" s="993"/>
      <c r="AG78" s="993"/>
      <c r="AH78" s="993"/>
      <c r="AI78" s="993"/>
      <c r="AJ78" s="993"/>
      <c r="AK78" s="993"/>
      <c r="AL78" s="993"/>
      <c r="AM78" s="993"/>
      <c r="AN78" s="993"/>
    </row>
    <row r="79" customFormat="false" ht="26.8" hidden="false" customHeight="false" outlineLevel="0" collapsed="false">
      <c r="A79" s="933"/>
      <c r="B79" s="933"/>
      <c r="C79" s="1152" t="str">
        <f aca="false">O_resumen_cultivos!Y24</f>
        <v/>
      </c>
      <c r="D79" s="1152"/>
      <c r="E79" s="1136" t="str">
        <f aca="false">O_resumen_cultivos!Z24</f>
        <v/>
      </c>
      <c r="F79" s="1136" t="str">
        <f aca="false">O_resumen_cultivos!AA24</f>
        <v/>
      </c>
      <c r="G79" s="1136"/>
      <c r="H79" s="1136" t="str">
        <f aca="false">O_resumen_cultivos!AB24</f>
        <v/>
      </c>
      <c r="I79" s="1136"/>
      <c r="J79" s="1136" t="str">
        <f aca="false">O_resumen_cultivos!AC24</f>
        <v/>
      </c>
      <c r="K79" s="1136"/>
      <c r="L79" s="1137" t="str">
        <f aca="false">O_resumen_cultivos!AD24</f>
        <v/>
      </c>
      <c r="M79" s="1137"/>
      <c r="N79" s="933"/>
      <c r="O79" s="934" t="s">
        <v>772</v>
      </c>
      <c r="P79" s="1151"/>
      <c r="Q79" s="993"/>
      <c r="R79" s="993"/>
      <c r="S79" s="993"/>
      <c r="T79" s="993"/>
      <c r="U79" s="993"/>
      <c r="V79" s="993"/>
      <c r="W79" s="993"/>
      <c r="X79" s="1128"/>
      <c r="Y79" s="993"/>
      <c r="Z79" s="993"/>
      <c r="AA79" s="993"/>
      <c r="AB79" s="993"/>
      <c r="AC79" s="993"/>
      <c r="AD79" s="993"/>
      <c r="AE79" s="993"/>
      <c r="AF79" s="993"/>
      <c r="AG79" s="993"/>
      <c r="AH79" s="993"/>
      <c r="AI79" s="993"/>
      <c r="AJ79" s="993"/>
      <c r="AK79" s="993"/>
      <c r="AL79" s="993"/>
      <c r="AM79" s="993"/>
      <c r="AN79" s="993"/>
    </row>
    <row r="80" customFormat="false" ht="26.8" hidden="false" customHeight="false" outlineLevel="0" collapsed="false">
      <c r="A80" s="933"/>
      <c r="B80" s="933"/>
      <c r="C80" s="1157" t="str">
        <f aca="false">O_resumen_cultivos!Y25</f>
        <v/>
      </c>
      <c r="D80" s="1157"/>
      <c r="E80" s="1158" t="str">
        <f aca="false">O_resumen_cultivos!Z25</f>
        <v/>
      </c>
      <c r="F80" s="1158" t="str">
        <f aca="false">O_resumen_cultivos!AA25</f>
        <v/>
      </c>
      <c r="G80" s="1158"/>
      <c r="H80" s="1158" t="str">
        <f aca="false">O_resumen_cultivos!AB25</f>
        <v/>
      </c>
      <c r="I80" s="1158"/>
      <c r="J80" s="1158" t="str">
        <f aca="false">O_resumen_cultivos!AC25</f>
        <v/>
      </c>
      <c r="K80" s="1158"/>
      <c r="L80" s="1159" t="str">
        <f aca="false">O_resumen_cultivos!AD25</f>
        <v/>
      </c>
      <c r="M80" s="1159"/>
      <c r="N80" s="933"/>
      <c r="O80" s="934" t="s">
        <v>772</v>
      </c>
      <c r="P80" s="1160"/>
      <c r="Q80" s="1127"/>
      <c r="R80" s="993"/>
      <c r="S80" s="993"/>
      <c r="T80" s="993"/>
      <c r="U80" s="993"/>
      <c r="V80" s="993"/>
      <c r="W80" s="1128"/>
      <c r="X80" s="993"/>
      <c r="Y80" s="993"/>
      <c r="Z80" s="993"/>
      <c r="AA80" s="993"/>
      <c r="AB80" s="993"/>
      <c r="AC80" s="993"/>
      <c r="AD80" s="993"/>
      <c r="AE80" s="993"/>
      <c r="AF80" s="993"/>
      <c r="AG80" s="993"/>
      <c r="AH80" s="993"/>
      <c r="AI80" s="993"/>
      <c r="AJ80" s="993"/>
      <c r="AK80" s="993"/>
      <c r="AL80" s="993"/>
      <c r="AM80" s="993"/>
      <c r="AN80" s="993"/>
    </row>
    <row r="81" customFormat="false" ht="26.8" hidden="false" customHeight="false" outlineLevel="0" collapsed="false">
      <c r="A81" s="933"/>
      <c r="B81" s="933"/>
      <c r="C81" s="933"/>
      <c r="D81" s="933"/>
      <c r="E81" s="933"/>
      <c r="F81" s="933"/>
      <c r="G81" s="933"/>
      <c r="H81" s="933"/>
      <c r="I81" s="933"/>
      <c r="J81" s="933"/>
      <c r="K81" s="933"/>
      <c r="L81" s="933"/>
      <c r="M81" s="933"/>
      <c r="N81" s="933"/>
      <c r="O81" s="934"/>
      <c r="P81" s="1161"/>
      <c r="Q81" s="182"/>
      <c r="R81" s="3"/>
      <c r="S81" s="3"/>
      <c r="T81" s="3"/>
      <c r="U81" s="3"/>
      <c r="V81" s="3"/>
      <c r="W81" s="935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customFormat="false" ht="26.8" hidden="tru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176"/>
      <c r="K82" s="176"/>
      <c r="L82" s="3"/>
      <c r="M82" s="3"/>
      <c r="N82" s="3"/>
      <c r="O82" s="1162"/>
      <c r="P82" s="3"/>
      <c r="Q82" s="182"/>
      <c r="R82" s="3"/>
      <c r="S82" s="3"/>
      <c r="T82" s="3"/>
      <c r="U82" s="3"/>
      <c r="V82" s="3"/>
      <c r="W82" s="935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customFormat="false" ht="26.8" hidden="tru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176"/>
      <c r="K83" s="176"/>
      <c r="L83" s="3"/>
      <c r="M83" s="3"/>
      <c r="N83" s="3"/>
      <c r="O83" s="1162"/>
      <c r="P83" s="3"/>
      <c r="Q83" s="182"/>
      <c r="R83" s="3"/>
      <c r="S83" s="3"/>
      <c r="T83" s="3"/>
      <c r="U83" s="3"/>
      <c r="V83" s="3"/>
      <c r="W83" s="935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customFormat="false" ht="26.8" hidden="tru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176"/>
      <c r="K84" s="176"/>
      <c r="L84" s="3"/>
      <c r="M84" s="3"/>
      <c r="N84" s="3"/>
      <c r="O84" s="1162"/>
      <c r="P84" s="3"/>
      <c r="Q84" s="182"/>
      <c r="R84" s="3"/>
      <c r="S84" s="3"/>
      <c r="T84" s="3"/>
      <c r="U84" s="3"/>
      <c r="V84" s="3"/>
      <c r="W84" s="935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customFormat="false" ht="26.8" hidden="tru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176"/>
      <c r="K85" s="176"/>
      <c r="L85" s="3"/>
      <c r="M85" s="3"/>
      <c r="N85" s="3"/>
      <c r="O85" s="1162"/>
      <c r="P85" s="3"/>
      <c r="Q85" s="182"/>
      <c r="R85" s="3"/>
      <c r="S85" s="3"/>
      <c r="T85" s="3"/>
      <c r="U85" s="3"/>
      <c r="V85" s="3"/>
      <c r="W85" s="935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customFormat="false" ht="26.8" hidden="true" customHeight="false" outlineLevel="0" collapsed="false">
      <c r="A86" s="3"/>
      <c r="B86" s="3"/>
      <c r="C86" s="3" t="s">
        <v>715</v>
      </c>
      <c r="D86" s="3"/>
      <c r="E86" s="3"/>
      <c r="F86" s="3"/>
      <c r="G86" s="3"/>
      <c r="H86" s="3"/>
      <c r="I86" s="3"/>
      <c r="J86" s="176"/>
      <c r="K86" s="176"/>
      <c r="L86" s="3"/>
      <c r="M86" s="3"/>
      <c r="N86" s="3"/>
      <c r="O86" s="1162"/>
      <c r="P86" s="3"/>
      <c r="Q86" s="182"/>
      <c r="R86" s="3"/>
      <c r="S86" s="3"/>
      <c r="T86" s="3"/>
      <c r="U86" s="3"/>
      <c r="V86" s="3"/>
      <c r="W86" s="935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customFormat="false" ht="26.8" hidden="true" customHeight="false" outlineLevel="0" collapsed="false">
      <c r="A87" s="3"/>
      <c r="B87" s="3"/>
      <c r="C87" s="3" t="s">
        <v>712</v>
      </c>
      <c r="D87" s="3"/>
      <c r="E87" s="3"/>
      <c r="F87" s="3"/>
      <c r="G87" s="3"/>
      <c r="H87" s="3"/>
      <c r="I87" s="3"/>
      <c r="J87" s="1163"/>
      <c r="K87" s="1163"/>
      <c r="L87" s="182"/>
      <c r="M87" s="3"/>
      <c r="N87" s="3"/>
      <c r="O87" s="1162"/>
      <c r="P87" s="3"/>
      <c r="Q87" s="182"/>
      <c r="R87" s="3"/>
      <c r="S87" s="3"/>
      <c r="T87" s="3"/>
      <c r="U87" s="3"/>
      <c r="V87" s="3"/>
      <c r="W87" s="935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customFormat="false" ht="26.8" hidden="true" customHeight="false" outlineLevel="0" collapsed="false">
      <c r="A88" s="3"/>
      <c r="B88" s="3"/>
      <c r="C88" s="3" t="s">
        <v>605</v>
      </c>
      <c r="D88" s="3"/>
      <c r="E88" s="3"/>
      <c r="F88" s="3"/>
      <c r="G88" s="3"/>
      <c r="H88" s="3"/>
      <c r="I88" s="3"/>
      <c r="J88" s="176"/>
      <c r="K88" s="176"/>
      <c r="L88" s="3"/>
      <c r="M88" s="3"/>
      <c r="N88" s="3"/>
      <c r="O88" s="1162"/>
      <c r="P88" s="3"/>
      <c r="Q88" s="182"/>
      <c r="R88" s="3"/>
      <c r="S88" s="3"/>
      <c r="T88" s="3"/>
      <c r="U88" s="3"/>
      <c r="V88" s="3"/>
      <c r="W88" s="935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  <row r="89" customFormat="false" ht="26.8" hidden="tru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176"/>
      <c r="K89" s="176"/>
      <c r="L89" s="3"/>
      <c r="M89" s="3"/>
      <c r="N89" s="3"/>
      <c r="O89" s="1162"/>
      <c r="P89" s="3"/>
      <c r="Q89" s="182"/>
      <c r="R89" s="3"/>
      <c r="S89" s="3"/>
      <c r="T89" s="3"/>
      <c r="U89" s="3"/>
      <c r="V89" s="3"/>
      <c r="W89" s="935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customFormat="false" ht="26.8" hidden="tru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176"/>
      <c r="K90" s="176"/>
      <c r="L90" s="3"/>
      <c r="M90" s="182"/>
      <c r="N90" s="182"/>
      <c r="O90" s="1164"/>
      <c r="P90" s="182"/>
      <c r="Q90" s="182"/>
      <c r="R90" s="182"/>
      <c r="S90" s="3"/>
      <c r="T90" s="3"/>
      <c r="U90" s="3"/>
      <c r="V90" s="3"/>
      <c r="W90" s="935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</row>
    <row r="91" customFormat="false" ht="26.8" hidden="tru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176"/>
      <c r="K91" s="176"/>
      <c r="L91" s="3"/>
      <c r="M91" s="3"/>
      <c r="N91" s="3"/>
      <c r="O91" s="1162"/>
      <c r="P91" s="3"/>
      <c r="Q91" s="182"/>
      <c r="R91" s="3"/>
      <c r="S91" s="3"/>
      <c r="T91" s="3"/>
      <c r="U91" s="3"/>
      <c r="V91" s="3"/>
      <c r="W91" s="935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customFormat="false" ht="26.8" hidden="tru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176"/>
      <c r="K92" s="176"/>
      <c r="L92" s="3"/>
      <c r="M92" s="3"/>
      <c r="N92" s="3"/>
      <c r="O92" s="1162"/>
      <c r="P92" s="3"/>
      <c r="Q92" s="182"/>
      <c r="R92" s="3"/>
      <c r="S92" s="3"/>
      <c r="T92" s="3"/>
      <c r="U92" s="3"/>
      <c r="V92" s="3"/>
      <c r="W92" s="935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</row>
    <row r="93" customFormat="false" ht="26.8" hidden="tru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176"/>
      <c r="K93" s="176"/>
      <c r="L93" s="3"/>
      <c r="M93" s="3"/>
      <c r="N93" s="3"/>
      <c r="O93" s="1162"/>
      <c r="P93" s="3"/>
      <c r="Q93" s="182"/>
      <c r="R93" s="3"/>
      <c r="S93" s="3"/>
      <c r="T93" s="3"/>
      <c r="U93" s="3"/>
      <c r="V93" s="3"/>
      <c r="W93" s="935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</row>
    <row r="94" customFormat="false" ht="26.8" hidden="tru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176"/>
      <c r="K94" s="176"/>
      <c r="L94" s="3"/>
      <c r="M94" s="3"/>
      <c r="N94" s="3"/>
      <c r="O94" s="1162"/>
      <c r="P94" s="3"/>
      <c r="Q94" s="182"/>
      <c r="R94" s="3"/>
      <c r="S94" s="3"/>
      <c r="T94" s="3"/>
      <c r="U94" s="3"/>
      <c r="V94" s="3"/>
      <c r="W94" s="935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</row>
    <row r="95" customFormat="false" ht="26.8" hidden="tru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176"/>
      <c r="K95" s="176"/>
      <c r="L95" s="3"/>
      <c r="M95" s="3"/>
      <c r="N95" s="3"/>
      <c r="O95" s="1162"/>
      <c r="P95" s="3"/>
      <c r="Q95" s="182"/>
      <c r="R95" s="3"/>
      <c r="S95" s="3"/>
      <c r="T95" s="3"/>
      <c r="U95" s="3"/>
      <c r="V95" s="3"/>
      <c r="W95" s="935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</row>
    <row r="96" customFormat="false" ht="26.8" hidden="tru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176"/>
      <c r="K96" s="176"/>
      <c r="L96" s="3"/>
      <c r="M96" s="3"/>
      <c r="N96" s="3"/>
      <c r="O96" s="1162"/>
      <c r="P96" s="3"/>
      <c r="Q96" s="182"/>
      <c r="R96" s="3"/>
      <c r="S96" s="3"/>
      <c r="T96" s="3"/>
      <c r="U96" s="3"/>
      <c r="V96" s="3"/>
      <c r="W96" s="935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</row>
    <row r="97" customFormat="false" ht="26.8" hidden="tru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176"/>
      <c r="K97" s="176"/>
      <c r="L97" s="3"/>
      <c r="M97" s="3"/>
      <c r="N97" s="3"/>
      <c r="O97" s="1162"/>
      <c r="P97" s="3"/>
      <c r="Q97" s="182"/>
      <c r="R97" s="3"/>
      <c r="S97" s="3"/>
      <c r="T97" s="3"/>
      <c r="U97" s="3"/>
      <c r="V97" s="3"/>
      <c r="W97" s="935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</row>
    <row r="98" customFormat="false" ht="26.8" hidden="true" customHeight="false" outlineLevel="0" collapsed="false">
      <c r="A98" s="3"/>
      <c r="B98" s="3"/>
      <c r="C98" s="152" t="s">
        <v>665</v>
      </c>
      <c r="D98" s="3"/>
      <c r="E98" s="3"/>
      <c r="F98" s="1165" t="e">
        <f aca="false">rutnormale73</f>
        <v>#NAME?</v>
      </c>
      <c r="G98" s="1165"/>
      <c r="H98" s="1166"/>
      <c r="I98" s="3"/>
      <c r="J98" s="176"/>
      <c r="K98" s="176"/>
      <c r="L98" s="3"/>
      <c r="M98" s="3"/>
      <c r="N98" s="3"/>
      <c r="O98" s="1162"/>
      <c r="P98" s="3"/>
      <c r="Q98" s="182"/>
      <c r="R98" s="3"/>
      <c r="S98" s="3"/>
      <c r="T98" s="3"/>
      <c r="U98" s="3"/>
      <c r="V98" s="3"/>
      <c r="W98" s="935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</row>
    <row r="99" customFormat="false" ht="26.8" hidden="true" customHeight="false" outlineLevel="0" collapsed="false">
      <c r="A99" s="3"/>
      <c r="B99" s="3"/>
      <c r="C99" s="152" t="s">
        <v>666</v>
      </c>
      <c r="D99" s="3"/>
      <c r="E99" s="3"/>
      <c r="F99" s="1167" t="n">
        <f aca="false">O_CALC_CultivoPrincipal!EA7+O_CALC_CultivoPrincipal!EB7</f>
        <v>0</v>
      </c>
      <c r="G99" s="1167"/>
      <c r="H99" s="1166"/>
      <c r="I99" s="3"/>
      <c r="J99" s="176"/>
      <c r="K99" s="176"/>
      <c r="L99" s="3"/>
      <c r="M99" s="3"/>
      <c r="N99" s="3"/>
      <c r="O99" s="1162"/>
      <c r="P99" s="3"/>
      <c r="Q99" s="182"/>
      <c r="R99" s="3" t="s">
        <v>95</v>
      </c>
      <c r="S99" s="3"/>
      <c r="T99" s="3"/>
      <c r="U99" s="3"/>
      <c r="V99" s="3"/>
      <c r="W99" s="935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</row>
    <row r="100" customFormat="false" ht="26.8" hidden="true" customHeight="false" outlineLevel="0" collapsed="false">
      <c r="A100" s="3"/>
      <c r="B100" s="3"/>
      <c r="C100" s="3" t="s">
        <v>667</v>
      </c>
      <c r="D100" s="3"/>
      <c r="E100" s="3"/>
      <c r="F100" s="1166" t="e">
        <f aca="false">_xlfn.single(PETOTAL)</f>
        <v>#REF!</v>
      </c>
      <c r="G100" s="1166"/>
      <c r="H100" s="1166"/>
      <c r="I100" s="3"/>
      <c r="J100" s="176"/>
      <c r="K100" s="176"/>
      <c r="L100" s="3"/>
      <c r="M100" s="3"/>
      <c r="N100" s="3"/>
      <c r="O100" s="1162"/>
      <c r="P100" s="3"/>
      <c r="Q100" s="182"/>
      <c r="R100" s="3"/>
      <c r="S100" s="3"/>
      <c r="T100" s="3"/>
      <c r="U100" s="3"/>
      <c r="V100" s="3"/>
      <c r="W100" s="935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</row>
    <row r="101" customFormat="false" ht="26.8" hidden="true" customHeight="false" outlineLevel="0" collapsed="false">
      <c r="A101" s="3"/>
      <c r="B101" s="3"/>
      <c r="C101" s="3"/>
      <c r="D101" s="3"/>
      <c r="E101" s="3"/>
      <c r="F101" s="3"/>
      <c r="G101" s="3"/>
      <c r="H101" s="3"/>
      <c r="I101" s="3"/>
      <c r="J101" s="176"/>
      <c r="K101" s="176"/>
      <c r="L101" s="3"/>
      <c r="M101" s="3"/>
      <c r="N101" s="3"/>
      <c r="O101" s="1162"/>
      <c r="P101" s="3"/>
      <c r="Q101" s="182"/>
      <c r="R101" s="3"/>
      <c r="S101" s="3"/>
      <c r="T101" s="3"/>
      <c r="U101" s="3"/>
      <c r="V101" s="3"/>
      <c r="W101" s="935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</row>
    <row r="102" customFormat="false" ht="26.8" hidden="true" customHeight="false" outlineLevel="0" collapsed="false">
      <c r="A102" s="3"/>
      <c r="B102" s="3"/>
      <c r="C102" s="3"/>
      <c r="D102" s="3"/>
      <c r="E102" s="3"/>
      <c r="F102" s="3"/>
      <c r="G102" s="3"/>
      <c r="H102" s="3"/>
      <c r="I102" s="3"/>
      <c r="J102" s="176"/>
      <c r="K102" s="176"/>
      <c r="L102" s="3"/>
      <c r="M102" s="3"/>
      <c r="N102" s="3"/>
      <c r="O102" s="1162"/>
      <c r="P102" s="3"/>
      <c r="Q102" s="182"/>
      <c r="R102" s="3"/>
      <c r="S102" s="3"/>
      <c r="T102" s="3"/>
      <c r="U102" s="3"/>
      <c r="V102" s="3"/>
      <c r="W102" s="935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</row>
    <row r="103" customFormat="false" ht="26.8" hidden="true" customHeight="false" outlineLevel="0" collapsed="false">
      <c r="A103" s="3"/>
      <c r="B103" s="3"/>
      <c r="C103" s="152"/>
      <c r="D103" s="3"/>
      <c r="E103" s="3"/>
      <c r="F103" s="1166"/>
      <c r="G103" s="1166"/>
      <c r="H103" s="1166"/>
      <c r="I103" s="3"/>
      <c r="J103" s="176"/>
      <c r="K103" s="176"/>
      <c r="L103" s="3"/>
      <c r="M103" s="3"/>
      <c r="N103" s="3"/>
      <c r="O103" s="1162"/>
      <c r="P103" s="3"/>
      <c r="Q103" s="182"/>
      <c r="R103" s="3"/>
      <c r="S103" s="3"/>
      <c r="T103" s="3"/>
      <c r="U103" s="3"/>
      <c r="V103" s="3"/>
      <c r="W103" s="935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</row>
    <row r="104" customFormat="false" ht="26.8" hidden="true" customHeight="false" outlineLevel="0" collapsed="false">
      <c r="A104" s="3"/>
      <c r="B104" s="3"/>
      <c r="C104" s="3"/>
      <c r="D104" s="3"/>
      <c r="E104" s="3"/>
      <c r="F104" s="3"/>
      <c r="G104" s="3"/>
      <c r="H104" s="1166"/>
      <c r="I104" s="3"/>
      <c r="J104" s="176"/>
      <c r="K104" s="176"/>
      <c r="L104" s="3"/>
      <c r="M104" s="3"/>
      <c r="N104" s="3"/>
      <c r="O104" s="1162"/>
      <c r="P104" s="3"/>
      <c r="Q104" s="182"/>
      <c r="R104" s="3"/>
      <c r="S104" s="3"/>
      <c r="T104" s="3"/>
      <c r="U104" s="3"/>
      <c r="V104" s="3"/>
      <c r="W104" s="935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</row>
    <row r="105" customFormat="false" ht="26.8" hidden="true" customHeight="false" outlineLevel="0" collapsed="false">
      <c r="A105" s="3"/>
      <c r="B105" s="3"/>
      <c r="C105" s="792" t="s">
        <v>668</v>
      </c>
      <c r="D105" s="19" t="e">
        <f aca="false">IF(OR(AND(#REF!="no",$M$37&gt;$D$7,$M$37&lt;#REF!),AND(#REF!="si",$M$37&gt;$M$38,$M$37&lt;#REF!)),"Cumple estudio económico EAP con MN normal","NO cumple estudio económico EAP con el MN normal")</f>
        <v>#REF!</v>
      </c>
      <c r="E105" s="19"/>
      <c r="F105" s="19"/>
      <c r="G105" s="3"/>
      <c r="H105" s="1166"/>
      <c r="I105" s="3"/>
      <c r="J105" s="176"/>
      <c r="K105" s="176"/>
      <c r="L105" s="3"/>
      <c r="M105" s="3"/>
      <c r="N105" s="3"/>
      <c r="O105" s="1162"/>
      <c r="P105" s="3"/>
      <c r="Q105" s="182"/>
      <c r="R105" s="3"/>
      <c r="S105" s="3"/>
      <c r="T105" s="3"/>
      <c r="U105" s="3"/>
      <c r="V105" s="3"/>
      <c r="W105" s="935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</row>
    <row r="106" customFormat="false" ht="26.8" hidden="true" customHeight="false" outlineLevel="0" collapsed="false">
      <c r="A106" s="3"/>
      <c r="B106" s="3"/>
      <c r="C106" s="796" t="s">
        <v>670</v>
      </c>
      <c r="D106" s="3" t="e">
        <f aca="false">IF($D$105="Cumple estudio económico EAP con MN normal","Cumple Estudio Económico EAP",IF(AND($D$105="NO cumple estudio económico EAP con el MN normal",#REF!="no",$M$37&lt;$D$7,#REF!&gt;$D$7,#REF!&lt;#REF!),"Cumple estudio económico EAP con MN+25%","NO cumple estudio económico EAP con el MN normal"))</f>
        <v>#REF!</v>
      </c>
      <c r="E106" s="3"/>
      <c r="F106" s="3"/>
      <c r="G106" s="3"/>
      <c r="H106" s="1166"/>
      <c r="I106" s="3"/>
      <c r="J106" s="176"/>
      <c r="K106" s="176"/>
      <c r="L106" s="3"/>
      <c r="M106" s="3"/>
      <c r="N106" s="3"/>
      <c r="O106" s="1162"/>
      <c r="P106" s="3"/>
      <c r="Q106" s="182"/>
      <c r="R106" s="181" t="s">
        <v>59</v>
      </c>
      <c r="S106" s="181" t="s">
        <v>60</v>
      </c>
      <c r="T106" s="181" t="s">
        <v>61</v>
      </c>
      <c r="U106" s="181" t="s">
        <v>62</v>
      </c>
      <c r="V106" s="181" t="s">
        <v>63</v>
      </c>
      <c r="W106" s="935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</row>
    <row r="107" customFormat="false" ht="26.8" hidden="true" customHeight="false" outlineLevel="0" collapsed="false">
      <c r="A107" s="3"/>
      <c r="B107" s="3"/>
      <c r="C107" s="796" t="s">
        <v>671</v>
      </c>
      <c r="D107" s="3" t="e">
        <f aca="false">IF($D$105="Cumple estudio económico EAP con MN normal","Cumple Estudio Económico EAP",IF(AND($D$105="NO cumple estudio económico EAP con el MN normal",#REF!="si",$M$37&lt;$M$38,#REF!&gt;$M$38,#REF!&lt;#REF!),"Cumple estudio económico EAP con MN+25%","NO cumple estudio económico EAP con el MN normal"))</f>
        <v>#REF!</v>
      </c>
      <c r="E107" s="3"/>
      <c r="F107" s="3"/>
      <c r="G107" s="3"/>
      <c r="H107" s="3"/>
      <c r="I107" s="3"/>
      <c r="J107" s="176"/>
      <c r="K107" s="176"/>
      <c r="L107" s="3"/>
      <c r="M107" s="3"/>
      <c r="N107" s="3"/>
      <c r="O107" s="1162"/>
      <c r="P107" s="3"/>
      <c r="Q107" s="182"/>
      <c r="R107" s="181" t="n">
        <v>36546.0192</v>
      </c>
      <c r="S107" s="181" t="n">
        <v>203064.7332</v>
      </c>
      <c r="T107" s="181" t="n">
        <v>19305.12</v>
      </c>
      <c r="U107" s="181" t="n">
        <v>1377296.6852</v>
      </c>
      <c r="V107" s="181" t="n">
        <v>36952.3856</v>
      </c>
      <c r="W107" s="935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</row>
    <row r="108" customFormat="false" ht="26.8" hidden="true" customHeight="false" outlineLevel="0" collapsed="false">
      <c r="A108" s="3"/>
      <c r="B108" s="3"/>
      <c r="C108" s="796" t="s">
        <v>672</v>
      </c>
      <c r="D108" s="3" t="e">
        <f aca="false">IF($D$105="Cumple estudio económico EAP con MN normal","Cumple Estudio Económico EAP",IF(AND($D$105="NO cumple estudio económico EAP con el MN normal",#REF!="no",$M$37&gt;$D$7,$M$37&gt;#REF!,$F$28&lt;#REF!),"Cumple estudio económico EAP con MN-25%","NO cumple estudio económico EAP con el MN normal"))</f>
        <v>#REF!</v>
      </c>
      <c r="E108" s="3"/>
      <c r="F108" s="3"/>
      <c r="G108" s="3"/>
      <c r="H108" s="19"/>
      <c r="I108" s="6"/>
      <c r="J108" s="731"/>
      <c r="K108" s="731"/>
      <c r="L108" s="6"/>
      <c r="M108" s="3"/>
      <c r="N108" s="3"/>
      <c r="O108" s="1162"/>
      <c r="P108" s="3"/>
      <c r="Q108" s="182"/>
      <c r="R108" s="3"/>
      <c r="S108" s="3"/>
      <c r="T108" s="3"/>
      <c r="U108" s="3"/>
      <c r="V108" s="3"/>
      <c r="W108" s="935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</row>
    <row r="109" customFormat="false" ht="26.8" hidden="true" customHeight="false" outlineLevel="0" collapsed="false">
      <c r="A109" s="3"/>
      <c r="B109" s="3"/>
      <c r="C109" s="796" t="s">
        <v>674</v>
      </c>
      <c r="D109" s="3" t="e">
        <f aca="false">IF($D$105="Cumple estudio económico EAP","Cumple Estudio Económico EAP con MN normal",IF(AND($D$105="NO cumple estudio económico EAP con el MN normal",#REF!="si",$M$37&gt;$M$38,$M$37&gt;#REF!,$F$28&lt;#REF!),"Cumple estudio económico EAP con MN-25%","NO cumple estudio económico EAP con el MN normal"))</f>
        <v>#REF!</v>
      </c>
      <c r="E109" s="3"/>
      <c r="F109" s="3"/>
      <c r="G109" s="3"/>
      <c r="H109" s="3"/>
      <c r="I109" s="1168"/>
      <c r="J109" s="1169"/>
      <c r="K109" s="1169"/>
      <c r="L109" s="805"/>
      <c r="M109" s="3"/>
      <c r="N109" s="3"/>
      <c r="O109" s="1162"/>
      <c r="P109" s="3"/>
      <c r="Q109" s="182"/>
      <c r="R109" s="3"/>
      <c r="S109" s="3"/>
      <c r="T109" s="3"/>
      <c r="U109" s="3"/>
      <c r="V109" s="3"/>
      <c r="W109" s="935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</row>
    <row r="110" customFormat="false" ht="26.8" hidden="true" customHeight="false" outlineLevel="0" collapsed="false">
      <c r="A110" s="3"/>
      <c r="B110" s="3"/>
      <c r="C110" s="802"/>
      <c r="D110" s="3"/>
      <c r="E110" s="3"/>
      <c r="F110" s="3"/>
      <c r="G110" s="3"/>
      <c r="H110" s="3"/>
      <c r="I110" s="3"/>
      <c r="J110" s="176"/>
      <c r="K110" s="176"/>
      <c r="L110" s="3"/>
      <c r="M110" s="3"/>
      <c r="N110" s="3"/>
      <c r="O110" s="1162"/>
      <c r="P110" s="3"/>
      <c r="Q110" s="182"/>
      <c r="R110" s="3"/>
      <c r="S110" s="3"/>
      <c r="T110" s="3"/>
      <c r="U110" s="3"/>
      <c r="V110" s="3"/>
      <c r="W110" s="935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customFormat="false" ht="26.8" hidden="true" customHeight="false" outlineLevel="0" collapsed="false">
      <c r="A111" s="3"/>
      <c r="B111" s="3"/>
      <c r="C111" s="803"/>
      <c r="D111" s="804" t="e">
        <f aca="false">IF(OR($D$105="Cumple estudio económico EAP con MN normal ",$D$106="Cumple estudio económico EAP con MN+25%",$D$107="Cumple estudio económico EAP con MN+25%",$D$108="Cumple estudio económico EAP con MN-25%",$D$109="Cumple estudio económico EAP con MN-25%"),"Cumple estudio económico EAP","NO cumple estudio económico EAP")</f>
        <v>#REF!</v>
      </c>
      <c r="E111" s="804"/>
      <c r="F111" s="423"/>
      <c r="G111" s="3"/>
      <c r="H111" s="3"/>
      <c r="I111" s="6"/>
      <c r="J111" s="731"/>
      <c r="K111" s="731"/>
      <c r="L111" s="6"/>
      <c r="M111" s="6"/>
      <c r="N111" s="6"/>
      <c r="O111" s="1162"/>
      <c r="P111" s="3"/>
      <c r="Q111" s="182"/>
      <c r="R111" s="3"/>
      <c r="S111" s="3"/>
      <c r="T111" s="3"/>
      <c r="U111" s="3"/>
      <c r="V111" s="3"/>
      <c r="W111" s="935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</row>
    <row r="112" customFormat="false" ht="26.8" hidden="true" customHeight="false" outlineLevel="0" collapsed="false">
      <c r="A112" s="3"/>
      <c r="B112" s="3"/>
      <c r="C112" s="3"/>
      <c r="D112" s="3"/>
      <c r="E112" s="3"/>
      <c r="F112" s="3"/>
      <c r="G112" s="3"/>
      <c r="H112" s="3"/>
      <c r="I112" s="793"/>
      <c r="J112" s="1170"/>
      <c r="K112" s="1170"/>
      <c r="L112" s="793"/>
      <c r="M112" s="805"/>
      <c r="N112" s="805"/>
      <c r="O112" s="1162"/>
      <c r="P112" s="3"/>
      <c r="Q112" s="182"/>
      <c r="R112" s="3"/>
      <c r="S112" s="3"/>
      <c r="T112" s="3"/>
      <c r="U112" s="3"/>
      <c r="V112" s="3"/>
      <c r="W112" s="935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</row>
    <row r="113" customFormat="false" ht="26.8" hidden="true" customHeight="false" outlineLevel="0" collapsed="false">
      <c r="A113" s="3"/>
      <c r="B113" s="3"/>
      <c r="C113" s="3"/>
      <c r="D113" s="3"/>
      <c r="E113" s="3"/>
      <c r="F113" s="3"/>
      <c r="G113" s="3"/>
      <c r="H113" s="3"/>
      <c r="I113" s="6"/>
      <c r="J113" s="731"/>
      <c r="K113" s="731"/>
      <c r="L113" s="6"/>
      <c r="M113" s="3"/>
      <c r="N113" s="3"/>
      <c r="O113" s="1162"/>
      <c r="P113" s="3"/>
      <c r="Q113" s="182"/>
      <c r="R113" s="3"/>
      <c r="S113" s="3"/>
      <c r="T113" s="3"/>
      <c r="U113" s="3"/>
      <c r="V113" s="3"/>
      <c r="W113" s="935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</row>
    <row r="114" customFormat="false" ht="26.8" hidden="true" customHeight="false" outlineLevel="0" collapsed="false">
      <c r="A114" s="3"/>
      <c r="B114" s="3"/>
      <c r="C114" s="1171" t="s">
        <v>669</v>
      </c>
      <c r="D114" s="3"/>
      <c r="E114" s="3"/>
      <c r="F114" s="3"/>
      <c r="G114" s="3"/>
      <c r="H114" s="423"/>
      <c r="I114" s="6"/>
      <c r="J114" s="731"/>
      <c r="K114" s="731"/>
      <c r="L114" s="6"/>
      <c r="M114" s="6"/>
      <c r="N114" s="6"/>
      <c r="O114" s="1162"/>
      <c r="P114" s="3"/>
      <c r="Q114" s="182"/>
      <c r="R114" s="3"/>
      <c r="S114" s="3"/>
      <c r="T114" s="3"/>
      <c r="U114" s="3"/>
      <c r="V114" s="3"/>
      <c r="W114" s="935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</row>
    <row r="115" customFormat="false" ht="26.8" hidden="true" customHeight="false" outlineLevel="0" collapsed="false">
      <c r="A115" s="3"/>
      <c r="B115" s="3"/>
      <c r="C115" s="1172" t="s">
        <v>15</v>
      </c>
      <c r="D115" s="3"/>
      <c r="E115" s="3"/>
      <c r="F115" s="3"/>
      <c r="G115" s="3"/>
      <c r="H115" s="3"/>
      <c r="I115" s="1173"/>
      <c r="J115" s="1173"/>
      <c r="K115" s="1173"/>
      <c r="L115" s="1173"/>
      <c r="M115" s="793"/>
      <c r="N115" s="793"/>
      <c r="O115" s="1162"/>
      <c r="P115" s="3"/>
      <c r="Q115" s="182"/>
      <c r="R115" s="3"/>
      <c r="S115" s="3"/>
      <c r="T115" s="3"/>
      <c r="U115" s="3"/>
      <c r="V115" s="3"/>
      <c r="W115" s="935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</row>
    <row r="116" customFormat="false" ht="26.8" hidden="true" customHeight="false" outlineLevel="0" collapsed="false">
      <c r="A116" s="3"/>
      <c r="B116" s="3"/>
      <c r="C116" s="1172" t="s">
        <v>19</v>
      </c>
      <c r="D116" s="3"/>
      <c r="E116" s="3"/>
      <c r="F116" s="3"/>
      <c r="G116" s="3"/>
      <c r="H116" s="3"/>
      <c r="I116" s="1174"/>
      <c r="J116" s="1174"/>
      <c r="K116" s="1174"/>
      <c r="L116" s="1174"/>
      <c r="M116" s="6"/>
      <c r="N116" s="6"/>
      <c r="O116" s="1162"/>
      <c r="P116" s="3"/>
      <c r="Q116" s="182"/>
      <c r="R116" s="3"/>
      <c r="S116" s="3"/>
      <c r="T116" s="3"/>
      <c r="U116" s="3"/>
      <c r="V116" s="3"/>
      <c r="W116" s="935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</row>
    <row r="117" customFormat="false" ht="26.8" hidden="true" customHeight="false" outlineLevel="0" collapsed="false">
      <c r="A117" s="3"/>
      <c r="B117" s="3"/>
      <c r="C117" s="3"/>
      <c r="D117" s="3"/>
      <c r="E117" s="3"/>
      <c r="F117" s="3"/>
      <c r="G117" s="3"/>
      <c r="H117" s="3"/>
      <c r="I117" s="1175"/>
      <c r="J117" s="1175"/>
      <c r="K117" s="1175"/>
      <c r="L117" s="1175"/>
      <c r="M117" s="6"/>
      <c r="N117" s="6"/>
      <c r="O117" s="1162"/>
      <c r="P117" s="3"/>
      <c r="Q117" s="182"/>
      <c r="R117" s="3"/>
      <c r="S117" s="3"/>
      <c r="T117" s="3"/>
      <c r="U117" s="3"/>
      <c r="V117" s="3"/>
      <c r="W117" s="935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</row>
    <row r="118" customFormat="false" ht="26.8" hidden="true" customHeight="false" outlineLevel="0" collapsed="false">
      <c r="A118" s="3"/>
      <c r="B118" s="3"/>
      <c r="C118" s="3"/>
      <c r="D118" s="3"/>
      <c r="E118" s="3"/>
      <c r="F118" s="3"/>
      <c r="G118" s="3"/>
      <c r="H118" s="3"/>
      <c r="I118" s="1175"/>
      <c r="J118" s="1175"/>
      <c r="K118" s="1175"/>
      <c r="L118" s="1175"/>
      <c r="M118" s="1176"/>
      <c r="N118" s="1176"/>
      <c r="O118" s="1162"/>
      <c r="P118" s="3"/>
      <c r="Q118" s="182"/>
      <c r="R118" s="3"/>
      <c r="S118" s="3"/>
      <c r="T118" s="3"/>
      <c r="U118" s="181"/>
      <c r="V118" s="3"/>
      <c r="W118" s="935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</row>
    <row r="119" customFormat="false" ht="26.8" hidden="true" customHeight="false" outlineLevel="0" collapsed="false">
      <c r="A119" s="3"/>
      <c r="B119" s="3"/>
      <c r="C119" s="66" t="s">
        <v>13</v>
      </c>
      <c r="D119" s="51"/>
      <c r="E119" s="51"/>
      <c r="F119" s="3"/>
      <c r="G119" s="3"/>
      <c r="H119" s="3"/>
      <c r="I119" s="1175"/>
      <c r="J119" s="1175"/>
      <c r="K119" s="1175"/>
      <c r="L119" s="1175"/>
      <c r="M119" s="1174"/>
      <c r="N119" s="1174"/>
      <c r="O119" s="1177"/>
      <c r="P119" s="3"/>
      <c r="Q119" s="182"/>
      <c r="R119" s="3"/>
      <c r="S119" s="3"/>
      <c r="T119" s="3"/>
      <c r="U119" s="181"/>
      <c r="V119" s="3"/>
      <c r="W119" s="935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</row>
    <row r="120" customFormat="false" ht="26.8" hidden="true" customHeight="false" outlineLevel="0" collapsed="false">
      <c r="A120" s="3"/>
      <c r="B120" s="3"/>
      <c r="C120" s="1178" t="n">
        <v>2004</v>
      </c>
      <c r="D120" s="92" t="n">
        <v>20583</v>
      </c>
      <c r="E120" s="92"/>
      <c r="F120" s="3"/>
      <c r="G120" s="3"/>
      <c r="H120" s="3"/>
      <c r="I120" s="1175"/>
      <c r="J120" s="1175"/>
      <c r="K120" s="1175"/>
      <c r="L120" s="1175"/>
      <c r="M120" s="1175"/>
      <c r="N120" s="1175"/>
      <c r="O120" s="1177"/>
      <c r="P120" s="3"/>
      <c r="Q120" s="182"/>
      <c r="R120" s="1179" t="s">
        <v>675</v>
      </c>
      <c r="S120" s="1179"/>
      <c r="T120" s="1179"/>
      <c r="U120" s="1179"/>
      <c r="V120" s="1179"/>
      <c r="W120" s="1179"/>
      <c r="X120" s="1179"/>
      <c r="Y120" s="1179"/>
      <c r="Z120" s="1179"/>
      <c r="AA120" s="1179"/>
      <c r="AB120" s="1179"/>
      <c r="AC120" s="1179"/>
      <c r="AD120" s="1179"/>
      <c r="AE120" s="1179"/>
      <c r="AF120" s="1179"/>
      <c r="AG120" s="1179"/>
      <c r="AH120" s="1179"/>
      <c r="AI120" s="1179"/>
      <c r="AJ120" s="1179"/>
      <c r="AK120" s="1179"/>
      <c r="AL120" s="1179"/>
      <c r="AM120" s="1179"/>
      <c r="AN120" s="1179"/>
    </row>
    <row r="121" customFormat="false" ht="26.8" hidden="true" customHeight="false" outlineLevel="0" collapsed="false">
      <c r="A121" s="3"/>
      <c r="B121" s="3"/>
      <c r="C121" s="1178" t="n">
        <v>2005</v>
      </c>
      <c r="D121" s="92" t="n">
        <v>21229</v>
      </c>
      <c r="E121" s="92" t="n">
        <f aca="false">D121-D120</f>
        <v>646</v>
      </c>
      <c r="F121" s="3"/>
      <c r="G121" s="3"/>
      <c r="H121" s="3"/>
      <c r="I121" s="1175"/>
      <c r="J121" s="1175"/>
      <c r="K121" s="1175"/>
      <c r="L121" s="1175"/>
      <c r="M121" s="1175"/>
      <c r="N121" s="1175"/>
      <c r="O121" s="1177"/>
      <c r="P121" s="3"/>
      <c r="Q121" s="182"/>
      <c r="R121" s="60"/>
      <c r="S121" s="51"/>
      <c r="T121" s="11"/>
      <c r="U121" s="11"/>
      <c r="V121" s="226"/>
      <c r="W121" s="1180"/>
      <c r="X121" s="45"/>
      <c r="Y121" s="45"/>
      <c r="Z121" s="51"/>
      <c r="AA121" s="3"/>
      <c r="AB121" s="1181" t="s">
        <v>676</v>
      </c>
      <c r="AC121" s="51"/>
      <c r="AD121" s="718"/>
      <c r="AE121" s="51"/>
      <c r="AF121" s="718"/>
      <c r="AG121" s="51"/>
      <c r="AH121" s="51"/>
      <c r="AI121" s="51"/>
      <c r="AJ121" s="45"/>
      <c r="AK121" s="51"/>
      <c r="AL121" s="52"/>
      <c r="AM121" s="51"/>
      <c r="AN121" s="51"/>
    </row>
    <row r="122" customFormat="false" ht="26.8" hidden="true" customHeight="false" outlineLevel="0" collapsed="false">
      <c r="A122" s="3"/>
      <c r="B122" s="3"/>
      <c r="C122" s="1178" t="n">
        <v>2006</v>
      </c>
      <c r="D122" s="92" t="n">
        <v>22022</v>
      </c>
      <c r="E122" s="92" t="n">
        <f aca="false">D122-D121</f>
        <v>793</v>
      </c>
      <c r="F122" s="3"/>
      <c r="G122" s="3"/>
      <c r="H122" s="3"/>
      <c r="I122" s="3"/>
      <c r="J122" s="176"/>
      <c r="K122" s="176"/>
      <c r="L122" s="3"/>
      <c r="M122" s="1175"/>
      <c r="N122" s="1175"/>
      <c r="O122" s="1177"/>
      <c r="P122" s="3"/>
      <c r="Q122" s="182"/>
      <c r="R122" s="811"/>
      <c r="S122" s="1182"/>
      <c r="T122" s="811"/>
      <c r="U122" s="811"/>
      <c r="V122" s="1183"/>
      <c r="W122" s="1184"/>
      <c r="X122" s="1183"/>
      <c r="Y122" s="815"/>
      <c r="Z122" s="816"/>
      <c r="AA122" s="816"/>
      <c r="AB122" s="816"/>
      <c r="AC122" s="811"/>
      <c r="AD122" s="1185"/>
      <c r="AE122" s="811"/>
      <c r="AF122" s="1185"/>
      <c r="AG122" s="811"/>
      <c r="AH122" s="811"/>
      <c r="AI122" s="811"/>
      <c r="AJ122" s="815"/>
      <c r="AK122" s="811"/>
      <c r="AL122" s="865"/>
      <c r="AM122" s="811"/>
      <c r="AN122" s="822"/>
    </row>
    <row r="123" customFormat="false" ht="15.75" hidden="true" customHeight="true" outlineLevel="0" collapsed="false">
      <c r="A123" s="3"/>
      <c r="B123" s="3"/>
      <c r="C123" s="1178" t="n">
        <v>2007</v>
      </c>
      <c r="D123" s="92" t="n">
        <v>22732</v>
      </c>
      <c r="E123" s="92" t="n">
        <f aca="false">D123-D122</f>
        <v>710</v>
      </c>
      <c r="F123" s="3"/>
      <c r="G123" s="3"/>
      <c r="H123" s="3"/>
      <c r="I123" s="3"/>
      <c r="J123" s="176"/>
      <c r="K123" s="176"/>
      <c r="L123" s="3"/>
      <c r="M123" s="1175"/>
      <c r="N123" s="1175"/>
      <c r="O123" s="1177"/>
      <c r="P123" s="3"/>
      <c r="Q123" s="182"/>
      <c r="R123" s="1186" t="s">
        <v>677</v>
      </c>
      <c r="S123" s="1187" t="n">
        <v>15</v>
      </c>
      <c r="T123" s="928" t="s">
        <v>820</v>
      </c>
      <c r="U123" s="928"/>
      <c r="V123" s="928"/>
      <c r="W123" s="928"/>
      <c r="X123" s="928"/>
      <c r="Y123" s="928"/>
      <c r="Z123" s="869" t="n">
        <v>151</v>
      </c>
      <c r="AA123" s="1188" t="s">
        <v>821</v>
      </c>
      <c r="AB123" s="1188" t="str">
        <f aca="false">CONCATENATE(Z123,"-",AA123)</f>
        <v>151-Exp. especializadas en cereal (distinta de la de arroz), cultivo plantas oleaginosas y proteaginosas</v>
      </c>
      <c r="AC123" s="520"/>
      <c r="AD123" s="1189"/>
      <c r="AE123" s="520"/>
      <c r="AF123" s="1189"/>
      <c r="AG123" s="520"/>
      <c r="AH123" s="520"/>
      <c r="AI123" s="520"/>
      <c r="AJ123" s="1190"/>
      <c r="AK123" s="520"/>
      <c r="AL123" s="876"/>
      <c r="AM123" s="520"/>
      <c r="AN123" s="869" t="n">
        <v>151</v>
      </c>
    </row>
    <row r="124" customFormat="false" ht="26.8" hidden="true" customHeight="false" outlineLevel="0" collapsed="false">
      <c r="A124" s="3"/>
      <c r="B124" s="3"/>
      <c r="C124" s="1178" t="n">
        <v>2009</v>
      </c>
      <c r="D124" s="92" t="n">
        <v>24906</v>
      </c>
      <c r="E124" s="92" t="n">
        <f aca="false">D124-D123</f>
        <v>2174</v>
      </c>
      <c r="F124" s="3"/>
      <c r="G124" s="3"/>
      <c r="H124" s="3"/>
      <c r="I124" s="1175"/>
      <c r="J124" s="1175"/>
      <c r="K124" s="1175"/>
      <c r="L124" s="1175"/>
      <c r="M124" s="1175"/>
      <c r="N124" s="1175"/>
      <c r="O124" s="1177"/>
      <c r="P124" s="3"/>
      <c r="Q124" s="182"/>
      <c r="R124" s="1186"/>
      <c r="S124" s="1187"/>
      <c r="T124" s="928"/>
      <c r="U124" s="928"/>
      <c r="V124" s="928"/>
      <c r="W124" s="928"/>
      <c r="X124" s="928"/>
      <c r="Y124" s="928"/>
      <c r="Z124" s="869" t="n">
        <v>152</v>
      </c>
      <c r="AA124" s="874" t="s">
        <v>822</v>
      </c>
      <c r="AB124" s="1188" t="str">
        <f aca="false">CONCATENATE(Z124,"-",AA124)</f>
        <v>152-Explotaciones especializadas en arroz</v>
      </c>
      <c r="AC124" s="811"/>
      <c r="AD124" s="1185"/>
      <c r="AE124" s="811"/>
      <c r="AF124" s="1185"/>
      <c r="AG124" s="811"/>
      <c r="AH124" s="811"/>
      <c r="AI124" s="811"/>
      <c r="AJ124" s="815"/>
      <c r="AK124" s="811"/>
      <c r="AL124" s="865"/>
      <c r="AM124" s="811"/>
      <c r="AN124" s="869" t="n">
        <v>152</v>
      </c>
    </row>
    <row r="125" customFormat="false" ht="26.8" hidden="true" customHeight="false" outlineLevel="0" collapsed="false">
      <c r="A125" s="3"/>
      <c r="B125" s="3"/>
      <c r="C125" s="1178" t="n">
        <v>2010</v>
      </c>
      <c r="D125" s="92" t="n">
        <v>26305</v>
      </c>
      <c r="E125" s="92" t="n">
        <f aca="false">D125-D124</f>
        <v>1399</v>
      </c>
      <c r="F125" s="3"/>
      <c r="G125" s="3"/>
      <c r="H125" s="3"/>
      <c r="I125" s="1175"/>
      <c r="J125" s="1175"/>
      <c r="K125" s="1175"/>
      <c r="L125" s="1175"/>
      <c r="M125" s="3"/>
      <c r="N125" s="3"/>
      <c r="O125" s="1162"/>
      <c r="P125" s="3"/>
      <c r="Q125" s="182"/>
      <c r="R125" s="1186"/>
      <c r="S125" s="1187"/>
      <c r="T125" s="928"/>
      <c r="U125" s="928"/>
      <c r="V125" s="928"/>
      <c r="W125" s="928"/>
      <c r="X125" s="928"/>
      <c r="Y125" s="928"/>
      <c r="Z125" s="884" t="n">
        <v>153</v>
      </c>
      <c r="AA125" s="1191" t="s">
        <v>823</v>
      </c>
      <c r="AB125" s="1188" t="str">
        <f aca="false">CONCATENATE(Z125,"-",AA125)</f>
        <v>153-Explotaciones que combinen cereales, arroz, semillas oleaginosas y proteaginosas</v>
      </c>
      <c r="AC125" s="508"/>
      <c r="AD125" s="1192"/>
      <c r="AE125" s="508"/>
      <c r="AF125" s="1192"/>
      <c r="AG125" s="508"/>
      <c r="AH125" s="508"/>
      <c r="AI125" s="508"/>
      <c r="AJ125" s="148"/>
      <c r="AK125" s="508"/>
      <c r="AL125" s="1193"/>
      <c r="AM125" s="508"/>
      <c r="AN125" s="884" t="n">
        <v>153</v>
      </c>
    </row>
    <row r="126" customFormat="false" ht="12.75" hidden="true" customHeight="true" outlineLevel="0" collapsed="false">
      <c r="A126" s="3"/>
      <c r="B126" s="3"/>
      <c r="C126" s="1178" t="n">
        <v>2011</v>
      </c>
      <c r="D126" s="92" t="n">
        <v>27503</v>
      </c>
      <c r="E126" s="92" t="n">
        <f aca="false">D126-D125</f>
        <v>1198</v>
      </c>
      <c r="F126" s="3"/>
      <c r="G126" s="3"/>
      <c r="H126" s="3"/>
      <c r="I126" s="1175"/>
      <c r="J126" s="1175"/>
      <c r="K126" s="1175"/>
      <c r="L126" s="1175"/>
      <c r="M126" s="3"/>
      <c r="N126" s="3"/>
      <c r="O126" s="1162"/>
      <c r="P126" s="3"/>
      <c r="Q126" s="182"/>
      <c r="R126" s="1186"/>
      <c r="S126" s="1187" t="n">
        <v>16</v>
      </c>
      <c r="T126" s="928" t="s">
        <v>682</v>
      </c>
      <c r="U126" s="928"/>
      <c r="V126" s="928"/>
      <c r="W126" s="928"/>
      <c r="X126" s="928"/>
      <c r="Y126" s="928"/>
      <c r="Z126" s="869" t="n">
        <v>161</v>
      </c>
      <c r="AA126" s="874" t="s">
        <v>824</v>
      </c>
      <c r="AB126" s="1188" t="str">
        <f aca="false">CONCATENATE(Z126,"-",AA126)</f>
        <v>161-Explotaciones especializadas en el cultivo de raíces y tubérculos</v>
      </c>
      <c r="AC126" s="811"/>
      <c r="AD126" s="1185"/>
      <c r="AE126" s="811"/>
      <c r="AF126" s="1185"/>
      <c r="AG126" s="811"/>
      <c r="AH126" s="811"/>
      <c r="AI126" s="811"/>
      <c r="AJ126" s="815"/>
      <c r="AK126" s="811"/>
      <c r="AL126" s="865"/>
      <c r="AM126" s="811"/>
      <c r="AN126" s="869" t="n">
        <v>161</v>
      </c>
    </row>
    <row r="127" customFormat="false" ht="26.8" hidden="true" customHeight="false" outlineLevel="0" collapsed="false">
      <c r="A127" s="3"/>
      <c r="B127" s="3"/>
      <c r="C127" s="1178" t="n">
        <v>2012</v>
      </c>
      <c r="D127" s="92" t="n">
        <v>27907</v>
      </c>
      <c r="E127" s="92" t="n">
        <f aca="false">D127-D126</f>
        <v>404</v>
      </c>
      <c r="F127" s="3"/>
      <c r="G127" s="3"/>
      <c r="H127" s="3"/>
      <c r="I127" s="3"/>
      <c r="J127" s="58"/>
      <c r="K127" s="58"/>
      <c r="L127" s="58"/>
      <c r="M127" s="1175"/>
      <c r="N127" s="1175"/>
      <c r="O127" s="1177"/>
      <c r="P127" s="3"/>
      <c r="Q127" s="182"/>
      <c r="R127" s="1186"/>
      <c r="S127" s="1187"/>
      <c r="T127" s="928"/>
      <c r="U127" s="928"/>
      <c r="V127" s="928"/>
      <c r="W127" s="928"/>
      <c r="X127" s="928"/>
      <c r="Y127" s="928"/>
      <c r="Z127" s="869" t="n">
        <v>162</v>
      </c>
      <c r="AA127" s="874" t="s">
        <v>825</v>
      </c>
      <c r="AB127" s="1188" t="str">
        <f aca="false">CONCATENATE(Z127,"-",AA127)</f>
        <v>162-Explotaciones que combinen cereales, semillas oleaginosas y proteaginosas y raíces y tubérculos</v>
      </c>
      <c r="AC127" s="811"/>
      <c r="AD127" s="1185"/>
      <c r="AE127" s="811"/>
      <c r="AF127" s="1185"/>
      <c r="AG127" s="811"/>
      <c r="AH127" s="811"/>
      <c r="AI127" s="811"/>
      <c r="AJ127" s="815"/>
      <c r="AK127" s="811"/>
      <c r="AL127" s="865"/>
      <c r="AM127" s="811"/>
      <c r="AN127" s="869" t="n">
        <v>162</v>
      </c>
    </row>
    <row r="128" customFormat="false" ht="26.8" hidden="true" customHeight="false" outlineLevel="0" collapsed="false">
      <c r="A128" s="3"/>
      <c r="B128" s="3"/>
      <c r="C128" s="1178" t="n">
        <v>2013</v>
      </c>
      <c r="D128" s="92" t="n">
        <v>28278</v>
      </c>
      <c r="E128" s="92" t="n">
        <f aca="false">D128-D127</f>
        <v>371</v>
      </c>
      <c r="F128" s="3"/>
      <c r="G128" s="3"/>
      <c r="H128" s="3"/>
      <c r="I128" s="3"/>
      <c r="J128" s="1194" t="s">
        <v>669</v>
      </c>
      <c r="K128" s="153"/>
      <c r="L128" s="51"/>
      <c r="M128" s="1175"/>
      <c r="N128" s="1175"/>
      <c r="O128" s="1177"/>
      <c r="P128" s="3"/>
      <c r="Q128" s="182"/>
      <c r="R128" s="1186"/>
      <c r="S128" s="1187"/>
      <c r="T128" s="928"/>
      <c r="U128" s="928"/>
      <c r="V128" s="928"/>
      <c r="W128" s="928"/>
      <c r="X128" s="928"/>
      <c r="Y128" s="928"/>
      <c r="Z128" s="869" t="n">
        <v>163</v>
      </c>
      <c r="AA128" s="874" t="s">
        <v>826</v>
      </c>
      <c r="AB128" s="1188" t="str">
        <f aca="false">CONCATENATE(Z128,"-",AA128)</f>
        <v>163-Explotaciones especializadas en el cultivo de hortalizas producidas al aire libre</v>
      </c>
      <c r="AC128" s="811"/>
      <c r="AD128" s="1185"/>
      <c r="AE128" s="811"/>
      <c r="AF128" s="1185"/>
      <c r="AG128" s="811"/>
      <c r="AH128" s="811"/>
      <c r="AI128" s="811"/>
      <c r="AJ128" s="815"/>
      <c r="AK128" s="811"/>
      <c r="AL128" s="865"/>
      <c r="AM128" s="811"/>
      <c r="AN128" s="869" t="n">
        <v>163</v>
      </c>
    </row>
    <row r="129" customFormat="false" ht="26.8" hidden="true" customHeight="false" outlineLevel="0" collapsed="false">
      <c r="A129" s="3"/>
      <c r="B129" s="3"/>
      <c r="C129" s="1178" t="n">
        <v>2014</v>
      </c>
      <c r="D129" s="92" t="n">
        <v>28165</v>
      </c>
      <c r="E129" s="92" t="n">
        <f aca="false">D129-D128</f>
        <v>-113</v>
      </c>
      <c r="F129" s="3"/>
      <c r="G129" s="3"/>
      <c r="H129" s="3"/>
      <c r="I129" s="3"/>
      <c r="J129" s="1195" t="s">
        <v>15</v>
      </c>
      <c r="K129" s="1196"/>
      <c r="L129" s="1196"/>
      <c r="M129" s="1175"/>
      <c r="N129" s="1175"/>
      <c r="O129" s="1177"/>
      <c r="P129" s="3"/>
      <c r="Q129" s="182"/>
      <c r="R129" s="1186"/>
      <c r="S129" s="1187"/>
      <c r="T129" s="928"/>
      <c r="U129" s="928"/>
      <c r="V129" s="928"/>
      <c r="W129" s="928"/>
      <c r="X129" s="928"/>
      <c r="Y129" s="928"/>
      <c r="Z129" s="869" t="n">
        <v>164</v>
      </c>
      <c r="AA129" s="874" t="s">
        <v>686</v>
      </c>
      <c r="AB129" s="1188" t="str">
        <f aca="false">CONCATENATE(Z129,"-",AA129)</f>
        <v>164-Explotaciones especializadas en el cultivo de tabaco</v>
      </c>
      <c r="AC129" s="811"/>
      <c r="AD129" s="1185"/>
      <c r="AE129" s="811"/>
      <c r="AF129" s="1185"/>
      <c r="AG129" s="811"/>
      <c r="AH129" s="811"/>
      <c r="AI129" s="811"/>
      <c r="AJ129" s="815"/>
      <c r="AK129" s="811"/>
      <c r="AL129" s="865"/>
      <c r="AM129" s="811"/>
      <c r="AN129" s="869" t="n">
        <v>164</v>
      </c>
    </row>
    <row r="130" customFormat="false" ht="26.8" hidden="true" customHeight="false" outlineLevel="0" collapsed="false">
      <c r="A130" s="3"/>
      <c r="B130" s="3"/>
      <c r="C130" s="1178" t="n">
        <v>2015</v>
      </c>
      <c r="D130" s="92" t="n">
        <v>28051.2</v>
      </c>
      <c r="E130" s="92" t="n">
        <f aca="false">D130-D129</f>
        <v>-113.799999999999</v>
      </c>
      <c r="F130" s="3"/>
      <c r="G130" s="3"/>
      <c r="H130" s="3"/>
      <c r="I130" s="3"/>
      <c r="J130" s="1197" t="s">
        <v>19</v>
      </c>
      <c r="K130" s="176"/>
      <c r="L130" s="3"/>
      <c r="M130" s="58"/>
      <c r="N130" s="58"/>
      <c r="O130" s="1198"/>
      <c r="P130" s="3"/>
      <c r="Q130" s="1199"/>
      <c r="R130" s="1186"/>
      <c r="S130" s="1187"/>
      <c r="T130" s="928"/>
      <c r="U130" s="928"/>
      <c r="V130" s="928"/>
      <c r="W130" s="928"/>
      <c r="X130" s="928"/>
      <c r="Y130" s="928"/>
      <c r="Z130" s="869" t="n">
        <v>165</v>
      </c>
      <c r="AA130" s="874" t="s">
        <v>687</v>
      </c>
      <c r="AB130" s="1188" t="str">
        <f aca="false">CONCATENATE(Z130,"-",AA130)</f>
        <v>165-Explotaciones especializadas en el cultivo de algodón</v>
      </c>
      <c r="AC130" s="811"/>
      <c r="AD130" s="1185"/>
      <c r="AE130" s="811"/>
      <c r="AF130" s="1185"/>
      <c r="AG130" s="811"/>
      <c r="AH130" s="811"/>
      <c r="AI130" s="811"/>
      <c r="AJ130" s="815"/>
      <c r="AK130" s="811"/>
      <c r="AL130" s="865"/>
      <c r="AM130" s="811"/>
      <c r="AN130" s="869" t="n">
        <v>165</v>
      </c>
    </row>
    <row r="131" customFormat="false" ht="26.8" hidden="true" customHeight="false" outlineLevel="0" collapsed="false">
      <c r="A131" s="3"/>
      <c r="B131" s="3"/>
      <c r="C131" s="1178" t="n">
        <v>2016</v>
      </c>
      <c r="D131" s="92" t="n">
        <v>28396.56</v>
      </c>
      <c r="E131" s="92" t="n">
        <f aca="false">D131-D130</f>
        <v>345.360000000001</v>
      </c>
      <c r="F131" s="3"/>
      <c r="G131" s="3"/>
      <c r="H131" s="3"/>
      <c r="I131" s="3"/>
      <c r="J131" s="1200" t="s">
        <v>673</v>
      </c>
      <c r="K131" s="176"/>
      <c r="L131" s="3"/>
      <c r="M131" s="51"/>
      <c r="N131" s="51"/>
      <c r="O131" s="1162"/>
      <c r="P131" s="3"/>
      <c r="Q131" s="182"/>
      <c r="R131" s="1186"/>
      <c r="S131" s="1187"/>
      <c r="T131" s="928"/>
      <c r="U131" s="928"/>
      <c r="V131" s="928"/>
      <c r="W131" s="928"/>
      <c r="X131" s="928"/>
      <c r="Y131" s="928"/>
      <c r="Z131" s="869" t="n">
        <v>166</v>
      </c>
      <c r="AA131" s="874" t="s">
        <v>827</v>
      </c>
      <c r="AB131" s="1188" t="str">
        <f aca="false">CONCATENATE(Z131,"-",AA131)</f>
        <v>166-Explotaciones con combinaciones de varios grandes  cultivos</v>
      </c>
      <c r="AC131" s="811"/>
      <c r="AD131" s="1185"/>
      <c r="AE131" s="811"/>
      <c r="AF131" s="1185"/>
      <c r="AG131" s="811"/>
      <c r="AH131" s="811"/>
      <c r="AI131" s="811"/>
      <c r="AJ131" s="815"/>
      <c r="AK131" s="811"/>
      <c r="AL131" s="865"/>
      <c r="AM131" s="811"/>
      <c r="AN131" s="869" t="n">
        <v>166</v>
      </c>
    </row>
    <row r="132" customFormat="false" ht="26.8" hidden="true" customHeight="false" outlineLevel="0" collapsed="false">
      <c r="A132" s="3"/>
      <c r="B132" s="3"/>
      <c r="C132" s="1178" t="n">
        <v>2017</v>
      </c>
      <c r="D132" s="45" t="n">
        <v>28549.87</v>
      </c>
      <c r="E132" s="92" t="n">
        <f aca="false">D132-D131</f>
        <v>153.309999999998</v>
      </c>
      <c r="F132" s="3"/>
      <c r="G132" s="3"/>
      <c r="H132" s="3"/>
      <c r="I132" s="3"/>
      <c r="J132" s="176"/>
      <c r="K132" s="176"/>
      <c r="L132" s="3"/>
      <c r="M132" s="1201"/>
      <c r="N132" s="1201"/>
      <c r="O132" s="1202"/>
      <c r="P132" s="3"/>
      <c r="Q132" s="182"/>
      <c r="R132" s="1203" t="n">
        <v>2</v>
      </c>
      <c r="S132" s="1182" t="s">
        <v>828</v>
      </c>
      <c r="T132" s="865"/>
      <c r="U132" s="865"/>
      <c r="V132" s="1183"/>
      <c r="W132" s="1204"/>
      <c r="X132" s="1183"/>
      <c r="Y132" s="866"/>
      <c r="Z132" s="867"/>
      <c r="AA132" s="816"/>
      <c r="AB132" s="1188" t="str">
        <f aca="false">CONCATENATE(Z132,"-",AA132)</f>
        <v>-</v>
      </c>
      <c r="AC132" s="811"/>
      <c r="AD132" s="1185"/>
      <c r="AE132" s="811"/>
      <c r="AF132" s="1185"/>
      <c r="AG132" s="811"/>
      <c r="AH132" s="811"/>
      <c r="AI132" s="811"/>
      <c r="AJ132" s="815"/>
      <c r="AK132" s="811"/>
      <c r="AL132" s="865"/>
      <c r="AM132" s="811"/>
      <c r="AN132" s="867"/>
    </row>
    <row r="133" customFormat="false" ht="12.75" hidden="true" customHeight="true" outlineLevel="0" collapsed="false">
      <c r="A133" s="3"/>
      <c r="B133" s="3"/>
      <c r="C133" s="1178" t="n">
        <v>2018</v>
      </c>
      <c r="D133" s="45" t="n">
        <v>28725.31</v>
      </c>
      <c r="E133" s="92" t="n">
        <f aca="false">D133-D132</f>
        <v>175.440000000002</v>
      </c>
      <c r="F133" s="3"/>
      <c r="G133" s="3"/>
      <c r="H133" s="3"/>
      <c r="I133" s="3"/>
      <c r="J133" s="176"/>
      <c r="K133" s="176"/>
      <c r="L133" s="3"/>
      <c r="M133" s="3"/>
      <c r="N133" s="3"/>
      <c r="O133" s="1162"/>
      <c r="P133" s="3"/>
      <c r="Q133" s="182"/>
      <c r="R133" s="1203"/>
      <c r="S133" s="869" t="n">
        <v>21</v>
      </c>
      <c r="T133" s="928" t="s">
        <v>829</v>
      </c>
      <c r="U133" s="928"/>
      <c r="V133" s="928"/>
      <c r="W133" s="928"/>
      <c r="X133" s="928"/>
      <c r="Y133" s="928"/>
      <c r="Z133" s="869" t="n">
        <v>211</v>
      </c>
      <c r="AA133" s="1188" t="s">
        <v>830</v>
      </c>
      <c r="AB133" s="1188" t="str">
        <f aca="false">CONCATENATE(Z133,"-",AA133)</f>
        <v>211-Explotaciones especializadas en hortalizas en invernadero</v>
      </c>
      <c r="AC133" s="520"/>
      <c r="AD133" s="1189"/>
      <c r="AE133" s="520"/>
      <c r="AF133" s="1189"/>
      <c r="AG133" s="520"/>
      <c r="AH133" s="520"/>
      <c r="AI133" s="520"/>
      <c r="AJ133" s="1190"/>
      <c r="AK133" s="520"/>
      <c r="AL133" s="876"/>
      <c r="AM133" s="520"/>
      <c r="AN133" s="869" t="n">
        <v>211</v>
      </c>
    </row>
    <row r="134" customFormat="false" ht="26.8" hidden="true" customHeight="false" outlineLevel="0" collapsed="false">
      <c r="A134" s="3"/>
      <c r="B134" s="3"/>
      <c r="C134" s="1178" t="n">
        <v>2019</v>
      </c>
      <c r="D134" s="45" t="n">
        <v>28884.88</v>
      </c>
      <c r="E134" s="92" t="n">
        <f aca="false">D134-D133</f>
        <v>159.57</v>
      </c>
      <c r="F134" s="3"/>
      <c r="G134" s="3"/>
      <c r="H134" s="3"/>
      <c r="I134" s="3"/>
      <c r="J134" s="176"/>
      <c r="K134" s="176"/>
      <c r="L134" s="3"/>
      <c r="M134" s="3"/>
      <c r="N134" s="3"/>
      <c r="O134" s="1162"/>
      <c r="P134" s="3"/>
      <c r="Q134" s="182"/>
      <c r="R134" s="1203"/>
      <c r="S134" s="869"/>
      <c r="T134" s="928"/>
      <c r="U134" s="928"/>
      <c r="V134" s="928"/>
      <c r="W134" s="928"/>
      <c r="X134" s="928"/>
      <c r="Y134" s="928"/>
      <c r="Z134" s="869" t="n">
        <v>212</v>
      </c>
      <c r="AA134" s="874" t="s">
        <v>831</v>
      </c>
      <c r="AB134" s="1188" t="str">
        <f aca="false">CONCATENATE(Z134,"-",AA134)</f>
        <v>212-Explotaciones especializadas en floricultura y plantas ornamentales en invernadero</v>
      </c>
      <c r="AC134" s="811"/>
      <c r="AD134" s="1185"/>
      <c r="AE134" s="811"/>
      <c r="AF134" s="1185"/>
      <c r="AG134" s="811"/>
      <c r="AH134" s="811"/>
      <c r="AI134" s="811"/>
      <c r="AJ134" s="815"/>
      <c r="AK134" s="811"/>
      <c r="AL134" s="865"/>
      <c r="AM134" s="811"/>
      <c r="AN134" s="869" t="n">
        <v>212</v>
      </c>
    </row>
    <row r="135" customFormat="false" ht="26.8" hidden="true" customHeight="false" outlineLevel="0" collapsed="false">
      <c r="A135" s="3"/>
      <c r="B135" s="3"/>
      <c r="C135" s="1178" t="n">
        <v>2020</v>
      </c>
      <c r="D135" s="45" t="n">
        <v>29339.08</v>
      </c>
      <c r="E135" s="92" t="n">
        <f aca="false">D135-D134</f>
        <v>454.200000000001</v>
      </c>
      <c r="F135" s="3"/>
      <c r="G135" s="3"/>
      <c r="H135" s="3"/>
      <c r="I135" s="3"/>
      <c r="J135" s="176"/>
      <c r="K135" s="176"/>
      <c r="L135" s="3"/>
      <c r="M135" s="3"/>
      <c r="N135" s="3"/>
      <c r="O135" s="1162"/>
      <c r="P135" s="3"/>
      <c r="Q135" s="182"/>
      <c r="R135" s="1203"/>
      <c r="S135" s="869"/>
      <c r="T135" s="928"/>
      <c r="U135" s="928"/>
      <c r="V135" s="928"/>
      <c r="W135" s="928"/>
      <c r="X135" s="928"/>
      <c r="Y135" s="928"/>
      <c r="Z135" s="884" t="n">
        <v>213</v>
      </c>
      <c r="AA135" s="1191" t="s">
        <v>832</v>
      </c>
      <c r="AB135" s="1188" t="str">
        <f aca="false">CONCATENATE(Z135,"-",AA135)</f>
        <v>213-Explotaciones especialistas en policultivo hortícola en invernadero</v>
      </c>
      <c r="AC135" s="508"/>
      <c r="AD135" s="1192"/>
      <c r="AE135" s="508"/>
      <c r="AF135" s="1192"/>
      <c r="AG135" s="508"/>
      <c r="AH135" s="508"/>
      <c r="AI135" s="508"/>
      <c r="AJ135" s="148"/>
      <c r="AK135" s="508"/>
      <c r="AL135" s="1193"/>
      <c r="AM135" s="508"/>
      <c r="AN135" s="884" t="n">
        <v>213</v>
      </c>
    </row>
    <row r="136" customFormat="false" ht="12.75" hidden="true" customHeight="true" outlineLevel="0" collapsed="false">
      <c r="A136" s="3"/>
      <c r="B136" s="3"/>
      <c r="C136" s="1178" t="n">
        <v>2021</v>
      </c>
      <c r="D136" s="45" t="n">
        <v>30622.23</v>
      </c>
      <c r="E136" s="92" t="n">
        <f aca="false">D136-D135</f>
        <v>1283.15</v>
      </c>
      <c r="F136" s="3"/>
      <c r="G136" s="3"/>
      <c r="H136" s="3"/>
      <c r="I136" s="3"/>
      <c r="J136" s="176"/>
      <c r="K136" s="176"/>
      <c r="L136" s="3"/>
      <c r="M136" s="3"/>
      <c r="N136" s="3"/>
      <c r="O136" s="1162"/>
      <c r="P136" s="3"/>
      <c r="Q136" s="182"/>
      <c r="R136" s="1203"/>
      <c r="S136" s="869" t="n">
        <v>22</v>
      </c>
      <c r="T136" s="928" t="s">
        <v>833</v>
      </c>
      <c r="U136" s="928"/>
      <c r="V136" s="928"/>
      <c r="W136" s="928"/>
      <c r="X136" s="928"/>
      <c r="Y136" s="928"/>
      <c r="Z136" s="869" t="n">
        <v>221</v>
      </c>
      <c r="AA136" s="874" t="s">
        <v>834</v>
      </c>
      <c r="AB136" s="1188" t="str">
        <f aca="false">CONCATENATE(Z136,"-",AA136)</f>
        <v>221-Explotaciones especializadas en hortalizas al aire libre</v>
      </c>
      <c r="AC136" s="811"/>
      <c r="AD136" s="1185"/>
      <c r="AE136" s="811"/>
      <c r="AF136" s="1185"/>
      <c r="AG136" s="811"/>
      <c r="AH136" s="811"/>
      <c r="AI136" s="811"/>
      <c r="AJ136" s="815"/>
      <c r="AK136" s="811"/>
      <c r="AL136" s="865"/>
      <c r="AM136" s="811"/>
      <c r="AN136" s="869" t="n">
        <v>221</v>
      </c>
    </row>
    <row r="137" customFormat="false" ht="26.8" hidden="true" customHeight="false" outlineLevel="0" collapsed="false">
      <c r="A137" s="3"/>
      <c r="B137" s="3"/>
      <c r="C137" s="1178" t="n">
        <v>2022</v>
      </c>
      <c r="D137" s="45" t="n">
        <v>31502.93</v>
      </c>
      <c r="E137" s="92" t="n">
        <f aca="false">D137-D136</f>
        <v>880.700000000001</v>
      </c>
      <c r="F137" s="3"/>
      <c r="G137" s="3"/>
      <c r="H137" s="3"/>
      <c r="I137" s="3"/>
      <c r="J137" s="176"/>
      <c r="K137" s="176"/>
      <c r="L137" s="3"/>
      <c r="M137" s="3"/>
      <c r="N137" s="3"/>
      <c r="O137" s="1162"/>
      <c r="P137" s="3"/>
      <c r="Q137" s="182"/>
      <c r="R137" s="1203"/>
      <c r="S137" s="869"/>
      <c r="T137" s="928"/>
      <c r="U137" s="928"/>
      <c r="V137" s="928"/>
      <c r="W137" s="928"/>
      <c r="X137" s="928"/>
      <c r="Y137" s="928"/>
      <c r="Z137" s="869" t="n">
        <v>222</v>
      </c>
      <c r="AA137" s="874" t="s">
        <v>835</v>
      </c>
      <c r="AB137" s="1188" t="str">
        <f aca="false">CONCATENATE(Z137,"-",AA137)</f>
        <v>222-Explotaciones especializadas en floricultura y plantas ornamentales al aire libre</v>
      </c>
      <c r="AC137" s="811"/>
      <c r="AD137" s="1185"/>
      <c r="AE137" s="811"/>
      <c r="AF137" s="1185"/>
      <c r="AG137" s="811"/>
      <c r="AH137" s="811"/>
      <c r="AI137" s="811"/>
      <c r="AJ137" s="815"/>
      <c r="AK137" s="811"/>
      <c r="AL137" s="865"/>
      <c r="AM137" s="811"/>
      <c r="AN137" s="869" t="n">
        <v>222</v>
      </c>
    </row>
    <row r="138" customFormat="false" ht="26.8" hidden="true" customHeight="false" outlineLevel="0" collapsed="false">
      <c r="A138" s="3"/>
      <c r="B138" s="3"/>
      <c r="C138" s="1178" t="n">
        <v>2023</v>
      </c>
      <c r="D138" s="872" t="n">
        <v>32570.47</v>
      </c>
      <c r="E138" s="92" t="n">
        <f aca="false">D138-D137</f>
        <v>1067.54</v>
      </c>
      <c r="F138" s="3"/>
      <c r="G138" s="3"/>
      <c r="H138" s="3"/>
      <c r="I138" s="3"/>
      <c r="J138" s="176"/>
      <c r="K138" s="176"/>
      <c r="L138" s="3"/>
      <c r="M138" s="3"/>
      <c r="N138" s="3"/>
      <c r="O138" s="1162"/>
      <c r="P138" s="3"/>
      <c r="Q138" s="182"/>
      <c r="R138" s="1203"/>
      <c r="S138" s="869"/>
      <c r="T138" s="928"/>
      <c r="U138" s="928"/>
      <c r="V138" s="928"/>
      <c r="W138" s="928"/>
      <c r="X138" s="928"/>
      <c r="Y138" s="928"/>
      <c r="Z138" s="869" t="n">
        <v>223</v>
      </c>
      <c r="AA138" s="874" t="s">
        <v>836</v>
      </c>
      <c r="AB138" s="1188" t="str">
        <f aca="false">CONCATENATE(Z138,"-",AA138)</f>
        <v>223-Explotaciones especializadas en policultivo hortícola al aire libre</v>
      </c>
      <c r="AC138" s="811"/>
      <c r="AD138" s="1185"/>
      <c r="AE138" s="811"/>
      <c r="AF138" s="1185"/>
      <c r="AG138" s="811"/>
      <c r="AH138" s="811"/>
      <c r="AI138" s="811"/>
      <c r="AJ138" s="815"/>
      <c r="AK138" s="811"/>
      <c r="AL138" s="865"/>
      <c r="AM138" s="811"/>
      <c r="AN138" s="869" t="n">
        <v>223</v>
      </c>
    </row>
    <row r="139" customFormat="false" ht="12.75" hidden="true" customHeight="true" outlineLevel="0" collapsed="false">
      <c r="A139" s="3"/>
      <c r="B139" s="3"/>
      <c r="C139" s="1178" t="n">
        <v>2024</v>
      </c>
      <c r="D139" s="872" t="n">
        <v>34049.72</v>
      </c>
      <c r="E139" s="92" t="n">
        <f aca="false">D139-D138</f>
        <v>1479.25</v>
      </c>
      <c r="F139" s="3"/>
      <c r="G139" s="3"/>
      <c r="H139" s="3"/>
      <c r="I139" s="3"/>
      <c r="J139" s="176"/>
      <c r="K139" s="176"/>
      <c r="L139" s="3"/>
      <c r="M139" s="3"/>
      <c r="N139" s="3"/>
      <c r="O139" s="1162"/>
      <c r="P139" s="3"/>
      <c r="Q139" s="182"/>
      <c r="R139" s="1203"/>
      <c r="S139" s="869" t="n">
        <v>23</v>
      </c>
      <c r="T139" s="928" t="s">
        <v>698</v>
      </c>
      <c r="U139" s="928"/>
      <c r="V139" s="928"/>
      <c r="W139" s="928"/>
      <c r="X139" s="928"/>
      <c r="Y139" s="928"/>
      <c r="Z139" s="907" t="n">
        <v>231</v>
      </c>
      <c r="AA139" s="1188" t="s">
        <v>837</v>
      </c>
      <c r="AB139" s="1188" t="str">
        <f aca="false">CONCATENATE(Z139,"-",AA139)</f>
        <v>231-Explotaciones especializadas en el cultivo de setas</v>
      </c>
      <c r="AC139" s="520"/>
      <c r="AD139" s="1189"/>
      <c r="AE139" s="520"/>
      <c r="AF139" s="1189"/>
      <c r="AG139" s="520"/>
      <c r="AH139" s="520"/>
      <c r="AI139" s="520"/>
      <c r="AJ139" s="1190"/>
      <c r="AK139" s="520"/>
      <c r="AL139" s="876"/>
      <c r="AM139" s="520"/>
      <c r="AN139" s="907" t="n">
        <v>231</v>
      </c>
    </row>
    <row r="140" customFormat="false" ht="26.8" hidden="true" customHeight="false" outlineLevel="0" collapsed="false">
      <c r="A140" s="3"/>
      <c r="B140" s="3"/>
      <c r="C140" s="1178" t="n">
        <v>2025</v>
      </c>
      <c r="D140" s="3" t="n">
        <v>34624.31</v>
      </c>
      <c r="E140" s="3"/>
      <c r="F140" s="3"/>
      <c r="G140" s="3"/>
      <c r="H140" s="3"/>
      <c r="I140" s="3"/>
      <c r="J140" s="176"/>
      <c r="K140" s="176"/>
      <c r="L140" s="3"/>
      <c r="M140" s="3"/>
      <c r="N140" s="3"/>
      <c r="O140" s="1162"/>
      <c r="P140" s="3"/>
      <c r="Q140" s="1199"/>
      <c r="R140" s="1203"/>
      <c r="S140" s="869"/>
      <c r="T140" s="928"/>
      <c r="U140" s="928"/>
      <c r="V140" s="928"/>
      <c r="W140" s="928"/>
      <c r="X140" s="928"/>
      <c r="Y140" s="928"/>
      <c r="Z140" s="869" t="n">
        <v>232</v>
      </c>
      <c r="AA140" s="874" t="s">
        <v>838</v>
      </c>
      <c r="AB140" s="1188" t="str">
        <f aca="false">CONCATENATE(Z140,"-",AA140)</f>
        <v>232-Explotaciones especializadas en viveros</v>
      </c>
      <c r="AC140" s="811"/>
      <c r="AD140" s="1185"/>
      <c r="AE140" s="811"/>
      <c r="AF140" s="1185"/>
      <c r="AG140" s="811"/>
      <c r="AH140" s="811"/>
      <c r="AI140" s="811"/>
      <c r="AJ140" s="815"/>
      <c r="AK140" s="811"/>
      <c r="AL140" s="865"/>
      <c r="AM140" s="811"/>
      <c r="AN140" s="869" t="n">
        <v>232</v>
      </c>
    </row>
    <row r="141" customFormat="false" ht="26.8" hidden="true" customHeight="false" outlineLevel="0" collapsed="false">
      <c r="A141" s="3"/>
      <c r="B141" s="3"/>
      <c r="C141" s="3"/>
      <c r="D141" s="3"/>
      <c r="E141" s="3"/>
      <c r="F141" s="3"/>
      <c r="G141" s="3"/>
      <c r="H141" s="3"/>
      <c r="I141" s="3"/>
      <c r="J141" s="176"/>
      <c r="K141" s="176"/>
      <c r="L141" s="3"/>
      <c r="M141" s="3"/>
      <c r="N141" s="3"/>
      <c r="O141" s="1162"/>
      <c r="P141" s="3"/>
      <c r="Q141" s="182"/>
      <c r="R141" s="1203"/>
      <c r="S141" s="869"/>
      <c r="T141" s="928"/>
      <c r="U141" s="928"/>
      <c r="V141" s="928"/>
      <c r="W141" s="928"/>
      <c r="X141" s="928"/>
      <c r="Y141" s="928"/>
      <c r="Z141" s="869" t="n">
        <v>233</v>
      </c>
      <c r="AA141" s="1191" t="s">
        <v>701</v>
      </c>
      <c r="AB141" s="1188" t="str">
        <f aca="false">CONCATENATE(Z141,"-",AA141)</f>
        <v>233-Horticultura Diversa</v>
      </c>
      <c r="AC141" s="508"/>
      <c r="AD141" s="1192"/>
      <c r="AE141" s="508"/>
      <c r="AF141" s="1192"/>
      <c r="AG141" s="508"/>
      <c r="AH141" s="508"/>
      <c r="AI141" s="508"/>
      <c r="AJ141" s="148"/>
      <c r="AK141" s="508"/>
      <c r="AL141" s="1193"/>
      <c r="AM141" s="508"/>
      <c r="AN141" s="869" t="n">
        <v>233</v>
      </c>
    </row>
    <row r="142" customFormat="false" ht="26.8" hidden="true" customHeight="fals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176"/>
      <c r="K142" s="176"/>
      <c r="L142" s="3"/>
      <c r="M142" s="3"/>
      <c r="N142" s="3"/>
      <c r="O142" s="1162"/>
      <c r="P142" s="3"/>
      <c r="Q142" s="182"/>
      <c r="R142" s="1203" t="n">
        <v>3</v>
      </c>
      <c r="S142" s="1182" t="s">
        <v>839</v>
      </c>
      <c r="T142" s="865"/>
      <c r="U142" s="865"/>
      <c r="V142" s="1183"/>
      <c r="W142" s="1204"/>
      <c r="X142" s="1183"/>
      <c r="Y142" s="866"/>
      <c r="Z142" s="867"/>
      <c r="AA142" s="816"/>
      <c r="AB142" s="1188" t="str">
        <f aca="false">CONCATENATE(Z142,"-",AA142)</f>
        <v>-</v>
      </c>
      <c r="AC142" s="811"/>
      <c r="AD142" s="1185"/>
      <c r="AE142" s="811"/>
      <c r="AF142" s="1185"/>
      <c r="AG142" s="811"/>
      <c r="AH142" s="811"/>
      <c r="AI142" s="811"/>
      <c r="AJ142" s="815"/>
      <c r="AK142" s="811"/>
      <c r="AL142" s="865"/>
      <c r="AM142" s="811"/>
      <c r="AN142" s="867"/>
    </row>
    <row r="143" customFormat="false" ht="12.75" hidden="true" customHeight="tru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176"/>
      <c r="K143" s="176"/>
      <c r="L143" s="3"/>
      <c r="M143" s="3"/>
      <c r="N143" s="3"/>
      <c r="O143" s="1162"/>
      <c r="P143" s="3"/>
      <c r="Q143" s="182"/>
      <c r="R143" s="1203"/>
      <c r="S143" s="869" t="n">
        <v>35</v>
      </c>
      <c r="T143" s="1205" t="s">
        <v>840</v>
      </c>
      <c r="U143" s="1205"/>
      <c r="V143" s="1205"/>
      <c r="W143" s="1205"/>
      <c r="X143" s="1205"/>
      <c r="Y143" s="1205"/>
      <c r="Z143" s="869" t="n">
        <v>351</v>
      </c>
      <c r="AA143" s="1188" t="s">
        <v>841</v>
      </c>
      <c r="AB143" s="1188" t="str">
        <f aca="false">CONCATENATE(Z143,"-",AA143)</f>
        <v>351-Explotaciones vinícolas especializadas que produzcan vinos de calidad</v>
      </c>
      <c r="AC143" s="520"/>
      <c r="AD143" s="1189"/>
      <c r="AE143" s="520"/>
      <c r="AF143" s="1189"/>
      <c r="AG143" s="520"/>
      <c r="AH143" s="520"/>
      <c r="AI143" s="520"/>
      <c r="AJ143" s="1190"/>
      <c r="AK143" s="520"/>
      <c r="AL143" s="876"/>
      <c r="AM143" s="520"/>
      <c r="AN143" s="869" t="n">
        <v>351</v>
      </c>
    </row>
    <row r="144" customFormat="false" ht="26.8" hidden="true" customHeight="fals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176"/>
      <c r="K144" s="176"/>
      <c r="L144" s="3"/>
      <c r="M144" s="3"/>
      <c r="N144" s="3"/>
      <c r="O144" s="1162"/>
      <c r="P144" s="3"/>
      <c r="Q144" s="182"/>
      <c r="R144" s="1203"/>
      <c r="S144" s="869"/>
      <c r="T144" s="1205"/>
      <c r="U144" s="1205"/>
      <c r="V144" s="1205"/>
      <c r="W144" s="1205"/>
      <c r="X144" s="1205"/>
      <c r="Y144" s="1205"/>
      <c r="Z144" s="869" t="n">
        <v>352</v>
      </c>
      <c r="AA144" s="874" t="s">
        <v>842</v>
      </c>
      <c r="AB144" s="1188" t="str">
        <f aca="false">CONCATENATE(Z144,"-",AA144)</f>
        <v>352-Explotaciones vinícolas especializadas que produzcan vinos distintos de los vinos de calidad</v>
      </c>
      <c r="AC144" s="811"/>
      <c r="AD144" s="1185"/>
      <c r="AE144" s="811"/>
      <c r="AF144" s="1185"/>
      <c r="AG144" s="811"/>
      <c r="AH144" s="811"/>
      <c r="AI144" s="811"/>
      <c r="AJ144" s="815"/>
      <c r="AK144" s="811"/>
      <c r="AL144" s="865"/>
      <c r="AM144" s="811"/>
      <c r="AN144" s="869" t="n">
        <v>352</v>
      </c>
    </row>
    <row r="145" customFormat="false" ht="26.8" hidden="true" customHeight="fals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176"/>
      <c r="K145" s="176"/>
      <c r="L145" s="3"/>
      <c r="M145" s="3"/>
      <c r="N145" s="3"/>
      <c r="O145" s="1162"/>
      <c r="P145" s="3"/>
      <c r="Q145" s="182"/>
      <c r="R145" s="1203"/>
      <c r="S145" s="869"/>
      <c r="T145" s="1205"/>
      <c r="U145" s="1205"/>
      <c r="V145" s="1205"/>
      <c r="W145" s="1205"/>
      <c r="X145" s="1205"/>
      <c r="Y145" s="1205"/>
      <c r="Z145" s="869" t="n">
        <v>353</v>
      </c>
      <c r="AA145" s="874" t="s">
        <v>843</v>
      </c>
      <c r="AB145" s="1188" t="str">
        <f aca="false">CONCATENATE(Z145,"-",AA145)</f>
        <v>353-Explotaciones especializadas en la producción de uva de mesa</v>
      </c>
      <c r="AC145" s="811"/>
      <c r="AD145" s="1185"/>
      <c r="AE145" s="811"/>
      <c r="AF145" s="1185"/>
      <c r="AG145" s="811"/>
      <c r="AH145" s="811"/>
      <c r="AI145" s="811"/>
      <c r="AJ145" s="815"/>
      <c r="AK145" s="811"/>
      <c r="AL145" s="865"/>
      <c r="AM145" s="811"/>
      <c r="AN145" s="869" t="n">
        <v>353</v>
      </c>
    </row>
    <row r="146" customFormat="false" ht="26.8" hidden="true" customHeight="fals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176"/>
      <c r="K146" s="176"/>
      <c r="L146" s="3"/>
      <c r="M146" s="3"/>
      <c r="N146" s="3"/>
      <c r="O146" s="1162"/>
      <c r="P146" s="3"/>
      <c r="Q146" s="182"/>
      <c r="R146" s="1203"/>
      <c r="S146" s="869"/>
      <c r="T146" s="1205"/>
      <c r="U146" s="1205"/>
      <c r="V146" s="1205"/>
      <c r="W146" s="1205"/>
      <c r="X146" s="1205"/>
      <c r="Y146" s="1205"/>
      <c r="Z146" s="884" t="n">
        <v>354</v>
      </c>
      <c r="AA146" s="1191" t="s">
        <v>707</v>
      </c>
      <c r="AB146" s="1188" t="str">
        <f aca="false">CONCATENATE(Z146,"-",AA146)</f>
        <v>354-Otros viñedos</v>
      </c>
      <c r="AC146" s="508"/>
      <c r="AD146" s="1192"/>
      <c r="AE146" s="508"/>
      <c r="AF146" s="1192"/>
      <c r="AG146" s="508"/>
      <c r="AH146" s="508"/>
      <c r="AI146" s="508"/>
      <c r="AJ146" s="148"/>
      <c r="AK146" s="508"/>
      <c r="AL146" s="1193"/>
      <c r="AM146" s="508"/>
      <c r="AN146" s="884" t="n">
        <v>354</v>
      </c>
    </row>
    <row r="147" customFormat="false" ht="12.75" hidden="true" customHeight="true" outlineLevel="0" collapsed="false">
      <c r="A147" s="3"/>
      <c r="B147" s="3"/>
      <c r="C147" s="1206"/>
      <c r="D147" s="1207"/>
      <c r="E147" s="3"/>
      <c r="F147" s="3"/>
      <c r="G147" s="3"/>
      <c r="H147" s="3"/>
      <c r="I147" s="3"/>
      <c r="J147" s="176"/>
      <c r="K147" s="176"/>
      <c r="L147" s="3"/>
      <c r="M147" s="3"/>
      <c r="N147" s="3"/>
      <c r="O147" s="1162"/>
      <c r="P147" s="3"/>
      <c r="Q147" s="182"/>
      <c r="R147" s="1203"/>
      <c r="S147" s="869" t="n">
        <v>36</v>
      </c>
      <c r="T147" s="1205" t="s">
        <v>844</v>
      </c>
      <c r="U147" s="1205"/>
      <c r="V147" s="1205"/>
      <c r="W147" s="1205"/>
      <c r="X147" s="1205"/>
      <c r="Y147" s="1205"/>
      <c r="Z147" s="869" t="n">
        <v>361</v>
      </c>
      <c r="AA147" s="1208" t="s">
        <v>845</v>
      </c>
      <c r="AB147" s="1188" t="str">
        <f aca="false">CONCATENATE(Z147,"-",AA147)</f>
        <v>361-Exp.frutícolas especializadas (¹ cítricos, frutas tropicales, subtropicales y frutos de cáscara)</v>
      </c>
      <c r="AC147" s="811"/>
      <c r="AD147" s="1185"/>
      <c r="AE147" s="811"/>
      <c r="AF147" s="1185"/>
      <c r="AG147" s="811"/>
      <c r="AH147" s="811"/>
      <c r="AI147" s="811"/>
      <c r="AJ147" s="815"/>
      <c r="AK147" s="811"/>
      <c r="AL147" s="865"/>
      <c r="AM147" s="811"/>
      <c r="AN147" s="869" t="n">
        <v>361</v>
      </c>
    </row>
    <row r="148" customFormat="false" ht="26.8" hidden="true" customHeight="false" outlineLevel="0" collapsed="false">
      <c r="A148" s="3"/>
      <c r="B148" s="3"/>
      <c r="C148" s="1206"/>
      <c r="D148" s="1207"/>
      <c r="E148" s="3"/>
      <c r="F148" s="3"/>
      <c r="G148" s="3"/>
      <c r="H148" s="3"/>
      <c r="I148" s="1209"/>
      <c r="J148" s="1210"/>
      <c r="K148" s="176"/>
      <c r="L148" s="3"/>
      <c r="M148" s="3"/>
      <c r="N148" s="3"/>
      <c r="O148" s="1162"/>
      <c r="P148" s="3"/>
      <c r="Q148" s="182"/>
      <c r="R148" s="1203"/>
      <c r="S148" s="869"/>
      <c r="T148" s="1205"/>
      <c r="U148" s="1205"/>
      <c r="V148" s="1205"/>
      <c r="W148" s="1205"/>
      <c r="X148" s="1205"/>
      <c r="Y148" s="1205"/>
      <c r="Z148" s="869" t="n">
        <v>362</v>
      </c>
      <c r="AA148" s="874" t="s">
        <v>846</v>
      </c>
      <c r="AB148" s="1188" t="str">
        <f aca="false">CONCATENATE(Z148,"-",AA148)</f>
        <v>362-Explotaciones de cítricos especializadas</v>
      </c>
      <c r="AC148" s="811"/>
      <c r="AD148" s="1185"/>
      <c r="AE148" s="811"/>
      <c r="AF148" s="1185"/>
      <c r="AG148" s="811"/>
      <c r="AH148" s="811"/>
      <c r="AI148" s="811"/>
      <c r="AJ148" s="815"/>
      <c r="AK148" s="811"/>
      <c r="AL148" s="865"/>
      <c r="AM148" s="811"/>
      <c r="AN148" s="869" t="n">
        <v>362</v>
      </c>
    </row>
    <row r="149" customFormat="false" ht="26.8" hidden="true" customHeight="false" outlineLevel="0" collapsed="false">
      <c r="A149" s="3"/>
      <c r="B149" s="3"/>
      <c r="C149" s="3"/>
      <c r="D149" s="3"/>
      <c r="E149" s="3"/>
      <c r="F149" s="3"/>
      <c r="G149" s="3"/>
      <c r="H149" s="3"/>
      <c r="I149" s="3"/>
      <c r="J149" s="176"/>
      <c r="K149" s="176"/>
      <c r="L149" s="3"/>
      <c r="M149" s="3"/>
      <c r="N149" s="3"/>
      <c r="O149" s="1162"/>
      <c r="P149" s="3"/>
      <c r="Q149" s="182"/>
      <c r="R149" s="1203"/>
      <c r="S149" s="869"/>
      <c r="T149" s="1205"/>
      <c r="U149" s="1205"/>
      <c r="V149" s="1205"/>
      <c r="W149" s="1205"/>
      <c r="X149" s="1205"/>
      <c r="Y149" s="1205"/>
      <c r="Z149" s="869" t="n">
        <v>363</v>
      </c>
      <c r="AA149" s="874" t="s">
        <v>847</v>
      </c>
      <c r="AB149" s="1188" t="str">
        <f aca="false">CONCATENATE(Z149,"-",AA149)</f>
        <v>363-Explotaciones especializadas en la producción de frutos de cáscara</v>
      </c>
      <c r="AC149" s="811"/>
      <c r="AD149" s="1185"/>
      <c r="AE149" s="811"/>
      <c r="AF149" s="1185"/>
      <c r="AG149" s="811"/>
      <c r="AH149" s="811"/>
      <c r="AI149" s="811"/>
      <c r="AJ149" s="815"/>
      <c r="AK149" s="811"/>
      <c r="AL149" s="865"/>
      <c r="AM149" s="811"/>
      <c r="AN149" s="869" t="n">
        <v>363</v>
      </c>
    </row>
    <row r="150" customFormat="false" ht="26.8" hidden="true" customHeight="false" outlineLevel="0" collapsed="false">
      <c r="A150" s="3"/>
      <c r="B150" s="3"/>
      <c r="C150" s="3"/>
      <c r="D150" s="3"/>
      <c r="E150" s="3"/>
      <c r="F150" s="3"/>
      <c r="G150" s="3"/>
      <c r="H150" s="3"/>
      <c r="I150" s="3"/>
      <c r="J150" s="176"/>
      <c r="K150" s="176"/>
      <c r="L150" s="3"/>
      <c r="M150" s="3"/>
      <c r="N150" s="3"/>
      <c r="O150" s="1162"/>
      <c r="P150" s="3"/>
      <c r="Q150" s="182"/>
      <c r="R150" s="1203"/>
      <c r="S150" s="869"/>
      <c r="T150" s="1205"/>
      <c r="U150" s="1205"/>
      <c r="V150" s="1205"/>
      <c r="W150" s="1205"/>
      <c r="X150" s="1205"/>
      <c r="Y150" s="1205"/>
      <c r="Z150" s="869" t="n">
        <v>364</v>
      </c>
      <c r="AA150" s="874" t="s">
        <v>848</v>
      </c>
      <c r="AB150" s="1188" t="str">
        <f aca="false">CONCATENATE(Z150,"-",AA150)</f>
        <v>364-Explotaciones especializadas en la producción de frutas tropicales y subtropicales</v>
      </c>
      <c r="AC150" s="811"/>
      <c r="AD150" s="1185"/>
      <c r="AE150" s="811"/>
      <c r="AF150" s="1185"/>
      <c r="AG150" s="811"/>
      <c r="AH150" s="811"/>
      <c r="AI150" s="811"/>
      <c r="AJ150" s="815"/>
      <c r="AK150" s="811"/>
      <c r="AL150" s="865"/>
      <c r="AM150" s="811"/>
      <c r="AN150" s="869" t="n">
        <v>364</v>
      </c>
    </row>
    <row r="151" customFormat="false" ht="26.8" hidden="true" customHeight="fals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176"/>
      <c r="K151" s="176"/>
      <c r="L151" s="3"/>
      <c r="M151" s="3"/>
      <c r="N151" s="3"/>
      <c r="O151" s="1162"/>
      <c r="P151" s="3"/>
      <c r="Q151" s="182"/>
      <c r="R151" s="1203"/>
      <c r="S151" s="869"/>
      <c r="T151" s="1205"/>
      <c r="U151" s="1205"/>
      <c r="V151" s="1205"/>
      <c r="W151" s="1205"/>
      <c r="X151" s="1205"/>
      <c r="Y151" s="1205"/>
      <c r="Z151" s="869" t="n">
        <v>365</v>
      </c>
      <c r="AA151" s="874" t="s">
        <v>716</v>
      </c>
      <c r="AB151" s="1188" t="str">
        <f aca="false">CONCATENATE(Z151,"-",AA151)</f>
        <v>365-Exp.Frutícola Mixta especializada en cítrico, fruta tropical, subtropical y frutos de cáscara</v>
      </c>
      <c r="AC151" s="811"/>
      <c r="AD151" s="1185"/>
      <c r="AE151" s="811"/>
      <c r="AF151" s="1185"/>
      <c r="AG151" s="811"/>
      <c r="AH151" s="811"/>
      <c r="AI151" s="811"/>
      <c r="AJ151" s="815"/>
      <c r="AK151" s="811"/>
      <c r="AL151" s="865"/>
      <c r="AM151" s="811"/>
      <c r="AN151" s="869" t="n">
        <v>365</v>
      </c>
    </row>
    <row r="152" customFormat="false" ht="12.75" hidden="true" customHeight="tru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176"/>
      <c r="K152" s="176"/>
      <c r="L152" s="3"/>
      <c r="M152" s="3"/>
      <c r="N152" s="3"/>
      <c r="O152" s="1162"/>
      <c r="P152" s="3"/>
      <c r="Q152" s="182"/>
      <c r="R152" s="1203"/>
      <c r="S152" s="869" t="n">
        <v>37</v>
      </c>
      <c r="T152" s="1205" t="s">
        <v>849</v>
      </c>
      <c r="U152" s="1205"/>
      <c r="V152" s="1205"/>
      <c r="W152" s="1205"/>
      <c r="X152" s="1205"/>
      <c r="Y152" s="1205"/>
      <c r="Z152" s="869" t="n">
        <v>370</v>
      </c>
      <c r="AA152" s="874" t="s">
        <v>849</v>
      </c>
      <c r="AB152" s="1188" t="str">
        <f aca="false">CONCATENATE(Z152,"-",AA152)</f>
        <v>370-Explotaciones especializadas en aceitunas</v>
      </c>
      <c r="AC152" s="811"/>
      <c r="AD152" s="1185"/>
      <c r="AE152" s="811"/>
      <c r="AF152" s="1185"/>
      <c r="AG152" s="811"/>
      <c r="AH152" s="811"/>
      <c r="AI152" s="811"/>
      <c r="AJ152" s="815"/>
      <c r="AK152" s="811"/>
      <c r="AL152" s="865"/>
      <c r="AM152" s="811"/>
      <c r="AN152" s="869" t="n">
        <v>370</v>
      </c>
    </row>
    <row r="153" customFormat="false" ht="12.75" hidden="true" customHeight="tru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176"/>
      <c r="K153" s="176"/>
      <c r="L153" s="3"/>
      <c r="M153" s="3"/>
      <c r="N153" s="3"/>
      <c r="O153" s="1162"/>
      <c r="P153" s="3"/>
      <c r="Q153" s="182"/>
      <c r="R153" s="1203"/>
      <c r="S153" s="869" t="n">
        <v>38</v>
      </c>
      <c r="T153" s="1205" t="s">
        <v>850</v>
      </c>
      <c r="U153" s="1205"/>
      <c r="V153" s="1205"/>
      <c r="W153" s="1205"/>
      <c r="X153" s="1205"/>
      <c r="Y153" s="1205"/>
      <c r="Z153" s="869" t="n">
        <v>380</v>
      </c>
      <c r="AA153" s="874" t="s">
        <v>850</v>
      </c>
      <c r="AB153" s="1188" t="str">
        <f aca="false">CONCATENATE(Z153,"-",AA153)</f>
        <v>380-Explotaciones con varias combinaciones de cultivos permanentes</v>
      </c>
      <c r="AC153" s="811"/>
      <c r="AD153" s="1185"/>
      <c r="AE153" s="811"/>
      <c r="AF153" s="1185"/>
      <c r="AG153" s="811"/>
      <c r="AH153" s="811"/>
      <c r="AI153" s="811"/>
      <c r="AJ153" s="815"/>
      <c r="AK153" s="811"/>
      <c r="AL153" s="865"/>
      <c r="AM153" s="811"/>
      <c r="AN153" s="869" t="n">
        <v>380</v>
      </c>
    </row>
    <row r="154" customFormat="false" ht="26.8" hidden="true" customHeight="fals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176"/>
      <c r="K154" s="176"/>
      <c r="L154" s="3"/>
      <c r="M154" s="3"/>
      <c r="N154" s="3"/>
      <c r="O154" s="1162"/>
      <c r="P154" s="3"/>
      <c r="Q154" s="182"/>
      <c r="R154" s="1203" t="n">
        <v>4</v>
      </c>
      <c r="S154" s="1211" t="s">
        <v>719</v>
      </c>
      <c r="T154" s="876"/>
      <c r="U154" s="876"/>
      <c r="V154" s="1212"/>
      <c r="W154" s="1213"/>
      <c r="X154" s="1212"/>
      <c r="Y154" s="878"/>
      <c r="Z154" s="879"/>
      <c r="AA154" s="423"/>
      <c r="AB154" s="1188" t="str">
        <f aca="false">CONCATENATE(Z154,"-",AA154)</f>
        <v>-</v>
      </c>
      <c r="AC154" s="520"/>
      <c r="AD154" s="1189"/>
      <c r="AE154" s="520"/>
      <c r="AF154" s="1189"/>
      <c r="AG154" s="520"/>
      <c r="AH154" s="520"/>
      <c r="AI154" s="520"/>
      <c r="AJ154" s="1190"/>
      <c r="AK154" s="520"/>
      <c r="AL154" s="876"/>
      <c r="AM154" s="520"/>
      <c r="AN154" s="879"/>
    </row>
    <row r="155" customFormat="false" ht="15" hidden="true" customHeight="tru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176"/>
      <c r="K155" s="176"/>
      <c r="L155" s="3"/>
      <c r="M155" s="3"/>
      <c r="N155" s="3"/>
      <c r="O155" s="1162"/>
      <c r="P155" s="3"/>
      <c r="Q155" s="182"/>
      <c r="R155" s="1203"/>
      <c r="S155" s="884" t="n">
        <v>45</v>
      </c>
      <c r="T155" s="887" t="s">
        <v>721</v>
      </c>
      <c r="U155" s="887"/>
      <c r="V155" s="887"/>
      <c r="W155" s="887"/>
      <c r="X155" s="887"/>
      <c r="Y155" s="1214"/>
      <c r="Z155" s="884" t="n">
        <v>450</v>
      </c>
      <c r="AA155" s="887" t="s">
        <v>721</v>
      </c>
      <c r="AB155" s="1188" t="str">
        <f aca="false">CONCATENATE(Z155,"-",AA155)</f>
        <v>450-Explotaciones de bovinos especializadas: orientación leche</v>
      </c>
      <c r="AC155" s="1215"/>
      <c r="AD155" s="1215"/>
      <c r="AE155" s="1215"/>
      <c r="AF155" s="1215"/>
      <c r="AG155" s="1215"/>
      <c r="AH155" s="1215"/>
      <c r="AI155" s="1215"/>
      <c r="AJ155" s="1215"/>
      <c r="AK155" s="1215"/>
      <c r="AL155" s="1215"/>
      <c r="AM155" s="1215"/>
      <c r="AN155" s="884" t="n">
        <v>450</v>
      </c>
    </row>
    <row r="156" customFormat="false" ht="12.75" hidden="true" customHeight="tru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176"/>
      <c r="K156" s="176"/>
      <c r="L156" s="3"/>
      <c r="M156" s="3"/>
      <c r="N156" s="3"/>
      <c r="O156" s="1162"/>
      <c r="P156" s="3"/>
      <c r="Q156" s="182"/>
      <c r="R156" s="1203"/>
      <c r="S156" s="869" t="n">
        <v>46</v>
      </c>
      <c r="T156" s="874" t="s">
        <v>851</v>
      </c>
      <c r="U156" s="874"/>
      <c r="V156" s="874"/>
      <c r="W156" s="874"/>
      <c r="X156" s="874"/>
      <c r="Y156" s="891"/>
      <c r="Z156" s="869" t="n">
        <v>460</v>
      </c>
      <c r="AA156" s="874" t="s">
        <v>851</v>
      </c>
      <c r="AB156" s="1188" t="str">
        <f aca="false">CONCATENATE(Z156,"-",AA156)</f>
        <v>460-Explotaciones de bovinos especializadas: orientación cría y carne</v>
      </c>
      <c r="AC156" s="816"/>
      <c r="AD156" s="816"/>
      <c r="AE156" s="816"/>
      <c r="AF156" s="816"/>
      <c r="AG156" s="816"/>
      <c r="AH156" s="816"/>
      <c r="AI156" s="816"/>
      <c r="AJ156" s="816"/>
      <c r="AK156" s="816"/>
      <c r="AL156" s="816"/>
      <c r="AM156" s="816"/>
      <c r="AN156" s="869" t="n">
        <v>460</v>
      </c>
    </row>
    <row r="157" customFormat="false" ht="12.75" hidden="true" customHeight="tru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176"/>
      <c r="K157" s="176"/>
      <c r="L157" s="3"/>
      <c r="M157" s="3"/>
      <c r="N157" s="3"/>
      <c r="O157" s="1162"/>
      <c r="P157" s="3"/>
      <c r="Q157" s="182"/>
      <c r="R157" s="1203"/>
      <c r="S157" s="869" t="n">
        <v>47</v>
      </c>
      <c r="T157" s="874" t="s">
        <v>852</v>
      </c>
      <c r="U157" s="874"/>
      <c r="V157" s="874"/>
      <c r="W157" s="874"/>
      <c r="X157" s="874"/>
      <c r="Y157" s="891"/>
      <c r="Z157" s="869" t="n">
        <v>470</v>
      </c>
      <c r="AA157" s="874" t="s">
        <v>853</v>
      </c>
      <c r="AB157" s="1188" t="str">
        <f aca="false">CONCATENATE(Z157,"-",AA157)</f>
        <v>470-Explotaciones de bovinos: leche, cría y carne combinados</v>
      </c>
      <c r="AC157" s="816"/>
      <c r="AD157" s="816"/>
      <c r="AE157" s="816"/>
      <c r="AF157" s="816"/>
      <c r="AG157" s="816"/>
      <c r="AH157" s="816"/>
      <c r="AI157" s="816"/>
      <c r="AJ157" s="816"/>
      <c r="AK157" s="816"/>
      <c r="AL157" s="816"/>
      <c r="AM157" s="816"/>
      <c r="AN157" s="869" t="n">
        <v>470</v>
      </c>
    </row>
    <row r="158" customFormat="false" ht="12.75" hidden="true" customHeight="tru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176"/>
      <c r="K158" s="176"/>
      <c r="L158" s="3"/>
      <c r="M158" s="3"/>
      <c r="N158" s="3"/>
      <c r="O158" s="1162"/>
      <c r="P158" s="3"/>
      <c r="Q158" s="182"/>
      <c r="R158" s="1203"/>
      <c r="S158" s="869" t="n">
        <v>48</v>
      </c>
      <c r="T158" s="1205" t="s">
        <v>854</v>
      </c>
      <c r="U158" s="1205"/>
      <c r="V158" s="1205"/>
      <c r="W158" s="1205"/>
      <c r="X158" s="1205"/>
      <c r="Y158" s="1205"/>
      <c r="Z158" s="907" t="n">
        <v>481</v>
      </c>
      <c r="AA158" s="1188" t="s">
        <v>855</v>
      </c>
      <c r="AB158" s="1188" t="str">
        <f aca="false">CONCATENATE(Z158,"-",AA158)</f>
        <v>481-Explotaciones de ovinos especializadas</v>
      </c>
      <c r="AC158" s="423"/>
      <c r="AD158" s="423"/>
      <c r="AE158" s="423"/>
      <c r="AF158" s="423"/>
      <c r="AG158" s="423"/>
      <c r="AH158" s="423"/>
      <c r="AI158" s="423"/>
      <c r="AJ158" s="423"/>
      <c r="AK158" s="423"/>
      <c r="AL158" s="423"/>
      <c r="AM158" s="423"/>
      <c r="AN158" s="907" t="n">
        <v>481</v>
      </c>
    </row>
    <row r="159" customFormat="false" ht="26.8" hidden="true" customHeight="fals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176"/>
      <c r="K159" s="176"/>
      <c r="L159" s="3"/>
      <c r="M159" s="3"/>
      <c r="N159" s="3"/>
      <c r="O159" s="1162"/>
      <c r="P159" s="3"/>
      <c r="Q159" s="182"/>
      <c r="R159" s="1203"/>
      <c r="S159" s="869"/>
      <c r="T159" s="1205"/>
      <c r="U159" s="1205"/>
      <c r="V159" s="1205"/>
      <c r="W159" s="1205"/>
      <c r="X159" s="1205"/>
      <c r="Y159" s="1205"/>
      <c r="Z159" s="869" t="n">
        <v>482</v>
      </c>
      <c r="AA159" s="874" t="s">
        <v>856</v>
      </c>
      <c r="AB159" s="1188" t="str">
        <f aca="false">CONCATENATE(Z159,"-",AA159)</f>
        <v>482-Explotaciones con ovinos y bovinos combinados</v>
      </c>
      <c r="AC159" s="816"/>
      <c r="AD159" s="816"/>
      <c r="AE159" s="816"/>
      <c r="AF159" s="816"/>
      <c r="AG159" s="816"/>
      <c r="AH159" s="816"/>
      <c r="AI159" s="816"/>
      <c r="AJ159" s="816"/>
      <c r="AK159" s="816"/>
      <c r="AL159" s="816"/>
      <c r="AM159" s="816"/>
      <c r="AN159" s="869" t="n">
        <v>482</v>
      </c>
    </row>
    <row r="160" customFormat="false" ht="26.8" hidden="true" customHeight="fals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176"/>
      <c r="K160" s="176"/>
      <c r="L160" s="3"/>
      <c r="M160" s="3"/>
      <c r="N160" s="3"/>
      <c r="O160" s="1162"/>
      <c r="P160" s="3"/>
      <c r="Q160" s="182"/>
      <c r="R160" s="1203"/>
      <c r="S160" s="869"/>
      <c r="T160" s="1205"/>
      <c r="U160" s="1205"/>
      <c r="V160" s="1205"/>
      <c r="W160" s="1205"/>
      <c r="X160" s="1205"/>
      <c r="Y160" s="1205"/>
      <c r="Z160" s="869" t="n">
        <v>483</v>
      </c>
      <c r="AA160" s="874" t="s">
        <v>728</v>
      </c>
      <c r="AB160" s="1188" t="str">
        <f aca="false">CONCATENATE(Z160,"-",AA160)</f>
        <v>483-Explotaciones de caprinos especializadas</v>
      </c>
      <c r="AC160" s="816"/>
      <c r="AD160" s="816"/>
      <c r="AE160" s="816"/>
      <c r="AF160" s="816"/>
      <c r="AG160" s="816"/>
      <c r="AH160" s="816"/>
      <c r="AI160" s="816"/>
      <c r="AJ160" s="816"/>
      <c r="AK160" s="816"/>
      <c r="AL160" s="816"/>
      <c r="AM160" s="816"/>
      <c r="AN160" s="869" t="n">
        <v>483</v>
      </c>
    </row>
    <row r="161" customFormat="false" ht="26.8" hidden="true" customHeight="fals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176"/>
      <c r="K161" s="176"/>
      <c r="L161" s="3"/>
      <c r="M161" s="3"/>
      <c r="N161" s="3"/>
      <c r="O161" s="1162"/>
      <c r="P161" s="3"/>
      <c r="Q161" s="182"/>
      <c r="R161" s="1203"/>
      <c r="S161" s="869"/>
      <c r="T161" s="1205"/>
      <c r="U161" s="1205"/>
      <c r="V161" s="1205"/>
      <c r="W161" s="1205"/>
      <c r="X161" s="1205"/>
      <c r="Y161" s="1205"/>
      <c r="Z161" s="869" t="n">
        <v>484</v>
      </c>
      <c r="AA161" s="1191" t="s">
        <v>729</v>
      </c>
      <c r="AB161" s="1188" t="str">
        <f aca="false">CONCATENATE(Z161,"-",AA161)</f>
        <v>484-Explotaciones de herbívoros</v>
      </c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869" t="n">
        <v>484</v>
      </c>
    </row>
    <row r="162" customFormat="false" ht="26.8" hidden="true" customHeight="fals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176"/>
      <c r="K162" s="176"/>
      <c r="L162" s="3"/>
      <c r="M162" s="3"/>
      <c r="N162" s="3"/>
      <c r="O162" s="1162"/>
      <c r="P162" s="3"/>
      <c r="Q162" s="182"/>
      <c r="R162" s="1203" t="n">
        <v>5</v>
      </c>
      <c r="S162" s="1182" t="s">
        <v>730</v>
      </c>
      <c r="T162" s="1216"/>
      <c r="U162" s="1216"/>
      <c r="V162" s="1183"/>
      <c r="W162" s="1204"/>
      <c r="X162" s="1183"/>
      <c r="Y162" s="891"/>
      <c r="Z162" s="867"/>
      <c r="AA162" s="816"/>
      <c r="AB162" s="1188" t="str">
        <f aca="false">CONCATENATE(Z162,"-",AA162)</f>
        <v>-</v>
      </c>
      <c r="AC162" s="816"/>
      <c r="AD162" s="816"/>
      <c r="AE162" s="816"/>
      <c r="AF162" s="816"/>
      <c r="AG162" s="816"/>
      <c r="AH162" s="816"/>
      <c r="AI162" s="816"/>
      <c r="AJ162" s="816"/>
      <c r="AK162" s="816"/>
      <c r="AL162" s="816"/>
      <c r="AM162" s="816"/>
      <c r="AN162" s="867"/>
    </row>
    <row r="163" customFormat="false" ht="12.75" hidden="true" customHeight="tru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176"/>
      <c r="K163" s="176"/>
      <c r="L163" s="3"/>
      <c r="M163" s="3"/>
      <c r="N163" s="3"/>
      <c r="O163" s="1162"/>
      <c r="P163" s="3"/>
      <c r="Q163" s="182"/>
      <c r="R163" s="1203"/>
      <c r="S163" s="869" t="n">
        <v>51</v>
      </c>
      <c r="T163" s="869" t="s">
        <v>857</v>
      </c>
      <c r="U163" s="869"/>
      <c r="V163" s="869"/>
      <c r="W163" s="869"/>
      <c r="X163" s="869"/>
      <c r="Y163" s="869"/>
      <c r="Z163" s="869" t="n">
        <v>511</v>
      </c>
      <c r="AA163" s="1188" t="s">
        <v>732</v>
      </c>
      <c r="AB163" s="1188" t="str">
        <f aca="false">CONCATENATE(Z163,"-",AA163)</f>
        <v>511- Explotaciones de porcinos de cría especializadas</v>
      </c>
      <c r="AC163" s="423"/>
      <c r="AD163" s="423"/>
      <c r="AE163" s="423"/>
      <c r="AF163" s="423"/>
      <c r="AG163" s="423"/>
      <c r="AH163" s="423"/>
      <c r="AI163" s="423"/>
      <c r="AJ163" s="423"/>
      <c r="AK163" s="423"/>
      <c r="AL163" s="423"/>
      <c r="AM163" s="423"/>
      <c r="AN163" s="869" t="n">
        <v>511</v>
      </c>
    </row>
    <row r="164" customFormat="false" ht="26.8" hidden="true" customHeight="fals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176"/>
      <c r="K164" s="176"/>
      <c r="L164" s="3"/>
      <c r="M164" s="3"/>
      <c r="N164" s="3"/>
      <c r="O164" s="1162"/>
      <c r="P164" s="3"/>
      <c r="Q164" s="182"/>
      <c r="R164" s="1203"/>
      <c r="S164" s="869"/>
      <c r="T164" s="869"/>
      <c r="U164" s="869"/>
      <c r="V164" s="869"/>
      <c r="W164" s="869"/>
      <c r="X164" s="869"/>
      <c r="Y164" s="869"/>
      <c r="Z164" s="869" t="n">
        <v>512</v>
      </c>
      <c r="AA164" s="874" t="s">
        <v>858</v>
      </c>
      <c r="AB164" s="1188" t="str">
        <f aca="false">CONCATENATE(Z164,"-",AA164)</f>
        <v>512- Explotaciones de porcinos de engorde especializadas</v>
      </c>
      <c r="AC164" s="816"/>
      <c r="AD164" s="816"/>
      <c r="AE164" s="816"/>
      <c r="AF164" s="816"/>
      <c r="AG164" s="816"/>
      <c r="AH164" s="816"/>
      <c r="AI164" s="816"/>
      <c r="AJ164" s="816"/>
      <c r="AK164" s="816"/>
      <c r="AL164" s="816"/>
      <c r="AM164" s="816"/>
      <c r="AN164" s="869" t="n">
        <v>512</v>
      </c>
    </row>
    <row r="165" customFormat="false" ht="26.8" hidden="true" customHeight="fals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176"/>
      <c r="K165" s="176"/>
      <c r="L165" s="3"/>
      <c r="M165" s="3"/>
      <c r="N165" s="3"/>
      <c r="O165" s="1162"/>
      <c r="P165" s="3"/>
      <c r="Q165" s="182"/>
      <c r="R165" s="1203"/>
      <c r="S165" s="869"/>
      <c r="T165" s="869"/>
      <c r="U165" s="869"/>
      <c r="V165" s="869"/>
      <c r="W165" s="869"/>
      <c r="X165" s="869"/>
      <c r="Y165" s="869"/>
      <c r="Z165" s="884" t="n">
        <v>513</v>
      </c>
      <c r="AA165" s="1191" t="s">
        <v>859</v>
      </c>
      <c r="AB165" s="1188" t="str">
        <f aca="false">CONCATENATE(Z165,"-",AA165)</f>
        <v>513-Explotaciones que combinen la cría y el engorde de porcinos</v>
      </c>
      <c r="AC165" s="1217"/>
      <c r="AD165" s="1217"/>
      <c r="AE165" s="1217"/>
      <c r="AF165" s="1217"/>
      <c r="AG165" s="1217"/>
      <c r="AH165" s="1217"/>
      <c r="AI165" s="1217"/>
      <c r="AJ165" s="1217"/>
      <c r="AK165" s="1217"/>
      <c r="AL165" s="1217"/>
      <c r="AM165" s="1217"/>
      <c r="AN165" s="884" t="n">
        <v>513</v>
      </c>
    </row>
    <row r="166" customFormat="false" ht="12.75" hidden="true" customHeight="tru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176"/>
      <c r="K166" s="176"/>
      <c r="L166" s="3"/>
      <c r="M166" s="3"/>
      <c r="N166" s="3"/>
      <c r="O166" s="1162"/>
      <c r="P166" s="3"/>
      <c r="Q166" s="182"/>
      <c r="R166" s="1203"/>
      <c r="S166" s="869" t="n">
        <v>52</v>
      </c>
      <c r="T166" s="869" t="s">
        <v>860</v>
      </c>
      <c r="U166" s="869"/>
      <c r="V166" s="869"/>
      <c r="W166" s="869"/>
      <c r="X166" s="869"/>
      <c r="Y166" s="869"/>
      <c r="Z166" s="869" t="n">
        <v>521</v>
      </c>
      <c r="AA166" s="874" t="s">
        <v>861</v>
      </c>
      <c r="AB166" s="1188" t="str">
        <f aca="false">CONCATENATE(Z166,"-",AA166)</f>
        <v>521-Explotaciones de gallinas ponedoras especializadas</v>
      </c>
      <c r="AC166" s="816"/>
      <c r="AD166" s="816"/>
      <c r="AE166" s="816"/>
      <c r="AF166" s="816"/>
      <c r="AG166" s="816"/>
      <c r="AH166" s="816"/>
      <c r="AI166" s="816"/>
      <c r="AJ166" s="816"/>
      <c r="AK166" s="816"/>
      <c r="AL166" s="816"/>
      <c r="AM166" s="816"/>
      <c r="AN166" s="869" t="n">
        <v>521</v>
      </c>
    </row>
    <row r="167" customFormat="false" ht="26.8" hidden="true" customHeight="fals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176"/>
      <c r="K167" s="176"/>
      <c r="L167" s="3"/>
      <c r="M167" s="3"/>
      <c r="N167" s="3"/>
      <c r="O167" s="1162"/>
      <c r="P167" s="3"/>
      <c r="Q167" s="182"/>
      <c r="R167" s="1203"/>
      <c r="S167" s="869"/>
      <c r="T167" s="869"/>
      <c r="U167" s="869"/>
      <c r="V167" s="869"/>
      <c r="W167" s="869"/>
      <c r="X167" s="869"/>
      <c r="Y167" s="869"/>
      <c r="Z167" s="869" t="n">
        <v>522</v>
      </c>
      <c r="AA167" s="874" t="s">
        <v>862</v>
      </c>
      <c r="AB167" s="1188" t="str">
        <f aca="false">CONCATENATE(Z167,"-",AA167)</f>
        <v>522- Explotaciones de aves de corral de carne especializadas</v>
      </c>
      <c r="AC167" s="816"/>
      <c r="AD167" s="816"/>
      <c r="AE167" s="816"/>
      <c r="AF167" s="816"/>
      <c r="AG167" s="816"/>
      <c r="AH167" s="816"/>
      <c r="AI167" s="816"/>
      <c r="AJ167" s="816"/>
      <c r="AK167" s="816"/>
      <c r="AL167" s="816"/>
      <c r="AM167" s="816"/>
      <c r="AN167" s="869" t="n">
        <v>522</v>
      </c>
    </row>
    <row r="168" customFormat="false" ht="26.8" hidden="true" customHeight="fals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176"/>
      <c r="K168" s="176"/>
      <c r="L168" s="3"/>
      <c r="M168" s="3"/>
      <c r="N168" s="3"/>
      <c r="O168" s="1162"/>
      <c r="P168" s="3"/>
      <c r="Q168" s="182"/>
      <c r="R168" s="1203"/>
      <c r="S168" s="869"/>
      <c r="T168" s="869"/>
      <c r="U168" s="869"/>
      <c r="V168" s="869"/>
      <c r="W168" s="869"/>
      <c r="X168" s="869"/>
      <c r="Y168" s="869"/>
      <c r="Z168" s="869" t="n">
        <v>523</v>
      </c>
      <c r="AA168" s="874" t="s">
        <v>863</v>
      </c>
      <c r="AB168" s="1188" t="str">
        <f aca="false">CONCATENATE(Z168,"-",AA168)</f>
        <v>523- Explotaciones que combinen gallinas ponedoras y aves de corral de carne</v>
      </c>
      <c r="AC168" s="816"/>
      <c r="AD168" s="816"/>
      <c r="AE168" s="816"/>
      <c r="AF168" s="816"/>
      <c r="AG168" s="816"/>
      <c r="AH168" s="816"/>
      <c r="AI168" s="816"/>
      <c r="AJ168" s="816"/>
      <c r="AK168" s="816"/>
      <c r="AL168" s="816"/>
      <c r="AM168" s="816"/>
      <c r="AN168" s="869" t="n">
        <v>523</v>
      </c>
    </row>
    <row r="169" customFormat="false" ht="12.75" hidden="true" customHeight="tru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176"/>
      <c r="K169" s="176"/>
      <c r="L169" s="3"/>
      <c r="M169" s="3"/>
      <c r="N169" s="3"/>
      <c r="O169" s="1162"/>
      <c r="P169" s="3"/>
      <c r="Q169" s="182"/>
      <c r="R169" s="1203"/>
      <c r="S169" s="906" t="n">
        <v>53</v>
      </c>
      <c r="T169" s="887" t="s">
        <v>864</v>
      </c>
      <c r="U169" s="887"/>
      <c r="V169" s="887"/>
      <c r="W169" s="887"/>
      <c r="X169" s="887"/>
      <c r="Y169" s="5"/>
      <c r="Z169" s="907" t="n">
        <v>530</v>
      </c>
      <c r="AA169" s="887" t="s">
        <v>864</v>
      </c>
      <c r="AB169" s="1188" t="str">
        <f aca="false">CONCATENATE(Z169,"-",AA169)</f>
        <v>530-Explotaciones con varias combinaciones de granívoros</v>
      </c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907" t="n">
        <v>530</v>
      </c>
    </row>
    <row r="170" customFormat="false" ht="26.8" hidden="true" customHeight="fals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176"/>
      <c r="K170" s="176"/>
      <c r="L170" s="3"/>
      <c r="M170" s="3"/>
      <c r="N170" s="3"/>
      <c r="O170" s="1162"/>
      <c r="P170" s="3"/>
      <c r="Q170" s="182"/>
      <c r="R170" s="1218" t="n">
        <v>6</v>
      </c>
      <c r="S170" s="1182" t="s">
        <v>741</v>
      </c>
      <c r="T170" s="1216"/>
      <c r="U170" s="1216"/>
      <c r="V170" s="1183"/>
      <c r="W170" s="1204"/>
      <c r="X170" s="1183"/>
      <c r="Y170" s="891"/>
      <c r="Z170" s="867"/>
      <c r="AA170" s="816"/>
      <c r="AB170" s="1188" t="str">
        <f aca="false">CONCATENATE(Z170,"-",AA170)</f>
        <v>-</v>
      </c>
      <c r="AC170" s="816"/>
      <c r="AD170" s="816"/>
      <c r="AE170" s="816"/>
      <c r="AF170" s="816"/>
      <c r="AG170" s="816"/>
      <c r="AH170" s="816"/>
      <c r="AI170" s="816"/>
      <c r="AJ170" s="816"/>
      <c r="AK170" s="816"/>
      <c r="AL170" s="816"/>
      <c r="AM170" s="816"/>
      <c r="AN170" s="867"/>
    </row>
    <row r="171" customFormat="false" ht="12.75" hidden="true" customHeight="tru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176"/>
      <c r="K171" s="176"/>
      <c r="L171" s="3"/>
      <c r="M171" s="3"/>
      <c r="N171" s="3"/>
      <c r="O171" s="1162"/>
      <c r="P171" s="3"/>
      <c r="Q171" s="182"/>
      <c r="R171" s="1218"/>
      <c r="S171" s="869" t="n">
        <v>61</v>
      </c>
      <c r="T171" s="869" t="s">
        <v>741</v>
      </c>
      <c r="U171" s="869"/>
      <c r="V171" s="869"/>
      <c r="W171" s="869"/>
      <c r="X171" s="869"/>
      <c r="Y171" s="869"/>
      <c r="Z171" s="869" t="n">
        <v>611</v>
      </c>
      <c r="AA171" s="1219" t="s">
        <v>742</v>
      </c>
      <c r="AB171" s="1188" t="str">
        <f aca="false">CONCATENATE(Z171,"-",AA171)</f>
        <v>611-Horticultura y combinaciones de cultivos permanentes</v>
      </c>
      <c r="AC171" s="423"/>
      <c r="AD171" s="423"/>
      <c r="AE171" s="423"/>
      <c r="AF171" s="423"/>
      <c r="AG171" s="423"/>
      <c r="AH171" s="423"/>
      <c r="AI171" s="423"/>
      <c r="AJ171" s="423"/>
      <c r="AK171" s="423"/>
      <c r="AL171" s="423"/>
      <c r="AM171" s="423"/>
      <c r="AN171" s="869" t="n">
        <v>611</v>
      </c>
    </row>
    <row r="172" customFormat="false" ht="26.8" hidden="true" customHeight="fals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176"/>
      <c r="K172" s="176"/>
      <c r="L172" s="3"/>
      <c r="M172" s="3"/>
      <c r="N172" s="3"/>
      <c r="O172" s="1162"/>
      <c r="P172" s="3"/>
      <c r="Q172" s="182"/>
      <c r="R172" s="1218"/>
      <c r="S172" s="869"/>
      <c r="T172" s="869"/>
      <c r="U172" s="869"/>
      <c r="V172" s="869"/>
      <c r="W172" s="869"/>
      <c r="X172" s="869"/>
      <c r="Y172" s="869"/>
      <c r="Z172" s="869" t="n">
        <v>612</v>
      </c>
      <c r="AA172" s="1220" t="s">
        <v>743</v>
      </c>
      <c r="AB172" s="1188" t="str">
        <f aca="false">CONCATENATE(Z172,"-",AA172)</f>
        <v>612-Explotaciones que combinen grandes cultivos y horticultura</v>
      </c>
      <c r="AC172" s="816"/>
      <c r="AD172" s="816"/>
      <c r="AE172" s="816"/>
      <c r="AF172" s="816"/>
      <c r="AG172" s="816"/>
      <c r="AH172" s="816"/>
      <c r="AI172" s="816"/>
      <c r="AJ172" s="816"/>
      <c r="AK172" s="816"/>
      <c r="AL172" s="816"/>
      <c r="AM172" s="816"/>
      <c r="AN172" s="869" t="n">
        <v>612</v>
      </c>
    </row>
    <row r="173" customFormat="false" ht="26.8" hidden="true" customHeight="fals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176"/>
      <c r="K173" s="176"/>
      <c r="L173" s="3"/>
      <c r="M173" s="3"/>
      <c r="N173" s="3"/>
      <c r="O173" s="1162"/>
      <c r="P173" s="3"/>
      <c r="Q173" s="182"/>
      <c r="R173" s="1218"/>
      <c r="S173" s="869"/>
      <c r="T173" s="869"/>
      <c r="U173" s="869"/>
      <c r="V173" s="869"/>
      <c r="W173" s="869"/>
      <c r="X173" s="869"/>
      <c r="Y173" s="869"/>
      <c r="Z173" s="869" t="n">
        <v>613</v>
      </c>
      <c r="AA173" s="1220" t="s">
        <v>744</v>
      </c>
      <c r="AB173" s="1188" t="str">
        <f aca="false">CONCATENATE(Z173,"-",AA173)</f>
        <v>613-Explotaciones que combinen grandes cultivos y vides</v>
      </c>
      <c r="AC173" s="816"/>
      <c r="AD173" s="816"/>
      <c r="AE173" s="816"/>
      <c r="AF173" s="816"/>
      <c r="AG173" s="816"/>
      <c r="AH173" s="816"/>
      <c r="AI173" s="816"/>
      <c r="AJ173" s="816"/>
      <c r="AK173" s="816"/>
      <c r="AL173" s="816"/>
      <c r="AM173" s="816"/>
      <c r="AN173" s="869" t="n">
        <v>613</v>
      </c>
    </row>
    <row r="174" customFormat="false" ht="26.8" hidden="true" customHeight="fals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176"/>
      <c r="K174" s="176"/>
      <c r="L174" s="3"/>
      <c r="M174" s="3"/>
      <c r="N174" s="3"/>
      <c r="O174" s="1162"/>
      <c r="P174" s="3"/>
      <c r="Q174" s="182"/>
      <c r="R174" s="1218"/>
      <c r="S174" s="869"/>
      <c r="T174" s="869"/>
      <c r="U174" s="869"/>
      <c r="V174" s="869"/>
      <c r="W174" s="869"/>
      <c r="X174" s="869"/>
      <c r="Y174" s="869"/>
      <c r="Z174" s="869" t="n">
        <v>614</v>
      </c>
      <c r="AA174" s="1220" t="s">
        <v>745</v>
      </c>
      <c r="AB174" s="1188" t="str">
        <f aca="false">CONCATENATE(Z174,"-",AA174)</f>
        <v>614-Explotaciones que combinen grandes cultivos y cultivos permanentes</v>
      </c>
      <c r="AC174" s="816"/>
      <c r="AD174" s="816"/>
      <c r="AE174" s="816"/>
      <c r="AF174" s="816"/>
      <c r="AG174" s="816"/>
      <c r="AH174" s="816"/>
      <c r="AI174" s="816"/>
      <c r="AJ174" s="816"/>
      <c r="AK174" s="816"/>
      <c r="AL174" s="816"/>
      <c r="AM174" s="816"/>
      <c r="AN174" s="869" t="n">
        <v>614</v>
      </c>
    </row>
    <row r="175" customFormat="false" ht="26.8" hidden="true" customHeight="fals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176"/>
      <c r="K175" s="176"/>
      <c r="L175" s="3"/>
      <c r="M175" s="3"/>
      <c r="N175" s="3"/>
      <c r="O175" s="1162"/>
      <c r="P175" s="3"/>
      <c r="Q175" s="182"/>
      <c r="R175" s="1218"/>
      <c r="S175" s="869"/>
      <c r="T175" s="869"/>
      <c r="U175" s="869"/>
      <c r="V175" s="869"/>
      <c r="W175" s="869"/>
      <c r="X175" s="869"/>
      <c r="Y175" s="869"/>
      <c r="Z175" s="869" t="n">
        <v>615</v>
      </c>
      <c r="AA175" s="1220" t="s">
        <v>746</v>
      </c>
      <c r="AB175" s="1188" t="str">
        <f aca="false">CONCATENATE(Z175,"-",AA175)</f>
        <v>615-Explotaciones de policultivo con orientación grandes cultivos</v>
      </c>
      <c r="AC175" s="1221"/>
      <c r="AD175" s="1221"/>
      <c r="AE175" s="1221"/>
      <c r="AF175" s="1221"/>
      <c r="AG175" s="1221"/>
      <c r="AH175" s="1221"/>
      <c r="AI175" s="1221"/>
      <c r="AJ175" s="1221"/>
      <c r="AK175" s="1221"/>
      <c r="AL175" s="1221"/>
      <c r="AM175" s="1221"/>
      <c r="AN175" s="869" t="n">
        <v>615</v>
      </c>
    </row>
    <row r="176" customFormat="false" ht="26.8" hidden="true" customHeight="fals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176"/>
      <c r="K176" s="176"/>
      <c r="L176" s="3"/>
      <c r="M176" s="3"/>
      <c r="N176" s="3"/>
      <c r="O176" s="1162"/>
      <c r="P176" s="3"/>
      <c r="Q176" s="182"/>
      <c r="R176" s="1218"/>
      <c r="S176" s="869"/>
      <c r="T176" s="869"/>
      <c r="U176" s="869"/>
      <c r="V176" s="869"/>
      <c r="W176" s="869"/>
      <c r="X176" s="869"/>
      <c r="Y176" s="869"/>
      <c r="Z176" s="869" t="n">
        <v>616</v>
      </c>
      <c r="AA176" s="779" t="s">
        <v>747</v>
      </c>
      <c r="AB176" s="1188" t="str">
        <f aca="false">CONCATENATE(Z176,"-",AA176)</f>
        <v>616-Explotaciones de otros policultivos</v>
      </c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869" t="n">
        <v>616</v>
      </c>
    </row>
    <row r="177" customFormat="false" ht="26.8" hidden="true" customHeight="fals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176"/>
      <c r="K177" s="176"/>
      <c r="L177" s="3"/>
      <c r="M177" s="3"/>
      <c r="N177" s="3"/>
      <c r="O177" s="1162"/>
      <c r="P177" s="3"/>
      <c r="Q177" s="182"/>
      <c r="R177" s="1218" t="n">
        <v>7</v>
      </c>
      <c r="S177" s="1222" t="s">
        <v>748</v>
      </c>
      <c r="T177" s="1216"/>
      <c r="U177" s="1216"/>
      <c r="V177" s="874"/>
      <c r="W177" s="1223"/>
      <c r="X177" s="874"/>
      <c r="Y177" s="891"/>
      <c r="Z177" s="867"/>
      <c r="AA177" s="816"/>
      <c r="AB177" s="1188" t="str">
        <f aca="false">CONCATENATE(Z177,"-",AA177)</f>
        <v>-</v>
      </c>
      <c r="AC177" s="816"/>
      <c r="AD177" s="816"/>
      <c r="AE177" s="816"/>
      <c r="AF177" s="816"/>
      <c r="AG177" s="816"/>
      <c r="AH177" s="816"/>
      <c r="AI177" s="816"/>
      <c r="AJ177" s="816"/>
      <c r="AK177" s="816"/>
      <c r="AL177" s="816"/>
      <c r="AM177" s="816"/>
      <c r="AN177" s="867"/>
    </row>
    <row r="178" customFormat="false" ht="12.75" hidden="true" customHeight="tru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176"/>
      <c r="K178" s="176"/>
      <c r="L178" s="3"/>
      <c r="M178" s="3"/>
      <c r="N178" s="3"/>
      <c r="O178" s="1162"/>
      <c r="P178" s="3"/>
      <c r="Q178" s="182"/>
      <c r="R178" s="1218"/>
      <c r="S178" s="869" t="n">
        <v>73</v>
      </c>
      <c r="T178" s="869" t="s">
        <v>865</v>
      </c>
      <c r="U178" s="869"/>
      <c r="V178" s="869"/>
      <c r="W178" s="869"/>
      <c r="X178" s="869"/>
      <c r="Y178" s="869"/>
      <c r="Z178" s="869" t="n">
        <v>731</v>
      </c>
      <c r="AA178" s="928" t="s">
        <v>750</v>
      </c>
      <c r="AB178" s="1188" t="str">
        <f aca="false">CONCATENATE(Z178,"-",AA178)</f>
        <v>731-Explotaciones de poliganadería con orientación lechera</v>
      </c>
      <c r="AC178" s="816"/>
      <c r="AD178" s="816"/>
      <c r="AE178" s="816"/>
      <c r="AF178" s="816"/>
      <c r="AG178" s="816"/>
      <c r="AH178" s="816"/>
      <c r="AI178" s="816"/>
      <c r="AJ178" s="816"/>
      <c r="AK178" s="816"/>
      <c r="AL178" s="816"/>
      <c r="AM178" s="816"/>
      <c r="AN178" s="869" t="n">
        <v>731</v>
      </c>
    </row>
    <row r="179" customFormat="false" ht="26.8" hidden="true" customHeight="fals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176"/>
      <c r="K179" s="176"/>
      <c r="L179" s="3"/>
      <c r="M179" s="3"/>
      <c r="N179" s="3"/>
      <c r="O179" s="1162"/>
      <c r="P179" s="3"/>
      <c r="Q179" s="182"/>
      <c r="R179" s="1218"/>
      <c r="S179" s="869"/>
      <c r="T179" s="869"/>
      <c r="U179" s="869"/>
      <c r="V179" s="869"/>
      <c r="W179" s="869"/>
      <c r="X179" s="869"/>
      <c r="Y179" s="869"/>
      <c r="Z179" s="869" t="n">
        <v>732</v>
      </c>
      <c r="AA179" s="928" t="s">
        <v>751</v>
      </c>
      <c r="AB179" s="1188" t="str">
        <f aca="false">CONCATENATE(Z179,"-",AA179)</f>
        <v>732-Explotaciones de poliganadería con orientación herbívoros no lecheros</v>
      </c>
      <c r="AC179" s="816"/>
      <c r="AD179" s="816"/>
      <c r="AE179" s="816"/>
      <c r="AF179" s="816"/>
      <c r="AG179" s="816"/>
      <c r="AH179" s="816"/>
      <c r="AI179" s="816"/>
      <c r="AJ179" s="816"/>
      <c r="AK179" s="816"/>
      <c r="AL179" s="816"/>
      <c r="AM179" s="816"/>
      <c r="AN179" s="869" t="n">
        <v>732</v>
      </c>
    </row>
    <row r="180" customFormat="false" ht="12.75" hidden="true" customHeight="tru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176"/>
      <c r="K180" s="176"/>
      <c r="L180" s="3"/>
      <c r="M180" s="3"/>
      <c r="N180" s="3"/>
      <c r="O180" s="1162"/>
      <c r="P180" s="3"/>
      <c r="Q180" s="182"/>
      <c r="R180" s="1218"/>
      <c r="S180" s="869" t="n">
        <v>74</v>
      </c>
      <c r="T180" s="869" t="s">
        <v>866</v>
      </c>
      <c r="U180" s="869"/>
      <c r="V180" s="869"/>
      <c r="W180" s="869"/>
      <c r="X180" s="869"/>
      <c r="Y180" s="869"/>
      <c r="Z180" s="907" t="n">
        <v>741</v>
      </c>
      <c r="AA180" s="1224" t="s">
        <v>753</v>
      </c>
      <c r="AB180" s="1188" t="str">
        <f aca="false">CONCATENATE(Z180,"-",AA180)</f>
        <v>741-Explotaciones de policultivo: granívoros y bovinos lecheros combinados</v>
      </c>
      <c r="AC180" s="423"/>
      <c r="AD180" s="423"/>
      <c r="AE180" s="423"/>
      <c r="AF180" s="423"/>
      <c r="AG180" s="423"/>
      <c r="AH180" s="423"/>
      <c r="AI180" s="423"/>
      <c r="AJ180" s="423"/>
      <c r="AK180" s="423"/>
      <c r="AL180" s="423"/>
      <c r="AM180" s="423"/>
      <c r="AN180" s="907" t="n">
        <v>741</v>
      </c>
    </row>
    <row r="181" customFormat="false" ht="26.8" hidden="true" customHeight="fals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176"/>
      <c r="K181" s="176"/>
      <c r="L181" s="3"/>
      <c r="M181" s="3"/>
      <c r="N181" s="3"/>
      <c r="O181" s="1162"/>
      <c r="P181" s="3"/>
      <c r="Q181" s="182"/>
      <c r="R181" s="1218"/>
      <c r="S181" s="869"/>
      <c r="T181" s="869"/>
      <c r="U181" s="869"/>
      <c r="V181" s="869"/>
      <c r="W181" s="869"/>
      <c r="X181" s="869"/>
      <c r="Y181" s="869"/>
      <c r="Z181" s="869" t="n">
        <v>742</v>
      </c>
      <c r="AA181" s="1225" t="s">
        <v>754</v>
      </c>
      <c r="AB181" s="1188" t="str">
        <f aca="false">CONCATENATE(Z181,"-",AA181)</f>
        <v>742-Explotaciones de policultivo: granívoros y herbívoros no lecheros</v>
      </c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869" t="n">
        <v>742</v>
      </c>
    </row>
    <row r="182" customFormat="false" ht="26.8" hidden="true" customHeight="fals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176"/>
      <c r="K182" s="176"/>
      <c r="L182" s="3"/>
      <c r="M182" s="3"/>
      <c r="N182" s="3"/>
      <c r="O182" s="1162"/>
      <c r="P182" s="3"/>
      <c r="Q182" s="182"/>
      <c r="R182" s="1218" t="n">
        <v>8</v>
      </c>
      <c r="S182" s="1222" t="s">
        <v>755</v>
      </c>
      <c r="T182" s="1216"/>
      <c r="U182" s="1216"/>
      <c r="V182" s="874"/>
      <c r="W182" s="1223"/>
      <c r="X182" s="874"/>
      <c r="Y182" s="891"/>
      <c r="Z182" s="867"/>
      <c r="AA182" s="816"/>
      <c r="AB182" s="1188" t="str">
        <f aca="false">CONCATENATE(Z182,"-",AA182)</f>
        <v>-</v>
      </c>
      <c r="AC182" s="816"/>
      <c r="AD182" s="816"/>
      <c r="AE182" s="816"/>
      <c r="AF182" s="816"/>
      <c r="AG182" s="816"/>
      <c r="AH182" s="816"/>
      <c r="AI182" s="816"/>
      <c r="AJ182" s="816"/>
      <c r="AK182" s="816"/>
      <c r="AL182" s="816"/>
      <c r="AM182" s="816"/>
      <c r="AN182" s="867"/>
    </row>
    <row r="183" customFormat="false" ht="12.75" hidden="true" customHeight="tru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176"/>
      <c r="K183" s="176"/>
      <c r="L183" s="3"/>
      <c r="M183" s="3"/>
      <c r="N183" s="3"/>
      <c r="O183" s="1162"/>
      <c r="P183" s="3"/>
      <c r="Q183" s="182"/>
      <c r="R183" s="1218"/>
      <c r="S183" s="869" t="n">
        <v>83</v>
      </c>
      <c r="T183" s="869" t="s">
        <v>867</v>
      </c>
      <c r="U183" s="869"/>
      <c r="V183" s="869"/>
      <c r="W183" s="869"/>
      <c r="X183" s="869"/>
      <c r="Y183" s="869"/>
      <c r="Z183" s="869" t="n">
        <v>831</v>
      </c>
      <c r="AA183" s="1219" t="s">
        <v>757</v>
      </c>
      <c r="AB183" s="1188" t="str">
        <f aca="false">CONCATENATE(Z183,"-",AA183)</f>
        <v>831-Explotaciones mixtas grandes cultivos con bovinos lecheros</v>
      </c>
      <c r="AC183" s="423"/>
      <c r="AD183" s="423"/>
      <c r="AE183" s="423"/>
      <c r="AF183" s="423"/>
      <c r="AG183" s="423"/>
      <c r="AH183" s="423"/>
      <c r="AI183" s="423"/>
      <c r="AJ183" s="423"/>
      <c r="AK183" s="423"/>
      <c r="AL183" s="423"/>
      <c r="AM183" s="423"/>
      <c r="AN183" s="869" t="n">
        <v>831</v>
      </c>
    </row>
    <row r="184" customFormat="false" ht="26.8" hidden="true" customHeight="fals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176"/>
      <c r="K184" s="176"/>
      <c r="L184" s="3"/>
      <c r="M184" s="3"/>
      <c r="N184" s="3"/>
      <c r="O184" s="1162"/>
      <c r="P184" s="3"/>
      <c r="Q184" s="182"/>
      <c r="R184" s="1218"/>
      <c r="S184" s="869"/>
      <c r="T184" s="869"/>
      <c r="U184" s="869"/>
      <c r="V184" s="869"/>
      <c r="W184" s="869"/>
      <c r="X184" s="869"/>
      <c r="Y184" s="869"/>
      <c r="Z184" s="869" t="n">
        <v>832</v>
      </c>
      <c r="AA184" s="928" t="s">
        <v>868</v>
      </c>
      <c r="AB184" s="1188" t="str">
        <f aca="false">CONCATENATE(Z184,"-",AA184)</f>
        <v>832-Explotaciones mixtas bovinos lecheros con grandes cultivos</v>
      </c>
      <c r="AC184" s="816"/>
      <c r="AD184" s="816"/>
      <c r="AE184" s="816"/>
      <c r="AF184" s="816"/>
      <c r="AG184" s="816"/>
      <c r="AH184" s="816"/>
      <c r="AI184" s="816"/>
      <c r="AJ184" s="816"/>
      <c r="AK184" s="816"/>
      <c r="AL184" s="816"/>
      <c r="AM184" s="816"/>
      <c r="AN184" s="869" t="n">
        <v>832</v>
      </c>
    </row>
    <row r="185" customFormat="false" ht="26.8" hidden="true" customHeight="fals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176"/>
      <c r="K185" s="176"/>
      <c r="L185" s="3"/>
      <c r="M185" s="3"/>
      <c r="N185" s="3"/>
      <c r="O185" s="1162"/>
      <c r="P185" s="3"/>
      <c r="Q185" s="182"/>
      <c r="R185" s="1218"/>
      <c r="S185" s="869"/>
      <c r="T185" s="869"/>
      <c r="U185" s="869"/>
      <c r="V185" s="869"/>
      <c r="W185" s="869"/>
      <c r="X185" s="869"/>
      <c r="Y185" s="869"/>
      <c r="Z185" s="869" t="n">
        <v>833</v>
      </c>
      <c r="AA185" s="928" t="s">
        <v>759</v>
      </c>
      <c r="AB185" s="1188" t="str">
        <f aca="false">CONCATENATE(Z185,"-",AA185)</f>
        <v>833-Explotaciones mixtas grandes cultivos con herbívoros no lecheros</v>
      </c>
      <c r="AC185" s="816"/>
      <c r="AD185" s="816"/>
      <c r="AE185" s="816"/>
      <c r="AF185" s="816"/>
      <c r="AG185" s="816"/>
      <c r="AH185" s="816"/>
      <c r="AI185" s="816"/>
      <c r="AJ185" s="816"/>
      <c r="AK185" s="816"/>
      <c r="AL185" s="816"/>
      <c r="AM185" s="816"/>
      <c r="AN185" s="869" t="n">
        <v>833</v>
      </c>
    </row>
    <row r="186" customFormat="false" ht="26.8" hidden="true" customHeight="fals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176"/>
      <c r="K186" s="176"/>
      <c r="L186" s="3"/>
      <c r="M186" s="3"/>
      <c r="N186" s="3"/>
      <c r="O186" s="1162"/>
      <c r="P186" s="3"/>
      <c r="Q186" s="182"/>
      <c r="R186" s="1218"/>
      <c r="S186" s="869"/>
      <c r="T186" s="869"/>
      <c r="U186" s="869"/>
      <c r="V186" s="869"/>
      <c r="W186" s="869"/>
      <c r="X186" s="869"/>
      <c r="Y186" s="869"/>
      <c r="Z186" s="884" t="n">
        <v>834</v>
      </c>
      <c r="AA186" s="779" t="s">
        <v>760</v>
      </c>
      <c r="AB186" s="1188" t="str">
        <f aca="false">CONCATENATE(Z186,"-",AA186)</f>
        <v>834-Explotaciones mixtas herbívoros no lecheros con grandes cultivos</v>
      </c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884" t="n">
        <v>834</v>
      </c>
    </row>
    <row r="187" customFormat="false" ht="15" hidden="true" customHeight="tru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176"/>
      <c r="K187" s="176"/>
      <c r="L187" s="3"/>
      <c r="M187" s="3"/>
      <c r="N187" s="3"/>
      <c r="O187" s="1162"/>
      <c r="P187" s="3"/>
      <c r="Q187" s="182"/>
      <c r="R187" s="1218"/>
      <c r="S187" s="869" t="n">
        <v>84</v>
      </c>
      <c r="T187" s="869" t="s">
        <v>869</v>
      </c>
      <c r="U187" s="869"/>
      <c r="V187" s="869"/>
      <c r="W187" s="869"/>
      <c r="X187" s="869"/>
      <c r="Y187" s="869"/>
      <c r="Z187" s="869" t="n">
        <v>841</v>
      </c>
      <c r="AA187" s="1220" t="s">
        <v>762</v>
      </c>
      <c r="AB187" s="1188" t="str">
        <f aca="false">CONCATENATE(Z187,"-",AA187)</f>
        <v>841-Explotaciones mixtas con grandes cultivos y granívoros</v>
      </c>
      <c r="AC187" s="1221"/>
      <c r="AD187" s="1221"/>
      <c r="AE187" s="1221"/>
      <c r="AF187" s="1221"/>
      <c r="AG187" s="1221"/>
      <c r="AH187" s="1221"/>
      <c r="AI187" s="1221"/>
      <c r="AJ187" s="1221"/>
      <c r="AK187" s="1221"/>
      <c r="AL187" s="1221"/>
      <c r="AM187" s="1221"/>
      <c r="AN187" s="869" t="n">
        <v>841</v>
      </c>
    </row>
    <row r="188" customFormat="false" ht="26.8" hidden="true" customHeight="fals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176"/>
      <c r="K188" s="176"/>
      <c r="L188" s="3"/>
      <c r="M188" s="3"/>
      <c r="N188" s="3"/>
      <c r="O188" s="1162"/>
      <c r="P188" s="3"/>
      <c r="Q188" s="182"/>
      <c r="R188" s="1218"/>
      <c r="S188" s="869"/>
      <c r="T188" s="869"/>
      <c r="U188" s="869"/>
      <c r="V188" s="869"/>
      <c r="W188" s="869"/>
      <c r="X188" s="869"/>
      <c r="Y188" s="869"/>
      <c r="Z188" s="869" t="n">
        <v>842</v>
      </c>
      <c r="AA188" s="1220" t="s">
        <v>763</v>
      </c>
      <c r="AB188" s="1188" t="str">
        <f aca="false">CONCATENATE(Z188,"-",AA188)</f>
        <v>842-Explotaciones mixtas con cultivos permanentes y herbívoros</v>
      </c>
      <c r="AC188" s="816"/>
      <c r="AD188" s="816"/>
      <c r="AE188" s="816"/>
      <c r="AF188" s="816"/>
      <c r="AG188" s="816"/>
      <c r="AH188" s="816"/>
      <c r="AI188" s="816"/>
      <c r="AJ188" s="816"/>
      <c r="AK188" s="816"/>
      <c r="AL188" s="816"/>
      <c r="AM188" s="816"/>
      <c r="AN188" s="869" t="n">
        <v>842</v>
      </c>
    </row>
    <row r="189" customFormat="false" ht="26.8" hidden="true" customHeight="false" outlineLevel="0" collapsed="false">
      <c r="A189" s="3"/>
      <c r="B189" s="3"/>
      <c r="C189" s="3"/>
      <c r="D189" s="3"/>
      <c r="E189" s="3"/>
      <c r="F189" s="3" t="s">
        <v>767</v>
      </c>
      <c r="G189" s="3"/>
      <c r="H189" s="3"/>
      <c r="I189" s="3"/>
      <c r="J189" s="176"/>
      <c r="K189" s="176"/>
      <c r="L189" s="3"/>
      <c r="M189" s="3"/>
      <c r="N189" s="3"/>
      <c r="O189" s="1162"/>
      <c r="P189" s="3"/>
      <c r="Q189" s="182"/>
      <c r="R189" s="1218"/>
      <c r="S189" s="869"/>
      <c r="T189" s="869"/>
      <c r="U189" s="869"/>
      <c r="V189" s="869"/>
      <c r="W189" s="869"/>
      <c r="X189" s="869"/>
      <c r="Y189" s="869"/>
      <c r="Z189" s="869" t="n">
        <v>843</v>
      </c>
      <c r="AA189" s="1220" t="s">
        <v>764</v>
      </c>
      <c r="AB189" s="1188" t="str">
        <f aca="false">CONCATENATE(Z189,"-",AA189)</f>
        <v>843-Explotaciones apícolas</v>
      </c>
      <c r="AC189" s="816"/>
      <c r="AD189" s="816"/>
      <c r="AE189" s="816"/>
      <c r="AF189" s="816"/>
      <c r="AG189" s="816"/>
      <c r="AH189" s="816"/>
      <c r="AI189" s="816"/>
      <c r="AJ189" s="816"/>
      <c r="AK189" s="816"/>
      <c r="AL189" s="816"/>
      <c r="AM189" s="816"/>
      <c r="AN189" s="869" t="n">
        <v>843</v>
      </c>
    </row>
    <row r="190" customFormat="false" ht="26.8" hidden="true" customHeight="false" outlineLevel="0" collapsed="false">
      <c r="A190" s="3"/>
      <c r="B190" s="3"/>
      <c r="C190" s="3"/>
      <c r="D190" s="929" t="n">
        <v>8000</v>
      </c>
      <c r="E190" s="929"/>
      <c r="F190" s="929" t="n">
        <v>25000</v>
      </c>
      <c r="G190" s="931"/>
      <c r="H190" s="3"/>
      <c r="I190" s="3"/>
      <c r="J190" s="176"/>
      <c r="K190" s="176"/>
      <c r="L190" s="3"/>
      <c r="M190" s="3"/>
      <c r="N190" s="3"/>
      <c r="O190" s="1162"/>
      <c r="P190" s="3"/>
      <c r="Q190" s="182"/>
      <c r="R190" s="1218"/>
      <c r="S190" s="869"/>
      <c r="T190" s="869"/>
      <c r="U190" s="869"/>
      <c r="V190" s="869"/>
      <c r="W190" s="869"/>
      <c r="X190" s="869"/>
      <c r="Y190" s="869"/>
      <c r="Z190" s="869" t="n">
        <v>844</v>
      </c>
      <c r="AA190" s="1220" t="s">
        <v>765</v>
      </c>
      <c r="AB190" s="1188" t="str">
        <f aca="false">CONCATENATE(Z190,"-",AA190)</f>
        <v>844-Explotaciones con varios cultivos y ganaderías mixtas</v>
      </c>
      <c r="AC190" s="816"/>
      <c r="AD190" s="816"/>
      <c r="AE190" s="816"/>
      <c r="AF190" s="816"/>
      <c r="AG190" s="816"/>
      <c r="AH190" s="816"/>
      <c r="AI190" s="816"/>
      <c r="AJ190" s="816"/>
      <c r="AK190" s="816"/>
      <c r="AL190" s="816"/>
      <c r="AM190" s="816"/>
      <c r="AN190" s="869" t="n">
        <v>844</v>
      </c>
    </row>
    <row r="191" customFormat="false" ht="26.8" hidden="true" customHeight="false" outlineLevel="0" collapsed="false">
      <c r="A191" s="3"/>
      <c r="B191" s="3"/>
      <c r="C191" s="3"/>
      <c r="D191" s="929" t="n">
        <v>25001</v>
      </c>
      <c r="E191" s="929"/>
      <c r="F191" s="929" t="n">
        <v>50000</v>
      </c>
      <c r="G191" s="931"/>
      <c r="H191" s="3"/>
      <c r="I191" s="3"/>
      <c r="J191" s="176"/>
      <c r="K191" s="176"/>
      <c r="L191" s="3"/>
      <c r="M191" s="3"/>
      <c r="N191" s="3"/>
      <c r="O191" s="1162"/>
      <c r="P191" s="3"/>
      <c r="Q191" s="182"/>
      <c r="R191" s="1218" t="n">
        <v>9</v>
      </c>
      <c r="S191" s="1222" t="s">
        <v>766</v>
      </c>
      <c r="T191" s="1216"/>
      <c r="U191" s="1216"/>
      <c r="V191" s="1226"/>
      <c r="W191" s="1227"/>
      <c r="X191" s="1226"/>
      <c r="Y191" s="891"/>
      <c r="Z191" s="867"/>
      <c r="AA191" s="816"/>
      <c r="AB191" s="1188" t="str">
        <f aca="false">CONCATENATE(Z191,"-",AA191)</f>
        <v>-</v>
      </c>
      <c r="AC191" s="816"/>
      <c r="AD191" s="816"/>
      <c r="AE191" s="816"/>
      <c r="AF191" s="816"/>
      <c r="AG191" s="816"/>
      <c r="AH191" s="816"/>
      <c r="AI191" s="816"/>
      <c r="AJ191" s="816"/>
      <c r="AK191" s="816"/>
      <c r="AL191" s="816"/>
      <c r="AM191" s="816"/>
      <c r="AN191" s="867"/>
    </row>
    <row r="192" customFormat="false" ht="15" hidden="true" customHeight="true" outlineLevel="0" collapsed="false">
      <c r="A192" s="3"/>
      <c r="B192" s="3"/>
      <c r="C192" s="3"/>
      <c r="D192" s="929" t="n">
        <v>50001</v>
      </c>
      <c r="E192" s="929"/>
      <c r="F192" s="929" t="n">
        <v>75000</v>
      </c>
      <c r="G192" s="931"/>
      <c r="H192" s="3"/>
      <c r="I192" s="3"/>
      <c r="J192" s="176"/>
      <c r="K192" s="176"/>
      <c r="L192" s="3"/>
      <c r="M192" s="3"/>
      <c r="N192" s="3"/>
      <c r="O192" s="1162"/>
      <c r="P192" s="3"/>
      <c r="Q192" s="182"/>
      <c r="R192" s="1228"/>
      <c r="S192" s="926" t="n">
        <v>90</v>
      </c>
      <c r="T192" s="1229" t="s">
        <v>766</v>
      </c>
      <c r="U192" s="1229"/>
      <c r="V192" s="1229"/>
      <c r="W192" s="1229"/>
      <c r="X192" s="1229"/>
      <c r="Y192" s="891"/>
      <c r="Z192" s="869" t="n">
        <v>900</v>
      </c>
      <c r="AA192" s="928" t="s">
        <v>766</v>
      </c>
      <c r="AB192" s="1188" t="str">
        <f aca="false">CONCATENATE(Z192,"-",AA192)</f>
        <v>900-Explotaciones no clasificadas</v>
      </c>
      <c r="AC192" s="816"/>
      <c r="AD192" s="816"/>
      <c r="AE192" s="816"/>
      <c r="AF192" s="816"/>
      <c r="AG192" s="816"/>
      <c r="AH192" s="816"/>
      <c r="AI192" s="816"/>
      <c r="AJ192" s="816"/>
      <c r="AK192" s="816"/>
      <c r="AL192" s="816"/>
      <c r="AM192" s="816"/>
      <c r="AN192" s="869" t="n">
        <v>900</v>
      </c>
    </row>
    <row r="193" customFormat="false" ht="26.8" hidden="true" customHeight="false" outlineLevel="0" collapsed="false">
      <c r="A193" s="3"/>
      <c r="B193" s="3"/>
      <c r="C193" s="3"/>
      <c r="D193" s="931" t="n">
        <v>75000</v>
      </c>
      <c r="E193" s="931"/>
      <c r="F193" s="931" t="n">
        <v>4000000</v>
      </c>
      <c r="G193" s="931"/>
      <c r="H193" s="929" t="n">
        <v>10000</v>
      </c>
      <c r="I193" s="3"/>
      <c r="J193" s="176"/>
      <c r="K193" s="176"/>
      <c r="L193" s="3"/>
      <c r="M193" s="3"/>
      <c r="N193" s="3"/>
      <c r="O193" s="1162"/>
      <c r="P193" s="3"/>
      <c r="Q193" s="182"/>
      <c r="R193" s="3"/>
      <c r="S193" s="3"/>
      <c r="T193" s="3"/>
      <c r="U193" s="3"/>
      <c r="V193" s="3"/>
      <c r="W193" s="935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</row>
    <row r="194" customFormat="false" ht="26.8" hidden="true" customHeight="false" outlineLevel="0" collapsed="false">
      <c r="A194" s="3"/>
      <c r="B194" s="3"/>
      <c r="C194" s="3"/>
      <c r="D194" s="3"/>
      <c r="E194" s="3"/>
      <c r="F194" s="3"/>
      <c r="G194" s="3"/>
      <c r="H194" s="929" t="n">
        <v>15000</v>
      </c>
      <c r="I194" s="3"/>
      <c r="J194" s="176"/>
      <c r="K194" s="176"/>
      <c r="L194" s="3"/>
      <c r="M194" s="3"/>
      <c r="N194" s="3"/>
      <c r="O194" s="1162"/>
      <c r="P194" s="3"/>
      <c r="Q194" s="182"/>
      <c r="R194" s="3"/>
      <c r="S194" s="3"/>
      <c r="T194" s="3"/>
      <c r="U194" s="3"/>
      <c r="V194" s="3"/>
      <c r="W194" s="935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</row>
    <row r="195" customFormat="false" ht="26.8" hidden="true" customHeight="false" outlineLevel="0" collapsed="false">
      <c r="A195" s="3"/>
      <c r="B195" s="3"/>
      <c r="C195" s="3"/>
      <c r="D195" s="3"/>
      <c r="E195" s="3"/>
      <c r="F195" s="3"/>
      <c r="G195" s="3"/>
      <c r="H195" s="929" t="n">
        <v>17500</v>
      </c>
      <c r="I195" s="3"/>
      <c r="J195" s="176"/>
      <c r="K195" s="176"/>
      <c r="L195" s="3"/>
      <c r="M195" s="3"/>
      <c r="N195" s="3"/>
      <c r="O195" s="1162"/>
      <c r="P195" s="3"/>
      <c r="Q195" s="182"/>
      <c r="R195" s="3"/>
      <c r="S195" s="3"/>
      <c r="T195" s="3"/>
      <c r="U195" s="3"/>
      <c r="V195" s="3"/>
      <c r="W195" s="935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</row>
    <row r="196" customFormat="false" ht="26.8" hidden="true" customHeight="false" outlineLevel="0" collapsed="false">
      <c r="A196" s="3"/>
      <c r="B196" s="3"/>
      <c r="C196" s="3"/>
      <c r="D196" s="3"/>
      <c r="E196" s="3"/>
      <c r="F196" s="3"/>
      <c r="G196" s="3"/>
      <c r="H196" s="931" t="n">
        <v>20000</v>
      </c>
      <c r="I196" s="3"/>
      <c r="J196" s="176"/>
      <c r="K196" s="176"/>
      <c r="L196" s="3"/>
      <c r="M196" s="3"/>
      <c r="N196" s="3"/>
      <c r="O196" s="1162"/>
      <c r="P196" s="1230" t="n">
        <v>5000</v>
      </c>
      <c r="Q196" s="182"/>
      <c r="R196" s="3"/>
      <c r="S196" s="3"/>
      <c r="T196" s="3"/>
      <c r="U196" s="3"/>
      <c r="V196" s="3"/>
      <c r="W196" s="935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</row>
    <row r="197" customFormat="false" ht="26.8" hidden="true" customHeight="false" outlineLevel="0" collapsed="false">
      <c r="A197" s="3"/>
      <c r="B197" s="3"/>
      <c r="C197" s="3"/>
      <c r="D197" s="3"/>
      <c r="E197" s="3"/>
      <c r="F197" s="3"/>
      <c r="G197" s="3"/>
      <c r="H197" s="3"/>
      <c r="I197" s="3"/>
      <c r="J197" s="176"/>
      <c r="K197" s="176"/>
      <c r="L197" s="3"/>
      <c r="M197" s="3"/>
      <c r="N197" s="3"/>
      <c r="O197" s="1162"/>
      <c r="P197" s="1230" t="n">
        <v>8000</v>
      </c>
      <c r="Q197" s="182"/>
      <c r="R197" s="3"/>
      <c r="S197" s="3"/>
      <c r="T197" s="3"/>
      <c r="U197" s="3"/>
      <c r="V197" s="3"/>
      <c r="W197" s="935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</row>
    <row r="198" customFormat="false" ht="26.8" hidden="true" customHeight="false" outlineLevel="0" collapsed="false">
      <c r="A198" s="3"/>
      <c r="B198" s="3"/>
      <c r="C198" s="3"/>
      <c r="D198" s="3"/>
      <c r="E198" s="3"/>
      <c r="F198" s="3"/>
      <c r="G198" s="3"/>
      <c r="H198" s="3"/>
      <c r="I198" s="3"/>
      <c r="J198" s="176"/>
      <c r="K198" s="176"/>
      <c r="L198" s="3"/>
      <c r="M198" s="3"/>
      <c r="N198" s="3"/>
      <c r="O198" s="1162"/>
      <c r="P198" s="1230" t="n">
        <v>10000</v>
      </c>
      <c r="Q198" s="182"/>
      <c r="R198" s="3"/>
      <c r="S198" s="3"/>
      <c r="T198" s="3"/>
      <c r="U198" s="3"/>
      <c r="V198" s="3"/>
      <c r="W198" s="935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</row>
    <row r="199" customFormat="false" ht="26.8" hidden="true" customHeight="fals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176"/>
      <c r="K199" s="176"/>
      <c r="L199" s="3"/>
      <c r="M199" s="3"/>
      <c r="N199" s="3"/>
      <c r="O199" s="1162"/>
      <c r="P199" s="932" t="n">
        <v>15000</v>
      </c>
      <c r="Q199" s="182"/>
      <c r="R199" s="3"/>
      <c r="S199" s="3"/>
      <c r="T199" s="3"/>
      <c r="U199" s="3"/>
      <c r="V199" s="3"/>
      <c r="W199" s="935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</row>
    <row r="200" customFormat="false" ht="26.8" hidden="true" customHeight="fals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176"/>
      <c r="K200" s="176"/>
      <c r="L200" s="3"/>
      <c r="M200" s="3"/>
      <c r="N200" s="3"/>
      <c r="O200" s="1162"/>
      <c r="P200" s="3"/>
      <c r="Q200" s="182"/>
      <c r="R200" s="3"/>
      <c r="S200" s="3"/>
      <c r="T200" s="3"/>
      <c r="U200" s="3"/>
      <c r="V200" s="3"/>
      <c r="W200" s="935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</row>
    <row r="201" customFormat="false" ht="26.8" hidden="true" customHeight="false" outlineLevel="0" collapsed="false">
      <c r="A201" s="3"/>
      <c r="B201" s="3"/>
      <c r="C201" s="3"/>
      <c r="D201" s="3"/>
      <c r="E201" s="3"/>
      <c r="F201" s="3"/>
      <c r="G201" s="3"/>
      <c r="H201" s="3"/>
      <c r="I201" s="3"/>
      <c r="J201" s="176"/>
      <c r="K201" s="176"/>
      <c r="L201" s="3"/>
      <c r="M201" s="3"/>
      <c r="N201" s="3"/>
      <c r="O201" s="1162"/>
      <c r="P201" s="3"/>
      <c r="Q201" s="182"/>
      <c r="R201" s="3"/>
      <c r="S201" s="3"/>
      <c r="T201" s="3"/>
      <c r="U201" s="3"/>
      <c r="V201" s="3"/>
      <c r="W201" s="935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</row>
    <row r="202" customFormat="false" ht="26.8" hidden="false" customHeight="fals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176"/>
      <c r="K202" s="176"/>
      <c r="L202" s="3"/>
      <c r="M202" s="3"/>
      <c r="N202" s="3"/>
      <c r="O202" s="1162"/>
      <c r="P202" s="3"/>
      <c r="Q202" s="182"/>
      <c r="R202" s="3"/>
      <c r="S202" s="3"/>
      <c r="T202" s="3"/>
      <c r="U202" s="3"/>
      <c r="V202" s="3"/>
      <c r="W202" s="935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</row>
    <row r="203" customFormat="false" ht="26.8" hidden="true" customHeight="fals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176"/>
      <c r="K203" s="176"/>
      <c r="L203" s="3"/>
      <c r="M203" s="3"/>
      <c r="N203" s="3"/>
      <c r="O203" s="1162"/>
      <c r="P203" s="3"/>
      <c r="Q203" s="182"/>
      <c r="R203" s="3"/>
      <c r="S203" s="3"/>
      <c r="T203" s="3"/>
      <c r="U203" s="3"/>
      <c r="V203" s="3"/>
      <c r="W203" s="935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</row>
    <row r="204" customFormat="false" ht="26.8" hidden="true" customHeight="false" outlineLevel="0" collapsed="false">
      <c r="A204" s="3"/>
      <c r="B204" s="3"/>
      <c r="C204" s="3"/>
      <c r="D204" s="3"/>
      <c r="E204" s="3"/>
      <c r="F204" s="3"/>
      <c r="G204" s="3"/>
      <c r="H204" s="3"/>
      <c r="I204" s="3"/>
      <c r="J204" s="176"/>
      <c r="K204" s="176"/>
      <c r="L204" s="3"/>
      <c r="M204" s="3"/>
      <c r="N204" s="3"/>
      <c r="O204" s="1162"/>
      <c r="P204" s="3"/>
      <c r="Q204" s="182"/>
      <c r="R204" s="3"/>
      <c r="S204" s="3"/>
      <c r="T204" s="3"/>
      <c r="U204" s="3"/>
      <c r="V204" s="3"/>
      <c r="W204" s="935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</row>
    <row r="205" customFormat="false" ht="26.8" hidden="true" customHeight="false" outlineLevel="0" collapsed="false">
      <c r="A205" s="3"/>
      <c r="B205" s="3"/>
      <c r="C205" s="3"/>
      <c r="D205" s="3"/>
      <c r="E205" s="3"/>
      <c r="F205" s="3"/>
      <c r="G205" s="3"/>
      <c r="H205" s="3"/>
      <c r="I205" s="3"/>
      <c r="J205" s="176"/>
      <c r="K205" s="176"/>
      <c r="L205" s="3"/>
      <c r="M205" s="3"/>
      <c r="N205" s="3"/>
      <c r="O205" s="1162"/>
      <c r="P205" s="3"/>
      <c r="Q205" s="182"/>
      <c r="R205" s="3"/>
      <c r="S205" s="3"/>
      <c r="T205" s="3"/>
      <c r="U205" s="3"/>
      <c r="V205" s="3"/>
      <c r="W205" s="935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</row>
    <row r="206" customFormat="false" ht="26.8" hidden="true" customHeight="false" outlineLevel="0" collapsed="false">
      <c r="A206" s="3"/>
      <c r="B206" s="3"/>
      <c r="C206" s="3"/>
      <c r="D206" s="3"/>
      <c r="E206" s="3"/>
      <c r="F206" s="3"/>
      <c r="G206" s="3"/>
      <c r="H206" s="3"/>
      <c r="I206" s="3"/>
      <c r="J206" s="176"/>
      <c r="K206" s="176"/>
      <c r="L206" s="3"/>
      <c r="M206" s="3"/>
      <c r="N206" s="3"/>
      <c r="O206" s="1162"/>
      <c r="P206" s="3"/>
      <c r="Q206" s="182"/>
      <c r="R206" s="3"/>
      <c r="S206" s="3"/>
      <c r="T206" s="3"/>
      <c r="U206" s="3"/>
      <c r="V206" s="3"/>
      <c r="W206" s="935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</row>
    <row r="207" customFormat="false" ht="26.8" hidden="true" customHeight="false" outlineLevel="0" collapsed="false">
      <c r="A207" s="3"/>
      <c r="B207" s="3"/>
      <c r="C207" s="3"/>
      <c r="D207" s="3"/>
      <c r="E207" s="3"/>
      <c r="F207" s="3"/>
      <c r="G207" s="3"/>
      <c r="H207" s="3"/>
      <c r="I207" s="3"/>
      <c r="J207" s="176"/>
      <c r="K207" s="176"/>
      <c r="L207" s="3"/>
      <c r="M207" s="3"/>
      <c r="N207" s="3"/>
      <c r="O207" s="1162"/>
      <c r="P207" s="3"/>
      <c r="Q207" s="182"/>
      <c r="R207" s="3"/>
      <c r="S207" s="3"/>
      <c r="T207" s="3"/>
      <c r="U207" s="3"/>
      <c r="V207" s="3"/>
      <c r="W207" s="935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</row>
    <row r="208" customFormat="false" ht="26.8" hidden="true" customHeight="false" outlineLevel="0" collapsed="false">
      <c r="A208" s="3"/>
      <c r="B208" s="3"/>
      <c r="C208" s="3"/>
      <c r="D208" s="3"/>
      <c r="E208" s="3"/>
      <c r="F208" s="3"/>
      <c r="G208" s="3"/>
      <c r="H208" s="3"/>
      <c r="I208" s="3"/>
      <c r="J208" s="176"/>
      <c r="K208" s="176"/>
      <c r="L208" s="3"/>
      <c r="M208" s="3"/>
      <c r="N208" s="3"/>
      <c r="O208" s="1162"/>
      <c r="P208" s="3"/>
      <c r="Q208" s="182"/>
      <c r="R208" s="3"/>
      <c r="S208" s="3"/>
      <c r="T208" s="3"/>
      <c r="U208" s="3"/>
      <c r="V208" s="3"/>
      <c r="W208" s="935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</row>
    <row r="209" customFormat="false" ht="26.8" hidden="true" customHeight="false" outlineLevel="0" collapsed="false">
      <c r="A209" s="3"/>
      <c r="B209" s="3"/>
      <c r="C209" s="3"/>
      <c r="D209" s="3"/>
      <c r="E209" s="3"/>
      <c r="F209" s="3"/>
      <c r="G209" s="3"/>
      <c r="H209" s="3"/>
      <c r="I209" s="3"/>
      <c r="J209" s="176"/>
      <c r="K209" s="176"/>
      <c r="L209" s="3"/>
      <c r="M209" s="3"/>
      <c r="N209" s="3"/>
      <c r="O209" s="1162"/>
      <c r="P209" s="3"/>
      <c r="Q209" s="182"/>
      <c r="R209" s="3"/>
      <c r="S209" s="3"/>
      <c r="T209" s="3"/>
      <c r="U209" s="3"/>
      <c r="V209" s="3"/>
      <c r="W209" s="935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</row>
    <row r="210" customFormat="false" ht="26.8" hidden="true" customHeight="false" outlineLevel="0" collapsed="false">
      <c r="A210" s="3"/>
      <c r="B210" s="3"/>
      <c r="C210" s="3"/>
      <c r="D210" s="3"/>
      <c r="E210" s="3"/>
      <c r="F210" s="3"/>
      <c r="G210" s="3"/>
      <c r="H210" s="3"/>
      <c r="I210" s="3"/>
      <c r="J210" s="176"/>
      <c r="K210" s="176"/>
      <c r="L210" s="3"/>
      <c r="M210" s="3"/>
      <c r="N210" s="3"/>
      <c r="O210" s="1162"/>
      <c r="P210" s="3"/>
      <c r="Q210" s="182"/>
      <c r="R210" s="3"/>
      <c r="S210" s="3"/>
      <c r="T210" s="3"/>
      <c r="U210" s="3"/>
      <c r="V210" s="3"/>
      <c r="W210" s="935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</row>
    <row r="211" customFormat="false" ht="26.8" hidden="true" customHeight="false" outlineLevel="0" collapsed="false">
      <c r="A211" s="3"/>
      <c r="B211" s="3"/>
      <c r="C211" s="3"/>
      <c r="D211" s="3"/>
      <c r="E211" s="3"/>
      <c r="F211" s="3"/>
      <c r="G211" s="3"/>
      <c r="H211" s="3"/>
      <c r="I211" s="3"/>
      <c r="J211" s="176"/>
      <c r="K211" s="176"/>
      <c r="L211" s="3"/>
      <c r="M211" s="3"/>
      <c r="N211" s="3"/>
      <c r="O211" s="1162"/>
      <c r="P211" s="3"/>
      <c r="Q211" s="182"/>
      <c r="R211" s="3"/>
      <c r="S211" s="3"/>
      <c r="T211" s="3"/>
      <c r="U211" s="3"/>
      <c r="V211" s="3"/>
      <c r="W211" s="935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</row>
    <row r="212" customFormat="false" ht="26.8" hidden="true" customHeight="fals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176"/>
      <c r="K212" s="176"/>
      <c r="L212" s="3"/>
      <c r="M212" s="3"/>
      <c r="N212" s="3"/>
      <c r="O212" s="1162"/>
      <c r="P212" s="3"/>
      <c r="Q212" s="182"/>
      <c r="R212" s="3"/>
      <c r="S212" s="3"/>
      <c r="T212" s="3"/>
      <c r="U212" s="3"/>
      <c r="V212" s="3"/>
      <c r="W212" s="935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</row>
    <row r="213" customFormat="false" ht="26.8" hidden="true" customHeight="false" outlineLevel="0" collapsed="false">
      <c r="A213" s="3"/>
      <c r="B213" s="3"/>
      <c r="C213" s="3"/>
      <c r="D213" s="3"/>
      <c r="E213" s="3"/>
      <c r="F213" s="3"/>
      <c r="G213" s="3"/>
      <c r="H213" s="3"/>
      <c r="I213" s="3"/>
      <c r="J213" s="1231" t="n">
        <v>25000</v>
      </c>
      <c r="K213" s="1231"/>
      <c r="L213" s="929"/>
      <c r="M213" s="3"/>
      <c r="N213" s="3"/>
      <c r="O213" s="1162"/>
      <c r="P213" s="3"/>
      <c r="Q213" s="182"/>
      <c r="R213" s="3"/>
      <c r="S213" s="3"/>
      <c r="T213" s="3"/>
      <c r="U213" s="3"/>
      <c r="V213" s="3"/>
      <c r="W213" s="935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</row>
    <row r="214" customFormat="false" ht="26.8" hidden="true" customHeight="false" outlineLevel="0" collapsed="false">
      <c r="A214" s="3"/>
      <c r="B214" s="3"/>
      <c r="C214" s="3"/>
      <c r="D214" s="3"/>
      <c r="E214" s="3"/>
      <c r="F214" s="3"/>
      <c r="G214" s="3"/>
      <c r="H214" s="3"/>
      <c r="I214" s="3"/>
      <c r="J214" s="1231" t="n">
        <v>50001</v>
      </c>
      <c r="K214" s="1231"/>
      <c r="L214" s="929"/>
      <c r="M214" s="3"/>
      <c r="N214" s="3"/>
      <c r="O214" s="1162"/>
      <c r="P214" s="3"/>
      <c r="Q214" s="182"/>
      <c r="R214" s="3"/>
      <c r="S214" s="3"/>
      <c r="T214" s="3"/>
      <c r="U214" s="3"/>
      <c r="V214" s="3"/>
      <c r="W214" s="935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</row>
    <row r="215" customFormat="false" ht="26.8" hidden="true" customHeight="false" outlineLevel="0" collapsed="false">
      <c r="A215" s="3"/>
      <c r="B215" s="3"/>
      <c r="C215" s="3"/>
      <c r="D215" s="3"/>
      <c r="E215" s="3"/>
      <c r="F215" s="3"/>
      <c r="G215" s="3"/>
      <c r="H215" s="3"/>
      <c r="I215" s="3"/>
      <c r="J215" s="1231" t="n">
        <v>100001</v>
      </c>
      <c r="K215" s="1231"/>
      <c r="L215" s="929"/>
      <c r="M215" s="3" t="s">
        <v>768</v>
      </c>
      <c r="N215" s="3"/>
      <c r="O215" s="1162"/>
      <c r="P215" s="3"/>
      <c r="Q215" s="182"/>
      <c r="R215" s="3"/>
      <c r="S215" s="3"/>
      <c r="T215" s="3"/>
      <c r="U215" s="3"/>
      <c r="V215" s="3"/>
      <c r="W215" s="935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</row>
    <row r="216" customFormat="false" ht="26.8" hidden="true" customHeight="fals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1232" t="n">
        <v>150000</v>
      </c>
      <c r="K216" s="1232"/>
      <c r="L216" s="931"/>
      <c r="M216" s="1233" t="n">
        <v>50000</v>
      </c>
      <c r="N216" s="1233"/>
      <c r="O216" s="1162"/>
      <c r="P216" s="3"/>
      <c r="Q216" s="182"/>
      <c r="R216" s="3"/>
      <c r="S216" s="3"/>
      <c r="T216" s="3"/>
      <c r="U216" s="3"/>
      <c r="V216" s="3"/>
      <c r="W216" s="935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</row>
    <row r="217" customFormat="false" ht="26.8" hidden="true" customHeight="fals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176"/>
      <c r="K217" s="176"/>
      <c r="L217" s="3"/>
      <c r="M217" s="1233" t="n">
        <v>100000</v>
      </c>
      <c r="N217" s="1233"/>
      <c r="O217" s="1162"/>
      <c r="P217" s="3"/>
      <c r="Q217" s="182"/>
      <c r="R217" s="3"/>
      <c r="S217" s="3"/>
      <c r="T217" s="3"/>
      <c r="U217" s="3"/>
      <c r="V217" s="3"/>
      <c r="W217" s="935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</row>
    <row r="218" customFormat="false" ht="26.8" hidden="true" customHeight="fals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176"/>
      <c r="K218" s="176"/>
      <c r="L218" s="3"/>
      <c r="M218" s="1233" t="n">
        <v>150000</v>
      </c>
      <c r="N218" s="1233"/>
      <c r="O218" s="1162"/>
      <c r="P218" s="3"/>
      <c r="Q218" s="182"/>
      <c r="R218" s="3"/>
      <c r="S218" s="3"/>
      <c r="T218" s="3"/>
      <c r="U218" s="3"/>
      <c r="V218" s="3"/>
      <c r="W218" s="935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</row>
    <row r="219" customFormat="false" ht="26.8" hidden="true" customHeight="false" outlineLevel="0" collapsed="false">
      <c r="A219" s="3"/>
      <c r="B219" s="3"/>
      <c r="C219" s="3"/>
      <c r="D219" s="3"/>
      <c r="E219" s="3"/>
      <c r="F219" s="3"/>
      <c r="G219" s="3"/>
      <c r="H219" s="3"/>
      <c r="I219" s="3"/>
      <c r="J219" s="176"/>
      <c r="K219" s="176"/>
      <c r="L219" s="3"/>
      <c r="M219" s="931" t="n">
        <v>4000000</v>
      </c>
      <c r="N219" s="931"/>
      <c r="O219" s="1162"/>
      <c r="P219" s="3"/>
      <c r="Q219" s="182"/>
      <c r="R219" s="3"/>
      <c r="S219" s="3"/>
      <c r="T219" s="3"/>
      <c r="U219" s="3"/>
      <c r="V219" s="3"/>
      <c r="W219" s="935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</row>
  </sheetData>
  <sheetProtection algorithmName="SHA-512" hashValue="H3WQkWQ6e0eVglA9AyUAuV+0OfunxAwwtDCbn/7MpMQr1UkUWLufpLSeDelquI/g2OKkiaidBuvO/DuaTgCKSQ==" saltValue="P7mOX+AeptdABj4gQ2rWkg==" spinCount="100000" sheet="true" objects="true" scenarios="true"/>
  <autoFilter ref="O2:O219"/>
  <mergeCells count="192">
    <mergeCell ref="E2:M4"/>
    <mergeCell ref="D6:E6"/>
    <mergeCell ref="D7:E7"/>
    <mergeCell ref="C9:G10"/>
    <mergeCell ref="I9:M10"/>
    <mergeCell ref="R9:AA9"/>
    <mergeCell ref="R10:AA10"/>
    <mergeCell ref="D11:E11"/>
    <mergeCell ref="J11:K11"/>
    <mergeCell ref="C12:C18"/>
    <mergeCell ref="I12:I18"/>
    <mergeCell ref="R12:S12"/>
    <mergeCell ref="U12:V12"/>
    <mergeCell ref="R13:S13"/>
    <mergeCell ref="D14:E14"/>
    <mergeCell ref="F14:G14"/>
    <mergeCell ref="J14:K14"/>
    <mergeCell ref="L14:M14"/>
    <mergeCell ref="Q14:S14"/>
    <mergeCell ref="D18:E18"/>
    <mergeCell ref="F18:G18"/>
    <mergeCell ref="J18:K18"/>
    <mergeCell ref="L18:M18"/>
    <mergeCell ref="C20:C26"/>
    <mergeCell ref="I20:I26"/>
    <mergeCell ref="D22:E22"/>
    <mergeCell ref="J22:K22"/>
    <mergeCell ref="D26:E26"/>
    <mergeCell ref="J26:K26"/>
    <mergeCell ref="C28:C30"/>
    <mergeCell ref="D28:E28"/>
    <mergeCell ref="F28:G28"/>
    <mergeCell ref="I28:I30"/>
    <mergeCell ref="J28:K28"/>
    <mergeCell ref="L28:M28"/>
    <mergeCell ref="D30:E30"/>
    <mergeCell ref="F30:G30"/>
    <mergeCell ref="J30:K30"/>
    <mergeCell ref="L30:M30"/>
    <mergeCell ref="C31:E33"/>
    <mergeCell ref="F31:G33"/>
    <mergeCell ref="I31:K31"/>
    <mergeCell ref="L31:M31"/>
    <mergeCell ref="I32:K33"/>
    <mergeCell ref="L32:M33"/>
    <mergeCell ref="C35:E35"/>
    <mergeCell ref="F35:G35"/>
    <mergeCell ref="I35:M35"/>
    <mergeCell ref="C37:E38"/>
    <mergeCell ref="F37:F38"/>
    <mergeCell ref="I37:I38"/>
    <mergeCell ref="K37:K38"/>
    <mergeCell ref="M37:M38"/>
    <mergeCell ref="C39:E40"/>
    <mergeCell ref="F39:F40"/>
    <mergeCell ref="C42:J42"/>
    <mergeCell ref="D43:J43"/>
    <mergeCell ref="D44:J44"/>
    <mergeCell ref="D45:J45"/>
    <mergeCell ref="D46:J46"/>
    <mergeCell ref="D47:J47"/>
    <mergeCell ref="D48:J48"/>
    <mergeCell ref="D49:J49"/>
    <mergeCell ref="C51:I51"/>
    <mergeCell ref="K51:L51"/>
    <mergeCell ref="C54:M55"/>
    <mergeCell ref="C56:D56"/>
    <mergeCell ref="F56:G56"/>
    <mergeCell ref="H56:I56"/>
    <mergeCell ref="J56:K56"/>
    <mergeCell ref="L56:M56"/>
    <mergeCell ref="C57:D57"/>
    <mergeCell ref="F57:G57"/>
    <mergeCell ref="H57:I57"/>
    <mergeCell ref="J57:K57"/>
    <mergeCell ref="L57:M57"/>
    <mergeCell ref="C58:D58"/>
    <mergeCell ref="F58:G58"/>
    <mergeCell ref="H58:I58"/>
    <mergeCell ref="J58:K58"/>
    <mergeCell ref="L58:M58"/>
    <mergeCell ref="C59:D59"/>
    <mergeCell ref="F59:G59"/>
    <mergeCell ref="H59:I59"/>
    <mergeCell ref="J59:K59"/>
    <mergeCell ref="L59:M59"/>
    <mergeCell ref="C60:D60"/>
    <mergeCell ref="F60:G60"/>
    <mergeCell ref="H60:I60"/>
    <mergeCell ref="J60:K60"/>
    <mergeCell ref="L60:M60"/>
    <mergeCell ref="C61:D61"/>
    <mergeCell ref="F61:G61"/>
    <mergeCell ref="H61:I61"/>
    <mergeCell ref="J61:K61"/>
    <mergeCell ref="L61:M61"/>
    <mergeCell ref="C62:D62"/>
    <mergeCell ref="F62:G62"/>
    <mergeCell ref="H62:I62"/>
    <mergeCell ref="J62:K62"/>
    <mergeCell ref="L62:M62"/>
    <mergeCell ref="C63:D63"/>
    <mergeCell ref="F63:G63"/>
    <mergeCell ref="H63:I63"/>
    <mergeCell ref="J63:K63"/>
    <mergeCell ref="L63:M63"/>
    <mergeCell ref="C64:D64"/>
    <mergeCell ref="F64:G64"/>
    <mergeCell ref="H64:I64"/>
    <mergeCell ref="J64:K64"/>
    <mergeCell ref="L64:M64"/>
    <mergeCell ref="C65:D65"/>
    <mergeCell ref="F65:G65"/>
    <mergeCell ref="H65:I65"/>
    <mergeCell ref="J65:K65"/>
    <mergeCell ref="L65:M65"/>
    <mergeCell ref="C66:D66"/>
    <mergeCell ref="F66:G66"/>
    <mergeCell ref="H66:I66"/>
    <mergeCell ref="J66:K66"/>
    <mergeCell ref="L66:M66"/>
    <mergeCell ref="C67:D67"/>
    <mergeCell ref="F67:G67"/>
    <mergeCell ref="H67:I67"/>
    <mergeCell ref="J67:K67"/>
    <mergeCell ref="L67:M67"/>
    <mergeCell ref="C68:D68"/>
    <mergeCell ref="F68:G68"/>
    <mergeCell ref="H68:I68"/>
    <mergeCell ref="J68:K68"/>
    <mergeCell ref="L68:M68"/>
    <mergeCell ref="C69:D69"/>
    <mergeCell ref="F69:G69"/>
    <mergeCell ref="H69:I69"/>
    <mergeCell ref="J69:K69"/>
    <mergeCell ref="L69:M69"/>
    <mergeCell ref="C70:D70"/>
    <mergeCell ref="F70:G70"/>
    <mergeCell ref="H70:I70"/>
    <mergeCell ref="J70:K70"/>
    <mergeCell ref="L70:M70"/>
    <mergeCell ref="C71:D71"/>
    <mergeCell ref="F71:G71"/>
    <mergeCell ref="H71:I71"/>
    <mergeCell ref="J71:K71"/>
    <mergeCell ref="L71:M71"/>
    <mergeCell ref="C72:D72"/>
    <mergeCell ref="F72:G72"/>
    <mergeCell ref="H72:I72"/>
    <mergeCell ref="J72:K72"/>
    <mergeCell ref="L72:M72"/>
    <mergeCell ref="C73:D73"/>
    <mergeCell ref="F73:G73"/>
    <mergeCell ref="H73:I73"/>
    <mergeCell ref="J73:K73"/>
    <mergeCell ref="L73:M73"/>
    <mergeCell ref="C74:D74"/>
    <mergeCell ref="F74:G74"/>
    <mergeCell ref="H74:I74"/>
    <mergeCell ref="J74:K74"/>
    <mergeCell ref="L74:M74"/>
    <mergeCell ref="C75:D75"/>
    <mergeCell ref="F75:G75"/>
    <mergeCell ref="H75:I75"/>
    <mergeCell ref="J75:K75"/>
    <mergeCell ref="L75:M75"/>
    <mergeCell ref="C76:D76"/>
    <mergeCell ref="F76:G76"/>
    <mergeCell ref="H76:I76"/>
    <mergeCell ref="J76:K76"/>
    <mergeCell ref="L76:M76"/>
    <mergeCell ref="C77:D77"/>
    <mergeCell ref="F77:G77"/>
    <mergeCell ref="H77:I77"/>
    <mergeCell ref="J77:K77"/>
    <mergeCell ref="L77:M77"/>
    <mergeCell ref="C78:D78"/>
    <mergeCell ref="F78:G78"/>
    <mergeCell ref="H78:I78"/>
    <mergeCell ref="J78:K78"/>
    <mergeCell ref="L78:M78"/>
    <mergeCell ref="C79:D79"/>
    <mergeCell ref="F79:G79"/>
    <mergeCell ref="H79:I79"/>
    <mergeCell ref="J79:K79"/>
    <mergeCell ref="L79:M79"/>
    <mergeCell ref="C80:D80"/>
    <mergeCell ref="F80:G80"/>
    <mergeCell ref="H80:I80"/>
    <mergeCell ref="J80:K80"/>
    <mergeCell ref="L80:M80"/>
    <mergeCell ref="D111:E111"/>
  </mergeCells>
  <dataValidations count="3">
    <dataValidation allowBlank="true" errorStyle="stop" operator="between" showDropDown="false" showErrorMessage="true" showInputMessage="true" sqref="O3:O80" type="list">
      <formula1>$Q$18:$Q$19</formula1>
      <formula2>0</formula2>
    </dataValidation>
    <dataValidation allowBlank="true" errorStyle="stop" operator="between" showDropDown="false" showErrorMessage="true" showInputMessage="true" sqref="R12" type="list">
      <formula1>$C$86:$C$88</formula1>
      <formula2>0</formula2>
    </dataValidation>
    <dataValidation allowBlank="true" errorStyle="stop" operator="between" showDropDown="false" showErrorMessage="true" showInputMessage="true" sqref="R13" type="list">
      <formula1>IF($R$12="HUESCA",O_LISTA_MUN_ZM_ZLE_2019!$F$2:$F$167,IF($R$12="TERUEL",O_LISTA_MUN_ZM_ZLE_2019!$F$168:$F$403,IF($R$12="ZARAGOZA",O_LISTA_MUN_ZM_ZLE_2019!$F$404:$F$675,"")))</formula1>
      <formula2>0</formula2>
    </dataValidation>
  </dataValidations>
  <printOptions headings="false" gridLines="false" gridLinesSet="true" horizontalCentered="true" verticalCentered="true"/>
  <pageMargins left="0" right="0" top="0" bottom="0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N221"/>
  <sheetViews>
    <sheetView showFormulas="false" showGridLines="true" showRowColHeaders="true" showZeros="true" rightToLeft="false" tabSelected="false" showOutlineSymbols="true" defaultGridColor="true" view="normal" topLeftCell="A10" colorId="64" zoomScale="65" zoomScaleNormal="65" zoomScalePageLayoutView="100" workbookViewId="0">
      <selection pane="topLeft" activeCell="I5" activeCellId="0" sqref="I5"/>
    </sheetView>
  </sheetViews>
  <sheetFormatPr defaultColWidth="10.1328125" defaultRowHeight="14.25" zeroHeight="false" outlineLevelRow="0" outlineLevelCol="0"/>
  <cols>
    <col collapsed="false" customWidth="true" hidden="false" outlineLevel="0" max="2" min="1" style="2" width="4.25"/>
    <col collapsed="false" customWidth="true" hidden="false" outlineLevel="0" max="3" min="3" style="2" width="62"/>
    <col collapsed="false" customWidth="true" hidden="false" outlineLevel="0" max="6" min="4" style="2" width="28.25"/>
    <col collapsed="false" customWidth="true" hidden="false" outlineLevel="0" max="7" min="7" style="2" width="35.38"/>
    <col collapsed="false" customWidth="true" hidden="false" outlineLevel="0" max="11" min="8" style="2" width="28.25"/>
    <col collapsed="false" customWidth="true" hidden="false" outlineLevel="0" max="12" min="12" style="2" width="33.25"/>
    <col collapsed="false" customWidth="true" hidden="false" outlineLevel="0" max="13" min="13" style="2" width="34.63"/>
    <col collapsed="false" customWidth="true" hidden="false" outlineLevel="0" max="14" min="14" style="2" width="4.88"/>
    <col collapsed="false" customWidth="true" hidden="false" outlineLevel="0" max="15" min="15" style="2" width="20.38"/>
    <col collapsed="false" customWidth="true" hidden="false" outlineLevel="0" max="16" min="16" style="2" width="6.88"/>
    <col collapsed="false" customWidth="true" hidden="true" outlineLevel="0" max="17" min="17" style="2" width="17.88"/>
    <col collapsed="false" customWidth="true" hidden="true" outlineLevel="0" max="18" min="18" style="2" width="54.13"/>
    <col collapsed="false" customWidth="true" hidden="true" outlineLevel="0" max="19" min="19" style="2" width="78.25"/>
    <col collapsed="false" customWidth="true" hidden="true" outlineLevel="0" max="20" min="20" style="2" width="117.63"/>
    <col collapsed="false" customWidth="true" hidden="true" outlineLevel="0" max="21" min="21" style="2" width="54.63"/>
    <col collapsed="false" customWidth="true" hidden="true" outlineLevel="0" max="22" min="22" style="2" width="13.88"/>
    <col collapsed="false" customWidth="true" hidden="true" outlineLevel="0" max="23" min="23" style="2" width="49"/>
    <col collapsed="false" customWidth="true" hidden="true" outlineLevel="0" max="24" min="24" style="2" width="19.88"/>
    <col collapsed="false" customWidth="true" hidden="true" outlineLevel="0" max="25" min="25" style="2" width="12.88"/>
    <col collapsed="false" customWidth="true" hidden="true" outlineLevel="0" max="26" min="26" style="2" width="4.25"/>
    <col collapsed="false" customWidth="true" hidden="true" outlineLevel="0" max="27" min="27" style="2" width="89.38"/>
    <col collapsed="false" customWidth="true" hidden="true" outlineLevel="0" max="28" min="28" style="2" width="93.25"/>
    <col collapsed="false" customWidth="true" hidden="true" outlineLevel="0" max="39" min="29" style="2" width="12.88"/>
    <col collapsed="false" customWidth="true" hidden="true" outlineLevel="0" max="40" min="40" style="2" width="4.25"/>
  </cols>
  <sheetData>
    <row r="1" customFormat="false" ht="26.8" hidden="false" customHeight="false" outlineLevel="0" collapsed="false">
      <c r="A1" s="933"/>
      <c r="B1" s="933"/>
      <c r="C1" s="933"/>
      <c r="D1" s="933"/>
      <c r="E1" s="933"/>
      <c r="F1" s="933"/>
      <c r="G1" s="933"/>
      <c r="H1" s="933"/>
      <c r="I1" s="933"/>
      <c r="J1" s="933"/>
      <c r="K1" s="933"/>
      <c r="L1" s="933"/>
      <c r="M1" s="933"/>
      <c r="N1" s="933"/>
      <c r="O1" s="934" t="s">
        <v>769</v>
      </c>
      <c r="P1" s="3"/>
      <c r="Q1" s="182"/>
      <c r="R1" s="3"/>
      <c r="S1" s="3"/>
      <c r="T1" s="3"/>
      <c r="U1" s="3"/>
      <c r="V1" s="3"/>
      <c r="W1" s="935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customFormat="false" ht="32.25" hidden="false" customHeight="true" outlineLevel="0" collapsed="false">
      <c r="A2" s="933"/>
      <c r="B2" s="933"/>
      <c r="C2" s="936"/>
      <c r="D2" s="937"/>
      <c r="E2" s="938" t="s">
        <v>770</v>
      </c>
      <c r="F2" s="938"/>
      <c r="G2" s="938"/>
      <c r="H2" s="938"/>
      <c r="I2" s="938"/>
      <c r="J2" s="938"/>
      <c r="K2" s="938"/>
      <c r="L2" s="938"/>
      <c r="M2" s="938"/>
      <c r="N2" s="933"/>
      <c r="O2" s="934" t="s">
        <v>771</v>
      </c>
      <c r="P2" s="3"/>
      <c r="Q2" s="182"/>
      <c r="R2" s="3"/>
      <c r="S2" s="3"/>
      <c r="T2" s="3"/>
      <c r="U2" s="3"/>
      <c r="V2" s="3"/>
      <c r="W2" s="935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customFormat="false" ht="32.25" hidden="false" customHeight="true" outlineLevel="0" collapsed="false">
      <c r="A3" s="933"/>
      <c r="B3" s="933"/>
      <c r="C3" s="939"/>
      <c r="D3" s="3"/>
      <c r="E3" s="938"/>
      <c r="F3" s="938"/>
      <c r="G3" s="938"/>
      <c r="H3" s="938"/>
      <c r="I3" s="938"/>
      <c r="J3" s="938"/>
      <c r="K3" s="938"/>
      <c r="L3" s="938"/>
      <c r="M3" s="938"/>
      <c r="N3" s="933"/>
      <c r="O3" s="934" t="s">
        <v>772</v>
      </c>
      <c r="P3" s="3"/>
      <c r="Q3" s="182"/>
      <c r="R3" s="3"/>
      <c r="S3" s="3"/>
      <c r="T3" s="3"/>
      <c r="U3" s="3"/>
      <c r="V3" s="3"/>
      <c r="W3" s="935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customFormat="false" ht="18.75" hidden="false" customHeight="true" outlineLevel="0" collapsed="false">
      <c r="A4" s="933"/>
      <c r="B4" s="933"/>
      <c r="C4" s="939"/>
      <c r="D4" s="3"/>
      <c r="E4" s="938"/>
      <c r="F4" s="938"/>
      <c r="G4" s="938"/>
      <c r="H4" s="938"/>
      <c r="I4" s="938"/>
      <c r="J4" s="938"/>
      <c r="K4" s="938"/>
      <c r="L4" s="938"/>
      <c r="M4" s="938"/>
      <c r="N4" s="933"/>
      <c r="O4" s="934" t="s">
        <v>772</v>
      </c>
      <c r="P4" s="3"/>
      <c r="Q4" s="182"/>
      <c r="R4" s="3"/>
      <c r="S4" s="3"/>
      <c r="T4" s="3"/>
      <c r="U4" s="3"/>
      <c r="V4" s="3"/>
      <c r="W4" s="935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customFormat="false" ht="49.5" hidden="false" customHeight="true" outlineLevel="0" collapsed="false">
      <c r="A5" s="933"/>
      <c r="B5" s="933"/>
      <c r="C5" s="940"/>
      <c r="D5" s="941"/>
      <c r="E5" s="941"/>
      <c r="F5" s="941"/>
      <c r="G5" s="1234" t="s">
        <v>870</v>
      </c>
      <c r="H5" s="1234"/>
      <c r="I5" s="1235" t="n">
        <v>1</v>
      </c>
      <c r="J5" s="1235"/>
      <c r="K5" s="1234" t="s">
        <v>871</v>
      </c>
      <c r="L5" s="1236" t="n">
        <v>1</v>
      </c>
      <c r="M5" s="942"/>
      <c r="N5" s="933"/>
      <c r="O5" s="934" t="s">
        <v>772</v>
      </c>
      <c r="P5" s="941"/>
      <c r="Q5" s="182"/>
      <c r="R5" s="3"/>
      <c r="S5" s="3"/>
      <c r="T5" s="3"/>
      <c r="U5" s="3"/>
      <c r="V5" s="3"/>
      <c r="W5" s="935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customFormat="false" ht="48" hidden="false" customHeight="true" outlineLevel="0" collapsed="false">
      <c r="A6" s="933"/>
      <c r="B6" s="933"/>
      <c r="C6" s="1237" t="s">
        <v>773</v>
      </c>
      <c r="D6" s="944" t="n">
        <v>34624.31</v>
      </c>
      <c r="E6" s="944"/>
      <c r="F6" s="3"/>
      <c r="G6" s="1234"/>
      <c r="H6" s="1234"/>
      <c r="I6" s="1235"/>
      <c r="J6" s="1235"/>
      <c r="K6" s="1234"/>
      <c r="L6" s="1236"/>
      <c r="M6" s="945"/>
      <c r="N6" s="933"/>
      <c r="O6" s="934" t="s">
        <v>772</v>
      </c>
      <c r="P6" s="3"/>
      <c r="Q6" s="182"/>
      <c r="R6" s="3"/>
      <c r="S6" s="3"/>
      <c r="T6" s="3"/>
      <c r="U6" s="3"/>
      <c r="V6" s="3"/>
      <c r="W6" s="935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customFormat="false" ht="26.8" hidden="false" customHeight="false" outlineLevel="0" collapsed="false">
      <c r="A7" s="933"/>
      <c r="B7" s="933"/>
      <c r="C7" s="946" t="s">
        <v>594</v>
      </c>
      <c r="D7" s="944" t="n">
        <f aca="false">$D$6*0.35</f>
        <v>12118.5085</v>
      </c>
      <c r="E7" s="944"/>
      <c r="F7" s="3"/>
      <c r="G7" s="3"/>
      <c r="H7" s="3"/>
      <c r="I7" s="3"/>
      <c r="J7" s="176"/>
      <c r="K7" s="176"/>
      <c r="L7" s="3"/>
      <c r="M7" s="945"/>
      <c r="N7" s="933"/>
      <c r="O7" s="934" t="s">
        <v>772</v>
      </c>
      <c r="P7" s="3"/>
      <c r="Q7" s="182"/>
      <c r="R7" s="3"/>
      <c r="S7" s="3"/>
      <c r="T7" s="3"/>
      <c r="U7" s="3"/>
      <c r="V7" s="3"/>
      <c r="W7" s="935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customFormat="false" ht="15" hidden="false" customHeight="true" outlineLevel="0" collapsed="false">
      <c r="A8" s="933"/>
      <c r="B8" s="933"/>
      <c r="C8" s="939"/>
      <c r="D8" s="3"/>
      <c r="E8" s="3"/>
      <c r="F8" s="3"/>
      <c r="G8" s="3"/>
      <c r="H8" s="3"/>
      <c r="I8" s="3"/>
      <c r="J8" s="176"/>
      <c r="K8" s="176"/>
      <c r="L8" s="948"/>
      <c r="M8" s="949"/>
      <c r="N8" s="933"/>
      <c r="O8" s="934" t="s">
        <v>772</v>
      </c>
      <c r="P8" s="3"/>
      <c r="Q8" s="182"/>
      <c r="R8" s="3"/>
      <c r="S8" s="3"/>
      <c r="T8" s="3"/>
      <c r="U8" s="3"/>
      <c r="V8" s="3"/>
      <c r="W8" s="935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customFormat="false" ht="28.5" hidden="false" customHeight="true" outlineLevel="0" collapsed="false">
      <c r="A9" s="933"/>
      <c r="B9" s="933"/>
      <c r="C9" s="950" t="s">
        <v>774</v>
      </c>
      <c r="D9" s="950"/>
      <c r="E9" s="950"/>
      <c r="F9" s="950"/>
      <c r="G9" s="950"/>
      <c r="H9" s="951"/>
      <c r="I9" s="952" t="s">
        <v>775</v>
      </c>
      <c r="J9" s="952"/>
      <c r="K9" s="952"/>
      <c r="L9" s="952"/>
      <c r="M9" s="952"/>
      <c r="N9" s="933"/>
      <c r="O9" s="934" t="s">
        <v>772</v>
      </c>
      <c r="P9" s="3"/>
      <c r="Q9" s="953" t="s">
        <v>586</v>
      </c>
      <c r="R9" s="954"/>
      <c r="S9" s="954"/>
      <c r="T9" s="954"/>
      <c r="U9" s="954"/>
      <c r="V9" s="954"/>
      <c r="W9" s="954"/>
      <c r="X9" s="954"/>
      <c r="Y9" s="954"/>
      <c r="Z9" s="954"/>
      <c r="AA9" s="954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customFormat="false" ht="28.5" hidden="false" customHeight="true" outlineLevel="0" collapsed="false">
      <c r="A10" s="933"/>
      <c r="B10" s="933"/>
      <c r="C10" s="950"/>
      <c r="D10" s="950"/>
      <c r="E10" s="950"/>
      <c r="F10" s="950"/>
      <c r="G10" s="950"/>
      <c r="H10" s="951"/>
      <c r="I10" s="952"/>
      <c r="J10" s="952"/>
      <c r="K10" s="952"/>
      <c r="L10" s="952"/>
      <c r="M10" s="952"/>
      <c r="N10" s="933"/>
      <c r="O10" s="934" t="s">
        <v>772</v>
      </c>
      <c r="P10" s="3"/>
      <c r="Q10" s="955" t="s">
        <v>585</v>
      </c>
      <c r="R10" s="956" t="e">
        <f aca="false">#REF!</f>
        <v>#REF!</v>
      </c>
      <c r="S10" s="956"/>
      <c r="T10" s="956"/>
      <c r="U10" s="956"/>
      <c r="V10" s="956"/>
      <c r="W10" s="956"/>
      <c r="X10" s="956"/>
      <c r="Y10" s="956"/>
      <c r="Z10" s="956"/>
      <c r="AA10" s="956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customFormat="false" ht="26.8" hidden="false" customHeight="false" outlineLevel="0" collapsed="false">
      <c r="A11" s="933"/>
      <c r="B11" s="933"/>
      <c r="C11" s="957"/>
      <c r="D11" s="958" t="s">
        <v>614</v>
      </c>
      <c r="E11" s="958"/>
      <c r="F11" s="959" t="s">
        <v>776</v>
      </c>
      <c r="G11" s="960" t="s">
        <v>777</v>
      </c>
      <c r="H11" s="951"/>
      <c r="I11" s="961"/>
      <c r="J11" s="958" t="s">
        <v>778</v>
      </c>
      <c r="K11" s="958"/>
      <c r="L11" s="959" t="s">
        <v>776</v>
      </c>
      <c r="M11" s="962" t="s">
        <v>777</v>
      </c>
      <c r="N11" s="933"/>
      <c r="O11" s="934" t="s">
        <v>772</v>
      </c>
      <c r="P11" s="3"/>
      <c r="Q11" s="3"/>
      <c r="R11" s="182"/>
      <c r="S11" s="3"/>
      <c r="T11" s="3"/>
      <c r="U11" s="3"/>
      <c r="V11" s="3"/>
      <c r="W11" s="3"/>
      <c r="X11" s="935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customFormat="false" ht="28.5" hidden="false" customHeight="true" outlineLevel="0" collapsed="false">
      <c r="A12" s="933"/>
      <c r="B12" s="933"/>
      <c r="C12" s="963" t="s">
        <v>779</v>
      </c>
      <c r="D12" s="964" t="s">
        <v>780</v>
      </c>
      <c r="E12" s="965"/>
      <c r="F12" s="966" t="n">
        <f aca="false">O_CALC_CultivoPrincipal!DJ7</f>
        <v>0</v>
      </c>
      <c r="G12" s="967" t="n">
        <f aca="false">'V_EAP-AGRI_2024'!I5</f>
        <v>0</v>
      </c>
      <c r="H12" s="951"/>
      <c r="I12" s="968" t="s">
        <v>781</v>
      </c>
      <c r="J12" s="964" t="s">
        <v>780</v>
      </c>
      <c r="K12" s="969"/>
      <c r="L12" s="970" t="n">
        <f aca="false">O_CALC_CultivoPrincipal!AJ7</f>
        <v>0</v>
      </c>
      <c r="M12" s="971" t="n">
        <f aca="false">'V_EAP-AGRI_2024'!I3</f>
        <v>0</v>
      </c>
      <c r="N12" s="933"/>
      <c r="O12" s="934" t="s">
        <v>772</v>
      </c>
      <c r="P12" s="3"/>
      <c r="Q12" s="972" t="s">
        <v>603</v>
      </c>
      <c r="R12" s="1238" t="s">
        <v>605</v>
      </c>
      <c r="S12" s="1238"/>
      <c r="T12" s="3"/>
      <c r="U12" s="974" t="s">
        <v>782</v>
      </c>
      <c r="V12" s="974"/>
      <c r="W12" s="3"/>
      <c r="X12" s="935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customFormat="false" ht="28.5" hidden="false" customHeight="true" outlineLevel="0" collapsed="false">
      <c r="A13" s="933"/>
      <c r="B13" s="933"/>
      <c r="C13" s="963"/>
      <c r="D13" s="975" t="s">
        <v>783</v>
      </c>
      <c r="E13" s="976"/>
      <c r="F13" s="977" t="n">
        <f aca="false">O_CALC_CultivoPrincipal!CW7</f>
        <v>0</v>
      </c>
      <c r="G13" s="978" t="n">
        <f aca="false">'V_EAP-AGRI_2024'!J5</f>
        <v>0</v>
      </c>
      <c r="H13" s="979"/>
      <c r="I13" s="968"/>
      <c r="J13" s="975" t="s">
        <v>783</v>
      </c>
      <c r="K13" s="980"/>
      <c r="L13" s="981" t="n">
        <f aca="false">O_CALC_CultivoPrincipal!AI7</f>
        <v>0</v>
      </c>
      <c r="M13" s="982" t="n">
        <f aca="false">'V_EAP-AGRI_2024'!J3</f>
        <v>0</v>
      </c>
      <c r="N13" s="933"/>
      <c r="O13" s="934" t="s">
        <v>772</v>
      </c>
      <c r="P13" s="3"/>
      <c r="Q13" s="972" t="s">
        <v>604</v>
      </c>
      <c r="R13" s="1238" t="s">
        <v>784</v>
      </c>
      <c r="S13" s="1238"/>
      <c r="T13" s="3"/>
      <c r="U13" s="983" t="s">
        <v>785</v>
      </c>
      <c r="V13" s="984" t="n">
        <v>0.509625125</v>
      </c>
      <c r="W13" s="3"/>
      <c r="X13" s="935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customFormat="false" ht="42.75" hidden="false" customHeight="true" outlineLevel="0" collapsed="false">
      <c r="A14" s="933"/>
      <c r="B14" s="933"/>
      <c r="C14" s="963"/>
      <c r="D14" s="985" t="s">
        <v>786</v>
      </c>
      <c r="E14" s="985"/>
      <c r="F14" s="986" t="n">
        <f aca="false">SUM(F12:G13)</f>
        <v>0</v>
      </c>
      <c r="G14" s="986"/>
      <c r="H14" s="987"/>
      <c r="I14" s="968"/>
      <c r="J14" s="985" t="s">
        <v>786</v>
      </c>
      <c r="K14" s="985"/>
      <c r="L14" s="988" t="n">
        <f aca="false">SUM(L12:M13)</f>
        <v>0</v>
      </c>
      <c r="M14" s="988"/>
      <c r="N14" s="933"/>
      <c r="O14" s="934" t="s">
        <v>772</v>
      </c>
      <c r="P14" s="3"/>
      <c r="Q14" s="1239" t="s">
        <v>872</v>
      </c>
      <c r="R14" s="1239"/>
      <c r="S14" s="1239"/>
      <c r="T14" s="3"/>
      <c r="U14" s="990" t="s">
        <v>787</v>
      </c>
      <c r="V14" s="991" t="n">
        <v>0</v>
      </c>
      <c r="W14" s="3"/>
      <c r="X14" s="935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customFormat="false" ht="26.8" hidden="false" customHeight="false" outlineLevel="0" collapsed="false">
      <c r="A15" s="933"/>
      <c r="B15" s="933"/>
      <c r="C15" s="963"/>
      <c r="D15" s="992"/>
      <c r="E15" s="993"/>
      <c r="F15" s="994"/>
      <c r="G15" s="995"/>
      <c r="H15" s="996"/>
      <c r="I15" s="968"/>
      <c r="J15" s="997"/>
      <c r="K15" s="998"/>
      <c r="L15" s="999"/>
      <c r="M15" s="1000"/>
      <c r="N15" s="933"/>
      <c r="O15" s="934" t="s">
        <v>772</v>
      </c>
      <c r="P15" s="3"/>
      <c r="Q15" s="1001"/>
      <c r="R15" s="1001"/>
      <c r="S15" s="1001"/>
      <c r="T15" s="3"/>
      <c r="U15" s="1002" t="s">
        <v>788</v>
      </c>
      <c r="V15" s="991" t="n">
        <v>1</v>
      </c>
      <c r="W15" s="3"/>
      <c r="X15" s="935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customFormat="false" ht="26.8" hidden="false" customHeight="false" outlineLevel="0" collapsed="false">
      <c r="A16" s="933"/>
      <c r="B16" s="933"/>
      <c r="C16" s="963"/>
      <c r="D16" s="1003" t="s">
        <v>789</v>
      </c>
      <c r="E16" s="1004"/>
      <c r="F16" s="1005" t="n">
        <f aca="false">O_CALC_CultivoPrincipal!DK7</f>
        <v>0</v>
      </c>
      <c r="G16" s="1006" t="n">
        <f aca="false">'V_EAP-AGRI_2024'!K5</f>
        <v>0</v>
      </c>
      <c r="H16" s="993"/>
      <c r="I16" s="968"/>
      <c r="J16" s="1003" t="s">
        <v>790</v>
      </c>
      <c r="K16" s="1007"/>
      <c r="L16" s="1008" t="n">
        <f aca="false">O_CALC_CultivoPrincipal!AL7</f>
        <v>0</v>
      </c>
      <c r="M16" s="1009" t="n">
        <f aca="false">'V_EAP-AGRI_2024'!K3</f>
        <v>0</v>
      </c>
      <c r="N16" s="933"/>
      <c r="O16" s="934" t="s">
        <v>772</v>
      </c>
      <c r="P16" s="3"/>
      <c r="Q16" s="182"/>
      <c r="R16" s="3"/>
      <c r="S16" s="3"/>
      <c r="T16" s="3"/>
      <c r="U16" s="1010" t="s">
        <v>10</v>
      </c>
      <c r="V16" s="1011" t="n">
        <v>1.509625125</v>
      </c>
      <c r="W16" s="3"/>
      <c r="X16" s="935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customFormat="false" ht="26.8" hidden="false" customHeight="false" outlineLevel="0" collapsed="false">
      <c r="A17" s="933"/>
      <c r="B17" s="933"/>
      <c r="C17" s="963"/>
      <c r="D17" s="1012" t="s">
        <v>791</v>
      </c>
      <c r="E17" s="1013"/>
      <c r="F17" s="1014" t="n">
        <f aca="false">O_CALC_CultivoPrincipal!CX7</f>
        <v>0</v>
      </c>
      <c r="G17" s="1015" t="n">
        <f aca="false">'V_EAP-AGRI_2024'!L5</f>
        <v>0</v>
      </c>
      <c r="H17" s="993"/>
      <c r="I17" s="968"/>
      <c r="J17" s="1012" t="s">
        <v>792</v>
      </c>
      <c r="K17" s="1016"/>
      <c r="L17" s="1017" t="n">
        <f aca="false">O_CALC_CultivoPrincipal!AK7</f>
        <v>0</v>
      </c>
      <c r="M17" s="1018" t="n">
        <f aca="false">'V_EAP-AGRI_2024'!L3</f>
        <v>0</v>
      </c>
      <c r="N17" s="933"/>
      <c r="O17" s="934" t="s">
        <v>772</v>
      </c>
      <c r="P17" s="6"/>
      <c r="Q17" s="182"/>
      <c r="R17" s="3"/>
      <c r="S17" s="3"/>
      <c r="T17" s="3"/>
      <c r="U17" s="3"/>
      <c r="V17" s="3"/>
      <c r="W17" s="935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customFormat="false" ht="26.8" hidden="false" customHeight="false" outlineLevel="0" collapsed="false">
      <c r="A18" s="933"/>
      <c r="B18" s="933"/>
      <c r="C18" s="963"/>
      <c r="D18" s="1019" t="s">
        <v>793</v>
      </c>
      <c r="E18" s="1019"/>
      <c r="F18" s="1020" t="n">
        <f aca="false">SUM(F16:G17)</f>
        <v>0</v>
      </c>
      <c r="G18" s="1020"/>
      <c r="H18" s="993"/>
      <c r="I18" s="968"/>
      <c r="J18" s="1019" t="s">
        <v>793</v>
      </c>
      <c r="K18" s="1019"/>
      <c r="L18" s="1021" t="n">
        <f aca="false">SUM(L16:M17)</f>
        <v>0</v>
      </c>
      <c r="M18" s="1021"/>
      <c r="N18" s="933"/>
      <c r="O18" s="934" t="s">
        <v>772</v>
      </c>
      <c r="P18" s="3"/>
      <c r="Q18" s="182" t="s">
        <v>772</v>
      </c>
      <c r="R18" s="3"/>
      <c r="S18" s="3"/>
      <c r="T18" s="3"/>
      <c r="U18" s="3"/>
      <c r="V18" s="3"/>
      <c r="W18" s="935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customFormat="false" ht="26.8" hidden="false" customHeight="false" outlineLevel="0" collapsed="false">
      <c r="A19" s="933"/>
      <c r="B19" s="933"/>
      <c r="C19" s="1074"/>
      <c r="D19" s="992"/>
      <c r="E19" s="993"/>
      <c r="F19" s="993"/>
      <c r="G19" s="1240"/>
      <c r="H19" s="993"/>
      <c r="I19" s="992"/>
      <c r="J19" s="997"/>
      <c r="K19" s="998"/>
      <c r="L19" s="999"/>
      <c r="M19" s="1241"/>
      <c r="N19" s="933"/>
      <c r="O19" s="934" t="s">
        <v>772</v>
      </c>
      <c r="P19" s="3"/>
      <c r="Q19" s="182" t="s">
        <v>794</v>
      </c>
      <c r="R19" s="3"/>
      <c r="S19" s="3"/>
      <c r="T19" s="3"/>
      <c r="U19" s="3"/>
      <c r="V19" s="3"/>
      <c r="W19" s="935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customFormat="false" ht="28.5" hidden="false" customHeight="true" outlineLevel="0" collapsed="false">
      <c r="A20" s="933"/>
      <c r="B20" s="933"/>
      <c r="C20" s="963" t="s">
        <v>795</v>
      </c>
      <c r="D20" s="1026" t="s">
        <v>780</v>
      </c>
      <c r="E20" s="1027"/>
      <c r="F20" s="1028" t="n">
        <f aca="false">O_CALC_CultivoSecundario!DJ7</f>
        <v>0</v>
      </c>
      <c r="G20" s="1029"/>
      <c r="H20" s="951"/>
      <c r="I20" s="968" t="s">
        <v>795</v>
      </c>
      <c r="J20" s="1026" t="s">
        <v>796</v>
      </c>
      <c r="K20" s="1030"/>
      <c r="L20" s="1031" t="n">
        <f aca="false">O_CALC_CultivoSecundario!AJ7</f>
        <v>0</v>
      </c>
      <c r="M20" s="1032"/>
      <c r="N20" s="933"/>
      <c r="O20" s="934" t="s">
        <v>772</v>
      </c>
      <c r="P20" s="3"/>
      <c r="Q20" s="182"/>
      <c r="R20" s="3"/>
      <c r="S20" s="974" t="s">
        <v>782</v>
      </c>
      <c r="T20" s="974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customFormat="false" ht="26.8" hidden="false" customHeight="false" outlineLevel="0" collapsed="false">
      <c r="A21" s="933"/>
      <c r="B21" s="933"/>
      <c r="C21" s="963"/>
      <c r="D21" s="975" t="s">
        <v>783</v>
      </c>
      <c r="E21" s="976"/>
      <c r="F21" s="977" t="n">
        <f aca="false">O_CALC_CultivoSecundario!CW7</f>
        <v>0</v>
      </c>
      <c r="G21" s="1029"/>
      <c r="H21" s="979"/>
      <c r="I21" s="968"/>
      <c r="J21" s="975" t="s">
        <v>797</v>
      </c>
      <c r="K21" s="980"/>
      <c r="L21" s="981" t="n">
        <f aca="false">O_CALC_CultivoSecundario!AI7</f>
        <v>0</v>
      </c>
      <c r="M21" s="1032"/>
      <c r="N21" s="933"/>
      <c r="O21" s="934" t="s">
        <v>772</v>
      </c>
      <c r="P21" s="3"/>
      <c r="Q21" s="182"/>
      <c r="R21" s="3"/>
      <c r="S21" s="983" t="s">
        <v>785</v>
      </c>
      <c r="T21" s="984" t="n">
        <f aca="false">(O_CALC_CultivoPrincipal!EA7+O_CALC_CultivoPrincipal!EB7)+(O_CALC_CultivoSecundario!EA7+O_CALC_CultivoSecundario!EB7)</f>
        <v>0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customFormat="false" ht="26.8" hidden="false" customHeight="false" outlineLevel="0" collapsed="false">
      <c r="A22" s="933"/>
      <c r="B22" s="933"/>
      <c r="C22" s="963"/>
      <c r="D22" s="985" t="s">
        <v>786</v>
      </c>
      <c r="E22" s="985"/>
      <c r="F22" s="1033" t="n">
        <f aca="false">F21+F20</f>
        <v>0</v>
      </c>
      <c r="G22" s="1029"/>
      <c r="H22" s="987"/>
      <c r="I22" s="968"/>
      <c r="J22" s="985" t="s">
        <v>786</v>
      </c>
      <c r="K22" s="985"/>
      <c r="L22" s="1034" t="n">
        <f aca="false">L21+L20</f>
        <v>0</v>
      </c>
      <c r="M22" s="1032"/>
      <c r="N22" s="933"/>
      <c r="O22" s="934" t="s">
        <v>772</v>
      </c>
      <c r="P22" s="3"/>
      <c r="Q22" s="182"/>
      <c r="R22" s="3"/>
      <c r="S22" s="990" t="s">
        <v>787</v>
      </c>
      <c r="T22" s="991" t="e">
        <f aca="false">'v_eap-agri_2024'!#ref!</f>
        <v>#VALUE!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customFormat="false" ht="26.8" hidden="false" customHeight="false" outlineLevel="0" collapsed="false">
      <c r="A23" s="933"/>
      <c r="B23" s="933"/>
      <c r="C23" s="963"/>
      <c r="D23" s="992"/>
      <c r="E23" s="993"/>
      <c r="F23" s="994"/>
      <c r="G23" s="1029"/>
      <c r="H23" s="996"/>
      <c r="I23" s="968"/>
      <c r="J23" s="997"/>
      <c r="K23" s="998"/>
      <c r="L23" s="999"/>
      <c r="M23" s="1032"/>
      <c r="N23" s="933"/>
      <c r="O23" s="934" t="s">
        <v>772</v>
      </c>
      <c r="P23" s="3"/>
      <c r="Q23" s="182"/>
      <c r="R23" s="3"/>
      <c r="S23" s="983" t="s">
        <v>873</v>
      </c>
      <c r="T23" s="984" t="n">
        <f aca="false">O_CALC_CultivoPrincipal!EA7+O_CALC_CultivoSecundario!EA7</f>
        <v>0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customFormat="false" ht="26.8" hidden="false" customHeight="false" outlineLevel="0" collapsed="false">
      <c r="A24" s="933"/>
      <c r="B24" s="933"/>
      <c r="C24" s="963"/>
      <c r="D24" s="1003" t="s">
        <v>789</v>
      </c>
      <c r="E24" s="1004"/>
      <c r="F24" s="1005" t="n">
        <f aca="false">O_CALC_CultivoSecundario!DK7</f>
        <v>0</v>
      </c>
      <c r="G24" s="1029"/>
      <c r="H24" s="993"/>
      <c r="I24" s="968"/>
      <c r="J24" s="1003" t="s">
        <v>790</v>
      </c>
      <c r="K24" s="1007"/>
      <c r="L24" s="1008" t="n">
        <f aca="false">O_CALC_CultivoSecundario!AL7</f>
        <v>0</v>
      </c>
      <c r="M24" s="1032"/>
      <c r="N24" s="933"/>
      <c r="O24" s="934" t="s">
        <v>772</v>
      </c>
      <c r="P24" s="3"/>
      <c r="Q24" s="182"/>
      <c r="R24" s="3"/>
      <c r="S24" s="983" t="s">
        <v>874</v>
      </c>
      <c r="T24" s="984" t="n">
        <f aca="false">O_CALC_CultivoPrincipal!EB7+O_CALC_CultivoSecundario!EB7</f>
        <v>0</v>
      </c>
      <c r="U24" s="974" t="s">
        <v>782</v>
      </c>
      <c r="V24" s="974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customFormat="false" ht="26.8" hidden="false" customHeight="false" outlineLevel="0" collapsed="false">
      <c r="A25" s="933"/>
      <c r="B25" s="933"/>
      <c r="C25" s="963"/>
      <c r="D25" s="1012" t="s">
        <v>791</v>
      </c>
      <c r="E25" s="1013"/>
      <c r="F25" s="1014" t="n">
        <f aca="false">O_CALC_CultivoSecundario!CX7</f>
        <v>0</v>
      </c>
      <c r="G25" s="1029"/>
      <c r="H25" s="993"/>
      <c r="I25" s="968"/>
      <c r="J25" s="1012" t="s">
        <v>792</v>
      </c>
      <c r="K25" s="1016"/>
      <c r="L25" s="1017" t="n">
        <f aca="false">O_CALC_CultivoSecundario!AK7</f>
        <v>0</v>
      </c>
      <c r="M25" s="1032"/>
      <c r="N25" s="933"/>
      <c r="O25" s="934" t="s">
        <v>772</v>
      </c>
      <c r="P25" s="3"/>
      <c r="Q25" s="182"/>
      <c r="R25" s="3"/>
      <c r="S25" s="983" t="s">
        <v>875</v>
      </c>
      <c r="T25" s="984" t="n">
        <f aca="false">'V_EAP-AGRI_2024'!I6+'V_EAP-AGRI_2024'!J6</f>
        <v>0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customFormat="false" ht="26.8" hidden="false" customHeight="false" outlineLevel="0" collapsed="false">
      <c r="A26" s="933"/>
      <c r="B26" s="933"/>
      <c r="C26" s="963"/>
      <c r="D26" s="1019" t="s">
        <v>793</v>
      </c>
      <c r="E26" s="1019"/>
      <c r="F26" s="1037" t="n">
        <f aca="false">F25+F24</f>
        <v>0</v>
      </c>
      <c r="G26" s="1029"/>
      <c r="H26" s="993"/>
      <c r="I26" s="968"/>
      <c r="J26" s="1019" t="s">
        <v>793</v>
      </c>
      <c r="K26" s="1019"/>
      <c r="L26" s="1038" t="n">
        <f aca="false">L25+L24</f>
        <v>0</v>
      </c>
      <c r="M26" s="1032"/>
      <c r="N26" s="933"/>
      <c r="O26" s="934" t="s">
        <v>772</v>
      </c>
      <c r="P26" s="3"/>
      <c r="Q26" s="182"/>
      <c r="R26" s="3"/>
      <c r="S26" s="983" t="s">
        <v>876</v>
      </c>
      <c r="T26" s="984" t="n">
        <f aca="false">'V_EAP-AGRI_2024'!K6+'V_EAP-AGRI_2024'!L6</f>
        <v>0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customFormat="false" ht="19.5" hidden="false" customHeight="true" outlineLevel="0" collapsed="false">
      <c r="A27" s="933"/>
      <c r="B27" s="933"/>
      <c r="C27" s="1039"/>
      <c r="D27" s="1040"/>
      <c r="E27" s="1041"/>
      <c r="F27" s="1042"/>
      <c r="G27" s="995"/>
      <c r="H27" s="993"/>
      <c r="I27" s="1043"/>
      <c r="J27" s="1044"/>
      <c r="K27" s="1045"/>
      <c r="L27" s="1046"/>
      <c r="M27" s="1000"/>
      <c r="N27" s="933"/>
      <c r="O27" s="934" t="s">
        <v>772</v>
      </c>
      <c r="P27" s="3"/>
      <c r="Q27" s="182"/>
      <c r="R27" s="3"/>
      <c r="S27" s="1002" t="s">
        <v>788</v>
      </c>
      <c r="T27" s="991" t="n">
        <f aca="false">'V_EAP-GAN'!F6</f>
        <v>0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customFormat="false" ht="66.75" hidden="false" customHeight="true" outlineLevel="0" collapsed="false">
      <c r="A28" s="933"/>
      <c r="B28" s="933"/>
      <c r="C28" s="1047" t="s">
        <v>788</v>
      </c>
      <c r="D28" s="1048" t="s">
        <v>36</v>
      </c>
      <c r="E28" s="1048"/>
      <c r="F28" s="1049" t="n">
        <f aca="false">'V_EAP-GAN'!U9</f>
        <v>0</v>
      </c>
      <c r="G28" s="1049"/>
      <c r="H28" s="993"/>
      <c r="I28" s="1050" t="s">
        <v>788</v>
      </c>
      <c r="J28" s="1048" t="s">
        <v>798</v>
      </c>
      <c r="K28" s="1048"/>
      <c r="L28" s="1051" t="n">
        <f aca="false">'V_EAP-GAN'!T9</f>
        <v>0</v>
      </c>
      <c r="M28" s="1051"/>
      <c r="N28" s="933"/>
      <c r="O28" s="934" t="s">
        <v>772</v>
      </c>
      <c r="P28" s="3"/>
      <c r="Q28" s="182"/>
      <c r="R28" s="3"/>
      <c r="S28" s="1010" t="s">
        <v>10</v>
      </c>
      <c r="T28" s="1011" t="n">
        <f aca="false">SUM(T23:T27)</f>
        <v>0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customFormat="false" ht="26.8" hidden="false" customHeight="false" outlineLevel="0" collapsed="false">
      <c r="A29" s="933"/>
      <c r="B29" s="933"/>
      <c r="C29" s="1047"/>
      <c r="D29" s="1052"/>
      <c r="E29" s="1053"/>
      <c r="F29" s="1054"/>
      <c r="G29" s="1055"/>
      <c r="H29" s="993"/>
      <c r="I29" s="1050"/>
      <c r="J29" s="1052"/>
      <c r="K29" s="1053"/>
      <c r="L29" s="1056"/>
      <c r="M29" s="1057"/>
      <c r="N29" s="933"/>
      <c r="O29" s="934" t="s">
        <v>772</v>
      </c>
      <c r="P29" s="3"/>
      <c r="Q29" s="182"/>
      <c r="R29" s="3"/>
      <c r="S29" s="3" t="str">
        <f aca="false">'V_EAP-AGRI_2024'!G6</f>
        <v>UTAs</v>
      </c>
      <c r="T29" s="182" t="n">
        <f aca="false">'V_EAP-AGRI_2024'!H6</f>
        <v>0</v>
      </c>
      <c r="U29" s="182" t="n">
        <f aca="false">'V_EAP-AGRI_2024'!I6</f>
        <v>0</v>
      </c>
      <c r="V29" s="182" t="n">
        <f aca="false">'V_EAP-AGRI_2024'!J6</f>
        <v>0</v>
      </c>
      <c r="W29" s="182" t="n">
        <f aca="false">'V_EAP-AGRI_2024'!K6</f>
        <v>0</v>
      </c>
      <c r="X29" s="182" t="n">
        <f aca="false">'V_EAP-AGRI_2024'!L6</f>
        <v>0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customFormat="false" ht="66.75" hidden="false" customHeight="true" outlineLevel="0" collapsed="false">
      <c r="A30" s="933"/>
      <c r="B30" s="933"/>
      <c r="C30" s="1047"/>
      <c r="D30" s="1048" t="s">
        <v>35</v>
      </c>
      <c r="E30" s="1048"/>
      <c r="F30" s="1049" t="n">
        <f aca="false">'V_EAP-GAN'!P9</f>
        <v>0</v>
      </c>
      <c r="G30" s="1049"/>
      <c r="H30" s="993"/>
      <c r="I30" s="1050"/>
      <c r="J30" s="1048" t="s">
        <v>799</v>
      </c>
      <c r="K30" s="1048"/>
      <c r="L30" s="1051" t="n">
        <f aca="false">'V_EAP-GAN'!O9</f>
        <v>0</v>
      </c>
      <c r="M30" s="1051"/>
      <c r="N30" s="933"/>
      <c r="O30" s="934" t="s">
        <v>772</v>
      </c>
      <c r="P30" s="3"/>
      <c r="Q30" s="182"/>
      <c r="R30" s="3"/>
      <c r="S30" s="3"/>
      <c r="T30" s="1242" t="s">
        <v>48</v>
      </c>
      <c r="U30" s="1243" t="s">
        <v>6</v>
      </c>
      <c r="V30" s="1244" t="s">
        <v>7</v>
      </c>
      <c r="W30" s="1245" t="s">
        <v>8</v>
      </c>
      <c r="X30" s="1246" t="s">
        <v>9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customFormat="false" ht="35.25" hidden="false" customHeight="true" outlineLevel="0" collapsed="false">
      <c r="A31" s="933"/>
      <c r="B31" s="933"/>
      <c r="C31" s="1058" t="s">
        <v>800</v>
      </c>
      <c r="D31" s="1058"/>
      <c r="E31" s="1058"/>
      <c r="F31" s="1059" t="n">
        <f aca="false">(F18+F14)+(F22+F26)+F28+F30</f>
        <v>0</v>
      </c>
      <c r="G31" s="1059"/>
      <c r="H31" s="993"/>
      <c r="I31" s="1060" t="s">
        <v>801</v>
      </c>
      <c r="J31" s="1060"/>
      <c r="K31" s="1060"/>
      <c r="L31" s="1061" t="n">
        <f aca="false">L30+L28</f>
        <v>0</v>
      </c>
      <c r="M31" s="1061"/>
      <c r="N31" s="933"/>
      <c r="O31" s="934" t="s">
        <v>772</v>
      </c>
      <c r="P31" s="3"/>
      <c r="Q31" s="182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customFormat="false" ht="28.5" hidden="false" customHeight="true" outlineLevel="0" collapsed="false">
      <c r="A32" s="933"/>
      <c r="B32" s="933"/>
      <c r="C32" s="1058"/>
      <c r="D32" s="1058"/>
      <c r="E32" s="1058"/>
      <c r="F32" s="1059"/>
      <c r="G32" s="1059"/>
      <c r="H32" s="993"/>
      <c r="I32" s="1062" t="s">
        <v>802</v>
      </c>
      <c r="J32" s="1062"/>
      <c r="K32" s="1062"/>
      <c r="L32" s="1063" t="n">
        <f aca="false">(L18+L14)</f>
        <v>0</v>
      </c>
      <c r="M32" s="1063"/>
      <c r="N32" s="933"/>
      <c r="O32" s="934" t="s">
        <v>772</v>
      </c>
      <c r="P32" s="3"/>
      <c r="Q32" s="182"/>
      <c r="R32" s="3"/>
      <c r="S32" s="1247" t="s">
        <v>870</v>
      </c>
      <c r="T32" s="1247"/>
      <c r="U32" s="1248" t="n">
        <v>0.55</v>
      </c>
      <c r="V32" s="1248"/>
      <c r="W32" s="1247" t="s">
        <v>877</v>
      </c>
      <c r="X32" s="1249" t="n">
        <v>1</v>
      </c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customFormat="false" ht="28.5" hidden="false" customHeight="true" outlineLevel="0" collapsed="false">
      <c r="A33" s="933"/>
      <c r="B33" s="933"/>
      <c r="C33" s="1058"/>
      <c r="D33" s="1058"/>
      <c r="E33" s="1058"/>
      <c r="F33" s="1059"/>
      <c r="G33" s="1059"/>
      <c r="H33" s="1064"/>
      <c r="I33" s="1062"/>
      <c r="J33" s="1062"/>
      <c r="K33" s="1062"/>
      <c r="L33" s="1063"/>
      <c r="M33" s="1063"/>
      <c r="N33" s="933"/>
      <c r="O33" s="934" t="s">
        <v>772</v>
      </c>
      <c r="P33" s="3"/>
      <c r="Q33" s="182"/>
      <c r="R33" s="3"/>
      <c r="S33" s="1247"/>
      <c r="T33" s="1247"/>
      <c r="U33" s="1248"/>
      <c r="V33" s="1248"/>
      <c r="W33" s="1247"/>
      <c r="X33" s="1249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customFormat="false" ht="26.8" hidden="false" customHeight="false" outlineLevel="0" collapsed="false">
      <c r="A34" s="933"/>
      <c r="B34" s="933"/>
      <c r="C34" s="1250"/>
      <c r="D34" s="1251"/>
      <c r="E34" s="1251"/>
      <c r="F34" s="1252"/>
      <c r="G34" s="1252"/>
      <c r="H34" s="1064"/>
      <c r="I34" s="1253"/>
      <c r="J34" s="1253"/>
      <c r="K34" s="1254"/>
      <c r="L34" s="3"/>
      <c r="M34" s="1255"/>
      <c r="N34" s="933"/>
      <c r="O34" s="934" t="s">
        <v>772</v>
      </c>
      <c r="P34" s="3"/>
      <c r="Q34" s="182"/>
      <c r="R34" s="3"/>
      <c r="S34" s="3"/>
      <c r="T34" s="3"/>
      <c r="U34" s="3"/>
      <c r="V34" s="3"/>
      <c r="W34" s="935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customFormat="false" ht="85.5" hidden="false" customHeight="true" outlineLevel="0" collapsed="false">
      <c r="A35" s="933"/>
      <c r="B35" s="933"/>
      <c r="C35" s="1256" t="s">
        <v>803</v>
      </c>
      <c r="D35" s="1256"/>
      <c r="E35" s="1256"/>
      <c r="F35" s="1257" t="n">
        <f aca="false">O_CALC_CultivoPrincipal!DY7+O_CALC_CultivoPrincipal!DZ7+O_CALC_CultivoSecundario!DY7+O_CALC_CultivoSecundario!DZ7+PEGAN+'V_EAP-AGRI_2024'!H4</f>
        <v>0</v>
      </c>
      <c r="G35" s="1257"/>
      <c r="H35" s="993"/>
      <c r="I35" s="1060" t="s">
        <v>878</v>
      </c>
      <c r="J35" s="1060"/>
      <c r="K35" s="1060"/>
      <c r="L35" s="1258" t="str">
        <f aca="false">IF(ISNUMBER(E41),IF(E41&lt;0.5,"--  €",IF(AND(E41&gt;=0.5,E41&lt;1),F31,F31/E41)))</f>
        <v>--  €</v>
      </c>
      <c r="M35" s="1259"/>
      <c r="N35" s="933"/>
      <c r="O35" s="934" t="s">
        <v>772</v>
      </c>
      <c r="P35" s="3"/>
      <c r="Q35" s="182"/>
      <c r="R35" s="3"/>
      <c r="S35" s="1079" t="s">
        <v>804</v>
      </c>
      <c r="T35" s="1079"/>
      <c r="U35" s="1079"/>
      <c r="V35" s="1080" t="e">
        <f aca="false">(O_CALC_CultivoPrincipal!EA7+O_CALC_CultivoPrincipal!EB7)+(O_CALC_CultivoSecundario!EA7+O_CALC_CultivoSecundario!EB7)+'V_EAP-GAN'!F6+'v_eap-agri_2024'!#ref!</f>
        <v>#VALUE!</v>
      </c>
      <c r="W35" s="935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customFormat="false" ht="113.25" hidden="false" customHeight="true" outlineLevel="0" collapsed="false">
      <c r="A36" s="933"/>
      <c r="B36" s="933"/>
      <c r="C36" s="1260" t="s">
        <v>879</v>
      </c>
      <c r="D36" s="1260"/>
      <c r="E36" s="1260"/>
      <c r="F36" s="1261" t="n">
        <f aca="false">F35*I5</f>
        <v>0</v>
      </c>
      <c r="G36" s="1261"/>
      <c r="H36" s="1262"/>
      <c r="I36" s="1263"/>
      <c r="J36" s="1263"/>
      <c r="K36" s="1263"/>
      <c r="L36" s="1264"/>
      <c r="M36" s="1259"/>
      <c r="N36" s="933"/>
      <c r="O36" s="934"/>
      <c r="P36" s="3"/>
      <c r="Q36" s="182"/>
      <c r="R36" s="3"/>
      <c r="S36" s="1079"/>
      <c r="T36" s="1079"/>
      <c r="U36" s="1079"/>
      <c r="V36" s="1080"/>
      <c r="W36" s="935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customFormat="false" ht="27.75" hidden="false" customHeight="true" outlineLevel="0" collapsed="false">
      <c r="A37" s="933"/>
      <c r="B37" s="933"/>
      <c r="C37" s="3"/>
      <c r="D37" s="3"/>
      <c r="E37" s="993"/>
      <c r="F37" s="993"/>
      <c r="G37" s="993"/>
      <c r="H37" s="993"/>
      <c r="I37" s="1060" t="s">
        <v>880</v>
      </c>
      <c r="J37" s="1060"/>
      <c r="K37" s="1060"/>
      <c r="L37" s="1265" t="n">
        <f aca="false">IF(ISNUMBER(F31/L5),F31/L5,"")</f>
        <v>0</v>
      </c>
      <c r="M37" s="993"/>
      <c r="N37" s="933"/>
      <c r="O37" s="934" t="s">
        <v>772</v>
      </c>
      <c r="P37" s="3"/>
      <c r="Q37" s="182"/>
      <c r="R37" s="3"/>
      <c r="S37" s="1079"/>
      <c r="T37" s="1079"/>
      <c r="U37" s="1079"/>
      <c r="V37" s="1080"/>
      <c r="W37" s="935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customFormat="false" ht="27" hidden="false" customHeight="true" outlineLevel="0" collapsed="false">
      <c r="A38" s="933"/>
      <c r="B38" s="933"/>
      <c r="C38" s="1266" t="s">
        <v>881</v>
      </c>
      <c r="D38" s="1267" t="s">
        <v>882</v>
      </c>
      <c r="E38" s="1268" t="n">
        <f aca="false">T23+T25</f>
        <v>0</v>
      </c>
      <c r="F38" s="3"/>
      <c r="G38" s="993"/>
      <c r="H38" s="993"/>
      <c r="I38" s="1060"/>
      <c r="J38" s="1060"/>
      <c r="K38" s="1060"/>
      <c r="L38" s="1265"/>
      <c r="M38" s="1269"/>
      <c r="N38" s="933"/>
      <c r="O38" s="934" t="s">
        <v>772</v>
      </c>
      <c r="P38" s="3"/>
      <c r="Q38" s="182"/>
      <c r="R38" s="3"/>
      <c r="S38" s="1086" t="s">
        <v>808</v>
      </c>
      <c r="T38" s="1086"/>
      <c r="U38" s="1086"/>
      <c r="V38" s="1087" t="e">
        <f aca="false">IF(V35&gt;=1,V35,IF(V35&gt;=0.5,1,"NO LLEGA"))</f>
        <v>#VALUE!</v>
      </c>
      <c r="W38" s="935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customFormat="false" ht="26.8" hidden="false" customHeight="false" outlineLevel="0" collapsed="false">
      <c r="A39" s="933"/>
      <c r="B39" s="933"/>
      <c r="C39" s="1266"/>
      <c r="D39" s="1270" t="s">
        <v>883</v>
      </c>
      <c r="E39" s="1271" t="n">
        <f aca="false">T24+T26</f>
        <v>0</v>
      </c>
      <c r="F39" s="3"/>
      <c r="G39" s="993"/>
      <c r="H39" s="993"/>
      <c r="I39" s="1060"/>
      <c r="J39" s="1060"/>
      <c r="K39" s="1060"/>
      <c r="L39" s="1265"/>
      <c r="M39" s="1269"/>
      <c r="N39" s="933"/>
      <c r="O39" s="934" t="s">
        <v>772</v>
      </c>
      <c r="P39" s="3"/>
      <c r="Q39" s="182"/>
      <c r="R39" s="3"/>
      <c r="S39" s="1086"/>
      <c r="T39" s="1086"/>
      <c r="U39" s="1086"/>
      <c r="V39" s="1087"/>
      <c r="W39" s="935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customFormat="false" ht="26.8" hidden="false" customHeight="false" outlineLevel="0" collapsed="false">
      <c r="A40" s="933"/>
      <c r="B40" s="933"/>
      <c r="C40" s="1266"/>
      <c r="D40" s="1272" t="s">
        <v>788</v>
      </c>
      <c r="E40" s="1273" t="n">
        <f aca="false">T27</f>
        <v>0</v>
      </c>
      <c r="F40" s="3"/>
      <c r="G40" s="1252"/>
      <c r="H40" s="1064"/>
      <c r="I40" s="993"/>
      <c r="J40" s="998"/>
      <c r="K40" s="998"/>
      <c r="L40" s="993"/>
      <c r="M40" s="993"/>
      <c r="N40" s="933"/>
      <c r="O40" s="934" t="s">
        <v>772</v>
      </c>
      <c r="P40" s="3"/>
      <c r="Q40" s="182"/>
      <c r="R40" s="3"/>
      <c r="S40" s="3"/>
      <c r="T40" s="3"/>
      <c r="U40" s="3"/>
      <c r="V40" s="3"/>
      <c r="W40" s="935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customFormat="false" ht="26.8" hidden="false" customHeight="false" outlineLevel="0" collapsed="false">
      <c r="A41" s="933"/>
      <c r="B41" s="933"/>
      <c r="C41" s="1266"/>
      <c r="D41" s="1274" t="s">
        <v>884</v>
      </c>
      <c r="E41" s="1275" t="n">
        <f aca="false">SUM(E38:E40)</f>
        <v>0</v>
      </c>
      <c r="F41" s="1145" t="str">
        <f aca="false">IF(E41&lt;1,"1","0")</f>
        <v>1</v>
      </c>
      <c r="G41" s="996" t="str">
        <f aca="false">IF(E41&gt;=0.5,"1","0")</f>
        <v>0</v>
      </c>
      <c r="H41" s="1064"/>
      <c r="I41" s="993"/>
      <c r="J41" s="998"/>
      <c r="K41" s="998"/>
      <c r="L41" s="993"/>
      <c r="M41" s="993"/>
      <c r="N41" s="933"/>
      <c r="O41" s="934" t="s">
        <v>772</v>
      </c>
      <c r="P41" s="3"/>
      <c r="Q41" s="182"/>
      <c r="R41" s="3"/>
      <c r="S41" s="3"/>
      <c r="T41" s="3"/>
      <c r="U41" s="3"/>
      <c r="V41" s="3"/>
      <c r="W41" s="935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customFormat="false" ht="43.5" hidden="false" customHeight="true" outlineLevel="0" collapsed="false">
      <c r="A42" s="933"/>
      <c r="B42" s="933"/>
      <c r="C42" s="1266"/>
      <c r="D42" s="1276" t="s">
        <v>885</v>
      </c>
      <c r="E42" s="1277" t="n">
        <f aca="false">E41*I5</f>
        <v>0</v>
      </c>
      <c r="F42" s="3"/>
      <c r="G42" s="993"/>
      <c r="H42" s="993"/>
      <c r="I42" s="993"/>
      <c r="J42" s="998"/>
      <c r="K42" s="998"/>
      <c r="L42" s="993"/>
      <c r="M42" s="1088"/>
      <c r="N42" s="933"/>
      <c r="O42" s="934" t="s">
        <v>772</v>
      </c>
      <c r="P42" s="3"/>
      <c r="Q42" s="182"/>
      <c r="R42" s="3"/>
      <c r="S42" s="3"/>
      <c r="T42" s="3"/>
      <c r="U42" s="3"/>
      <c r="V42" s="3"/>
      <c r="W42" s="935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customFormat="false" ht="26.8" hidden="false" customHeight="false" outlineLevel="0" collapsed="false">
      <c r="A43" s="933"/>
      <c r="B43" s="933"/>
      <c r="C43" s="3"/>
      <c r="D43" s="993"/>
      <c r="E43" s="1278"/>
      <c r="F43" s="993"/>
      <c r="G43" s="993"/>
      <c r="H43" s="993"/>
      <c r="I43" s="993"/>
      <c r="J43" s="998"/>
      <c r="K43" s="998"/>
      <c r="L43" s="993"/>
      <c r="M43" s="1088"/>
      <c r="N43" s="933"/>
      <c r="O43" s="934"/>
      <c r="P43" s="3"/>
      <c r="Q43" s="182"/>
      <c r="R43" s="3"/>
      <c r="S43" s="3"/>
      <c r="T43" s="3"/>
      <c r="U43" s="3"/>
      <c r="V43" s="3"/>
      <c r="W43" s="935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customFormat="false" ht="58.2" hidden="false" customHeight="false" outlineLevel="0" collapsed="false">
      <c r="A44" s="933"/>
      <c r="B44" s="933"/>
      <c r="C44" s="1089" t="s">
        <v>809</v>
      </c>
      <c r="D44" s="1089"/>
      <c r="E44" s="1089"/>
      <c r="F44" s="1089"/>
      <c r="G44" s="1089"/>
      <c r="H44" s="1089"/>
      <c r="I44" s="1089"/>
      <c r="J44" s="1089"/>
      <c r="K44" s="1090" t="s">
        <v>886</v>
      </c>
      <c r="L44" s="1090" t="s">
        <v>887</v>
      </c>
      <c r="M44" s="1092" t="s">
        <v>812</v>
      </c>
      <c r="N44" s="933"/>
      <c r="O44" s="934" t="s">
        <v>772</v>
      </c>
      <c r="P44" s="3"/>
      <c r="Q44" s="182"/>
      <c r="R44" s="3"/>
      <c r="S44" s="3"/>
      <c r="T44" s="3"/>
      <c r="U44" s="3"/>
      <c r="V44" s="3"/>
      <c r="W44" s="935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customFormat="false" ht="56.25" hidden="false" customHeight="true" outlineLevel="0" collapsed="false">
      <c r="A45" s="933"/>
      <c r="B45" s="933"/>
      <c r="C45" s="1279" t="n">
        <v>1</v>
      </c>
      <c r="D45" s="1094" t="s">
        <v>59</v>
      </c>
      <c r="E45" s="1094"/>
      <c r="F45" s="1094"/>
      <c r="G45" s="1094"/>
      <c r="H45" s="1094"/>
      <c r="I45" s="1094"/>
      <c r="J45" s="1094"/>
      <c r="K45" s="1095" t="n">
        <f aca="false">O_CALC_CultivoPrincipal!V7+O_CALC_CultivoSecundario!V7</f>
        <v>0</v>
      </c>
      <c r="L45" s="1096" t="n">
        <f aca="false">'V_EAP-AGRI_2024'!J8</f>
        <v>0</v>
      </c>
      <c r="M45" s="1097" t="str">
        <f aca="false">IF(ISNUMBER((SUM(K45,L45)/K$53)),SUM(K45,L45)/K$53,"")</f>
        <v/>
      </c>
      <c r="N45" s="933"/>
      <c r="O45" s="934" t="s">
        <v>794</v>
      </c>
      <c r="P45" s="3"/>
      <c r="Q45" s="182"/>
      <c r="R45" s="3"/>
      <c r="S45" s="3"/>
      <c r="T45" s="3"/>
      <c r="U45" s="3"/>
      <c r="V45" s="3"/>
      <c r="W45" s="935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customFormat="false" ht="41.25" hidden="false" customHeight="true" outlineLevel="0" collapsed="false">
      <c r="A46" s="933"/>
      <c r="B46" s="933"/>
      <c r="C46" s="1280" t="n">
        <v>2</v>
      </c>
      <c r="D46" s="1099" t="s">
        <v>60</v>
      </c>
      <c r="E46" s="1099"/>
      <c r="F46" s="1099"/>
      <c r="G46" s="1099"/>
      <c r="H46" s="1099"/>
      <c r="I46" s="1099"/>
      <c r="J46" s="1099"/>
      <c r="K46" s="1100" t="n">
        <f aca="false">O_CALC_CultivoPrincipal!W7+O_CALC_CultivoSecundario!W7</f>
        <v>0</v>
      </c>
      <c r="L46" s="1101" t="n">
        <f aca="false">'V_EAP-AGRI_2024'!J9</f>
        <v>0</v>
      </c>
      <c r="M46" s="1097" t="str">
        <f aca="false">IF(ISNUMBER((SUM(K46,L46)/K$53)),SUM(K46,L46)/K$53,"")</f>
        <v/>
      </c>
      <c r="N46" s="933"/>
      <c r="O46" s="934" t="s">
        <v>772</v>
      </c>
      <c r="P46" s="3"/>
      <c r="Q46" s="182"/>
      <c r="R46" s="3"/>
      <c r="S46" s="3"/>
      <c r="T46" s="3"/>
      <c r="U46" s="3"/>
      <c r="V46" s="3"/>
      <c r="W46" s="935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customFormat="false" ht="41.25" hidden="false" customHeight="true" outlineLevel="0" collapsed="false">
      <c r="A47" s="933"/>
      <c r="B47" s="933"/>
      <c r="C47" s="1281" t="n">
        <v>3</v>
      </c>
      <c r="D47" s="1103" t="s">
        <v>61</v>
      </c>
      <c r="E47" s="1103"/>
      <c r="F47" s="1103"/>
      <c r="G47" s="1103"/>
      <c r="H47" s="1103"/>
      <c r="I47" s="1103"/>
      <c r="J47" s="1103"/>
      <c r="K47" s="1095" t="n">
        <f aca="false">O_CALC_CultivoPrincipal!X7+O_CALC_CultivoSecundario!X7</f>
        <v>0</v>
      </c>
      <c r="L47" s="1096" t="n">
        <f aca="false">'V_EAP-AGRI_2024'!J10</f>
        <v>0</v>
      </c>
      <c r="M47" s="1097" t="str">
        <f aca="false">IF(ISNUMBER((SUM(K47,L47)/K$53)),SUM(K47,L47)/K$53,"")</f>
        <v/>
      </c>
      <c r="N47" s="933"/>
      <c r="O47" s="934" t="s">
        <v>772</v>
      </c>
      <c r="P47" s="3"/>
      <c r="Q47" s="182"/>
      <c r="R47" s="3"/>
      <c r="S47" s="3"/>
      <c r="T47" s="3"/>
      <c r="U47" s="3"/>
      <c r="V47" s="3"/>
      <c r="W47" s="935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customFormat="false" ht="41.25" hidden="false" customHeight="true" outlineLevel="0" collapsed="false">
      <c r="A48" s="933"/>
      <c r="B48" s="933"/>
      <c r="C48" s="1280" t="n">
        <v>4</v>
      </c>
      <c r="D48" s="1099" t="s">
        <v>62</v>
      </c>
      <c r="E48" s="1099"/>
      <c r="F48" s="1099"/>
      <c r="G48" s="1099"/>
      <c r="H48" s="1099"/>
      <c r="I48" s="1099"/>
      <c r="J48" s="1099"/>
      <c r="K48" s="1100" t="n">
        <f aca="false">O_CALC_CultivoPrincipal!Y7+O_CALC_CultivoSecundario!Y7</f>
        <v>0</v>
      </c>
      <c r="L48" s="1101" t="n">
        <f aca="false">'V_EAP-AGRI_2024'!J11</f>
        <v>0</v>
      </c>
      <c r="M48" s="1097" t="str">
        <f aca="false">IF(ISNUMBER((SUM(K48,L48)/K$53)),SUM(K48,L48)/K$53,"")</f>
        <v/>
      </c>
      <c r="N48" s="933"/>
      <c r="O48" s="934" t="s">
        <v>772</v>
      </c>
      <c r="P48" s="3"/>
      <c r="Q48" s="182"/>
      <c r="R48" s="3"/>
      <c r="S48" s="3"/>
      <c r="T48" s="3"/>
      <c r="U48" s="3"/>
      <c r="V48" s="3"/>
      <c r="W48" s="935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customFormat="false" ht="41.25" hidden="false" customHeight="true" outlineLevel="0" collapsed="false">
      <c r="A49" s="933"/>
      <c r="B49" s="933"/>
      <c r="C49" s="1279" t="n">
        <v>5</v>
      </c>
      <c r="D49" s="1104" t="s">
        <v>63</v>
      </c>
      <c r="E49" s="1104"/>
      <c r="F49" s="1104"/>
      <c r="G49" s="1104"/>
      <c r="H49" s="1104"/>
      <c r="I49" s="1104"/>
      <c r="J49" s="1104"/>
      <c r="K49" s="1105" t="n">
        <f aca="false">O_CALC_CultivoPrincipal!Z7+O_CALC_CultivoSecundario!Z7</f>
        <v>0</v>
      </c>
      <c r="L49" s="1106" t="n">
        <f aca="false">'V_EAP-AGRI_2024'!J12</f>
        <v>0</v>
      </c>
      <c r="M49" s="1097" t="str">
        <f aca="false">IF(ISNUMBER((SUM(K49,L49)/K$53)),SUM(K49,L49)/K$53,"")</f>
        <v/>
      </c>
      <c r="N49" s="933"/>
      <c r="O49" s="934" t="s">
        <v>772</v>
      </c>
      <c r="P49" s="3"/>
      <c r="Q49" s="182"/>
      <c r="R49" s="3"/>
      <c r="S49" s="3"/>
      <c r="T49" s="3"/>
      <c r="U49" s="3"/>
      <c r="V49" s="3"/>
      <c r="W49" s="935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customFormat="false" ht="41.25" hidden="false" customHeight="true" outlineLevel="0" collapsed="false">
      <c r="A50" s="933"/>
      <c r="B50" s="933"/>
      <c r="C50" s="1282" t="n">
        <v>6</v>
      </c>
      <c r="D50" s="1108" t="s">
        <v>813</v>
      </c>
      <c r="E50" s="1108"/>
      <c r="F50" s="1108"/>
      <c r="G50" s="1108"/>
      <c r="H50" s="1108"/>
      <c r="I50" s="1108"/>
      <c r="J50" s="1108"/>
      <c r="K50" s="1109" t="n">
        <f aca="false">'V_EAP-GAN'!Y11</f>
        <v>0</v>
      </c>
      <c r="L50" s="1110"/>
      <c r="M50" s="1097" t="str">
        <f aca="false">IF(ISNUMBER((SUM(K50,L50)/K$53)),SUM(K50,L50)/K$53,"")</f>
        <v/>
      </c>
      <c r="N50" s="933"/>
      <c r="O50" s="934" t="s">
        <v>772</v>
      </c>
      <c r="P50" s="3"/>
      <c r="Q50" s="182"/>
      <c r="R50" s="3"/>
      <c r="S50" s="3"/>
      <c r="T50" s="3"/>
      <c r="U50" s="3"/>
      <c r="V50" s="3"/>
      <c r="W50" s="935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customFormat="false" ht="41.25" hidden="false" customHeight="true" outlineLevel="0" collapsed="false">
      <c r="A51" s="933"/>
      <c r="B51" s="933"/>
      <c r="C51" s="1283" t="n">
        <v>7</v>
      </c>
      <c r="D51" s="1112" t="s">
        <v>814</v>
      </c>
      <c r="E51" s="1112"/>
      <c r="F51" s="1112"/>
      <c r="G51" s="1112"/>
      <c r="H51" s="1112"/>
      <c r="I51" s="1112"/>
      <c r="J51" s="1112"/>
      <c r="K51" s="1113" t="n">
        <f aca="false">'V_EAP-GAN'!Z11</f>
        <v>0</v>
      </c>
      <c r="L51" s="1114"/>
      <c r="M51" s="1097" t="str">
        <f aca="false">IF(ISNUMBER((SUM(K51,L51)/K$53)),SUM(K51,L51)/K$53,"")</f>
        <v/>
      </c>
      <c r="N51" s="933"/>
      <c r="O51" s="934" t="s">
        <v>772</v>
      </c>
      <c r="P51" s="3"/>
      <c r="Q51" s="182"/>
      <c r="R51" s="3"/>
      <c r="S51" s="3"/>
      <c r="T51" s="3"/>
      <c r="U51" s="3"/>
      <c r="V51" s="3"/>
      <c r="W51" s="935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customFormat="false" ht="41.25" hidden="false" customHeight="true" outlineLevel="0" collapsed="false">
      <c r="A52" s="933"/>
      <c r="B52" s="933"/>
      <c r="C52" s="1284"/>
      <c r="D52" s="1116"/>
      <c r="E52" s="1116"/>
      <c r="F52" s="1116"/>
      <c r="G52" s="1116"/>
      <c r="H52" s="1116"/>
      <c r="I52" s="1117"/>
      <c r="J52" s="1118"/>
      <c r="K52" s="1119" t="n">
        <f aca="false">SUM(K45:K51)</f>
        <v>0</v>
      </c>
      <c r="L52" s="994" t="n">
        <f aca="false">SUM(L45:L51)</f>
        <v>0</v>
      </c>
      <c r="M52" s="1120"/>
      <c r="N52" s="933"/>
      <c r="O52" s="934" t="s">
        <v>772</v>
      </c>
      <c r="P52" s="3"/>
      <c r="Q52" s="182"/>
      <c r="R52" s="3"/>
      <c r="S52" s="3"/>
      <c r="T52" s="3"/>
      <c r="U52" s="3"/>
      <c r="V52" s="3"/>
      <c r="W52" s="935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customFormat="false" ht="41.25" hidden="false" customHeight="true" outlineLevel="0" collapsed="false">
      <c r="A53" s="933"/>
      <c r="B53" s="933"/>
      <c r="C53" s="1285" t="s">
        <v>815</v>
      </c>
      <c r="D53" s="1285"/>
      <c r="E53" s="1285"/>
      <c r="F53" s="1285"/>
      <c r="G53" s="1285"/>
      <c r="H53" s="1285"/>
      <c r="I53" s="1285"/>
      <c r="J53" s="1122" t="s">
        <v>10</v>
      </c>
      <c r="K53" s="1123" t="n">
        <f aca="false">SUM(K52:L52)</f>
        <v>0</v>
      </c>
      <c r="L53" s="1123"/>
      <c r="M53" s="1124" t="n">
        <f aca="false">SUM(M45:M51)</f>
        <v>0</v>
      </c>
      <c r="N53" s="933"/>
      <c r="O53" s="934" t="s">
        <v>772</v>
      </c>
      <c r="P53" s="3"/>
      <c r="Q53" s="182"/>
      <c r="R53" s="3"/>
      <c r="S53" s="3"/>
      <c r="T53" s="3"/>
      <c r="U53" s="3"/>
      <c r="V53" s="3"/>
      <c r="W53" s="935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customFormat="false" ht="55.5" hidden="false" customHeight="true" outlineLevel="0" collapsed="false">
      <c r="A54" s="933"/>
      <c r="B54" s="933"/>
      <c r="C54" s="939"/>
      <c r="D54" s="3"/>
      <c r="E54" s="3"/>
      <c r="F54" s="3"/>
      <c r="G54" s="3"/>
      <c r="H54" s="3"/>
      <c r="I54" s="3"/>
      <c r="J54" s="176"/>
      <c r="K54" s="176"/>
      <c r="L54" s="3"/>
      <c r="M54" s="945"/>
      <c r="N54" s="933"/>
      <c r="O54" s="934" t="s">
        <v>772</v>
      </c>
      <c r="P54" s="3"/>
      <c r="Q54" s="182"/>
      <c r="R54" s="3"/>
      <c r="S54" s="3"/>
      <c r="T54" s="3"/>
      <c r="U54" s="3"/>
      <c r="V54" s="3"/>
      <c r="W54" s="935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customFormat="false" ht="26.8" hidden="false" customHeight="false" outlineLevel="0" collapsed="false">
      <c r="A55" s="933"/>
      <c r="B55" s="933"/>
      <c r="C55" s="939"/>
      <c r="D55" s="3"/>
      <c r="E55" s="3"/>
      <c r="F55" s="3"/>
      <c r="G55" s="3"/>
      <c r="H55" s="3"/>
      <c r="I55" s="3"/>
      <c r="J55" s="176"/>
      <c r="K55" s="176"/>
      <c r="L55" s="3"/>
      <c r="M55" s="945"/>
      <c r="N55" s="933"/>
      <c r="O55" s="934" t="s">
        <v>772</v>
      </c>
      <c r="P55" s="3"/>
      <c r="Q55" s="182"/>
      <c r="R55" s="3"/>
      <c r="S55" s="3"/>
      <c r="T55" s="3"/>
      <c r="U55" s="3"/>
      <c r="V55" s="3"/>
      <c r="W55" s="935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customFormat="false" ht="18" hidden="false" customHeight="true" outlineLevel="0" collapsed="false">
      <c r="A56" s="933"/>
      <c r="B56" s="933"/>
      <c r="C56" s="1126" t="s">
        <v>816</v>
      </c>
      <c r="D56" s="1126"/>
      <c r="E56" s="1126"/>
      <c r="F56" s="1126"/>
      <c r="G56" s="1126"/>
      <c r="H56" s="1126"/>
      <c r="I56" s="1126"/>
      <c r="J56" s="1126"/>
      <c r="K56" s="1126"/>
      <c r="L56" s="1126"/>
      <c r="M56" s="1126"/>
      <c r="N56" s="933"/>
      <c r="O56" s="934" t="s">
        <v>772</v>
      </c>
      <c r="P56" s="3"/>
      <c r="Q56" s="182"/>
      <c r="R56" s="3"/>
      <c r="S56" s="3"/>
      <c r="T56" s="3"/>
      <c r="U56" s="3"/>
      <c r="V56" s="3"/>
      <c r="W56" s="935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customFormat="false" ht="27.75" hidden="false" customHeight="true" outlineLevel="0" collapsed="false">
      <c r="A57" s="933"/>
      <c r="B57" s="933"/>
      <c r="C57" s="1126"/>
      <c r="D57" s="1126"/>
      <c r="E57" s="1126"/>
      <c r="F57" s="1126"/>
      <c r="G57" s="1126"/>
      <c r="H57" s="1126"/>
      <c r="I57" s="1126"/>
      <c r="J57" s="1126"/>
      <c r="K57" s="1126"/>
      <c r="L57" s="1126"/>
      <c r="M57" s="1126"/>
      <c r="N57" s="933"/>
      <c r="O57" s="934" t="s">
        <v>772</v>
      </c>
      <c r="P57" s="993"/>
      <c r="Q57" s="1127"/>
      <c r="R57" s="993"/>
      <c r="S57" s="993"/>
      <c r="T57" s="993"/>
      <c r="U57" s="993"/>
      <c r="V57" s="993"/>
      <c r="W57" s="1128"/>
      <c r="X57" s="993"/>
      <c r="Y57" s="993"/>
      <c r="Z57" s="993"/>
      <c r="AA57" s="993"/>
      <c r="AB57" s="993"/>
      <c r="AC57" s="993"/>
      <c r="AD57" s="993"/>
      <c r="AE57" s="993"/>
      <c r="AF57" s="993"/>
      <c r="AG57" s="993"/>
      <c r="AH57" s="993"/>
      <c r="AI57" s="993"/>
      <c r="AJ57" s="993"/>
      <c r="AK57" s="993"/>
      <c r="AL57" s="993"/>
      <c r="AM57" s="993"/>
      <c r="AN57" s="993"/>
    </row>
    <row r="58" customFormat="false" ht="28.5" hidden="false" customHeight="true" outlineLevel="0" collapsed="false">
      <c r="A58" s="933"/>
      <c r="B58" s="933"/>
      <c r="C58" s="1286" t="s">
        <v>446</v>
      </c>
      <c r="D58" s="1286"/>
      <c r="E58" s="1287" t="s">
        <v>447</v>
      </c>
      <c r="F58" s="1288" t="s">
        <v>450</v>
      </c>
      <c r="G58" s="1288"/>
      <c r="H58" s="1289" t="s">
        <v>451</v>
      </c>
      <c r="I58" s="1289"/>
      <c r="J58" s="1290" t="s">
        <v>448</v>
      </c>
      <c r="K58" s="1290"/>
      <c r="L58" s="1291" t="s">
        <v>449</v>
      </c>
      <c r="M58" s="1291"/>
      <c r="N58" s="933"/>
      <c r="O58" s="934" t="s">
        <v>772</v>
      </c>
      <c r="P58" s="993"/>
      <c r="Q58" s="1127"/>
      <c r="R58" s="993"/>
      <c r="S58" s="993"/>
      <c r="T58" s="993"/>
      <c r="U58" s="993"/>
      <c r="V58" s="993"/>
      <c r="W58" s="1128"/>
      <c r="X58" s="993"/>
      <c r="Y58" s="993"/>
      <c r="Z58" s="993"/>
      <c r="AA58" s="993"/>
      <c r="AB58" s="993"/>
      <c r="AC58" s="993"/>
      <c r="AD58" s="993"/>
      <c r="AE58" s="993"/>
      <c r="AF58" s="993"/>
      <c r="AG58" s="993"/>
      <c r="AH58" s="993"/>
      <c r="AI58" s="993"/>
      <c r="AJ58" s="993"/>
      <c r="AK58" s="993"/>
      <c r="AL58" s="993"/>
      <c r="AM58" s="993"/>
      <c r="AN58" s="993"/>
    </row>
    <row r="59" customFormat="false" ht="26.8" hidden="false" customHeight="false" outlineLevel="0" collapsed="false">
      <c r="A59" s="933"/>
      <c r="B59" s="933"/>
      <c r="C59" s="1135" t="str">
        <f aca="false">O_resumen_cultivos!Y2</f>
        <v/>
      </c>
      <c r="D59" s="1135"/>
      <c r="E59" s="1136" t="str">
        <f aca="false">O_resumen_cultivos!Z2</f>
        <v/>
      </c>
      <c r="F59" s="1136" t="str">
        <f aca="false">O_resumen_cultivos!AA2</f>
        <v/>
      </c>
      <c r="G59" s="1136"/>
      <c r="H59" s="1136" t="str">
        <f aca="false">O_resumen_cultivos!AB2</f>
        <v/>
      </c>
      <c r="I59" s="1136"/>
      <c r="J59" s="1136" t="str">
        <f aca="false">O_resumen_cultivos!AC2</f>
        <v/>
      </c>
      <c r="K59" s="1136"/>
      <c r="L59" s="1137" t="str">
        <f aca="false">O_resumen_cultivos!AD2</f>
        <v/>
      </c>
      <c r="M59" s="1137"/>
      <c r="N59" s="933"/>
      <c r="O59" s="934" t="s">
        <v>772</v>
      </c>
      <c r="P59" s="993"/>
      <c r="Q59" s="993"/>
      <c r="R59" s="1127"/>
      <c r="S59" s="993"/>
      <c r="T59" s="993"/>
      <c r="U59" s="993"/>
      <c r="V59" s="993"/>
      <c r="W59" s="993"/>
      <c r="X59" s="1128"/>
      <c r="Y59" s="993"/>
      <c r="Z59" s="993"/>
      <c r="AA59" s="993"/>
      <c r="AB59" s="993"/>
      <c r="AC59" s="993"/>
      <c r="AD59" s="993"/>
      <c r="AE59" s="993"/>
      <c r="AF59" s="993"/>
      <c r="AG59" s="993"/>
      <c r="AH59" s="993"/>
      <c r="AI59" s="993"/>
      <c r="AJ59" s="993"/>
      <c r="AK59" s="993"/>
      <c r="AL59" s="993"/>
      <c r="AM59" s="993"/>
      <c r="AN59" s="993"/>
    </row>
    <row r="60" customFormat="false" ht="27.75" hidden="false" customHeight="true" outlineLevel="0" collapsed="false">
      <c r="A60" s="933"/>
      <c r="B60" s="933"/>
      <c r="C60" s="1139" t="str">
        <f aca="false">O_resumen_cultivos!Y3</f>
        <v/>
      </c>
      <c r="D60" s="1139"/>
      <c r="E60" s="1140" t="str">
        <f aca="false">O_resumen_cultivos!Z3</f>
        <v/>
      </c>
      <c r="F60" s="1140" t="str">
        <f aca="false">O_resumen_cultivos!AA3</f>
        <v/>
      </c>
      <c r="G60" s="1140"/>
      <c r="H60" s="1140" t="str">
        <f aca="false">O_resumen_cultivos!AB3</f>
        <v/>
      </c>
      <c r="I60" s="1140"/>
      <c r="J60" s="1140" t="str">
        <f aca="false">O_resumen_cultivos!AC3</f>
        <v/>
      </c>
      <c r="K60" s="1140"/>
      <c r="L60" s="1141" t="str">
        <f aca="false">O_resumen_cultivos!AD3</f>
        <v/>
      </c>
      <c r="M60" s="1141"/>
      <c r="N60" s="933"/>
      <c r="O60" s="934" t="s">
        <v>772</v>
      </c>
      <c r="P60" s="1138"/>
      <c r="Q60" s="1138"/>
      <c r="R60" s="1138"/>
      <c r="S60" s="1138"/>
      <c r="T60" s="1138"/>
      <c r="U60" s="1138"/>
      <c r="V60" s="993"/>
      <c r="W60" s="993"/>
      <c r="X60" s="1128"/>
      <c r="Y60" s="993"/>
      <c r="Z60" s="993"/>
      <c r="AA60" s="993"/>
      <c r="AB60" s="993"/>
      <c r="AC60" s="993"/>
      <c r="AD60" s="993"/>
      <c r="AE60" s="993"/>
      <c r="AF60" s="993"/>
      <c r="AG60" s="993"/>
      <c r="AH60" s="993"/>
      <c r="AI60" s="993"/>
      <c r="AJ60" s="993"/>
      <c r="AK60" s="993"/>
      <c r="AL60" s="993"/>
      <c r="AM60" s="993"/>
      <c r="AN60" s="993"/>
    </row>
    <row r="61" customFormat="false" ht="26.8" hidden="false" customHeight="false" outlineLevel="0" collapsed="false">
      <c r="A61" s="933"/>
      <c r="B61" s="933"/>
      <c r="C61" s="1135" t="str">
        <f aca="false">O_resumen_cultivos!Y4</f>
        <v/>
      </c>
      <c r="D61" s="1135"/>
      <c r="E61" s="1136" t="str">
        <f aca="false">O_resumen_cultivos!Z4</f>
        <v/>
      </c>
      <c r="F61" s="1136" t="str">
        <f aca="false">O_resumen_cultivos!AA4</f>
        <v/>
      </c>
      <c r="G61" s="1136"/>
      <c r="H61" s="1136" t="str">
        <f aca="false">O_resumen_cultivos!AB4</f>
        <v/>
      </c>
      <c r="I61" s="1136"/>
      <c r="J61" s="1136" t="str">
        <f aca="false">O_resumen_cultivos!AC4</f>
        <v/>
      </c>
      <c r="K61" s="1136"/>
      <c r="L61" s="1137" t="str">
        <f aca="false">O_resumen_cultivos!AD4</f>
        <v/>
      </c>
      <c r="M61" s="1137"/>
      <c r="N61" s="933"/>
      <c r="O61" s="934" t="s">
        <v>772</v>
      </c>
      <c r="P61" s="993"/>
      <c r="Q61" s="993"/>
      <c r="R61" s="1127"/>
      <c r="S61" s="993"/>
      <c r="T61" s="993"/>
      <c r="U61" s="993"/>
      <c r="V61" s="993"/>
      <c r="W61" s="993"/>
      <c r="X61" s="1128"/>
      <c r="Y61" s="993"/>
      <c r="Z61" s="993"/>
      <c r="AA61" s="993"/>
      <c r="AB61" s="993"/>
      <c r="AC61" s="993"/>
      <c r="AD61" s="993"/>
      <c r="AE61" s="993"/>
      <c r="AF61" s="993"/>
      <c r="AG61" s="993"/>
      <c r="AH61" s="993"/>
      <c r="AI61" s="993"/>
      <c r="AJ61" s="993"/>
      <c r="AK61" s="993"/>
      <c r="AL61" s="993"/>
      <c r="AM61" s="993"/>
      <c r="AN61" s="993"/>
    </row>
    <row r="62" customFormat="false" ht="26.8" hidden="false" customHeight="false" outlineLevel="0" collapsed="false">
      <c r="A62" s="933"/>
      <c r="B62" s="933"/>
      <c r="C62" s="1139" t="str">
        <f aca="false">O_resumen_cultivos!Y5</f>
        <v/>
      </c>
      <c r="D62" s="1139"/>
      <c r="E62" s="1140" t="str">
        <f aca="false">O_resumen_cultivos!Z5</f>
        <v/>
      </c>
      <c r="F62" s="1140" t="str">
        <f aca="false">O_resumen_cultivos!AA5</f>
        <v/>
      </c>
      <c r="G62" s="1140"/>
      <c r="H62" s="1140" t="str">
        <f aca="false">O_resumen_cultivos!AB5</f>
        <v/>
      </c>
      <c r="I62" s="1140"/>
      <c r="J62" s="1140" t="str">
        <f aca="false">O_resumen_cultivos!AC5</f>
        <v/>
      </c>
      <c r="K62" s="1140"/>
      <c r="L62" s="1141" t="str">
        <f aca="false">O_resumen_cultivos!AD5</f>
        <v/>
      </c>
      <c r="M62" s="1141"/>
      <c r="N62" s="933"/>
      <c r="O62" s="934" t="s">
        <v>772</v>
      </c>
      <c r="P62" s="993"/>
      <c r="Q62" s="993"/>
      <c r="R62" s="1127"/>
      <c r="S62" s="993"/>
      <c r="T62" s="993"/>
      <c r="U62" s="993"/>
      <c r="V62" s="993"/>
      <c r="W62" s="993"/>
      <c r="X62" s="1128"/>
      <c r="Y62" s="993"/>
      <c r="Z62" s="993"/>
      <c r="AA62" s="993"/>
      <c r="AB62" s="993"/>
      <c r="AC62" s="993"/>
      <c r="AD62" s="993"/>
      <c r="AE62" s="993"/>
      <c r="AF62" s="993"/>
      <c r="AG62" s="993"/>
      <c r="AH62" s="993"/>
      <c r="AI62" s="993"/>
      <c r="AJ62" s="993"/>
      <c r="AK62" s="993"/>
      <c r="AL62" s="993"/>
      <c r="AM62" s="993"/>
      <c r="AN62" s="993"/>
    </row>
    <row r="63" customFormat="false" ht="26.8" hidden="false" customHeight="false" outlineLevel="0" collapsed="false">
      <c r="A63" s="933"/>
      <c r="B63" s="933"/>
      <c r="C63" s="1135" t="str">
        <f aca="false">O_resumen_cultivos!Y6</f>
        <v/>
      </c>
      <c r="D63" s="1135"/>
      <c r="E63" s="1136" t="str">
        <f aca="false">O_resumen_cultivos!Z6</f>
        <v/>
      </c>
      <c r="F63" s="1136" t="str">
        <f aca="false">O_resumen_cultivos!AA6</f>
        <v/>
      </c>
      <c r="G63" s="1136"/>
      <c r="H63" s="1136" t="str">
        <f aca="false">O_resumen_cultivos!AB6</f>
        <v/>
      </c>
      <c r="I63" s="1136"/>
      <c r="J63" s="1136" t="str">
        <f aca="false">O_resumen_cultivos!AC6</f>
        <v/>
      </c>
      <c r="K63" s="1136"/>
      <c r="L63" s="1137" t="str">
        <f aca="false">O_resumen_cultivos!AD6</f>
        <v/>
      </c>
      <c r="M63" s="1137"/>
      <c r="N63" s="933"/>
      <c r="O63" s="934" t="s">
        <v>772</v>
      </c>
      <c r="P63" s="993"/>
      <c r="Q63" s="993"/>
      <c r="R63" s="1127"/>
      <c r="S63" s="993"/>
      <c r="T63" s="993"/>
      <c r="U63" s="993"/>
      <c r="V63" s="993"/>
      <c r="W63" s="993"/>
      <c r="X63" s="1128"/>
      <c r="Y63" s="993"/>
      <c r="Z63" s="993"/>
      <c r="AA63" s="993"/>
      <c r="AB63" s="993"/>
      <c r="AC63" s="993"/>
      <c r="AD63" s="993"/>
      <c r="AE63" s="993"/>
      <c r="AF63" s="993"/>
      <c r="AG63" s="993"/>
      <c r="AH63" s="993"/>
      <c r="AI63" s="993"/>
      <c r="AJ63" s="993"/>
      <c r="AK63" s="993"/>
      <c r="AL63" s="993"/>
      <c r="AM63" s="993"/>
      <c r="AN63" s="993"/>
    </row>
    <row r="64" customFormat="false" ht="26.8" hidden="false" customHeight="false" outlineLevel="0" collapsed="false">
      <c r="A64" s="933"/>
      <c r="B64" s="933"/>
      <c r="C64" s="1139" t="str">
        <f aca="false">O_resumen_cultivos!Y7</f>
        <v/>
      </c>
      <c r="D64" s="1139"/>
      <c r="E64" s="1140" t="str">
        <f aca="false">O_resumen_cultivos!Z7</f>
        <v/>
      </c>
      <c r="F64" s="1140" t="str">
        <f aca="false">O_resumen_cultivos!AA7</f>
        <v/>
      </c>
      <c r="G64" s="1140"/>
      <c r="H64" s="1140" t="str">
        <f aca="false">O_resumen_cultivos!AB7</f>
        <v/>
      </c>
      <c r="I64" s="1140"/>
      <c r="J64" s="1140" t="str">
        <f aca="false">O_resumen_cultivos!AC7</f>
        <v/>
      </c>
      <c r="K64" s="1140"/>
      <c r="L64" s="1141" t="str">
        <f aca="false">O_resumen_cultivos!AD7</f>
        <v/>
      </c>
      <c r="M64" s="1141"/>
      <c r="N64" s="933"/>
      <c r="O64" s="934" t="s">
        <v>772</v>
      </c>
      <c r="P64" s="993"/>
      <c r="Q64" s="993"/>
      <c r="R64" s="1127"/>
      <c r="S64" s="993"/>
      <c r="T64" s="993"/>
      <c r="U64" s="993"/>
      <c r="V64" s="993"/>
      <c r="W64" s="993"/>
      <c r="X64" s="1128"/>
      <c r="Y64" s="993"/>
      <c r="Z64" s="993"/>
      <c r="AA64" s="993"/>
      <c r="AB64" s="993"/>
      <c r="AC64" s="993"/>
      <c r="AD64" s="993"/>
      <c r="AE64" s="993"/>
      <c r="AF64" s="993"/>
      <c r="AG64" s="993"/>
      <c r="AH64" s="993"/>
      <c r="AI64" s="993"/>
      <c r="AJ64" s="993"/>
      <c r="AK64" s="993"/>
      <c r="AL64" s="993"/>
      <c r="AM64" s="993"/>
      <c r="AN64" s="993"/>
    </row>
    <row r="65" customFormat="false" ht="26.8" hidden="false" customHeight="false" outlineLevel="0" collapsed="false">
      <c r="A65" s="933"/>
      <c r="B65" s="933"/>
      <c r="C65" s="1135" t="str">
        <f aca="false">O_resumen_cultivos!Y8</f>
        <v/>
      </c>
      <c r="D65" s="1135"/>
      <c r="E65" s="1136" t="str">
        <f aca="false">O_resumen_cultivos!Z8</f>
        <v/>
      </c>
      <c r="F65" s="1136" t="str">
        <f aca="false">O_resumen_cultivos!AA8</f>
        <v/>
      </c>
      <c r="G65" s="1136"/>
      <c r="H65" s="1136" t="str">
        <f aca="false">O_resumen_cultivos!AB8</f>
        <v/>
      </c>
      <c r="I65" s="1136"/>
      <c r="J65" s="1136" t="str">
        <f aca="false">O_resumen_cultivos!AC8</f>
        <v/>
      </c>
      <c r="K65" s="1136"/>
      <c r="L65" s="1137" t="str">
        <f aca="false">O_resumen_cultivos!AD8</f>
        <v/>
      </c>
      <c r="M65" s="1137"/>
      <c r="N65" s="933"/>
      <c r="O65" s="934" t="s">
        <v>772</v>
      </c>
      <c r="P65" s="993"/>
      <c r="Q65" s="993"/>
      <c r="R65" s="1127"/>
      <c r="S65" s="993"/>
      <c r="T65" s="993"/>
      <c r="U65" s="993"/>
      <c r="V65" s="993"/>
      <c r="W65" s="993"/>
      <c r="X65" s="1128"/>
      <c r="Y65" s="993"/>
      <c r="Z65" s="993"/>
      <c r="AA65" s="993"/>
      <c r="AB65" s="993"/>
      <c r="AC65" s="993"/>
      <c r="AD65" s="993"/>
      <c r="AE65" s="993"/>
      <c r="AF65" s="993"/>
      <c r="AG65" s="993"/>
      <c r="AH65" s="993"/>
      <c r="AI65" s="993"/>
      <c r="AJ65" s="993"/>
      <c r="AK65" s="993"/>
      <c r="AL65" s="993"/>
      <c r="AM65" s="993"/>
      <c r="AN65" s="993"/>
    </row>
    <row r="66" customFormat="false" ht="26.8" hidden="false" customHeight="false" outlineLevel="0" collapsed="false">
      <c r="A66" s="933"/>
      <c r="B66" s="933"/>
      <c r="C66" s="1139" t="str">
        <f aca="false">O_resumen_cultivos!Y9</f>
        <v/>
      </c>
      <c r="D66" s="1139"/>
      <c r="E66" s="1140" t="str">
        <f aca="false">O_resumen_cultivos!Z9</f>
        <v/>
      </c>
      <c r="F66" s="1140" t="str">
        <f aca="false">O_resumen_cultivos!AA9</f>
        <v/>
      </c>
      <c r="G66" s="1140"/>
      <c r="H66" s="1140" t="str">
        <f aca="false">O_resumen_cultivos!AB9</f>
        <v/>
      </c>
      <c r="I66" s="1140"/>
      <c r="J66" s="1140" t="str">
        <f aca="false">O_resumen_cultivos!AC9</f>
        <v/>
      </c>
      <c r="K66" s="1140"/>
      <c r="L66" s="1141" t="str">
        <f aca="false">O_resumen_cultivos!AD9</f>
        <v/>
      </c>
      <c r="M66" s="1141"/>
      <c r="N66" s="933"/>
      <c r="O66" s="934" t="s">
        <v>772</v>
      </c>
      <c r="P66" s="1068"/>
      <c r="Q66" s="993"/>
      <c r="R66" s="1127"/>
      <c r="S66" s="1127"/>
      <c r="T66" s="993"/>
      <c r="U66" s="993"/>
      <c r="V66" s="993"/>
      <c r="W66" s="993"/>
      <c r="X66" s="1128"/>
      <c r="Y66" s="993"/>
      <c r="Z66" s="993"/>
      <c r="AA66" s="993"/>
      <c r="AB66" s="993"/>
      <c r="AC66" s="993"/>
      <c r="AD66" s="993"/>
      <c r="AE66" s="993"/>
      <c r="AF66" s="993"/>
      <c r="AG66" s="993"/>
      <c r="AH66" s="993"/>
      <c r="AI66" s="993"/>
      <c r="AJ66" s="993"/>
      <c r="AK66" s="993"/>
      <c r="AL66" s="993"/>
      <c r="AM66" s="993"/>
      <c r="AN66" s="993"/>
    </row>
    <row r="67" customFormat="false" ht="26.8" hidden="false" customHeight="false" outlineLevel="0" collapsed="false">
      <c r="A67" s="933"/>
      <c r="B67" s="933"/>
      <c r="C67" s="1135" t="str">
        <f aca="false">O_resumen_cultivos!Y10</f>
        <v/>
      </c>
      <c r="D67" s="1135"/>
      <c r="E67" s="1136" t="str">
        <f aca="false">O_resumen_cultivos!Z10</f>
        <v/>
      </c>
      <c r="F67" s="1136" t="str">
        <f aca="false">O_resumen_cultivos!AA10</f>
        <v/>
      </c>
      <c r="G67" s="1136"/>
      <c r="H67" s="1136" t="str">
        <f aca="false">O_resumen_cultivos!AB10</f>
        <v/>
      </c>
      <c r="I67" s="1136"/>
      <c r="J67" s="1136" t="str">
        <f aca="false">O_resumen_cultivos!AC10</f>
        <v/>
      </c>
      <c r="K67" s="1136"/>
      <c r="L67" s="1137" t="str">
        <f aca="false">O_resumen_cultivos!AD10</f>
        <v/>
      </c>
      <c r="M67" s="1137"/>
      <c r="N67" s="933"/>
      <c r="O67" s="934" t="s">
        <v>772</v>
      </c>
      <c r="P67" s="993"/>
      <c r="Q67" s="993"/>
      <c r="R67" s="1127"/>
      <c r="S67" s="993"/>
      <c r="T67" s="993"/>
      <c r="U67" s="993"/>
      <c r="V67" s="993"/>
      <c r="W67" s="993"/>
      <c r="X67" s="1128"/>
      <c r="Y67" s="993"/>
      <c r="Z67" s="993"/>
      <c r="AA67" s="993"/>
      <c r="AB67" s="993"/>
      <c r="AC67" s="993"/>
      <c r="AD67" s="993"/>
      <c r="AE67" s="993"/>
      <c r="AF67" s="993"/>
      <c r="AG67" s="993"/>
      <c r="AH67" s="993"/>
      <c r="AI67" s="993"/>
      <c r="AJ67" s="993"/>
      <c r="AK67" s="993"/>
      <c r="AL67" s="993"/>
      <c r="AM67" s="993"/>
      <c r="AN67" s="993"/>
    </row>
    <row r="68" customFormat="false" ht="26.8" hidden="false" customHeight="false" outlineLevel="0" collapsed="false">
      <c r="A68" s="933"/>
      <c r="B68" s="933"/>
      <c r="C68" s="1139" t="str">
        <f aca="false">O_resumen_cultivos!Y11</f>
        <v/>
      </c>
      <c r="D68" s="1139"/>
      <c r="E68" s="1140" t="str">
        <f aca="false">O_resumen_cultivos!Z11</f>
        <v/>
      </c>
      <c r="F68" s="1140" t="str">
        <f aca="false">O_resumen_cultivos!AA11</f>
        <v/>
      </c>
      <c r="G68" s="1140"/>
      <c r="H68" s="1140" t="str">
        <f aca="false">O_resumen_cultivos!AB11</f>
        <v/>
      </c>
      <c r="I68" s="1140"/>
      <c r="J68" s="1140" t="str">
        <f aca="false">O_resumen_cultivos!AC11</f>
        <v/>
      </c>
      <c r="K68" s="1140"/>
      <c r="L68" s="1141" t="str">
        <f aca="false">O_resumen_cultivos!AD11</f>
        <v/>
      </c>
      <c r="M68" s="1141"/>
      <c r="N68" s="933"/>
      <c r="O68" s="934" t="s">
        <v>772</v>
      </c>
      <c r="P68" s="1142"/>
      <c r="Q68" s="1138"/>
      <c r="R68" s="1138"/>
      <c r="S68" s="1143"/>
      <c r="T68" s="1143"/>
      <c r="U68" s="993"/>
      <c r="V68" s="993"/>
      <c r="W68" s="993"/>
      <c r="X68" s="1128"/>
      <c r="Y68" s="993"/>
      <c r="Z68" s="993"/>
      <c r="AA68" s="993"/>
      <c r="AB68" s="993"/>
      <c r="AC68" s="993"/>
      <c r="AD68" s="993"/>
      <c r="AE68" s="993"/>
      <c r="AF68" s="993"/>
      <c r="AG68" s="993"/>
      <c r="AH68" s="993"/>
      <c r="AI68" s="993"/>
      <c r="AJ68" s="993"/>
      <c r="AK68" s="993"/>
      <c r="AL68" s="993"/>
      <c r="AM68" s="993"/>
      <c r="AN68" s="993"/>
    </row>
    <row r="69" customFormat="false" ht="26.8" hidden="false" customHeight="false" outlineLevel="0" collapsed="false">
      <c r="A69" s="933"/>
      <c r="B69" s="933"/>
      <c r="C69" s="1135" t="str">
        <f aca="false">O_resumen_cultivos!Y12</f>
        <v/>
      </c>
      <c r="D69" s="1135"/>
      <c r="E69" s="1136" t="str">
        <f aca="false">O_resumen_cultivos!Z12</f>
        <v/>
      </c>
      <c r="F69" s="1136" t="str">
        <f aca="false">O_resumen_cultivos!AA12</f>
        <v/>
      </c>
      <c r="G69" s="1136"/>
      <c r="H69" s="1136" t="str">
        <f aca="false">O_resumen_cultivos!AB12</f>
        <v/>
      </c>
      <c r="I69" s="1136"/>
      <c r="J69" s="1136" t="str">
        <f aca="false">O_resumen_cultivos!AC12</f>
        <v/>
      </c>
      <c r="K69" s="1136"/>
      <c r="L69" s="1137" t="str">
        <f aca="false">O_resumen_cultivos!AD12</f>
        <v/>
      </c>
      <c r="M69" s="1137"/>
      <c r="N69" s="933"/>
      <c r="O69" s="934" t="s">
        <v>772</v>
      </c>
      <c r="P69" s="1144"/>
      <c r="Q69" s="1145"/>
      <c r="R69" s="1145" t="n">
        <v>36546.0192</v>
      </c>
      <c r="S69" s="993" t="n">
        <v>1</v>
      </c>
      <c r="T69" s="993" t="s">
        <v>59</v>
      </c>
      <c r="U69" s="993"/>
      <c r="V69" s="993"/>
      <c r="W69" s="993"/>
      <c r="X69" s="1128"/>
      <c r="Y69" s="993"/>
      <c r="Z69" s="993"/>
      <c r="AA69" s="993"/>
      <c r="AB69" s="993"/>
      <c r="AC69" s="993"/>
      <c r="AD69" s="993"/>
      <c r="AE69" s="993"/>
      <c r="AF69" s="993"/>
      <c r="AG69" s="993"/>
      <c r="AH69" s="993"/>
      <c r="AI69" s="993"/>
      <c r="AJ69" s="993"/>
      <c r="AK69" s="993"/>
      <c r="AL69" s="993"/>
      <c r="AM69" s="993"/>
      <c r="AN69" s="993"/>
    </row>
    <row r="70" customFormat="false" ht="26.8" hidden="false" customHeight="false" outlineLevel="0" collapsed="false">
      <c r="A70" s="933"/>
      <c r="B70" s="933"/>
      <c r="C70" s="1139" t="str">
        <f aca="false">O_resumen_cultivos!Y13</f>
        <v/>
      </c>
      <c r="D70" s="1139"/>
      <c r="E70" s="1140" t="str">
        <f aca="false">O_resumen_cultivos!Z13</f>
        <v/>
      </c>
      <c r="F70" s="1140" t="str">
        <f aca="false">O_resumen_cultivos!AA13</f>
        <v/>
      </c>
      <c r="G70" s="1140"/>
      <c r="H70" s="1140" t="str">
        <f aca="false">O_resumen_cultivos!AB13</f>
        <v/>
      </c>
      <c r="I70" s="1140"/>
      <c r="J70" s="1140" t="str">
        <f aca="false">O_resumen_cultivos!AC13</f>
        <v/>
      </c>
      <c r="K70" s="1140"/>
      <c r="L70" s="1141" t="str">
        <f aca="false">O_resumen_cultivos!AD13</f>
        <v/>
      </c>
      <c r="M70" s="1141"/>
      <c r="N70" s="933"/>
      <c r="O70" s="934" t="s">
        <v>772</v>
      </c>
      <c r="P70" s="1144"/>
      <c r="Q70" s="1145"/>
      <c r="R70" s="1145" t="n">
        <v>203064.7332</v>
      </c>
      <c r="S70" s="993" t="n">
        <v>2</v>
      </c>
      <c r="T70" s="993" t="s">
        <v>60</v>
      </c>
      <c r="U70" s="993"/>
      <c r="V70" s="993"/>
      <c r="W70" s="993"/>
      <c r="X70" s="1128"/>
      <c r="Y70" s="993"/>
      <c r="Z70" s="993"/>
      <c r="AA70" s="993"/>
      <c r="AB70" s="993"/>
      <c r="AC70" s="993"/>
      <c r="AD70" s="993"/>
      <c r="AE70" s="993"/>
      <c r="AF70" s="993"/>
      <c r="AG70" s="993"/>
      <c r="AH70" s="993"/>
      <c r="AI70" s="993"/>
      <c r="AJ70" s="993"/>
      <c r="AK70" s="993"/>
      <c r="AL70" s="993"/>
      <c r="AM70" s="993"/>
      <c r="AN70" s="993"/>
    </row>
    <row r="71" customFormat="false" ht="26.8" hidden="false" customHeight="false" outlineLevel="0" collapsed="false">
      <c r="A71" s="933"/>
      <c r="B71" s="933"/>
      <c r="C71" s="1135" t="str">
        <f aca="false">O_resumen_cultivos!Y14</f>
        <v/>
      </c>
      <c r="D71" s="1135"/>
      <c r="E71" s="1136" t="str">
        <f aca="false">O_resumen_cultivos!Z14</f>
        <v/>
      </c>
      <c r="F71" s="1136" t="str">
        <f aca="false">O_resumen_cultivos!AA14</f>
        <v/>
      </c>
      <c r="G71" s="1136"/>
      <c r="H71" s="1136" t="str">
        <f aca="false">O_resumen_cultivos!AB14</f>
        <v/>
      </c>
      <c r="I71" s="1136"/>
      <c r="J71" s="1136" t="str">
        <f aca="false">O_resumen_cultivos!AC14</f>
        <v/>
      </c>
      <c r="K71" s="1136"/>
      <c r="L71" s="1137" t="str">
        <f aca="false">O_resumen_cultivos!AD14</f>
        <v/>
      </c>
      <c r="M71" s="1137"/>
      <c r="N71" s="933"/>
      <c r="O71" s="934" t="s">
        <v>772</v>
      </c>
      <c r="P71" s="1144"/>
      <c r="Q71" s="1145"/>
      <c r="R71" s="1145" t="n">
        <v>19305.12</v>
      </c>
      <c r="S71" s="993" t="n">
        <v>3</v>
      </c>
      <c r="T71" s="993" t="s">
        <v>61</v>
      </c>
      <c r="U71" s="993"/>
      <c r="V71" s="993"/>
      <c r="W71" s="993"/>
      <c r="X71" s="1128"/>
      <c r="Y71" s="993"/>
      <c r="Z71" s="993"/>
      <c r="AA71" s="993"/>
      <c r="AB71" s="993"/>
      <c r="AC71" s="993"/>
      <c r="AD71" s="993"/>
      <c r="AE71" s="993"/>
      <c r="AF71" s="993"/>
      <c r="AG71" s="993"/>
      <c r="AH71" s="993"/>
      <c r="AI71" s="993"/>
      <c r="AJ71" s="993"/>
      <c r="AK71" s="993"/>
      <c r="AL71" s="993"/>
      <c r="AM71" s="993"/>
      <c r="AN71" s="993"/>
    </row>
    <row r="72" customFormat="false" ht="26.8" hidden="false" customHeight="false" outlineLevel="0" collapsed="false">
      <c r="A72" s="933"/>
      <c r="B72" s="933"/>
      <c r="C72" s="1139" t="str">
        <f aca="false">O_resumen_cultivos!Y15</f>
        <v/>
      </c>
      <c r="D72" s="1139"/>
      <c r="E72" s="1140" t="str">
        <f aca="false">O_resumen_cultivos!Z15</f>
        <v/>
      </c>
      <c r="F72" s="1140" t="str">
        <f aca="false">O_resumen_cultivos!AA15</f>
        <v/>
      </c>
      <c r="G72" s="1140"/>
      <c r="H72" s="1140" t="str">
        <f aca="false">O_resumen_cultivos!AB15</f>
        <v/>
      </c>
      <c r="I72" s="1140"/>
      <c r="J72" s="1140" t="str">
        <f aca="false">O_resumen_cultivos!AC15</f>
        <v/>
      </c>
      <c r="K72" s="1140"/>
      <c r="L72" s="1141" t="str">
        <f aca="false">O_resumen_cultivos!AD15</f>
        <v/>
      </c>
      <c r="M72" s="1141"/>
      <c r="N72" s="933"/>
      <c r="O72" s="934" t="s">
        <v>772</v>
      </c>
      <c r="P72" s="1144"/>
      <c r="Q72" s="1145"/>
      <c r="R72" s="1145" t="n">
        <v>1377296.6852</v>
      </c>
      <c r="S72" s="993" t="n">
        <v>4</v>
      </c>
      <c r="T72" s="993" t="s">
        <v>62</v>
      </c>
      <c r="U72" s="993"/>
      <c r="V72" s="993"/>
      <c r="W72" s="993"/>
      <c r="X72" s="1128"/>
      <c r="Y72" s="993"/>
      <c r="Z72" s="993"/>
      <c r="AA72" s="993"/>
      <c r="AB72" s="993"/>
      <c r="AC72" s="993"/>
      <c r="AD72" s="993"/>
      <c r="AE72" s="993"/>
      <c r="AF72" s="993"/>
      <c r="AG72" s="993"/>
      <c r="AH72" s="993"/>
      <c r="AI72" s="993"/>
      <c r="AJ72" s="993"/>
      <c r="AK72" s="993"/>
      <c r="AL72" s="993"/>
      <c r="AM72" s="993"/>
      <c r="AN72" s="993"/>
    </row>
    <row r="73" customFormat="false" ht="26.8" hidden="false" customHeight="false" outlineLevel="0" collapsed="false">
      <c r="A73" s="933"/>
      <c r="B73" s="933"/>
      <c r="C73" s="1135" t="str">
        <f aca="false">O_resumen_cultivos!Y16</f>
        <v/>
      </c>
      <c r="D73" s="1135"/>
      <c r="E73" s="1136" t="str">
        <f aca="false">O_resumen_cultivos!Z16</f>
        <v/>
      </c>
      <c r="F73" s="1136" t="str">
        <f aca="false">O_resumen_cultivos!AA16</f>
        <v/>
      </c>
      <c r="G73" s="1136"/>
      <c r="H73" s="1136" t="str">
        <f aca="false">O_resumen_cultivos!AB16</f>
        <v/>
      </c>
      <c r="I73" s="1136"/>
      <c r="J73" s="1136" t="str">
        <f aca="false">O_resumen_cultivos!AC16</f>
        <v/>
      </c>
      <c r="K73" s="1136"/>
      <c r="L73" s="1137" t="str">
        <f aca="false">O_resumen_cultivos!AD16</f>
        <v/>
      </c>
      <c r="M73" s="1137"/>
      <c r="N73" s="933"/>
      <c r="O73" s="934" t="s">
        <v>772</v>
      </c>
      <c r="P73" s="1144"/>
      <c r="Q73" s="1145"/>
      <c r="R73" s="1145" t="n">
        <v>36952.3856</v>
      </c>
      <c r="S73" s="993" t="n">
        <v>5</v>
      </c>
      <c r="T73" s="993" t="s">
        <v>63</v>
      </c>
      <c r="U73" s="993"/>
      <c r="V73" s="993"/>
      <c r="W73" s="993"/>
      <c r="X73" s="1128"/>
      <c r="Y73" s="993"/>
      <c r="Z73" s="993"/>
      <c r="AA73" s="993"/>
      <c r="AB73" s="993"/>
      <c r="AC73" s="993"/>
      <c r="AD73" s="993"/>
      <c r="AE73" s="993"/>
      <c r="AF73" s="993"/>
      <c r="AG73" s="993"/>
      <c r="AH73" s="993"/>
      <c r="AI73" s="993"/>
      <c r="AJ73" s="993"/>
      <c r="AK73" s="993"/>
      <c r="AL73" s="993"/>
      <c r="AM73" s="993"/>
      <c r="AN73" s="993"/>
    </row>
    <row r="74" customFormat="false" ht="26.8" hidden="false" customHeight="false" outlineLevel="0" collapsed="false">
      <c r="A74" s="933"/>
      <c r="B74" s="933"/>
      <c r="C74" s="1139" t="str">
        <f aca="false">O_resumen_cultivos!Y17</f>
        <v/>
      </c>
      <c r="D74" s="1139"/>
      <c r="E74" s="1140" t="str">
        <f aca="false">O_resumen_cultivos!Z17</f>
        <v/>
      </c>
      <c r="F74" s="1140" t="str">
        <f aca="false">O_resumen_cultivos!AA17</f>
        <v/>
      </c>
      <c r="G74" s="1140"/>
      <c r="H74" s="1140" t="str">
        <f aca="false">O_resumen_cultivos!AB17</f>
        <v/>
      </c>
      <c r="I74" s="1140"/>
      <c r="J74" s="1140" t="str">
        <f aca="false">O_resumen_cultivos!AC17</f>
        <v/>
      </c>
      <c r="K74" s="1140"/>
      <c r="L74" s="1141" t="str">
        <f aca="false">O_resumen_cultivos!AD17</f>
        <v/>
      </c>
      <c r="M74" s="1141"/>
      <c r="N74" s="933"/>
      <c r="O74" s="934" t="s">
        <v>772</v>
      </c>
      <c r="P74" s="1144"/>
      <c r="Q74" s="1146"/>
      <c r="R74" s="1146"/>
      <c r="S74" s="993" t="n">
        <v>6</v>
      </c>
      <c r="T74" s="993" t="s">
        <v>813</v>
      </c>
      <c r="U74" s="993"/>
      <c r="V74" s="993"/>
      <c r="W74" s="993"/>
      <c r="X74" s="1128"/>
      <c r="Y74" s="993"/>
      <c r="Z74" s="993"/>
      <c r="AA74" s="993"/>
      <c r="AB74" s="993"/>
      <c r="AC74" s="993"/>
      <c r="AD74" s="993"/>
      <c r="AE74" s="993"/>
      <c r="AF74" s="993"/>
      <c r="AG74" s="993"/>
      <c r="AH74" s="993"/>
      <c r="AI74" s="993"/>
      <c r="AJ74" s="993"/>
      <c r="AK74" s="993"/>
      <c r="AL74" s="993"/>
      <c r="AM74" s="993"/>
      <c r="AN74" s="993"/>
    </row>
    <row r="75" customFormat="false" ht="26.8" hidden="false" customHeight="false" outlineLevel="0" collapsed="false">
      <c r="A75" s="933"/>
      <c r="B75" s="933"/>
      <c r="C75" s="1135" t="str">
        <f aca="false">O_resumen_cultivos!Y18</f>
        <v/>
      </c>
      <c r="D75" s="1135"/>
      <c r="E75" s="1136" t="str">
        <f aca="false">O_resumen_cultivos!Z18</f>
        <v/>
      </c>
      <c r="F75" s="1136" t="str">
        <f aca="false">O_resumen_cultivos!AA18</f>
        <v/>
      </c>
      <c r="G75" s="1136"/>
      <c r="H75" s="1136" t="str">
        <f aca="false">O_resumen_cultivos!AB18</f>
        <v/>
      </c>
      <c r="I75" s="1136"/>
      <c r="J75" s="1136" t="str">
        <f aca="false">O_resumen_cultivos!AC18</f>
        <v/>
      </c>
      <c r="K75" s="1136"/>
      <c r="L75" s="1137" t="str">
        <f aca="false">O_resumen_cultivos!AD18</f>
        <v/>
      </c>
      <c r="M75" s="1137"/>
      <c r="N75" s="933"/>
      <c r="O75" s="934" t="s">
        <v>772</v>
      </c>
      <c r="P75" s="1144"/>
      <c r="Q75" s="1146"/>
      <c r="R75" s="1146"/>
      <c r="S75" s="993" t="n">
        <v>7</v>
      </c>
      <c r="T75" s="993" t="s">
        <v>814</v>
      </c>
      <c r="U75" s="993"/>
      <c r="V75" s="993"/>
      <c r="W75" s="993"/>
      <c r="X75" s="1128"/>
      <c r="Y75" s="993"/>
      <c r="Z75" s="993"/>
      <c r="AA75" s="993"/>
      <c r="AB75" s="993"/>
      <c r="AC75" s="993"/>
      <c r="AD75" s="993"/>
      <c r="AE75" s="993"/>
      <c r="AF75" s="993"/>
      <c r="AG75" s="993"/>
      <c r="AH75" s="993"/>
      <c r="AI75" s="993"/>
      <c r="AJ75" s="993"/>
      <c r="AK75" s="993"/>
      <c r="AL75" s="993"/>
      <c r="AM75" s="993"/>
      <c r="AN75" s="993"/>
    </row>
    <row r="76" customFormat="false" ht="26.8" hidden="false" customHeight="false" outlineLevel="0" collapsed="false">
      <c r="A76" s="933"/>
      <c r="B76" s="933"/>
      <c r="C76" s="1139" t="str">
        <f aca="false">O_resumen_cultivos!Y19</f>
        <v/>
      </c>
      <c r="D76" s="1139"/>
      <c r="E76" s="1140" t="str">
        <f aca="false">O_resumen_cultivos!Z19</f>
        <v/>
      </c>
      <c r="F76" s="1140" t="str">
        <f aca="false">O_resumen_cultivos!AA19</f>
        <v/>
      </c>
      <c r="G76" s="1140"/>
      <c r="H76" s="1140" t="str">
        <f aca="false">O_resumen_cultivos!AB19</f>
        <v/>
      </c>
      <c r="I76" s="1140"/>
      <c r="J76" s="1140" t="str">
        <f aca="false">O_resumen_cultivos!AC19</f>
        <v/>
      </c>
      <c r="K76" s="1140"/>
      <c r="L76" s="1141" t="str">
        <f aca="false">O_resumen_cultivos!AD19</f>
        <v/>
      </c>
      <c r="M76" s="1141"/>
      <c r="N76" s="933"/>
      <c r="O76" s="934" t="s">
        <v>772</v>
      </c>
      <c r="P76" s="1144"/>
      <c r="Q76" s="1146"/>
      <c r="R76" s="1147"/>
      <c r="S76" s="993" t="n">
        <v>0</v>
      </c>
      <c r="T76" s="993"/>
      <c r="U76" s="993"/>
      <c r="V76" s="993"/>
      <c r="W76" s="993"/>
      <c r="X76" s="1128"/>
      <c r="Y76" s="993"/>
      <c r="Z76" s="993"/>
      <c r="AA76" s="993"/>
      <c r="AB76" s="993"/>
      <c r="AC76" s="993"/>
      <c r="AD76" s="993"/>
      <c r="AE76" s="993"/>
      <c r="AF76" s="993"/>
      <c r="AG76" s="993"/>
      <c r="AH76" s="993"/>
      <c r="AI76" s="993"/>
      <c r="AJ76" s="993"/>
      <c r="AK76" s="993"/>
      <c r="AL76" s="993"/>
      <c r="AM76" s="993"/>
      <c r="AN76" s="993"/>
    </row>
    <row r="77" customFormat="false" ht="26.8" hidden="false" customHeight="false" outlineLevel="0" collapsed="false">
      <c r="A77" s="933"/>
      <c r="B77" s="933"/>
      <c r="C77" s="1135" t="str">
        <f aca="false">O_resumen_cultivos!Y20</f>
        <v/>
      </c>
      <c r="D77" s="1135"/>
      <c r="E77" s="1136" t="str">
        <f aca="false">O_resumen_cultivos!Z20</f>
        <v/>
      </c>
      <c r="F77" s="1136" t="str">
        <f aca="false">O_resumen_cultivos!AA20</f>
        <v/>
      </c>
      <c r="G77" s="1136"/>
      <c r="H77" s="1136" t="str">
        <f aca="false">O_resumen_cultivos!AB20</f>
        <v/>
      </c>
      <c r="I77" s="1136"/>
      <c r="J77" s="1136" t="str">
        <f aca="false">O_resumen_cultivos!AC20</f>
        <v/>
      </c>
      <c r="K77" s="1136"/>
      <c r="L77" s="1137" t="str">
        <f aca="false">O_resumen_cultivos!AD20</f>
        <v/>
      </c>
      <c r="M77" s="1137"/>
      <c r="N77" s="933"/>
      <c r="O77" s="934" t="s">
        <v>772</v>
      </c>
      <c r="P77" s="1148"/>
      <c r="Q77" s="1146"/>
      <c r="R77" s="1149"/>
      <c r="S77" s="993" t="n">
        <v>4</v>
      </c>
      <c r="T77" s="993" t="s">
        <v>817</v>
      </c>
      <c r="U77" s="993"/>
      <c r="V77" s="993"/>
      <c r="W77" s="993"/>
      <c r="X77" s="1128"/>
      <c r="Y77" s="993"/>
      <c r="Z77" s="993"/>
      <c r="AA77" s="993"/>
      <c r="AB77" s="993"/>
      <c r="AC77" s="993"/>
      <c r="AD77" s="993"/>
      <c r="AE77" s="993"/>
      <c r="AF77" s="993"/>
      <c r="AG77" s="993"/>
      <c r="AH77" s="993"/>
      <c r="AI77" s="993"/>
      <c r="AJ77" s="993"/>
      <c r="AK77" s="993"/>
      <c r="AL77" s="993"/>
      <c r="AM77" s="993"/>
      <c r="AN77" s="993"/>
    </row>
    <row r="78" customFormat="false" ht="26.8" hidden="false" customHeight="false" outlineLevel="0" collapsed="false">
      <c r="A78" s="933"/>
      <c r="B78" s="933"/>
      <c r="C78" s="1139" t="str">
        <f aca="false">O_resumen_cultivos!Y21</f>
        <v/>
      </c>
      <c r="D78" s="1139"/>
      <c r="E78" s="1140" t="str">
        <f aca="false">O_resumen_cultivos!Z21</f>
        <v/>
      </c>
      <c r="F78" s="1140" t="str">
        <f aca="false">O_resumen_cultivos!AA21</f>
        <v/>
      </c>
      <c r="G78" s="1140"/>
      <c r="H78" s="1140" t="str">
        <f aca="false">O_resumen_cultivos!AB21</f>
        <v/>
      </c>
      <c r="I78" s="1140"/>
      <c r="J78" s="1140" t="str">
        <f aca="false">O_resumen_cultivos!AC21</f>
        <v/>
      </c>
      <c r="K78" s="1140"/>
      <c r="L78" s="1141" t="str">
        <f aca="false">O_resumen_cultivos!AD21</f>
        <v/>
      </c>
      <c r="M78" s="1141"/>
      <c r="N78" s="933"/>
      <c r="O78" s="934" t="s">
        <v>772</v>
      </c>
      <c r="P78" s="993"/>
      <c r="Q78" s="1146"/>
      <c r="R78" s="1149"/>
      <c r="S78" s="993" t="n">
        <v>6</v>
      </c>
      <c r="T78" s="993" t="s">
        <v>818</v>
      </c>
      <c r="U78" s="993"/>
      <c r="V78" s="993"/>
      <c r="W78" s="993"/>
      <c r="X78" s="1128"/>
      <c r="Y78" s="993"/>
      <c r="Z78" s="993"/>
      <c r="AA78" s="993"/>
      <c r="AB78" s="993"/>
      <c r="AC78" s="993"/>
      <c r="AD78" s="993"/>
      <c r="AE78" s="993"/>
      <c r="AF78" s="993"/>
      <c r="AG78" s="993"/>
      <c r="AH78" s="993"/>
      <c r="AI78" s="993"/>
      <c r="AJ78" s="993"/>
      <c r="AK78" s="993"/>
      <c r="AL78" s="993"/>
      <c r="AM78" s="993"/>
      <c r="AN78" s="993"/>
    </row>
    <row r="79" customFormat="false" ht="26.8" hidden="false" customHeight="false" outlineLevel="0" collapsed="false">
      <c r="A79" s="933"/>
      <c r="B79" s="933"/>
      <c r="C79" s="1135" t="str">
        <f aca="false">O_resumen_cultivos!Y22</f>
        <v/>
      </c>
      <c r="D79" s="1135"/>
      <c r="E79" s="1136" t="str">
        <f aca="false">O_resumen_cultivos!Z22</f>
        <v/>
      </c>
      <c r="F79" s="1136" t="str">
        <f aca="false">O_resumen_cultivos!AA22</f>
        <v/>
      </c>
      <c r="G79" s="1136"/>
      <c r="H79" s="1136" t="str">
        <f aca="false">O_resumen_cultivos!AB22</f>
        <v/>
      </c>
      <c r="I79" s="1136"/>
      <c r="J79" s="1136" t="str">
        <f aca="false">O_resumen_cultivos!AC22</f>
        <v/>
      </c>
      <c r="K79" s="1136"/>
      <c r="L79" s="1137" t="str">
        <f aca="false">O_resumen_cultivos!AD22</f>
        <v/>
      </c>
      <c r="M79" s="1137"/>
      <c r="N79" s="933"/>
      <c r="O79" s="934" t="s">
        <v>772</v>
      </c>
      <c r="P79" s="1151"/>
      <c r="Q79" s="1146"/>
      <c r="R79" s="993" t="n">
        <v>19</v>
      </c>
      <c r="S79" s="993" t="s">
        <v>819</v>
      </c>
      <c r="T79" s="993"/>
      <c r="U79" s="993"/>
      <c r="V79" s="993"/>
      <c r="W79" s="993"/>
      <c r="X79" s="1128"/>
      <c r="Y79" s="993"/>
      <c r="Z79" s="993"/>
      <c r="AA79" s="993"/>
      <c r="AB79" s="993"/>
      <c r="AC79" s="993"/>
      <c r="AD79" s="993"/>
      <c r="AE79" s="993"/>
      <c r="AF79" s="993"/>
      <c r="AG79" s="993"/>
      <c r="AH79" s="993"/>
      <c r="AI79" s="993"/>
      <c r="AJ79" s="993"/>
      <c r="AK79" s="993"/>
      <c r="AL79" s="993"/>
      <c r="AM79" s="993"/>
      <c r="AN79" s="993"/>
    </row>
    <row r="80" customFormat="false" ht="26.8" hidden="false" customHeight="false" outlineLevel="0" collapsed="false">
      <c r="A80" s="933"/>
      <c r="B80" s="933"/>
      <c r="C80" s="1139" t="str">
        <f aca="false">O_resumen_cultivos!Y23</f>
        <v/>
      </c>
      <c r="D80" s="1139"/>
      <c r="E80" s="1140" t="str">
        <f aca="false">O_resumen_cultivos!Z23</f>
        <v/>
      </c>
      <c r="F80" s="1140" t="str">
        <f aca="false">O_resumen_cultivos!AA23</f>
        <v/>
      </c>
      <c r="G80" s="1140"/>
      <c r="H80" s="1140" t="str">
        <f aca="false">O_resumen_cultivos!AB23</f>
        <v/>
      </c>
      <c r="I80" s="1140"/>
      <c r="J80" s="1140" t="str">
        <f aca="false">O_resumen_cultivos!AC23</f>
        <v/>
      </c>
      <c r="K80" s="1140"/>
      <c r="L80" s="1141" t="str">
        <f aca="false">O_resumen_cultivos!AD23</f>
        <v/>
      </c>
      <c r="M80" s="1141"/>
      <c r="N80" s="933"/>
      <c r="O80" s="934" t="s">
        <v>772</v>
      </c>
      <c r="P80" s="1292" t="n">
        <v>1</v>
      </c>
      <c r="Q80" s="287" t="n">
        <v>2</v>
      </c>
      <c r="R80" s="286" t="n">
        <v>3</v>
      </c>
      <c r="S80" s="287" t="n">
        <v>4</v>
      </c>
      <c r="T80" s="286" t="n">
        <v>5</v>
      </c>
      <c r="U80" s="993"/>
      <c r="V80" s="993"/>
      <c r="W80" s="993"/>
      <c r="X80" s="1128"/>
      <c r="Y80" s="993"/>
      <c r="Z80" s="993"/>
      <c r="AA80" s="993"/>
      <c r="AB80" s="993"/>
      <c r="AC80" s="993"/>
      <c r="AD80" s="993"/>
      <c r="AE80" s="993"/>
      <c r="AF80" s="993"/>
      <c r="AG80" s="993"/>
      <c r="AH80" s="993"/>
      <c r="AI80" s="993"/>
      <c r="AJ80" s="993"/>
      <c r="AK80" s="993"/>
      <c r="AL80" s="993"/>
      <c r="AM80" s="993"/>
      <c r="AN80" s="993"/>
    </row>
    <row r="81" customFormat="false" ht="26.8" hidden="false" customHeight="false" outlineLevel="0" collapsed="false">
      <c r="A81" s="933"/>
      <c r="B81" s="933"/>
      <c r="C81" s="1135" t="str">
        <f aca="false">O_resumen_cultivos!Y24</f>
        <v/>
      </c>
      <c r="D81" s="1135"/>
      <c r="E81" s="1136" t="str">
        <f aca="false">O_resumen_cultivos!Z24</f>
        <v/>
      </c>
      <c r="F81" s="1136" t="str">
        <f aca="false">O_resumen_cultivos!AA24</f>
        <v/>
      </c>
      <c r="G81" s="1136"/>
      <c r="H81" s="1136" t="str">
        <f aca="false">O_resumen_cultivos!AB24</f>
        <v/>
      </c>
      <c r="I81" s="1136"/>
      <c r="J81" s="1136" t="str">
        <f aca="false">O_resumen_cultivos!AC24</f>
        <v/>
      </c>
      <c r="K81" s="1136"/>
      <c r="L81" s="1137" t="str">
        <f aca="false">O_resumen_cultivos!AD24</f>
        <v/>
      </c>
      <c r="M81" s="1137"/>
      <c r="N81" s="933"/>
      <c r="O81" s="934" t="s">
        <v>772</v>
      </c>
      <c r="P81" s="1156" t="n">
        <v>0</v>
      </c>
      <c r="Q81" s="1156" t="n">
        <v>0</v>
      </c>
      <c r="R81" s="1156" t="n">
        <v>0</v>
      </c>
      <c r="S81" s="1156" t="n">
        <v>0</v>
      </c>
      <c r="T81" s="3"/>
      <c r="U81" s="993"/>
      <c r="V81" s="993"/>
      <c r="W81" s="993"/>
      <c r="X81" s="1128"/>
      <c r="Y81" s="993"/>
      <c r="Z81" s="993"/>
      <c r="AA81" s="993"/>
      <c r="AB81" s="993"/>
      <c r="AC81" s="993"/>
      <c r="AD81" s="993"/>
      <c r="AE81" s="993"/>
      <c r="AF81" s="993"/>
      <c r="AG81" s="993"/>
      <c r="AH81" s="993"/>
      <c r="AI81" s="993"/>
      <c r="AJ81" s="993"/>
      <c r="AK81" s="993"/>
      <c r="AL81" s="993"/>
      <c r="AM81" s="993"/>
      <c r="AN81" s="993"/>
    </row>
    <row r="82" customFormat="false" ht="26.8" hidden="false" customHeight="false" outlineLevel="0" collapsed="false">
      <c r="A82" s="933"/>
      <c r="B82" s="933"/>
      <c r="C82" s="1293" t="str">
        <f aca="false">O_resumen_cultivos!Y25</f>
        <v/>
      </c>
      <c r="D82" s="1293"/>
      <c r="E82" s="1158" t="str">
        <f aca="false">O_resumen_cultivos!Z25</f>
        <v/>
      </c>
      <c r="F82" s="1158" t="str">
        <f aca="false">O_resumen_cultivos!AA25</f>
        <v/>
      </c>
      <c r="G82" s="1158"/>
      <c r="H82" s="1158" t="str">
        <f aca="false">O_resumen_cultivos!AB25</f>
        <v/>
      </c>
      <c r="I82" s="1158"/>
      <c r="J82" s="1158" t="str">
        <f aca="false">O_resumen_cultivos!AC25</f>
        <v/>
      </c>
      <c r="K82" s="1158"/>
      <c r="L82" s="1159" t="str">
        <f aca="false">O_resumen_cultivos!AD25</f>
        <v/>
      </c>
      <c r="M82" s="1159"/>
      <c r="N82" s="933"/>
      <c r="O82" s="934" t="s">
        <v>772</v>
      </c>
      <c r="P82" s="1151"/>
      <c r="Q82" s="993"/>
      <c r="R82" s="993"/>
      <c r="S82" s="993"/>
      <c r="T82" s="993"/>
      <c r="U82" s="993"/>
      <c r="V82" s="993"/>
      <c r="W82" s="993"/>
      <c r="X82" s="1128"/>
      <c r="Y82" s="993"/>
      <c r="Z82" s="993"/>
      <c r="AA82" s="993"/>
      <c r="AB82" s="993"/>
      <c r="AC82" s="993"/>
      <c r="AD82" s="993"/>
      <c r="AE82" s="993"/>
      <c r="AF82" s="993"/>
      <c r="AG82" s="993"/>
      <c r="AH82" s="993"/>
      <c r="AI82" s="993"/>
      <c r="AJ82" s="993"/>
      <c r="AK82" s="993"/>
      <c r="AL82" s="993"/>
      <c r="AM82" s="993"/>
      <c r="AN82" s="993"/>
    </row>
    <row r="83" customFormat="false" ht="26.8" hidden="false" customHeight="false" outlineLevel="0" collapsed="false">
      <c r="A83" s="933"/>
      <c r="B83" s="933"/>
      <c r="C83" s="933"/>
      <c r="D83" s="933"/>
      <c r="E83" s="933"/>
      <c r="F83" s="933"/>
      <c r="G83" s="933"/>
      <c r="H83" s="933"/>
      <c r="I83" s="933"/>
      <c r="J83" s="933"/>
      <c r="K83" s="933"/>
      <c r="L83" s="933"/>
      <c r="M83" s="933"/>
      <c r="N83" s="933"/>
      <c r="O83" s="934"/>
      <c r="P83" s="1160"/>
      <c r="Q83" s="1127"/>
      <c r="R83" s="993"/>
      <c r="S83" s="993"/>
      <c r="T83" s="993"/>
      <c r="U83" s="993"/>
      <c r="V83" s="993"/>
      <c r="W83" s="1128"/>
      <c r="X83" s="993"/>
      <c r="Y83" s="993"/>
      <c r="Z83" s="993"/>
      <c r="AA83" s="993"/>
      <c r="AB83" s="993"/>
      <c r="AC83" s="993"/>
      <c r="AD83" s="993"/>
      <c r="AE83" s="993"/>
      <c r="AF83" s="993"/>
      <c r="AG83" s="993"/>
      <c r="AH83" s="993"/>
      <c r="AI83" s="993"/>
      <c r="AJ83" s="993"/>
      <c r="AK83" s="993"/>
      <c r="AL83" s="993"/>
      <c r="AM83" s="993"/>
      <c r="AN83" s="993"/>
    </row>
    <row r="84" customFormat="false" ht="26.8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176"/>
      <c r="K84" s="176"/>
      <c r="L84" s="3"/>
      <c r="M84" s="3"/>
      <c r="N84" s="3"/>
      <c r="O84" s="1162"/>
      <c r="P84" s="1161"/>
      <c r="Q84" s="182"/>
      <c r="R84" s="3"/>
      <c r="S84" s="3"/>
      <c r="T84" s="3"/>
      <c r="U84" s="3"/>
      <c r="V84" s="3"/>
      <c r="W84" s="935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customFormat="false" ht="28.5" hidden="true" customHeight="tru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176"/>
      <c r="K85" s="176"/>
      <c r="L85" s="3"/>
      <c r="M85" s="3"/>
      <c r="N85" s="3"/>
      <c r="O85" s="1162"/>
      <c r="P85" s="3"/>
      <c r="Q85" s="182"/>
      <c r="R85" s="3"/>
      <c r="S85" s="3"/>
      <c r="T85" s="3"/>
      <c r="U85" s="3"/>
      <c r="V85" s="3"/>
      <c r="W85" s="935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customFormat="false" ht="28.5" hidden="true" customHeight="tru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176"/>
      <c r="K86" s="176"/>
      <c r="L86" s="3"/>
      <c r="M86" s="3"/>
      <c r="N86" s="3"/>
      <c r="O86" s="1162"/>
      <c r="P86" s="3"/>
      <c r="Q86" s="182"/>
      <c r="R86" s="3"/>
      <c r="S86" s="3"/>
      <c r="T86" s="3"/>
      <c r="U86" s="3"/>
      <c r="V86" s="3"/>
      <c r="W86" s="935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customFormat="false" ht="28.5" hidden="true" customHeight="tru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176"/>
      <c r="K87" s="176"/>
      <c r="L87" s="3"/>
      <c r="M87" s="3"/>
      <c r="N87" s="3"/>
      <c r="O87" s="1162"/>
      <c r="P87" s="3"/>
      <c r="Q87" s="182"/>
      <c r="R87" s="3"/>
      <c r="S87" s="3"/>
      <c r="T87" s="3"/>
      <c r="U87" s="3"/>
      <c r="V87" s="3"/>
      <c r="W87" s="935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customFormat="false" ht="28.5" hidden="true" customHeight="true" outlineLevel="0" collapsed="false">
      <c r="A88" s="3"/>
      <c r="B88" s="3"/>
      <c r="C88" s="3" t="s">
        <v>715</v>
      </c>
      <c r="D88" s="3"/>
      <c r="E88" s="3"/>
      <c r="F88" s="3"/>
      <c r="G88" s="3"/>
      <c r="H88" s="3"/>
      <c r="I88" s="3"/>
      <c r="J88" s="176"/>
      <c r="K88" s="176"/>
      <c r="L88" s="3"/>
      <c r="M88" s="3"/>
      <c r="N88" s="3"/>
      <c r="O88" s="1162"/>
      <c r="P88" s="3"/>
      <c r="Q88" s="182"/>
      <c r="R88" s="3"/>
      <c r="S88" s="3"/>
      <c r="T88" s="3"/>
      <c r="U88" s="3"/>
      <c r="V88" s="3"/>
      <c r="W88" s="935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  <row r="89" customFormat="false" ht="28.5" hidden="true" customHeight="true" outlineLevel="0" collapsed="false">
      <c r="A89" s="3"/>
      <c r="B89" s="3"/>
      <c r="C89" s="3" t="s">
        <v>712</v>
      </c>
      <c r="D89" s="3"/>
      <c r="E89" s="3"/>
      <c r="F89" s="3"/>
      <c r="G89" s="3"/>
      <c r="H89" s="3"/>
      <c r="I89" s="3"/>
      <c r="J89" s="1163"/>
      <c r="K89" s="1163"/>
      <c r="L89" s="182"/>
      <c r="M89" s="3"/>
      <c r="N89" s="3"/>
      <c r="O89" s="1162"/>
      <c r="P89" s="3"/>
      <c r="Q89" s="182"/>
      <c r="R89" s="3"/>
      <c r="S89" s="3"/>
      <c r="T89" s="3"/>
      <c r="U89" s="3"/>
      <c r="V89" s="3"/>
      <c r="W89" s="935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customFormat="false" ht="28.5" hidden="true" customHeight="true" outlineLevel="0" collapsed="false">
      <c r="A90" s="3"/>
      <c r="B90" s="3"/>
      <c r="C90" s="3" t="s">
        <v>605</v>
      </c>
      <c r="D90" s="3"/>
      <c r="E90" s="3"/>
      <c r="F90" s="3"/>
      <c r="G90" s="3"/>
      <c r="H90" s="3"/>
      <c r="I90" s="3"/>
      <c r="J90" s="176"/>
      <c r="K90" s="176"/>
      <c r="L90" s="3"/>
      <c r="M90" s="3"/>
      <c r="N90" s="3"/>
      <c r="O90" s="1162"/>
      <c r="P90" s="3"/>
      <c r="Q90" s="182"/>
      <c r="R90" s="3"/>
      <c r="S90" s="3"/>
      <c r="T90" s="3"/>
      <c r="U90" s="3"/>
      <c r="V90" s="3"/>
      <c r="W90" s="935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</row>
    <row r="91" customFormat="false" ht="28.5" hidden="true" customHeight="tru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176"/>
      <c r="K91" s="176"/>
      <c r="L91" s="3"/>
      <c r="M91" s="3"/>
      <c r="N91" s="3"/>
      <c r="O91" s="1162"/>
      <c r="P91" s="3"/>
      <c r="Q91" s="182"/>
      <c r="R91" s="3"/>
      <c r="S91" s="3"/>
      <c r="T91" s="3"/>
      <c r="U91" s="3"/>
      <c r="V91" s="3"/>
      <c r="W91" s="935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customFormat="false" ht="28.5" hidden="true" customHeight="tru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176"/>
      <c r="K92" s="176"/>
      <c r="L92" s="3"/>
      <c r="M92" s="182"/>
      <c r="N92" s="182"/>
      <c r="O92" s="1164"/>
      <c r="P92" s="3"/>
      <c r="Q92" s="182"/>
      <c r="R92" s="3"/>
      <c r="S92" s="3"/>
      <c r="T92" s="3"/>
      <c r="U92" s="3"/>
      <c r="V92" s="3"/>
      <c r="W92" s="935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</row>
    <row r="93" customFormat="false" ht="28.5" hidden="true" customHeight="tru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176"/>
      <c r="K93" s="176"/>
      <c r="L93" s="3"/>
      <c r="M93" s="3"/>
      <c r="N93" s="3"/>
      <c r="O93" s="1162"/>
      <c r="P93" s="182"/>
      <c r="Q93" s="182"/>
      <c r="R93" s="182"/>
      <c r="S93" s="3"/>
      <c r="T93" s="3"/>
      <c r="U93" s="3"/>
      <c r="V93" s="3"/>
      <c r="W93" s="935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</row>
    <row r="94" customFormat="false" ht="28.5" hidden="true" customHeight="tru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176"/>
      <c r="K94" s="176"/>
      <c r="L94" s="3"/>
      <c r="M94" s="3"/>
      <c r="N94" s="3"/>
      <c r="O94" s="1162"/>
      <c r="P94" s="3"/>
      <c r="Q94" s="182"/>
      <c r="R94" s="3"/>
      <c r="S94" s="3"/>
      <c r="T94" s="3"/>
      <c r="U94" s="3"/>
      <c r="V94" s="3"/>
      <c r="W94" s="935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</row>
    <row r="95" customFormat="false" ht="28.5" hidden="true" customHeight="tru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176"/>
      <c r="K95" s="176"/>
      <c r="L95" s="3"/>
      <c r="M95" s="3"/>
      <c r="N95" s="3"/>
      <c r="O95" s="1162"/>
      <c r="P95" s="3"/>
      <c r="Q95" s="182"/>
      <c r="R95" s="3"/>
      <c r="S95" s="3"/>
      <c r="T95" s="3"/>
      <c r="U95" s="3"/>
      <c r="V95" s="3"/>
      <c r="W95" s="935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</row>
    <row r="96" customFormat="false" ht="28.5" hidden="true" customHeight="tru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176"/>
      <c r="K96" s="176"/>
      <c r="L96" s="3"/>
      <c r="M96" s="3"/>
      <c r="N96" s="3"/>
      <c r="O96" s="1162"/>
      <c r="P96" s="3"/>
      <c r="Q96" s="182"/>
      <c r="R96" s="3"/>
      <c r="S96" s="3"/>
      <c r="T96" s="3"/>
      <c r="U96" s="3"/>
      <c r="V96" s="3"/>
      <c r="W96" s="935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</row>
    <row r="97" customFormat="false" ht="28.5" hidden="true" customHeight="tru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176"/>
      <c r="K97" s="176"/>
      <c r="L97" s="3"/>
      <c r="M97" s="3"/>
      <c r="N97" s="3"/>
      <c r="O97" s="1162"/>
      <c r="P97" s="3"/>
      <c r="Q97" s="182"/>
      <c r="R97" s="3"/>
      <c r="S97" s="3"/>
      <c r="T97" s="3"/>
      <c r="U97" s="3"/>
      <c r="V97" s="3"/>
      <c r="W97" s="935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</row>
    <row r="98" customFormat="false" ht="28.5" hidden="true" customHeight="tru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176"/>
      <c r="K98" s="176"/>
      <c r="L98" s="3"/>
      <c r="M98" s="3"/>
      <c r="N98" s="3"/>
      <c r="O98" s="1162"/>
      <c r="P98" s="3"/>
      <c r="Q98" s="182"/>
      <c r="R98" s="3"/>
      <c r="S98" s="3"/>
      <c r="T98" s="3"/>
      <c r="U98" s="3"/>
      <c r="V98" s="3"/>
      <c r="W98" s="935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</row>
    <row r="99" customFormat="false" ht="28.5" hidden="true" customHeight="tru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176"/>
      <c r="K99" s="176"/>
      <c r="L99" s="3"/>
      <c r="M99" s="3"/>
      <c r="N99" s="3"/>
      <c r="O99" s="1162"/>
      <c r="P99" s="3"/>
      <c r="Q99" s="182"/>
      <c r="R99" s="3"/>
      <c r="S99" s="3"/>
      <c r="T99" s="3"/>
      <c r="U99" s="3"/>
      <c r="V99" s="3"/>
      <c r="W99" s="935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</row>
    <row r="100" customFormat="false" ht="28.5" hidden="true" customHeight="true" outlineLevel="0" collapsed="false">
      <c r="A100" s="3"/>
      <c r="B100" s="3"/>
      <c r="C100" s="152" t="s">
        <v>665</v>
      </c>
      <c r="D100" s="3"/>
      <c r="E100" s="3"/>
      <c r="F100" s="1165" t="e">
        <f aca="false">rutnormale73</f>
        <v>#NAME?</v>
      </c>
      <c r="G100" s="1165"/>
      <c r="H100" s="1166"/>
      <c r="I100" s="3"/>
      <c r="J100" s="176"/>
      <c r="K100" s="176"/>
      <c r="L100" s="3"/>
      <c r="M100" s="3"/>
      <c r="N100" s="3"/>
      <c r="O100" s="1162"/>
      <c r="P100" s="3"/>
      <c r="Q100" s="182"/>
      <c r="R100" s="3"/>
      <c r="S100" s="3"/>
      <c r="T100" s="3"/>
      <c r="U100" s="3"/>
      <c r="V100" s="3"/>
      <c r="W100" s="935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</row>
    <row r="101" customFormat="false" ht="28.5" hidden="true" customHeight="true" outlineLevel="0" collapsed="false">
      <c r="A101" s="3"/>
      <c r="B101" s="3"/>
      <c r="C101" s="152" t="s">
        <v>666</v>
      </c>
      <c r="D101" s="3"/>
      <c r="E101" s="3"/>
      <c r="F101" s="1167" t="n">
        <f aca="false">O_CALC_CultivoPrincipal!EA7+O_CALC_CultivoPrincipal!EB7</f>
        <v>0</v>
      </c>
      <c r="G101" s="1167"/>
      <c r="H101" s="1166"/>
      <c r="I101" s="3"/>
      <c r="J101" s="176"/>
      <c r="K101" s="176"/>
      <c r="L101" s="3"/>
      <c r="M101" s="3"/>
      <c r="N101" s="3"/>
      <c r="O101" s="1162"/>
      <c r="P101" s="3"/>
      <c r="Q101" s="182"/>
      <c r="R101" s="3"/>
      <c r="S101" s="3"/>
      <c r="T101" s="3"/>
      <c r="U101" s="3"/>
      <c r="V101" s="3"/>
      <c r="W101" s="935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</row>
    <row r="102" customFormat="false" ht="28.5" hidden="true" customHeight="true" outlineLevel="0" collapsed="false">
      <c r="A102" s="3"/>
      <c r="B102" s="3"/>
      <c r="C102" s="3" t="s">
        <v>667</v>
      </c>
      <c r="D102" s="3"/>
      <c r="E102" s="3"/>
      <c r="F102" s="1166" t="e">
        <f aca="false">_xlfn.single(PETOTAL)</f>
        <v>#REF!</v>
      </c>
      <c r="G102" s="1166"/>
      <c r="H102" s="1166"/>
      <c r="I102" s="3"/>
      <c r="J102" s="176"/>
      <c r="K102" s="176"/>
      <c r="L102" s="3"/>
      <c r="M102" s="3"/>
      <c r="N102" s="3"/>
      <c r="O102" s="1162"/>
      <c r="P102" s="3"/>
      <c r="Q102" s="182"/>
      <c r="R102" s="3" t="s">
        <v>95</v>
      </c>
      <c r="S102" s="3"/>
      <c r="T102" s="3"/>
      <c r="U102" s="3"/>
      <c r="V102" s="3"/>
      <c r="W102" s="935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</row>
    <row r="103" customFormat="false" ht="28.5" hidden="true" customHeight="true" outlineLevel="0" collapsed="false">
      <c r="A103" s="3"/>
      <c r="B103" s="3"/>
      <c r="C103" s="3"/>
      <c r="D103" s="3"/>
      <c r="E103" s="3"/>
      <c r="F103" s="3"/>
      <c r="G103" s="3"/>
      <c r="H103" s="3"/>
      <c r="I103" s="3"/>
      <c r="J103" s="176"/>
      <c r="K103" s="176"/>
      <c r="L103" s="3"/>
      <c r="M103" s="3"/>
      <c r="N103" s="3"/>
      <c r="O103" s="1162"/>
      <c r="P103" s="3"/>
      <c r="Q103" s="182"/>
      <c r="R103" s="3"/>
      <c r="S103" s="3"/>
      <c r="T103" s="3"/>
      <c r="U103" s="3"/>
      <c r="V103" s="3"/>
      <c r="W103" s="935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</row>
    <row r="104" customFormat="false" ht="28.5" hidden="true" customHeight="tru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176"/>
      <c r="K104" s="176"/>
      <c r="L104" s="3"/>
      <c r="M104" s="3"/>
      <c r="N104" s="3"/>
      <c r="O104" s="1162"/>
      <c r="P104" s="3"/>
      <c r="Q104" s="182"/>
      <c r="R104" s="3"/>
      <c r="S104" s="3"/>
      <c r="T104" s="3"/>
      <c r="U104" s="3"/>
      <c r="V104" s="3"/>
      <c r="W104" s="935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</row>
    <row r="105" customFormat="false" ht="28.5" hidden="true" customHeight="true" outlineLevel="0" collapsed="false">
      <c r="A105" s="3"/>
      <c r="B105" s="3"/>
      <c r="C105" s="152"/>
      <c r="D105" s="3"/>
      <c r="E105" s="3"/>
      <c r="F105" s="1166"/>
      <c r="G105" s="1166"/>
      <c r="H105" s="1166"/>
      <c r="I105" s="3"/>
      <c r="J105" s="176"/>
      <c r="K105" s="176"/>
      <c r="L105" s="3"/>
      <c r="M105" s="3"/>
      <c r="N105" s="3"/>
      <c r="O105" s="1162"/>
      <c r="P105" s="3"/>
      <c r="Q105" s="182"/>
      <c r="R105" s="3"/>
      <c r="S105" s="3"/>
      <c r="T105" s="3"/>
      <c r="U105" s="3"/>
      <c r="V105" s="3"/>
      <c r="W105" s="935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</row>
    <row r="106" customFormat="false" ht="28.5" hidden="true" customHeight="true" outlineLevel="0" collapsed="false">
      <c r="A106" s="3"/>
      <c r="B106" s="3"/>
      <c r="C106" s="3"/>
      <c r="D106" s="3"/>
      <c r="E106" s="3"/>
      <c r="F106" s="3"/>
      <c r="G106" s="3"/>
      <c r="H106" s="1166"/>
      <c r="I106" s="3"/>
      <c r="J106" s="176"/>
      <c r="K106" s="176"/>
      <c r="L106" s="3"/>
      <c r="M106" s="3"/>
      <c r="N106" s="3"/>
      <c r="O106" s="1162"/>
      <c r="P106" s="3"/>
      <c r="Q106" s="182"/>
      <c r="R106" s="3"/>
      <c r="S106" s="3"/>
      <c r="T106" s="3"/>
      <c r="U106" s="3"/>
      <c r="V106" s="3"/>
      <c r="W106" s="935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</row>
    <row r="107" customFormat="false" ht="28.5" hidden="true" customHeight="true" outlineLevel="0" collapsed="false">
      <c r="A107" s="3"/>
      <c r="B107" s="3"/>
      <c r="C107" s="792" t="s">
        <v>668</v>
      </c>
      <c r="D107" s="19" t="e">
        <f aca="false">IF(OR(AND(#REF!="no",$M$38&gt;$D$7,$M$38&lt;#REF!),AND(#REF!="si",$M$38&gt;$M$39,$M$38&lt;#REF!)),"Cumple estudio económico EAP con MN normal","NO cumple estudio económico EAP con el MN normal")</f>
        <v>#REF!</v>
      </c>
      <c r="E107" s="19"/>
      <c r="F107" s="19"/>
      <c r="G107" s="3"/>
      <c r="H107" s="1166"/>
      <c r="I107" s="3"/>
      <c r="J107" s="176"/>
      <c r="K107" s="176"/>
      <c r="L107" s="3"/>
      <c r="M107" s="3"/>
      <c r="N107" s="3"/>
      <c r="O107" s="1162"/>
      <c r="P107" s="3"/>
      <c r="Q107" s="182"/>
      <c r="R107" s="3"/>
      <c r="S107" s="3"/>
      <c r="T107" s="3"/>
      <c r="U107" s="3"/>
      <c r="V107" s="3"/>
      <c r="W107" s="935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</row>
    <row r="108" customFormat="false" ht="28.5" hidden="true" customHeight="true" outlineLevel="0" collapsed="false">
      <c r="A108" s="3"/>
      <c r="B108" s="3"/>
      <c r="C108" s="796" t="s">
        <v>670</v>
      </c>
      <c r="D108" s="3" t="e">
        <f aca="false">IF($D$107="Cumple estudio económico EAP con MN normal","Cumple Estudio Económico EAP",IF(AND($D$107="NO cumple estudio económico EAP con el MN normal",#REF!="no",$M$38&lt;$D$7,#REF!&gt;$D$7,#REF!&lt;#REF!),"Cumple estudio económico EAP con MN+25%","NO cumple estudio económico EAP con el MN normal"))</f>
        <v>#REF!</v>
      </c>
      <c r="E108" s="3"/>
      <c r="F108" s="3"/>
      <c r="G108" s="3"/>
      <c r="H108" s="1166"/>
      <c r="I108" s="3"/>
      <c r="J108" s="176"/>
      <c r="K108" s="176"/>
      <c r="L108" s="3"/>
      <c r="M108" s="3"/>
      <c r="N108" s="3"/>
      <c r="O108" s="1162"/>
      <c r="P108" s="3"/>
      <c r="Q108" s="182"/>
      <c r="R108" s="3"/>
      <c r="S108" s="3"/>
      <c r="T108" s="3"/>
      <c r="U108" s="3"/>
      <c r="V108" s="3"/>
      <c r="W108" s="935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</row>
    <row r="109" customFormat="false" ht="28.5" hidden="true" customHeight="true" outlineLevel="0" collapsed="false">
      <c r="A109" s="3"/>
      <c r="B109" s="3"/>
      <c r="C109" s="796" t="s">
        <v>671</v>
      </c>
      <c r="D109" s="3" t="e">
        <f aca="false">IF($D$107="Cumple estudio económico EAP con MN normal","Cumple Estudio Económico EAP",IF(AND($D$107="NO cumple estudio económico EAP con el MN normal",#REF!="si",$M$38&lt;$M$39,#REF!&gt;$M$39,#REF!&lt;#REF!),"Cumple estudio económico EAP con MN+25%","NO cumple estudio económico EAP con el MN normal"))</f>
        <v>#REF!</v>
      </c>
      <c r="E109" s="3"/>
      <c r="F109" s="3"/>
      <c r="G109" s="3"/>
      <c r="H109" s="3"/>
      <c r="I109" s="3"/>
      <c r="J109" s="176"/>
      <c r="K109" s="176"/>
      <c r="L109" s="3"/>
      <c r="M109" s="3"/>
      <c r="N109" s="3"/>
      <c r="O109" s="1162"/>
      <c r="P109" s="3"/>
      <c r="Q109" s="182"/>
      <c r="R109" s="181" t="s">
        <v>59</v>
      </c>
      <c r="S109" s="181" t="s">
        <v>60</v>
      </c>
      <c r="T109" s="181" t="s">
        <v>61</v>
      </c>
      <c r="U109" s="181" t="s">
        <v>62</v>
      </c>
      <c r="V109" s="181" t="s">
        <v>63</v>
      </c>
      <c r="W109" s="935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</row>
    <row r="110" customFormat="false" ht="28.5" hidden="true" customHeight="true" outlineLevel="0" collapsed="false">
      <c r="A110" s="3"/>
      <c r="B110" s="3"/>
      <c r="C110" s="796" t="s">
        <v>672</v>
      </c>
      <c r="D110" s="3" t="e">
        <f aca="false">IF($D$107="Cumple estudio económico EAP con MN normal","Cumple Estudio Económico EAP",IF(AND($D$107="NO cumple estudio económico EAP con el MN normal",#REF!="no",$M$38&gt;$D$7,$M$38&gt;#REF!,$F$28&lt;#REF!),"Cumple estudio económico EAP con MN-25%","NO cumple estudio económico EAP con el MN normal"))</f>
        <v>#REF!</v>
      </c>
      <c r="E110" s="3"/>
      <c r="F110" s="3"/>
      <c r="G110" s="3"/>
      <c r="H110" s="19"/>
      <c r="I110" s="6"/>
      <c r="J110" s="731"/>
      <c r="K110" s="731"/>
      <c r="L110" s="6"/>
      <c r="M110" s="3"/>
      <c r="N110" s="3"/>
      <c r="O110" s="1162"/>
      <c r="P110" s="3"/>
      <c r="Q110" s="182"/>
      <c r="R110" s="181" t="n">
        <v>36546.0192</v>
      </c>
      <c r="S110" s="181" t="n">
        <v>203064.7332</v>
      </c>
      <c r="T110" s="181" t="n">
        <v>19305.12</v>
      </c>
      <c r="U110" s="181" t="n">
        <v>1377296.6852</v>
      </c>
      <c r="V110" s="181" t="n">
        <v>36952.3856</v>
      </c>
      <c r="W110" s="935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customFormat="false" ht="28.5" hidden="true" customHeight="true" outlineLevel="0" collapsed="false">
      <c r="A111" s="3"/>
      <c r="B111" s="3"/>
      <c r="C111" s="796" t="s">
        <v>674</v>
      </c>
      <c r="D111" s="3" t="e">
        <f aca="false">IF($D$107="Cumple estudio económico EAP","Cumple Estudio Económico EAP con MN normal",IF(AND($D$107="NO cumple estudio económico EAP con el MN normal",#REF!="si",$M$38&gt;$M$39,$M$38&gt;#REF!,$F$28&lt;#REF!),"Cumple estudio económico EAP con MN-25%","NO cumple estudio económico EAP con el MN normal"))</f>
        <v>#REF!</v>
      </c>
      <c r="E111" s="3"/>
      <c r="F111" s="3"/>
      <c r="G111" s="3"/>
      <c r="H111" s="3"/>
      <c r="I111" s="1168"/>
      <c r="J111" s="1169"/>
      <c r="K111" s="1169"/>
      <c r="L111" s="805"/>
      <c r="M111" s="3"/>
      <c r="N111" s="3"/>
      <c r="O111" s="1162"/>
      <c r="P111" s="3"/>
      <c r="Q111" s="182"/>
      <c r="R111" s="3"/>
      <c r="S111" s="3"/>
      <c r="T111" s="3"/>
      <c r="U111" s="3"/>
      <c r="V111" s="3"/>
      <c r="W111" s="935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</row>
    <row r="112" customFormat="false" ht="28.5" hidden="true" customHeight="true" outlineLevel="0" collapsed="false">
      <c r="A112" s="3"/>
      <c r="B112" s="3"/>
      <c r="C112" s="802"/>
      <c r="D112" s="3"/>
      <c r="E112" s="3"/>
      <c r="F112" s="3"/>
      <c r="G112" s="3"/>
      <c r="H112" s="3"/>
      <c r="I112" s="3"/>
      <c r="J112" s="176"/>
      <c r="K112" s="176"/>
      <c r="L112" s="3"/>
      <c r="M112" s="3"/>
      <c r="N112" s="3"/>
      <c r="O112" s="1162"/>
      <c r="P112" s="3"/>
      <c r="Q112" s="182"/>
      <c r="R112" s="3"/>
      <c r="S112" s="3"/>
      <c r="T112" s="3"/>
      <c r="U112" s="3"/>
      <c r="V112" s="3"/>
      <c r="W112" s="935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</row>
    <row r="113" customFormat="false" ht="28.5" hidden="true" customHeight="true" outlineLevel="0" collapsed="false">
      <c r="A113" s="3"/>
      <c r="B113" s="3"/>
      <c r="C113" s="803"/>
      <c r="D113" s="804" t="e">
        <f aca="false">IF(OR($D$107="Cumple estudio económico EAP con MN normal ",$D$108="Cumple estudio económico EAP con MN+25%",$D$109="Cumple estudio económico EAP con MN+25%",$D$110="Cumple estudio económico EAP con MN-25%",$D$111="Cumple estudio económico EAP con MN-25%"),"Cumple estudio económico EAP","NO cumple estudio económico EAP")</f>
        <v>#REF!</v>
      </c>
      <c r="E113" s="804"/>
      <c r="F113" s="423"/>
      <c r="G113" s="3"/>
      <c r="H113" s="3"/>
      <c r="I113" s="6"/>
      <c r="J113" s="731"/>
      <c r="K113" s="731"/>
      <c r="L113" s="6"/>
      <c r="M113" s="6"/>
      <c r="N113" s="6"/>
      <c r="O113" s="1162"/>
      <c r="P113" s="3"/>
      <c r="Q113" s="182"/>
      <c r="R113" s="3"/>
      <c r="S113" s="3"/>
      <c r="T113" s="3"/>
      <c r="U113" s="3"/>
      <c r="V113" s="3"/>
      <c r="W113" s="935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</row>
    <row r="114" customFormat="false" ht="28.5" hidden="true" customHeight="true" outlineLevel="0" collapsed="false">
      <c r="A114" s="3"/>
      <c r="B114" s="3"/>
      <c r="C114" s="3"/>
      <c r="D114" s="3"/>
      <c r="E114" s="3"/>
      <c r="F114" s="3"/>
      <c r="G114" s="3"/>
      <c r="H114" s="3"/>
      <c r="I114" s="793"/>
      <c r="J114" s="1170"/>
      <c r="K114" s="1170"/>
      <c r="L114" s="793"/>
      <c r="M114" s="805"/>
      <c r="N114" s="805"/>
      <c r="O114" s="1162"/>
      <c r="P114" s="3"/>
      <c r="Q114" s="182"/>
      <c r="R114" s="3"/>
      <c r="S114" s="3"/>
      <c r="T114" s="3"/>
      <c r="U114" s="3"/>
      <c r="V114" s="3"/>
      <c r="W114" s="935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</row>
    <row r="115" customFormat="false" ht="28.5" hidden="true" customHeight="true" outlineLevel="0" collapsed="false">
      <c r="A115" s="3"/>
      <c r="B115" s="3"/>
      <c r="C115" s="3"/>
      <c r="D115" s="3"/>
      <c r="E115" s="3"/>
      <c r="F115" s="3"/>
      <c r="G115" s="3"/>
      <c r="H115" s="3"/>
      <c r="I115" s="6"/>
      <c r="J115" s="731"/>
      <c r="K115" s="731"/>
      <c r="L115" s="6"/>
      <c r="M115" s="3"/>
      <c r="N115" s="3"/>
      <c r="O115" s="1162"/>
      <c r="P115" s="3"/>
      <c r="Q115" s="182"/>
      <c r="R115" s="3"/>
      <c r="S115" s="3"/>
      <c r="T115" s="3"/>
      <c r="U115" s="3"/>
      <c r="V115" s="3"/>
      <c r="W115" s="935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</row>
    <row r="116" customFormat="false" ht="28.5" hidden="true" customHeight="true" outlineLevel="0" collapsed="false">
      <c r="A116" s="3"/>
      <c r="B116" s="3"/>
      <c r="C116" s="1171" t="s">
        <v>669</v>
      </c>
      <c r="D116" s="3"/>
      <c r="E116" s="3"/>
      <c r="F116" s="3"/>
      <c r="G116" s="3"/>
      <c r="H116" s="423"/>
      <c r="I116" s="6"/>
      <c r="J116" s="731"/>
      <c r="K116" s="731"/>
      <c r="L116" s="6"/>
      <c r="M116" s="6"/>
      <c r="N116" s="6"/>
      <c r="O116" s="1162"/>
      <c r="P116" s="3"/>
      <c r="Q116" s="182"/>
      <c r="R116" s="3"/>
      <c r="S116" s="3"/>
      <c r="T116" s="3"/>
      <c r="U116" s="3"/>
      <c r="V116" s="3"/>
      <c r="W116" s="935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</row>
    <row r="117" customFormat="false" ht="28.5" hidden="true" customHeight="true" outlineLevel="0" collapsed="false">
      <c r="A117" s="3"/>
      <c r="B117" s="3"/>
      <c r="C117" s="1172" t="s">
        <v>15</v>
      </c>
      <c r="D117" s="3"/>
      <c r="E117" s="3"/>
      <c r="F117" s="3"/>
      <c r="G117" s="3"/>
      <c r="H117" s="3"/>
      <c r="I117" s="1294"/>
      <c r="J117" s="1294"/>
      <c r="K117" s="1294"/>
      <c r="L117" s="1294"/>
      <c r="M117" s="793"/>
      <c r="N117" s="793"/>
      <c r="O117" s="1162"/>
      <c r="P117" s="3"/>
      <c r="Q117" s="182"/>
      <c r="R117" s="3"/>
      <c r="S117" s="3"/>
      <c r="T117" s="3"/>
      <c r="U117" s="3"/>
      <c r="V117" s="3"/>
      <c r="W117" s="935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</row>
    <row r="118" customFormat="false" ht="28.5" hidden="true" customHeight="true" outlineLevel="0" collapsed="false">
      <c r="A118" s="3"/>
      <c r="B118" s="3"/>
      <c r="C118" s="1172" t="s">
        <v>19</v>
      </c>
      <c r="D118" s="3"/>
      <c r="E118" s="3"/>
      <c r="F118" s="3"/>
      <c r="G118" s="3"/>
      <c r="H118" s="3"/>
      <c r="I118" s="1174"/>
      <c r="J118" s="1174"/>
      <c r="K118" s="1174"/>
      <c r="L118" s="1174"/>
      <c r="M118" s="6"/>
      <c r="N118" s="6"/>
      <c r="O118" s="1162"/>
      <c r="P118" s="3"/>
      <c r="Q118" s="182"/>
      <c r="R118" s="3"/>
      <c r="S118" s="3"/>
      <c r="T118" s="3"/>
      <c r="U118" s="3"/>
      <c r="V118" s="3"/>
      <c r="W118" s="935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</row>
    <row r="119" customFormat="false" ht="28.5" hidden="true" customHeight="true" outlineLevel="0" collapsed="false">
      <c r="A119" s="3"/>
      <c r="B119" s="3"/>
      <c r="C119" s="3"/>
      <c r="D119" s="3"/>
      <c r="E119" s="3"/>
      <c r="F119" s="3"/>
      <c r="G119" s="3"/>
      <c r="H119" s="3"/>
      <c r="I119" s="1175"/>
      <c r="J119" s="1175"/>
      <c r="K119" s="1175"/>
      <c r="L119" s="1175"/>
      <c r="M119" s="6"/>
      <c r="N119" s="6"/>
      <c r="O119" s="1162"/>
      <c r="P119" s="3"/>
      <c r="Q119" s="182"/>
      <c r="R119" s="3"/>
      <c r="S119" s="3"/>
      <c r="T119" s="3"/>
      <c r="U119" s="3"/>
      <c r="V119" s="3"/>
      <c r="W119" s="935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</row>
    <row r="120" customFormat="false" ht="28.5" hidden="true" customHeight="true" outlineLevel="0" collapsed="false">
      <c r="A120" s="3"/>
      <c r="B120" s="3"/>
      <c r="C120" s="3"/>
      <c r="D120" s="3"/>
      <c r="E120" s="3"/>
      <c r="F120" s="3"/>
      <c r="G120" s="3"/>
      <c r="H120" s="3"/>
      <c r="I120" s="1175"/>
      <c r="J120" s="1175"/>
      <c r="K120" s="1175"/>
      <c r="L120" s="1175"/>
      <c r="M120" s="805"/>
      <c r="N120" s="805"/>
      <c r="O120" s="1162"/>
      <c r="P120" s="3"/>
      <c r="Q120" s="182"/>
      <c r="R120" s="3"/>
      <c r="S120" s="3"/>
      <c r="T120" s="3"/>
      <c r="U120" s="3"/>
      <c r="V120" s="3"/>
      <c r="W120" s="935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</row>
    <row r="121" customFormat="false" ht="28.5" hidden="true" customHeight="true" outlineLevel="0" collapsed="false">
      <c r="A121" s="3"/>
      <c r="B121" s="3"/>
      <c r="C121" s="66" t="s">
        <v>13</v>
      </c>
      <c r="D121" s="51"/>
      <c r="E121" s="51"/>
      <c r="F121" s="3"/>
      <c r="G121" s="3"/>
      <c r="H121" s="3"/>
      <c r="I121" s="1175"/>
      <c r="J121" s="1175"/>
      <c r="K121" s="1175"/>
      <c r="L121" s="1175"/>
      <c r="M121" s="1174"/>
      <c r="N121" s="1174"/>
      <c r="O121" s="1177"/>
      <c r="P121" s="3"/>
      <c r="Q121" s="182"/>
      <c r="R121" s="3"/>
      <c r="S121" s="3"/>
      <c r="T121" s="3"/>
      <c r="U121" s="181"/>
      <c r="V121" s="3"/>
      <c r="W121" s="935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</row>
    <row r="122" customFormat="false" ht="27.75" hidden="true" customHeight="true" outlineLevel="0" collapsed="false">
      <c r="A122" s="3"/>
      <c r="B122" s="3"/>
      <c r="C122" s="1178" t="n">
        <v>2004</v>
      </c>
      <c r="D122" s="92" t="n">
        <v>20583</v>
      </c>
      <c r="E122" s="92"/>
      <c r="F122" s="3"/>
      <c r="G122" s="3"/>
      <c r="H122" s="3"/>
      <c r="I122" s="1175"/>
      <c r="J122" s="1175"/>
      <c r="K122" s="1175"/>
      <c r="L122" s="1175"/>
      <c r="M122" s="1175"/>
      <c r="N122" s="1175"/>
      <c r="O122" s="1177"/>
      <c r="P122" s="3"/>
      <c r="Q122" s="182"/>
      <c r="R122" s="3"/>
      <c r="S122" s="3"/>
      <c r="T122" s="3"/>
      <c r="U122" s="181"/>
      <c r="V122" s="3"/>
      <c r="W122" s="935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</row>
    <row r="123" customFormat="false" ht="27.75" hidden="true" customHeight="true" outlineLevel="0" collapsed="false">
      <c r="A123" s="3"/>
      <c r="B123" s="3"/>
      <c r="C123" s="1178" t="n">
        <v>2005</v>
      </c>
      <c r="D123" s="92" t="n">
        <v>21229</v>
      </c>
      <c r="E123" s="92" t="n">
        <f aca="false">D123-D122</f>
        <v>646</v>
      </c>
      <c r="F123" s="3"/>
      <c r="G123" s="3"/>
      <c r="H123" s="3"/>
      <c r="I123" s="1175"/>
      <c r="J123" s="1175"/>
      <c r="K123" s="1175"/>
      <c r="L123" s="1175"/>
      <c r="M123" s="1175"/>
      <c r="N123" s="1175"/>
      <c r="O123" s="1177"/>
      <c r="P123" s="3"/>
      <c r="Q123" s="182"/>
      <c r="R123" s="1179" t="s">
        <v>675</v>
      </c>
      <c r="S123" s="1179"/>
      <c r="T123" s="1179"/>
      <c r="U123" s="1179"/>
      <c r="V123" s="1179"/>
      <c r="W123" s="1179"/>
      <c r="X123" s="1179"/>
      <c r="Y123" s="1179"/>
      <c r="Z123" s="1179"/>
      <c r="AA123" s="1179"/>
      <c r="AB123" s="1179"/>
      <c r="AC123" s="1179"/>
      <c r="AD123" s="1179"/>
      <c r="AE123" s="1179"/>
      <c r="AF123" s="1179"/>
      <c r="AG123" s="1179"/>
      <c r="AH123" s="1179"/>
      <c r="AI123" s="1179"/>
      <c r="AJ123" s="1179"/>
      <c r="AK123" s="1179"/>
      <c r="AL123" s="1179"/>
      <c r="AM123" s="1179"/>
      <c r="AN123" s="1179"/>
    </row>
    <row r="124" customFormat="false" ht="27.75" hidden="true" customHeight="true" outlineLevel="0" collapsed="false">
      <c r="A124" s="3"/>
      <c r="B124" s="3"/>
      <c r="C124" s="1178" t="n">
        <v>2006</v>
      </c>
      <c r="D124" s="92" t="n">
        <v>22022</v>
      </c>
      <c r="E124" s="92" t="n">
        <f aca="false">D124-D123</f>
        <v>793</v>
      </c>
      <c r="F124" s="3"/>
      <c r="G124" s="3"/>
      <c r="H124" s="3"/>
      <c r="I124" s="3"/>
      <c r="J124" s="176"/>
      <c r="K124" s="176"/>
      <c r="L124" s="3"/>
      <c r="M124" s="1175"/>
      <c r="N124" s="1175"/>
      <c r="O124" s="1177"/>
      <c r="P124" s="3"/>
      <c r="Q124" s="182"/>
      <c r="R124" s="60"/>
      <c r="S124" s="51"/>
      <c r="T124" s="11"/>
      <c r="U124" s="11"/>
      <c r="V124" s="226"/>
      <c r="W124" s="1180"/>
      <c r="X124" s="45"/>
      <c r="Y124" s="45"/>
      <c r="Z124" s="51"/>
      <c r="AA124" s="3"/>
      <c r="AB124" s="1181" t="s">
        <v>676</v>
      </c>
      <c r="AC124" s="51"/>
      <c r="AD124" s="718"/>
      <c r="AE124" s="51"/>
      <c r="AF124" s="718"/>
      <c r="AG124" s="51"/>
      <c r="AH124" s="51"/>
      <c r="AI124" s="51"/>
      <c r="AJ124" s="45"/>
      <c r="AK124" s="51"/>
      <c r="AL124" s="52"/>
      <c r="AM124" s="51"/>
      <c r="AN124" s="51"/>
    </row>
    <row r="125" customFormat="false" ht="27.75" hidden="true" customHeight="true" outlineLevel="0" collapsed="false">
      <c r="A125" s="3"/>
      <c r="B125" s="3"/>
      <c r="C125" s="1178" t="n">
        <v>2007</v>
      </c>
      <c r="D125" s="92" t="n">
        <v>22732</v>
      </c>
      <c r="E125" s="92" t="n">
        <f aca="false">D125-D124</f>
        <v>710</v>
      </c>
      <c r="F125" s="3"/>
      <c r="G125" s="3"/>
      <c r="H125" s="3"/>
      <c r="I125" s="3"/>
      <c r="J125" s="176"/>
      <c r="K125" s="176"/>
      <c r="L125" s="3"/>
      <c r="M125" s="1175"/>
      <c r="N125" s="1175"/>
      <c r="O125" s="1177"/>
      <c r="P125" s="3"/>
      <c r="Q125" s="182"/>
      <c r="R125" s="811"/>
      <c r="S125" s="1182"/>
      <c r="T125" s="811"/>
      <c r="U125" s="811"/>
      <c r="V125" s="1183"/>
      <c r="W125" s="1184"/>
      <c r="X125" s="1183"/>
      <c r="Y125" s="815"/>
      <c r="Z125" s="816"/>
      <c r="AA125" s="816"/>
      <c r="AB125" s="816"/>
      <c r="AC125" s="811"/>
      <c r="AD125" s="1185"/>
      <c r="AE125" s="811"/>
      <c r="AF125" s="1185"/>
      <c r="AG125" s="811"/>
      <c r="AH125" s="811"/>
      <c r="AI125" s="811"/>
      <c r="AJ125" s="815"/>
      <c r="AK125" s="811"/>
      <c r="AL125" s="865"/>
      <c r="AM125" s="811"/>
      <c r="AN125" s="822"/>
    </row>
    <row r="126" customFormat="false" ht="15.75" hidden="true" customHeight="true" outlineLevel="0" collapsed="false">
      <c r="A126" s="3"/>
      <c r="B126" s="3"/>
      <c r="C126" s="1178" t="n">
        <v>2009</v>
      </c>
      <c r="D126" s="92" t="n">
        <v>24906</v>
      </c>
      <c r="E126" s="92" t="n">
        <f aca="false">D126-D125</f>
        <v>2174</v>
      </c>
      <c r="F126" s="3"/>
      <c r="G126" s="3"/>
      <c r="H126" s="3"/>
      <c r="I126" s="1175"/>
      <c r="J126" s="1175"/>
      <c r="K126" s="1175"/>
      <c r="L126" s="1175"/>
      <c r="M126" s="1175"/>
      <c r="N126" s="1175"/>
      <c r="O126" s="1177"/>
      <c r="P126" s="3"/>
      <c r="Q126" s="182"/>
      <c r="R126" s="1186" t="s">
        <v>677</v>
      </c>
      <c r="S126" s="1187" t="n">
        <v>15</v>
      </c>
      <c r="T126" s="928" t="s">
        <v>820</v>
      </c>
      <c r="U126" s="928"/>
      <c r="V126" s="928"/>
      <c r="W126" s="928"/>
      <c r="X126" s="928"/>
      <c r="Y126" s="928"/>
      <c r="Z126" s="869" t="n">
        <v>151</v>
      </c>
      <c r="AA126" s="1188" t="s">
        <v>821</v>
      </c>
      <c r="AB126" s="1188" t="s">
        <v>888</v>
      </c>
      <c r="AC126" s="520"/>
      <c r="AD126" s="1189"/>
      <c r="AE126" s="520"/>
      <c r="AF126" s="1189"/>
      <c r="AG126" s="520"/>
      <c r="AH126" s="520"/>
      <c r="AI126" s="520"/>
      <c r="AJ126" s="1190"/>
      <c r="AK126" s="520"/>
      <c r="AL126" s="876"/>
      <c r="AM126" s="520"/>
      <c r="AN126" s="869" t="n">
        <v>151</v>
      </c>
    </row>
    <row r="127" customFormat="false" ht="27.75" hidden="true" customHeight="true" outlineLevel="0" collapsed="false">
      <c r="A127" s="3"/>
      <c r="B127" s="3"/>
      <c r="C127" s="1178" t="n">
        <v>2010</v>
      </c>
      <c r="D127" s="92" t="n">
        <v>26305</v>
      </c>
      <c r="E127" s="92" t="n">
        <f aca="false">D127-D126</f>
        <v>1399</v>
      </c>
      <c r="F127" s="3"/>
      <c r="G127" s="3"/>
      <c r="H127" s="3"/>
      <c r="I127" s="1175"/>
      <c r="J127" s="1175"/>
      <c r="K127" s="1175"/>
      <c r="L127" s="1175"/>
      <c r="M127" s="3"/>
      <c r="N127" s="3"/>
      <c r="O127" s="1162"/>
      <c r="P127" s="3"/>
      <c r="Q127" s="182"/>
      <c r="R127" s="1186"/>
      <c r="S127" s="1187"/>
      <c r="T127" s="928"/>
      <c r="U127" s="928"/>
      <c r="V127" s="928"/>
      <c r="W127" s="928"/>
      <c r="X127" s="928"/>
      <c r="Y127" s="928"/>
      <c r="Z127" s="869" t="n">
        <v>152</v>
      </c>
      <c r="AA127" s="874" t="s">
        <v>822</v>
      </c>
      <c r="AB127" s="1188" t="s">
        <v>889</v>
      </c>
      <c r="AC127" s="811"/>
      <c r="AD127" s="1185"/>
      <c r="AE127" s="811"/>
      <c r="AF127" s="1185"/>
      <c r="AG127" s="811"/>
      <c r="AH127" s="811"/>
      <c r="AI127" s="811"/>
      <c r="AJ127" s="815"/>
      <c r="AK127" s="811"/>
      <c r="AL127" s="865"/>
      <c r="AM127" s="811"/>
      <c r="AN127" s="869" t="n">
        <v>152</v>
      </c>
    </row>
    <row r="128" customFormat="false" ht="28.5" hidden="true" customHeight="true" outlineLevel="0" collapsed="false">
      <c r="A128" s="3"/>
      <c r="B128" s="3"/>
      <c r="C128" s="1178" t="n">
        <v>2011</v>
      </c>
      <c r="D128" s="92" t="n">
        <v>27503</v>
      </c>
      <c r="E128" s="92" t="n">
        <f aca="false">D128-D127</f>
        <v>1198</v>
      </c>
      <c r="F128" s="3"/>
      <c r="G128" s="3"/>
      <c r="H128" s="3"/>
      <c r="I128" s="1175"/>
      <c r="J128" s="1175"/>
      <c r="K128" s="1175"/>
      <c r="L128" s="1175"/>
      <c r="M128" s="3"/>
      <c r="N128" s="3"/>
      <c r="O128" s="1162"/>
      <c r="P128" s="3"/>
      <c r="Q128" s="182"/>
      <c r="R128" s="1186"/>
      <c r="S128" s="1187"/>
      <c r="T128" s="928"/>
      <c r="U128" s="928"/>
      <c r="V128" s="928"/>
      <c r="W128" s="928"/>
      <c r="X128" s="928"/>
      <c r="Y128" s="928"/>
      <c r="Z128" s="884" t="n">
        <v>153</v>
      </c>
      <c r="AA128" s="1191" t="s">
        <v>823</v>
      </c>
      <c r="AB128" s="1188" t="s">
        <v>890</v>
      </c>
      <c r="AC128" s="508"/>
      <c r="AD128" s="1192"/>
      <c r="AE128" s="508"/>
      <c r="AF128" s="1192"/>
      <c r="AG128" s="508"/>
      <c r="AH128" s="508"/>
      <c r="AI128" s="508"/>
      <c r="AJ128" s="148"/>
      <c r="AK128" s="508"/>
      <c r="AL128" s="1193"/>
      <c r="AM128" s="508"/>
      <c r="AN128" s="884" t="n">
        <v>153</v>
      </c>
    </row>
    <row r="129" customFormat="false" ht="12.75" hidden="true" customHeight="true" outlineLevel="0" collapsed="false">
      <c r="A129" s="3"/>
      <c r="B129" s="3"/>
      <c r="C129" s="1178" t="n">
        <v>2012</v>
      </c>
      <c r="D129" s="92" t="n">
        <v>27907</v>
      </c>
      <c r="E129" s="92" t="n">
        <f aca="false">D129-D128</f>
        <v>404</v>
      </c>
      <c r="F129" s="3"/>
      <c r="G129" s="3"/>
      <c r="H129" s="3"/>
      <c r="I129" s="3"/>
      <c r="J129" s="58"/>
      <c r="K129" s="58"/>
      <c r="L129" s="58"/>
      <c r="M129" s="1175"/>
      <c r="N129" s="1175"/>
      <c r="O129" s="1177"/>
      <c r="P129" s="3"/>
      <c r="Q129" s="182"/>
      <c r="R129" s="1186"/>
      <c r="S129" s="1187" t="n">
        <v>16</v>
      </c>
      <c r="T129" s="928" t="s">
        <v>682</v>
      </c>
      <c r="U129" s="928"/>
      <c r="V129" s="928"/>
      <c r="W129" s="928"/>
      <c r="X129" s="928"/>
      <c r="Y129" s="928"/>
      <c r="Z129" s="869" t="n">
        <v>161</v>
      </c>
      <c r="AA129" s="874" t="s">
        <v>824</v>
      </c>
      <c r="AB129" s="1188" t="s">
        <v>891</v>
      </c>
      <c r="AC129" s="811"/>
      <c r="AD129" s="1185"/>
      <c r="AE129" s="811"/>
      <c r="AF129" s="1185"/>
      <c r="AG129" s="811"/>
      <c r="AH129" s="811"/>
      <c r="AI129" s="811"/>
      <c r="AJ129" s="815"/>
      <c r="AK129" s="811"/>
      <c r="AL129" s="865"/>
      <c r="AM129" s="811"/>
      <c r="AN129" s="869" t="n">
        <v>161</v>
      </c>
    </row>
    <row r="130" customFormat="false" ht="27.75" hidden="true" customHeight="true" outlineLevel="0" collapsed="false">
      <c r="A130" s="3"/>
      <c r="B130" s="3"/>
      <c r="C130" s="1178" t="n">
        <v>2013</v>
      </c>
      <c r="D130" s="92" t="n">
        <v>28278</v>
      </c>
      <c r="E130" s="92" t="n">
        <f aca="false">D130-D129</f>
        <v>371</v>
      </c>
      <c r="F130" s="3"/>
      <c r="G130" s="3"/>
      <c r="H130" s="3"/>
      <c r="I130" s="3"/>
      <c r="J130" s="1194" t="s">
        <v>669</v>
      </c>
      <c r="K130" s="153"/>
      <c r="L130" s="51"/>
      <c r="M130" s="1175"/>
      <c r="N130" s="1175"/>
      <c r="O130" s="1177"/>
      <c r="P130" s="3"/>
      <c r="Q130" s="182"/>
      <c r="R130" s="1186"/>
      <c r="S130" s="1187"/>
      <c r="T130" s="928"/>
      <c r="U130" s="928"/>
      <c r="V130" s="928"/>
      <c r="W130" s="928"/>
      <c r="X130" s="928"/>
      <c r="Y130" s="928"/>
      <c r="Z130" s="869" t="n">
        <v>162</v>
      </c>
      <c r="AA130" s="874" t="s">
        <v>825</v>
      </c>
      <c r="AB130" s="1188" t="s">
        <v>892</v>
      </c>
      <c r="AC130" s="811"/>
      <c r="AD130" s="1185"/>
      <c r="AE130" s="811"/>
      <c r="AF130" s="1185"/>
      <c r="AG130" s="811"/>
      <c r="AH130" s="811"/>
      <c r="AI130" s="811"/>
      <c r="AJ130" s="815"/>
      <c r="AK130" s="811"/>
      <c r="AL130" s="865"/>
      <c r="AM130" s="811"/>
      <c r="AN130" s="869" t="n">
        <v>162</v>
      </c>
    </row>
    <row r="131" customFormat="false" ht="27.75" hidden="true" customHeight="true" outlineLevel="0" collapsed="false">
      <c r="A131" s="3"/>
      <c r="B131" s="3"/>
      <c r="C131" s="1178" t="n">
        <v>2014</v>
      </c>
      <c r="D131" s="92" t="n">
        <v>28165</v>
      </c>
      <c r="E131" s="92" t="n">
        <f aca="false">D131-D130</f>
        <v>-113</v>
      </c>
      <c r="F131" s="3"/>
      <c r="G131" s="3"/>
      <c r="H131" s="3"/>
      <c r="I131" s="3"/>
      <c r="J131" s="1195" t="s">
        <v>15</v>
      </c>
      <c r="K131" s="1196"/>
      <c r="L131" s="1196"/>
      <c r="M131" s="1175"/>
      <c r="N131" s="1175"/>
      <c r="O131" s="1177"/>
      <c r="P131" s="3"/>
      <c r="Q131" s="182"/>
      <c r="R131" s="1186"/>
      <c r="S131" s="1187"/>
      <c r="T131" s="928"/>
      <c r="U131" s="928"/>
      <c r="V131" s="928"/>
      <c r="W131" s="928"/>
      <c r="X131" s="928"/>
      <c r="Y131" s="928"/>
      <c r="Z131" s="869" t="n">
        <v>163</v>
      </c>
      <c r="AA131" s="874" t="s">
        <v>826</v>
      </c>
      <c r="AB131" s="1188" t="s">
        <v>893</v>
      </c>
      <c r="AC131" s="811"/>
      <c r="AD131" s="1185"/>
      <c r="AE131" s="811"/>
      <c r="AF131" s="1185"/>
      <c r="AG131" s="811"/>
      <c r="AH131" s="811"/>
      <c r="AI131" s="811"/>
      <c r="AJ131" s="815"/>
      <c r="AK131" s="811"/>
      <c r="AL131" s="865"/>
      <c r="AM131" s="811"/>
      <c r="AN131" s="869" t="n">
        <v>163</v>
      </c>
    </row>
    <row r="132" customFormat="false" ht="27.75" hidden="true" customHeight="true" outlineLevel="0" collapsed="false">
      <c r="A132" s="3"/>
      <c r="B132" s="3"/>
      <c r="C132" s="1178" t="n">
        <v>2015</v>
      </c>
      <c r="D132" s="92" t="n">
        <v>28051.2</v>
      </c>
      <c r="E132" s="92" t="n">
        <f aca="false">D132-D131</f>
        <v>-113.799999999999</v>
      </c>
      <c r="F132" s="3"/>
      <c r="G132" s="3"/>
      <c r="H132" s="3"/>
      <c r="I132" s="3"/>
      <c r="J132" s="1197" t="s">
        <v>19</v>
      </c>
      <c r="K132" s="176"/>
      <c r="L132" s="3"/>
      <c r="M132" s="58"/>
      <c r="N132" s="58"/>
      <c r="O132" s="1198"/>
      <c r="P132" s="3"/>
      <c r="Q132" s="182"/>
      <c r="R132" s="1186"/>
      <c r="S132" s="1187"/>
      <c r="T132" s="928"/>
      <c r="U132" s="928"/>
      <c r="V132" s="928"/>
      <c r="W132" s="928"/>
      <c r="X132" s="928"/>
      <c r="Y132" s="928"/>
      <c r="Z132" s="869" t="n">
        <v>164</v>
      </c>
      <c r="AA132" s="874" t="s">
        <v>686</v>
      </c>
      <c r="AB132" s="1188" t="s">
        <v>894</v>
      </c>
      <c r="AC132" s="811"/>
      <c r="AD132" s="1185"/>
      <c r="AE132" s="811"/>
      <c r="AF132" s="1185"/>
      <c r="AG132" s="811"/>
      <c r="AH132" s="811"/>
      <c r="AI132" s="811"/>
      <c r="AJ132" s="815"/>
      <c r="AK132" s="811"/>
      <c r="AL132" s="865"/>
      <c r="AM132" s="811"/>
      <c r="AN132" s="869" t="n">
        <v>164</v>
      </c>
    </row>
    <row r="133" customFormat="false" ht="27.75" hidden="true" customHeight="true" outlineLevel="0" collapsed="false">
      <c r="A133" s="3"/>
      <c r="B133" s="3"/>
      <c r="C133" s="1178" t="n">
        <v>2016</v>
      </c>
      <c r="D133" s="92" t="n">
        <v>28396.56</v>
      </c>
      <c r="E133" s="92" t="n">
        <f aca="false">D133-D132</f>
        <v>345.360000000001</v>
      </c>
      <c r="F133" s="3"/>
      <c r="G133" s="3"/>
      <c r="H133" s="3"/>
      <c r="I133" s="3"/>
      <c r="J133" s="1200" t="s">
        <v>673</v>
      </c>
      <c r="K133" s="176"/>
      <c r="L133" s="3"/>
      <c r="M133" s="51"/>
      <c r="N133" s="51"/>
      <c r="O133" s="1162"/>
      <c r="P133" s="3"/>
      <c r="Q133" s="1199"/>
      <c r="R133" s="1186"/>
      <c r="S133" s="1187"/>
      <c r="T133" s="928"/>
      <c r="U133" s="928"/>
      <c r="V133" s="928"/>
      <c r="W133" s="928"/>
      <c r="X133" s="928"/>
      <c r="Y133" s="928"/>
      <c r="Z133" s="869" t="n">
        <v>165</v>
      </c>
      <c r="AA133" s="874" t="s">
        <v>687</v>
      </c>
      <c r="AB133" s="1188" t="s">
        <v>895</v>
      </c>
      <c r="AC133" s="811"/>
      <c r="AD133" s="1185"/>
      <c r="AE133" s="811"/>
      <c r="AF133" s="1185"/>
      <c r="AG133" s="811"/>
      <c r="AH133" s="811"/>
      <c r="AI133" s="811"/>
      <c r="AJ133" s="815"/>
      <c r="AK133" s="811"/>
      <c r="AL133" s="865"/>
      <c r="AM133" s="811"/>
      <c r="AN133" s="869" t="n">
        <v>165</v>
      </c>
    </row>
    <row r="134" customFormat="false" ht="28.5" hidden="true" customHeight="true" outlineLevel="0" collapsed="false">
      <c r="A134" s="3"/>
      <c r="B134" s="3"/>
      <c r="C134" s="1178" t="n">
        <v>2017</v>
      </c>
      <c r="D134" s="45" t="n">
        <v>28549.87</v>
      </c>
      <c r="E134" s="92" t="n">
        <f aca="false">D134-D133</f>
        <v>153.309999999998</v>
      </c>
      <c r="F134" s="3"/>
      <c r="G134" s="3"/>
      <c r="H134" s="3"/>
      <c r="I134" s="3"/>
      <c r="J134" s="176"/>
      <c r="K134" s="176"/>
      <c r="L134" s="3"/>
      <c r="M134" s="1201"/>
      <c r="N134" s="1201"/>
      <c r="O134" s="1202"/>
      <c r="P134" s="3"/>
      <c r="Q134" s="182"/>
      <c r="R134" s="1186"/>
      <c r="S134" s="1187"/>
      <c r="T134" s="928"/>
      <c r="U134" s="928"/>
      <c r="V134" s="928"/>
      <c r="W134" s="928"/>
      <c r="X134" s="928"/>
      <c r="Y134" s="928"/>
      <c r="Z134" s="869" t="n">
        <v>166</v>
      </c>
      <c r="AA134" s="874" t="s">
        <v>827</v>
      </c>
      <c r="AB134" s="1188" t="s">
        <v>896</v>
      </c>
      <c r="AC134" s="811"/>
      <c r="AD134" s="1185"/>
      <c r="AE134" s="811"/>
      <c r="AF134" s="1185"/>
      <c r="AG134" s="811"/>
      <c r="AH134" s="811"/>
      <c r="AI134" s="811"/>
      <c r="AJ134" s="815"/>
      <c r="AK134" s="811"/>
      <c r="AL134" s="865"/>
      <c r="AM134" s="811"/>
      <c r="AN134" s="869" t="n">
        <v>166</v>
      </c>
    </row>
    <row r="135" customFormat="false" ht="27" hidden="true" customHeight="true" outlineLevel="0" collapsed="false">
      <c r="A135" s="3"/>
      <c r="B135" s="3"/>
      <c r="C135" s="1178" t="n">
        <v>2018</v>
      </c>
      <c r="D135" s="45" t="n">
        <v>28725.31</v>
      </c>
      <c r="E135" s="92" t="n">
        <f aca="false">D135-D134</f>
        <v>175.440000000002</v>
      </c>
      <c r="F135" s="3"/>
      <c r="G135" s="3"/>
      <c r="H135" s="3"/>
      <c r="I135" s="3"/>
      <c r="J135" s="176"/>
      <c r="K135" s="176"/>
      <c r="L135" s="3"/>
      <c r="M135" s="3"/>
      <c r="N135" s="3"/>
      <c r="O135" s="1162"/>
      <c r="P135" s="3"/>
      <c r="Q135" s="182"/>
      <c r="R135" s="1203" t="n">
        <v>2</v>
      </c>
      <c r="S135" s="1182" t="s">
        <v>828</v>
      </c>
      <c r="T135" s="865"/>
      <c r="U135" s="865"/>
      <c r="V135" s="1183"/>
      <c r="W135" s="1204"/>
      <c r="X135" s="1183"/>
      <c r="Y135" s="866"/>
      <c r="Z135" s="867"/>
      <c r="AA135" s="816"/>
      <c r="AB135" s="1188" t="s">
        <v>897</v>
      </c>
      <c r="AC135" s="811"/>
      <c r="AD135" s="1185"/>
      <c r="AE135" s="811"/>
      <c r="AF135" s="1185"/>
      <c r="AG135" s="811"/>
      <c r="AH135" s="811"/>
      <c r="AI135" s="811"/>
      <c r="AJ135" s="815"/>
      <c r="AK135" s="811"/>
      <c r="AL135" s="865"/>
      <c r="AM135" s="811"/>
      <c r="AN135" s="867"/>
    </row>
    <row r="136" customFormat="false" ht="12.75" hidden="true" customHeight="true" outlineLevel="0" collapsed="false">
      <c r="A136" s="3"/>
      <c r="B136" s="3"/>
      <c r="C136" s="1178" t="n">
        <v>2019</v>
      </c>
      <c r="D136" s="45" t="n">
        <v>28884.88</v>
      </c>
      <c r="E136" s="92" t="n">
        <f aca="false">D136-D135</f>
        <v>159.57</v>
      </c>
      <c r="F136" s="3"/>
      <c r="G136" s="3"/>
      <c r="H136" s="3"/>
      <c r="I136" s="3"/>
      <c r="J136" s="176"/>
      <c r="K136" s="176"/>
      <c r="L136" s="3"/>
      <c r="M136" s="3"/>
      <c r="N136" s="3"/>
      <c r="O136" s="1162"/>
      <c r="P136" s="3"/>
      <c r="Q136" s="182"/>
      <c r="R136" s="1203"/>
      <c r="S136" s="869" t="n">
        <v>21</v>
      </c>
      <c r="T136" s="928" t="s">
        <v>829</v>
      </c>
      <c r="U136" s="928"/>
      <c r="V136" s="928"/>
      <c r="W136" s="928"/>
      <c r="X136" s="928"/>
      <c r="Y136" s="928"/>
      <c r="Z136" s="869" t="n">
        <v>211</v>
      </c>
      <c r="AA136" s="1188" t="s">
        <v>830</v>
      </c>
      <c r="AB136" s="1188" t="s">
        <v>898</v>
      </c>
      <c r="AC136" s="520"/>
      <c r="AD136" s="1189"/>
      <c r="AE136" s="520"/>
      <c r="AF136" s="1189"/>
      <c r="AG136" s="520"/>
      <c r="AH136" s="520"/>
      <c r="AI136" s="520"/>
      <c r="AJ136" s="1190"/>
      <c r="AK136" s="520"/>
      <c r="AL136" s="876"/>
      <c r="AM136" s="520"/>
      <c r="AN136" s="869" t="n">
        <v>211</v>
      </c>
    </row>
    <row r="137" customFormat="false" ht="28.5" hidden="true" customHeight="true" outlineLevel="0" collapsed="false">
      <c r="A137" s="3"/>
      <c r="B137" s="3"/>
      <c r="C137" s="1178" t="n">
        <v>2020</v>
      </c>
      <c r="D137" s="45" t="n">
        <v>29339.08</v>
      </c>
      <c r="E137" s="92" t="n">
        <f aca="false">D137-D136</f>
        <v>454.200000000001</v>
      </c>
      <c r="F137" s="3"/>
      <c r="G137" s="3"/>
      <c r="H137" s="3"/>
      <c r="I137" s="3"/>
      <c r="J137" s="176"/>
      <c r="K137" s="176"/>
      <c r="L137" s="3"/>
      <c r="M137" s="3"/>
      <c r="N137" s="3"/>
      <c r="O137" s="1162"/>
      <c r="P137" s="3"/>
      <c r="Q137" s="182"/>
      <c r="R137" s="1203"/>
      <c r="S137" s="869"/>
      <c r="T137" s="928"/>
      <c r="U137" s="928"/>
      <c r="V137" s="928"/>
      <c r="W137" s="928"/>
      <c r="X137" s="928"/>
      <c r="Y137" s="928"/>
      <c r="Z137" s="869" t="n">
        <v>212</v>
      </c>
      <c r="AA137" s="874" t="s">
        <v>831</v>
      </c>
      <c r="AB137" s="1188" t="s">
        <v>899</v>
      </c>
      <c r="AC137" s="811"/>
      <c r="AD137" s="1185"/>
      <c r="AE137" s="811"/>
      <c r="AF137" s="1185"/>
      <c r="AG137" s="811"/>
      <c r="AH137" s="811"/>
      <c r="AI137" s="811"/>
      <c r="AJ137" s="815"/>
      <c r="AK137" s="811"/>
      <c r="AL137" s="865"/>
      <c r="AM137" s="811"/>
      <c r="AN137" s="869" t="n">
        <v>212</v>
      </c>
    </row>
    <row r="138" customFormat="false" ht="28.5" hidden="true" customHeight="true" outlineLevel="0" collapsed="false">
      <c r="A138" s="3"/>
      <c r="B138" s="3"/>
      <c r="C138" s="1178" t="n">
        <v>2021</v>
      </c>
      <c r="D138" s="45" t="n">
        <v>30622.23</v>
      </c>
      <c r="E138" s="92" t="n">
        <f aca="false">D138-D137</f>
        <v>1283.15</v>
      </c>
      <c r="F138" s="3"/>
      <c r="G138" s="3"/>
      <c r="H138" s="3"/>
      <c r="I138" s="3"/>
      <c r="J138" s="176"/>
      <c r="K138" s="176"/>
      <c r="L138" s="3"/>
      <c r="M138" s="3"/>
      <c r="N138" s="3"/>
      <c r="O138" s="1162"/>
      <c r="P138" s="3"/>
      <c r="Q138" s="182"/>
      <c r="R138" s="1203"/>
      <c r="S138" s="869"/>
      <c r="T138" s="928"/>
      <c r="U138" s="928"/>
      <c r="V138" s="928"/>
      <c r="W138" s="928"/>
      <c r="X138" s="928"/>
      <c r="Y138" s="928"/>
      <c r="Z138" s="884" t="n">
        <v>213</v>
      </c>
      <c r="AA138" s="1191" t="s">
        <v>832</v>
      </c>
      <c r="AB138" s="1188" t="s">
        <v>900</v>
      </c>
      <c r="AC138" s="508"/>
      <c r="AD138" s="1192"/>
      <c r="AE138" s="508"/>
      <c r="AF138" s="1192"/>
      <c r="AG138" s="508"/>
      <c r="AH138" s="508"/>
      <c r="AI138" s="508"/>
      <c r="AJ138" s="148"/>
      <c r="AK138" s="508"/>
      <c r="AL138" s="1193"/>
      <c r="AM138" s="508"/>
      <c r="AN138" s="884" t="n">
        <v>213</v>
      </c>
    </row>
    <row r="139" customFormat="false" ht="12.75" hidden="true" customHeight="true" outlineLevel="0" collapsed="false">
      <c r="A139" s="3"/>
      <c r="B139" s="3"/>
      <c r="C139" s="1178" t="n">
        <v>2022</v>
      </c>
      <c r="D139" s="45" t="n">
        <v>31502.93</v>
      </c>
      <c r="E139" s="92" t="n">
        <f aca="false">D139-D138</f>
        <v>880.700000000001</v>
      </c>
      <c r="F139" s="3"/>
      <c r="G139" s="3"/>
      <c r="H139" s="3"/>
      <c r="I139" s="3"/>
      <c r="J139" s="176"/>
      <c r="K139" s="176"/>
      <c r="L139" s="3"/>
      <c r="M139" s="3"/>
      <c r="N139" s="3"/>
      <c r="O139" s="1162"/>
      <c r="P139" s="3"/>
      <c r="Q139" s="182"/>
      <c r="R139" s="1203"/>
      <c r="S139" s="869" t="n">
        <v>22</v>
      </c>
      <c r="T139" s="928" t="s">
        <v>833</v>
      </c>
      <c r="U139" s="928"/>
      <c r="V139" s="928"/>
      <c r="W139" s="928"/>
      <c r="X139" s="928"/>
      <c r="Y139" s="928"/>
      <c r="Z139" s="869" t="n">
        <v>221</v>
      </c>
      <c r="AA139" s="874" t="s">
        <v>834</v>
      </c>
      <c r="AB139" s="1188" t="s">
        <v>901</v>
      </c>
      <c r="AC139" s="811"/>
      <c r="AD139" s="1185"/>
      <c r="AE139" s="811"/>
      <c r="AF139" s="1185"/>
      <c r="AG139" s="811"/>
      <c r="AH139" s="811"/>
      <c r="AI139" s="811"/>
      <c r="AJ139" s="815"/>
      <c r="AK139" s="811"/>
      <c r="AL139" s="865"/>
      <c r="AM139" s="811"/>
      <c r="AN139" s="869" t="n">
        <v>221</v>
      </c>
    </row>
    <row r="140" customFormat="false" ht="28.5" hidden="true" customHeight="true" outlineLevel="0" collapsed="false">
      <c r="A140" s="3"/>
      <c r="B140" s="3"/>
      <c r="C140" s="1178" t="n">
        <v>2023</v>
      </c>
      <c r="D140" s="182" t="n">
        <v>32570.47</v>
      </c>
      <c r="E140" s="92" t="n">
        <f aca="false">D140-D139</f>
        <v>1067.54</v>
      </c>
      <c r="F140" s="3"/>
      <c r="G140" s="3"/>
      <c r="H140" s="3"/>
      <c r="I140" s="3"/>
      <c r="J140" s="176"/>
      <c r="K140" s="176"/>
      <c r="L140" s="3"/>
      <c r="M140" s="3"/>
      <c r="N140" s="3"/>
      <c r="O140" s="1162"/>
      <c r="P140" s="3"/>
      <c r="Q140" s="182"/>
      <c r="R140" s="1203"/>
      <c r="S140" s="869"/>
      <c r="T140" s="928"/>
      <c r="U140" s="928"/>
      <c r="V140" s="928"/>
      <c r="W140" s="928"/>
      <c r="X140" s="928"/>
      <c r="Y140" s="928"/>
      <c r="Z140" s="869" t="n">
        <v>222</v>
      </c>
      <c r="AA140" s="874" t="s">
        <v>835</v>
      </c>
      <c r="AB140" s="1188" t="s">
        <v>902</v>
      </c>
      <c r="AC140" s="811"/>
      <c r="AD140" s="1185"/>
      <c r="AE140" s="811"/>
      <c r="AF140" s="1185"/>
      <c r="AG140" s="811"/>
      <c r="AH140" s="811"/>
      <c r="AI140" s="811"/>
      <c r="AJ140" s="815"/>
      <c r="AK140" s="811"/>
      <c r="AL140" s="865"/>
      <c r="AM140" s="811"/>
      <c r="AN140" s="869" t="n">
        <v>222</v>
      </c>
    </row>
    <row r="141" customFormat="false" ht="28.5" hidden="true" customHeight="true" outlineLevel="0" collapsed="false">
      <c r="A141" s="3"/>
      <c r="B141" s="3"/>
      <c r="C141" s="1178" t="n">
        <v>2024</v>
      </c>
      <c r="D141" s="182" t="n">
        <v>34049.72</v>
      </c>
      <c r="E141" s="92" t="n">
        <f aca="false">D141-D140</f>
        <v>1479.25</v>
      </c>
      <c r="F141" s="3"/>
      <c r="G141" s="3"/>
      <c r="H141" s="3"/>
      <c r="I141" s="3"/>
      <c r="J141" s="176"/>
      <c r="K141" s="176"/>
      <c r="L141" s="3"/>
      <c r="M141" s="3"/>
      <c r="N141" s="3"/>
      <c r="O141" s="1162"/>
      <c r="P141" s="3"/>
      <c r="Q141" s="182"/>
      <c r="R141" s="1203"/>
      <c r="S141" s="869"/>
      <c r="T141" s="928"/>
      <c r="U141" s="928"/>
      <c r="V141" s="928"/>
      <c r="W141" s="928"/>
      <c r="X141" s="928"/>
      <c r="Y141" s="928"/>
      <c r="Z141" s="869" t="n">
        <v>223</v>
      </c>
      <c r="AA141" s="874" t="s">
        <v>836</v>
      </c>
      <c r="AB141" s="1188" t="s">
        <v>903</v>
      </c>
      <c r="AC141" s="811"/>
      <c r="AD141" s="1185"/>
      <c r="AE141" s="811"/>
      <c r="AF141" s="1185"/>
      <c r="AG141" s="811"/>
      <c r="AH141" s="811"/>
      <c r="AI141" s="811"/>
      <c r="AJ141" s="815"/>
      <c r="AK141" s="811"/>
      <c r="AL141" s="865"/>
      <c r="AM141" s="811"/>
      <c r="AN141" s="869" t="n">
        <v>223</v>
      </c>
    </row>
    <row r="142" customFormat="false" ht="12.75" hidden="true" customHeight="tru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176"/>
      <c r="K142" s="176"/>
      <c r="L142" s="3"/>
      <c r="M142" s="3"/>
      <c r="N142" s="3"/>
      <c r="O142" s="1162"/>
      <c r="P142" s="3"/>
      <c r="Q142" s="182"/>
      <c r="R142" s="1203"/>
      <c r="S142" s="869" t="n">
        <v>23</v>
      </c>
      <c r="T142" s="928" t="s">
        <v>698</v>
      </c>
      <c r="U142" s="928"/>
      <c r="V142" s="928"/>
      <c r="W142" s="928"/>
      <c r="X142" s="928"/>
      <c r="Y142" s="928"/>
      <c r="Z142" s="907" t="n">
        <v>231</v>
      </c>
      <c r="AA142" s="1188" t="s">
        <v>837</v>
      </c>
      <c r="AB142" s="1188" t="s">
        <v>904</v>
      </c>
      <c r="AC142" s="520"/>
      <c r="AD142" s="1189"/>
      <c r="AE142" s="520"/>
      <c r="AF142" s="1189"/>
      <c r="AG142" s="520"/>
      <c r="AH142" s="520"/>
      <c r="AI142" s="520"/>
      <c r="AJ142" s="1190"/>
      <c r="AK142" s="520"/>
      <c r="AL142" s="876"/>
      <c r="AM142" s="520"/>
      <c r="AN142" s="907" t="n">
        <v>231</v>
      </c>
    </row>
    <row r="143" customFormat="false" ht="28.5" hidden="true" customHeight="tru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176"/>
      <c r="K143" s="176"/>
      <c r="L143" s="3"/>
      <c r="M143" s="3"/>
      <c r="N143" s="3"/>
      <c r="O143" s="1162"/>
      <c r="P143" s="3"/>
      <c r="Q143" s="1199"/>
      <c r="R143" s="1203"/>
      <c r="S143" s="869"/>
      <c r="T143" s="928"/>
      <c r="U143" s="928"/>
      <c r="V143" s="928"/>
      <c r="W143" s="928"/>
      <c r="X143" s="928"/>
      <c r="Y143" s="928"/>
      <c r="Z143" s="869" t="n">
        <v>232</v>
      </c>
      <c r="AA143" s="874" t="s">
        <v>838</v>
      </c>
      <c r="AB143" s="1188" t="s">
        <v>905</v>
      </c>
      <c r="AC143" s="811"/>
      <c r="AD143" s="1185"/>
      <c r="AE143" s="811"/>
      <c r="AF143" s="1185"/>
      <c r="AG143" s="811"/>
      <c r="AH143" s="811"/>
      <c r="AI143" s="811"/>
      <c r="AJ143" s="815"/>
      <c r="AK143" s="811"/>
      <c r="AL143" s="865"/>
      <c r="AM143" s="811"/>
      <c r="AN143" s="869" t="n">
        <v>232</v>
      </c>
    </row>
    <row r="144" customFormat="false" ht="28.5" hidden="true" customHeight="tru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176"/>
      <c r="K144" s="176"/>
      <c r="L144" s="3"/>
      <c r="M144" s="3"/>
      <c r="N144" s="3"/>
      <c r="O144" s="1162"/>
      <c r="P144" s="3"/>
      <c r="Q144" s="182"/>
      <c r="R144" s="1203"/>
      <c r="S144" s="869"/>
      <c r="T144" s="928"/>
      <c r="U144" s="928"/>
      <c r="V144" s="928"/>
      <c r="W144" s="928"/>
      <c r="X144" s="928"/>
      <c r="Y144" s="928"/>
      <c r="Z144" s="869" t="n">
        <v>233</v>
      </c>
      <c r="AA144" s="1191" t="s">
        <v>701</v>
      </c>
      <c r="AB144" s="1188" t="s">
        <v>906</v>
      </c>
      <c r="AC144" s="508"/>
      <c r="AD144" s="1192"/>
      <c r="AE144" s="508"/>
      <c r="AF144" s="1192"/>
      <c r="AG144" s="508"/>
      <c r="AH144" s="508"/>
      <c r="AI144" s="508"/>
      <c r="AJ144" s="148"/>
      <c r="AK144" s="508"/>
      <c r="AL144" s="1193"/>
      <c r="AM144" s="508"/>
      <c r="AN144" s="869" t="n">
        <v>233</v>
      </c>
    </row>
    <row r="145" customFormat="false" ht="28.5" hidden="true" customHeight="tru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176"/>
      <c r="K145" s="176"/>
      <c r="L145" s="3"/>
      <c r="M145" s="3"/>
      <c r="N145" s="3"/>
      <c r="O145" s="1162"/>
      <c r="P145" s="3"/>
      <c r="Q145" s="182"/>
      <c r="R145" s="1203" t="n">
        <v>3</v>
      </c>
      <c r="S145" s="1182" t="s">
        <v>839</v>
      </c>
      <c r="T145" s="865"/>
      <c r="U145" s="865"/>
      <c r="V145" s="1183"/>
      <c r="W145" s="1204"/>
      <c r="X145" s="1183"/>
      <c r="Y145" s="866"/>
      <c r="Z145" s="867"/>
      <c r="AA145" s="816"/>
      <c r="AB145" s="1188" t="s">
        <v>897</v>
      </c>
      <c r="AC145" s="811"/>
      <c r="AD145" s="1185"/>
      <c r="AE145" s="811"/>
      <c r="AF145" s="1185"/>
      <c r="AG145" s="811"/>
      <c r="AH145" s="811"/>
      <c r="AI145" s="811"/>
      <c r="AJ145" s="815"/>
      <c r="AK145" s="811"/>
      <c r="AL145" s="865"/>
      <c r="AM145" s="811"/>
      <c r="AN145" s="867"/>
    </row>
    <row r="146" customFormat="false" ht="12.75" hidden="true" customHeight="tru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176"/>
      <c r="K146" s="176"/>
      <c r="L146" s="3"/>
      <c r="M146" s="3"/>
      <c r="N146" s="3"/>
      <c r="O146" s="1162"/>
      <c r="P146" s="3"/>
      <c r="Q146" s="182"/>
      <c r="R146" s="1203"/>
      <c r="S146" s="869" t="n">
        <v>35</v>
      </c>
      <c r="T146" s="1205" t="s">
        <v>840</v>
      </c>
      <c r="U146" s="1205"/>
      <c r="V146" s="1205"/>
      <c r="W146" s="1205"/>
      <c r="X146" s="1205"/>
      <c r="Y146" s="1205"/>
      <c r="Z146" s="869" t="n">
        <v>351</v>
      </c>
      <c r="AA146" s="1188" t="s">
        <v>841</v>
      </c>
      <c r="AB146" s="1188" t="s">
        <v>907</v>
      </c>
      <c r="AC146" s="520"/>
      <c r="AD146" s="1189"/>
      <c r="AE146" s="520"/>
      <c r="AF146" s="1189"/>
      <c r="AG146" s="520"/>
      <c r="AH146" s="520"/>
      <c r="AI146" s="520"/>
      <c r="AJ146" s="1190"/>
      <c r="AK146" s="520"/>
      <c r="AL146" s="876"/>
      <c r="AM146" s="520"/>
      <c r="AN146" s="869" t="n">
        <v>351</v>
      </c>
    </row>
    <row r="147" customFormat="false" ht="28.5" hidden="true" customHeight="true" outlineLevel="0" collapsed="false">
      <c r="A147" s="3"/>
      <c r="B147" s="3"/>
      <c r="C147" s="3"/>
      <c r="D147" s="3"/>
      <c r="E147" s="3"/>
      <c r="F147" s="3"/>
      <c r="G147" s="3"/>
      <c r="H147" s="3"/>
      <c r="I147" s="3"/>
      <c r="J147" s="176"/>
      <c r="K147" s="176"/>
      <c r="L147" s="3"/>
      <c r="M147" s="3"/>
      <c r="N147" s="3"/>
      <c r="O147" s="1162"/>
      <c r="P147" s="3"/>
      <c r="Q147" s="182"/>
      <c r="R147" s="1203"/>
      <c r="S147" s="869"/>
      <c r="T147" s="1205"/>
      <c r="U147" s="1205"/>
      <c r="V147" s="1205"/>
      <c r="W147" s="1205"/>
      <c r="X147" s="1205"/>
      <c r="Y147" s="1205"/>
      <c r="Z147" s="869" t="n">
        <v>352</v>
      </c>
      <c r="AA147" s="874" t="s">
        <v>842</v>
      </c>
      <c r="AB147" s="1188" t="s">
        <v>908</v>
      </c>
      <c r="AC147" s="811"/>
      <c r="AD147" s="1185"/>
      <c r="AE147" s="811"/>
      <c r="AF147" s="1185"/>
      <c r="AG147" s="811"/>
      <c r="AH147" s="811"/>
      <c r="AI147" s="811"/>
      <c r="AJ147" s="815"/>
      <c r="AK147" s="811"/>
      <c r="AL147" s="865"/>
      <c r="AM147" s="811"/>
      <c r="AN147" s="869" t="n">
        <v>352</v>
      </c>
    </row>
    <row r="148" customFormat="false" ht="28.5" hidden="true" customHeight="true" outlineLevel="0" collapsed="false">
      <c r="A148" s="3"/>
      <c r="B148" s="3"/>
      <c r="C148" s="3"/>
      <c r="D148" s="3"/>
      <c r="E148" s="3"/>
      <c r="F148" s="3"/>
      <c r="G148" s="3"/>
      <c r="H148" s="3"/>
      <c r="I148" s="3"/>
      <c r="J148" s="176"/>
      <c r="K148" s="176"/>
      <c r="L148" s="3"/>
      <c r="M148" s="3"/>
      <c r="N148" s="3"/>
      <c r="O148" s="1162"/>
      <c r="P148" s="3"/>
      <c r="Q148" s="182"/>
      <c r="R148" s="1203"/>
      <c r="S148" s="869"/>
      <c r="T148" s="1205"/>
      <c r="U148" s="1205"/>
      <c r="V148" s="1205"/>
      <c r="W148" s="1205"/>
      <c r="X148" s="1205"/>
      <c r="Y148" s="1205"/>
      <c r="Z148" s="869" t="n">
        <v>353</v>
      </c>
      <c r="AA148" s="874" t="s">
        <v>843</v>
      </c>
      <c r="AB148" s="1188" t="s">
        <v>909</v>
      </c>
      <c r="AC148" s="811"/>
      <c r="AD148" s="1185"/>
      <c r="AE148" s="811"/>
      <c r="AF148" s="1185"/>
      <c r="AG148" s="811"/>
      <c r="AH148" s="811"/>
      <c r="AI148" s="811"/>
      <c r="AJ148" s="815"/>
      <c r="AK148" s="811"/>
      <c r="AL148" s="865"/>
      <c r="AM148" s="811"/>
      <c r="AN148" s="869" t="n">
        <v>353</v>
      </c>
    </row>
    <row r="149" customFormat="false" ht="28.5" hidden="true" customHeight="true" outlineLevel="0" collapsed="false">
      <c r="A149" s="3"/>
      <c r="B149" s="3"/>
      <c r="C149" s="1295"/>
      <c r="D149" s="1207"/>
      <c r="E149" s="3"/>
      <c r="F149" s="3"/>
      <c r="G149" s="3"/>
      <c r="H149" s="3"/>
      <c r="I149" s="3"/>
      <c r="J149" s="176"/>
      <c r="K149" s="176"/>
      <c r="L149" s="3"/>
      <c r="M149" s="3"/>
      <c r="N149" s="3"/>
      <c r="O149" s="1162"/>
      <c r="P149" s="3"/>
      <c r="Q149" s="182"/>
      <c r="R149" s="1203"/>
      <c r="S149" s="869"/>
      <c r="T149" s="1205"/>
      <c r="U149" s="1205"/>
      <c r="V149" s="1205"/>
      <c r="W149" s="1205"/>
      <c r="X149" s="1205"/>
      <c r="Y149" s="1205"/>
      <c r="Z149" s="884" t="n">
        <v>354</v>
      </c>
      <c r="AA149" s="1191" t="s">
        <v>707</v>
      </c>
      <c r="AB149" s="1188" t="s">
        <v>910</v>
      </c>
      <c r="AC149" s="508"/>
      <c r="AD149" s="1192"/>
      <c r="AE149" s="508"/>
      <c r="AF149" s="1192"/>
      <c r="AG149" s="508"/>
      <c r="AH149" s="508"/>
      <c r="AI149" s="508"/>
      <c r="AJ149" s="148"/>
      <c r="AK149" s="508"/>
      <c r="AL149" s="1193"/>
      <c r="AM149" s="508"/>
      <c r="AN149" s="884" t="n">
        <v>354</v>
      </c>
    </row>
    <row r="150" customFormat="false" ht="12.75" hidden="true" customHeight="true" outlineLevel="0" collapsed="false">
      <c r="A150" s="3"/>
      <c r="B150" s="3"/>
      <c r="C150" s="1295"/>
      <c r="D150" s="1207"/>
      <c r="E150" s="3"/>
      <c r="F150" s="3"/>
      <c r="G150" s="3"/>
      <c r="H150" s="3"/>
      <c r="I150" s="1209"/>
      <c r="J150" s="1210"/>
      <c r="K150" s="176"/>
      <c r="L150" s="3"/>
      <c r="M150" s="3"/>
      <c r="N150" s="3"/>
      <c r="O150" s="1162"/>
      <c r="P150" s="3"/>
      <c r="Q150" s="182"/>
      <c r="R150" s="1203"/>
      <c r="S150" s="869" t="n">
        <v>36</v>
      </c>
      <c r="T150" s="1205" t="s">
        <v>844</v>
      </c>
      <c r="U150" s="1205"/>
      <c r="V150" s="1205"/>
      <c r="W150" s="1205"/>
      <c r="X150" s="1205"/>
      <c r="Y150" s="1205"/>
      <c r="Z150" s="869" t="n">
        <v>361</v>
      </c>
      <c r="AA150" s="1208" t="s">
        <v>845</v>
      </c>
      <c r="AB150" s="1188" t="s">
        <v>911</v>
      </c>
      <c r="AC150" s="811"/>
      <c r="AD150" s="1185"/>
      <c r="AE150" s="811"/>
      <c r="AF150" s="1185"/>
      <c r="AG150" s="811"/>
      <c r="AH150" s="811"/>
      <c r="AI150" s="811"/>
      <c r="AJ150" s="815"/>
      <c r="AK150" s="811"/>
      <c r="AL150" s="865"/>
      <c r="AM150" s="811"/>
      <c r="AN150" s="869" t="n">
        <v>361</v>
      </c>
    </row>
    <row r="151" customFormat="false" ht="28.5" hidden="true" customHeight="tru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176"/>
      <c r="K151" s="176"/>
      <c r="L151" s="3"/>
      <c r="M151" s="3"/>
      <c r="N151" s="3"/>
      <c r="O151" s="1162"/>
      <c r="P151" s="3"/>
      <c r="Q151" s="182"/>
      <c r="R151" s="1203"/>
      <c r="S151" s="869"/>
      <c r="T151" s="1205"/>
      <c r="U151" s="1205"/>
      <c r="V151" s="1205"/>
      <c r="W151" s="1205"/>
      <c r="X151" s="1205"/>
      <c r="Y151" s="1205"/>
      <c r="Z151" s="869" t="n">
        <v>362</v>
      </c>
      <c r="AA151" s="874" t="s">
        <v>846</v>
      </c>
      <c r="AB151" s="1188" t="s">
        <v>912</v>
      </c>
      <c r="AC151" s="811"/>
      <c r="AD151" s="1185"/>
      <c r="AE151" s="811"/>
      <c r="AF151" s="1185"/>
      <c r="AG151" s="811"/>
      <c r="AH151" s="811"/>
      <c r="AI151" s="811"/>
      <c r="AJ151" s="815"/>
      <c r="AK151" s="811"/>
      <c r="AL151" s="865"/>
      <c r="AM151" s="811"/>
      <c r="AN151" s="869" t="n">
        <v>362</v>
      </c>
    </row>
    <row r="152" customFormat="false" ht="28.5" hidden="true" customHeight="tru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176"/>
      <c r="K152" s="176"/>
      <c r="L152" s="3"/>
      <c r="M152" s="3"/>
      <c r="N152" s="3"/>
      <c r="O152" s="1162"/>
      <c r="P152" s="3"/>
      <c r="Q152" s="182"/>
      <c r="R152" s="1203"/>
      <c r="S152" s="869"/>
      <c r="T152" s="1205"/>
      <c r="U152" s="1205"/>
      <c r="V152" s="1205"/>
      <c r="W152" s="1205"/>
      <c r="X152" s="1205"/>
      <c r="Y152" s="1205"/>
      <c r="Z152" s="869" t="n">
        <v>363</v>
      </c>
      <c r="AA152" s="874" t="s">
        <v>847</v>
      </c>
      <c r="AB152" s="1188" t="s">
        <v>913</v>
      </c>
      <c r="AC152" s="811"/>
      <c r="AD152" s="1185"/>
      <c r="AE152" s="811"/>
      <c r="AF152" s="1185"/>
      <c r="AG152" s="811"/>
      <c r="AH152" s="811"/>
      <c r="AI152" s="811"/>
      <c r="AJ152" s="815"/>
      <c r="AK152" s="811"/>
      <c r="AL152" s="865"/>
      <c r="AM152" s="811"/>
      <c r="AN152" s="869" t="n">
        <v>363</v>
      </c>
    </row>
    <row r="153" customFormat="false" ht="28.5" hidden="true" customHeight="tru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176"/>
      <c r="K153" s="176"/>
      <c r="L153" s="3"/>
      <c r="M153" s="3"/>
      <c r="N153" s="3"/>
      <c r="O153" s="1162"/>
      <c r="P153" s="3"/>
      <c r="Q153" s="182"/>
      <c r="R153" s="1203"/>
      <c r="S153" s="869"/>
      <c r="T153" s="1205"/>
      <c r="U153" s="1205"/>
      <c r="V153" s="1205"/>
      <c r="W153" s="1205"/>
      <c r="X153" s="1205"/>
      <c r="Y153" s="1205"/>
      <c r="Z153" s="869" t="n">
        <v>364</v>
      </c>
      <c r="AA153" s="874" t="s">
        <v>848</v>
      </c>
      <c r="AB153" s="1188" t="s">
        <v>914</v>
      </c>
      <c r="AC153" s="811"/>
      <c r="AD153" s="1185"/>
      <c r="AE153" s="811"/>
      <c r="AF153" s="1185"/>
      <c r="AG153" s="811"/>
      <c r="AH153" s="811"/>
      <c r="AI153" s="811"/>
      <c r="AJ153" s="815"/>
      <c r="AK153" s="811"/>
      <c r="AL153" s="865"/>
      <c r="AM153" s="811"/>
      <c r="AN153" s="869" t="n">
        <v>364</v>
      </c>
    </row>
    <row r="154" customFormat="false" ht="28.5" hidden="true" customHeight="tru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176"/>
      <c r="K154" s="176"/>
      <c r="L154" s="3"/>
      <c r="M154" s="3"/>
      <c r="N154" s="3"/>
      <c r="O154" s="1162"/>
      <c r="P154" s="3"/>
      <c r="Q154" s="182"/>
      <c r="R154" s="1203"/>
      <c r="S154" s="869"/>
      <c r="T154" s="1205"/>
      <c r="U154" s="1205"/>
      <c r="V154" s="1205"/>
      <c r="W154" s="1205"/>
      <c r="X154" s="1205"/>
      <c r="Y154" s="1205"/>
      <c r="Z154" s="869" t="n">
        <v>365</v>
      </c>
      <c r="AA154" s="874" t="s">
        <v>716</v>
      </c>
      <c r="AB154" s="1188" t="s">
        <v>915</v>
      </c>
      <c r="AC154" s="811"/>
      <c r="AD154" s="1185"/>
      <c r="AE154" s="811"/>
      <c r="AF154" s="1185"/>
      <c r="AG154" s="811"/>
      <c r="AH154" s="811"/>
      <c r="AI154" s="811"/>
      <c r="AJ154" s="815"/>
      <c r="AK154" s="811"/>
      <c r="AL154" s="865"/>
      <c r="AM154" s="811"/>
      <c r="AN154" s="869" t="n">
        <v>365</v>
      </c>
    </row>
    <row r="155" customFormat="false" ht="12.75" hidden="true" customHeight="tru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176"/>
      <c r="K155" s="176"/>
      <c r="L155" s="3"/>
      <c r="M155" s="3"/>
      <c r="N155" s="3"/>
      <c r="O155" s="1162"/>
      <c r="P155" s="3"/>
      <c r="Q155" s="182"/>
      <c r="R155" s="1203"/>
      <c r="S155" s="869" t="n">
        <v>37</v>
      </c>
      <c r="T155" s="1205" t="s">
        <v>849</v>
      </c>
      <c r="U155" s="1205"/>
      <c r="V155" s="1205"/>
      <c r="W155" s="1205"/>
      <c r="X155" s="1205"/>
      <c r="Y155" s="1205"/>
      <c r="Z155" s="869" t="n">
        <v>370</v>
      </c>
      <c r="AA155" s="874" t="s">
        <v>849</v>
      </c>
      <c r="AB155" s="1188" t="s">
        <v>916</v>
      </c>
      <c r="AC155" s="811"/>
      <c r="AD155" s="1185"/>
      <c r="AE155" s="811"/>
      <c r="AF155" s="1185"/>
      <c r="AG155" s="811"/>
      <c r="AH155" s="811"/>
      <c r="AI155" s="811"/>
      <c r="AJ155" s="815"/>
      <c r="AK155" s="811"/>
      <c r="AL155" s="865"/>
      <c r="AM155" s="811"/>
      <c r="AN155" s="869" t="n">
        <v>370</v>
      </c>
    </row>
    <row r="156" customFormat="false" ht="12.75" hidden="true" customHeight="tru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176"/>
      <c r="K156" s="176"/>
      <c r="L156" s="3"/>
      <c r="M156" s="3"/>
      <c r="N156" s="3"/>
      <c r="O156" s="1162"/>
      <c r="P156" s="3"/>
      <c r="Q156" s="182"/>
      <c r="R156" s="1203"/>
      <c r="S156" s="869" t="n">
        <v>38</v>
      </c>
      <c r="T156" s="1205" t="s">
        <v>850</v>
      </c>
      <c r="U156" s="1205"/>
      <c r="V156" s="1205"/>
      <c r="W156" s="1205"/>
      <c r="X156" s="1205"/>
      <c r="Y156" s="1205"/>
      <c r="Z156" s="869" t="n">
        <v>380</v>
      </c>
      <c r="AA156" s="874" t="s">
        <v>850</v>
      </c>
      <c r="AB156" s="1188" t="s">
        <v>917</v>
      </c>
      <c r="AC156" s="811"/>
      <c r="AD156" s="1185"/>
      <c r="AE156" s="811"/>
      <c r="AF156" s="1185"/>
      <c r="AG156" s="811"/>
      <c r="AH156" s="811"/>
      <c r="AI156" s="811"/>
      <c r="AJ156" s="815"/>
      <c r="AK156" s="811"/>
      <c r="AL156" s="865"/>
      <c r="AM156" s="811"/>
      <c r="AN156" s="869" t="n">
        <v>380</v>
      </c>
    </row>
    <row r="157" customFormat="false" ht="28.5" hidden="true" customHeight="tru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176"/>
      <c r="K157" s="176"/>
      <c r="L157" s="3"/>
      <c r="M157" s="3"/>
      <c r="N157" s="3"/>
      <c r="O157" s="1162"/>
      <c r="P157" s="3"/>
      <c r="Q157" s="182"/>
      <c r="R157" s="1203" t="n">
        <v>4</v>
      </c>
      <c r="S157" s="1211" t="s">
        <v>719</v>
      </c>
      <c r="T157" s="876"/>
      <c r="U157" s="876"/>
      <c r="V157" s="1212"/>
      <c r="W157" s="1213"/>
      <c r="X157" s="1212"/>
      <c r="Y157" s="878"/>
      <c r="Z157" s="879"/>
      <c r="AA157" s="423"/>
      <c r="AB157" s="1188" t="s">
        <v>897</v>
      </c>
      <c r="AC157" s="520"/>
      <c r="AD157" s="1189"/>
      <c r="AE157" s="520"/>
      <c r="AF157" s="1189"/>
      <c r="AG157" s="520"/>
      <c r="AH157" s="520"/>
      <c r="AI157" s="520"/>
      <c r="AJ157" s="1190"/>
      <c r="AK157" s="520"/>
      <c r="AL157" s="876"/>
      <c r="AM157" s="520"/>
      <c r="AN157" s="879"/>
    </row>
    <row r="158" customFormat="false" ht="15" hidden="true" customHeight="tru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176"/>
      <c r="K158" s="176"/>
      <c r="L158" s="3"/>
      <c r="M158" s="3"/>
      <c r="N158" s="3"/>
      <c r="O158" s="1162"/>
      <c r="P158" s="3"/>
      <c r="Q158" s="182"/>
      <c r="R158" s="1203"/>
      <c r="S158" s="884" t="n">
        <v>45</v>
      </c>
      <c r="T158" s="887" t="s">
        <v>721</v>
      </c>
      <c r="U158" s="887"/>
      <c r="V158" s="887"/>
      <c r="W158" s="887"/>
      <c r="X158" s="887"/>
      <c r="Y158" s="1214"/>
      <c r="Z158" s="884" t="n">
        <v>450</v>
      </c>
      <c r="AA158" s="887" t="s">
        <v>721</v>
      </c>
      <c r="AB158" s="1188" t="s">
        <v>918</v>
      </c>
      <c r="AC158" s="1215"/>
      <c r="AD158" s="1215"/>
      <c r="AE158" s="1215"/>
      <c r="AF158" s="1215"/>
      <c r="AG158" s="1215"/>
      <c r="AH158" s="1215"/>
      <c r="AI158" s="1215"/>
      <c r="AJ158" s="1215"/>
      <c r="AK158" s="1215"/>
      <c r="AL158" s="1215"/>
      <c r="AM158" s="1215"/>
      <c r="AN158" s="884" t="n">
        <v>450</v>
      </c>
    </row>
    <row r="159" customFormat="false" ht="12.75" hidden="true" customHeight="tru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176"/>
      <c r="K159" s="176"/>
      <c r="L159" s="3"/>
      <c r="M159" s="3"/>
      <c r="N159" s="3"/>
      <c r="O159" s="1162"/>
      <c r="P159" s="3"/>
      <c r="Q159" s="182"/>
      <c r="R159" s="1203"/>
      <c r="S159" s="869" t="n">
        <v>46</v>
      </c>
      <c r="T159" s="874" t="s">
        <v>851</v>
      </c>
      <c r="U159" s="874"/>
      <c r="V159" s="874"/>
      <c r="W159" s="874"/>
      <c r="X159" s="874"/>
      <c r="Y159" s="891"/>
      <c r="Z159" s="869" t="n">
        <v>460</v>
      </c>
      <c r="AA159" s="874" t="s">
        <v>851</v>
      </c>
      <c r="AB159" s="1188" t="s">
        <v>919</v>
      </c>
      <c r="AC159" s="816"/>
      <c r="AD159" s="816"/>
      <c r="AE159" s="816"/>
      <c r="AF159" s="816"/>
      <c r="AG159" s="816"/>
      <c r="AH159" s="816"/>
      <c r="AI159" s="816"/>
      <c r="AJ159" s="816"/>
      <c r="AK159" s="816"/>
      <c r="AL159" s="816"/>
      <c r="AM159" s="816"/>
      <c r="AN159" s="869" t="n">
        <v>460</v>
      </c>
    </row>
    <row r="160" customFormat="false" ht="12.75" hidden="true" customHeight="tru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176"/>
      <c r="K160" s="176"/>
      <c r="L160" s="3"/>
      <c r="M160" s="3"/>
      <c r="N160" s="3"/>
      <c r="O160" s="1162"/>
      <c r="P160" s="3"/>
      <c r="Q160" s="182"/>
      <c r="R160" s="1203"/>
      <c r="S160" s="869" t="n">
        <v>47</v>
      </c>
      <c r="T160" s="874" t="s">
        <v>852</v>
      </c>
      <c r="U160" s="874"/>
      <c r="V160" s="874"/>
      <c r="W160" s="874"/>
      <c r="X160" s="874"/>
      <c r="Y160" s="891"/>
      <c r="Z160" s="869" t="n">
        <v>470</v>
      </c>
      <c r="AA160" s="874" t="s">
        <v>853</v>
      </c>
      <c r="AB160" s="1188" t="s">
        <v>920</v>
      </c>
      <c r="AC160" s="816"/>
      <c r="AD160" s="816"/>
      <c r="AE160" s="816"/>
      <c r="AF160" s="816"/>
      <c r="AG160" s="816"/>
      <c r="AH160" s="816"/>
      <c r="AI160" s="816"/>
      <c r="AJ160" s="816"/>
      <c r="AK160" s="816"/>
      <c r="AL160" s="816"/>
      <c r="AM160" s="816"/>
      <c r="AN160" s="869" t="n">
        <v>470</v>
      </c>
    </row>
    <row r="161" customFormat="false" ht="12.75" hidden="true" customHeight="tru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176"/>
      <c r="K161" s="176"/>
      <c r="L161" s="3"/>
      <c r="M161" s="3"/>
      <c r="N161" s="3"/>
      <c r="O161" s="1162"/>
      <c r="P161" s="3"/>
      <c r="Q161" s="182"/>
      <c r="R161" s="1203"/>
      <c r="S161" s="869" t="n">
        <v>48</v>
      </c>
      <c r="T161" s="1205" t="s">
        <v>854</v>
      </c>
      <c r="U161" s="1205"/>
      <c r="V161" s="1205"/>
      <c r="W161" s="1205"/>
      <c r="X161" s="1205"/>
      <c r="Y161" s="1205"/>
      <c r="Z161" s="907" t="n">
        <v>481</v>
      </c>
      <c r="AA161" s="1188" t="s">
        <v>855</v>
      </c>
      <c r="AB161" s="1188" t="s">
        <v>921</v>
      </c>
      <c r="AC161" s="423"/>
      <c r="AD161" s="423"/>
      <c r="AE161" s="423"/>
      <c r="AF161" s="423"/>
      <c r="AG161" s="423"/>
      <c r="AH161" s="423"/>
      <c r="AI161" s="423"/>
      <c r="AJ161" s="423"/>
      <c r="AK161" s="423"/>
      <c r="AL161" s="423"/>
      <c r="AM161" s="423"/>
      <c r="AN161" s="907" t="n">
        <v>481</v>
      </c>
    </row>
    <row r="162" customFormat="false" ht="28.5" hidden="true" customHeight="tru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176"/>
      <c r="K162" s="176"/>
      <c r="L162" s="3"/>
      <c r="M162" s="3"/>
      <c r="N162" s="3"/>
      <c r="O162" s="1162"/>
      <c r="P162" s="3"/>
      <c r="Q162" s="182"/>
      <c r="R162" s="1203"/>
      <c r="S162" s="869"/>
      <c r="T162" s="1205"/>
      <c r="U162" s="1205"/>
      <c r="V162" s="1205"/>
      <c r="W162" s="1205"/>
      <c r="X162" s="1205"/>
      <c r="Y162" s="1205"/>
      <c r="Z162" s="869" t="n">
        <v>482</v>
      </c>
      <c r="AA162" s="874" t="s">
        <v>856</v>
      </c>
      <c r="AB162" s="1188" t="s">
        <v>922</v>
      </c>
      <c r="AC162" s="816"/>
      <c r="AD162" s="816"/>
      <c r="AE162" s="816"/>
      <c r="AF162" s="816"/>
      <c r="AG162" s="816"/>
      <c r="AH162" s="816"/>
      <c r="AI162" s="816"/>
      <c r="AJ162" s="816"/>
      <c r="AK162" s="816"/>
      <c r="AL162" s="816"/>
      <c r="AM162" s="816"/>
      <c r="AN162" s="869" t="n">
        <v>482</v>
      </c>
    </row>
    <row r="163" customFormat="false" ht="28.5" hidden="true" customHeight="tru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176"/>
      <c r="K163" s="176"/>
      <c r="L163" s="3"/>
      <c r="M163" s="3"/>
      <c r="N163" s="3"/>
      <c r="O163" s="1162"/>
      <c r="P163" s="3"/>
      <c r="Q163" s="182"/>
      <c r="R163" s="1203"/>
      <c r="S163" s="869"/>
      <c r="T163" s="1205"/>
      <c r="U163" s="1205"/>
      <c r="V163" s="1205"/>
      <c r="W163" s="1205"/>
      <c r="X163" s="1205"/>
      <c r="Y163" s="1205"/>
      <c r="Z163" s="869" t="n">
        <v>483</v>
      </c>
      <c r="AA163" s="874" t="s">
        <v>728</v>
      </c>
      <c r="AB163" s="1188" t="s">
        <v>923</v>
      </c>
      <c r="AC163" s="816"/>
      <c r="AD163" s="816"/>
      <c r="AE163" s="816"/>
      <c r="AF163" s="816"/>
      <c r="AG163" s="816"/>
      <c r="AH163" s="816"/>
      <c r="AI163" s="816"/>
      <c r="AJ163" s="816"/>
      <c r="AK163" s="816"/>
      <c r="AL163" s="816"/>
      <c r="AM163" s="816"/>
      <c r="AN163" s="869" t="n">
        <v>483</v>
      </c>
    </row>
    <row r="164" customFormat="false" ht="28.5" hidden="true" customHeight="tru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176"/>
      <c r="K164" s="176"/>
      <c r="L164" s="3"/>
      <c r="M164" s="3"/>
      <c r="N164" s="3"/>
      <c r="O164" s="1162"/>
      <c r="P164" s="3"/>
      <c r="Q164" s="182"/>
      <c r="R164" s="1203"/>
      <c r="S164" s="869"/>
      <c r="T164" s="1205"/>
      <c r="U164" s="1205"/>
      <c r="V164" s="1205"/>
      <c r="W164" s="1205"/>
      <c r="X164" s="1205"/>
      <c r="Y164" s="1205"/>
      <c r="Z164" s="869" t="n">
        <v>484</v>
      </c>
      <c r="AA164" s="1191" t="s">
        <v>729</v>
      </c>
      <c r="AB164" s="1188" t="s">
        <v>924</v>
      </c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869" t="n">
        <v>484</v>
      </c>
    </row>
    <row r="165" customFormat="false" ht="28.5" hidden="true" customHeight="tru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176"/>
      <c r="K165" s="176"/>
      <c r="L165" s="3"/>
      <c r="M165" s="3"/>
      <c r="N165" s="3"/>
      <c r="O165" s="1162"/>
      <c r="P165" s="3"/>
      <c r="Q165" s="182"/>
      <c r="R165" s="1203" t="n">
        <v>5</v>
      </c>
      <c r="S165" s="1182" t="s">
        <v>730</v>
      </c>
      <c r="T165" s="1216"/>
      <c r="U165" s="1216"/>
      <c r="V165" s="1183"/>
      <c r="W165" s="1204"/>
      <c r="X165" s="1183"/>
      <c r="Y165" s="891"/>
      <c r="Z165" s="867"/>
      <c r="AA165" s="816"/>
      <c r="AB165" s="1188" t="s">
        <v>897</v>
      </c>
      <c r="AC165" s="816"/>
      <c r="AD165" s="816"/>
      <c r="AE165" s="816"/>
      <c r="AF165" s="816"/>
      <c r="AG165" s="816"/>
      <c r="AH165" s="816"/>
      <c r="AI165" s="816"/>
      <c r="AJ165" s="816"/>
      <c r="AK165" s="816"/>
      <c r="AL165" s="816"/>
      <c r="AM165" s="816"/>
      <c r="AN165" s="867"/>
    </row>
    <row r="166" customFormat="false" ht="12.75" hidden="true" customHeight="tru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176"/>
      <c r="K166" s="176"/>
      <c r="L166" s="3"/>
      <c r="M166" s="3"/>
      <c r="N166" s="3"/>
      <c r="O166" s="1162"/>
      <c r="P166" s="3"/>
      <c r="Q166" s="182"/>
      <c r="R166" s="1203"/>
      <c r="S166" s="869" t="n">
        <v>51</v>
      </c>
      <c r="T166" s="869" t="s">
        <v>857</v>
      </c>
      <c r="U166" s="869"/>
      <c r="V166" s="869"/>
      <c r="W166" s="869"/>
      <c r="X166" s="869"/>
      <c r="Y166" s="869"/>
      <c r="Z166" s="869" t="n">
        <v>511</v>
      </c>
      <c r="AA166" s="1188" t="s">
        <v>732</v>
      </c>
      <c r="AB166" s="1188" t="s">
        <v>925</v>
      </c>
      <c r="AC166" s="423"/>
      <c r="AD166" s="423"/>
      <c r="AE166" s="423"/>
      <c r="AF166" s="423"/>
      <c r="AG166" s="423"/>
      <c r="AH166" s="423"/>
      <c r="AI166" s="423"/>
      <c r="AJ166" s="423"/>
      <c r="AK166" s="423"/>
      <c r="AL166" s="423"/>
      <c r="AM166" s="423"/>
      <c r="AN166" s="869" t="n">
        <v>511</v>
      </c>
    </row>
    <row r="167" customFormat="false" ht="28.5" hidden="true" customHeight="tru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176"/>
      <c r="K167" s="176"/>
      <c r="L167" s="3"/>
      <c r="M167" s="3"/>
      <c r="N167" s="3"/>
      <c r="O167" s="1162"/>
      <c r="P167" s="3"/>
      <c r="Q167" s="182"/>
      <c r="R167" s="1203"/>
      <c r="S167" s="869"/>
      <c r="T167" s="869"/>
      <c r="U167" s="869"/>
      <c r="V167" s="869"/>
      <c r="W167" s="869"/>
      <c r="X167" s="869"/>
      <c r="Y167" s="869"/>
      <c r="Z167" s="869" t="n">
        <v>512</v>
      </c>
      <c r="AA167" s="874" t="s">
        <v>858</v>
      </c>
      <c r="AB167" s="1188" t="s">
        <v>926</v>
      </c>
      <c r="AC167" s="816"/>
      <c r="AD167" s="816"/>
      <c r="AE167" s="816"/>
      <c r="AF167" s="816"/>
      <c r="AG167" s="816"/>
      <c r="AH167" s="816"/>
      <c r="AI167" s="816"/>
      <c r="AJ167" s="816"/>
      <c r="AK167" s="816"/>
      <c r="AL167" s="816"/>
      <c r="AM167" s="816"/>
      <c r="AN167" s="869" t="n">
        <v>512</v>
      </c>
    </row>
    <row r="168" customFormat="false" ht="28.5" hidden="true" customHeight="tru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176"/>
      <c r="K168" s="176"/>
      <c r="L168" s="3"/>
      <c r="M168" s="3"/>
      <c r="N168" s="3"/>
      <c r="O168" s="1162"/>
      <c r="P168" s="3"/>
      <c r="Q168" s="182"/>
      <c r="R168" s="1203"/>
      <c r="S168" s="869"/>
      <c r="T168" s="869"/>
      <c r="U168" s="869"/>
      <c r="V168" s="869"/>
      <c r="W168" s="869"/>
      <c r="X168" s="869"/>
      <c r="Y168" s="869"/>
      <c r="Z168" s="884" t="n">
        <v>513</v>
      </c>
      <c r="AA168" s="1191" t="s">
        <v>859</v>
      </c>
      <c r="AB168" s="1188" t="s">
        <v>927</v>
      </c>
      <c r="AC168" s="1217"/>
      <c r="AD168" s="1217"/>
      <c r="AE168" s="1217"/>
      <c r="AF168" s="1217"/>
      <c r="AG168" s="1217"/>
      <c r="AH168" s="1217"/>
      <c r="AI168" s="1217"/>
      <c r="AJ168" s="1217"/>
      <c r="AK168" s="1217"/>
      <c r="AL168" s="1217"/>
      <c r="AM168" s="1217"/>
      <c r="AN168" s="884" t="n">
        <v>513</v>
      </c>
    </row>
    <row r="169" customFormat="false" ht="12.75" hidden="true" customHeight="tru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176"/>
      <c r="K169" s="176"/>
      <c r="L169" s="3"/>
      <c r="M169" s="3"/>
      <c r="N169" s="3"/>
      <c r="O169" s="1162"/>
      <c r="P169" s="3"/>
      <c r="Q169" s="182"/>
      <c r="R169" s="1203"/>
      <c r="S169" s="869" t="n">
        <v>52</v>
      </c>
      <c r="T169" s="869" t="s">
        <v>860</v>
      </c>
      <c r="U169" s="869"/>
      <c r="V169" s="869"/>
      <c r="W169" s="869"/>
      <c r="X169" s="869"/>
      <c r="Y169" s="869"/>
      <c r="Z169" s="869" t="n">
        <v>521</v>
      </c>
      <c r="AA169" s="874" t="s">
        <v>861</v>
      </c>
      <c r="AB169" s="1188" t="s">
        <v>928</v>
      </c>
      <c r="AC169" s="816"/>
      <c r="AD169" s="816"/>
      <c r="AE169" s="816"/>
      <c r="AF169" s="816"/>
      <c r="AG169" s="816"/>
      <c r="AH169" s="816"/>
      <c r="AI169" s="816"/>
      <c r="AJ169" s="816"/>
      <c r="AK169" s="816"/>
      <c r="AL169" s="816"/>
      <c r="AM169" s="816"/>
      <c r="AN169" s="869" t="n">
        <v>521</v>
      </c>
    </row>
    <row r="170" customFormat="false" ht="28.5" hidden="true" customHeight="tru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176"/>
      <c r="K170" s="176"/>
      <c r="L170" s="3"/>
      <c r="M170" s="3"/>
      <c r="N170" s="3"/>
      <c r="O170" s="1162"/>
      <c r="P170" s="3"/>
      <c r="Q170" s="182"/>
      <c r="R170" s="1203"/>
      <c r="S170" s="869"/>
      <c r="T170" s="869"/>
      <c r="U170" s="869"/>
      <c r="V170" s="869"/>
      <c r="W170" s="869"/>
      <c r="X170" s="869"/>
      <c r="Y170" s="869"/>
      <c r="Z170" s="869" t="n">
        <v>522</v>
      </c>
      <c r="AA170" s="874" t="s">
        <v>862</v>
      </c>
      <c r="AB170" s="1188" t="s">
        <v>929</v>
      </c>
      <c r="AC170" s="816"/>
      <c r="AD170" s="816"/>
      <c r="AE170" s="816"/>
      <c r="AF170" s="816"/>
      <c r="AG170" s="816"/>
      <c r="AH170" s="816"/>
      <c r="AI170" s="816"/>
      <c r="AJ170" s="816"/>
      <c r="AK170" s="816"/>
      <c r="AL170" s="816"/>
      <c r="AM170" s="816"/>
      <c r="AN170" s="869" t="n">
        <v>522</v>
      </c>
    </row>
    <row r="171" customFormat="false" ht="28.5" hidden="true" customHeight="tru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176"/>
      <c r="K171" s="176"/>
      <c r="L171" s="3"/>
      <c r="M171" s="3"/>
      <c r="N171" s="3"/>
      <c r="O171" s="1162"/>
      <c r="P171" s="3"/>
      <c r="Q171" s="182"/>
      <c r="R171" s="1203"/>
      <c r="S171" s="869"/>
      <c r="T171" s="869"/>
      <c r="U171" s="869"/>
      <c r="V171" s="869"/>
      <c r="W171" s="869"/>
      <c r="X171" s="869"/>
      <c r="Y171" s="869"/>
      <c r="Z171" s="869" t="n">
        <v>523</v>
      </c>
      <c r="AA171" s="874" t="s">
        <v>863</v>
      </c>
      <c r="AB171" s="1188" t="s">
        <v>930</v>
      </c>
      <c r="AC171" s="816"/>
      <c r="AD171" s="816"/>
      <c r="AE171" s="816"/>
      <c r="AF171" s="816"/>
      <c r="AG171" s="816"/>
      <c r="AH171" s="816"/>
      <c r="AI171" s="816"/>
      <c r="AJ171" s="816"/>
      <c r="AK171" s="816"/>
      <c r="AL171" s="816"/>
      <c r="AM171" s="816"/>
      <c r="AN171" s="869" t="n">
        <v>523</v>
      </c>
    </row>
    <row r="172" customFormat="false" ht="12.75" hidden="true" customHeight="tru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176"/>
      <c r="K172" s="176"/>
      <c r="L172" s="3"/>
      <c r="M172" s="3"/>
      <c r="N172" s="3"/>
      <c r="O172" s="1162"/>
      <c r="P172" s="3"/>
      <c r="Q172" s="182"/>
      <c r="R172" s="1203"/>
      <c r="S172" s="906" t="n">
        <v>53</v>
      </c>
      <c r="T172" s="887" t="s">
        <v>864</v>
      </c>
      <c r="U172" s="887"/>
      <c r="V172" s="887"/>
      <c r="W172" s="887"/>
      <c r="X172" s="887"/>
      <c r="Y172" s="5"/>
      <c r="Z172" s="907" t="n">
        <v>530</v>
      </c>
      <c r="AA172" s="887" t="s">
        <v>864</v>
      </c>
      <c r="AB172" s="1188" t="s">
        <v>931</v>
      </c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907" t="n">
        <v>530</v>
      </c>
    </row>
    <row r="173" customFormat="false" ht="28.5" hidden="true" customHeight="tru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176"/>
      <c r="K173" s="176"/>
      <c r="L173" s="3"/>
      <c r="M173" s="3"/>
      <c r="N173" s="3"/>
      <c r="O173" s="1162"/>
      <c r="P173" s="3"/>
      <c r="Q173" s="182"/>
      <c r="R173" s="1218" t="n">
        <v>6</v>
      </c>
      <c r="S173" s="1182" t="s">
        <v>741</v>
      </c>
      <c r="T173" s="1216"/>
      <c r="U173" s="1216"/>
      <c r="V173" s="1183"/>
      <c r="W173" s="1204"/>
      <c r="X173" s="1183"/>
      <c r="Y173" s="891"/>
      <c r="Z173" s="867"/>
      <c r="AA173" s="816"/>
      <c r="AB173" s="1188" t="s">
        <v>897</v>
      </c>
      <c r="AC173" s="816"/>
      <c r="AD173" s="816"/>
      <c r="AE173" s="816"/>
      <c r="AF173" s="816"/>
      <c r="AG173" s="816"/>
      <c r="AH173" s="816"/>
      <c r="AI173" s="816"/>
      <c r="AJ173" s="816"/>
      <c r="AK173" s="816"/>
      <c r="AL173" s="816"/>
      <c r="AM173" s="816"/>
      <c r="AN173" s="867"/>
    </row>
    <row r="174" customFormat="false" ht="12.75" hidden="true" customHeight="tru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176"/>
      <c r="K174" s="176"/>
      <c r="L174" s="3"/>
      <c r="M174" s="3"/>
      <c r="N174" s="3"/>
      <c r="O174" s="1162"/>
      <c r="P174" s="3"/>
      <c r="Q174" s="182"/>
      <c r="R174" s="1218"/>
      <c r="S174" s="869" t="n">
        <v>61</v>
      </c>
      <c r="T174" s="869" t="s">
        <v>741</v>
      </c>
      <c r="U174" s="869"/>
      <c r="V174" s="869"/>
      <c r="W174" s="869"/>
      <c r="X174" s="869"/>
      <c r="Y174" s="869"/>
      <c r="Z174" s="869" t="n">
        <v>611</v>
      </c>
      <c r="AA174" s="1219" t="s">
        <v>742</v>
      </c>
      <c r="AB174" s="1188" t="s">
        <v>635</v>
      </c>
      <c r="AC174" s="423"/>
      <c r="AD174" s="423"/>
      <c r="AE174" s="423"/>
      <c r="AF174" s="423"/>
      <c r="AG174" s="423"/>
      <c r="AH174" s="423"/>
      <c r="AI174" s="423"/>
      <c r="AJ174" s="423"/>
      <c r="AK174" s="423"/>
      <c r="AL174" s="423"/>
      <c r="AM174" s="423"/>
      <c r="AN174" s="869" t="n">
        <v>611</v>
      </c>
    </row>
    <row r="175" customFormat="false" ht="28.5" hidden="true" customHeight="tru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176"/>
      <c r="K175" s="176"/>
      <c r="L175" s="3"/>
      <c r="M175" s="3"/>
      <c r="N175" s="3"/>
      <c r="O175" s="1162"/>
      <c r="P175" s="3"/>
      <c r="Q175" s="182"/>
      <c r="R175" s="1218"/>
      <c r="S175" s="869"/>
      <c r="T175" s="869"/>
      <c r="U175" s="869"/>
      <c r="V175" s="869"/>
      <c r="W175" s="869"/>
      <c r="X175" s="869"/>
      <c r="Y175" s="869"/>
      <c r="Z175" s="869" t="n">
        <v>612</v>
      </c>
      <c r="AA175" s="1220" t="s">
        <v>743</v>
      </c>
      <c r="AB175" s="1188" t="s">
        <v>932</v>
      </c>
      <c r="AC175" s="816"/>
      <c r="AD175" s="816"/>
      <c r="AE175" s="816"/>
      <c r="AF175" s="816"/>
      <c r="AG175" s="816"/>
      <c r="AH175" s="816"/>
      <c r="AI175" s="816"/>
      <c r="AJ175" s="816"/>
      <c r="AK175" s="816"/>
      <c r="AL175" s="816"/>
      <c r="AM175" s="816"/>
      <c r="AN175" s="869" t="n">
        <v>612</v>
      </c>
    </row>
    <row r="176" customFormat="false" ht="28.5" hidden="true" customHeight="tru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176"/>
      <c r="K176" s="176"/>
      <c r="L176" s="3"/>
      <c r="M176" s="3"/>
      <c r="N176" s="3"/>
      <c r="O176" s="1162"/>
      <c r="P176" s="3"/>
      <c r="Q176" s="182"/>
      <c r="R176" s="1218"/>
      <c r="S176" s="869"/>
      <c r="T176" s="869"/>
      <c r="U176" s="869"/>
      <c r="V176" s="869"/>
      <c r="W176" s="869"/>
      <c r="X176" s="869"/>
      <c r="Y176" s="869"/>
      <c r="Z176" s="869" t="n">
        <v>613</v>
      </c>
      <c r="AA176" s="1220" t="s">
        <v>744</v>
      </c>
      <c r="AB176" s="1188" t="s">
        <v>933</v>
      </c>
      <c r="AC176" s="816"/>
      <c r="AD176" s="816"/>
      <c r="AE176" s="816"/>
      <c r="AF176" s="816"/>
      <c r="AG176" s="816"/>
      <c r="AH176" s="816"/>
      <c r="AI176" s="816"/>
      <c r="AJ176" s="816"/>
      <c r="AK176" s="816"/>
      <c r="AL176" s="816"/>
      <c r="AM176" s="816"/>
      <c r="AN176" s="869" t="n">
        <v>613</v>
      </c>
    </row>
    <row r="177" customFormat="false" ht="28.5" hidden="true" customHeight="tru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176"/>
      <c r="K177" s="176"/>
      <c r="L177" s="3"/>
      <c r="M177" s="3"/>
      <c r="N177" s="3"/>
      <c r="O177" s="1162"/>
      <c r="P177" s="3"/>
      <c r="Q177" s="182"/>
      <c r="R177" s="1218"/>
      <c r="S177" s="869"/>
      <c r="T177" s="869"/>
      <c r="U177" s="869"/>
      <c r="V177" s="869"/>
      <c r="W177" s="869"/>
      <c r="X177" s="869"/>
      <c r="Y177" s="869"/>
      <c r="Z177" s="869" t="n">
        <v>614</v>
      </c>
      <c r="AA177" s="1220" t="s">
        <v>745</v>
      </c>
      <c r="AB177" s="1188" t="s">
        <v>934</v>
      </c>
      <c r="AC177" s="816"/>
      <c r="AD177" s="816"/>
      <c r="AE177" s="816"/>
      <c r="AF177" s="816"/>
      <c r="AG177" s="816"/>
      <c r="AH177" s="816"/>
      <c r="AI177" s="816"/>
      <c r="AJ177" s="816"/>
      <c r="AK177" s="816"/>
      <c r="AL177" s="816"/>
      <c r="AM177" s="816"/>
      <c r="AN177" s="869" t="n">
        <v>614</v>
      </c>
    </row>
    <row r="178" customFormat="false" ht="28.5" hidden="true" customHeight="tru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176"/>
      <c r="K178" s="176"/>
      <c r="L178" s="3"/>
      <c r="M178" s="3"/>
      <c r="N178" s="3"/>
      <c r="O178" s="1162"/>
      <c r="P178" s="3"/>
      <c r="Q178" s="182"/>
      <c r="R178" s="1218"/>
      <c r="S178" s="869"/>
      <c r="T178" s="869"/>
      <c r="U178" s="869"/>
      <c r="V178" s="869"/>
      <c r="W178" s="869"/>
      <c r="X178" s="869"/>
      <c r="Y178" s="869"/>
      <c r="Z178" s="869" t="n">
        <v>615</v>
      </c>
      <c r="AA178" s="1220" t="s">
        <v>746</v>
      </c>
      <c r="AB178" s="1188" t="s">
        <v>935</v>
      </c>
      <c r="AC178" s="1221"/>
      <c r="AD178" s="1221"/>
      <c r="AE178" s="1221"/>
      <c r="AF178" s="1221"/>
      <c r="AG178" s="1221"/>
      <c r="AH178" s="1221"/>
      <c r="AI178" s="1221"/>
      <c r="AJ178" s="1221"/>
      <c r="AK178" s="1221"/>
      <c r="AL178" s="1221"/>
      <c r="AM178" s="1221"/>
      <c r="AN178" s="869" t="n">
        <v>615</v>
      </c>
    </row>
    <row r="179" customFormat="false" ht="28.5" hidden="true" customHeight="tru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176"/>
      <c r="K179" s="176"/>
      <c r="L179" s="3"/>
      <c r="M179" s="3"/>
      <c r="N179" s="3"/>
      <c r="O179" s="1162"/>
      <c r="P179" s="3"/>
      <c r="Q179" s="182"/>
      <c r="R179" s="1218"/>
      <c r="S179" s="869"/>
      <c r="T179" s="869"/>
      <c r="U179" s="869"/>
      <c r="V179" s="869"/>
      <c r="W179" s="869"/>
      <c r="X179" s="869"/>
      <c r="Y179" s="869"/>
      <c r="Z179" s="869" t="n">
        <v>616</v>
      </c>
      <c r="AA179" s="779" t="s">
        <v>747</v>
      </c>
      <c r="AB179" s="1188" t="s">
        <v>936</v>
      </c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869" t="n">
        <v>616</v>
      </c>
    </row>
    <row r="180" customFormat="false" ht="28.5" hidden="true" customHeight="tru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176"/>
      <c r="K180" s="176"/>
      <c r="L180" s="3"/>
      <c r="M180" s="3"/>
      <c r="N180" s="3"/>
      <c r="O180" s="1162"/>
      <c r="P180" s="3"/>
      <c r="Q180" s="182"/>
      <c r="R180" s="1218" t="n">
        <v>7</v>
      </c>
      <c r="S180" s="1222" t="s">
        <v>748</v>
      </c>
      <c r="T180" s="1216"/>
      <c r="U180" s="1216"/>
      <c r="V180" s="874"/>
      <c r="W180" s="1223"/>
      <c r="X180" s="874"/>
      <c r="Y180" s="891"/>
      <c r="Z180" s="867"/>
      <c r="AA180" s="816"/>
      <c r="AB180" s="1188" t="s">
        <v>897</v>
      </c>
      <c r="AC180" s="816"/>
      <c r="AD180" s="816"/>
      <c r="AE180" s="816"/>
      <c r="AF180" s="816"/>
      <c r="AG180" s="816"/>
      <c r="AH180" s="816"/>
      <c r="AI180" s="816"/>
      <c r="AJ180" s="816"/>
      <c r="AK180" s="816"/>
      <c r="AL180" s="816"/>
      <c r="AM180" s="816"/>
      <c r="AN180" s="867"/>
    </row>
    <row r="181" customFormat="false" ht="12.75" hidden="true" customHeight="tru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176"/>
      <c r="K181" s="176"/>
      <c r="L181" s="3"/>
      <c r="M181" s="3"/>
      <c r="N181" s="3"/>
      <c r="O181" s="1162"/>
      <c r="P181" s="3"/>
      <c r="Q181" s="182"/>
      <c r="R181" s="1218"/>
      <c r="S181" s="869" t="n">
        <v>73</v>
      </c>
      <c r="T181" s="869" t="s">
        <v>865</v>
      </c>
      <c r="U181" s="869"/>
      <c r="V181" s="869"/>
      <c r="W181" s="869"/>
      <c r="X181" s="869"/>
      <c r="Y181" s="869"/>
      <c r="Z181" s="869" t="n">
        <v>731</v>
      </c>
      <c r="AA181" s="928" t="s">
        <v>750</v>
      </c>
      <c r="AB181" s="1188" t="s">
        <v>937</v>
      </c>
      <c r="AC181" s="816"/>
      <c r="AD181" s="816"/>
      <c r="AE181" s="816"/>
      <c r="AF181" s="816"/>
      <c r="AG181" s="816"/>
      <c r="AH181" s="816"/>
      <c r="AI181" s="816"/>
      <c r="AJ181" s="816"/>
      <c r="AK181" s="816"/>
      <c r="AL181" s="816"/>
      <c r="AM181" s="816"/>
      <c r="AN181" s="869" t="n">
        <v>731</v>
      </c>
    </row>
    <row r="182" customFormat="false" ht="28.5" hidden="true" customHeight="tru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176"/>
      <c r="K182" s="176"/>
      <c r="L182" s="3"/>
      <c r="M182" s="3"/>
      <c r="N182" s="3"/>
      <c r="O182" s="1162"/>
      <c r="P182" s="3"/>
      <c r="Q182" s="182"/>
      <c r="R182" s="1218"/>
      <c r="S182" s="869"/>
      <c r="T182" s="869"/>
      <c r="U182" s="869"/>
      <c r="V182" s="869"/>
      <c r="W182" s="869"/>
      <c r="X182" s="869"/>
      <c r="Y182" s="869"/>
      <c r="Z182" s="869" t="n">
        <v>732</v>
      </c>
      <c r="AA182" s="928" t="s">
        <v>751</v>
      </c>
      <c r="AB182" s="1188" t="s">
        <v>938</v>
      </c>
      <c r="AC182" s="816"/>
      <c r="AD182" s="816"/>
      <c r="AE182" s="816"/>
      <c r="AF182" s="816"/>
      <c r="AG182" s="816"/>
      <c r="AH182" s="816"/>
      <c r="AI182" s="816"/>
      <c r="AJ182" s="816"/>
      <c r="AK182" s="816"/>
      <c r="AL182" s="816"/>
      <c r="AM182" s="816"/>
      <c r="AN182" s="869" t="n">
        <v>732</v>
      </c>
    </row>
    <row r="183" customFormat="false" ht="12.75" hidden="true" customHeight="tru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176"/>
      <c r="K183" s="176"/>
      <c r="L183" s="3"/>
      <c r="M183" s="3"/>
      <c r="N183" s="3"/>
      <c r="O183" s="1162"/>
      <c r="P183" s="3"/>
      <c r="Q183" s="182"/>
      <c r="R183" s="1218"/>
      <c r="S183" s="869" t="n">
        <v>74</v>
      </c>
      <c r="T183" s="869" t="s">
        <v>866</v>
      </c>
      <c r="U183" s="869"/>
      <c r="V183" s="869"/>
      <c r="W183" s="869"/>
      <c r="X183" s="869"/>
      <c r="Y183" s="869"/>
      <c r="Z183" s="907" t="n">
        <v>741</v>
      </c>
      <c r="AA183" s="1224" t="s">
        <v>753</v>
      </c>
      <c r="AB183" s="1188" t="s">
        <v>939</v>
      </c>
      <c r="AC183" s="423"/>
      <c r="AD183" s="423"/>
      <c r="AE183" s="423"/>
      <c r="AF183" s="423"/>
      <c r="AG183" s="423"/>
      <c r="AH183" s="423"/>
      <c r="AI183" s="423"/>
      <c r="AJ183" s="423"/>
      <c r="AK183" s="423"/>
      <c r="AL183" s="423"/>
      <c r="AM183" s="423"/>
      <c r="AN183" s="907" t="n">
        <v>741</v>
      </c>
    </row>
    <row r="184" customFormat="false" ht="28.5" hidden="true" customHeight="tru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176"/>
      <c r="K184" s="176"/>
      <c r="L184" s="3"/>
      <c r="M184" s="3"/>
      <c r="N184" s="3"/>
      <c r="O184" s="1162"/>
      <c r="P184" s="3"/>
      <c r="Q184" s="182"/>
      <c r="R184" s="1218"/>
      <c r="S184" s="869"/>
      <c r="T184" s="869"/>
      <c r="U184" s="869"/>
      <c r="V184" s="869"/>
      <c r="W184" s="869"/>
      <c r="X184" s="869"/>
      <c r="Y184" s="869"/>
      <c r="Z184" s="869" t="n">
        <v>742</v>
      </c>
      <c r="AA184" s="1225" t="s">
        <v>754</v>
      </c>
      <c r="AB184" s="1188" t="s">
        <v>940</v>
      </c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869" t="n">
        <v>742</v>
      </c>
    </row>
    <row r="185" customFormat="false" ht="28.5" hidden="true" customHeight="tru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176"/>
      <c r="K185" s="176"/>
      <c r="L185" s="3"/>
      <c r="M185" s="3"/>
      <c r="N185" s="3"/>
      <c r="O185" s="1162"/>
      <c r="P185" s="3"/>
      <c r="Q185" s="182"/>
      <c r="R185" s="1218" t="n">
        <v>8</v>
      </c>
      <c r="S185" s="1222" t="s">
        <v>755</v>
      </c>
      <c r="T185" s="1216"/>
      <c r="U185" s="1216"/>
      <c r="V185" s="874"/>
      <c r="W185" s="1223"/>
      <c r="X185" s="874"/>
      <c r="Y185" s="891"/>
      <c r="Z185" s="867"/>
      <c r="AA185" s="816"/>
      <c r="AB185" s="1188" t="s">
        <v>897</v>
      </c>
      <c r="AC185" s="816"/>
      <c r="AD185" s="816"/>
      <c r="AE185" s="816"/>
      <c r="AF185" s="816"/>
      <c r="AG185" s="816"/>
      <c r="AH185" s="816"/>
      <c r="AI185" s="816"/>
      <c r="AJ185" s="816"/>
      <c r="AK185" s="816"/>
      <c r="AL185" s="816"/>
      <c r="AM185" s="816"/>
      <c r="AN185" s="867"/>
    </row>
    <row r="186" customFormat="false" ht="12.75" hidden="true" customHeight="tru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176"/>
      <c r="K186" s="176"/>
      <c r="L186" s="3"/>
      <c r="M186" s="3"/>
      <c r="N186" s="3"/>
      <c r="O186" s="1162"/>
      <c r="P186" s="3"/>
      <c r="Q186" s="182"/>
      <c r="R186" s="1218"/>
      <c r="S186" s="869" t="n">
        <v>83</v>
      </c>
      <c r="T186" s="869" t="s">
        <v>867</v>
      </c>
      <c r="U186" s="869"/>
      <c r="V186" s="869"/>
      <c r="W186" s="869"/>
      <c r="X186" s="869"/>
      <c r="Y186" s="869"/>
      <c r="Z186" s="869" t="n">
        <v>831</v>
      </c>
      <c r="AA186" s="1219" t="s">
        <v>757</v>
      </c>
      <c r="AB186" s="1188" t="s">
        <v>941</v>
      </c>
      <c r="AC186" s="423"/>
      <c r="AD186" s="423"/>
      <c r="AE186" s="423"/>
      <c r="AF186" s="423"/>
      <c r="AG186" s="423"/>
      <c r="AH186" s="423"/>
      <c r="AI186" s="423"/>
      <c r="AJ186" s="423"/>
      <c r="AK186" s="423"/>
      <c r="AL186" s="423"/>
      <c r="AM186" s="423"/>
      <c r="AN186" s="869" t="n">
        <v>831</v>
      </c>
    </row>
    <row r="187" customFormat="false" ht="28.5" hidden="true" customHeight="tru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176"/>
      <c r="K187" s="176"/>
      <c r="L187" s="3"/>
      <c r="M187" s="3"/>
      <c r="N187" s="3"/>
      <c r="O187" s="1162"/>
      <c r="P187" s="3"/>
      <c r="Q187" s="182"/>
      <c r="R187" s="1218"/>
      <c r="S187" s="869"/>
      <c r="T187" s="869"/>
      <c r="U187" s="869"/>
      <c r="V187" s="869"/>
      <c r="W187" s="869"/>
      <c r="X187" s="869"/>
      <c r="Y187" s="869"/>
      <c r="Z187" s="869" t="n">
        <v>832</v>
      </c>
      <c r="AA187" s="928" t="s">
        <v>868</v>
      </c>
      <c r="AB187" s="1188" t="s">
        <v>942</v>
      </c>
      <c r="AC187" s="816"/>
      <c r="AD187" s="816"/>
      <c r="AE187" s="816"/>
      <c r="AF187" s="816"/>
      <c r="AG187" s="816"/>
      <c r="AH187" s="816"/>
      <c r="AI187" s="816"/>
      <c r="AJ187" s="816"/>
      <c r="AK187" s="816"/>
      <c r="AL187" s="816"/>
      <c r="AM187" s="816"/>
      <c r="AN187" s="869" t="n">
        <v>832</v>
      </c>
    </row>
    <row r="188" customFormat="false" ht="28.5" hidden="true" customHeight="tru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176"/>
      <c r="K188" s="176"/>
      <c r="L188" s="3"/>
      <c r="M188" s="3"/>
      <c r="N188" s="3"/>
      <c r="O188" s="1162"/>
      <c r="P188" s="3"/>
      <c r="Q188" s="182"/>
      <c r="R188" s="1218"/>
      <c r="S188" s="869"/>
      <c r="T188" s="869"/>
      <c r="U188" s="869"/>
      <c r="V188" s="869"/>
      <c r="W188" s="869"/>
      <c r="X188" s="869"/>
      <c r="Y188" s="869"/>
      <c r="Z188" s="869" t="n">
        <v>833</v>
      </c>
      <c r="AA188" s="928" t="s">
        <v>759</v>
      </c>
      <c r="AB188" s="1188" t="s">
        <v>943</v>
      </c>
      <c r="AC188" s="816"/>
      <c r="AD188" s="816"/>
      <c r="AE188" s="816"/>
      <c r="AF188" s="816"/>
      <c r="AG188" s="816"/>
      <c r="AH188" s="816"/>
      <c r="AI188" s="816"/>
      <c r="AJ188" s="816"/>
      <c r="AK188" s="816"/>
      <c r="AL188" s="816"/>
      <c r="AM188" s="816"/>
      <c r="AN188" s="869" t="n">
        <v>833</v>
      </c>
    </row>
    <row r="189" customFormat="false" ht="28.5" hidden="true" customHeight="true" outlineLevel="0" collapsed="false">
      <c r="A189" s="3"/>
      <c r="B189" s="3"/>
      <c r="C189" s="3"/>
      <c r="D189" s="3"/>
      <c r="E189" s="3"/>
      <c r="F189" s="3"/>
      <c r="G189" s="3"/>
      <c r="H189" s="3"/>
      <c r="I189" s="3"/>
      <c r="J189" s="176"/>
      <c r="K189" s="176"/>
      <c r="L189" s="3"/>
      <c r="M189" s="3"/>
      <c r="N189" s="3"/>
      <c r="O189" s="1162"/>
      <c r="P189" s="3"/>
      <c r="Q189" s="182"/>
      <c r="R189" s="1218"/>
      <c r="S189" s="869"/>
      <c r="T189" s="869"/>
      <c r="U189" s="869"/>
      <c r="V189" s="869"/>
      <c r="W189" s="869"/>
      <c r="X189" s="869"/>
      <c r="Y189" s="869"/>
      <c r="Z189" s="884" t="n">
        <v>834</v>
      </c>
      <c r="AA189" s="779" t="s">
        <v>760</v>
      </c>
      <c r="AB189" s="1188" t="s">
        <v>944</v>
      </c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884" t="n">
        <v>834</v>
      </c>
    </row>
    <row r="190" customFormat="false" ht="15" hidden="true" customHeight="true" outlineLevel="0" collapsed="false">
      <c r="A190" s="3"/>
      <c r="B190" s="3"/>
      <c r="C190" s="3"/>
      <c r="D190" s="3"/>
      <c r="E190" s="3"/>
      <c r="F190" s="3"/>
      <c r="G190" s="3"/>
      <c r="H190" s="3"/>
      <c r="I190" s="3"/>
      <c r="J190" s="176"/>
      <c r="K190" s="176"/>
      <c r="L190" s="3"/>
      <c r="M190" s="3"/>
      <c r="N190" s="3"/>
      <c r="O190" s="1162"/>
      <c r="P190" s="3"/>
      <c r="Q190" s="182"/>
      <c r="R190" s="1218"/>
      <c r="S190" s="869" t="n">
        <v>84</v>
      </c>
      <c r="T190" s="869" t="s">
        <v>869</v>
      </c>
      <c r="U190" s="869"/>
      <c r="V190" s="869"/>
      <c r="W190" s="869"/>
      <c r="X190" s="869"/>
      <c r="Y190" s="869"/>
      <c r="Z190" s="869" t="n">
        <v>841</v>
      </c>
      <c r="AA190" s="1220" t="s">
        <v>762</v>
      </c>
      <c r="AB190" s="1188" t="s">
        <v>945</v>
      </c>
      <c r="AC190" s="1221"/>
      <c r="AD190" s="1221"/>
      <c r="AE190" s="1221"/>
      <c r="AF190" s="1221"/>
      <c r="AG190" s="1221"/>
      <c r="AH190" s="1221"/>
      <c r="AI190" s="1221"/>
      <c r="AJ190" s="1221"/>
      <c r="AK190" s="1221"/>
      <c r="AL190" s="1221"/>
      <c r="AM190" s="1221"/>
      <c r="AN190" s="869" t="n">
        <v>841</v>
      </c>
    </row>
    <row r="191" customFormat="false" ht="28.5" hidden="true" customHeight="true" outlineLevel="0" collapsed="false">
      <c r="A191" s="3"/>
      <c r="B191" s="3"/>
      <c r="C191" s="3"/>
      <c r="D191" s="3"/>
      <c r="E191" s="3"/>
      <c r="F191" s="3" t="s">
        <v>767</v>
      </c>
      <c r="G191" s="3"/>
      <c r="H191" s="3"/>
      <c r="I191" s="3"/>
      <c r="J191" s="176"/>
      <c r="K191" s="176"/>
      <c r="L191" s="3"/>
      <c r="M191" s="3"/>
      <c r="N191" s="3"/>
      <c r="O191" s="1162"/>
      <c r="P191" s="3"/>
      <c r="Q191" s="182"/>
      <c r="R191" s="1218"/>
      <c r="S191" s="869"/>
      <c r="T191" s="869"/>
      <c r="U191" s="869"/>
      <c r="V191" s="869"/>
      <c r="W191" s="869"/>
      <c r="X191" s="869"/>
      <c r="Y191" s="869"/>
      <c r="Z191" s="869" t="n">
        <v>842</v>
      </c>
      <c r="AA191" s="1220" t="s">
        <v>763</v>
      </c>
      <c r="AB191" s="1188" t="s">
        <v>946</v>
      </c>
      <c r="AC191" s="816"/>
      <c r="AD191" s="816"/>
      <c r="AE191" s="816"/>
      <c r="AF191" s="816"/>
      <c r="AG191" s="816"/>
      <c r="AH191" s="816"/>
      <c r="AI191" s="816"/>
      <c r="AJ191" s="816"/>
      <c r="AK191" s="816"/>
      <c r="AL191" s="816"/>
      <c r="AM191" s="816"/>
      <c r="AN191" s="869" t="n">
        <v>842</v>
      </c>
    </row>
    <row r="192" customFormat="false" ht="28.5" hidden="true" customHeight="true" outlineLevel="0" collapsed="false">
      <c r="A192" s="3"/>
      <c r="B192" s="3"/>
      <c r="C192" s="3"/>
      <c r="D192" s="929" t="n">
        <v>8000</v>
      </c>
      <c r="E192" s="929"/>
      <c r="F192" s="929" t="n">
        <v>25000</v>
      </c>
      <c r="G192" s="931"/>
      <c r="H192" s="3"/>
      <c r="I192" s="3"/>
      <c r="J192" s="176"/>
      <c r="K192" s="176"/>
      <c r="L192" s="3"/>
      <c r="M192" s="3"/>
      <c r="N192" s="3"/>
      <c r="O192" s="1162"/>
      <c r="P192" s="3"/>
      <c r="Q192" s="182"/>
      <c r="R192" s="1218"/>
      <c r="S192" s="869"/>
      <c r="T192" s="869"/>
      <c r="U192" s="869"/>
      <c r="V192" s="869"/>
      <c r="W192" s="869"/>
      <c r="X192" s="869"/>
      <c r="Y192" s="869"/>
      <c r="Z192" s="869" t="n">
        <v>843</v>
      </c>
      <c r="AA192" s="1220" t="s">
        <v>764</v>
      </c>
      <c r="AB192" s="1188" t="s">
        <v>947</v>
      </c>
      <c r="AC192" s="816"/>
      <c r="AD192" s="816"/>
      <c r="AE192" s="816"/>
      <c r="AF192" s="816"/>
      <c r="AG192" s="816"/>
      <c r="AH192" s="816"/>
      <c r="AI192" s="816"/>
      <c r="AJ192" s="816"/>
      <c r="AK192" s="816"/>
      <c r="AL192" s="816"/>
      <c r="AM192" s="816"/>
      <c r="AN192" s="869" t="n">
        <v>843</v>
      </c>
    </row>
    <row r="193" customFormat="false" ht="28.5" hidden="true" customHeight="true" outlineLevel="0" collapsed="false">
      <c r="A193" s="3"/>
      <c r="B193" s="3"/>
      <c r="C193" s="3"/>
      <c r="D193" s="929" t="n">
        <v>25001</v>
      </c>
      <c r="E193" s="929"/>
      <c r="F193" s="929" t="n">
        <v>50000</v>
      </c>
      <c r="G193" s="931"/>
      <c r="H193" s="3"/>
      <c r="I193" s="3"/>
      <c r="J193" s="176"/>
      <c r="K193" s="176"/>
      <c r="L193" s="3"/>
      <c r="M193" s="3"/>
      <c r="N193" s="3"/>
      <c r="O193" s="1162"/>
      <c r="P193" s="3"/>
      <c r="Q193" s="182"/>
      <c r="R193" s="1218"/>
      <c r="S193" s="869"/>
      <c r="T193" s="869"/>
      <c r="U193" s="869"/>
      <c r="V193" s="869"/>
      <c r="W193" s="869"/>
      <c r="X193" s="869"/>
      <c r="Y193" s="869"/>
      <c r="Z193" s="869" t="n">
        <v>844</v>
      </c>
      <c r="AA193" s="1220" t="s">
        <v>765</v>
      </c>
      <c r="AB193" s="1188" t="s">
        <v>948</v>
      </c>
      <c r="AC193" s="816"/>
      <c r="AD193" s="816"/>
      <c r="AE193" s="816"/>
      <c r="AF193" s="816"/>
      <c r="AG193" s="816"/>
      <c r="AH193" s="816"/>
      <c r="AI193" s="816"/>
      <c r="AJ193" s="816"/>
      <c r="AK193" s="816"/>
      <c r="AL193" s="816"/>
      <c r="AM193" s="816"/>
      <c r="AN193" s="869" t="n">
        <v>844</v>
      </c>
    </row>
    <row r="194" customFormat="false" ht="28.5" hidden="true" customHeight="true" outlineLevel="0" collapsed="false">
      <c r="A194" s="3"/>
      <c r="B194" s="3"/>
      <c r="C194" s="3"/>
      <c r="D194" s="929" t="n">
        <v>50001</v>
      </c>
      <c r="E194" s="929"/>
      <c r="F194" s="929" t="n">
        <v>75000</v>
      </c>
      <c r="G194" s="931"/>
      <c r="H194" s="3"/>
      <c r="I194" s="3"/>
      <c r="J194" s="176"/>
      <c r="K194" s="176"/>
      <c r="L194" s="3"/>
      <c r="M194" s="3"/>
      <c r="N194" s="3"/>
      <c r="O194" s="1162"/>
      <c r="P194" s="3"/>
      <c r="Q194" s="182"/>
      <c r="R194" s="1218" t="n">
        <v>9</v>
      </c>
      <c r="S194" s="1222" t="s">
        <v>766</v>
      </c>
      <c r="T194" s="1216"/>
      <c r="U194" s="1216"/>
      <c r="V194" s="1226"/>
      <c r="W194" s="1227"/>
      <c r="X194" s="1226"/>
      <c r="Y194" s="891"/>
      <c r="Z194" s="867"/>
      <c r="AA194" s="816"/>
      <c r="AB194" s="1188" t="s">
        <v>897</v>
      </c>
      <c r="AC194" s="816"/>
      <c r="AD194" s="816"/>
      <c r="AE194" s="816"/>
      <c r="AF194" s="816"/>
      <c r="AG194" s="816"/>
      <c r="AH194" s="816"/>
      <c r="AI194" s="816"/>
      <c r="AJ194" s="816"/>
      <c r="AK194" s="816"/>
      <c r="AL194" s="816"/>
      <c r="AM194" s="816"/>
      <c r="AN194" s="867"/>
    </row>
    <row r="195" customFormat="false" ht="15" hidden="true" customHeight="true" outlineLevel="0" collapsed="false">
      <c r="A195" s="3"/>
      <c r="B195" s="3"/>
      <c r="C195" s="3"/>
      <c r="D195" s="931" t="n">
        <v>75000</v>
      </c>
      <c r="E195" s="931"/>
      <c r="F195" s="931" t="n">
        <v>4000000</v>
      </c>
      <c r="G195" s="931"/>
      <c r="H195" s="929" t="n">
        <v>10000</v>
      </c>
      <c r="I195" s="3"/>
      <c r="J195" s="176"/>
      <c r="K195" s="176"/>
      <c r="L195" s="3"/>
      <c r="M195" s="3"/>
      <c r="N195" s="3"/>
      <c r="O195" s="1162"/>
      <c r="P195" s="3"/>
      <c r="Q195" s="182"/>
      <c r="R195" s="1228"/>
      <c r="S195" s="926" t="n">
        <v>90</v>
      </c>
      <c r="T195" s="1229" t="s">
        <v>766</v>
      </c>
      <c r="U195" s="1229"/>
      <c r="V195" s="1229"/>
      <c r="W195" s="1229"/>
      <c r="X195" s="1229"/>
      <c r="Y195" s="891"/>
      <c r="Z195" s="869" t="n">
        <v>900</v>
      </c>
      <c r="AA195" s="928" t="s">
        <v>766</v>
      </c>
      <c r="AB195" s="1188" t="s">
        <v>949</v>
      </c>
      <c r="AC195" s="816"/>
      <c r="AD195" s="816"/>
      <c r="AE195" s="816"/>
      <c r="AF195" s="816"/>
      <c r="AG195" s="816"/>
      <c r="AH195" s="816"/>
      <c r="AI195" s="816"/>
      <c r="AJ195" s="816"/>
      <c r="AK195" s="816"/>
      <c r="AL195" s="816"/>
      <c r="AM195" s="816"/>
      <c r="AN195" s="869" t="n">
        <v>900</v>
      </c>
    </row>
    <row r="196" customFormat="false" ht="28.5" hidden="true" customHeight="true" outlineLevel="0" collapsed="false">
      <c r="A196" s="3"/>
      <c r="B196" s="3"/>
      <c r="C196" s="3"/>
      <c r="D196" s="3"/>
      <c r="E196" s="3"/>
      <c r="F196" s="3"/>
      <c r="G196" s="3"/>
      <c r="H196" s="929" t="n">
        <v>15000</v>
      </c>
      <c r="I196" s="3"/>
      <c r="J196" s="176"/>
      <c r="K196" s="176"/>
      <c r="L196" s="3"/>
      <c r="M196" s="3"/>
      <c r="N196" s="3"/>
      <c r="O196" s="1162"/>
      <c r="P196" s="3"/>
      <c r="Q196" s="182"/>
      <c r="R196" s="3"/>
      <c r="S196" s="3"/>
      <c r="T196" s="3"/>
      <c r="U196" s="3"/>
      <c r="V196" s="3"/>
      <c r="W196" s="935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</row>
    <row r="197" customFormat="false" ht="28.5" hidden="true" customHeight="true" outlineLevel="0" collapsed="false">
      <c r="A197" s="3"/>
      <c r="B197" s="3"/>
      <c r="C197" s="3"/>
      <c r="D197" s="3"/>
      <c r="E197" s="3"/>
      <c r="F197" s="3"/>
      <c r="G197" s="3"/>
      <c r="H197" s="929" t="n">
        <v>17500</v>
      </c>
      <c r="I197" s="3"/>
      <c r="J197" s="176"/>
      <c r="K197" s="176"/>
      <c r="L197" s="3"/>
      <c r="M197" s="3"/>
      <c r="N197" s="3"/>
      <c r="O197" s="1162"/>
      <c r="P197" s="3"/>
      <c r="Q197" s="182"/>
      <c r="R197" s="3"/>
      <c r="S197" s="3"/>
      <c r="T197" s="3"/>
      <c r="U197" s="3"/>
      <c r="V197" s="3"/>
      <c r="W197" s="935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</row>
    <row r="198" customFormat="false" ht="28.5" hidden="true" customHeight="true" outlineLevel="0" collapsed="false">
      <c r="A198" s="3"/>
      <c r="B198" s="3"/>
      <c r="C198" s="3"/>
      <c r="D198" s="3"/>
      <c r="E198" s="3"/>
      <c r="F198" s="3"/>
      <c r="G198" s="3"/>
      <c r="H198" s="931" t="n">
        <v>20000</v>
      </c>
      <c r="I198" s="3"/>
      <c r="J198" s="176"/>
      <c r="K198" s="176"/>
      <c r="L198" s="3"/>
      <c r="M198" s="3"/>
      <c r="N198" s="3"/>
      <c r="O198" s="1162"/>
      <c r="P198" s="3"/>
      <c r="Q198" s="182"/>
      <c r="R198" s="3"/>
      <c r="S198" s="3"/>
      <c r="T198" s="3"/>
      <c r="U198" s="3"/>
      <c r="V198" s="3"/>
      <c r="W198" s="935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</row>
    <row r="199" customFormat="false" ht="28.5" hidden="true" customHeight="tru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176"/>
      <c r="K199" s="176"/>
      <c r="L199" s="3"/>
      <c r="M199" s="3"/>
      <c r="N199" s="3"/>
      <c r="O199" s="1162"/>
      <c r="P199" s="1230" t="n">
        <v>5000</v>
      </c>
      <c r="Q199" s="182"/>
      <c r="R199" s="3"/>
      <c r="S199" s="3"/>
      <c r="T199" s="3"/>
      <c r="U199" s="3"/>
      <c r="V199" s="3"/>
      <c r="W199" s="935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</row>
    <row r="200" customFormat="false" ht="28.5" hidden="true" customHeight="tru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176"/>
      <c r="K200" s="176"/>
      <c r="L200" s="3"/>
      <c r="M200" s="3"/>
      <c r="N200" s="3"/>
      <c r="O200" s="1162"/>
      <c r="P200" s="1230" t="n">
        <v>8000</v>
      </c>
      <c r="Q200" s="182"/>
      <c r="R200" s="3"/>
      <c r="S200" s="3"/>
      <c r="T200" s="3"/>
      <c r="U200" s="3"/>
      <c r="V200" s="3"/>
      <c r="W200" s="935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</row>
    <row r="201" customFormat="false" ht="28.5" hidden="true" customHeight="true" outlineLevel="0" collapsed="false">
      <c r="A201" s="3"/>
      <c r="B201" s="3"/>
      <c r="C201" s="3"/>
      <c r="D201" s="3"/>
      <c r="E201" s="3"/>
      <c r="F201" s="3"/>
      <c r="G201" s="3"/>
      <c r="H201" s="3"/>
      <c r="I201" s="3"/>
      <c r="J201" s="176"/>
      <c r="K201" s="176"/>
      <c r="L201" s="3"/>
      <c r="M201" s="3"/>
      <c r="N201" s="3"/>
      <c r="O201" s="1162"/>
      <c r="P201" s="1230" t="n">
        <v>10000</v>
      </c>
      <c r="Q201" s="182"/>
      <c r="R201" s="3"/>
      <c r="S201" s="3"/>
      <c r="T201" s="3"/>
      <c r="U201" s="3"/>
      <c r="V201" s="3"/>
      <c r="W201" s="935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</row>
    <row r="202" customFormat="false" ht="28.5" hidden="true" customHeight="tru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176"/>
      <c r="K202" s="176"/>
      <c r="L202" s="3"/>
      <c r="M202" s="3"/>
      <c r="N202" s="3"/>
      <c r="O202" s="1162"/>
      <c r="P202" s="932" t="n">
        <v>15000</v>
      </c>
      <c r="Q202" s="182"/>
      <c r="R202" s="3"/>
      <c r="S202" s="3"/>
      <c r="T202" s="3"/>
      <c r="U202" s="3"/>
      <c r="V202" s="3"/>
      <c r="W202" s="935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</row>
    <row r="203" customFormat="false" ht="28.5" hidden="true" customHeight="tru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176"/>
      <c r="K203" s="176"/>
      <c r="L203" s="3"/>
      <c r="M203" s="3"/>
      <c r="N203" s="3"/>
      <c r="O203" s="1162"/>
      <c r="P203" s="3"/>
      <c r="Q203" s="182"/>
      <c r="R203" s="3"/>
      <c r="S203" s="3"/>
      <c r="T203" s="3"/>
      <c r="U203" s="3"/>
      <c r="V203" s="3"/>
      <c r="W203" s="935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</row>
    <row r="204" customFormat="false" ht="28.5" hidden="true" customHeight="true" outlineLevel="0" collapsed="false">
      <c r="A204" s="3"/>
      <c r="B204" s="3"/>
      <c r="C204" s="3"/>
      <c r="D204" s="3"/>
      <c r="E204" s="3"/>
      <c r="F204" s="3"/>
      <c r="G204" s="3"/>
      <c r="H204" s="3"/>
      <c r="I204" s="3"/>
      <c r="J204" s="176"/>
      <c r="K204" s="176"/>
      <c r="L204" s="3"/>
      <c r="M204" s="3"/>
      <c r="N204" s="3"/>
      <c r="O204" s="1162"/>
      <c r="P204" s="3"/>
      <c r="Q204" s="182"/>
      <c r="R204" s="3"/>
      <c r="S204" s="3"/>
      <c r="T204" s="3"/>
      <c r="U204" s="3"/>
      <c r="V204" s="3"/>
      <c r="W204" s="935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</row>
    <row r="205" customFormat="false" ht="28.5" hidden="true" customHeight="true" outlineLevel="0" collapsed="false">
      <c r="A205" s="3"/>
      <c r="B205" s="3"/>
      <c r="C205" s="3"/>
      <c r="D205" s="3"/>
      <c r="E205" s="3"/>
      <c r="F205" s="3"/>
      <c r="G205" s="3"/>
      <c r="H205" s="3"/>
      <c r="I205" s="3"/>
      <c r="J205" s="176"/>
      <c r="K205" s="176"/>
      <c r="L205" s="3"/>
      <c r="M205" s="3"/>
      <c r="N205" s="3"/>
      <c r="O205" s="1162"/>
      <c r="P205" s="3"/>
      <c r="Q205" s="182"/>
      <c r="R205" s="3"/>
      <c r="S205" s="3"/>
      <c r="T205" s="3"/>
      <c r="U205" s="3"/>
      <c r="V205" s="3"/>
      <c r="W205" s="935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</row>
    <row r="206" customFormat="false" ht="28.5" hidden="true" customHeight="true" outlineLevel="0" collapsed="false">
      <c r="A206" s="3"/>
      <c r="B206" s="3"/>
      <c r="C206" s="3"/>
      <c r="D206" s="3"/>
      <c r="E206" s="3"/>
      <c r="F206" s="3"/>
      <c r="G206" s="3"/>
      <c r="H206" s="3"/>
      <c r="I206" s="3"/>
      <c r="J206" s="176"/>
      <c r="K206" s="176"/>
      <c r="L206" s="3"/>
      <c r="M206" s="3"/>
      <c r="N206" s="3"/>
      <c r="O206" s="1162"/>
      <c r="P206" s="3"/>
      <c r="Q206" s="182"/>
      <c r="R206" s="3"/>
      <c r="S206" s="3"/>
      <c r="T206" s="3"/>
      <c r="U206" s="3"/>
      <c r="V206" s="3"/>
      <c r="W206" s="935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</row>
    <row r="207" customFormat="false" ht="28.5" hidden="true" customHeight="true" outlineLevel="0" collapsed="false">
      <c r="A207" s="3"/>
      <c r="B207" s="3"/>
      <c r="C207" s="3"/>
      <c r="D207" s="3"/>
      <c r="E207" s="3"/>
      <c r="F207" s="3"/>
      <c r="G207" s="3"/>
      <c r="H207" s="3"/>
      <c r="I207" s="3"/>
      <c r="J207" s="176"/>
      <c r="K207" s="176"/>
      <c r="L207" s="3"/>
      <c r="M207" s="3"/>
      <c r="N207" s="3"/>
      <c r="O207" s="1162"/>
      <c r="P207" s="3"/>
      <c r="Q207" s="182"/>
      <c r="R207" s="3"/>
      <c r="S207" s="3"/>
      <c r="T207" s="3"/>
      <c r="U207" s="3"/>
      <c r="V207" s="3"/>
      <c r="W207" s="935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</row>
    <row r="208" customFormat="false" ht="28.5" hidden="true" customHeight="true" outlineLevel="0" collapsed="false">
      <c r="A208" s="3"/>
      <c r="B208" s="3"/>
      <c r="C208" s="3"/>
      <c r="D208" s="3"/>
      <c r="E208" s="3"/>
      <c r="F208" s="3"/>
      <c r="G208" s="3"/>
      <c r="H208" s="3"/>
      <c r="I208" s="3"/>
      <c r="J208" s="176"/>
      <c r="K208" s="176"/>
      <c r="L208" s="3"/>
      <c r="M208" s="3"/>
      <c r="N208" s="3"/>
      <c r="O208" s="1162"/>
      <c r="P208" s="3"/>
      <c r="Q208" s="182"/>
      <c r="R208" s="3"/>
      <c r="S208" s="3"/>
      <c r="T208" s="3"/>
      <c r="U208" s="3"/>
      <c r="V208" s="3"/>
      <c r="W208" s="935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</row>
    <row r="209" customFormat="false" ht="28.5" hidden="true" customHeight="true" outlineLevel="0" collapsed="false">
      <c r="A209" s="3"/>
      <c r="B209" s="3"/>
      <c r="C209" s="3"/>
      <c r="D209" s="3"/>
      <c r="E209" s="3"/>
      <c r="F209" s="3"/>
      <c r="G209" s="3"/>
      <c r="H209" s="3"/>
      <c r="I209" s="3"/>
      <c r="J209" s="176"/>
      <c r="K209" s="176"/>
      <c r="L209" s="3"/>
      <c r="M209" s="3"/>
      <c r="N209" s="3"/>
      <c r="O209" s="1162"/>
      <c r="P209" s="3"/>
      <c r="Q209" s="182"/>
      <c r="R209" s="3"/>
      <c r="S209" s="3"/>
      <c r="T209" s="3"/>
      <c r="U209" s="3"/>
      <c r="V209" s="3"/>
      <c r="W209" s="935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</row>
    <row r="210" customFormat="false" ht="28.5" hidden="true" customHeight="true" outlineLevel="0" collapsed="false">
      <c r="A210" s="3"/>
      <c r="B210" s="3"/>
      <c r="C210" s="3"/>
      <c r="D210" s="3"/>
      <c r="E210" s="3"/>
      <c r="F210" s="3"/>
      <c r="G210" s="3"/>
      <c r="H210" s="3"/>
      <c r="I210" s="3"/>
      <c r="J210" s="176"/>
      <c r="K210" s="176"/>
      <c r="L210" s="3"/>
      <c r="M210" s="3"/>
      <c r="N210" s="3"/>
      <c r="O210" s="1162"/>
      <c r="P210" s="3"/>
      <c r="Q210" s="182"/>
      <c r="R210" s="3"/>
      <c r="S210" s="3"/>
      <c r="T210" s="3"/>
      <c r="U210" s="3"/>
      <c r="V210" s="3"/>
      <c r="W210" s="935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</row>
    <row r="211" customFormat="false" ht="28.5" hidden="true" customHeight="true" outlineLevel="0" collapsed="false">
      <c r="A211" s="3"/>
      <c r="B211" s="3"/>
      <c r="C211" s="3"/>
      <c r="D211" s="3"/>
      <c r="E211" s="3"/>
      <c r="F211" s="3"/>
      <c r="G211" s="3"/>
      <c r="H211" s="3"/>
      <c r="I211" s="3"/>
      <c r="J211" s="176"/>
      <c r="K211" s="176"/>
      <c r="L211" s="3"/>
      <c r="M211" s="3"/>
      <c r="N211" s="3"/>
      <c r="O211" s="1162"/>
      <c r="P211" s="3"/>
      <c r="Q211" s="182"/>
      <c r="R211" s="3"/>
      <c r="S211" s="3"/>
      <c r="T211" s="3"/>
      <c r="U211" s="3"/>
      <c r="V211" s="3"/>
      <c r="W211" s="935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</row>
    <row r="212" customFormat="false" ht="28.5" hidden="true" customHeight="tru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176"/>
      <c r="K212" s="176"/>
      <c r="L212" s="3"/>
      <c r="M212" s="3"/>
      <c r="N212" s="3"/>
      <c r="O212" s="1162"/>
      <c r="P212" s="3"/>
      <c r="Q212" s="182"/>
      <c r="R212" s="3"/>
      <c r="S212" s="3"/>
      <c r="T212" s="3"/>
      <c r="U212" s="3"/>
      <c r="V212" s="3"/>
      <c r="W212" s="935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</row>
    <row r="213" customFormat="false" ht="28.5" hidden="true" customHeight="true" outlineLevel="0" collapsed="false">
      <c r="A213" s="3"/>
      <c r="B213" s="3"/>
      <c r="C213" s="3"/>
      <c r="D213" s="3"/>
      <c r="E213" s="3"/>
      <c r="F213" s="3"/>
      <c r="G213" s="3"/>
      <c r="H213" s="3"/>
      <c r="I213" s="3"/>
      <c r="J213" s="176"/>
      <c r="K213" s="176"/>
      <c r="L213" s="3"/>
      <c r="M213" s="3"/>
      <c r="N213" s="3"/>
      <c r="O213" s="1162"/>
      <c r="P213" s="3"/>
      <c r="Q213" s="182"/>
      <c r="R213" s="3"/>
      <c r="S213" s="3"/>
      <c r="T213" s="3"/>
      <c r="U213" s="3"/>
      <c r="V213" s="3"/>
      <c r="W213" s="935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</row>
    <row r="214" customFormat="false" ht="28.5" hidden="true" customHeight="true" outlineLevel="0" collapsed="false">
      <c r="A214" s="3"/>
      <c r="B214" s="3"/>
      <c r="C214" s="3"/>
      <c r="D214" s="3"/>
      <c r="E214" s="3"/>
      <c r="F214" s="3"/>
      <c r="G214" s="3"/>
      <c r="H214" s="3"/>
      <c r="I214" s="3"/>
      <c r="J214" s="176"/>
      <c r="K214" s="176"/>
      <c r="L214" s="3"/>
      <c r="M214" s="3"/>
      <c r="N214" s="3"/>
      <c r="O214" s="1162"/>
      <c r="P214" s="3"/>
      <c r="Q214" s="182"/>
      <c r="R214" s="3"/>
      <c r="S214" s="3"/>
      <c r="T214" s="3"/>
      <c r="U214" s="3"/>
      <c r="V214" s="3"/>
      <c r="W214" s="935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</row>
    <row r="215" customFormat="false" ht="28.5" hidden="true" customHeight="true" outlineLevel="0" collapsed="false">
      <c r="A215" s="3"/>
      <c r="B215" s="3"/>
      <c r="C215" s="3"/>
      <c r="D215" s="3"/>
      <c r="E215" s="3"/>
      <c r="F215" s="3"/>
      <c r="G215" s="3"/>
      <c r="H215" s="3"/>
      <c r="I215" s="3"/>
      <c r="J215" s="1231" t="n">
        <v>25000</v>
      </c>
      <c r="K215" s="1231"/>
      <c r="L215" s="929"/>
      <c r="M215" s="3"/>
      <c r="N215" s="3"/>
      <c r="O215" s="1162"/>
      <c r="P215" s="3"/>
      <c r="Q215" s="182"/>
      <c r="R215" s="3"/>
      <c r="S215" s="3"/>
      <c r="T215" s="3"/>
      <c r="U215" s="3"/>
      <c r="V215" s="3"/>
      <c r="W215" s="935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</row>
    <row r="216" customFormat="false" ht="28.5" hidden="true" customHeight="tru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1231" t="n">
        <v>50001</v>
      </c>
      <c r="K216" s="1231"/>
      <c r="L216" s="929"/>
      <c r="M216" s="3"/>
      <c r="N216" s="3"/>
      <c r="O216" s="1162"/>
      <c r="P216" s="3"/>
      <c r="Q216" s="182"/>
      <c r="R216" s="3"/>
      <c r="S216" s="3"/>
      <c r="T216" s="3"/>
      <c r="U216" s="3"/>
      <c r="V216" s="3"/>
      <c r="W216" s="935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</row>
    <row r="217" customFormat="false" ht="28.5" hidden="true" customHeight="tru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1231" t="n">
        <v>100001</v>
      </c>
      <c r="K217" s="1231"/>
      <c r="L217" s="929"/>
      <c r="M217" s="3" t="s">
        <v>768</v>
      </c>
      <c r="N217" s="3"/>
      <c r="O217" s="1162"/>
      <c r="P217" s="3"/>
      <c r="Q217" s="182"/>
      <c r="R217" s="3"/>
      <c r="S217" s="3"/>
      <c r="T217" s="3"/>
      <c r="U217" s="3"/>
      <c r="V217" s="3"/>
      <c r="W217" s="935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</row>
    <row r="218" customFormat="false" ht="28.5" hidden="true" customHeight="tru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1232" t="n">
        <v>150000</v>
      </c>
      <c r="K218" s="1232"/>
      <c r="L218" s="931"/>
      <c r="M218" s="1233" t="n">
        <v>50000</v>
      </c>
      <c r="N218" s="1233"/>
      <c r="O218" s="1162"/>
      <c r="P218" s="3"/>
      <c r="Q218" s="182"/>
      <c r="R218" s="3"/>
      <c r="S218" s="3"/>
      <c r="T218" s="3"/>
      <c r="U218" s="3"/>
      <c r="V218" s="3"/>
      <c r="W218" s="935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</row>
    <row r="219" customFormat="false" ht="28.5" hidden="true" customHeight="true" outlineLevel="0" collapsed="false">
      <c r="A219" s="3"/>
      <c r="B219" s="3"/>
      <c r="C219" s="3"/>
      <c r="D219" s="3"/>
      <c r="E219" s="3"/>
      <c r="F219" s="3"/>
      <c r="G219" s="3"/>
      <c r="H219" s="3"/>
      <c r="I219" s="3"/>
      <c r="J219" s="176"/>
      <c r="K219" s="176"/>
      <c r="L219" s="3"/>
      <c r="M219" s="1233" t="n">
        <v>100000</v>
      </c>
      <c r="N219" s="1233"/>
      <c r="O219" s="1162"/>
      <c r="P219" s="3"/>
      <c r="Q219" s="182"/>
      <c r="R219" s="3"/>
      <c r="S219" s="3"/>
      <c r="T219" s="3"/>
      <c r="U219" s="3"/>
      <c r="V219" s="3"/>
      <c r="W219" s="935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</row>
    <row r="220" customFormat="false" ht="28.5" hidden="true" customHeight="true" outlineLevel="0" collapsed="false">
      <c r="A220" s="3"/>
      <c r="B220" s="3"/>
      <c r="C220" s="3"/>
      <c r="D220" s="3"/>
      <c r="E220" s="3"/>
      <c r="F220" s="3"/>
      <c r="G220" s="3"/>
      <c r="H220" s="3"/>
      <c r="I220" s="3"/>
      <c r="J220" s="176"/>
      <c r="K220" s="176"/>
      <c r="L220" s="3"/>
      <c r="M220" s="1233" t="n">
        <v>150000</v>
      </c>
      <c r="N220" s="1233"/>
      <c r="O220" s="1162"/>
      <c r="P220" s="3"/>
      <c r="Q220" s="182"/>
      <c r="R220" s="3"/>
      <c r="S220" s="3"/>
      <c r="T220" s="3"/>
      <c r="U220" s="3"/>
      <c r="V220" s="3"/>
      <c r="W220" s="935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</row>
    <row r="221" customFormat="false" ht="28.5" hidden="true" customHeight="true" outlineLevel="0" collapsed="false">
      <c r="A221" s="3"/>
      <c r="B221" s="3"/>
      <c r="C221" s="3"/>
      <c r="D221" s="3"/>
      <c r="E221" s="3"/>
      <c r="F221" s="3"/>
      <c r="G221" s="3"/>
      <c r="H221" s="3"/>
      <c r="I221" s="3"/>
      <c r="J221" s="176"/>
      <c r="K221" s="176"/>
      <c r="L221" s="3"/>
      <c r="M221" s="931" t="n">
        <v>4000000</v>
      </c>
      <c r="N221" s="931"/>
      <c r="O221" s="1162"/>
      <c r="P221" s="3"/>
      <c r="Q221" s="182"/>
      <c r="R221" s="3"/>
      <c r="S221" s="3"/>
      <c r="T221" s="3"/>
      <c r="U221" s="3"/>
      <c r="V221" s="3"/>
      <c r="W221" s="935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</row>
  </sheetData>
  <sheetProtection algorithmName="SHA-512" hashValue="Qz+U4A9GNevJu0toP81/MSV9iRrtzLVNBjuB7Ao0HHWQVcFhNjCRask2SLLPgtWjWqnTgcgDBOqBCM99GsMMHg==" saltValue="Rlh/bu3/aMpYgqRNQH6j3g==" spinCount="100000" sheet="true" objects="true" scenarios="true"/>
  <mergeCells count="204">
    <mergeCell ref="E2:M4"/>
    <mergeCell ref="G5:H6"/>
    <mergeCell ref="I5:J6"/>
    <mergeCell ref="K5:K6"/>
    <mergeCell ref="L5:L6"/>
    <mergeCell ref="D6:E6"/>
    <mergeCell ref="D7:E7"/>
    <mergeCell ref="C9:G10"/>
    <mergeCell ref="I9:M10"/>
    <mergeCell ref="R9:AA9"/>
    <mergeCell ref="R10:AA10"/>
    <mergeCell ref="D11:E11"/>
    <mergeCell ref="J11:K11"/>
    <mergeCell ref="C12:C18"/>
    <mergeCell ref="I12:I18"/>
    <mergeCell ref="R12:S12"/>
    <mergeCell ref="U12:V12"/>
    <mergeCell ref="R13:S13"/>
    <mergeCell ref="D14:E14"/>
    <mergeCell ref="F14:G14"/>
    <mergeCell ref="J14:K14"/>
    <mergeCell ref="L14:M14"/>
    <mergeCell ref="Q14:S14"/>
    <mergeCell ref="D18:E18"/>
    <mergeCell ref="F18:G18"/>
    <mergeCell ref="J18:K18"/>
    <mergeCell ref="L18:M18"/>
    <mergeCell ref="C20:C26"/>
    <mergeCell ref="I20:I26"/>
    <mergeCell ref="S20:T20"/>
    <mergeCell ref="D22:E22"/>
    <mergeCell ref="J22:K22"/>
    <mergeCell ref="U24:V24"/>
    <mergeCell ref="D26:E26"/>
    <mergeCell ref="J26:K26"/>
    <mergeCell ref="C28:C30"/>
    <mergeCell ref="D28:E28"/>
    <mergeCell ref="F28:G28"/>
    <mergeCell ref="I28:I30"/>
    <mergeCell ref="J28:K28"/>
    <mergeCell ref="L28:M28"/>
    <mergeCell ref="D30:E30"/>
    <mergeCell ref="F30:G30"/>
    <mergeCell ref="J30:K30"/>
    <mergeCell ref="L30:M30"/>
    <mergeCell ref="C31:E33"/>
    <mergeCell ref="F31:G33"/>
    <mergeCell ref="I31:K31"/>
    <mergeCell ref="L31:M31"/>
    <mergeCell ref="I32:K33"/>
    <mergeCell ref="L32:M33"/>
    <mergeCell ref="S32:T33"/>
    <mergeCell ref="U32:V33"/>
    <mergeCell ref="W32:W33"/>
    <mergeCell ref="X32:X33"/>
    <mergeCell ref="C35:E35"/>
    <mergeCell ref="F35:G35"/>
    <mergeCell ref="I35:K35"/>
    <mergeCell ref="S35:U37"/>
    <mergeCell ref="C36:E36"/>
    <mergeCell ref="F36:G36"/>
    <mergeCell ref="I36:K36"/>
    <mergeCell ref="I37:K39"/>
    <mergeCell ref="L37:L39"/>
    <mergeCell ref="C38:C42"/>
    <mergeCell ref="S38:U39"/>
    <mergeCell ref="V38:V39"/>
    <mergeCell ref="C44:J44"/>
    <mergeCell ref="D45:J45"/>
    <mergeCell ref="D46:J46"/>
    <mergeCell ref="D47:J47"/>
    <mergeCell ref="D48:J48"/>
    <mergeCell ref="D49:J49"/>
    <mergeCell ref="D50:J50"/>
    <mergeCell ref="D51:J51"/>
    <mergeCell ref="C53:I53"/>
    <mergeCell ref="K53:L53"/>
    <mergeCell ref="C56:M57"/>
    <mergeCell ref="C58:D58"/>
    <mergeCell ref="F58:G58"/>
    <mergeCell ref="H58:I58"/>
    <mergeCell ref="J58:K58"/>
    <mergeCell ref="L58:M58"/>
    <mergeCell ref="C59:D59"/>
    <mergeCell ref="F59:G59"/>
    <mergeCell ref="H59:I59"/>
    <mergeCell ref="J59:K59"/>
    <mergeCell ref="L59:M59"/>
    <mergeCell ref="C60:D60"/>
    <mergeCell ref="F60:G60"/>
    <mergeCell ref="H60:I60"/>
    <mergeCell ref="J60:K60"/>
    <mergeCell ref="L60:M60"/>
    <mergeCell ref="C61:D61"/>
    <mergeCell ref="F61:G61"/>
    <mergeCell ref="H61:I61"/>
    <mergeCell ref="J61:K61"/>
    <mergeCell ref="L61:M61"/>
    <mergeCell ref="C62:D62"/>
    <mergeCell ref="F62:G62"/>
    <mergeCell ref="H62:I62"/>
    <mergeCell ref="J62:K62"/>
    <mergeCell ref="L62:M62"/>
    <mergeCell ref="C63:D63"/>
    <mergeCell ref="F63:G63"/>
    <mergeCell ref="H63:I63"/>
    <mergeCell ref="J63:K63"/>
    <mergeCell ref="L63:M63"/>
    <mergeCell ref="C64:D64"/>
    <mergeCell ref="F64:G64"/>
    <mergeCell ref="H64:I64"/>
    <mergeCell ref="J64:K64"/>
    <mergeCell ref="L64:M64"/>
    <mergeCell ref="C65:D65"/>
    <mergeCell ref="F65:G65"/>
    <mergeCell ref="H65:I65"/>
    <mergeCell ref="J65:K65"/>
    <mergeCell ref="L65:M65"/>
    <mergeCell ref="C66:D66"/>
    <mergeCell ref="F66:G66"/>
    <mergeCell ref="H66:I66"/>
    <mergeCell ref="J66:K66"/>
    <mergeCell ref="L66:M66"/>
    <mergeCell ref="C67:D67"/>
    <mergeCell ref="F67:G67"/>
    <mergeCell ref="H67:I67"/>
    <mergeCell ref="J67:K67"/>
    <mergeCell ref="L67:M67"/>
    <mergeCell ref="C68:D68"/>
    <mergeCell ref="F68:G68"/>
    <mergeCell ref="H68:I68"/>
    <mergeCell ref="J68:K68"/>
    <mergeCell ref="L68:M68"/>
    <mergeCell ref="C69:D69"/>
    <mergeCell ref="F69:G69"/>
    <mergeCell ref="H69:I69"/>
    <mergeCell ref="J69:K69"/>
    <mergeCell ref="L69:M69"/>
    <mergeCell ref="C70:D70"/>
    <mergeCell ref="F70:G70"/>
    <mergeCell ref="H70:I70"/>
    <mergeCell ref="J70:K70"/>
    <mergeCell ref="L70:M70"/>
    <mergeCell ref="C71:D71"/>
    <mergeCell ref="F71:G71"/>
    <mergeCell ref="H71:I71"/>
    <mergeCell ref="J71:K71"/>
    <mergeCell ref="L71:M71"/>
    <mergeCell ref="C72:D72"/>
    <mergeCell ref="F72:G72"/>
    <mergeCell ref="H72:I72"/>
    <mergeCell ref="J72:K72"/>
    <mergeCell ref="L72:M72"/>
    <mergeCell ref="C73:D73"/>
    <mergeCell ref="F73:G73"/>
    <mergeCell ref="H73:I73"/>
    <mergeCell ref="J73:K73"/>
    <mergeCell ref="L73:M73"/>
    <mergeCell ref="C74:D74"/>
    <mergeCell ref="F74:G74"/>
    <mergeCell ref="H74:I74"/>
    <mergeCell ref="J74:K74"/>
    <mergeCell ref="L74:M74"/>
    <mergeCell ref="C75:D75"/>
    <mergeCell ref="F75:G75"/>
    <mergeCell ref="H75:I75"/>
    <mergeCell ref="J75:K75"/>
    <mergeCell ref="L75:M75"/>
    <mergeCell ref="C76:D76"/>
    <mergeCell ref="F76:G76"/>
    <mergeCell ref="H76:I76"/>
    <mergeCell ref="J76:K76"/>
    <mergeCell ref="L76:M76"/>
    <mergeCell ref="C77:D77"/>
    <mergeCell ref="F77:G77"/>
    <mergeCell ref="H77:I77"/>
    <mergeCell ref="J77:K77"/>
    <mergeCell ref="L77:M77"/>
    <mergeCell ref="C78:D78"/>
    <mergeCell ref="F78:G78"/>
    <mergeCell ref="H78:I78"/>
    <mergeCell ref="J78:K78"/>
    <mergeCell ref="L78:M78"/>
    <mergeCell ref="C79:D79"/>
    <mergeCell ref="F79:G79"/>
    <mergeCell ref="H79:I79"/>
    <mergeCell ref="J79:K79"/>
    <mergeCell ref="L79:M79"/>
    <mergeCell ref="C80:D80"/>
    <mergeCell ref="F80:G80"/>
    <mergeCell ref="H80:I80"/>
    <mergeCell ref="J80:K80"/>
    <mergeCell ref="L80:M80"/>
    <mergeCell ref="C81:D81"/>
    <mergeCell ref="F81:G81"/>
    <mergeCell ref="H81:I81"/>
    <mergeCell ref="J81:K81"/>
    <mergeCell ref="L81:M81"/>
    <mergeCell ref="C82:D82"/>
    <mergeCell ref="F82:G82"/>
    <mergeCell ref="H82:I82"/>
    <mergeCell ref="J82:K82"/>
    <mergeCell ref="L82:M82"/>
    <mergeCell ref="D113:E113"/>
  </mergeCells>
  <dataValidations count="3">
    <dataValidation allowBlank="true" errorStyle="stop" operator="between" showDropDown="false" showErrorMessage="true" showInputMessage="true" sqref="O3:O82" type="list">
      <formula1>$Q$18:$Q$19</formula1>
      <formula2>0</formula2>
    </dataValidation>
    <dataValidation allowBlank="true" errorStyle="stop" operator="between" showDropDown="false" showErrorMessage="true" showInputMessage="true" sqref="R12" type="list">
      <formula1>$C$89:$C$91</formula1>
      <formula2>0</formula2>
    </dataValidation>
    <dataValidation allowBlank="true" errorStyle="stop" operator="between" showDropDown="false" showErrorMessage="true" showInputMessage="true" sqref="R13" type="list">
      <formula1>IF($R$12="HUESCA",O_LISTA_MUN_ZM_ZLE_2019!$F$2:$F$167,IF($R$12="TERUEL",O_LISTA_MUN_ZM_ZLE_2019!$F$168:$F$403,IF($R$12="ZARAGOZA",O_LISTA_MUN_ZM_ZLE_2019!$F$404:$F$675,"")))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133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I76" activeCellId="0" sqref="I76"/>
    </sheetView>
  </sheetViews>
  <sheetFormatPr defaultColWidth="10.6328125" defaultRowHeight="14.25" zeroHeight="false" outlineLevelRow="0" outlineLevelCol="0"/>
  <cols>
    <col collapsed="false" customWidth="true" hidden="false" outlineLevel="0" max="6" min="6" style="2" width="15.63"/>
  </cols>
  <sheetData>
    <row r="1" customFormat="false" ht="14.25" hidden="false" customHeight="false" outlineLevel="0" collapsed="false">
      <c r="A1" s="1296"/>
      <c r="B1" s="1296"/>
      <c r="C1" s="1296"/>
      <c r="D1" s="1296"/>
      <c r="E1" s="1296"/>
      <c r="F1" s="1296"/>
      <c r="G1" s="1296"/>
      <c r="H1" s="1296"/>
      <c r="I1" s="1296"/>
      <c r="J1" s="1296"/>
      <c r="K1" s="1296"/>
      <c r="L1" s="1296"/>
      <c r="M1" s="1296"/>
      <c r="N1" s="1296"/>
      <c r="O1" s="1296"/>
      <c r="P1" s="1296"/>
      <c r="Q1" s="1296"/>
      <c r="R1" s="1296"/>
      <c r="S1" s="1296"/>
      <c r="T1" s="1296"/>
      <c r="U1" s="1296"/>
      <c r="V1" s="1296"/>
      <c r="W1" s="1296"/>
    </row>
    <row r="2" customFormat="false" ht="14.25" hidden="false" customHeight="false" outlineLevel="0" collapsed="false">
      <c r="A2" s="1296"/>
      <c r="B2" s="1296"/>
      <c r="C2" s="1296"/>
      <c r="D2" s="1296"/>
      <c r="E2" s="1296"/>
      <c r="F2" s="1296"/>
      <c r="G2" s="1296"/>
      <c r="H2" s="1296"/>
      <c r="I2" s="1296"/>
      <c r="J2" s="1296"/>
      <c r="K2" s="1296"/>
      <c r="L2" s="1296"/>
      <c r="M2" s="1296"/>
      <c r="N2" s="1296"/>
      <c r="O2" s="1296"/>
      <c r="P2" s="1296"/>
      <c r="Q2" s="1296"/>
      <c r="R2" s="1296"/>
      <c r="S2" s="1296"/>
      <c r="T2" s="1296"/>
      <c r="U2" s="1296"/>
      <c r="V2" s="1296"/>
      <c r="W2" s="1296"/>
    </row>
    <row r="3" customFormat="false" ht="14.25" hidden="false" customHeight="false" outlineLevel="0" collapsed="false">
      <c r="A3" s="1296"/>
      <c r="B3" s="1296"/>
      <c r="C3" s="1296"/>
      <c r="D3" s="1296"/>
      <c r="E3" s="1296"/>
      <c r="F3" s="1296"/>
      <c r="G3" s="1296"/>
      <c r="H3" s="1296"/>
      <c r="I3" s="1296"/>
      <c r="J3" s="1296"/>
      <c r="K3" s="1296"/>
      <c r="L3" s="1296"/>
      <c r="M3" s="1296"/>
      <c r="N3" s="1296"/>
      <c r="O3" s="1296"/>
      <c r="P3" s="1296"/>
      <c r="Q3" s="1296"/>
      <c r="R3" s="1296"/>
      <c r="S3" s="1296"/>
      <c r="T3" s="1296"/>
      <c r="U3" s="1296"/>
      <c r="V3" s="1296"/>
      <c r="W3" s="1296"/>
    </row>
    <row r="4" customFormat="false" ht="14.25" hidden="false" customHeight="false" outlineLevel="0" collapsed="false">
      <c r="A4" s="1296"/>
      <c r="B4" s="1296"/>
      <c r="C4" s="1296"/>
      <c r="D4" s="1296"/>
      <c r="E4" s="1296"/>
      <c r="F4" s="1296"/>
      <c r="G4" s="1296"/>
      <c r="H4" s="1296"/>
      <c r="I4" s="1296"/>
      <c r="J4" s="1296"/>
      <c r="K4" s="1296"/>
      <c r="L4" s="1296"/>
      <c r="M4" s="1296"/>
      <c r="N4" s="1296"/>
      <c r="O4" s="1296"/>
      <c r="P4" s="1296"/>
      <c r="Q4" s="1296"/>
      <c r="R4" s="1296"/>
      <c r="S4" s="1296"/>
      <c r="T4" s="1296"/>
      <c r="U4" s="1296"/>
      <c r="V4" s="1296"/>
      <c r="W4" s="1296"/>
    </row>
    <row r="5" customFormat="false" ht="14.25" hidden="false" customHeight="false" outlineLevel="0" collapsed="false">
      <c r="A5" s="1296"/>
      <c r="B5" s="1296"/>
      <c r="C5" s="1296"/>
      <c r="D5" s="1296"/>
      <c r="E5" s="1296"/>
      <c r="F5" s="1296"/>
      <c r="G5" s="1296"/>
      <c r="H5" s="1296"/>
      <c r="I5" s="1296"/>
      <c r="J5" s="1296"/>
      <c r="K5" s="1296"/>
      <c r="L5" s="1296"/>
      <c r="M5" s="1296"/>
      <c r="N5" s="1296"/>
      <c r="O5" s="1296"/>
      <c r="P5" s="1296"/>
      <c r="Q5" s="1296"/>
      <c r="R5" s="1296"/>
      <c r="S5" s="1296"/>
      <c r="T5" s="1296"/>
      <c r="U5" s="1296"/>
      <c r="V5" s="1296"/>
      <c r="W5" s="1296"/>
    </row>
    <row r="6" customFormat="false" ht="14.25" hidden="false" customHeight="false" outlineLevel="0" collapsed="false">
      <c r="A6" s="1296"/>
      <c r="B6" s="1296"/>
      <c r="C6" s="1296"/>
      <c r="D6" s="1296"/>
      <c r="E6" s="1296"/>
      <c r="F6" s="1296"/>
      <c r="G6" s="1296"/>
      <c r="H6" s="1296"/>
      <c r="I6" s="1296"/>
      <c r="J6" s="1296"/>
      <c r="K6" s="1296"/>
      <c r="L6" s="1296"/>
      <c r="M6" s="1296"/>
      <c r="N6" s="1296"/>
      <c r="O6" s="1296"/>
      <c r="P6" s="1296"/>
      <c r="Q6" s="1296"/>
      <c r="R6" s="1296"/>
      <c r="S6" s="1296"/>
      <c r="T6" s="1296"/>
      <c r="U6" s="1296"/>
      <c r="V6" s="1296"/>
      <c r="W6" s="1296"/>
    </row>
    <row r="7" customFormat="false" ht="14.25" hidden="false" customHeight="false" outlineLevel="0" collapsed="false">
      <c r="A7" s="1296"/>
      <c r="B7" s="1296"/>
      <c r="C7" s="1296"/>
      <c r="D7" s="1296"/>
      <c r="E7" s="1296"/>
      <c r="F7" s="1296"/>
      <c r="G7" s="1296"/>
      <c r="H7" s="1296"/>
      <c r="I7" s="1296"/>
      <c r="J7" s="1296"/>
      <c r="K7" s="1296"/>
      <c r="L7" s="1296"/>
      <c r="M7" s="1296"/>
      <c r="N7" s="1296"/>
      <c r="O7" s="1296"/>
      <c r="P7" s="1296"/>
      <c r="Q7" s="1296"/>
      <c r="R7" s="1296"/>
      <c r="S7" s="1296"/>
      <c r="T7" s="1296"/>
      <c r="U7" s="1296"/>
      <c r="V7" s="1296"/>
      <c r="W7" s="1296"/>
    </row>
    <row r="8" customFormat="false" ht="14.25" hidden="false" customHeight="false" outlineLevel="0" collapsed="false">
      <c r="A8" s="1296"/>
      <c r="B8" s="1296"/>
      <c r="C8" s="1296"/>
      <c r="D8" s="1296"/>
      <c r="E8" s="1296"/>
      <c r="F8" s="1296"/>
      <c r="G8" s="1296"/>
      <c r="H8" s="1296"/>
      <c r="I8" s="1296"/>
      <c r="J8" s="1296"/>
      <c r="K8" s="1296"/>
      <c r="L8" s="1296"/>
      <c r="M8" s="1296"/>
      <c r="N8" s="1296"/>
      <c r="O8" s="1296"/>
      <c r="P8" s="1296"/>
      <c r="Q8" s="1296"/>
      <c r="R8" s="1296"/>
      <c r="S8" s="1296"/>
      <c r="T8" s="1296"/>
      <c r="U8" s="1296"/>
      <c r="V8" s="1296"/>
      <c r="W8" s="1296"/>
    </row>
    <row r="9" customFormat="false" ht="14.25" hidden="false" customHeight="false" outlineLevel="0" collapsed="false">
      <c r="A9" s="1296"/>
      <c r="B9" s="1296"/>
      <c r="C9" s="1296"/>
      <c r="D9" s="1296"/>
      <c r="E9" s="1296"/>
      <c r="F9" s="1296"/>
      <c r="G9" s="1296"/>
      <c r="H9" s="1296"/>
      <c r="I9" s="1296"/>
      <c r="J9" s="1296"/>
      <c r="K9" s="1296"/>
      <c r="L9" s="1296"/>
      <c r="M9" s="1296"/>
      <c r="N9" s="1296"/>
      <c r="O9" s="1296"/>
      <c r="P9" s="1296"/>
      <c r="Q9" s="1296"/>
      <c r="R9" s="1296"/>
      <c r="S9" s="1296"/>
      <c r="T9" s="1296"/>
      <c r="U9" s="1296"/>
      <c r="V9" s="1296"/>
      <c r="W9" s="1296"/>
    </row>
    <row r="10" customFormat="false" ht="14.25" hidden="false" customHeight="false" outlineLevel="0" collapsed="false">
      <c r="A10" s="1296"/>
      <c r="B10" s="1296"/>
      <c r="C10" s="1296"/>
      <c r="D10" s="1296"/>
      <c r="E10" s="1296"/>
      <c r="F10" s="1296"/>
      <c r="G10" s="1296"/>
      <c r="H10" s="1296"/>
      <c r="I10" s="1296"/>
      <c r="J10" s="1296"/>
      <c r="K10" s="1296"/>
      <c r="L10" s="1296"/>
      <c r="M10" s="1296"/>
      <c r="N10" s="1296"/>
      <c r="O10" s="1296"/>
      <c r="P10" s="1296"/>
      <c r="Q10" s="1296"/>
      <c r="R10" s="1296"/>
      <c r="S10" s="1296"/>
      <c r="T10" s="1296"/>
      <c r="U10" s="1296"/>
      <c r="V10" s="1296"/>
      <c r="W10" s="1296"/>
    </row>
    <row r="11" customFormat="false" ht="14.25" hidden="false" customHeight="false" outlineLevel="0" collapsed="false">
      <c r="A11" s="1296"/>
      <c r="B11" s="1296"/>
      <c r="C11" s="1296"/>
      <c r="D11" s="1296"/>
      <c r="E11" s="1296"/>
      <c r="F11" s="1296"/>
      <c r="G11" s="1296"/>
      <c r="H11" s="1296"/>
      <c r="I11" s="1296"/>
      <c r="J11" s="1296"/>
      <c r="K11" s="1296"/>
      <c r="L11" s="1296"/>
      <c r="M11" s="1296"/>
      <c r="N11" s="1296"/>
      <c r="O11" s="1296"/>
      <c r="P11" s="1296"/>
      <c r="Q11" s="1296"/>
      <c r="R11" s="1296"/>
      <c r="S11" s="1296"/>
      <c r="T11" s="1296"/>
      <c r="U11" s="1296"/>
      <c r="V11" s="1296"/>
      <c r="W11" s="1296"/>
    </row>
    <row r="12" customFormat="false" ht="14.25" hidden="false" customHeight="false" outlineLevel="0" collapsed="false">
      <c r="A12" s="1296"/>
      <c r="B12" s="1296"/>
      <c r="C12" s="1296"/>
      <c r="D12" s="1296"/>
      <c r="E12" s="1296"/>
      <c r="F12" s="1296"/>
      <c r="G12" s="1296"/>
      <c r="H12" s="1296"/>
      <c r="I12" s="1296"/>
      <c r="J12" s="1296"/>
      <c r="K12" s="1296"/>
      <c r="L12" s="1296"/>
      <c r="M12" s="1296"/>
      <c r="N12" s="1296"/>
      <c r="O12" s="1296"/>
      <c r="P12" s="1296"/>
      <c r="Q12" s="1296"/>
      <c r="R12" s="1296"/>
      <c r="S12" s="1296"/>
      <c r="T12" s="1296"/>
      <c r="U12" s="1296"/>
      <c r="V12" s="1296"/>
      <c r="W12" s="1296"/>
    </row>
    <row r="13" customFormat="false" ht="14.25" hidden="false" customHeight="false" outlineLevel="0" collapsed="false">
      <c r="A13" s="1296"/>
      <c r="B13" s="1296"/>
      <c r="C13" s="1296"/>
      <c r="D13" s="1296"/>
      <c r="E13" s="1296"/>
      <c r="F13" s="1296"/>
      <c r="G13" s="1296"/>
      <c r="H13" s="1296"/>
      <c r="I13" s="1296"/>
      <c r="J13" s="1296"/>
      <c r="K13" s="1296"/>
      <c r="L13" s="1296"/>
      <c r="M13" s="1296"/>
      <c r="N13" s="1296"/>
      <c r="O13" s="1296"/>
      <c r="P13" s="1296"/>
      <c r="Q13" s="1296"/>
      <c r="R13" s="1296"/>
      <c r="S13" s="1296"/>
      <c r="T13" s="1296"/>
      <c r="U13" s="1296"/>
      <c r="V13" s="1296"/>
      <c r="W13" s="1296"/>
    </row>
    <row r="14" customFormat="false" ht="14.25" hidden="false" customHeight="false" outlineLevel="0" collapsed="false">
      <c r="A14" s="1296"/>
      <c r="B14" s="1296"/>
      <c r="C14" s="1296"/>
      <c r="D14" s="1296"/>
      <c r="E14" s="1296"/>
      <c r="F14" s="1296"/>
      <c r="G14" s="1296"/>
      <c r="H14" s="1296"/>
      <c r="I14" s="1296"/>
      <c r="J14" s="1296"/>
      <c r="K14" s="1296"/>
      <c r="L14" s="1296"/>
      <c r="M14" s="1296"/>
      <c r="N14" s="1296"/>
      <c r="O14" s="1296"/>
      <c r="P14" s="1296"/>
      <c r="Q14" s="1296"/>
      <c r="R14" s="1296"/>
      <c r="S14" s="1296"/>
      <c r="T14" s="1296"/>
      <c r="U14" s="1296"/>
      <c r="V14" s="1296"/>
      <c r="W14" s="1296"/>
    </row>
    <row r="15" customFormat="false" ht="14.25" hidden="false" customHeight="false" outlineLevel="0" collapsed="false">
      <c r="A15" s="1296"/>
      <c r="B15" s="1296"/>
      <c r="C15" s="1296"/>
      <c r="D15" s="1296"/>
      <c r="E15" s="1296"/>
      <c r="F15" s="1296"/>
      <c r="G15" s="1296"/>
      <c r="H15" s="1296"/>
      <c r="I15" s="1296"/>
      <c r="J15" s="1296"/>
      <c r="K15" s="1296"/>
      <c r="L15" s="1296"/>
      <c r="M15" s="1296"/>
      <c r="N15" s="1296"/>
      <c r="O15" s="1296"/>
      <c r="P15" s="1296"/>
      <c r="Q15" s="1296"/>
      <c r="R15" s="1296"/>
      <c r="S15" s="1296"/>
      <c r="T15" s="1296"/>
      <c r="U15" s="1296"/>
      <c r="V15" s="1296"/>
      <c r="W15" s="1296"/>
    </row>
    <row r="16" customFormat="false" ht="14.25" hidden="false" customHeight="false" outlineLevel="0" collapsed="false">
      <c r="A16" s="1296"/>
      <c r="B16" s="1296"/>
      <c r="C16" s="1296"/>
      <c r="D16" s="1296"/>
      <c r="E16" s="1296"/>
      <c r="F16" s="1296"/>
      <c r="G16" s="1296"/>
      <c r="H16" s="1296"/>
      <c r="I16" s="1296"/>
      <c r="J16" s="1296"/>
      <c r="K16" s="1296"/>
      <c r="L16" s="1296"/>
      <c r="M16" s="1296"/>
      <c r="N16" s="1296"/>
      <c r="O16" s="1296"/>
      <c r="P16" s="1296"/>
      <c r="Q16" s="1296"/>
      <c r="R16" s="1296"/>
      <c r="S16" s="1296"/>
      <c r="T16" s="1296"/>
      <c r="U16" s="1296"/>
      <c r="V16" s="1296"/>
      <c r="W16" s="1296"/>
    </row>
    <row r="17" customFormat="false" ht="14.25" hidden="false" customHeight="false" outlineLevel="0" collapsed="false">
      <c r="A17" s="1296"/>
      <c r="B17" s="1296"/>
      <c r="C17" s="1296"/>
      <c r="D17" s="1296"/>
      <c r="E17" s="1296"/>
      <c r="F17" s="1296"/>
      <c r="G17" s="1296"/>
      <c r="H17" s="1296"/>
      <c r="I17" s="1296"/>
      <c r="J17" s="1296"/>
      <c r="K17" s="1296"/>
      <c r="L17" s="1296"/>
      <c r="M17" s="1296"/>
      <c r="N17" s="1296"/>
      <c r="O17" s="1296"/>
      <c r="P17" s="1296"/>
      <c r="Q17" s="1296"/>
      <c r="R17" s="1296"/>
      <c r="S17" s="1296"/>
      <c r="T17" s="1296"/>
      <c r="U17" s="1296"/>
      <c r="V17" s="1296"/>
      <c r="W17" s="1296"/>
    </row>
    <row r="18" customFormat="false" ht="14.25" hidden="false" customHeight="false" outlineLevel="0" collapsed="false">
      <c r="A18" s="1296"/>
      <c r="B18" s="1296"/>
      <c r="C18" s="1296"/>
      <c r="D18" s="1296"/>
      <c r="E18" s="1296"/>
      <c r="F18" s="1296"/>
      <c r="G18" s="1296"/>
      <c r="H18" s="1296"/>
      <c r="I18" s="1296"/>
      <c r="J18" s="1296"/>
      <c r="K18" s="1296"/>
      <c r="L18" s="1296"/>
      <c r="M18" s="1296"/>
      <c r="N18" s="1296"/>
      <c r="O18" s="1296"/>
      <c r="P18" s="1296"/>
      <c r="Q18" s="1296"/>
      <c r="R18" s="1296"/>
      <c r="S18" s="1296"/>
      <c r="T18" s="1296"/>
      <c r="U18" s="1296"/>
      <c r="V18" s="1296"/>
      <c r="W18" s="1296"/>
    </row>
    <row r="19" customFormat="false" ht="14.25" hidden="false" customHeight="false" outlineLevel="0" collapsed="false">
      <c r="A19" s="1296"/>
      <c r="B19" s="1296"/>
      <c r="C19" s="1296"/>
      <c r="D19" s="1296"/>
      <c r="E19" s="1296"/>
      <c r="F19" s="1296"/>
      <c r="G19" s="1296"/>
      <c r="H19" s="1296"/>
      <c r="I19" s="1296"/>
      <c r="J19" s="1296"/>
      <c r="K19" s="1296"/>
      <c r="L19" s="1296"/>
      <c r="M19" s="1296"/>
      <c r="N19" s="1296"/>
      <c r="O19" s="1296"/>
      <c r="P19" s="1296"/>
      <c r="Q19" s="1296"/>
      <c r="R19" s="1296"/>
      <c r="S19" s="1296"/>
      <c r="T19" s="1296"/>
      <c r="U19" s="1296"/>
      <c r="V19" s="1296"/>
      <c r="W19" s="1296"/>
    </row>
    <row r="20" customFormat="false" ht="14.25" hidden="false" customHeight="false" outlineLevel="0" collapsed="false">
      <c r="A20" s="1296"/>
      <c r="B20" s="1296"/>
      <c r="C20" s="1296"/>
      <c r="D20" s="1296"/>
      <c r="E20" s="1296"/>
      <c r="F20" s="1296"/>
      <c r="G20" s="1296"/>
      <c r="H20" s="1296"/>
      <c r="I20" s="1296"/>
      <c r="J20" s="1296"/>
      <c r="K20" s="1296"/>
      <c r="L20" s="1296"/>
      <c r="M20" s="1296"/>
      <c r="N20" s="1296"/>
      <c r="O20" s="1296"/>
      <c r="P20" s="1296"/>
      <c r="Q20" s="1296"/>
      <c r="R20" s="1296"/>
      <c r="S20" s="1296"/>
      <c r="T20" s="1296"/>
      <c r="U20" s="1296"/>
      <c r="V20" s="1296"/>
      <c r="W20" s="1296"/>
    </row>
    <row r="21" customFormat="false" ht="14.25" hidden="false" customHeight="false" outlineLevel="0" collapsed="false">
      <c r="A21" s="1296"/>
      <c r="B21" s="1296"/>
      <c r="C21" s="1296"/>
      <c r="D21" s="1296"/>
      <c r="E21" s="1296"/>
      <c r="F21" s="1296"/>
      <c r="G21" s="1296"/>
      <c r="H21" s="1296"/>
      <c r="I21" s="1296"/>
      <c r="J21" s="1296"/>
      <c r="K21" s="1296"/>
      <c r="L21" s="1296"/>
      <c r="M21" s="1296"/>
      <c r="N21" s="1296"/>
      <c r="O21" s="1296"/>
      <c r="P21" s="1296"/>
      <c r="Q21" s="1296"/>
      <c r="R21" s="1296"/>
      <c r="S21" s="1296"/>
      <c r="T21" s="1296"/>
      <c r="U21" s="1296"/>
      <c r="V21" s="1296"/>
      <c r="W21" s="1296"/>
    </row>
    <row r="22" customFormat="false" ht="14.25" hidden="false" customHeight="false" outlineLevel="0" collapsed="false">
      <c r="A22" s="1296"/>
      <c r="B22" s="1296"/>
      <c r="C22" s="1296"/>
      <c r="D22" s="1296"/>
      <c r="E22" s="1296"/>
      <c r="F22" s="1296"/>
      <c r="G22" s="1296"/>
      <c r="H22" s="1296"/>
      <c r="I22" s="1296"/>
      <c r="J22" s="1296"/>
      <c r="K22" s="1296"/>
      <c r="L22" s="1296"/>
      <c r="M22" s="1296"/>
      <c r="N22" s="1296"/>
      <c r="O22" s="1296"/>
      <c r="P22" s="1296"/>
      <c r="Q22" s="1296"/>
      <c r="R22" s="1296"/>
      <c r="S22" s="1296"/>
      <c r="T22" s="1296"/>
      <c r="U22" s="1296"/>
      <c r="V22" s="1296"/>
      <c r="W22" s="1296"/>
    </row>
    <row r="23" customFormat="false" ht="14.25" hidden="false" customHeight="false" outlineLevel="0" collapsed="false">
      <c r="A23" s="1296"/>
      <c r="B23" s="1296"/>
      <c r="C23" s="1296"/>
      <c r="D23" s="1296"/>
      <c r="E23" s="1296"/>
      <c r="F23" s="1296"/>
      <c r="G23" s="1296"/>
      <c r="H23" s="1296"/>
      <c r="I23" s="1296"/>
      <c r="J23" s="1296"/>
      <c r="K23" s="1296"/>
      <c r="L23" s="1296"/>
      <c r="M23" s="1296"/>
      <c r="N23" s="1296"/>
      <c r="O23" s="1296"/>
      <c r="P23" s="1296"/>
      <c r="Q23" s="1296"/>
      <c r="R23" s="1296"/>
      <c r="S23" s="1296"/>
      <c r="T23" s="1296"/>
      <c r="U23" s="1296"/>
      <c r="V23" s="1296"/>
      <c r="W23" s="1296"/>
    </row>
    <row r="24" customFormat="false" ht="14.25" hidden="false" customHeight="false" outlineLevel="0" collapsed="false">
      <c r="A24" s="1296"/>
      <c r="B24" s="1296"/>
      <c r="C24" s="1296"/>
      <c r="D24" s="1296"/>
      <c r="E24" s="1296"/>
      <c r="F24" s="1296"/>
      <c r="G24" s="1296"/>
      <c r="H24" s="1296"/>
      <c r="I24" s="1296"/>
      <c r="J24" s="1296"/>
      <c r="K24" s="1296"/>
      <c r="L24" s="1296"/>
      <c r="M24" s="1296"/>
      <c r="N24" s="1296"/>
      <c r="O24" s="1296"/>
      <c r="P24" s="1296"/>
      <c r="Q24" s="1296"/>
      <c r="R24" s="1296"/>
      <c r="S24" s="1296"/>
      <c r="T24" s="1296"/>
      <c r="U24" s="1296"/>
      <c r="V24" s="1296"/>
      <c r="W24" s="1296"/>
    </row>
    <row r="25" customFormat="false" ht="14.25" hidden="false" customHeight="false" outlineLevel="0" collapsed="false">
      <c r="A25" s="1296"/>
      <c r="B25" s="1296"/>
      <c r="C25" s="1296"/>
      <c r="D25" s="1296"/>
      <c r="E25" s="1296"/>
      <c r="F25" s="1296"/>
      <c r="G25" s="1296"/>
      <c r="H25" s="1296"/>
      <c r="I25" s="1296"/>
      <c r="J25" s="1296"/>
      <c r="K25" s="1296"/>
      <c r="L25" s="1296"/>
      <c r="M25" s="1296"/>
      <c r="N25" s="1296"/>
      <c r="O25" s="1296"/>
      <c r="P25" s="1296"/>
      <c r="Q25" s="1296"/>
      <c r="R25" s="1296"/>
      <c r="S25" s="1296"/>
      <c r="T25" s="1296"/>
      <c r="U25" s="1296"/>
      <c r="V25" s="1296"/>
      <c r="W25" s="1296"/>
    </row>
    <row r="26" customFormat="false" ht="14.25" hidden="false" customHeight="false" outlineLevel="0" collapsed="false">
      <c r="A26" s="1296"/>
      <c r="B26" s="1296"/>
      <c r="C26" s="1296"/>
      <c r="D26" s="1296"/>
      <c r="E26" s="1296"/>
      <c r="F26" s="1296"/>
      <c r="G26" s="1296"/>
      <c r="H26" s="1296"/>
      <c r="I26" s="1296"/>
      <c r="J26" s="1296"/>
      <c r="K26" s="1296"/>
      <c r="L26" s="1296"/>
      <c r="M26" s="1296"/>
      <c r="N26" s="1296"/>
      <c r="O26" s="1296"/>
      <c r="P26" s="1296"/>
      <c r="Q26" s="1296"/>
      <c r="R26" s="1296"/>
      <c r="S26" s="1296"/>
      <c r="T26" s="1296"/>
      <c r="U26" s="1296"/>
      <c r="V26" s="1296"/>
      <c r="W26" s="1296"/>
    </row>
    <row r="27" customFormat="false" ht="14.25" hidden="false" customHeight="false" outlineLevel="0" collapsed="false">
      <c r="A27" s="1296"/>
      <c r="B27" s="1296"/>
      <c r="C27" s="1296"/>
      <c r="D27" s="1296"/>
      <c r="E27" s="1296"/>
      <c r="F27" s="1296"/>
      <c r="G27" s="1296"/>
      <c r="H27" s="1296"/>
      <c r="I27" s="1296"/>
      <c r="J27" s="1296"/>
      <c r="K27" s="1296"/>
      <c r="L27" s="1296"/>
      <c r="M27" s="1296"/>
      <c r="N27" s="1296"/>
      <c r="O27" s="1296"/>
      <c r="P27" s="1296"/>
      <c r="Q27" s="1296"/>
      <c r="R27" s="1296"/>
      <c r="S27" s="1296"/>
      <c r="T27" s="1296"/>
      <c r="U27" s="1296"/>
      <c r="V27" s="1296"/>
      <c r="W27" s="1296"/>
    </row>
    <row r="28" customFormat="false" ht="14.25" hidden="false" customHeight="false" outlineLevel="0" collapsed="false">
      <c r="A28" s="1296"/>
      <c r="B28" s="1296"/>
      <c r="C28" s="1296"/>
      <c r="D28" s="1296"/>
      <c r="E28" s="1296"/>
      <c r="F28" s="1296"/>
      <c r="G28" s="1296"/>
      <c r="H28" s="1296"/>
      <c r="I28" s="1296"/>
      <c r="J28" s="1296"/>
      <c r="K28" s="1296"/>
      <c r="L28" s="1296"/>
      <c r="M28" s="1296"/>
      <c r="N28" s="1296"/>
      <c r="O28" s="1296"/>
      <c r="P28" s="1296"/>
      <c r="Q28" s="1296"/>
      <c r="R28" s="1296"/>
      <c r="S28" s="1296"/>
      <c r="T28" s="1296"/>
      <c r="U28" s="1296"/>
      <c r="V28" s="1296"/>
      <c r="W28" s="1296"/>
    </row>
    <row r="29" customFormat="false" ht="14.25" hidden="false" customHeight="false" outlineLevel="0" collapsed="false">
      <c r="A29" s="1296"/>
      <c r="B29" s="1296"/>
      <c r="C29" s="1296"/>
      <c r="D29" s="1296"/>
      <c r="E29" s="1296"/>
      <c r="F29" s="1296"/>
      <c r="G29" s="1296"/>
      <c r="H29" s="1296"/>
      <c r="I29" s="1296"/>
      <c r="J29" s="1296"/>
      <c r="K29" s="1296"/>
      <c r="L29" s="1296"/>
      <c r="M29" s="1296"/>
      <c r="N29" s="1296"/>
      <c r="O29" s="1296"/>
      <c r="P29" s="1296"/>
      <c r="Q29" s="1296"/>
      <c r="R29" s="1296"/>
      <c r="S29" s="1296"/>
      <c r="T29" s="1296"/>
      <c r="U29" s="1296"/>
      <c r="V29" s="1296"/>
      <c r="W29" s="1296"/>
    </row>
    <row r="30" customFormat="false" ht="14.25" hidden="false" customHeight="false" outlineLevel="0" collapsed="false">
      <c r="A30" s="1296"/>
      <c r="B30" s="1296"/>
      <c r="C30" s="1296"/>
      <c r="D30" s="1296"/>
      <c r="E30" s="1296"/>
      <c r="F30" s="1296"/>
      <c r="G30" s="1296"/>
      <c r="H30" s="1296"/>
      <c r="I30" s="1296"/>
      <c r="J30" s="1296"/>
      <c r="K30" s="1296"/>
      <c r="L30" s="1296"/>
      <c r="M30" s="1296"/>
      <c r="N30" s="1296"/>
      <c r="O30" s="1296"/>
      <c r="P30" s="1296"/>
      <c r="Q30" s="1296"/>
      <c r="R30" s="1296"/>
      <c r="S30" s="1296"/>
      <c r="T30" s="1296"/>
      <c r="U30" s="1296"/>
      <c r="V30" s="1296"/>
      <c r="W30" s="1296"/>
    </row>
    <row r="31" customFormat="false" ht="14.25" hidden="false" customHeight="false" outlineLevel="0" collapsed="false">
      <c r="A31" s="1296"/>
      <c r="B31" s="1296"/>
      <c r="C31" s="1296"/>
      <c r="D31" s="1296"/>
      <c r="E31" s="1296"/>
      <c r="F31" s="1296"/>
      <c r="G31" s="1296"/>
      <c r="H31" s="1296"/>
      <c r="I31" s="1296"/>
      <c r="J31" s="1296"/>
      <c r="K31" s="1296"/>
      <c r="L31" s="1296"/>
      <c r="M31" s="1296"/>
      <c r="N31" s="1296"/>
      <c r="O31" s="1296"/>
      <c r="P31" s="1296"/>
      <c r="Q31" s="1296"/>
      <c r="R31" s="1296"/>
      <c r="S31" s="1296"/>
      <c r="T31" s="1296"/>
      <c r="U31" s="1296"/>
      <c r="V31" s="1296"/>
      <c r="W31" s="1296"/>
    </row>
    <row r="32" customFormat="false" ht="14.25" hidden="false" customHeight="false" outlineLevel="0" collapsed="false">
      <c r="A32" s="1296"/>
      <c r="B32" s="1296"/>
      <c r="C32" s="1296"/>
      <c r="D32" s="1296"/>
      <c r="E32" s="1296"/>
      <c r="F32" s="1296"/>
      <c r="G32" s="1296"/>
      <c r="H32" s="1296"/>
      <c r="I32" s="1296"/>
      <c r="J32" s="1296"/>
      <c r="K32" s="1296"/>
      <c r="L32" s="1296"/>
      <c r="M32" s="1296"/>
      <c r="N32" s="1296"/>
      <c r="O32" s="1296"/>
      <c r="P32" s="1296"/>
      <c r="Q32" s="1296"/>
      <c r="R32" s="1296"/>
      <c r="S32" s="1296"/>
      <c r="T32" s="1296"/>
      <c r="U32" s="1296"/>
      <c r="V32" s="1296"/>
      <c r="W32" s="1296"/>
    </row>
    <row r="33" customFormat="false" ht="14.25" hidden="false" customHeight="false" outlineLevel="0" collapsed="false">
      <c r="A33" s="1296"/>
      <c r="B33" s="1296"/>
      <c r="C33" s="1296"/>
      <c r="D33" s="1296"/>
      <c r="E33" s="1296"/>
      <c r="F33" s="1296"/>
      <c r="G33" s="1296"/>
      <c r="H33" s="1296"/>
      <c r="I33" s="1296"/>
      <c r="J33" s="1296"/>
      <c r="K33" s="1296"/>
      <c r="L33" s="1296"/>
      <c r="M33" s="1296"/>
      <c r="N33" s="1296"/>
      <c r="O33" s="1296"/>
      <c r="P33" s="1296"/>
      <c r="Q33" s="1296"/>
      <c r="R33" s="1296"/>
      <c r="S33" s="1296"/>
      <c r="T33" s="1296"/>
      <c r="U33" s="1296"/>
      <c r="V33" s="1296"/>
      <c r="W33" s="1296"/>
    </row>
    <row r="34" customFormat="false" ht="14.25" hidden="false" customHeight="false" outlineLevel="0" collapsed="false">
      <c r="A34" s="1296"/>
      <c r="B34" s="1296"/>
      <c r="C34" s="1296"/>
      <c r="D34" s="1296"/>
      <c r="E34" s="1296"/>
      <c r="F34" s="1296"/>
      <c r="G34" s="1296"/>
      <c r="H34" s="1296"/>
      <c r="I34" s="1296"/>
      <c r="J34" s="1296"/>
      <c r="K34" s="1296"/>
      <c r="L34" s="1296"/>
      <c r="M34" s="1296"/>
      <c r="N34" s="1296"/>
      <c r="O34" s="1296"/>
      <c r="P34" s="1296"/>
      <c r="Q34" s="1296"/>
      <c r="R34" s="1296"/>
      <c r="S34" s="1296"/>
      <c r="T34" s="1296"/>
      <c r="U34" s="1296"/>
      <c r="V34" s="1296"/>
      <c r="W34" s="1296"/>
    </row>
    <row r="35" customFormat="false" ht="14.25" hidden="false" customHeight="false" outlineLevel="0" collapsed="false">
      <c r="A35" s="1296"/>
      <c r="B35" s="1296"/>
      <c r="C35" s="1296"/>
      <c r="D35" s="1296"/>
      <c r="E35" s="1296"/>
      <c r="F35" s="1296"/>
      <c r="G35" s="1296"/>
      <c r="H35" s="1296"/>
      <c r="I35" s="1296"/>
      <c r="J35" s="1296"/>
      <c r="K35" s="1296"/>
      <c r="L35" s="1296"/>
      <c r="M35" s="1296"/>
      <c r="N35" s="1296"/>
      <c r="O35" s="1296"/>
      <c r="P35" s="1296"/>
      <c r="Q35" s="1296"/>
      <c r="R35" s="1296"/>
      <c r="S35" s="1296"/>
      <c r="T35" s="1296"/>
      <c r="U35" s="1296"/>
      <c r="V35" s="1296"/>
      <c r="W35" s="1296"/>
    </row>
    <row r="36" customFormat="false" ht="14.25" hidden="false" customHeight="false" outlineLevel="0" collapsed="false">
      <c r="A36" s="1296"/>
      <c r="B36" s="1296"/>
      <c r="C36" s="1296"/>
      <c r="D36" s="1296"/>
      <c r="E36" s="1296"/>
      <c r="F36" s="1296"/>
      <c r="G36" s="1296"/>
      <c r="H36" s="1296"/>
      <c r="I36" s="1296"/>
      <c r="J36" s="1296"/>
      <c r="K36" s="1296"/>
      <c r="L36" s="1296"/>
      <c r="M36" s="1296"/>
      <c r="N36" s="1296"/>
      <c r="O36" s="1296"/>
      <c r="P36" s="1296"/>
      <c r="Q36" s="1296"/>
      <c r="R36" s="1296"/>
      <c r="S36" s="1296"/>
      <c r="T36" s="1296"/>
      <c r="U36" s="1296"/>
      <c r="V36" s="1296"/>
      <c r="W36" s="1296"/>
    </row>
    <row r="37" customFormat="false" ht="14.25" hidden="false" customHeight="false" outlineLevel="0" collapsed="false">
      <c r="A37" s="1296"/>
      <c r="B37" s="1296"/>
      <c r="C37" s="1296"/>
      <c r="D37" s="1296"/>
      <c r="E37" s="1296"/>
      <c r="F37" s="1296"/>
      <c r="G37" s="1296"/>
      <c r="H37" s="1296"/>
      <c r="I37" s="1296"/>
      <c r="J37" s="1296"/>
      <c r="K37" s="1296"/>
      <c r="L37" s="1296"/>
      <c r="M37" s="1296"/>
      <c r="N37" s="1296"/>
      <c r="O37" s="1296"/>
      <c r="P37" s="1296"/>
      <c r="Q37" s="1296"/>
      <c r="R37" s="1296"/>
      <c r="S37" s="1296"/>
      <c r="T37" s="1296"/>
      <c r="U37" s="1296"/>
      <c r="V37" s="1296"/>
      <c r="W37" s="1296"/>
    </row>
    <row r="38" customFormat="false" ht="14.25" hidden="false" customHeight="false" outlineLevel="0" collapsed="false">
      <c r="A38" s="1296"/>
      <c r="B38" s="1296"/>
      <c r="C38" s="1296"/>
      <c r="D38" s="1296"/>
      <c r="E38" s="1296"/>
      <c r="F38" s="1296"/>
      <c r="G38" s="1296"/>
      <c r="H38" s="1296"/>
      <c r="I38" s="1296"/>
      <c r="J38" s="1296"/>
      <c r="K38" s="1296"/>
      <c r="L38" s="1296"/>
      <c r="M38" s="1296"/>
      <c r="N38" s="1296"/>
      <c r="O38" s="1296"/>
      <c r="P38" s="1296"/>
      <c r="Q38" s="1296"/>
      <c r="R38" s="1296"/>
      <c r="S38" s="1296"/>
      <c r="T38" s="1296"/>
      <c r="U38" s="1296"/>
      <c r="V38" s="1296"/>
      <c r="W38" s="1296"/>
    </row>
    <row r="39" customFormat="false" ht="14.25" hidden="false" customHeight="false" outlineLevel="0" collapsed="false">
      <c r="A39" s="1296"/>
      <c r="B39" s="1296"/>
      <c r="C39" s="1296"/>
      <c r="D39" s="1296"/>
      <c r="E39" s="1296"/>
      <c r="F39" s="1296"/>
      <c r="G39" s="1296"/>
      <c r="H39" s="1296"/>
      <c r="I39" s="1296"/>
      <c r="J39" s="1296"/>
      <c r="K39" s="1296"/>
      <c r="L39" s="1296"/>
      <c r="M39" s="1296"/>
      <c r="N39" s="1296"/>
      <c r="O39" s="1296"/>
      <c r="P39" s="1296"/>
      <c r="Q39" s="1296"/>
      <c r="R39" s="1296"/>
      <c r="S39" s="1296"/>
      <c r="T39" s="1296"/>
      <c r="U39" s="1296"/>
      <c r="V39" s="1296"/>
      <c r="W39" s="1296"/>
    </row>
    <row r="40" customFormat="false" ht="14.25" hidden="false" customHeight="false" outlineLevel="0" collapsed="false">
      <c r="A40" s="1296"/>
      <c r="B40" s="1296"/>
      <c r="C40" s="1296"/>
      <c r="D40" s="1296"/>
      <c r="E40" s="1296"/>
      <c r="F40" s="1296"/>
      <c r="G40" s="1296"/>
      <c r="H40" s="1296"/>
      <c r="I40" s="1296"/>
      <c r="J40" s="1296"/>
      <c r="K40" s="1296"/>
      <c r="L40" s="1296"/>
      <c r="M40" s="1296"/>
      <c r="N40" s="1296"/>
      <c r="O40" s="1296"/>
      <c r="P40" s="1296"/>
      <c r="Q40" s="1296"/>
      <c r="R40" s="1296"/>
      <c r="S40" s="1296"/>
      <c r="T40" s="1296"/>
      <c r="U40" s="1296"/>
      <c r="V40" s="1296"/>
      <c r="W40" s="1296"/>
    </row>
    <row r="41" customFormat="false" ht="14.25" hidden="false" customHeight="false" outlineLevel="0" collapsed="false">
      <c r="A41" s="1296"/>
      <c r="B41" s="1296"/>
      <c r="C41" s="1296"/>
      <c r="D41" s="1296"/>
      <c r="E41" s="1296"/>
      <c r="F41" s="1296"/>
      <c r="G41" s="1296"/>
      <c r="H41" s="1296"/>
      <c r="I41" s="1296"/>
      <c r="J41" s="1296"/>
      <c r="K41" s="1296"/>
      <c r="L41" s="1296"/>
      <c r="M41" s="1296"/>
      <c r="N41" s="1296"/>
      <c r="O41" s="1296"/>
      <c r="P41" s="1296"/>
      <c r="Q41" s="1296"/>
      <c r="R41" s="1296"/>
      <c r="S41" s="1296"/>
      <c r="T41" s="1296"/>
      <c r="U41" s="1296"/>
      <c r="V41" s="1296"/>
      <c r="W41" s="1296"/>
    </row>
    <row r="42" customFormat="false" ht="14.25" hidden="false" customHeight="false" outlineLevel="0" collapsed="false">
      <c r="A42" s="1296"/>
      <c r="B42" s="1296"/>
      <c r="C42" s="1296"/>
      <c r="D42" s="1296"/>
      <c r="E42" s="1296"/>
      <c r="F42" s="1296"/>
      <c r="G42" s="1296"/>
      <c r="H42" s="1296"/>
      <c r="I42" s="1296"/>
      <c r="J42" s="1296"/>
      <c r="K42" s="1296"/>
      <c r="L42" s="1296"/>
      <c r="M42" s="1296"/>
      <c r="N42" s="1296"/>
      <c r="O42" s="1296"/>
      <c r="P42" s="1296"/>
      <c r="Q42" s="1296"/>
      <c r="R42" s="1296"/>
      <c r="S42" s="1296"/>
      <c r="T42" s="1296"/>
      <c r="U42" s="1296"/>
      <c r="V42" s="1296"/>
      <c r="W42" s="1296"/>
    </row>
    <row r="43" customFormat="false" ht="14.25" hidden="false" customHeight="false" outlineLevel="0" collapsed="false">
      <c r="A43" s="1296"/>
      <c r="B43" s="1296"/>
      <c r="C43" s="1296"/>
      <c r="D43" s="1296"/>
      <c r="E43" s="1296"/>
      <c r="F43" s="1296"/>
      <c r="G43" s="1296"/>
      <c r="H43" s="1296"/>
      <c r="I43" s="1296"/>
      <c r="J43" s="1296"/>
      <c r="K43" s="1296"/>
      <c r="L43" s="1296"/>
      <c r="M43" s="1296"/>
      <c r="N43" s="1296"/>
      <c r="O43" s="1296"/>
      <c r="P43" s="1296"/>
      <c r="Q43" s="1296"/>
      <c r="R43" s="1296"/>
      <c r="S43" s="1296"/>
      <c r="T43" s="1296"/>
      <c r="U43" s="1296"/>
      <c r="V43" s="1296"/>
      <c r="W43" s="1296"/>
    </row>
    <row r="44" customFormat="false" ht="14.25" hidden="false" customHeight="false" outlineLevel="0" collapsed="false">
      <c r="A44" s="1296"/>
      <c r="B44" s="1296"/>
      <c r="C44" s="1296"/>
      <c r="D44" s="1296"/>
      <c r="E44" s="1296"/>
      <c r="F44" s="1296"/>
      <c r="G44" s="1296"/>
      <c r="H44" s="1296"/>
      <c r="I44" s="1296"/>
      <c r="J44" s="1296"/>
      <c r="K44" s="1296"/>
      <c r="L44" s="1296"/>
      <c r="M44" s="1296"/>
      <c r="N44" s="1296"/>
      <c r="O44" s="1296"/>
      <c r="P44" s="1296"/>
      <c r="Q44" s="1296"/>
      <c r="R44" s="1296"/>
      <c r="S44" s="1296"/>
      <c r="T44" s="1296"/>
      <c r="U44" s="1296"/>
      <c r="V44" s="1296"/>
      <c r="W44" s="1296"/>
    </row>
    <row r="45" customFormat="false" ht="14.25" hidden="false" customHeight="false" outlineLevel="0" collapsed="false">
      <c r="A45" s="1296"/>
      <c r="B45" s="1296"/>
      <c r="C45" s="1296"/>
      <c r="D45" s="1296"/>
      <c r="E45" s="1296"/>
      <c r="F45" s="1296"/>
      <c r="G45" s="1296"/>
      <c r="H45" s="1296"/>
      <c r="I45" s="1296"/>
      <c r="J45" s="1296"/>
      <c r="K45" s="1296"/>
      <c r="L45" s="1296"/>
      <c r="M45" s="1296"/>
      <c r="N45" s="1296"/>
      <c r="O45" s="1296"/>
      <c r="P45" s="1296"/>
      <c r="Q45" s="1296"/>
      <c r="R45" s="1296"/>
      <c r="S45" s="1296"/>
      <c r="T45" s="1296"/>
      <c r="U45" s="1296"/>
      <c r="V45" s="1296"/>
      <c r="W45" s="1296"/>
    </row>
    <row r="46" customFormat="false" ht="14.25" hidden="false" customHeight="false" outlineLevel="0" collapsed="false">
      <c r="A46" s="1296"/>
      <c r="B46" s="1296"/>
      <c r="C46" s="1296"/>
      <c r="D46" s="1296"/>
      <c r="E46" s="1296"/>
      <c r="F46" s="1296"/>
      <c r="G46" s="1296"/>
      <c r="H46" s="1296"/>
      <c r="I46" s="1296"/>
      <c r="J46" s="1296"/>
      <c r="K46" s="1296"/>
      <c r="L46" s="1296"/>
      <c r="M46" s="1296"/>
      <c r="N46" s="1296"/>
      <c r="O46" s="1296"/>
      <c r="P46" s="1296"/>
      <c r="Q46" s="1296"/>
      <c r="R46" s="1296"/>
      <c r="S46" s="1296"/>
      <c r="T46" s="1296"/>
      <c r="U46" s="1296"/>
      <c r="V46" s="1296"/>
      <c r="W46" s="1296"/>
    </row>
    <row r="47" customFormat="false" ht="14.25" hidden="false" customHeight="false" outlineLevel="0" collapsed="false">
      <c r="A47" s="1296"/>
      <c r="B47" s="1296"/>
      <c r="C47" s="1296"/>
      <c r="D47" s="1296"/>
      <c r="E47" s="1296"/>
      <c r="F47" s="1296"/>
      <c r="G47" s="1296"/>
      <c r="H47" s="1296"/>
      <c r="I47" s="1296"/>
      <c r="J47" s="1296"/>
      <c r="K47" s="1296"/>
      <c r="L47" s="1296"/>
      <c r="M47" s="1296"/>
      <c r="N47" s="1296"/>
      <c r="O47" s="1296"/>
      <c r="P47" s="1296"/>
      <c r="Q47" s="1296"/>
      <c r="R47" s="1296"/>
      <c r="S47" s="1296"/>
      <c r="T47" s="1296"/>
      <c r="U47" s="1296"/>
      <c r="V47" s="1296"/>
      <c r="W47" s="1296"/>
    </row>
    <row r="48" customFormat="false" ht="14.25" hidden="false" customHeight="false" outlineLevel="0" collapsed="false">
      <c r="A48" s="1296"/>
      <c r="B48" s="1296"/>
      <c r="C48" s="1296"/>
      <c r="D48" s="1296"/>
      <c r="E48" s="1296"/>
      <c r="F48" s="1296"/>
      <c r="G48" s="1296"/>
      <c r="H48" s="1296"/>
      <c r="I48" s="1296"/>
      <c r="J48" s="1296"/>
      <c r="K48" s="1296"/>
      <c r="L48" s="1296"/>
      <c r="M48" s="1296"/>
      <c r="N48" s="1296"/>
      <c r="O48" s="1296"/>
      <c r="P48" s="1296"/>
      <c r="Q48" s="1296"/>
      <c r="R48" s="1296"/>
      <c r="S48" s="1296"/>
      <c r="T48" s="1296"/>
      <c r="U48" s="1296"/>
      <c r="V48" s="1296"/>
      <c r="W48" s="1296"/>
    </row>
    <row r="49" customFormat="false" ht="14.25" hidden="false" customHeight="false" outlineLevel="0" collapsed="false">
      <c r="A49" s="1296"/>
      <c r="B49" s="1296"/>
      <c r="C49" s="1296"/>
      <c r="D49" s="1296"/>
      <c r="E49" s="1296"/>
      <c r="F49" s="1296"/>
      <c r="G49" s="1296"/>
      <c r="H49" s="1296"/>
      <c r="I49" s="1296"/>
      <c r="J49" s="1296"/>
      <c r="K49" s="1296"/>
      <c r="L49" s="1296"/>
      <c r="M49" s="1296"/>
      <c r="N49" s="1296"/>
      <c r="O49" s="1296"/>
      <c r="P49" s="1296"/>
      <c r="Q49" s="1296"/>
      <c r="R49" s="1296"/>
      <c r="S49" s="1296"/>
      <c r="T49" s="1296"/>
      <c r="U49" s="1296"/>
      <c r="V49" s="1296"/>
      <c r="W49" s="1296"/>
    </row>
    <row r="50" customFormat="false" ht="14.25" hidden="false" customHeight="false" outlineLevel="0" collapsed="false">
      <c r="A50" s="1296"/>
      <c r="B50" s="1296"/>
      <c r="C50" s="1296"/>
      <c r="D50" s="1296"/>
      <c r="E50" s="1296"/>
      <c r="F50" s="1296"/>
      <c r="G50" s="1296"/>
      <c r="H50" s="1296"/>
      <c r="I50" s="1296"/>
      <c r="J50" s="1296"/>
      <c r="K50" s="1296"/>
      <c r="L50" s="1296"/>
      <c r="M50" s="1296"/>
      <c r="N50" s="1296"/>
      <c r="O50" s="1296"/>
      <c r="P50" s="1296"/>
      <c r="Q50" s="1296"/>
      <c r="R50" s="1296"/>
      <c r="S50" s="1296"/>
      <c r="T50" s="1296"/>
      <c r="U50" s="1296"/>
      <c r="V50" s="1296"/>
      <c r="W50" s="1296"/>
    </row>
    <row r="51" customFormat="false" ht="14.25" hidden="false" customHeight="false" outlineLevel="0" collapsed="false">
      <c r="A51" s="1296"/>
      <c r="B51" s="1296"/>
      <c r="C51" s="1296"/>
      <c r="D51" s="1296"/>
      <c r="E51" s="1296"/>
      <c r="F51" s="1296"/>
      <c r="G51" s="1296"/>
      <c r="H51" s="1296"/>
      <c r="I51" s="1296"/>
      <c r="J51" s="1296"/>
      <c r="K51" s="1296"/>
      <c r="L51" s="1296"/>
      <c r="M51" s="1296"/>
      <c r="N51" s="1296"/>
      <c r="O51" s="1296"/>
      <c r="P51" s="1296"/>
      <c r="Q51" s="1296"/>
      <c r="R51" s="1296"/>
      <c r="S51" s="1296"/>
      <c r="T51" s="1296"/>
      <c r="U51" s="1296"/>
      <c r="V51" s="1296"/>
      <c r="W51" s="1296"/>
    </row>
    <row r="52" customFormat="false" ht="14.25" hidden="false" customHeight="false" outlineLevel="0" collapsed="false">
      <c r="A52" s="1296"/>
      <c r="B52" s="1296"/>
      <c r="C52" s="1296"/>
      <c r="D52" s="1296"/>
      <c r="E52" s="1296"/>
      <c r="F52" s="1296"/>
      <c r="G52" s="1296"/>
      <c r="H52" s="1296"/>
      <c r="I52" s="1296"/>
      <c r="J52" s="1296"/>
      <c r="K52" s="1296"/>
      <c r="L52" s="1296"/>
      <c r="M52" s="1296"/>
      <c r="N52" s="1296"/>
      <c r="O52" s="1296"/>
      <c r="P52" s="1296"/>
      <c r="Q52" s="1296"/>
      <c r="R52" s="1296"/>
      <c r="S52" s="1296"/>
      <c r="T52" s="1296"/>
      <c r="U52" s="1296"/>
      <c r="V52" s="1296"/>
      <c r="W52" s="1296"/>
    </row>
    <row r="53" customFormat="false" ht="14.25" hidden="false" customHeight="false" outlineLevel="0" collapsed="false">
      <c r="A53" s="1296"/>
      <c r="B53" s="1296"/>
      <c r="C53" s="1296"/>
      <c r="D53" s="1296"/>
      <c r="E53" s="1296"/>
      <c r="F53" s="1296"/>
      <c r="G53" s="1296"/>
      <c r="H53" s="1296"/>
      <c r="I53" s="1296"/>
      <c r="J53" s="1296"/>
      <c r="K53" s="1296"/>
      <c r="L53" s="1296"/>
      <c r="M53" s="1296"/>
      <c r="N53" s="1296"/>
      <c r="O53" s="1296"/>
      <c r="P53" s="1296"/>
      <c r="Q53" s="1296"/>
      <c r="R53" s="1296"/>
      <c r="S53" s="1296"/>
      <c r="T53" s="1296"/>
      <c r="U53" s="1296"/>
      <c r="V53" s="1296"/>
      <c r="W53" s="1296"/>
    </row>
    <row r="54" customFormat="false" ht="14.25" hidden="false" customHeight="false" outlineLevel="0" collapsed="false">
      <c r="A54" s="1296"/>
      <c r="B54" s="1296"/>
      <c r="C54" s="1296"/>
      <c r="D54" s="1296"/>
      <c r="E54" s="1296"/>
      <c r="F54" s="1296"/>
      <c r="G54" s="1296"/>
      <c r="H54" s="1296"/>
      <c r="I54" s="1296"/>
      <c r="J54" s="1296"/>
      <c r="K54" s="1296"/>
      <c r="L54" s="1296"/>
      <c r="M54" s="1296"/>
      <c r="N54" s="1296"/>
      <c r="O54" s="1296"/>
      <c r="P54" s="1296"/>
      <c r="Q54" s="1296"/>
      <c r="R54" s="1296"/>
      <c r="S54" s="1296"/>
      <c r="T54" s="1296"/>
      <c r="U54" s="1296"/>
      <c r="V54" s="1296"/>
      <c r="W54" s="1296"/>
    </row>
    <row r="55" customFormat="false" ht="14.25" hidden="false" customHeight="false" outlineLevel="0" collapsed="false">
      <c r="A55" s="1296"/>
      <c r="B55" s="1296"/>
      <c r="C55" s="1296"/>
      <c r="D55" s="1296"/>
      <c r="E55" s="1296"/>
      <c r="F55" s="1296"/>
      <c r="G55" s="1296"/>
      <c r="H55" s="1296"/>
      <c r="I55" s="1296"/>
      <c r="J55" s="1296"/>
      <c r="K55" s="1296"/>
      <c r="L55" s="1296"/>
      <c r="M55" s="1296"/>
      <c r="N55" s="1296"/>
      <c r="O55" s="1296"/>
      <c r="P55" s="1296"/>
      <c r="Q55" s="1296"/>
      <c r="R55" s="1296"/>
      <c r="S55" s="1296"/>
      <c r="T55" s="1296"/>
      <c r="U55" s="1296"/>
      <c r="V55" s="1296"/>
      <c r="W55" s="1296"/>
    </row>
    <row r="56" customFormat="false" ht="14.25" hidden="false" customHeight="false" outlineLevel="0" collapsed="false">
      <c r="A56" s="1296"/>
      <c r="B56" s="1296"/>
      <c r="C56" s="1296"/>
      <c r="D56" s="1296"/>
      <c r="E56" s="1296"/>
      <c r="F56" s="1296"/>
      <c r="G56" s="1296"/>
      <c r="H56" s="1296"/>
      <c r="I56" s="1296"/>
      <c r="J56" s="1296"/>
      <c r="K56" s="1296"/>
      <c r="L56" s="1296"/>
      <c r="M56" s="1296"/>
      <c r="N56" s="1296"/>
      <c r="O56" s="1296"/>
      <c r="P56" s="1296"/>
      <c r="Q56" s="1296"/>
      <c r="R56" s="1296"/>
      <c r="S56" s="1296"/>
      <c r="T56" s="1296"/>
      <c r="U56" s="1296"/>
      <c r="V56" s="1296"/>
      <c r="W56" s="1296"/>
    </row>
    <row r="57" customFormat="false" ht="14.25" hidden="false" customHeight="false" outlineLevel="0" collapsed="false">
      <c r="A57" s="1296"/>
      <c r="B57" s="1296"/>
      <c r="C57" s="1296"/>
      <c r="D57" s="1296"/>
      <c r="E57" s="1296"/>
      <c r="F57" s="1296"/>
      <c r="G57" s="1296"/>
      <c r="H57" s="1296"/>
      <c r="I57" s="1296"/>
      <c r="J57" s="1296"/>
      <c r="K57" s="1296"/>
      <c r="L57" s="1296"/>
      <c r="M57" s="1296"/>
      <c r="N57" s="1296"/>
      <c r="O57" s="1296"/>
      <c r="P57" s="1296"/>
      <c r="Q57" s="1296"/>
      <c r="R57" s="1296"/>
      <c r="S57" s="1296"/>
      <c r="T57" s="1296"/>
      <c r="U57" s="1296"/>
      <c r="V57" s="1296"/>
      <c r="W57" s="1296"/>
    </row>
    <row r="58" customFormat="false" ht="14.25" hidden="false" customHeight="false" outlineLevel="0" collapsed="false">
      <c r="A58" s="1296"/>
      <c r="B58" s="1296"/>
      <c r="C58" s="1296"/>
      <c r="D58" s="1296"/>
      <c r="E58" s="1296"/>
      <c r="F58" s="1296"/>
      <c r="G58" s="1296"/>
      <c r="H58" s="1296"/>
      <c r="I58" s="1296"/>
      <c r="J58" s="1296"/>
      <c r="K58" s="1296"/>
      <c r="L58" s="1296"/>
      <c r="M58" s="1296"/>
      <c r="N58" s="1296"/>
      <c r="O58" s="1296"/>
      <c r="P58" s="1296"/>
      <c r="Q58" s="1296"/>
      <c r="R58" s="1296"/>
      <c r="S58" s="1296"/>
      <c r="T58" s="1296"/>
      <c r="U58" s="1296"/>
      <c r="V58" s="1296"/>
      <c r="W58" s="1296"/>
    </row>
    <row r="59" customFormat="false" ht="14.25" hidden="false" customHeight="false" outlineLevel="0" collapsed="false">
      <c r="A59" s="1296"/>
      <c r="B59" s="1296"/>
      <c r="C59" s="1296"/>
      <c r="D59" s="1296"/>
      <c r="E59" s="1296"/>
      <c r="F59" s="1296"/>
      <c r="G59" s="1296"/>
      <c r="H59" s="1296"/>
      <c r="I59" s="1296"/>
      <c r="J59" s="1296"/>
      <c r="K59" s="1296"/>
      <c r="L59" s="1296"/>
      <c r="M59" s="1296"/>
      <c r="N59" s="1296"/>
      <c r="O59" s="1296"/>
      <c r="P59" s="1296"/>
      <c r="Q59" s="1296"/>
      <c r="R59" s="1296"/>
      <c r="S59" s="1296"/>
      <c r="T59" s="1296"/>
      <c r="U59" s="1296"/>
      <c r="V59" s="1296"/>
      <c r="W59" s="1296"/>
    </row>
    <row r="60" customFormat="false" ht="14.25" hidden="false" customHeight="false" outlineLevel="0" collapsed="false">
      <c r="A60" s="1296"/>
      <c r="B60" s="1296"/>
      <c r="C60" s="1296"/>
      <c r="D60" s="1296"/>
      <c r="E60" s="1296"/>
      <c r="F60" s="1296"/>
      <c r="G60" s="1296"/>
      <c r="H60" s="1296"/>
      <c r="I60" s="1296"/>
      <c r="J60" s="1296"/>
      <c r="K60" s="1296"/>
      <c r="L60" s="1296"/>
      <c r="M60" s="1296"/>
      <c r="N60" s="1296"/>
      <c r="O60" s="1296"/>
      <c r="P60" s="1296"/>
      <c r="Q60" s="1296"/>
      <c r="R60" s="1296"/>
      <c r="S60" s="1296"/>
      <c r="T60" s="1296"/>
      <c r="U60" s="1296"/>
      <c r="V60" s="1296"/>
      <c r="W60" s="1296"/>
    </row>
    <row r="61" customFormat="false" ht="14.25" hidden="false" customHeight="false" outlineLevel="0" collapsed="false">
      <c r="A61" s="1296"/>
      <c r="B61" s="1296"/>
      <c r="C61" s="1296"/>
      <c r="D61" s="1296"/>
      <c r="E61" s="1296"/>
      <c r="F61" s="1296"/>
      <c r="G61" s="1296"/>
      <c r="H61" s="1296"/>
      <c r="I61" s="1296"/>
      <c r="J61" s="1296"/>
      <c r="K61" s="1296"/>
      <c r="L61" s="1296"/>
      <c r="M61" s="1296"/>
      <c r="N61" s="1296"/>
      <c r="O61" s="1296"/>
      <c r="P61" s="1296"/>
      <c r="Q61" s="1296"/>
      <c r="R61" s="1296"/>
      <c r="S61" s="1296"/>
      <c r="T61" s="1296"/>
      <c r="U61" s="1296"/>
      <c r="V61" s="1296"/>
      <c r="W61" s="1296"/>
    </row>
    <row r="62" customFormat="false" ht="14.25" hidden="false" customHeight="false" outlineLevel="0" collapsed="false">
      <c r="A62" s="1296"/>
      <c r="B62" s="1296"/>
      <c r="C62" s="1296"/>
      <c r="D62" s="1296"/>
      <c r="E62" s="1296"/>
      <c r="F62" s="1296"/>
      <c r="G62" s="1296"/>
      <c r="H62" s="1296"/>
      <c r="I62" s="1296"/>
      <c r="J62" s="1296"/>
      <c r="K62" s="1296"/>
      <c r="L62" s="1296"/>
      <c r="M62" s="1296"/>
      <c r="N62" s="1296"/>
      <c r="O62" s="1296"/>
      <c r="P62" s="1296"/>
      <c r="Q62" s="1296"/>
      <c r="R62" s="1296"/>
      <c r="S62" s="1296"/>
      <c r="T62" s="1296"/>
      <c r="U62" s="1296"/>
      <c r="V62" s="1296"/>
      <c r="W62" s="1296"/>
    </row>
    <row r="63" customFormat="false" ht="14.25" hidden="false" customHeight="false" outlineLevel="0" collapsed="false">
      <c r="A63" s="1296"/>
      <c r="B63" s="1296"/>
      <c r="C63" s="1296"/>
      <c r="D63" s="1296"/>
      <c r="E63" s="1296"/>
      <c r="F63" s="1296"/>
      <c r="G63" s="1296"/>
      <c r="H63" s="1296"/>
      <c r="I63" s="1296"/>
      <c r="J63" s="1296"/>
      <c r="K63" s="1296"/>
      <c r="L63" s="1296"/>
      <c r="M63" s="1296"/>
      <c r="N63" s="1296"/>
      <c r="O63" s="1296"/>
      <c r="P63" s="1296"/>
      <c r="Q63" s="1296"/>
      <c r="R63" s="1296"/>
      <c r="S63" s="1296"/>
      <c r="T63" s="1296"/>
      <c r="U63" s="1296"/>
      <c r="V63" s="1296"/>
      <c r="W63" s="1296"/>
    </row>
    <row r="64" customFormat="false" ht="14.25" hidden="false" customHeight="false" outlineLevel="0" collapsed="false">
      <c r="A64" s="1296"/>
      <c r="B64" s="1296"/>
      <c r="C64" s="1296"/>
      <c r="D64" s="1296"/>
      <c r="E64" s="1296"/>
      <c r="F64" s="1296"/>
      <c r="G64" s="1296"/>
      <c r="H64" s="1296"/>
      <c r="I64" s="1296"/>
      <c r="J64" s="1296"/>
      <c r="K64" s="1296"/>
      <c r="L64" s="1296"/>
      <c r="M64" s="1296"/>
      <c r="N64" s="1296"/>
      <c r="O64" s="1296"/>
      <c r="P64" s="1296"/>
      <c r="Q64" s="1296"/>
      <c r="R64" s="1296"/>
      <c r="S64" s="1296"/>
      <c r="T64" s="1296"/>
      <c r="U64" s="1296"/>
      <c r="V64" s="1296"/>
      <c r="W64" s="1296"/>
    </row>
    <row r="65" customFormat="false" ht="14.25" hidden="false" customHeight="false" outlineLevel="0" collapsed="false">
      <c r="A65" s="1296"/>
      <c r="B65" s="1296"/>
      <c r="C65" s="1296"/>
      <c r="D65" s="1296"/>
      <c r="E65" s="1296"/>
      <c r="F65" s="1296"/>
      <c r="G65" s="1296"/>
      <c r="H65" s="1296"/>
      <c r="I65" s="1296"/>
      <c r="J65" s="1296"/>
      <c r="K65" s="1296"/>
      <c r="L65" s="1296"/>
      <c r="M65" s="1296"/>
      <c r="N65" s="1296"/>
      <c r="O65" s="1296"/>
      <c r="P65" s="1296"/>
      <c r="Q65" s="1296"/>
      <c r="R65" s="1296"/>
      <c r="S65" s="1296"/>
      <c r="T65" s="1296"/>
      <c r="U65" s="1296"/>
      <c r="V65" s="1296"/>
      <c r="W65" s="1296"/>
    </row>
    <row r="66" customFormat="false" ht="14.25" hidden="false" customHeight="false" outlineLevel="0" collapsed="false">
      <c r="A66" s="1296"/>
      <c r="B66" s="1296"/>
      <c r="C66" s="1296"/>
      <c r="D66" s="1296"/>
      <c r="E66" s="1296"/>
      <c r="F66" s="1296"/>
      <c r="G66" s="1296"/>
      <c r="H66" s="1296"/>
      <c r="I66" s="1296"/>
      <c r="J66" s="1296"/>
      <c r="K66" s="1296"/>
      <c r="L66" s="1296"/>
      <c r="M66" s="1296"/>
      <c r="N66" s="1296"/>
      <c r="O66" s="1296"/>
      <c r="P66" s="1296"/>
      <c r="Q66" s="1296"/>
      <c r="R66" s="1296"/>
      <c r="S66" s="1296"/>
      <c r="T66" s="1296"/>
      <c r="U66" s="1296"/>
      <c r="V66" s="1296"/>
      <c r="W66" s="1296"/>
    </row>
    <row r="67" customFormat="false" ht="14.25" hidden="false" customHeight="false" outlineLevel="0" collapsed="false">
      <c r="A67" s="1296"/>
      <c r="B67" s="1296"/>
      <c r="C67" s="1296"/>
      <c r="D67" s="1296"/>
      <c r="E67" s="1296"/>
      <c r="F67" s="1296"/>
      <c r="G67" s="1296"/>
      <c r="H67" s="1296"/>
      <c r="I67" s="1296"/>
      <c r="J67" s="1296"/>
      <c r="K67" s="1296"/>
      <c r="L67" s="1296"/>
      <c r="M67" s="1296"/>
      <c r="N67" s="1296"/>
      <c r="O67" s="1296"/>
      <c r="P67" s="1296"/>
      <c r="Q67" s="1296"/>
      <c r="R67" s="1296"/>
      <c r="S67" s="1296"/>
      <c r="T67" s="1296"/>
      <c r="U67" s="1296"/>
      <c r="V67" s="1296"/>
      <c r="W67" s="1296"/>
    </row>
    <row r="68" customFormat="false" ht="14.25" hidden="false" customHeight="false" outlineLevel="0" collapsed="false">
      <c r="A68" s="1296"/>
      <c r="B68" s="1296"/>
      <c r="C68" s="1296"/>
      <c r="D68" s="1296"/>
      <c r="E68" s="1296"/>
      <c r="F68" s="1296"/>
      <c r="G68" s="1296"/>
      <c r="H68" s="1296"/>
      <c r="I68" s="1296"/>
      <c r="J68" s="1296"/>
      <c r="K68" s="1296"/>
      <c r="L68" s="1296"/>
      <c r="M68" s="1296"/>
      <c r="N68" s="1296"/>
      <c r="O68" s="1296"/>
      <c r="P68" s="1296"/>
      <c r="Q68" s="1296"/>
      <c r="R68" s="1296"/>
      <c r="S68" s="1296"/>
      <c r="T68" s="1296"/>
      <c r="U68" s="1296"/>
      <c r="V68" s="1296"/>
      <c r="W68" s="1296"/>
    </row>
    <row r="69" customFormat="false" ht="14.25" hidden="false" customHeight="false" outlineLevel="0" collapsed="false">
      <c r="A69" s="1296"/>
      <c r="B69" s="1296"/>
      <c r="C69" s="1296"/>
      <c r="D69" s="1296"/>
      <c r="E69" s="1296"/>
      <c r="F69" s="1296"/>
      <c r="G69" s="1296"/>
      <c r="H69" s="1296"/>
      <c r="I69" s="1296"/>
      <c r="J69" s="1296"/>
      <c r="K69" s="1296"/>
      <c r="L69" s="1296"/>
      <c r="M69" s="1296"/>
      <c r="N69" s="1296"/>
      <c r="O69" s="1296"/>
      <c r="P69" s="1296"/>
      <c r="Q69" s="1296"/>
      <c r="R69" s="1296"/>
      <c r="S69" s="1296"/>
      <c r="T69" s="1296"/>
      <c r="U69" s="1296"/>
      <c r="V69" s="1296"/>
      <c r="W69" s="1296"/>
    </row>
    <row r="70" customFormat="false" ht="14.25" hidden="false" customHeight="false" outlineLevel="0" collapsed="false">
      <c r="A70" s="1296"/>
      <c r="B70" s="1296"/>
      <c r="C70" s="1296"/>
      <c r="D70" s="1296"/>
      <c r="E70" s="1296"/>
      <c r="F70" s="1296"/>
      <c r="G70" s="1296"/>
      <c r="H70" s="1296"/>
      <c r="I70" s="1296"/>
      <c r="J70" s="1296"/>
      <c r="K70" s="1296"/>
      <c r="L70" s="1296"/>
      <c r="M70" s="1296"/>
      <c r="N70" s="1296"/>
      <c r="O70" s="1296"/>
      <c r="P70" s="1296"/>
      <c r="Q70" s="1296"/>
      <c r="R70" s="1296"/>
      <c r="S70" s="1296"/>
      <c r="T70" s="1296"/>
      <c r="U70" s="1296"/>
      <c r="V70" s="1296"/>
      <c r="W70" s="1296"/>
    </row>
    <row r="71" customFormat="false" ht="14.25" hidden="false" customHeight="false" outlineLevel="0" collapsed="false">
      <c r="A71" s="1296"/>
      <c r="B71" s="1296"/>
      <c r="C71" s="1296"/>
      <c r="D71" s="1296"/>
      <c r="E71" s="1296"/>
      <c r="F71" s="1296"/>
      <c r="G71" s="1296"/>
      <c r="H71" s="1296"/>
      <c r="I71" s="1296"/>
      <c r="J71" s="1296"/>
      <c r="K71" s="1296"/>
      <c r="L71" s="1296"/>
      <c r="M71" s="1296"/>
      <c r="N71" s="1296"/>
      <c r="O71" s="1296"/>
      <c r="P71" s="1296"/>
      <c r="Q71" s="1296"/>
      <c r="R71" s="1296"/>
      <c r="S71" s="1296"/>
      <c r="T71" s="1296"/>
      <c r="U71" s="1296"/>
      <c r="V71" s="1296"/>
      <c r="W71" s="1296"/>
    </row>
    <row r="72" customFormat="false" ht="14.25" hidden="false" customHeight="false" outlineLevel="0" collapsed="false">
      <c r="A72" s="1296"/>
      <c r="B72" s="1296"/>
      <c r="C72" s="1296"/>
      <c r="D72" s="1296"/>
      <c r="E72" s="1296"/>
      <c r="F72" s="1296"/>
      <c r="G72" s="1296"/>
      <c r="H72" s="1296"/>
      <c r="I72" s="1296"/>
      <c r="J72" s="1296"/>
      <c r="K72" s="1296"/>
      <c r="L72" s="1296"/>
      <c r="M72" s="1296"/>
      <c r="N72" s="1296"/>
      <c r="O72" s="1296"/>
      <c r="P72" s="1296"/>
      <c r="Q72" s="1296"/>
      <c r="R72" s="1296"/>
      <c r="S72" s="1296"/>
      <c r="T72" s="1296"/>
      <c r="U72" s="1296"/>
      <c r="V72" s="1296"/>
      <c r="W72" s="1296"/>
    </row>
    <row r="73" customFormat="false" ht="14.25" hidden="false" customHeight="false" outlineLevel="0" collapsed="false">
      <c r="A73" s="1296"/>
      <c r="B73" s="1296"/>
      <c r="C73" s="1296"/>
      <c r="D73" s="1296"/>
      <c r="E73" s="1296"/>
      <c r="F73" s="1296"/>
      <c r="G73" s="1296"/>
      <c r="H73" s="1296"/>
      <c r="I73" s="1296"/>
      <c r="J73" s="1296"/>
      <c r="K73" s="1296"/>
      <c r="L73" s="1296"/>
      <c r="M73" s="1296"/>
      <c r="N73" s="1296"/>
      <c r="O73" s="1296"/>
      <c r="P73" s="1296"/>
      <c r="Q73" s="1296"/>
      <c r="R73" s="1296"/>
      <c r="S73" s="1296"/>
      <c r="T73" s="1296"/>
      <c r="U73" s="1296"/>
      <c r="V73" s="1296"/>
      <c r="W73" s="1296"/>
    </row>
    <row r="74" customFormat="false" ht="14.25" hidden="false" customHeight="false" outlineLevel="0" collapsed="false">
      <c r="A74" s="1296"/>
      <c r="B74" s="1296"/>
      <c r="C74" s="1296"/>
      <c r="D74" s="1296"/>
      <c r="E74" s="1296"/>
      <c r="F74" s="1296"/>
      <c r="G74" s="1296"/>
      <c r="H74" s="1296"/>
      <c r="I74" s="1296"/>
      <c r="J74" s="1296"/>
      <c r="K74" s="1296"/>
      <c r="L74" s="1296"/>
      <c r="M74" s="1296"/>
      <c r="N74" s="1296"/>
      <c r="O74" s="1296"/>
      <c r="P74" s="1296"/>
      <c r="Q74" s="1296"/>
      <c r="R74" s="1296"/>
      <c r="S74" s="1296"/>
      <c r="T74" s="1296"/>
      <c r="U74" s="1296"/>
      <c r="V74" s="1296"/>
      <c r="W74" s="1296"/>
    </row>
    <row r="75" customFormat="false" ht="14.25" hidden="false" customHeight="false" outlineLevel="0" collapsed="false">
      <c r="A75" s="1296"/>
      <c r="B75" s="1296"/>
      <c r="C75" s="1296"/>
      <c r="D75" s="1296"/>
      <c r="E75" s="1296"/>
      <c r="F75" s="1296"/>
      <c r="G75" s="1296"/>
      <c r="H75" s="1296"/>
      <c r="I75" s="1296"/>
      <c r="J75" s="1296"/>
      <c r="K75" s="1296"/>
      <c r="L75" s="1296"/>
      <c r="M75" s="1296"/>
      <c r="N75" s="1296"/>
      <c r="O75" s="1296"/>
      <c r="P75" s="1296"/>
      <c r="Q75" s="1296"/>
      <c r="R75" s="1296"/>
      <c r="S75" s="1296"/>
      <c r="T75" s="1296"/>
      <c r="U75" s="1296"/>
      <c r="V75" s="1296"/>
      <c r="W75" s="1296"/>
    </row>
    <row r="76" customFormat="false" ht="14.25" hidden="false" customHeight="false" outlineLevel="0" collapsed="false">
      <c r="A76" s="1296"/>
      <c r="B76" s="1296"/>
      <c r="C76" s="1296"/>
      <c r="D76" s="1296"/>
      <c r="E76" s="1296"/>
      <c r="F76" s="1296"/>
      <c r="G76" s="1296"/>
      <c r="H76" s="1296"/>
      <c r="I76" s="1296"/>
      <c r="J76" s="1296"/>
      <c r="K76" s="1296"/>
      <c r="L76" s="1296"/>
      <c r="M76" s="1296"/>
      <c r="N76" s="1296"/>
      <c r="O76" s="1296"/>
      <c r="P76" s="1296"/>
      <c r="Q76" s="1296"/>
      <c r="R76" s="1296"/>
      <c r="S76" s="1296"/>
      <c r="T76" s="1296"/>
      <c r="U76" s="1296"/>
      <c r="V76" s="1296"/>
      <c r="W76" s="1296"/>
    </row>
    <row r="77" customFormat="false" ht="14.25" hidden="false" customHeight="false" outlineLevel="0" collapsed="false">
      <c r="A77" s="1296"/>
      <c r="B77" s="1296"/>
      <c r="C77" s="1296"/>
      <c r="D77" s="1296"/>
      <c r="E77" s="1296"/>
      <c r="F77" s="1296"/>
      <c r="G77" s="1296"/>
      <c r="H77" s="1296"/>
      <c r="I77" s="1296"/>
      <c r="J77" s="1296"/>
      <c r="K77" s="1296"/>
      <c r="L77" s="1296"/>
      <c r="M77" s="1296"/>
      <c r="N77" s="1296"/>
      <c r="O77" s="1296"/>
      <c r="P77" s="1296"/>
      <c r="Q77" s="1296"/>
      <c r="R77" s="1296"/>
      <c r="S77" s="1296"/>
      <c r="T77" s="1296"/>
      <c r="U77" s="1296"/>
      <c r="V77" s="1296"/>
      <c r="W77" s="1296"/>
    </row>
    <row r="78" customFormat="false" ht="14.25" hidden="false" customHeight="false" outlineLevel="0" collapsed="false">
      <c r="A78" s="1296"/>
      <c r="B78" s="1296"/>
      <c r="C78" s="1296"/>
      <c r="D78" s="1296"/>
      <c r="E78" s="1296"/>
      <c r="F78" s="1296"/>
      <c r="G78" s="1296"/>
      <c r="H78" s="1296"/>
      <c r="I78" s="1296"/>
      <c r="J78" s="1296"/>
      <c r="K78" s="1296"/>
      <c r="L78" s="1296"/>
      <c r="M78" s="1296"/>
      <c r="N78" s="1296"/>
      <c r="O78" s="1296"/>
      <c r="P78" s="1296"/>
      <c r="Q78" s="1296"/>
      <c r="R78" s="1296"/>
      <c r="S78" s="1296"/>
      <c r="T78" s="1296"/>
      <c r="U78" s="1296"/>
      <c r="V78" s="1296"/>
      <c r="W78" s="1296"/>
    </row>
    <row r="79" customFormat="false" ht="14.25" hidden="false" customHeight="false" outlineLevel="0" collapsed="false">
      <c r="A79" s="1296"/>
      <c r="B79" s="1296"/>
      <c r="C79" s="1296"/>
      <c r="D79" s="1296"/>
      <c r="E79" s="1296"/>
      <c r="F79" s="1296"/>
      <c r="G79" s="1296"/>
      <c r="H79" s="1296"/>
      <c r="I79" s="1296"/>
      <c r="J79" s="1296"/>
      <c r="K79" s="1296"/>
      <c r="L79" s="1296"/>
      <c r="M79" s="1296"/>
      <c r="N79" s="1296"/>
      <c r="O79" s="1296"/>
      <c r="P79" s="1296"/>
      <c r="Q79" s="1296"/>
      <c r="R79" s="1296"/>
      <c r="S79" s="1296"/>
      <c r="T79" s="1296"/>
      <c r="U79" s="1296"/>
      <c r="V79" s="1296"/>
      <c r="W79" s="1296"/>
    </row>
    <row r="80" customFormat="false" ht="14.25" hidden="false" customHeight="false" outlineLevel="0" collapsed="false">
      <c r="A80" s="1296"/>
      <c r="B80" s="1296"/>
      <c r="C80" s="1296"/>
      <c r="D80" s="1296"/>
      <c r="E80" s="1296"/>
      <c r="F80" s="1296"/>
      <c r="G80" s="1296"/>
      <c r="H80" s="1296"/>
      <c r="I80" s="1296"/>
      <c r="J80" s="1296"/>
      <c r="K80" s="1296"/>
      <c r="L80" s="1296"/>
      <c r="M80" s="1296"/>
      <c r="N80" s="1296"/>
      <c r="O80" s="1296"/>
      <c r="P80" s="1296"/>
      <c r="Q80" s="1296"/>
      <c r="R80" s="1296"/>
      <c r="S80" s="1296"/>
      <c r="T80" s="1296"/>
      <c r="U80" s="1296"/>
      <c r="V80" s="1296"/>
      <c r="W80" s="1296"/>
    </row>
    <row r="81" customFormat="false" ht="14.25" hidden="false" customHeight="false" outlineLevel="0" collapsed="false">
      <c r="A81" s="1296"/>
      <c r="B81" s="1296"/>
      <c r="C81" s="1296"/>
      <c r="D81" s="1296"/>
      <c r="E81" s="1296"/>
      <c r="F81" s="1296"/>
      <c r="G81" s="1296"/>
      <c r="H81" s="1296"/>
      <c r="I81" s="1296"/>
      <c r="J81" s="1296"/>
      <c r="K81" s="1296"/>
      <c r="L81" s="1296"/>
      <c r="M81" s="1296"/>
      <c r="N81" s="1296"/>
      <c r="O81" s="1296"/>
      <c r="P81" s="1296"/>
      <c r="Q81" s="1296"/>
      <c r="R81" s="1296"/>
      <c r="S81" s="1296"/>
      <c r="T81" s="1296"/>
      <c r="U81" s="1296"/>
      <c r="V81" s="1296"/>
      <c r="W81" s="1296"/>
    </row>
    <row r="82" customFormat="false" ht="14.25" hidden="false" customHeight="false" outlineLevel="0" collapsed="false">
      <c r="A82" s="1296"/>
      <c r="B82" s="1296"/>
      <c r="C82" s="1296"/>
      <c r="D82" s="1296"/>
      <c r="E82" s="1296"/>
      <c r="F82" s="1296"/>
      <c r="G82" s="1296"/>
      <c r="H82" s="1296"/>
      <c r="I82" s="1296"/>
      <c r="J82" s="1296"/>
      <c r="K82" s="1296"/>
      <c r="L82" s="1296"/>
      <c r="M82" s="1296"/>
      <c r="N82" s="1296"/>
      <c r="O82" s="1296"/>
      <c r="P82" s="1296"/>
      <c r="Q82" s="1296"/>
      <c r="R82" s="1296"/>
      <c r="S82" s="1296"/>
      <c r="T82" s="1296"/>
      <c r="U82" s="1296"/>
      <c r="V82" s="1296"/>
      <c r="W82" s="1296"/>
    </row>
    <row r="83" customFormat="false" ht="14.25" hidden="false" customHeight="false" outlineLevel="0" collapsed="false">
      <c r="A83" s="1296"/>
      <c r="B83" s="1296"/>
      <c r="C83" s="1296"/>
      <c r="D83" s="1296"/>
      <c r="E83" s="1296"/>
      <c r="F83" s="1296"/>
      <c r="G83" s="1296"/>
      <c r="H83" s="1296"/>
      <c r="I83" s="1296"/>
      <c r="J83" s="1296"/>
      <c r="K83" s="1296"/>
      <c r="L83" s="1296"/>
      <c r="M83" s="1296"/>
      <c r="N83" s="1296"/>
      <c r="O83" s="1296"/>
      <c r="P83" s="1296"/>
      <c r="Q83" s="1296"/>
      <c r="R83" s="1296"/>
      <c r="S83" s="1296"/>
      <c r="T83" s="1296"/>
      <c r="U83" s="1296"/>
      <c r="V83" s="1296"/>
      <c r="W83" s="1296"/>
    </row>
    <row r="84" customFormat="false" ht="14.25" hidden="false" customHeight="false" outlineLevel="0" collapsed="false">
      <c r="A84" s="1296"/>
      <c r="B84" s="1296"/>
      <c r="C84" s="1296"/>
      <c r="D84" s="1296"/>
      <c r="E84" s="1296"/>
      <c r="F84" s="1296"/>
      <c r="G84" s="1296"/>
      <c r="H84" s="1296"/>
      <c r="I84" s="1296"/>
      <c r="J84" s="1296"/>
      <c r="K84" s="1296"/>
      <c r="L84" s="1296"/>
      <c r="M84" s="1296"/>
      <c r="N84" s="1296"/>
      <c r="O84" s="1296"/>
      <c r="P84" s="1296"/>
      <c r="Q84" s="1296"/>
      <c r="R84" s="1296"/>
      <c r="S84" s="1296"/>
      <c r="T84" s="1296"/>
      <c r="U84" s="1296"/>
      <c r="V84" s="1296"/>
      <c r="W84" s="1296"/>
    </row>
    <row r="85" customFormat="false" ht="14.25" hidden="false" customHeight="false" outlineLevel="0" collapsed="false">
      <c r="A85" s="1296"/>
      <c r="B85" s="1296"/>
      <c r="C85" s="1296"/>
      <c r="D85" s="1296"/>
      <c r="E85" s="1296"/>
      <c r="F85" s="1296"/>
      <c r="G85" s="1296"/>
      <c r="H85" s="1296"/>
      <c r="I85" s="1296"/>
      <c r="J85" s="1296"/>
      <c r="K85" s="1296"/>
      <c r="L85" s="1296"/>
      <c r="M85" s="1296"/>
      <c r="N85" s="1296"/>
      <c r="O85" s="1296"/>
      <c r="P85" s="1296"/>
      <c r="Q85" s="1296"/>
      <c r="R85" s="1296"/>
      <c r="S85" s="1296"/>
      <c r="T85" s="1296"/>
      <c r="U85" s="1296"/>
      <c r="V85" s="1296"/>
      <c r="W85" s="1296"/>
    </row>
    <row r="86" customFormat="false" ht="14.25" hidden="false" customHeight="false" outlineLevel="0" collapsed="false">
      <c r="A86" s="1296"/>
      <c r="B86" s="1296"/>
      <c r="C86" s="1296"/>
      <c r="D86" s="1296"/>
      <c r="E86" s="1296"/>
      <c r="F86" s="1296"/>
      <c r="G86" s="1296"/>
      <c r="H86" s="1296"/>
      <c r="I86" s="1296"/>
      <c r="J86" s="1296"/>
      <c r="K86" s="1296"/>
      <c r="L86" s="1296"/>
      <c r="M86" s="1296"/>
      <c r="N86" s="1296"/>
      <c r="O86" s="1296"/>
      <c r="P86" s="1296"/>
      <c r="Q86" s="1296"/>
      <c r="R86" s="1296"/>
      <c r="S86" s="1296"/>
      <c r="T86" s="1296"/>
      <c r="U86" s="1296"/>
      <c r="V86" s="1296"/>
      <c r="W86" s="1296"/>
    </row>
    <row r="87" customFormat="false" ht="14.25" hidden="false" customHeight="false" outlineLevel="0" collapsed="false">
      <c r="A87" s="1296"/>
      <c r="B87" s="1296"/>
      <c r="C87" s="1296"/>
      <c r="D87" s="1296"/>
      <c r="E87" s="1296"/>
      <c r="F87" s="1296"/>
      <c r="G87" s="1296"/>
      <c r="H87" s="1296"/>
      <c r="I87" s="1296"/>
      <c r="J87" s="1296"/>
      <c r="K87" s="1296"/>
      <c r="L87" s="1296"/>
      <c r="M87" s="1296"/>
      <c r="N87" s="1296"/>
      <c r="O87" s="1296"/>
      <c r="P87" s="1296"/>
      <c r="Q87" s="1296"/>
      <c r="R87" s="1296"/>
      <c r="S87" s="1296"/>
      <c r="T87" s="1296"/>
      <c r="U87" s="1296"/>
      <c r="V87" s="1296"/>
      <c r="W87" s="1296"/>
    </row>
    <row r="88" customFormat="false" ht="14.25" hidden="false" customHeight="false" outlineLevel="0" collapsed="false">
      <c r="A88" s="1296"/>
      <c r="B88" s="1296"/>
      <c r="C88" s="1296"/>
      <c r="D88" s="1296"/>
      <c r="E88" s="1296"/>
      <c r="F88" s="1296"/>
      <c r="G88" s="1296"/>
      <c r="H88" s="1296"/>
      <c r="I88" s="1296"/>
      <c r="J88" s="1296"/>
      <c r="K88" s="1296"/>
      <c r="L88" s="1296"/>
      <c r="M88" s="1296"/>
      <c r="N88" s="1296"/>
      <c r="O88" s="1296"/>
      <c r="P88" s="1296"/>
      <c r="Q88" s="1296"/>
      <c r="R88" s="1296"/>
      <c r="S88" s="1296"/>
      <c r="T88" s="1296"/>
      <c r="U88" s="1296"/>
      <c r="V88" s="1296"/>
      <c r="W88" s="1296"/>
    </row>
    <row r="89" customFormat="false" ht="14.25" hidden="false" customHeight="false" outlineLevel="0" collapsed="false">
      <c r="A89" s="1296"/>
      <c r="B89" s="1296"/>
      <c r="C89" s="1296"/>
      <c r="D89" s="1296"/>
      <c r="E89" s="1296"/>
      <c r="F89" s="1296"/>
      <c r="G89" s="1296"/>
      <c r="H89" s="1296"/>
      <c r="I89" s="1296"/>
      <c r="J89" s="1296"/>
      <c r="K89" s="1296"/>
      <c r="L89" s="1296"/>
      <c r="M89" s="1296"/>
      <c r="N89" s="1296"/>
      <c r="O89" s="1296"/>
      <c r="P89" s="1296"/>
      <c r="Q89" s="1296"/>
      <c r="R89" s="1296"/>
      <c r="S89" s="1296"/>
      <c r="T89" s="1296"/>
      <c r="U89" s="1296"/>
      <c r="V89" s="1296"/>
      <c r="W89" s="1296"/>
    </row>
    <row r="90" customFormat="false" ht="14.25" hidden="false" customHeight="false" outlineLevel="0" collapsed="false">
      <c r="A90" s="1296"/>
      <c r="B90" s="1296"/>
      <c r="C90" s="1296"/>
      <c r="D90" s="1296"/>
      <c r="E90" s="1296"/>
      <c r="F90" s="1296"/>
      <c r="G90" s="1296"/>
      <c r="H90" s="1296"/>
      <c r="I90" s="1296"/>
      <c r="J90" s="1296"/>
      <c r="K90" s="1296"/>
      <c r="L90" s="1296"/>
      <c r="M90" s="1296"/>
      <c r="N90" s="1296"/>
      <c r="O90" s="1296"/>
      <c r="P90" s="1296"/>
      <c r="Q90" s="1296"/>
      <c r="R90" s="1296"/>
      <c r="S90" s="1296"/>
      <c r="T90" s="1296"/>
      <c r="U90" s="1296"/>
      <c r="V90" s="1296"/>
      <c r="W90" s="1296"/>
    </row>
    <row r="91" customFormat="false" ht="14.25" hidden="false" customHeight="false" outlineLevel="0" collapsed="false">
      <c r="A91" s="1296"/>
      <c r="B91" s="1296"/>
      <c r="C91" s="1296"/>
      <c r="D91" s="1296"/>
      <c r="E91" s="1296"/>
      <c r="F91" s="1296"/>
      <c r="G91" s="1296"/>
      <c r="H91" s="1296"/>
      <c r="I91" s="1296"/>
      <c r="J91" s="1296"/>
      <c r="K91" s="1296"/>
      <c r="L91" s="1296"/>
      <c r="M91" s="1296"/>
      <c r="N91" s="1296"/>
      <c r="O91" s="1296"/>
      <c r="P91" s="1296"/>
      <c r="Q91" s="1296"/>
      <c r="R91" s="1296"/>
      <c r="S91" s="1296"/>
      <c r="T91" s="1296"/>
      <c r="U91" s="1296"/>
      <c r="V91" s="1296"/>
      <c r="W91" s="1296"/>
    </row>
    <row r="92" customFormat="false" ht="14.25" hidden="false" customHeight="false" outlineLevel="0" collapsed="false">
      <c r="A92" s="1296"/>
      <c r="B92" s="1296"/>
      <c r="C92" s="1296"/>
      <c r="D92" s="1296"/>
      <c r="E92" s="1296"/>
      <c r="F92" s="1296"/>
      <c r="G92" s="1296"/>
      <c r="H92" s="1296"/>
      <c r="I92" s="1296"/>
      <c r="J92" s="1296"/>
      <c r="K92" s="1296"/>
      <c r="L92" s="1296"/>
      <c r="M92" s="1296"/>
      <c r="N92" s="1296"/>
      <c r="O92" s="1296"/>
      <c r="P92" s="1296"/>
      <c r="Q92" s="1296"/>
      <c r="R92" s="1296"/>
      <c r="S92" s="1296"/>
      <c r="T92" s="1296"/>
      <c r="U92" s="1296"/>
      <c r="V92" s="1296"/>
      <c r="W92" s="1296"/>
    </row>
    <row r="93" customFormat="false" ht="14.25" hidden="false" customHeight="false" outlineLevel="0" collapsed="false">
      <c r="A93" s="1296"/>
      <c r="B93" s="1296"/>
      <c r="C93" s="1296"/>
      <c r="D93" s="1296"/>
      <c r="E93" s="1296"/>
      <c r="F93" s="1296"/>
      <c r="G93" s="1296"/>
      <c r="H93" s="1296"/>
      <c r="I93" s="1296"/>
      <c r="J93" s="1296"/>
      <c r="K93" s="1296"/>
      <c r="L93" s="1296"/>
      <c r="M93" s="1296"/>
      <c r="N93" s="1296"/>
      <c r="O93" s="1296"/>
      <c r="P93" s="1296"/>
      <c r="Q93" s="1296"/>
      <c r="R93" s="1296"/>
      <c r="S93" s="1296"/>
      <c r="T93" s="1296"/>
      <c r="U93" s="1296"/>
      <c r="V93" s="1296"/>
      <c r="W93" s="1296"/>
    </row>
    <row r="94" customFormat="false" ht="14.25" hidden="false" customHeight="false" outlineLevel="0" collapsed="false">
      <c r="A94" s="1296"/>
      <c r="B94" s="1296"/>
      <c r="C94" s="1296"/>
      <c r="D94" s="1296"/>
      <c r="E94" s="1296"/>
      <c r="F94" s="1296"/>
      <c r="G94" s="1296"/>
      <c r="H94" s="1296"/>
      <c r="I94" s="1296"/>
      <c r="J94" s="1296"/>
      <c r="K94" s="1296"/>
      <c r="L94" s="1296"/>
      <c r="M94" s="1296"/>
      <c r="N94" s="1296"/>
      <c r="O94" s="1296"/>
      <c r="P94" s="1296"/>
      <c r="Q94" s="1296"/>
      <c r="R94" s="1296"/>
      <c r="S94" s="1296"/>
      <c r="T94" s="1296"/>
      <c r="U94" s="1296"/>
      <c r="V94" s="1296"/>
      <c r="W94" s="1296"/>
    </row>
    <row r="95" customFormat="false" ht="14.25" hidden="false" customHeight="false" outlineLevel="0" collapsed="false">
      <c r="A95" s="1296"/>
      <c r="B95" s="1296"/>
      <c r="C95" s="1296"/>
      <c r="D95" s="1296"/>
      <c r="E95" s="1296"/>
      <c r="F95" s="1296"/>
      <c r="G95" s="1296"/>
      <c r="H95" s="1296"/>
      <c r="I95" s="1296"/>
      <c r="J95" s="1296"/>
      <c r="K95" s="1296"/>
      <c r="L95" s="1296"/>
      <c r="M95" s="1296"/>
      <c r="N95" s="1296"/>
      <c r="O95" s="1296"/>
      <c r="P95" s="1296"/>
      <c r="Q95" s="1296"/>
      <c r="R95" s="1296"/>
      <c r="S95" s="1296"/>
      <c r="T95" s="1296"/>
      <c r="U95" s="1296"/>
      <c r="V95" s="1296"/>
      <c r="W95" s="1296"/>
    </row>
    <row r="96" customFormat="false" ht="14.25" hidden="false" customHeight="false" outlineLevel="0" collapsed="false">
      <c r="A96" s="1296"/>
      <c r="B96" s="1296"/>
      <c r="C96" s="1296"/>
      <c r="D96" s="1296"/>
      <c r="E96" s="1296"/>
      <c r="F96" s="1296"/>
      <c r="G96" s="1296"/>
      <c r="H96" s="1296"/>
      <c r="I96" s="1296"/>
      <c r="J96" s="1296"/>
      <c r="K96" s="1296"/>
      <c r="L96" s="1296"/>
      <c r="M96" s="1296"/>
      <c r="N96" s="1296"/>
      <c r="O96" s="1296"/>
      <c r="P96" s="1296"/>
      <c r="Q96" s="1296"/>
      <c r="R96" s="1296"/>
      <c r="S96" s="1296"/>
      <c r="T96" s="1296"/>
      <c r="U96" s="1296"/>
      <c r="V96" s="1296"/>
      <c r="W96" s="1296"/>
    </row>
    <row r="97" customFormat="false" ht="14.25" hidden="false" customHeight="false" outlineLevel="0" collapsed="false">
      <c r="A97" s="1296"/>
      <c r="B97" s="1296"/>
      <c r="C97" s="1296"/>
      <c r="D97" s="1296"/>
      <c r="E97" s="1296"/>
      <c r="F97" s="1296"/>
      <c r="G97" s="1296"/>
      <c r="H97" s="1296"/>
      <c r="I97" s="1296"/>
      <c r="J97" s="1296"/>
      <c r="K97" s="1296"/>
      <c r="L97" s="1296"/>
      <c r="M97" s="1296"/>
      <c r="N97" s="1296"/>
      <c r="O97" s="1296"/>
      <c r="P97" s="1296"/>
      <c r="Q97" s="1296"/>
      <c r="R97" s="1296"/>
      <c r="S97" s="1296"/>
      <c r="T97" s="1296"/>
      <c r="U97" s="1296"/>
      <c r="V97" s="1296"/>
      <c r="W97" s="1296"/>
    </row>
    <row r="98" customFormat="false" ht="14.25" hidden="false" customHeight="false" outlineLevel="0" collapsed="false">
      <c r="A98" s="1296"/>
      <c r="B98" s="1296"/>
      <c r="C98" s="1296"/>
      <c r="D98" s="1296"/>
      <c r="E98" s="1296"/>
      <c r="F98" s="1296"/>
      <c r="G98" s="1296"/>
      <c r="H98" s="1296"/>
      <c r="I98" s="1296"/>
      <c r="J98" s="1296"/>
      <c r="K98" s="1296"/>
      <c r="L98" s="1296"/>
      <c r="M98" s="1296"/>
      <c r="N98" s="1296"/>
      <c r="O98" s="1296"/>
      <c r="P98" s="1296"/>
      <c r="Q98" s="1296"/>
      <c r="R98" s="1296"/>
      <c r="S98" s="1296"/>
      <c r="T98" s="1296"/>
      <c r="U98" s="1296"/>
      <c r="V98" s="1296"/>
      <c r="W98" s="1296"/>
    </row>
    <row r="99" customFormat="false" ht="14.25" hidden="false" customHeight="false" outlineLevel="0" collapsed="false">
      <c r="A99" s="1296"/>
      <c r="B99" s="1296"/>
      <c r="C99" s="1296"/>
      <c r="D99" s="1296"/>
      <c r="E99" s="1296"/>
      <c r="F99" s="1296"/>
      <c r="G99" s="1296"/>
      <c r="H99" s="1296"/>
      <c r="I99" s="1296"/>
      <c r="J99" s="1296"/>
      <c r="K99" s="1296"/>
      <c r="L99" s="1296"/>
      <c r="M99" s="1296"/>
      <c r="N99" s="1296"/>
      <c r="O99" s="1296"/>
      <c r="P99" s="1296"/>
      <c r="Q99" s="1296"/>
      <c r="R99" s="1296"/>
      <c r="S99" s="1296"/>
      <c r="T99" s="1296"/>
      <c r="U99" s="1296"/>
      <c r="V99" s="1296"/>
      <c r="W99" s="1296"/>
    </row>
    <row r="100" customFormat="false" ht="14.25" hidden="false" customHeight="false" outlineLevel="0" collapsed="false">
      <c r="A100" s="1296"/>
      <c r="B100" s="1296"/>
      <c r="C100" s="1296"/>
      <c r="D100" s="1296"/>
      <c r="E100" s="1296"/>
      <c r="F100" s="1296"/>
      <c r="G100" s="1296"/>
      <c r="H100" s="1296"/>
      <c r="I100" s="1296"/>
      <c r="J100" s="1296"/>
      <c r="K100" s="1296"/>
      <c r="L100" s="1296"/>
      <c r="M100" s="1296"/>
      <c r="N100" s="1296"/>
      <c r="O100" s="1296"/>
      <c r="P100" s="1296"/>
      <c r="Q100" s="1296"/>
      <c r="R100" s="1296"/>
      <c r="S100" s="1296"/>
      <c r="T100" s="1296"/>
      <c r="U100" s="1296"/>
      <c r="V100" s="1296"/>
      <c r="W100" s="1296"/>
    </row>
    <row r="101" customFormat="false" ht="14.25" hidden="false" customHeight="false" outlineLevel="0" collapsed="false">
      <c r="A101" s="1296"/>
      <c r="B101" s="1296"/>
      <c r="C101" s="1296"/>
      <c r="D101" s="1296"/>
      <c r="E101" s="1296"/>
      <c r="F101" s="1296"/>
      <c r="G101" s="1296"/>
      <c r="H101" s="1296"/>
      <c r="I101" s="1296"/>
      <c r="J101" s="1296"/>
      <c r="K101" s="1296"/>
      <c r="L101" s="1296"/>
      <c r="M101" s="1296"/>
      <c r="N101" s="1296"/>
      <c r="O101" s="1296"/>
      <c r="P101" s="1296"/>
      <c r="Q101" s="1296"/>
      <c r="R101" s="1296"/>
      <c r="S101" s="1296"/>
      <c r="T101" s="1296"/>
      <c r="U101" s="1296"/>
      <c r="V101" s="1296"/>
      <c r="W101" s="1296"/>
    </row>
    <row r="102" customFormat="false" ht="14.25" hidden="false" customHeight="false" outlineLevel="0" collapsed="false">
      <c r="A102" s="1296"/>
      <c r="B102" s="1296"/>
      <c r="C102" s="1296"/>
      <c r="D102" s="1296"/>
      <c r="E102" s="1296"/>
      <c r="F102" s="1296"/>
      <c r="G102" s="1296"/>
      <c r="H102" s="1296"/>
      <c r="I102" s="1296"/>
      <c r="J102" s="1296"/>
      <c r="K102" s="1296"/>
      <c r="L102" s="1296"/>
      <c r="M102" s="1296"/>
      <c r="N102" s="1296"/>
      <c r="O102" s="1296"/>
      <c r="P102" s="1296"/>
      <c r="Q102" s="1296"/>
      <c r="R102" s="1296"/>
      <c r="S102" s="1296"/>
      <c r="T102" s="1296"/>
      <c r="U102" s="1296"/>
      <c r="V102" s="1296"/>
      <c r="W102" s="1296"/>
    </row>
    <row r="103" customFormat="false" ht="14.25" hidden="false" customHeight="false" outlineLevel="0" collapsed="false">
      <c r="A103" s="1296"/>
      <c r="B103" s="1296"/>
      <c r="C103" s="1296"/>
      <c r="D103" s="1296"/>
      <c r="E103" s="1296"/>
      <c r="F103" s="1296"/>
      <c r="G103" s="1296"/>
      <c r="H103" s="1296"/>
      <c r="I103" s="1296"/>
      <c r="J103" s="1296"/>
      <c r="K103" s="1296"/>
      <c r="L103" s="1296"/>
      <c r="M103" s="1296"/>
      <c r="N103" s="1296"/>
      <c r="O103" s="1296"/>
      <c r="P103" s="1296"/>
      <c r="Q103" s="1296"/>
      <c r="R103" s="1296"/>
      <c r="S103" s="1296"/>
      <c r="T103" s="1296"/>
      <c r="U103" s="1296"/>
      <c r="V103" s="1296"/>
      <c r="W103" s="1296"/>
    </row>
    <row r="104" customFormat="false" ht="14.25" hidden="false" customHeight="false" outlineLevel="0" collapsed="false">
      <c r="A104" s="1296"/>
      <c r="B104" s="1296"/>
      <c r="C104" s="1296"/>
      <c r="D104" s="1296"/>
      <c r="E104" s="1296"/>
      <c r="F104" s="1296"/>
      <c r="G104" s="1296"/>
      <c r="H104" s="1296"/>
      <c r="I104" s="1296"/>
      <c r="J104" s="1296"/>
      <c r="K104" s="1296"/>
      <c r="L104" s="1296"/>
      <c r="M104" s="1296"/>
      <c r="N104" s="1296"/>
      <c r="O104" s="1296"/>
      <c r="P104" s="1296"/>
      <c r="Q104" s="1296"/>
      <c r="R104" s="1296"/>
      <c r="S104" s="1296"/>
      <c r="T104" s="1296"/>
      <c r="U104" s="1296"/>
      <c r="V104" s="1296"/>
      <c r="W104" s="1296"/>
    </row>
    <row r="105" customFormat="false" ht="14.25" hidden="false" customHeight="false" outlineLevel="0" collapsed="false">
      <c r="A105" s="1296"/>
      <c r="B105" s="1296"/>
      <c r="C105" s="1296"/>
      <c r="D105" s="1296"/>
      <c r="E105" s="1296"/>
      <c r="F105" s="1296"/>
      <c r="G105" s="1296"/>
      <c r="H105" s="1296"/>
      <c r="I105" s="1296"/>
      <c r="J105" s="1296"/>
      <c r="K105" s="1296"/>
      <c r="L105" s="1296"/>
      <c r="M105" s="1296"/>
      <c r="N105" s="1296"/>
      <c r="O105" s="1296"/>
      <c r="P105" s="1296"/>
      <c r="Q105" s="1296"/>
      <c r="R105" s="1296"/>
      <c r="S105" s="1296"/>
      <c r="T105" s="1296"/>
      <c r="U105" s="1296"/>
      <c r="V105" s="1296"/>
      <c r="W105" s="1296"/>
    </row>
    <row r="106" customFormat="false" ht="14.25" hidden="false" customHeight="false" outlineLevel="0" collapsed="false">
      <c r="A106" s="1296"/>
      <c r="B106" s="1296"/>
      <c r="C106" s="1296"/>
      <c r="D106" s="1296"/>
      <c r="E106" s="1296"/>
      <c r="F106" s="1296"/>
      <c r="G106" s="1296"/>
      <c r="H106" s="1296"/>
      <c r="I106" s="1296"/>
      <c r="J106" s="1296"/>
      <c r="K106" s="1296"/>
      <c r="L106" s="1296"/>
      <c r="M106" s="1296"/>
      <c r="N106" s="1296"/>
      <c r="O106" s="1296"/>
      <c r="P106" s="1296"/>
      <c r="Q106" s="1296"/>
      <c r="R106" s="1296"/>
      <c r="S106" s="1296"/>
      <c r="T106" s="1296"/>
      <c r="U106" s="1296"/>
      <c r="V106" s="1296"/>
      <c r="W106" s="1296"/>
    </row>
    <row r="107" customFormat="false" ht="14.25" hidden="false" customHeight="false" outlineLevel="0" collapsed="false">
      <c r="A107" s="1296"/>
      <c r="B107" s="1296"/>
      <c r="C107" s="1296"/>
      <c r="D107" s="1296"/>
      <c r="E107" s="1296"/>
      <c r="F107" s="1296"/>
      <c r="G107" s="1296"/>
      <c r="H107" s="1296"/>
      <c r="I107" s="1296"/>
      <c r="J107" s="1296"/>
      <c r="K107" s="1296"/>
      <c r="L107" s="1296"/>
      <c r="M107" s="1296"/>
      <c r="N107" s="1296"/>
      <c r="O107" s="1296"/>
      <c r="P107" s="1296"/>
      <c r="Q107" s="1296"/>
      <c r="R107" s="1296"/>
      <c r="S107" s="1296"/>
      <c r="T107" s="1296"/>
      <c r="U107" s="1296"/>
      <c r="V107" s="1296"/>
      <c r="W107" s="1296"/>
    </row>
    <row r="108" customFormat="false" ht="14.25" hidden="false" customHeight="false" outlineLevel="0" collapsed="false">
      <c r="A108" s="1296"/>
      <c r="B108" s="1296"/>
      <c r="C108" s="1296"/>
      <c r="D108" s="1296"/>
      <c r="E108" s="1296"/>
      <c r="F108" s="1296"/>
      <c r="G108" s="1296"/>
      <c r="H108" s="1296"/>
      <c r="I108" s="1296"/>
      <c r="J108" s="1296"/>
      <c r="K108" s="1296"/>
      <c r="L108" s="1296"/>
      <c r="M108" s="1296"/>
      <c r="N108" s="1296"/>
      <c r="O108" s="1296"/>
      <c r="P108" s="1296"/>
      <c r="Q108" s="1296"/>
      <c r="R108" s="1296"/>
      <c r="S108" s="1296"/>
      <c r="T108" s="1296"/>
      <c r="U108" s="1296"/>
      <c r="V108" s="1296"/>
      <c r="W108" s="1296"/>
    </row>
    <row r="109" customFormat="false" ht="14.25" hidden="false" customHeight="false" outlineLevel="0" collapsed="false">
      <c r="A109" s="1296"/>
      <c r="B109" s="1296"/>
      <c r="C109" s="1296"/>
      <c r="D109" s="1296"/>
      <c r="E109" s="1296"/>
      <c r="F109" s="1296"/>
      <c r="G109" s="1296"/>
      <c r="H109" s="1296"/>
      <c r="I109" s="1296"/>
      <c r="J109" s="1296"/>
      <c r="K109" s="1296"/>
      <c r="L109" s="1296"/>
      <c r="M109" s="1296"/>
      <c r="N109" s="1296"/>
      <c r="O109" s="1296"/>
      <c r="P109" s="1296"/>
      <c r="Q109" s="1296"/>
      <c r="R109" s="1296"/>
      <c r="S109" s="1296"/>
      <c r="T109" s="1296"/>
      <c r="U109" s="1296"/>
      <c r="V109" s="1296"/>
      <c r="W109" s="1296"/>
    </row>
    <row r="110" customFormat="false" ht="14.25" hidden="false" customHeight="false" outlineLevel="0" collapsed="false">
      <c r="A110" s="1296"/>
      <c r="B110" s="1296"/>
      <c r="C110" s="1296"/>
      <c r="D110" s="1296"/>
      <c r="E110" s="1296"/>
      <c r="F110" s="1296"/>
      <c r="G110" s="1296"/>
      <c r="H110" s="1296"/>
      <c r="I110" s="1296"/>
      <c r="J110" s="1296"/>
      <c r="K110" s="1296"/>
      <c r="L110" s="1296"/>
      <c r="M110" s="1296"/>
      <c r="N110" s="1296"/>
      <c r="O110" s="1296"/>
      <c r="P110" s="1296"/>
      <c r="Q110" s="1296"/>
      <c r="R110" s="1296"/>
      <c r="S110" s="1296"/>
      <c r="T110" s="1296"/>
      <c r="U110" s="1296"/>
      <c r="V110" s="1296"/>
      <c r="W110" s="1296"/>
    </row>
    <row r="111" customFormat="false" ht="14.25" hidden="false" customHeight="false" outlineLevel="0" collapsed="false">
      <c r="A111" s="1296"/>
      <c r="B111" s="1296"/>
      <c r="C111" s="1296"/>
      <c r="D111" s="1296"/>
      <c r="E111" s="1296"/>
      <c r="F111" s="1296"/>
      <c r="G111" s="1296"/>
      <c r="H111" s="1296"/>
      <c r="I111" s="1296"/>
      <c r="J111" s="1296"/>
      <c r="K111" s="1296"/>
      <c r="L111" s="1296"/>
      <c r="M111" s="1296"/>
      <c r="N111" s="1296"/>
      <c r="O111" s="1296"/>
      <c r="P111" s="1296"/>
      <c r="Q111" s="1296"/>
      <c r="R111" s="1296"/>
      <c r="S111" s="1296"/>
      <c r="T111" s="1296"/>
      <c r="U111" s="1296"/>
      <c r="V111" s="1296"/>
      <c r="W111" s="1296"/>
    </row>
    <row r="112" customFormat="false" ht="14.25" hidden="false" customHeight="false" outlineLevel="0" collapsed="false">
      <c r="A112" s="1296"/>
      <c r="B112" s="1296"/>
      <c r="C112" s="1296"/>
      <c r="D112" s="1296"/>
      <c r="E112" s="1296"/>
      <c r="F112" s="1296"/>
      <c r="G112" s="1296"/>
      <c r="H112" s="1296"/>
      <c r="I112" s="1296"/>
      <c r="J112" s="1296"/>
      <c r="K112" s="1296"/>
      <c r="L112" s="1296"/>
      <c r="M112" s="1296"/>
      <c r="N112" s="1296"/>
      <c r="O112" s="1296"/>
      <c r="P112" s="1296"/>
      <c r="Q112" s="1296"/>
      <c r="R112" s="1296"/>
      <c r="S112" s="1296"/>
      <c r="T112" s="1296"/>
      <c r="U112" s="1296"/>
      <c r="V112" s="1296"/>
      <c r="W112" s="1296"/>
    </row>
    <row r="113" customFormat="false" ht="14.25" hidden="false" customHeight="false" outlineLevel="0" collapsed="false">
      <c r="A113" s="1296"/>
      <c r="B113" s="1296"/>
      <c r="C113" s="1296"/>
      <c r="D113" s="1296"/>
      <c r="E113" s="1296"/>
      <c r="F113" s="1296"/>
      <c r="G113" s="1296"/>
      <c r="H113" s="1296"/>
      <c r="I113" s="1296"/>
      <c r="J113" s="1296"/>
      <c r="K113" s="1296"/>
      <c r="L113" s="1296"/>
      <c r="M113" s="1296"/>
      <c r="N113" s="1296"/>
      <c r="O113" s="1296"/>
      <c r="P113" s="1296"/>
      <c r="Q113" s="1296"/>
      <c r="R113" s="1296"/>
      <c r="S113" s="1296"/>
      <c r="T113" s="1296"/>
      <c r="U113" s="1296"/>
      <c r="V113" s="1296"/>
      <c r="W113" s="1296"/>
    </row>
    <row r="114" customFormat="false" ht="14.25" hidden="false" customHeight="false" outlineLevel="0" collapsed="false">
      <c r="A114" s="1296"/>
      <c r="B114" s="1296"/>
      <c r="C114" s="1296"/>
      <c r="D114" s="1296"/>
      <c r="E114" s="1296"/>
      <c r="F114" s="1296"/>
      <c r="G114" s="1296"/>
      <c r="H114" s="1296"/>
      <c r="I114" s="1296"/>
      <c r="J114" s="1296"/>
      <c r="K114" s="1296"/>
      <c r="L114" s="1296"/>
      <c r="M114" s="1296"/>
      <c r="N114" s="1296"/>
      <c r="O114" s="1296"/>
      <c r="P114" s="1296"/>
      <c r="Q114" s="1296"/>
      <c r="R114" s="1296"/>
      <c r="S114" s="1296"/>
      <c r="T114" s="1296"/>
      <c r="U114" s="1296"/>
      <c r="V114" s="1296"/>
      <c r="W114" s="1296"/>
    </row>
    <row r="115" customFormat="false" ht="14.25" hidden="false" customHeight="false" outlineLevel="0" collapsed="false">
      <c r="A115" s="1296"/>
      <c r="B115" s="1296"/>
      <c r="C115" s="1296"/>
      <c r="D115" s="1296"/>
      <c r="E115" s="1296"/>
      <c r="F115" s="1296"/>
      <c r="G115" s="1296"/>
      <c r="H115" s="1296"/>
      <c r="I115" s="1296"/>
      <c r="J115" s="1296"/>
      <c r="K115" s="1296"/>
      <c r="L115" s="1296"/>
      <c r="M115" s="1296"/>
      <c r="N115" s="1296"/>
      <c r="O115" s="1296"/>
      <c r="P115" s="1296"/>
      <c r="Q115" s="1296"/>
      <c r="R115" s="1296"/>
      <c r="S115" s="1296"/>
      <c r="T115" s="1296"/>
      <c r="U115" s="1296"/>
      <c r="V115" s="1296"/>
      <c r="W115" s="1296"/>
    </row>
    <row r="116" customFormat="false" ht="14.25" hidden="false" customHeight="false" outlineLevel="0" collapsed="false">
      <c r="A116" s="1296"/>
      <c r="B116" s="1296"/>
      <c r="C116" s="1296"/>
      <c r="D116" s="1296"/>
      <c r="E116" s="1296"/>
      <c r="F116" s="1296"/>
      <c r="G116" s="1296"/>
      <c r="H116" s="1296"/>
      <c r="I116" s="1296"/>
      <c r="J116" s="1296"/>
      <c r="K116" s="1296"/>
      <c r="L116" s="1296"/>
      <c r="M116" s="1296"/>
      <c r="N116" s="1296"/>
      <c r="O116" s="1296"/>
      <c r="P116" s="1296"/>
      <c r="Q116" s="1296"/>
      <c r="R116" s="1296"/>
      <c r="S116" s="1296"/>
      <c r="T116" s="1296"/>
      <c r="U116" s="1296"/>
      <c r="V116" s="1296"/>
      <c r="W116" s="1296"/>
    </row>
    <row r="117" customFormat="false" ht="14.25" hidden="false" customHeight="false" outlineLevel="0" collapsed="false">
      <c r="A117" s="1296"/>
      <c r="B117" s="1296"/>
      <c r="C117" s="1296"/>
      <c r="D117" s="1296"/>
      <c r="E117" s="1296"/>
      <c r="F117" s="1296"/>
      <c r="G117" s="1296"/>
      <c r="H117" s="1296"/>
      <c r="I117" s="1296"/>
      <c r="J117" s="1296"/>
      <c r="K117" s="1296"/>
      <c r="L117" s="1296"/>
      <c r="M117" s="1296"/>
      <c r="N117" s="1296"/>
      <c r="O117" s="1296"/>
      <c r="P117" s="1296"/>
      <c r="Q117" s="1296"/>
      <c r="R117" s="1296"/>
      <c r="S117" s="1296"/>
      <c r="T117" s="1296"/>
      <c r="U117" s="1296"/>
      <c r="V117" s="1296"/>
      <c r="W117" s="1296"/>
    </row>
    <row r="118" customFormat="false" ht="14.25" hidden="false" customHeight="false" outlineLevel="0" collapsed="false">
      <c r="A118" s="1296"/>
      <c r="B118" s="1296"/>
      <c r="C118" s="1296"/>
      <c r="D118" s="1296"/>
      <c r="E118" s="1296"/>
      <c r="F118" s="1296"/>
      <c r="G118" s="1296"/>
      <c r="H118" s="1296"/>
      <c r="I118" s="1296"/>
      <c r="J118" s="1296"/>
      <c r="K118" s="1296"/>
      <c r="L118" s="1296"/>
      <c r="M118" s="1296"/>
      <c r="N118" s="1296"/>
      <c r="O118" s="1296"/>
      <c r="P118" s="1296"/>
      <c r="Q118" s="1296"/>
      <c r="R118" s="1296"/>
      <c r="S118" s="1296"/>
      <c r="T118" s="1296"/>
      <c r="U118" s="1296"/>
      <c r="V118" s="1296"/>
      <c r="W118" s="1296"/>
    </row>
    <row r="119" customFormat="false" ht="14.25" hidden="false" customHeight="false" outlineLevel="0" collapsed="false">
      <c r="A119" s="1296"/>
      <c r="B119" s="1296"/>
      <c r="C119" s="1296"/>
      <c r="D119" s="1296"/>
      <c r="E119" s="1296"/>
      <c r="F119" s="1296"/>
      <c r="G119" s="1296"/>
      <c r="H119" s="1296"/>
      <c r="I119" s="1296"/>
      <c r="J119" s="1296"/>
      <c r="K119" s="1296"/>
      <c r="L119" s="1296"/>
      <c r="M119" s="1296"/>
      <c r="N119" s="1296"/>
      <c r="O119" s="1296"/>
      <c r="P119" s="1296"/>
      <c r="Q119" s="1296"/>
      <c r="R119" s="1296"/>
      <c r="S119" s="1296"/>
      <c r="T119" s="1296"/>
      <c r="U119" s="1296"/>
      <c r="V119" s="1296"/>
      <c r="W119" s="1296"/>
    </row>
    <row r="120" customFormat="false" ht="14.25" hidden="false" customHeight="false" outlineLevel="0" collapsed="false">
      <c r="A120" s="1296"/>
      <c r="B120" s="1296"/>
      <c r="C120" s="1296"/>
      <c r="D120" s="1296"/>
      <c r="E120" s="1296"/>
      <c r="F120" s="1296"/>
      <c r="G120" s="1296"/>
      <c r="H120" s="1296"/>
      <c r="I120" s="1296"/>
      <c r="J120" s="1296"/>
      <c r="K120" s="1296"/>
      <c r="L120" s="1296"/>
      <c r="M120" s="1296"/>
      <c r="N120" s="1296"/>
      <c r="O120" s="1296"/>
      <c r="P120" s="1296"/>
      <c r="Q120" s="1296"/>
      <c r="R120" s="1296"/>
      <c r="S120" s="1296"/>
      <c r="T120" s="1296"/>
      <c r="U120" s="1296"/>
      <c r="V120" s="1296"/>
      <c r="W120" s="1296"/>
    </row>
    <row r="121" customFormat="false" ht="14.25" hidden="false" customHeight="false" outlineLevel="0" collapsed="false">
      <c r="A121" s="1296"/>
      <c r="B121" s="1296"/>
      <c r="C121" s="1296"/>
      <c r="D121" s="1296"/>
      <c r="E121" s="1296"/>
      <c r="F121" s="1296"/>
      <c r="G121" s="1296"/>
      <c r="H121" s="1296"/>
      <c r="I121" s="1296"/>
      <c r="J121" s="1296"/>
      <c r="K121" s="1296"/>
      <c r="L121" s="1296"/>
      <c r="M121" s="1296"/>
      <c r="N121" s="1296"/>
      <c r="O121" s="1296"/>
      <c r="P121" s="1296"/>
      <c r="Q121" s="1296"/>
      <c r="R121" s="1296"/>
      <c r="S121" s="1296"/>
      <c r="T121" s="1296"/>
      <c r="U121" s="1296"/>
      <c r="V121" s="1296"/>
      <c r="W121" s="1296"/>
    </row>
    <row r="122" customFormat="false" ht="14.25" hidden="false" customHeight="false" outlineLevel="0" collapsed="false">
      <c r="A122" s="1296"/>
      <c r="B122" s="1296"/>
      <c r="C122" s="1296"/>
      <c r="D122" s="1296"/>
      <c r="E122" s="1296"/>
      <c r="F122" s="1296"/>
      <c r="G122" s="1296"/>
      <c r="H122" s="1296"/>
      <c r="I122" s="1296"/>
      <c r="J122" s="1296"/>
      <c r="K122" s="1296"/>
      <c r="L122" s="1296"/>
      <c r="M122" s="1296"/>
      <c r="N122" s="1296"/>
      <c r="O122" s="1296"/>
      <c r="P122" s="1296"/>
      <c r="Q122" s="1296"/>
      <c r="R122" s="1296"/>
      <c r="S122" s="1296"/>
      <c r="T122" s="1296"/>
      <c r="U122" s="1296"/>
      <c r="V122" s="1296"/>
      <c r="W122" s="1296"/>
    </row>
    <row r="123" customFormat="false" ht="14.25" hidden="false" customHeight="false" outlineLevel="0" collapsed="false">
      <c r="A123" s="1296"/>
      <c r="B123" s="1296"/>
      <c r="C123" s="1296"/>
      <c r="D123" s="1296"/>
      <c r="E123" s="1296"/>
      <c r="F123" s="1296"/>
      <c r="G123" s="1296"/>
      <c r="H123" s="1296"/>
      <c r="I123" s="1296"/>
      <c r="J123" s="1296"/>
      <c r="K123" s="1296"/>
      <c r="L123" s="1296"/>
      <c r="M123" s="1296"/>
      <c r="N123" s="1296"/>
      <c r="O123" s="1296"/>
      <c r="P123" s="1296"/>
      <c r="Q123" s="1296"/>
      <c r="R123" s="1296"/>
      <c r="S123" s="1296"/>
      <c r="T123" s="1296"/>
      <c r="U123" s="1296"/>
      <c r="V123" s="1296"/>
      <c r="W123" s="1296"/>
    </row>
    <row r="124" customFormat="false" ht="14.25" hidden="false" customHeight="false" outlineLevel="0" collapsed="false">
      <c r="A124" s="1296"/>
      <c r="B124" s="1296"/>
      <c r="C124" s="1296"/>
      <c r="D124" s="1296"/>
      <c r="E124" s="1296"/>
      <c r="F124" s="1296"/>
      <c r="G124" s="1296"/>
      <c r="H124" s="1296"/>
      <c r="I124" s="1296"/>
      <c r="J124" s="1296"/>
      <c r="K124" s="1296"/>
      <c r="L124" s="1296"/>
      <c r="M124" s="1296"/>
      <c r="N124" s="1296"/>
      <c r="O124" s="1296"/>
      <c r="P124" s="1296"/>
      <c r="Q124" s="1296"/>
      <c r="R124" s="1296"/>
      <c r="S124" s="1296"/>
      <c r="T124" s="1296"/>
      <c r="U124" s="1296"/>
      <c r="V124" s="1296"/>
      <c r="W124" s="1296"/>
    </row>
    <row r="125" customFormat="false" ht="14.25" hidden="false" customHeight="false" outlineLevel="0" collapsed="false">
      <c r="A125" s="1296"/>
      <c r="B125" s="1296"/>
      <c r="C125" s="1296"/>
      <c r="D125" s="1296"/>
      <c r="E125" s="1296"/>
      <c r="F125" s="1296"/>
      <c r="G125" s="1296"/>
      <c r="H125" s="1296"/>
      <c r="I125" s="1296"/>
      <c r="J125" s="1296"/>
      <c r="K125" s="1296"/>
      <c r="L125" s="1296"/>
      <c r="M125" s="1296"/>
      <c r="N125" s="1296"/>
      <c r="O125" s="1296"/>
      <c r="P125" s="1296"/>
      <c r="Q125" s="1296"/>
      <c r="R125" s="1296"/>
      <c r="S125" s="1296"/>
      <c r="T125" s="1296"/>
      <c r="U125" s="1296"/>
      <c r="V125" s="1296"/>
      <c r="W125" s="1296"/>
    </row>
    <row r="126" customFormat="false" ht="14.25" hidden="false" customHeight="false" outlineLevel="0" collapsed="false">
      <c r="A126" s="1296"/>
      <c r="B126" s="1296"/>
      <c r="C126" s="1296"/>
      <c r="D126" s="1296"/>
      <c r="E126" s="1296"/>
      <c r="F126" s="1296"/>
      <c r="G126" s="1296"/>
      <c r="H126" s="1296"/>
      <c r="I126" s="1296"/>
      <c r="J126" s="1296"/>
      <c r="K126" s="1296"/>
      <c r="L126" s="1296"/>
      <c r="M126" s="1296"/>
      <c r="N126" s="1296"/>
      <c r="O126" s="1296"/>
      <c r="P126" s="1296"/>
      <c r="Q126" s="1296"/>
      <c r="R126" s="1296"/>
      <c r="S126" s="1296"/>
      <c r="T126" s="1296"/>
      <c r="U126" s="1296"/>
      <c r="V126" s="1296"/>
      <c r="W126" s="1296"/>
    </row>
    <row r="127" customFormat="false" ht="14.25" hidden="false" customHeight="false" outlineLevel="0" collapsed="false">
      <c r="A127" s="1296"/>
      <c r="B127" s="1296"/>
      <c r="C127" s="1296"/>
      <c r="D127" s="1296"/>
      <c r="E127" s="1296"/>
      <c r="F127" s="1296"/>
      <c r="G127" s="1296"/>
      <c r="H127" s="1296"/>
      <c r="I127" s="1296"/>
      <c r="J127" s="1296"/>
      <c r="K127" s="1296"/>
      <c r="L127" s="1296"/>
      <c r="M127" s="1296"/>
      <c r="N127" s="1296"/>
      <c r="O127" s="1296"/>
      <c r="P127" s="1296"/>
      <c r="Q127" s="1296"/>
      <c r="R127" s="1296"/>
      <c r="S127" s="1296"/>
      <c r="T127" s="1296"/>
      <c r="U127" s="1296"/>
      <c r="V127" s="1296"/>
      <c r="W127" s="1296"/>
    </row>
    <row r="128" customFormat="false" ht="14.25" hidden="false" customHeight="false" outlineLevel="0" collapsed="false">
      <c r="A128" s="1296"/>
      <c r="B128" s="1296"/>
      <c r="C128" s="1296"/>
      <c r="D128" s="1296"/>
      <c r="E128" s="1296"/>
      <c r="F128" s="1296"/>
      <c r="G128" s="1296"/>
      <c r="H128" s="1296"/>
      <c r="I128" s="1296"/>
      <c r="J128" s="1296"/>
      <c r="K128" s="1296"/>
      <c r="L128" s="1296"/>
      <c r="M128" s="1296"/>
      <c r="N128" s="1296"/>
      <c r="O128" s="1296"/>
      <c r="P128" s="1296"/>
      <c r="Q128" s="1296"/>
      <c r="R128" s="1296"/>
      <c r="S128" s="1296"/>
      <c r="T128" s="1296"/>
      <c r="U128" s="1296"/>
      <c r="V128" s="1296"/>
      <c r="W128" s="1296"/>
    </row>
    <row r="129" customFormat="false" ht="14.25" hidden="false" customHeight="false" outlineLevel="0" collapsed="false">
      <c r="A129" s="1296"/>
      <c r="B129" s="1296"/>
      <c r="C129" s="1296"/>
      <c r="D129" s="1296"/>
      <c r="E129" s="1296"/>
      <c r="F129" s="1296"/>
      <c r="G129" s="1296"/>
      <c r="H129" s="1296"/>
      <c r="I129" s="1296"/>
      <c r="J129" s="1296"/>
      <c r="K129" s="1296"/>
      <c r="L129" s="1296"/>
      <c r="M129" s="1296"/>
      <c r="N129" s="1296"/>
      <c r="O129" s="1296"/>
      <c r="P129" s="1296"/>
      <c r="Q129" s="1296"/>
      <c r="R129" s="1296"/>
      <c r="S129" s="1296"/>
      <c r="T129" s="1296"/>
      <c r="U129" s="1296"/>
      <c r="V129" s="1296"/>
      <c r="W129" s="1296"/>
    </row>
    <row r="130" customFormat="false" ht="14.25" hidden="false" customHeight="false" outlineLevel="0" collapsed="false">
      <c r="A130" s="1296"/>
      <c r="B130" s="1296"/>
      <c r="C130" s="1296"/>
      <c r="D130" s="1296"/>
      <c r="E130" s="1296"/>
      <c r="F130" s="1296"/>
      <c r="G130" s="1296"/>
      <c r="H130" s="1296"/>
      <c r="I130" s="1296"/>
      <c r="J130" s="1296"/>
      <c r="K130" s="1296"/>
      <c r="L130" s="1296"/>
      <c r="M130" s="1296"/>
      <c r="N130" s="1296"/>
      <c r="O130" s="1296"/>
      <c r="P130" s="1296"/>
      <c r="Q130" s="1296"/>
      <c r="R130" s="1296"/>
      <c r="S130" s="1296"/>
      <c r="T130" s="1296"/>
      <c r="U130" s="1296"/>
      <c r="V130" s="1296"/>
      <c r="W130" s="1296"/>
    </row>
    <row r="131" customFormat="false" ht="14.25" hidden="false" customHeight="false" outlineLevel="0" collapsed="false">
      <c r="A131" s="1296"/>
      <c r="B131" s="1296"/>
      <c r="C131" s="1296"/>
      <c r="D131" s="1296"/>
      <c r="E131" s="1296"/>
      <c r="F131" s="1296"/>
      <c r="G131" s="1296"/>
      <c r="H131" s="1296"/>
      <c r="I131" s="1296"/>
      <c r="J131" s="1296"/>
      <c r="K131" s="1296"/>
      <c r="L131" s="1296"/>
      <c r="M131" s="1296"/>
      <c r="N131" s="1296"/>
      <c r="O131" s="1296"/>
      <c r="P131" s="1296"/>
      <c r="Q131" s="1296"/>
      <c r="R131" s="1296"/>
      <c r="S131" s="1296"/>
      <c r="T131" s="1296"/>
      <c r="U131" s="1296"/>
      <c r="V131" s="1296"/>
      <c r="W131" s="1296"/>
    </row>
    <row r="132" customFormat="false" ht="14.25" hidden="false" customHeight="false" outlineLevel="0" collapsed="false">
      <c r="A132" s="1296"/>
      <c r="B132" s="1296"/>
      <c r="C132" s="1296"/>
      <c r="D132" s="1296"/>
      <c r="E132" s="1296"/>
      <c r="F132" s="1296"/>
      <c r="G132" s="1296"/>
      <c r="H132" s="1296"/>
      <c r="I132" s="1296"/>
      <c r="J132" s="1296"/>
      <c r="K132" s="1296"/>
      <c r="L132" s="1296"/>
      <c r="M132" s="1296"/>
      <c r="N132" s="1296"/>
      <c r="O132" s="1296"/>
      <c r="P132" s="1296"/>
      <c r="Q132" s="1296"/>
      <c r="R132" s="1296"/>
      <c r="S132" s="1296"/>
      <c r="T132" s="1296"/>
      <c r="U132" s="1296"/>
      <c r="V132" s="1296"/>
      <c r="W132" s="1296"/>
    </row>
    <row r="133" customFormat="false" ht="14.25" hidden="false" customHeight="false" outlineLevel="0" collapsed="false">
      <c r="A133" s="1296"/>
      <c r="B133" s="1296"/>
      <c r="C133" s="1296"/>
      <c r="D133" s="1296"/>
      <c r="E133" s="1296"/>
      <c r="F133" s="1296"/>
      <c r="G133" s="1296"/>
      <c r="H133" s="1296"/>
      <c r="I133" s="1296"/>
      <c r="J133" s="1296"/>
      <c r="K133" s="1296"/>
      <c r="L133" s="1296"/>
      <c r="M133" s="1296"/>
      <c r="N133" s="1296"/>
      <c r="O133" s="1296"/>
      <c r="P133" s="1296"/>
      <c r="Q133" s="1296"/>
      <c r="R133" s="1296"/>
      <c r="S133" s="1296"/>
      <c r="T133" s="1296"/>
      <c r="U133" s="1296"/>
      <c r="V133" s="1296"/>
      <c r="W133" s="1296"/>
    </row>
  </sheetData>
  <sheetProtection sheet="true" password="cc9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B505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ColWidth="12.75390625" defaultRowHeight="14.25" zeroHeight="false" outlineLevelRow="0" outlineLevelCol="0"/>
  <cols>
    <col collapsed="false" customWidth="true" hidden="false" outlineLevel="0" max="1" min="1" style="2" width="3.63"/>
    <col collapsed="false" customWidth="true" hidden="false" outlineLevel="0" max="2" min="2" style="2" width="4.63"/>
    <col collapsed="false" customWidth="true" hidden="false" outlineLevel="0" max="3" min="3" style="2" width="2.63"/>
    <col collapsed="false" customWidth="true" hidden="false" outlineLevel="0" max="4" min="4" style="2" width="5.25"/>
    <col collapsed="false" customWidth="true" hidden="false" outlineLevel="0" max="5" min="5" style="2" width="9.38"/>
    <col collapsed="false" customWidth="true" hidden="false" outlineLevel="0" max="6" min="6" style="2" width="2.63"/>
    <col collapsed="false" customWidth="true" hidden="false" outlineLevel="0" max="7" min="7" style="2" width="4.5"/>
    <col collapsed="false" customWidth="true" hidden="false" outlineLevel="0" max="8" min="8" style="2" width="2.63"/>
    <col collapsed="false" customWidth="true" hidden="false" outlineLevel="0" max="9" min="9" style="2" width="4.13"/>
    <col collapsed="false" customWidth="true" hidden="false" outlineLevel="0" max="10" min="10" style="2" width="3.13"/>
    <col collapsed="false" customWidth="true" hidden="false" outlineLevel="0" max="11" min="11" style="2" width="5.25"/>
    <col collapsed="false" customWidth="true" hidden="false" outlineLevel="0" max="12" min="12" style="2" width="3.13"/>
    <col collapsed="false" customWidth="true" hidden="false" outlineLevel="0" max="13" min="13" style="2" width="5.25"/>
    <col collapsed="false" customWidth="true" hidden="false" outlineLevel="0" max="14" min="14" style="2" width="7.13"/>
    <col collapsed="false" customWidth="true" hidden="false" outlineLevel="0" max="15" min="15" style="2" width="9.5"/>
    <col collapsed="false" customWidth="true" hidden="false" outlineLevel="0" max="21" min="16" style="2" width="2.75"/>
    <col collapsed="false" customWidth="true" hidden="false" outlineLevel="0" max="22" min="22" style="2" width="12.88"/>
    <col collapsed="false" customWidth="true" hidden="false" outlineLevel="0" max="28" min="23" style="2" width="6.63"/>
    <col collapsed="false" customWidth="true" hidden="false" outlineLevel="0" max="30" min="30" style="2" width="3.13"/>
    <col collapsed="false" customWidth="true" hidden="false" outlineLevel="0" max="31" min="31" style="2" width="4.63"/>
    <col collapsed="false" customWidth="true" hidden="false" outlineLevel="0" max="32" min="32" style="2" width="3.13"/>
    <col collapsed="false" customWidth="true" hidden="false" outlineLevel="0" max="33" min="33" style="2" width="4.63"/>
    <col collapsed="false" customWidth="true" hidden="false" outlineLevel="0" max="35" min="35" style="2" width="2.63"/>
    <col collapsed="false" customWidth="true" hidden="false" outlineLevel="0" max="36" min="36" style="2" width="5.25"/>
    <col collapsed="false" customWidth="true" hidden="false" outlineLevel="0" max="37" min="37" style="2" width="2.63"/>
    <col collapsed="false" customWidth="true" hidden="false" outlineLevel="0" max="38" min="38" style="2" width="5.25"/>
    <col collapsed="false" customWidth="true" hidden="false" outlineLevel="0" max="39" min="39" style="2" width="9.75"/>
    <col collapsed="false" customWidth="true" hidden="false" outlineLevel="0" max="40" min="40" style="2" width="2.63"/>
    <col collapsed="false" customWidth="true" hidden="false" outlineLevel="0" max="41" min="41" style="2" width="59.25"/>
    <col collapsed="false" customWidth="true" hidden="false" outlineLevel="0" max="42" min="42" style="2" width="2.63"/>
    <col collapsed="false" customWidth="true" hidden="false" outlineLevel="0" max="43" min="43" style="2" width="4.63"/>
    <col collapsed="false" customWidth="true" hidden="false" outlineLevel="0" max="44" min="44" style="2" width="5.63"/>
    <col collapsed="false" customWidth="true" hidden="false" outlineLevel="0" max="45" min="45" style="2" width="29"/>
    <col collapsed="false" customWidth="true" hidden="false" outlineLevel="0" max="46" min="46" style="2" width="5.25"/>
    <col collapsed="false" customWidth="true" hidden="false" outlineLevel="0" max="48" min="47" style="2" width="2.63"/>
    <col collapsed="false" customWidth="true" hidden="false" outlineLevel="0" max="50" min="49" style="2" width="5.25"/>
    <col collapsed="false" customWidth="true" hidden="false" outlineLevel="0" max="51" min="51" style="2" width="29"/>
    <col collapsed="false" customWidth="true" hidden="false" outlineLevel="0" max="56" min="54" style="2" width="7.13"/>
    <col collapsed="false" customWidth="true" hidden="false" outlineLevel="0" max="57" min="57" style="2" width="8.75"/>
    <col collapsed="false" customWidth="true" hidden="false" outlineLevel="0" max="59" min="58" style="2" width="6.63"/>
    <col collapsed="false" customWidth="true" hidden="false" outlineLevel="0" max="65" min="65" style="2" width="1.75"/>
    <col collapsed="false" customWidth="true" hidden="false" outlineLevel="0" max="72" min="67" style="2" width="2.63"/>
    <col collapsed="false" customWidth="true" hidden="false" outlineLevel="0" max="78" min="78" style="2" width="1.75"/>
    <col collapsed="false" customWidth="true" hidden="false" outlineLevel="0" max="80" min="80" style="2" width="12.25"/>
    <col collapsed="false" customWidth="true" hidden="false" outlineLevel="0" max="81" min="81" style="2" width="13.63"/>
    <col collapsed="false" customWidth="true" hidden="false" outlineLevel="0" max="82" min="82" style="2" width="12.25"/>
    <col collapsed="false" customWidth="true" hidden="false" outlineLevel="0" max="83" min="83" style="2" width="8.75"/>
    <col collapsed="false" customWidth="true" hidden="false" outlineLevel="0" max="84" min="84" style="2" width="13.63"/>
    <col collapsed="false" customWidth="true" hidden="false" outlineLevel="0" max="85" min="85" style="2" width="12.25"/>
    <col collapsed="false" customWidth="true" hidden="false" outlineLevel="0" max="99" min="99" style="2" width="1.75"/>
    <col collapsed="false" customWidth="true" hidden="false" outlineLevel="0" max="106" min="101" style="2" width="2.63"/>
    <col collapsed="false" customWidth="true" hidden="false" outlineLevel="0" max="112" min="112" style="2" width="1.75"/>
    <col collapsed="false" customWidth="true" hidden="false" outlineLevel="0" max="114" min="114" style="2" width="8.88"/>
    <col collapsed="false" customWidth="true" hidden="false" outlineLevel="0" max="116" min="115" style="2" width="10.38"/>
    <col collapsed="false" customWidth="true" hidden="false" outlineLevel="0" max="117" min="117" style="2" width="11.38"/>
    <col collapsed="false" customWidth="true" hidden="false" outlineLevel="0" max="119" min="118" style="2" width="6.88"/>
    <col collapsed="false" customWidth="true" hidden="false" outlineLevel="0" max="127" min="127" style="2" width="8.88"/>
    <col collapsed="false" customWidth="true" hidden="false" outlineLevel="0" max="129" min="128" style="2" width="10.38"/>
    <col collapsed="false" customWidth="true" hidden="false" outlineLevel="0" max="130" min="130" style="2" width="11.38"/>
    <col collapsed="false" customWidth="true" hidden="false" outlineLevel="0" max="132" min="131" style="2" width="6.88"/>
  </cols>
  <sheetData>
    <row r="1" customFormat="false" ht="14.25" hidden="false" customHeight="false" outlineLevel="0" collapsed="false">
      <c r="A1" s="1297"/>
      <c r="B1" s="1298"/>
      <c r="C1" s="1298"/>
      <c r="D1" s="1299"/>
      <c r="E1" s="1299"/>
      <c r="F1" s="1298"/>
      <c r="G1" s="1298"/>
      <c r="H1" s="1300"/>
      <c r="I1" s="1301"/>
      <c r="J1" s="1302"/>
      <c r="K1" s="1302"/>
      <c r="L1" s="1302"/>
      <c r="M1" s="1302"/>
      <c r="N1" s="1303"/>
      <c r="O1" s="1304"/>
      <c r="P1" s="1305"/>
      <c r="Q1" s="1305"/>
      <c r="R1" s="1305"/>
      <c r="S1" s="1305"/>
      <c r="T1" s="1305"/>
      <c r="U1" s="1306"/>
      <c r="V1" s="1307"/>
      <c r="W1" s="1308"/>
      <c r="X1" s="1308"/>
      <c r="Y1" s="1308"/>
      <c r="Z1" s="1308"/>
      <c r="AA1" s="1308"/>
      <c r="AB1" s="1309"/>
      <c r="AC1" s="1310"/>
      <c r="AD1" s="1297"/>
      <c r="AE1" s="1297"/>
      <c r="AF1" s="1297"/>
      <c r="AG1" s="1297"/>
      <c r="AH1" s="1297"/>
      <c r="AI1" s="1311"/>
      <c r="AJ1" s="1297"/>
      <c r="AK1" s="1297"/>
      <c r="AL1" s="1312"/>
      <c r="AM1" s="1297"/>
      <c r="AN1" s="1297"/>
      <c r="AO1" s="1312"/>
      <c r="AP1" s="1297"/>
      <c r="AQ1" s="1297"/>
      <c r="AR1" s="1297"/>
      <c r="AS1" s="1297"/>
      <c r="AT1" s="1313"/>
      <c r="AU1" s="1297"/>
      <c r="AV1" s="1297"/>
      <c r="AW1" s="1314"/>
      <c r="AX1" s="1314"/>
      <c r="AY1" s="1297" t="s">
        <v>39</v>
      </c>
      <c r="AZ1" s="1315"/>
      <c r="BA1" s="1315"/>
      <c r="BB1" s="1315"/>
      <c r="BC1" s="1315"/>
      <c r="BD1" s="1315"/>
      <c r="BE1" s="1315"/>
      <c r="BF1" s="1315"/>
      <c r="BG1" s="1315"/>
      <c r="BH1" s="1315"/>
      <c r="BI1" s="1315"/>
      <c r="BJ1" s="1315"/>
      <c r="BK1" s="1315"/>
      <c r="BL1" s="1297"/>
      <c r="BM1" s="1297"/>
      <c r="BN1" s="1297"/>
      <c r="BO1" s="1297"/>
      <c r="BP1" s="1297"/>
      <c r="BQ1" s="1297"/>
      <c r="BR1" s="1297"/>
      <c r="BS1" s="1297"/>
      <c r="BT1" s="1297"/>
      <c r="BU1" s="1297"/>
      <c r="BV1" s="1297"/>
      <c r="BW1" s="1297"/>
      <c r="BX1" s="1297"/>
      <c r="BY1" s="1297"/>
      <c r="BZ1" s="1297"/>
      <c r="CA1" s="1297"/>
      <c r="CB1" s="1297"/>
      <c r="CC1" s="1297"/>
      <c r="CD1" s="1297"/>
      <c r="CE1" s="1297"/>
      <c r="CF1" s="1297"/>
      <c r="CG1" s="1297"/>
      <c r="CH1" s="1297"/>
      <c r="CI1" s="1297"/>
      <c r="CJ1" s="1297"/>
      <c r="CK1" s="1297"/>
      <c r="CL1" s="1297"/>
      <c r="CM1" s="1297"/>
      <c r="CN1" s="1297"/>
      <c r="CO1" s="1297"/>
      <c r="CP1" s="1297"/>
      <c r="CQ1" s="1297"/>
      <c r="CR1" s="1297"/>
      <c r="CS1" s="1297"/>
      <c r="CT1" s="1297"/>
      <c r="CU1" s="1297"/>
      <c r="CV1" s="1297"/>
      <c r="CW1" s="1297"/>
      <c r="CX1" s="1297"/>
      <c r="CY1" s="1297"/>
      <c r="CZ1" s="1297"/>
      <c r="DA1" s="1297"/>
      <c r="DB1" s="1297"/>
      <c r="DC1" s="1297"/>
      <c r="DD1" s="1297"/>
      <c r="DE1" s="1297"/>
      <c r="DF1" s="1297"/>
      <c r="DG1" s="1297"/>
      <c r="DH1" s="1316"/>
      <c r="DI1" s="1316"/>
      <c r="DJ1" s="1316"/>
      <c r="DK1" s="1316"/>
      <c r="DL1" s="1316"/>
      <c r="DM1" s="1316"/>
      <c r="DN1" s="1316"/>
      <c r="DO1" s="1316"/>
      <c r="DP1" s="1316"/>
      <c r="DQ1" s="1316"/>
      <c r="DR1" s="1316"/>
      <c r="DS1" s="1316"/>
      <c r="DT1" s="1316"/>
      <c r="DU1" s="1316"/>
      <c r="DV1" s="1316"/>
      <c r="DW1" s="1316"/>
      <c r="DX1" s="1316"/>
      <c r="DY1" s="1316"/>
      <c r="DZ1" s="1316"/>
      <c r="EA1" s="1316"/>
      <c r="EB1" s="1316"/>
    </row>
    <row r="2" customFormat="false" ht="14.25" hidden="false" customHeight="false" outlineLevel="0" collapsed="false">
      <c r="A2" s="1297"/>
      <c r="B2" s="1298"/>
      <c r="C2" s="1298"/>
      <c r="D2" s="1299"/>
      <c r="E2" s="1299"/>
      <c r="F2" s="1298"/>
      <c r="G2" s="1298"/>
      <c r="H2" s="1300"/>
      <c r="I2" s="1301"/>
      <c r="J2" s="1302"/>
      <c r="K2" s="1302"/>
      <c r="L2" s="1302"/>
      <c r="M2" s="1302"/>
      <c r="N2" s="1303"/>
      <c r="O2" s="1317" t="s">
        <v>950</v>
      </c>
      <c r="P2" s="1317"/>
      <c r="Q2" s="1317"/>
      <c r="R2" s="1317"/>
      <c r="S2" s="1317"/>
      <c r="T2" s="1317"/>
      <c r="U2" s="1317"/>
      <c r="V2" s="1318" t="s">
        <v>951</v>
      </c>
      <c r="W2" s="1318"/>
      <c r="X2" s="1318"/>
      <c r="Y2" s="1318"/>
      <c r="Z2" s="1318"/>
      <c r="AA2" s="1318"/>
      <c r="AB2" s="1318"/>
      <c r="AC2" s="1319"/>
      <c r="AD2" s="1318" t="s">
        <v>952</v>
      </c>
      <c r="AE2" s="1318"/>
      <c r="AF2" s="1318"/>
      <c r="AG2" s="1318"/>
      <c r="AH2" s="1318"/>
      <c r="AI2" s="1318"/>
      <c r="AJ2" s="1318"/>
      <c r="AK2" s="1320"/>
      <c r="AL2" s="1320"/>
      <c r="AM2" s="1320"/>
      <c r="AN2" s="1320"/>
      <c r="AO2" s="1312"/>
      <c r="AP2" s="1297"/>
      <c r="AQ2" s="1297"/>
      <c r="AR2" s="1297"/>
      <c r="AS2" s="1297"/>
      <c r="AT2" s="1313"/>
      <c r="AU2" s="1297"/>
      <c r="AV2" s="1297"/>
      <c r="AW2" s="1314"/>
      <c r="AX2" s="1314"/>
      <c r="AY2" s="1297"/>
      <c r="AZ2" s="1315"/>
      <c r="BA2" s="1315"/>
      <c r="BB2" s="1315"/>
      <c r="BC2" s="1315"/>
      <c r="BD2" s="1315"/>
      <c r="BE2" s="1315"/>
      <c r="BF2" s="1315"/>
      <c r="BG2" s="1315"/>
      <c r="BH2" s="1315"/>
      <c r="BI2" s="1315"/>
      <c r="BJ2" s="1315"/>
      <c r="BK2" s="1315"/>
      <c r="BL2" s="1297"/>
      <c r="BM2" s="1297" t="s">
        <v>953</v>
      </c>
      <c r="BN2" s="1297"/>
      <c r="BO2" s="1297"/>
      <c r="BP2" s="1297"/>
      <c r="BQ2" s="1297"/>
      <c r="BR2" s="1297"/>
      <c r="BS2" s="1297"/>
      <c r="BT2" s="1297"/>
      <c r="BU2" s="1297"/>
      <c r="BV2" s="1297"/>
      <c r="BW2" s="1297"/>
      <c r="BX2" s="1297"/>
      <c r="BY2" s="1297"/>
      <c r="BZ2" s="1297" t="s">
        <v>954</v>
      </c>
      <c r="CA2" s="1297"/>
      <c r="CB2" s="1297"/>
      <c r="CC2" s="1297"/>
      <c r="CD2" s="1297"/>
      <c r="CE2" s="1297"/>
      <c r="CF2" s="1297"/>
      <c r="CG2" s="1297"/>
      <c r="CH2" s="1297"/>
      <c r="CI2" s="1297"/>
      <c r="CJ2" s="1297"/>
      <c r="CK2" s="1297"/>
      <c r="CL2" s="1297"/>
      <c r="CM2" s="1297"/>
      <c r="CN2" s="1297"/>
      <c r="CO2" s="1297"/>
      <c r="CP2" s="1297"/>
      <c r="CQ2" s="1297"/>
      <c r="CR2" s="1297"/>
      <c r="CS2" s="1297"/>
      <c r="CT2" s="1297"/>
      <c r="CU2" s="1297" t="s">
        <v>955</v>
      </c>
      <c r="CV2" s="1297"/>
      <c r="CW2" s="1297"/>
      <c r="CX2" s="1297"/>
      <c r="CY2" s="1297"/>
      <c r="CZ2" s="1297"/>
      <c r="DA2" s="1297"/>
      <c r="DB2" s="1297"/>
      <c r="DC2" s="1297"/>
      <c r="DD2" s="1297"/>
      <c r="DE2" s="1297"/>
      <c r="DF2" s="1297"/>
      <c r="DG2" s="1297"/>
      <c r="DH2" s="1321" t="s">
        <v>956</v>
      </c>
      <c r="DI2" s="1316"/>
      <c r="DJ2" s="1316"/>
      <c r="DK2" s="1316"/>
      <c r="DL2" s="1316"/>
      <c r="DM2" s="1316"/>
      <c r="DN2" s="1316"/>
      <c r="DO2" s="1316"/>
      <c r="DP2" s="1316"/>
      <c r="DQ2" s="1316"/>
      <c r="DR2" s="1316"/>
      <c r="DS2" s="1316"/>
      <c r="DT2" s="1316"/>
      <c r="DU2" s="1316"/>
      <c r="DV2" s="1316"/>
      <c r="DW2" s="1321" t="s">
        <v>957</v>
      </c>
      <c r="DX2" s="1316"/>
      <c r="DY2" s="1316"/>
      <c r="DZ2" s="1316"/>
      <c r="EA2" s="1316"/>
      <c r="EB2" s="1316"/>
    </row>
    <row r="3" customFormat="false" ht="35.8" hidden="false" customHeight="false" outlineLevel="0" collapsed="false">
      <c r="A3" s="1297" t="s">
        <v>958</v>
      </c>
      <c r="B3" s="1297" t="s">
        <v>959</v>
      </c>
      <c r="C3" s="1297" t="n">
        <f aca="false">'V_DATOS PAC_SGA'!S1</f>
        <v>0</v>
      </c>
      <c r="D3" s="1322" t="n">
        <f aca="false">'V_DATOS PAC_SGA'!Y1</f>
        <v>0</v>
      </c>
      <c r="E3" s="1323" t="n">
        <f aca="false">'V_DATOS PAC_SGA'!AV1</f>
        <v>0</v>
      </c>
      <c r="F3" s="1324" t="n">
        <f aca="false">'V_DATOS PAC_SGA'!BK1</f>
        <v>0</v>
      </c>
      <c r="G3" s="1325" t="n">
        <f aca="false">'V_DATOS PAC_SGA'!AN1</f>
        <v>0</v>
      </c>
      <c r="H3" s="1326" t="s">
        <v>960</v>
      </c>
      <c r="I3" s="1327" t="s">
        <v>961</v>
      </c>
      <c r="J3" s="1328" t="s">
        <v>7</v>
      </c>
      <c r="K3" s="1328" t="s">
        <v>6</v>
      </c>
      <c r="L3" s="1328" t="s">
        <v>9</v>
      </c>
      <c r="M3" s="1328" t="s">
        <v>8</v>
      </c>
      <c r="N3" s="1329" t="s">
        <v>962</v>
      </c>
      <c r="O3" s="1330" t="s">
        <v>59</v>
      </c>
      <c r="P3" s="1331" t="s">
        <v>60</v>
      </c>
      <c r="Q3" s="1331" t="s">
        <v>61</v>
      </c>
      <c r="R3" s="1331" t="s">
        <v>62</v>
      </c>
      <c r="S3" s="1331" t="s">
        <v>63</v>
      </c>
      <c r="T3" s="1331" t="s">
        <v>813</v>
      </c>
      <c r="U3" s="1332" t="s">
        <v>814</v>
      </c>
      <c r="V3" s="1333" t="s">
        <v>59</v>
      </c>
      <c r="W3" s="1334" t="s">
        <v>60</v>
      </c>
      <c r="X3" s="1334" t="s">
        <v>61</v>
      </c>
      <c r="Y3" s="1334" t="s">
        <v>62</v>
      </c>
      <c r="Z3" s="1334" t="s">
        <v>63</v>
      </c>
      <c r="AA3" s="1334" t="s">
        <v>813</v>
      </c>
      <c r="AB3" s="1335" t="s">
        <v>814</v>
      </c>
      <c r="AC3" s="1336"/>
      <c r="AD3" s="1328" t="s">
        <v>7</v>
      </c>
      <c r="AE3" s="1328" t="s">
        <v>6</v>
      </c>
      <c r="AF3" s="1328" t="s">
        <v>9</v>
      </c>
      <c r="AG3" s="1328" t="s">
        <v>8</v>
      </c>
      <c r="AH3" s="1328"/>
      <c r="AI3" s="1337" t="s">
        <v>7</v>
      </c>
      <c r="AJ3" s="1328" t="s">
        <v>6</v>
      </c>
      <c r="AK3" s="1328" t="s">
        <v>9</v>
      </c>
      <c r="AL3" s="1338" t="s">
        <v>8</v>
      </c>
      <c r="AM3" s="1328" t="s">
        <v>963</v>
      </c>
      <c r="AN3" s="1328"/>
      <c r="AO3" s="1338"/>
      <c r="AP3" s="1339"/>
      <c r="AQ3" s="1297"/>
      <c r="AR3" s="1340" t="s">
        <v>964</v>
      </c>
      <c r="AS3" s="1341"/>
      <c r="AT3" s="1342" t="s">
        <v>965</v>
      </c>
      <c r="AU3" s="1343"/>
      <c r="AV3" s="1343"/>
      <c r="AW3" s="1344"/>
      <c r="AX3" s="1344"/>
      <c r="AY3" s="1345" t="s">
        <v>966</v>
      </c>
      <c r="AZ3" s="1346"/>
      <c r="BA3" s="1346"/>
      <c r="BB3" s="1346" t="str">
        <f aca="false">'O_MN, PE_UTA_UGM 2023'!F2</f>
        <v>MARGEN NETO  (€/HA.)   SEC</v>
      </c>
      <c r="BC3" s="1346" t="str">
        <f aca="false">'O_MN, PE_UTA_UGM 2023'!G2</f>
        <v>MARGEN NETO  (€/HA.)   REG</v>
      </c>
      <c r="BD3" s="1346" t="str">
        <f aca="false">'O_MN, PE_UTA_UGM 2023'!H2</f>
        <v>PRODUCCIÓN ESTANDARD (€/HA.)   SEC</v>
      </c>
      <c r="BE3" s="1346" t="str">
        <f aca="false">'O_MN, PE_UTA_UGM 2023'!I2</f>
        <v>PRODUCCIÓN ESTANDARD (€/HA.)   REG</v>
      </c>
      <c r="BF3" s="1346" t="str">
        <f aca="false">'O_MN, PE_UTA_UGM 2023'!J2</f>
        <v>UTA/has   SEC</v>
      </c>
      <c r="BG3" s="1346" t="str">
        <f aca="false">'O_MN, PE_UTA_UGM 2023'!K2</f>
        <v>UTA/has   REG</v>
      </c>
      <c r="BH3" s="1347"/>
      <c r="BI3" s="1347"/>
      <c r="BJ3" s="1347"/>
      <c r="BK3" s="1347"/>
      <c r="BL3" s="1341"/>
      <c r="BM3" s="1343"/>
      <c r="BN3" s="1343"/>
      <c r="BO3" s="1348" t="s">
        <v>967</v>
      </c>
      <c r="BP3" s="1348" t="s">
        <v>968</v>
      </c>
      <c r="BQ3" s="1348" t="s">
        <v>969</v>
      </c>
      <c r="BR3" s="1348" t="s">
        <v>970</v>
      </c>
      <c r="BS3" s="1343" t="s">
        <v>971</v>
      </c>
      <c r="BT3" s="1349" t="s">
        <v>972</v>
      </c>
      <c r="BU3" s="1343"/>
      <c r="BV3" s="1343"/>
      <c r="BW3" s="1343"/>
      <c r="BX3" s="1343"/>
      <c r="BY3" s="1341"/>
      <c r="BZ3" s="1350"/>
      <c r="CA3" s="1350"/>
      <c r="CB3" s="1351" t="s">
        <v>967</v>
      </c>
      <c r="CC3" s="1351" t="s">
        <v>968</v>
      </c>
      <c r="CD3" s="1351" t="s">
        <v>969</v>
      </c>
      <c r="CE3" s="1351" t="s">
        <v>970</v>
      </c>
      <c r="CF3" s="1350" t="s">
        <v>971</v>
      </c>
      <c r="CG3" s="1350" t="s">
        <v>973</v>
      </c>
      <c r="CH3" s="1350"/>
      <c r="CI3" s="1350"/>
      <c r="CJ3" s="1350"/>
      <c r="CK3" s="1350"/>
      <c r="CL3" s="1341"/>
      <c r="CN3" s="1341"/>
      <c r="CO3" s="1341"/>
      <c r="CP3" s="1341"/>
      <c r="CQ3" s="1341"/>
      <c r="CR3" s="1341"/>
      <c r="CS3" s="1341"/>
      <c r="CT3" s="1341"/>
      <c r="CU3" s="1343"/>
      <c r="CV3" s="1343"/>
      <c r="CW3" s="1348" t="s">
        <v>967</v>
      </c>
      <c r="CX3" s="1348" t="s">
        <v>968</v>
      </c>
      <c r="CY3" s="1348" t="s">
        <v>969</v>
      </c>
      <c r="CZ3" s="1348" t="s">
        <v>970</v>
      </c>
      <c r="DA3" s="1343" t="s">
        <v>971</v>
      </c>
      <c r="DB3" s="1349" t="s">
        <v>972</v>
      </c>
      <c r="DC3" s="1343"/>
      <c r="DD3" s="1343"/>
      <c r="DE3" s="1343"/>
      <c r="DF3" s="1343"/>
      <c r="DG3" s="1341"/>
      <c r="DH3" s="1352"/>
      <c r="DI3" s="1352"/>
      <c r="DJ3" s="1353" t="s">
        <v>967</v>
      </c>
      <c r="DK3" s="1353" t="s">
        <v>968</v>
      </c>
      <c r="DL3" s="1353" t="s">
        <v>969</v>
      </c>
      <c r="DM3" s="1353" t="s">
        <v>970</v>
      </c>
      <c r="DN3" s="1352" t="s">
        <v>971</v>
      </c>
      <c r="DO3" s="1352" t="s">
        <v>972</v>
      </c>
      <c r="DP3" s="1352"/>
      <c r="DQ3" s="1352"/>
      <c r="DR3" s="1352"/>
      <c r="DS3" s="1352"/>
      <c r="DT3" s="1354"/>
      <c r="DU3" s="1355"/>
      <c r="DV3" s="1355"/>
      <c r="DW3" s="1355" t="s">
        <v>967</v>
      </c>
      <c r="DX3" s="1355" t="s">
        <v>968</v>
      </c>
      <c r="DY3" s="1355" t="s">
        <v>969</v>
      </c>
      <c r="DZ3" s="1355" t="s">
        <v>970</v>
      </c>
      <c r="EA3" s="1355" t="s">
        <v>971</v>
      </c>
      <c r="EB3" s="1356" t="s">
        <v>972</v>
      </c>
    </row>
    <row r="4" customFormat="false" ht="14.25" hidden="false" customHeight="false" outlineLevel="0" collapsed="false">
      <c r="B4" s="1297"/>
      <c r="C4" s="1297"/>
      <c r="D4" s="1322"/>
      <c r="E4" s="1323"/>
      <c r="F4" s="1324"/>
      <c r="G4" s="1357" t="s">
        <v>974</v>
      </c>
      <c r="H4" s="1358"/>
      <c r="I4" s="1359"/>
      <c r="J4" s="1339" t="n">
        <v>2</v>
      </c>
      <c r="K4" s="1339" t="n">
        <v>2</v>
      </c>
      <c r="L4" s="1339" t="n">
        <v>1</v>
      </c>
      <c r="M4" s="1339" t="n">
        <v>1</v>
      </c>
      <c r="N4" s="1360"/>
      <c r="O4" s="1361" t="n">
        <v>1</v>
      </c>
      <c r="P4" s="1362" t="n">
        <v>2</v>
      </c>
      <c r="Q4" s="1362" t="n">
        <v>3</v>
      </c>
      <c r="R4" s="1362" t="n">
        <v>4</v>
      </c>
      <c r="S4" s="1362" t="n">
        <v>5</v>
      </c>
      <c r="T4" s="1362" t="n">
        <v>6</v>
      </c>
      <c r="U4" s="1363" t="n">
        <v>7</v>
      </c>
      <c r="V4" s="1364" t="n">
        <v>1</v>
      </c>
      <c r="W4" s="1365" t="n">
        <v>2</v>
      </c>
      <c r="X4" s="1365" t="n">
        <v>3</v>
      </c>
      <c r="Y4" s="1365" t="n">
        <v>4</v>
      </c>
      <c r="Z4" s="1365" t="n">
        <v>5</v>
      </c>
      <c r="AA4" s="1365" t="n">
        <v>6</v>
      </c>
      <c r="AB4" s="1366" t="n">
        <v>7</v>
      </c>
      <c r="AC4" s="1336"/>
      <c r="AD4" s="1339" t="n">
        <v>2</v>
      </c>
      <c r="AE4" s="1339" t="n">
        <v>2</v>
      </c>
      <c r="AF4" s="1339" t="n">
        <v>1</v>
      </c>
      <c r="AG4" s="1339" t="n">
        <v>1</v>
      </c>
      <c r="AH4" s="1339"/>
      <c r="AI4" s="1367"/>
      <c r="AJ4" s="1339"/>
      <c r="AK4" s="1339"/>
      <c r="AL4" s="1312"/>
      <c r="AM4" s="1339"/>
      <c r="AN4" s="1339"/>
      <c r="AO4" s="1368"/>
      <c r="AP4" s="1339"/>
      <c r="AQ4" s="1297"/>
      <c r="AR4" s="1369"/>
      <c r="AS4" s="1297"/>
      <c r="AT4" s="1313"/>
      <c r="AU4" s="1324" t="n">
        <v>1</v>
      </c>
      <c r="AV4" s="1324" t="n">
        <v>3</v>
      </c>
      <c r="AW4" s="1314" t="n">
        <v>2</v>
      </c>
      <c r="AX4" s="1314" t="n">
        <v>4</v>
      </c>
      <c r="AY4" s="1297" t="s">
        <v>975</v>
      </c>
      <c r="AZ4" s="1370"/>
      <c r="BA4" s="1370"/>
      <c r="BB4" s="1370" t="n">
        <f aca="false">BA4+1</f>
        <v>1</v>
      </c>
      <c r="BC4" s="1370" t="n">
        <f aca="false">BB4+1</f>
        <v>2</v>
      </c>
      <c r="BD4" s="1370" t="n">
        <f aca="false">BC4+1</f>
        <v>3</v>
      </c>
      <c r="BE4" s="1370" t="n">
        <f aca="false">BD4+1</f>
        <v>4</v>
      </c>
      <c r="BF4" s="1370" t="n">
        <f aca="false">BE4+1</f>
        <v>5</v>
      </c>
      <c r="BG4" s="1370" t="n">
        <f aca="false">BF4+1</f>
        <v>6</v>
      </c>
      <c r="BH4" s="1371"/>
      <c r="BI4" s="1371"/>
      <c r="BJ4" s="1371"/>
      <c r="BK4" s="1371"/>
      <c r="BL4" s="1297"/>
      <c r="BM4" s="1339"/>
      <c r="BN4" s="1339"/>
      <c r="BO4" s="1339"/>
      <c r="BP4" s="1339"/>
      <c r="BQ4" s="1339"/>
      <c r="BR4" s="1339"/>
      <c r="BS4" s="1339"/>
      <c r="BT4" s="1339"/>
      <c r="BU4" s="1339"/>
      <c r="BV4" s="1339"/>
      <c r="BW4" s="1339"/>
      <c r="BX4" s="1339"/>
      <c r="BY4" s="1297"/>
      <c r="BZ4" s="1372"/>
      <c r="CA4" s="1372"/>
      <c r="CB4" s="1372"/>
      <c r="CC4" s="1372"/>
      <c r="CD4" s="1372"/>
      <c r="CE4" s="1372"/>
      <c r="CF4" s="1372"/>
      <c r="CG4" s="1372"/>
      <c r="CH4" s="1372"/>
      <c r="CI4" s="1372"/>
      <c r="CJ4" s="1372"/>
      <c r="CK4" s="1372"/>
      <c r="CL4" s="1339"/>
      <c r="CM4" s="1339"/>
      <c r="CN4" s="1339"/>
      <c r="CO4" s="1339"/>
      <c r="CP4" s="1339"/>
      <c r="CQ4" s="1339"/>
      <c r="CR4" s="1339"/>
      <c r="CS4" s="1297"/>
      <c r="CT4" s="1297"/>
      <c r="CU4" s="1339"/>
      <c r="CV4" s="1339"/>
      <c r="CW4" s="1339"/>
      <c r="CX4" s="1339"/>
      <c r="CY4" s="1339"/>
      <c r="CZ4" s="1339"/>
      <c r="DA4" s="1339"/>
      <c r="DB4" s="1339"/>
      <c r="DC4" s="1339"/>
      <c r="DD4" s="1339"/>
      <c r="DE4" s="1339"/>
      <c r="DF4" s="1339"/>
      <c r="DG4" s="1297"/>
      <c r="DH4" s="1373"/>
      <c r="DI4" s="1373"/>
      <c r="DJ4" s="1373"/>
      <c r="DK4" s="1373"/>
      <c r="DL4" s="1373"/>
      <c r="DM4" s="1373"/>
      <c r="DN4" s="1373"/>
      <c r="DO4" s="1373"/>
      <c r="DP4" s="1373"/>
      <c r="DQ4" s="1373"/>
      <c r="DR4" s="1373"/>
      <c r="DS4" s="1373"/>
      <c r="DT4" s="1321"/>
      <c r="DU4" s="1374"/>
      <c r="DV4" s="1374"/>
      <c r="DW4" s="1374"/>
      <c r="DX4" s="1374"/>
      <c r="DY4" s="1374"/>
      <c r="DZ4" s="1374"/>
      <c r="EA4" s="1374"/>
      <c r="EB4" s="1374"/>
    </row>
    <row r="5" customFormat="false" ht="14.25" hidden="false" customHeight="false" outlineLevel="0" collapsed="false">
      <c r="B5" s="1297"/>
      <c r="C5" s="1297"/>
      <c r="D5" s="1322"/>
      <c r="E5" s="1323"/>
      <c r="F5" s="1324"/>
      <c r="G5" s="1357"/>
      <c r="H5" s="1358"/>
      <c r="I5" s="1359"/>
      <c r="J5" s="1339" t="n">
        <v>1</v>
      </c>
      <c r="K5" s="1339" t="n">
        <v>1</v>
      </c>
      <c r="L5" s="1339" t="n">
        <v>1</v>
      </c>
      <c r="M5" s="1339" t="n">
        <v>1</v>
      </c>
      <c r="N5" s="1360"/>
      <c r="O5" s="1361"/>
      <c r="P5" s="1362"/>
      <c r="Q5" s="1362"/>
      <c r="R5" s="1362"/>
      <c r="S5" s="1362"/>
      <c r="T5" s="1362"/>
      <c r="U5" s="1363"/>
      <c r="V5" s="1364"/>
      <c r="W5" s="1365"/>
      <c r="X5" s="1365"/>
      <c r="Y5" s="1365"/>
      <c r="Z5" s="1365"/>
      <c r="AA5" s="1365"/>
      <c r="AB5" s="1366"/>
      <c r="AC5" s="1336"/>
      <c r="AD5" s="1339"/>
      <c r="AE5" s="1339"/>
      <c r="AF5" s="1339"/>
      <c r="AG5" s="1339"/>
      <c r="AH5" s="1339"/>
      <c r="AI5" s="1367"/>
      <c r="AJ5" s="1339"/>
      <c r="AK5" s="1339"/>
      <c r="AL5" s="1312"/>
      <c r="AM5" s="1339"/>
      <c r="AN5" s="1339"/>
      <c r="AO5" s="1368"/>
      <c r="AP5" s="1339"/>
      <c r="AQ5" s="1297"/>
      <c r="AR5" s="1369"/>
      <c r="AS5" s="1297"/>
      <c r="AT5" s="1313"/>
      <c r="AU5" s="1324"/>
      <c r="AV5" s="1324"/>
      <c r="AW5" s="1314"/>
      <c r="AX5" s="1314"/>
      <c r="AY5" s="1297"/>
      <c r="AZ5" s="1370"/>
      <c r="BA5" s="1370"/>
      <c r="BB5" s="1370"/>
      <c r="BC5" s="1370"/>
      <c r="BD5" s="1370"/>
      <c r="BE5" s="1370"/>
      <c r="BF5" s="1370"/>
      <c r="BG5" s="1370"/>
      <c r="BH5" s="1371"/>
      <c r="BI5" s="1371"/>
      <c r="BJ5" s="1371"/>
      <c r="BK5" s="1371"/>
      <c r="BL5" s="1297"/>
      <c r="BM5" s="1339"/>
      <c r="BN5" s="1339"/>
      <c r="BO5" s="1339"/>
      <c r="BP5" s="1339"/>
      <c r="BQ5" s="1339"/>
      <c r="BR5" s="1339"/>
      <c r="BS5" s="1339"/>
      <c r="BT5" s="1339"/>
      <c r="BU5" s="1339"/>
      <c r="BV5" s="1339"/>
      <c r="BW5" s="1339"/>
      <c r="BX5" s="1339"/>
      <c r="BY5" s="1297"/>
      <c r="BZ5" s="1372"/>
      <c r="CA5" s="1372"/>
      <c r="CB5" s="1372"/>
      <c r="CC5" s="1372"/>
      <c r="CD5" s="1372"/>
      <c r="CE5" s="1372"/>
      <c r="CF5" s="1372"/>
      <c r="CG5" s="1372"/>
      <c r="CH5" s="1372"/>
      <c r="CI5" s="1372"/>
      <c r="CJ5" s="1372"/>
      <c r="CK5" s="1372"/>
      <c r="CL5" s="1339"/>
      <c r="CM5" s="1339"/>
      <c r="CN5" s="1339"/>
      <c r="CO5" s="1339"/>
      <c r="CP5" s="1339"/>
      <c r="CQ5" s="1339"/>
      <c r="CR5" s="1339"/>
      <c r="CS5" s="1297"/>
      <c r="CT5" s="1297"/>
      <c r="CU5" s="1339"/>
      <c r="CV5" s="1339"/>
      <c r="CW5" s="1339"/>
      <c r="CX5" s="1339"/>
      <c r="CY5" s="1339"/>
      <c r="CZ5" s="1339"/>
      <c r="DA5" s="1339"/>
      <c r="DB5" s="1339"/>
      <c r="DC5" s="1339"/>
      <c r="DD5" s="1339"/>
      <c r="DE5" s="1339"/>
      <c r="DF5" s="1339"/>
      <c r="DG5" s="1297"/>
      <c r="DH5" s="1373"/>
      <c r="DI5" s="1373"/>
      <c r="DJ5" s="1373"/>
      <c r="DK5" s="1373"/>
      <c r="DL5" s="1373"/>
      <c r="DM5" s="1373"/>
      <c r="DN5" s="1373"/>
      <c r="DO5" s="1373"/>
      <c r="DP5" s="1373"/>
      <c r="DQ5" s="1373"/>
      <c r="DR5" s="1373"/>
      <c r="DS5" s="1373"/>
      <c r="DT5" s="1321"/>
      <c r="DU5" s="1375"/>
      <c r="DV5" s="1375"/>
      <c r="DW5" s="1375"/>
      <c r="DX5" s="1375"/>
      <c r="DY5" s="1375"/>
      <c r="DZ5" s="1375"/>
      <c r="EA5" s="1375"/>
      <c r="EB5" s="1375"/>
    </row>
    <row r="6" customFormat="false" ht="415.65" hidden="false" customHeight="false" outlineLevel="0" collapsed="false">
      <c r="A6" s="1376"/>
      <c r="B6" s="1377"/>
      <c r="C6" s="1376"/>
      <c r="D6" s="1378"/>
      <c r="E6" s="1379"/>
      <c r="F6" s="1380"/>
      <c r="G6" s="1381" t="s">
        <v>976</v>
      </c>
      <c r="H6" s="1382"/>
      <c r="I6" s="1383"/>
      <c r="J6" s="1384" t="n">
        <v>1</v>
      </c>
      <c r="K6" s="1384" t="n">
        <v>0</v>
      </c>
      <c r="L6" s="1384" t="n">
        <v>1</v>
      </c>
      <c r="M6" s="1384" t="n">
        <v>0</v>
      </c>
      <c r="N6" s="1360"/>
      <c r="O6" s="1385"/>
      <c r="P6" s="1386"/>
      <c r="Q6" s="1386"/>
      <c r="R6" s="1386"/>
      <c r="S6" s="1386"/>
      <c r="T6" s="1386"/>
      <c r="U6" s="1387"/>
      <c r="V6" s="1388"/>
      <c r="W6" s="1389"/>
      <c r="X6" s="1389"/>
      <c r="Y6" s="1389"/>
      <c r="Z6" s="1389"/>
      <c r="AA6" s="1389"/>
      <c r="AB6" s="1390"/>
      <c r="AC6" s="1391"/>
      <c r="AD6" s="1384" t="n">
        <v>1</v>
      </c>
      <c r="AE6" s="1384" t="n">
        <v>0</v>
      </c>
      <c r="AF6" s="1384" t="n">
        <v>1</v>
      </c>
      <c r="AG6" s="1384" t="n">
        <v>0</v>
      </c>
      <c r="AH6" s="1384"/>
      <c r="AI6" s="1392"/>
      <c r="AJ6" s="1384"/>
      <c r="AK6" s="1384"/>
      <c r="AL6" s="1393"/>
      <c r="AM6" s="1384"/>
      <c r="AN6" s="1384"/>
      <c r="AO6" s="1394"/>
      <c r="AP6" s="1395" t="s">
        <v>96</v>
      </c>
      <c r="AQ6" s="1376"/>
      <c r="AR6" s="1396" t="s">
        <v>977</v>
      </c>
      <c r="AS6" s="1397"/>
      <c r="AT6" s="1398" t="s">
        <v>447</v>
      </c>
      <c r="AU6" s="1399" t="s">
        <v>448</v>
      </c>
      <c r="AV6" s="1399" t="s">
        <v>449</v>
      </c>
      <c r="AW6" s="1400" t="s">
        <v>450</v>
      </c>
      <c r="AX6" s="1400" t="s">
        <v>451</v>
      </c>
      <c r="AY6" s="1397" t="n">
        <v>2</v>
      </c>
      <c r="AZ6" s="1401"/>
      <c r="BA6" s="1401"/>
      <c r="BB6" s="1401" t="n">
        <v>4</v>
      </c>
      <c r="BC6" s="1401" t="n">
        <v>5</v>
      </c>
      <c r="BD6" s="1401" t="n">
        <v>6</v>
      </c>
      <c r="BE6" s="1401" t="n">
        <v>7</v>
      </c>
      <c r="BF6" s="1401" t="n">
        <v>8</v>
      </c>
      <c r="BG6" s="1401" t="n">
        <v>9</v>
      </c>
      <c r="BH6" s="1401"/>
      <c r="BI6" s="1401"/>
      <c r="BJ6" s="1401"/>
      <c r="BK6" s="1401"/>
      <c r="BL6" s="1376"/>
      <c r="BM6" s="1380"/>
      <c r="BN6" s="1380"/>
      <c r="BO6" s="1402"/>
      <c r="BP6" s="1402"/>
      <c r="BQ6" s="1402"/>
      <c r="BR6" s="1402"/>
      <c r="BS6" s="1380"/>
      <c r="BT6" s="1380"/>
      <c r="BU6" s="1380"/>
      <c r="BV6" s="1380"/>
      <c r="BW6" s="1380"/>
      <c r="BX6" s="1380"/>
      <c r="BY6" s="1376"/>
      <c r="BZ6" s="1403"/>
      <c r="CA6" s="1403"/>
      <c r="CB6" s="1404"/>
      <c r="CC6" s="1404"/>
      <c r="CD6" s="1404"/>
      <c r="CE6" s="1404"/>
      <c r="CF6" s="1403"/>
      <c r="CG6" s="1403"/>
      <c r="CH6" s="1403"/>
      <c r="CI6" s="1403"/>
      <c r="CJ6" s="1403"/>
      <c r="CK6" s="1403"/>
      <c r="CL6" s="1376"/>
      <c r="CM6" s="1376"/>
      <c r="CN6" s="1376"/>
      <c r="CO6" s="1376"/>
      <c r="CP6" s="1376"/>
      <c r="CQ6" s="1376"/>
      <c r="CR6" s="1376"/>
      <c r="CS6" s="1376"/>
      <c r="CT6" s="1376"/>
      <c r="CU6" s="1380"/>
      <c r="CV6" s="1380"/>
      <c r="CW6" s="1402"/>
      <c r="CX6" s="1402"/>
      <c r="CY6" s="1402"/>
      <c r="CZ6" s="1402"/>
      <c r="DA6" s="1380"/>
      <c r="DB6" s="1380"/>
      <c r="DC6" s="1380"/>
      <c r="DD6" s="1380"/>
      <c r="DE6" s="1380"/>
      <c r="DF6" s="1380"/>
      <c r="DG6" s="1376"/>
      <c r="DH6" s="1405"/>
      <c r="DI6" s="1405"/>
      <c r="DJ6" s="1406"/>
      <c r="DK6" s="1406"/>
      <c r="DL6" s="1406"/>
      <c r="DM6" s="1406"/>
      <c r="DN6" s="1405"/>
      <c r="DO6" s="1405"/>
      <c r="DP6" s="1405"/>
      <c r="DQ6" s="1405"/>
      <c r="DR6" s="1405"/>
      <c r="DS6" s="1405"/>
      <c r="DT6" s="1407"/>
      <c r="DU6" s="1408"/>
      <c r="DV6" s="1408"/>
      <c r="DW6" s="1408"/>
      <c r="DX6" s="1408"/>
      <c r="DY6" s="1408"/>
      <c r="DZ6" s="1408"/>
      <c r="EA6" s="1408"/>
      <c r="EB6" s="1408"/>
    </row>
    <row r="7" customFormat="false" ht="14.25" hidden="false" customHeight="false" outlineLevel="0" collapsed="false">
      <c r="A7" s="2" t="n">
        <f aca="false">'V_DATOS PAC_SGA'!R2</f>
        <v>0</v>
      </c>
      <c r="B7" s="2" t="n">
        <f aca="false">IF(I7="IV",CONCATENATE('V_DATOS PAC_SGA'!R2,"4")+0,CONCATENATE('V_DATOS PAC_SGA'!R2,"0")+0)</f>
        <v>0</v>
      </c>
      <c r="C7" s="2" t="n">
        <f aca="false">'V_DATOS PAC_SGA'!S2</f>
        <v>0</v>
      </c>
      <c r="D7" s="1409" t="n">
        <f aca="false">'V_DATOS PAC_SGA'!Y2</f>
        <v>0</v>
      </c>
      <c r="E7" s="1410" t="str">
        <f aca="false">IF('V_DATOS PAC_SGA'!AV2="","Regadio",'V_DATOS PAC_SGA'!AV2)</f>
        <v>Regadio</v>
      </c>
      <c r="F7" s="1411" t="n">
        <f aca="false">'V_DATOS PAC_SGA'!BK2</f>
        <v>0</v>
      </c>
      <c r="G7" s="1412" t="n">
        <f aca="false">'V_DATOS PAC_SGA'!AN2</f>
        <v>0</v>
      </c>
      <c r="H7" s="1413" t="str">
        <f aca="false">IF(B7&gt;0,VLOOKUP(B7,'O_MN, PE_UTA_UGM 2024'!E$3:O$419,10),"")</f>
        <v/>
      </c>
      <c r="I7" s="1359" t="n">
        <f aca="false">'V_DATOS PAC_SGA'!BV2</f>
        <v>0</v>
      </c>
      <c r="J7" s="2" t="str">
        <f aca="false">IF(AND(J$4=$G7,J$6=$F7),$D7*J$5,"")</f>
        <v/>
      </c>
      <c r="K7" s="2" t="str">
        <f aca="false">IF(AND(K$4=$G7,K$6=$F7),$D7*K$5,"")</f>
        <v/>
      </c>
      <c r="L7" s="2" t="str">
        <f aca="false">IF(AND(L$4=$G7,L$6=$F7),$D7*L$5,"")</f>
        <v/>
      </c>
      <c r="M7" s="2" t="str">
        <f aca="false">IF(AND(M$4=$G7,M$6=$F7),$D7*M$5,"")</f>
        <v/>
      </c>
      <c r="N7" s="1414" t="n">
        <f aca="false">VLOOKUP(B7,'O_MN, PE_UTA_UGM 2024'!$E$2:$K$419,IF(G7&gt;1,6,7))</f>
        <v>0</v>
      </c>
      <c r="O7" s="1415" t="str">
        <f aca="false">IF($H7=O$4,$D7*$N7,"")</f>
        <v/>
      </c>
      <c r="P7" s="1416" t="str">
        <f aca="false">IF($H7=P$4,$D7*$N7,"")</f>
        <v/>
      </c>
      <c r="Q7" s="1416" t="str">
        <f aca="false">IF($H7=Q$4,$D7*$N7,"")</f>
        <v/>
      </c>
      <c r="R7" s="1416" t="str">
        <f aca="false">IF($H7=R$4,$D7*$N7,"")</f>
        <v/>
      </c>
      <c r="S7" s="1416" t="str">
        <f aca="false">IF($H7=S$4,$D7*$N7,"")</f>
        <v/>
      </c>
      <c r="T7" s="1416" t="str">
        <f aca="false">IF($H7=T$4,$D7*$N7,"")</f>
        <v/>
      </c>
      <c r="U7" s="1417" t="str">
        <f aca="false">IF($H7=U$4,$D7*$N7,"")</f>
        <v/>
      </c>
      <c r="V7" s="1418" t="n">
        <f aca="false">SUM(O:O)-V$4</f>
        <v>0</v>
      </c>
      <c r="W7" s="1419" t="n">
        <f aca="false">SUM(P:P)-W$4</f>
        <v>0</v>
      </c>
      <c r="X7" s="1419" t="n">
        <f aca="false">SUM(Q:Q)-X$4</f>
        <v>0</v>
      </c>
      <c r="Y7" s="1419" t="n">
        <f aca="false">SUM(R:R)-Y$4</f>
        <v>0</v>
      </c>
      <c r="Z7" s="1419" t="n">
        <f aca="false">SUM(S:S)-Z$4</f>
        <v>0</v>
      </c>
      <c r="AA7" s="1419" t="n">
        <f aca="false">SUM(T:T)-AA$4</f>
        <v>0</v>
      </c>
      <c r="AB7" s="1420" t="n">
        <f aca="false">SUM(U:U)-AB$4</f>
        <v>0</v>
      </c>
      <c r="AC7" s="1319"/>
      <c r="AD7" s="2" t="str">
        <f aca="false">IF(AND(AD$4=$G7,AD$6=$F7),$B7,"")</f>
        <v/>
      </c>
      <c r="AE7" s="2" t="str">
        <f aca="false">IF(AND(AE$4=$G7,AE$6=$F7),$B7,"")</f>
        <v/>
      </c>
      <c r="AF7" s="2" t="str">
        <f aca="false">IF(AND(AF$4=$G7,AF$6=$F7),$B7,"")</f>
        <v/>
      </c>
      <c r="AG7" s="2" t="str">
        <f aca="false">IF(AND(AG$4=$G7,AG$6=$F7),$B7,"")</f>
        <v/>
      </c>
      <c r="AI7" s="366" t="n">
        <f aca="false">SUM(J:J)-(J4+J6+J5)</f>
        <v>0</v>
      </c>
      <c r="AJ7" s="2" t="n">
        <f aca="false">SUM(K:K)-(K4+K6+K5)</f>
        <v>0</v>
      </c>
      <c r="AK7" s="2" t="n">
        <f aca="false">SUM(L:L)-(L4+L6+L5)</f>
        <v>0</v>
      </c>
      <c r="AL7" s="367" t="n">
        <f aca="false">SUM(M:M)-(M4+M6+M5)</f>
        <v>0</v>
      </c>
      <c r="AM7" s="872" t="n">
        <f aca="false">SUM(O7:O505)</f>
        <v>0</v>
      </c>
      <c r="AN7" s="2" t="n">
        <v>1</v>
      </c>
      <c r="AO7" s="367" t="s">
        <v>59</v>
      </c>
      <c r="AP7" s="2" t="str">
        <f aca="false">IF(AT7&gt;0,RANK(AT7,AT$7:AT$423),"")</f>
        <v/>
      </c>
      <c r="AQ7" s="2" t="n">
        <f aca="false">'O_MN, PE_UTA_UGM 2024'!C3</f>
        <v>1</v>
      </c>
      <c r="AR7" s="1421" t="n">
        <v>10</v>
      </c>
      <c r="AS7" s="2" t="str">
        <f aca="false">IF(AY7&lt;&gt;"",AY7,"")</f>
        <v/>
      </c>
      <c r="AT7" s="1422" t="n">
        <f aca="false">IF(ISNUMBER($AR7),SUMIF(B$7:B$505,AR7,D$7:D$505),"")</f>
        <v>0</v>
      </c>
      <c r="AU7" s="1411" t="n">
        <f aca="false">IF(ISNUMBER($AR7),SUMIF(AD$7:AD$503,$AR7,J$7:J$503),"")</f>
        <v>0</v>
      </c>
      <c r="AV7" s="1411" t="n">
        <f aca="false">IF(ISNUMBER($AR7),SUMIF(AF$7:AF$503,$AR7,L$7:L$503),"")</f>
        <v>0</v>
      </c>
      <c r="AW7" s="1423" t="n">
        <f aca="false">IF(ISNUMBER($AR7),SUMIF(AE$7:AE$503,$AR7,K$7:K$503),"")</f>
        <v>0</v>
      </c>
      <c r="AX7" s="1423" t="n">
        <f aca="false">IF(ISNUMBER($AR7),SUMIF(AG$7:AG$503,$AR7,M$7:M$503),"")</f>
        <v>0</v>
      </c>
      <c r="AY7" s="2" t="str">
        <f aca="false">IF($AT7&gt;0,VLOOKUP($AR7,'O_MN, PE_UTA_UGM 2024'!E3:O419,2),"")</f>
        <v/>
      </c>
      <c r="AZ7" s="1424"/>
      <c r="BA7" s="1424"/>
      <c r="BB7" s="1424" t="str">
        <f aca="false">IF($AT7&gt;0,VLOOKUP($AR7,'O_MN, PE_UTA_UGM 2024'!$E$3:$O$419,BB$6),"")</f>
        <v/>
      </c>
      <c r="BC7" s="1424" t="str">
        <f aca="false">IF($AT7&gt;0,VLOOKUP($AR7,'O_MN, PE_UTA_UGM 2024'!$E$3:$O$419,BC$6),"")</f>
        <v/>
      </c>
      <c r="BD7" s="1424" t="str">
        <f aca="false">IF($AT7&gt;0,VLOOKUP($AR7,'O_MN, PE_UTA_UGM 2024'!$E$3:$O$419,BD$6),"")</f>
        <v/>
      </c>
      <c r="BE7" s="1424" t="str">
        <f aca="false">IF($AT7&gt;0,VLOOKUP($AR7,'O_MN, PE_UTA_UGM 2024'!$E$3:$O$419,BE$6),"")</f>
        <v/>
      </c>
      <c r="BF7" s="1424" t="str">
        <f aca="false">IF($AT7&gt;0,VLOOKUP($AR7,'O_MN, PE_UTA_UGM 2024'!$E$3:$O$419,BF$6),"")</f>
        <v/>
      </c>
      <c r="BG7" s="1424" t="str">
        <f aca="false">IF($AT7&gt;0,VLOOKUP($AR7,'O_MN, PE_UTA_UGM 2024'!$E$3:$O$419,BG$6),"")</f>
        <v/>
      </c>
      <c r="BH7" s="872"/>
      <c r="BI7" s="872"/>
      <c r="BJ7" s="872"/>
      <c r="BK7" s="872"/>
      <c r="BM7" s="1411"/>
      <c r="BN7" s="1411"/>
      <c r="BO7" s="1425" t="str">
        <f aca="false">IF(ISNUMBER($AU7*BB7*1),$AU7*BB7*1,"")</f>
        <v/>
      </c>
      <c r="BP7" s="1425" t="str">
        <f aca="false">IF(ISNUMBER($AV7*BC7*1),$AV7*BC7*1,"")</f>
        <v/>
      </c>
      <c r="BQ7" s="1425" t="str">
        <f aca="false">IF(ISNUMBER($AU7*BD7*1),$AU7*BD7*1,"")</f>
        <v/>
      </c>
      <c r="BR7" s="1425" t="str">
        <f aca="false">IF(ISNUMBER($AV7*BE7*1),$AV7*BE7*1,"")</f>
        <v/>
      </c>
      <c r="BS7" s="1411" t="str">
        <f aca="false">IF(ISNUMBER($AU7*BF7),$AU7*BF7,"")</f>
        <v/>
      </c>
      <c r="BT7" s="1411" t="str">
        <f aca="false">IF(ISNUMBER($AV7*BG7),$AV7*BG7,"")</f>
        <v/>
      </c>
      <c r="BU7" s="1411"/>
      <c r="BV7" s="1411"/>
      <c r="BW7" s="1411"/>
      <c r="BX7" s="1411"/>
      <c r="BZ7" s="1372"/>
      <c r="CA7" s="1372"/>
      <c r="CB7" s="1426" t="str">
        <f aca="false">IF(ISNUMBER($AW7*BB7),$AW7*BB7,"")</f>
        <v/>
      </c>
      <c r="CC7" s="1426" t="str">
        <f aca="false">IF(ISNUMBER($AX7*BC7),$AX7*BC7,"")</f>
        <v/>
      </c>
      <c r="CD7" s="1426" t="str">
        <f aca="false">IF(ISNUMBER($AW7*BD7),$AW7*BD7,"")</f>
        <v/>
      </c>
      <c r="CE7" s="1426" t="str">
        <f aca="false">IF(ISNUMBER($AX7*BE7),$AX7*BE7,"")</f>
        <v/>
      </c>
      <c r="CF7" s="1372" t="str">
        <f aca="false">IF(ISNUMBER($AW7*BF7),$AW7*BF7,"")</f>
        <v/>
      </c>
      <c r="CG7" s="1372" t="str">
        <f aca="false">IF(ISNUMBER($AX7*BG7),$AX7*BG7,"")</f>
        <v/>
      </c>
      <c r="CH7" s="1372"/>
      <c r="CI7" s="1372"/>
      <c r="CJ7" s="1372"/>
      <c r="CK7" s="1372"/>
      <c r="CL7" s="1339"/>
      <c r="CM7" s="1339"/>
      <c r="CN7" s="1339"/>
      <c r="CO7" s="1339"/>
      <c r="CP7" s="1339"/>
      <c r="CQ7" s="1339"/>
      <c r="CR7" s="1339"/>
      <c r="CU7" s="1427"/>
      <c r="CV7" s="1428"/>
      <c r="CW7" s="1428" t="n">
        <f aca="false">SUM(BO$7:BO$423)</f>
        <v>0</v>
      </c>
      <c r="CX7" s="1428" t="n">
        <f aca="false">SUM(BP$7:BP$423)</f>
        <v>0</v>
      </c>
      <c r="CY7" s="1428" t="n">
        <f aca="false">SUM(BQ$7:BQ$423)</f>
        <v>0</v>
      </c>
      <c r="CZ7" s="1428" t="n">
        <f aca="false">SUM(BR$7:BR$423)</f>
        <v>0</v>
      </c>
      <c r="DA7" s="1428" t="n">
        <f aca="false">SUM(BS$7:BS$423)</f>
        <v>0</v>
      </c>
      <c r="DB7" s="1428" t="n">
        <f aca="false">SUM(BT$7:BT$423)</f>
        <v>0</v>
      </c>
      <c r="DC7" s="1428"/>
      <c r="DD7" s="1428"/>
      <c r="DE7" s="1428"/>
      <c r="DF7" s="1429"/>
      <c r="DG7" s="1430"/>
      <c r="DH7" s="1431"/>
      <c r="DI7" s="1431"/>
      <c r="DJ7" s="1431" t="n">
        <f aca="false">SUM(CB$7:CB$423)</f>
        <v>0</v>
      </c>
      <c r="DK7" s="1431" t="n">
        <f aca="false">SUM(CC$7:CC$423)</f>
        <v>0</v>
      </c>
      <c r="DL7" s="1431" t="n">
        <f aca="false">SUM(CD$7:CD$423)</f>
        <v>0</v>
      </c>
      <c r="DM7" s="1431" t="n">
        <f aca="false">SUM(CE$7:CE$423)</f>
        <v>0</v>
      </c>
      <c r="DN7" s="1432" t="n">
        <f aca="false">SUM(CF$7:CF$423)</f>
        <v>0</v>
      </c>
      <c r="DO7" s="1432" t="n">
        <f aca="false">SUM(CG$7:CG$423)</f>
        <v>0</v>
      </c>
      <c r="DP7" s="1432"/>
      <c r="DQ7" s="1432"/>
      <c r="DR7" s="1432"/>
      <c r="DS7" s="1432"/>
      <c r="DT7" s="1316"/>
      <c r="DU7" s="1433"/>
      <c r="DV7" s="1433"/>
      <c r="DW7" s="1433" t="n">
        <f aca="false">CW7+DJ7</f>
        <v>0</v>
      </c>
      <c r="DX7" s="1433" t="n">
        <f aca="false">CX7+DK7</f>
        <v>0</v>
      </c>
      <c r="DY7" s="1433" t="n">
        <f aca="false">CY7+DL7</f>
        <v>0</v>
      </c>
      <c r="DZ7" s="1433" t="n">
        <f aca="false">CZ7+DM7</f>
        <v>0</v>
      </c>
      <c r="EA7" s="1433" t="n">
        <f aca="false">DA7+DN7</f>
        <v>0</v>
      </c>
      <c r="EB7" s="1433" t="n">
        <f aca="false">DB7+DO7</f>
        <v>0</v>
      </c>
    </row>
    <row r="8" customFormat="false" ht="14.25" hidden="false" customHeight="false" outlineLevel="0" collapsed="false">
      <c r="A8" s="2" t="n">
        <f aca="false">'V_DATOS PAC_SGA'!R3</f>
        <v>0</v>
      </c>
      <c r="B8" s="2" t="n">
        <f aca="false">IF(I8="IV",CONCATENATE('V_DATOS PAC_SGA'!R3,"4")+0,CONCATENATE('V_DATOS PAC_SGA'!R3,"0")+0)</f>
        <v>0</v>
      </c>
      <c r="C8" s="2" t="n">
        <f aca="false">'V_DATOS PAC_SGA'!S3</f>
        <v>0</v>
      </c>
      <c r="D8" s="1409" t="n">
        <f aca="false">'V_DATOS PAC_SGA'!Y3</f>
        <v>0</v>
      </c>
      <c r="E8" s="1410" t="str">
        <f aca="false">IF('V_DATOS PAC_SGA'!AV3="","Regadio",'V_DATOS PAC_SGA'!AV3)</f>
        <v>Regadio</v>
      </c>
      <c r="F8" s="1411" t="n">
        <f aca="false">'V_DATOS PAC_SGA'!BK3</f>
        <v>0</v>
      </c>
      <c r="G8" s="1412" t="n">
        <f aca="false">'V_DATOS PAC_SGA'!AN3</f>
        <v>0</v>
      </c>
      <c r="H8" s="1413" t="str">
        <f aca="false">IF(B8&gt;0,VLOOKUP(B8,'O_MN, PE_UTA_UGM 2024'!E$3:O$419,10),"")</f>
        <v/>
      </c>
      <c r="I8" s="1359" t="n">
        <f aca="false">'V_DATOS PAC_SGA'!BV3</f>
        <v>0</v>
      </c>
      <c r="J8" s="2" t="str">
        <f aca="false">IF(AND(J$4=$G8,J$6=$F8),$D8*J$5,"")</f>
        <v/>
      </c>
      <c r="K8" s="2" t="str">
        <f aca="false">IF(AND(K$4=$G8,K$6=$F8),$D8*K$5,"")</f>
        <v/>
      </c>
      <c r="L8" s="2" t="str">
        <f aca="false">IF(AND(L$4=$G8,L$6=$F8),$D8*L$5,"")</f>
        <v/>
      </c>
      <c r="M8" s="2" t="str">
        <f aca="false">IF(AND(M$4=$G8,M$6=$F8),$D8*M$5,"")</f>
        <v/>
      </c>
      <c r="N8" s="1414" t="n">
        <f aca="false">VLOOKUP(B8,'O_MN, PE_UTA_UGM 2024'!$E$2:$K$419,IF(G8&gt;1,6,7))</f>
        <v>0</v>
      </c>
      <c r="O8" s="1434" t="str">
        <f aca="false">IF($H8=O$4,$D8*$N8,"")</f>
        <v/>
      </c>
      <c r="P8" s="1435" t="str">
        <f aca="false">IF($H8=P$4,$D8*$N8,"")</f>
        <v/>
      </c>
      <c r="Q8" s="1435" t="str">
        <f aca="false">IF($H8=Q$4,$D8*$N8,"")</f>
        <v/>
      </c>
      <c r="R8" s="1435" t="str">
        <f aca="false">IF($H8=R$4,$D8*$N8,"")</f>
        <v/>
      </c>
      <c r="S8" s="1435" t="str">
        <f aca="false">IF($H8=S$4,$D8*$N8,"")</f>
        <v/>
      </c>
      <c r="T8" s="1435" t="str">
        <f aca="false">IF($H8=T$4,$D8*$N8,"")</f>
        <v/>
      </c>
      <c r="U8" s="1436" t="str">
        <f aca="false">IF($H8=U$4,$D8*$N8,"")</f>
        <v/>
      </c>
      <c r="V8" s="1418"/>
      <c r="W8" s="1419"/>
      <c r="X8" s="1419"/>
      <c r="Y8" s="1419"/>
      <c r="Z8" s="1419"/>
      <c r="AA8" s="1419"/>
      <c r="AB8" s="1420"/>
      <c r="AC8" s="1319"/>
      <c r="AD8" s="2" t="str">
        <f aca="false">IF(AND(AD$4=$G8,AD$6=$F8),$B8,"")</f>
        <v/>
      </c>
      <c r="AE8" s="2" t="str">
        <f aca="false">IF(AND(AE$4=$G8,AE$6=$F8),$B8,"")</f>
        <v/>
      </c>
      <c r="AF8" s="2" t="str">
        <f aca="false">IF(AND(AF$4=$G8,AF$6=$F8),$B8,"")</f>
        <v/>
      </c>
      <c r="AG8" s="2" t="str">
        <f aca="false">IF(AND(AG$4=$G8,AG$6=$F8),$B8,"")</f>
        <v/>
      </c>
      <c r="AI8" s="366"/>
      <c r="AL8" s="367"/>
      <c r="AM8" s="872" t="n">
        <f aca="false">SUM(P7:P505)</f>
        <v>0</v>
      </c>
      <c r="AN8" s="2" t="n">
        <v>2</v>
      </c>
      <c r="AO8" s="367" t="s">
        <v>60</v>
      </c>
      <c r="AP8" s="2" t="str">
        <f aca="false">IF(AT8&gt;0,RANK(AT8,AT$7:AT$423),"")</f>
        <v/>
      </c>
      <c r="AQ8" s="2" t="n">
        <f aca="false">'O_MN, PE_UTA_UGM 2024'!C4</f>
        <v>2</v>
      </c>
      <c r="AR8" s="1421" t="n">
        <v>20</v>
      </c>
      <c r="AS8" s="2" t="str">
        <f aca="false">IF(AY8&lt;&gt;"",AY8,"")</f>
        <v/>
      </c>
      <c r="AT8" s="1422" t="n">
        <f aca="false">IF(ISNUMBER($AR8),SUMIF(B$7:B$505,AR8,D$7:D$505),"")</f>
        <v>0</v>
      </c>
      <c r="AU8" s="1411" t="n">
        <f aca="false">IF(ISNUMBER($AR8),SUMIF(AD$7:AD$503,$AR8,J$7:J$503),"")</f>
        <v>0</v>
      </c>
      <c r="AV8" s="1411" t="n">
        <f aca="false">IF(ISNUMBER($AR8),SUMIF(AF$7:AF$503,$AR8,L$7:L$503),"")</f>
        <v>0</v>
      </c>
      <c r="AW8" s="1423" t="n">
        <f aca="false">IF(ISNUMBER($AR8),SUMIF(AE$7:AE$503,$AR8,K$7:K$503),"")</f>
        <v>0</v>
      </c>
      <c r="AX8" s="1423" t="n">
        <f aca="false">IF(ISNUMBER($AR8),SUMIF(AG$7:AG$503,$AR8,M$7:M$503),"")</f>
        <v>0</v>
      </c>
      <c r="AY8" s="2" t="str">
        <f aca="false">IF($AT8&gt;0,VLOOKUP($AR8,'O_MN, PE_UTA_UGM 2024'!E4:O420,2),"")</f>
        <v/>
      </c>
      <c r="AZ8" s="1424"/>
      <c r="BA8" s="1424"/>
      <c r="BB8" s="1424" t="str">
        <f aca="false">IF($AT8&gt;0,VLOOKUP($AR8,'O_MN, PE_UTA_UGM 2024'!$E$3:$O$419,BB$6),"")</f>
        <v/>
      </c>
      <c r="BC8" s="1424" t="str">
        <f aca="false">IF($AT8&gt;0,VLOOKUP($AR8,'O_MN, PE_UTA_UGM 2024'!$E$3:$O$419,BC$6),"")</f>
        <v/>
      </c>
      <c r="BD8" s="1424" t="str">
        <f aca="false">IF($AT8&gt;0,VLOOKUP($AR8,'O_MN, PE_UTA_UGM 2024'!$E$3:$O$419,BD$6),"")</f>
        <v/>
      </c>
      <c r="BE8" s="1424" t="str">
        <f aca="false">IF($AT8&gt;0,VLOOKUP($AR8,'O_MN, PE_UTA_UGM 2024'!$E$3:$O$419,BE$6),"")</f>
        <v/>
      </c>
      <c r="BF8" s="1424" t="str">
        <f aca="false">IF($AT8&gt;0,VLOOKUP($AR8,'O_MN, PE_UTA_UGM 2024'!$E$3:$O$419,BF$6),"")</f>
        <v/>
      </c>
      <c r="BG8" s="1424" t="str">
        <f aca="false">IF($AT8&gt;0,VLOOKUP($AR8,'O_MN, PE_UTA_UGM 2024'!$E$3:$O$419,BG$6),"")</f>
        <v/>
      </c>
      <c r="BH8" s="872"/>
      <c r="BI8" s="872"/>
      <c r="BJ8" s="872"/>
      <c r="BK8" s="872"/>
      <c r="BM8" s="1411"/>
      <c r="BN8" s="1411"/>
      <c r="BO8" s="1425" t="str">
        <f aca="false">IF(ISNUMBER($AU8*BB8*1),$AU8*BB8*1,"")</f>
        <v/>
      </c>
      <c r="BP8" s="1425" t="str">
        <f aca="false">IF(ISNUMBER($AV8*BC8*1),$AV8*BC8*1,"")</f>
        <v/>
      </c>
      <c r="BQ8" s="1425" t="str">
        <f aca="false">IF(ISNUMBER($AU8*BD8*1),$AU8*BD8*1,"")</f>
        <v/>
      </c>
      <c r="BR8" s="1425" t="str">
        <f aca="false">IF(ISNUMBER($AV8*BE8*1),$AV8*BE8*1,"")</f>
        <v/>
      </c>
      <c r="BS8" s="1411" t="str">
        <f aca="false">IF(ISNUMBER($AU8*BF8),$AU8*BF8,"")</f>
        <v/>
      </c>
      <c r="BT8" s="1411" t="str">
        <f aca="false">IF(ISNUMBER($AV8*BG8),$AV8*BG8,"")</f>
        <v/>
      </c>
      <c r="BU8" s="1411"/>
      <c r="BV8" s="1411"/>
      <c r="BW8" s="1411"/>
      <c r="BX8" s="1411"/>
      <c r="BZ8" s="1372"/>
      <c r="CA8" s="1372"/>
      <c r="CB8" s="1426" t="str">
        <f aca="false">IF(ISNUMBER($AW8*BB8),$AW8*BB8,"")</f>
        <v/>
      </c>
      <c r="CC8" s="1426" t="str">
        <f aca="false">IF(ISNUMBER($AX8*BC8),$AX8*BC8,"")</f>
        <v/>
      </c>
      <c r="CD8" s="1426" t="str">
        <f aca="false">IF(ISNUMBER($AW8*BD8),$AW8*BD8,"")</f>
        <v/>
      </c>
      <c r="CE8" s="1426" t="str">
        <f aca="false">IF(ISNUMBER($AX8*BE8),$AX8*BE8,"")</f>
        <v/>
      </c>
      <c r="CF8" s="1372" t="str">
        <f aca="false">IF(ISNUMBER($AW8*BF8),$AW8*BF8,"")</f>
        <v/>
      </c>
      <c r="CG8" s="1372" t="str">
        <f aca="false">IF(ISNUMBER($AX8*BG8),$AX8*BG8,"")</f>
        <v/>
      </c>
      <c r="CH8" s="1372"/>
      <c r="CI8" s="1372"/>
      <c r="CJ8" s="1372"/>
      <c r="CK8" s="1372"/>
      <c r="CL8" s="1339"/>
      <c r="CM8" s="1339"/>
      <c r="CN8" s="1339"/>
      <c r="CO8" s="1339"/>
      <c r="CP8" s="1339"/>
      <c r="CQ8" s="1339"/>
      <c r="CR8" s="1339"/>
      <c r="CU8" s="1411"/>
      <c r="CV8" s="1411"/>
      <c r="CW8" s="1425"/>
      <c r="CX8" s="1425"/>
      <c r="CY8" s="1425"/>
      <c r="CZ8" s="1425"/>
      <c r="DA8" s="1411"/>
      <c r="DB8" s="1411"/>
      <c r="DC8" s="1411"/>
      <c r="DD8" s="1411"/>
      <c r="DE8" s="1411"/>
      <c r="DF8" s="1411"/>
      <c r="DH8" s="1432"/>
      <c r="DI8" s="1432"/>
      <c r="DJ8" s="1437"/>
      <c r="DK8" s="1437"/>
      <c r="DL8" s="1437"/>
      <c r="DM8" s="1437"/>
      <c r="DN8" s="1432"/>
      <c r="DO8" s="1432"/>
      <c r="DP8" s="1432"/>
      <c r="DQ8" s="1432"/>
      <c r="DR8" s="1432"/>
      <c r="DS8" s="1432"/>
      <c r="DT8" s="1316"/>
      <c r="DU8" s="1433"/>
      <c r="DV8" s="1433"/>
      <c r="DW8" s="1433"/>
      <c r="DX8" s="1433"/>
      <c r="DY8" s="1433"/>
      <c r="DZ8" s="1433"/>
      <c r="EA8" s="1433"/>
      <c r="EB8" s="1433"/>
    </row>
    <row r="9" customFormat="false" ht="14.25" hidden="false" customHeight="false" outlineLevel="0" collapsed="false">
      <c r="A9" s="2" t="n">
        <f aca="false">'V_DATOS PAC_SGA'!R4</f>
        <v>0</v>
      </c>
      <c r="B9" s="2" t="n">
        <f aca="false">IF(I9="IV",CONCATENATE('V_DATOS PAC_SGA'!R4,"4")+0,CONCATENATE('V_DATOS PAC_SGA'!R4,"0")+0)</f>
        <v>0</v>
      </c>
      <c r="C9" s="2" t="n">
        <f aca="false">'V_DATOS PAC_SGA'!S4</f>
        <v>0</v>
      </c>
      <c r="D9" s="1409" t="n">
        <f aca="false">'V_DATOS PAC_SGA'!Y4</f>
        <v>0</v>
      </c>
      <c r="E9" s="1410" t="str">
        <f aca="false">IF('V_DATOS PAC_SGA'!AV4="","Regadio",'V_DATOS PAC_SGA'!AV4)</f>
        <v>Regadio</v>
      </c>
      <c r="F9" s="1411" t="n">
        <f aca="false">'V_DATOS PAC_SGA'!BK4</f>
        <v>0</v>
      </c>
      <c r="G9" s="1412" t="n">
        <f aca="false">'V_DATOS PAC_SGA'!AN4</f>
        <v>0</v>
      </c>
      <c r="H9" s="1413" t="str">
        <f aca="false">IF(B9&gt;0,VLOOKUP(B9,'O_MN, PE_UTA_UGM 2024'!E$3:O$419,10),"")</f>
        <v/>
      </c>
      <c r="I9" s="1359" t="n">
        <f aca="false">'V_DATOS PAC_SGA'!BV4</f>
        <v>0</v>
      </c>
      <c r="J9" s="2" t="str">
        <f aca="false">IF(AND(J$4=$G9,J$6=$F9),$D9*J$5,"")</f>
        <v/>
      </c>
      <c r="K9" s="2" t="str">
        <f aca="false">IF(AND(K$4=$G9,K$6=$F9),$D9*K$5,"")</f>
        <v/>
      </c>
      <c r="L9" s="2" t="str">
        <f aca="false">IF(AND(L$4=$G9,L$6=$F9),$D9*L$5,"")</f>
        <v/>
      </c>
      <c r="M9" s="2" t="str">
        <f aca="false">IF(AND(M$4=$G9,M$6=$F9),$D9*M$5,"")</f>
        <v/>
      </c>
      <c r="N9" s="1414" t="n">
        <f aca="false">VLOOKUP(B9,'O_MN, PE_UTA_UGM 2024'!$E$2:$K$419,IF(G9&gt;1,6,7))</f>
        <v>0</v>
      </c>
      <c r="O9" s="1434" t="str">
        <f aca="false">IF($H9=O$4,$D9*$N9,"")</f>
        <v/>
      </c>
      <c r="P9" s="1435" t="str">
        <f aca="false">IF($H9=P$4,$D9*$N9,"")</f>
        <v/>
      </c>
      <c r="Q9" s="1435" t="str">
        <f aca="false">IF($H9=Q$4,$D9*$N9,"")</f>
        <v/>
      </c>
      <c r="R9" s="1435" t="str">
        <f aca="false">IF($H9=R$4,$D9*$N9,"")</f>
        <v/>
      </c>
      <c r="S9" s="1435" t="str">
        <f aca="false">IF($H9=S$4,$D9*$N9,"")</f>
        <v/>
      </c>
      <c r="T9" s="1435" t="str">
        <f aca="false">IF($H9=T$4,$D9*$N9,"")</f>
        <v/>
      </c>
      <c r="U9" s="1436" t="str">
        <f aca="false">IF($H9=U$4,$D9*$N9,"")</f>
        <v/>
      </c>
      <c r="V9" s="1418"/>
      <c r="W9" s="1419"/>
      <c r="X9" s="1419"/>
      <c r="Y9" s="1419"/>
      <c r="Z9" s="1419"/>
      <c r="AA9" s="1419"/>
      <c r="AB9" s="1420"/>
      <c r="AC9" s="1319"/>
      <c r="AD9" s="2" t="str">
        <f aca="false">IF(AND(AD$4=$G9,AD$6=$F9),$B9,"")</f>
        <v/>
      </c>
      <c r="AE9" s="2" t="str">
        <f aca="false">IF(AND(AE$4=$G9,AE$6=$F9),$B9,"")</f>
        <v/>
      </c>
      <c r="AF9" s="2" t="str">
        <f aca="false">IF(AND(AF$4=$G9,AF$6=$F9),$B9,"")</f>
        <v/>
      </c>
      <c r="AG9" s="2" t="str">
        <f aca="false">IF(AND(AG$4=$G9,AG$6=$F9),$B9,"")</f>
        <v/>
      </c>
      <c r="AI9" s="366"/>
      <c r="AL9" s="367"/>
      <c r="AM9" s="872" t="n">
        <f aca="false">SUM(Q7:Q505)</f>
        <v>0</v>
      </c>
      <c r="AN9" s="2" t="n">
        <v>3</v>
      </c>
      <c r="AO9" s="367" t="s">
        <v>61</v>
      </c>
      <c r="AP9" s="2" t="str">
        <f aca="false">IF(AT9&gt;0,RANK(AT9,AT$7:AT$423),"")</f>
        <v/>
      </c>
      <c r="AQ9" s="2" t="n">
        <f aca="false">'O_MN, PE_UTA_UGM 2024'!C5</f>
        <v>3</v>
      </c>
      <c r="AR9" s="1421" t="n">
        <v>30</v>
      </c>
      <c r="AS9" s="2" t="str">
        <f aca="false">IF(AY9&lt;&gt;"",AY9,"")</f>
        <v/>
      </c>
      <c r="AT9" s="1422" t="n">
        <f aca="false">IF(ISNUMBER($AR9),SUMIF(B$7:B$505,AR9,D$7:D$505),"")</f>
        <v>0</v>
      </c>
      <c r="AU9" s="1411" t="n">
        <f aca="false">IF(ISNUMBER($AR9),SUMIF(AD$7:AD$503,$AR9,J$7:J$503),"")</f>
        <v>0</v>
      </c>
      <c r="AV9" s="1411" t="n">
        <f aca="false">IF(ISNUMBER($AR9),SUMIF(AF$7:AF$503,$AR9,L$7:L$503),"")</f>
        <v>0</v>
      </c>
      <c r="AW9" s="1423" t="n">
        <f aca="false">IF(ISNUMBER($AR9),SUMIF(AE$7:AE$503,$AR9,K$7:K$503),"")</f>
        <v>0</v>
      </c>
      <c r="AX9" s="1423" t="n">
        <f aca="false">IF(ISNUMBER($AR9),SUMIF(AG$7:AG$503,$AR9,M$7:M$503),"")</f>
        <v>0</v>
      </c>
      <c r="AY9" s="2" t="str">
        <f aca="false">IF($AT9&gt;0,VLOOKUP($AR9,'O_MN, PE_UTA_UGM 2024'!E5:O421,2),"")</f>
        <v/>
      </c>
      <c r="AZ9" s="1424"/>
      <c r="BA9" s="1424"/>
      <c r="BB9" s="1424" t="str">
        <f aca="false">IF($AT9&gt;0,VLOOKUP($AR9,'O_MN, PE_UTA_UGM 2024'!$E$3:$O$419,BB$6),"")</f>
        <v/>
      </c>
      <c r="BC9" s="1424" t="str">
        <f aca="false">IF($AT9&gt;0,VLOOKUP($AR9,'O_MN, PE_UTA_UGM 2024'!$E$3:$O$419,BC$6),"")</f>
        <v/>
      </c>
      <c r="BD9" s="1424" t="str">
        <f aca="false">IF($AT9&gt;0,VLOOKUP($AR9,'O_MN, PE_UTA_UGM 2024'!$E$3:$O$419,BD$6),"")</f>
        <v/>
      </c>
      <c r="BE9" s="1424" t="str">
        <f aca="false">IF($AT9&gt;0,VLOOKUP($AR9,'O_MN, PE_UTA_UGM 2024'!$E$3:$O$419,BE$6),"")</f>
        <v/>
      </c>
      <c r="BF9" s="1424" t="str">
        <f aca="false">IF($AT9&gt;0,VLOOKUP($AR9,'O_MN, PE_UTA_UGM 2024'!$E$3:$O$419,BF$6),"")</f>
        <v/>
      </c>
      <c r="BG9" s="1424" t="str">
        <f aca="false">IF($AT9&gt;0,VLOOKUP($AR9,'O_MN, PE_UTA_UGM 2024'!$E$3:$O$419,BG$6),"")</f>
        <v/>
      </c>
      <c r="BH9" s="872"/>
      <c r="BI9" s="872"/>
      <c r="BJ9" s="872"/>
      <c r="BK9" s="872"/>
      <c r="BM9" s="1411"/>
      <c r="BN9" s="1411"/>
      <c r="BO9" s="1425" t="str">
        <f aca="false">IF(ISNUMBER($AU9*BB9*1),$AU9*BB9*1,"")</f>
        <v/>
      </c>
      <c r="BP9" s="1425" t="str">
        <f aca="false">IF(ISNUMBER($AV9*BC9*1),$AV9*BC9*1,"")</f>
        <v/>
      </c>
      <c r="BQ9" s="1425" t="str">
        <f aca="false">IF(ISNUMBER($AU9*BD9*1),$AU9*BD9*1,"")</f>
        <v/>
      </c>
      <c r="BR9" s="1425" t="str">
        <f aca="false">IF(ISNUMBER($AV9*BE9*1),$AV9*BE9*1,"")</f>
        <v/>
      </c>
      <c r="BS9" s="1411" t="str">
        <f aca="false">IF(ISNUMBER($AU9*BF9),$AU9*BF9,"")</f>
        <v/>
      </c>
      <c r="BT9" s="1411" t="str">
        <f aca="false">IF(ISNUMBER($AV9*BG9),$AV9*BG9,"")</f>
        <v/>
      </c>
      <c r="BU9" s="1411"/>
      <c r="BV9" s="1411"/>
      <c r="BW9" s="1411"/>
      <c r="BX9" s="1411"/>
      <c r="BZ9" s="1372"/>
      <c r="CA9" s="1372"/>
      <c r="CB9" s="1426" t="str">
        <f aca="false">IF(ISNUMBER($AW9*BB9),$AW9*BB9,"")</f>
        <v/>
      </c>
      <c r="CC9" s="1426" t="str">
        <f aca="false">IF(ISNUMBER($AX9*BC9),$AX9*BC9,"")</f>
        <v/>
      </c>
      <c r="CD9" s="1426" t="str">
        <f aca="false">IF(ISNUMBER($AW9*BD9),$AW9*BD9,"")</f>
        <v/>
      </c>
      <c r="CE9" s="1426" t="str">
        <f aca="false">IF(ISNUMBER($AX9*BE9),$AX9*BE9,"")</f>
        <v/>
      </c>
      <c r="CF9" s="1372" t="str">
        <f aca="false">IF(ISNUMBER($AW9*BF9),$AW9*BF9,"")</f>
        <v/>
      </c>
      <c r="CG9" s="1372" t="str">
        <f aca="false">IF(ISNUMBER($AX9*BG9),$AX9*BG9,"")</f>
        <v/>
      </c>
      <c r="CH9" s="1372"/>
      <c r="CI9" s="1372"/>
      <c r="CJ9" s="1372"/>
      <c r="CK9" s="1372"/>
      <c r="CL9" s="1339"/>
      <c r="CM9" s="1339"/>
      <c r="CN9" s="1339"/>
      <c r="CO9" s="1339"/>
      <c r="CP9" s="1339"/>
      <c r="CQ9" s="1339"/>
      <c r="CR9" s="1339"/>
      <c r="CU9" s="1411"/>
      <c r="CV9" s="1411"/>
      <c r="CW9" s="1425"/>
      <c r="CX9" s="1425"/>
      <c r="CY9" s="1425"/>
      <c r="CZ9" s="1425"/>
      <c r="DA9" s="1411"/>
      <c r="DB9" s="1411"/>
      <c r="DC9" s="1411"/>
      <c r="DD9" s="1411"/>
      <c r="DE9" s="1411"/>
      <c r="DF9" s="1411"/>
      <c r="DH9" s="1432"/>
      <c r="DI9" s="1432"/>
      <c r="DJ9" s="1437"/>
      <c r="DK9" s="1437"/>
      <c r="DL9" s="1437"/>
      <c r="DM9" s="1437"/>
      <c r="DN9" s="1432"/>
      <c r="DO9" s="1432"/>
      <c r="DP9" s="1432"/>
      <c r="DQ9" s="1432"/>
      <c r="DR9" s="1432"/>
      <c r="DS9" s="1432"/>
      <c r="DT9" s="1316"/>
      <c r="DU9" s="1433"/>
      <c r="DV9" s="1433"/>
      <c r="DW9" s="1433"/>
      <c r="DX9" s="1433"/>
      <c r="DY9" s="1433"/>
      <c r="DZ9" s="1433"/>
      <c r="EA9" s="1433"/>
      <c r="EB9" s="1433"/>
    </row>
    <row r="10" customFormat="false" ht="14.25" hidden="false" customHeight="false" outlineLevel="0" collapsed="false">
      <c r="A10" s="2" t="n">
        <f aca="false">'V_DATOS PAC_SGA'!R5</f>
        <v>0</v>
      </c>
      <c r="B10" s="2" t="n">
        <f aca="false">IF(I10="IV",CONCATENATE('V_DATOS PAC_SGA'!R5,"4")+0,CONCATENATE('V_DATOS PAC_SGA'!R5,"0")+0)</f>
        <v>0</v>
      </c>
      <c r="C10" s="2" t="n">
        <f aca="false">'V_DATOS PAC_SGA'!S5</f>
        <v>0</v>
      </c>
      <c r="D10" s="1409" t="n">
        <f aca="false">'V_DATOS PAC_SGA'!Y5</f>
        <v>0</v>
      </c>
      <c r="E10" s="1410" t="str">
        <f aca="false">IF('V_DATOS PAC_SGA'!AV5="","Regadio",'V_DATOS PAC_SGA'!AV5)</f>
        <v>Regadio</v>
      </c>
      <c r="F10" s="1411" t="n">
        <f aca="false">'V_DATOS PAC_SGA'!BK5</f>
        <v>0</v>
      </c>
      <c r="G10" s="1412" t="n">
        <f aca="false">'V_DATOS PAC_SGA'!AN5</f>
        <v>0</v>
      </c>
      <c r="H10" s="1413" t="str">
        <f aca="false">IF(B10&gt;0,VLOOKUP(B10,'O_MN, PE_UTA_UGM 2024'!E$3:O$419,10),"")</f>
        <v/>
      </c>
      <c r="I10" s="1359" t="n">
        <f aca="false">'V_DATOS PAC_SGA'!BV5</f>
        <v>0</v>
      </c>
      <c r="J10" s="2" t="str">
        <f aca="false">IF(AND(J$4=$G10,J$6=$F10),$D10*J$5,"")</f>
        <v/>
      </c>
      <c r="K10" s="2" t="str">
        <f aca="false">IF(AND(K$4=$G10,K$6=$F10),$D10*K$5,"")</f>
        <v/>
      </c>
      <c r="L10" s="2" t="str">
        <f aca="false">IF(AND(L$4=$G10,L$6=$F10),$D10*L$5,"")</f>
        <v/>
      </c>
      <c r="M10" s="2" t="str">
        <f aca="false">IF(AND(M$4=$G10,M$6=$F10),$D10*M$5,"")</f>
        <v/>
      </c>
      <c r="N10" s="1414" t="n">
        <f aca="false">VLOOKUP(B10,'O_MN, PE_UTA_UGM 2024'!$E$2:$K$419,IF(G10&gt;1,6,7))</f>
        <v>0</v>
      </c>
      <c r="O10" s="1434" t="str">
        <f aca="false">IF($H10=O$4,$D10*$N10,"")</f>
        <v/>
      </c>
      <c r="P10" s="1435" t="str">
        <f aca="false">IF($H10=P$4,$D10*$N10,"")</f>
        <v/>
      </c>
      <c r="Q10" s="1435" t="str">
        <f aca="false">IF($H10=Q$4,$D10*$N10,"")</f>
        <v/>
      </c>
      <c r="R10" s="1435" t="str">
        <f aca="false">IF($H10=R$4,$D10*$N10,"")</f>
        <v/>
      </c>
      <c r="S10" s="1435" t="str">
        <f aca="false">IF($H10=S$4,$D10*$N10,"")</f>
        <v/>
      </c>
      <c r="T10" s="1435" t="str">
        <f aca="false">IF($H10=T$4,$D10*$N10,"")</f>
        <v/>
      </c>
      <c r="U10" s="1436" t="str">
        <f aca="false">IF($H10=U$4,$D10*$N10,"")</f>
        <v/>
      </c>
      <c r="V10" s="1418"/>
      <c r="W10" s="1419"/>
      <c r="X10" s="1419"/>
      <c r="Y10" s="1419"/>
      <c r="Z10" s="1419"/>
      <c r="AA10" s="1419"/>
      <c r="AB10" s="1420"/>
      <c r="AC10" s="1319"/>
      <c r="AD10" s="2" t="str">
        <f aca="false">IF(AND(AD$4=$G10,AD$6=$F10),$B10,"")</f>
        <v/>
      </c>
      <c r="AE10" s="2" t="str">
        <f aca="false">IF(AND(AE$4=$G10,AE$6=$F10),$B10,"")</f>
        <v/>
      </c>
      <c r="AF10" s="2" t="str">
        <f aca="false">IF(AND(AF$4=$G10,AF$6=$F10),$B10,"")</f>
        <v/>
      </c>
      <c r="AG10" s="2" t="str">
        <f aca="false">IF(AND(AG$4=$G10,AG$6=$F10),$B10,"")</f>
        <v/>
      </c>
      <c r="AI10" s="366"/>
      <c r="AL10" s="367"/>
      <c r="AM10" s="872" t="n">
        <f aca="false">SUM(R7:R505)</f>
        <v>0</v>
      </c>
      <c r="AN10" s="2" t="n">
        <v>4</v>
      </c>
      <c r="AO10" s="367" t="s">
        <v>62</v>
      </c>
      <c r="AP10" s="2" t="str">
        <f aca="false">IF(AT10&gt;0,RANK(AT10,AT$7:AT$423),"")</f>
        <v/>
      </c>
      <c r="AQ10" s="2" t="n">
        <f aca="false">'O_MN, PE_UTA_UGM 2024'!C6</f>
        <v>4</v>
      </c>
      <c r="AR10" s="1421" t="n">
        <v>40</v>
      </c>
      <c r="AS10" s="2" t="str">
        <f aca="false">IF(AY10&lt;&gt;"",AY10,"")</f>
        <v/>
      </c>
      <c r="AT10" s="1422" t="n">
        <f aca="false">IF(ISNUMBER($AR10),SUMIF(B$7:B$505,AR10,D$7:D$505),"")</f>
        <v>0</v>
      </c>
      <c r="AU10" s="1411" t="n">
        <f aca="false">IF(ISNUMBER($AR10),SUMIF(AD$7:AD$503,$AR10,J$7:J$503),"")</f>
        <v>0</v>
      </c>
      <c r="AV10" s="1411" t="n">
        <f aca="false">IF(ISNUMBER($AR10),SUMIF(AF$7:AF$503,$AR10,L$7:L$503),"")</f>
        <v>0</v>
      </c>
      <c r="AW10" s="1423" t="n">
        <f aca="false">IF(ISNUMBER($AR10),SUMIF(AE$7:AE$503,$AR10,K$7:K$503),"")</f>
        <v>0</v>
      </c>
      <c r="AX10" s="1423" t="n">
        <f aca="false">IF(ISNUMBER($AR10),SUMIF(AG$7:AG$503,$AR10,M$7:M$503),"")</f>
        <v>0</v>
      </c>
      <c r="AY10" s="2" t="str">
        <f aca="false">IF($AT10&gt;0,VLOOKUP($AR10,'O_MN, PE_UTA_UGM 2024'!E6:O422,2),"")</f>
        <v/>
      </c>
      <c r="AZ10" s="1424"/>
      <c r="BA10" s="1424"/>
      <c r="BB10" s="1424" t="str">
        <f aca="false">IF($AT10&gt;0,VLOOKUP($AR10,'O_MN, PE_UTA_UGM 2024'!$E$3:$O$419,BB$6),"")</f>
        <v/>
      </c>
      <c r="BC10" s="1424" t="str">
        <f aca="false">IF($AT10&gt;0,VLOOKUP($AR10,'O_MN, PE_UTA_UGM 2024'!$E$3:$O$419,BC$6),"")</f>
        <v/>
      </c>
      <c r="BD10" s="1424" t="str">
        <f aca="false">IF($AT10&gt;0,VLOOKUP($AR10,'O_MN, PE_UTA_UGM 2024'!$E$3:$O$419,BD$6),"")</f>
        <v/>
      </c>
      <c r="BE10" s="1424" t="str">
        <f aca="false">IF($AT10&gt;0,VLOOKUP($AR10,'O_MN, PE_UTA_UGM 2024'!$E$3:$O$419,BE$6),"")</f>
        <v/>
      </c>
      <c r="BF10" s="1424" t="str">
        <f aca="false">IF($AT10&gt;0,VLOOKUP($AR10,'O_MN, PE_UTA_UGM 2024'!$E$3:$O$419,BF$6),"")</f>
        <v/>
      </c>
      <c r="BG10" s="1424" t="str">
        <f aca="false">IF($AT10&gt;0,VLOOKUP($AR10,'O_MN, PE_UTA_UGM 2024'!$E$3:$O$419,BG$6),"")</f>
        <v/>
      </c>
      <c r="BH10" s="872"/>
      <c r="BI10" s="872"/>
      <c r="BJ10" s="872"/>
      <c r="BK10" s="872"/>
      <c r="BM10" s="1411"/>
      <c r="BN10" s="1411"/>
      <c r="BO10" s="1425" t="str">
        <f aca="false">IF(ISNUMBER($AU10*BB10*1),$AU10*BB10*1,"")</f>
        <v/>
      </c>
      <c r="BP10" s="1425" t="str">
        <f aca="false">IF(ISNUMBER($AV10*BC10*1),$AV10*BC10*1,"")</f>
        <v/>
      </c>
      <c r="BQ10" s="1425" t="str">
        <f aca="false">IF(ISNUMBER($AU10*BD10*1),$AU10*BD10*1,"")</f>
        <v/>
      </c>
      <c r="BR10" s="1425" t="str">
        <f aca="false">IF(ISNUMBER($AV10*BE10*1),$AV10*BE10*1,"")</f>
        <v/>
      </c>
      <c r="BS10" s="1411" t="str">
        <f aca="false">IF(ISNUMBER($AU10*BF10),$AU10*BF10,"")</f>
        <v/>
      </c>
      <c r="BT10" s="1411" t="str">
        <f aca="false">IF(ISNUMBER($AV10*BG10),$AV10*BG10,"")</f>
        <v/>
      </c>
      <c r="BU10" s="1411"/>
      <c r="BV10" s="1411"/>
      <c r="BW10" s="1411"/>
      <c r="BX10" s="1411"/>
      <c r="BZ10" s="1372"/>
      <c r="CA10" s="1372"/>
      <c r="CB10" s="1426" t="str">
        <f aca="false">IF(ISNUMBER($AW10*BB10),$AW10*BB10,"")</f>
        <v/>
      </c>
      <c r="CC10" s="1426" t="str">
        <f aca="false">IF(ISNUMBER($AX10*BC10),$AX10*BC10,"")</f>
        <v/>
      </c>
      <c r="CD10" s="1426" t="str">
        <f aca="false">IF(ISNUMBER($AW10*BD10),$AW10*BD10,"")</f>
        <v/>
      </c>
      <c r="CE10" s="1426" t="str">
        <f aca="false">IF(ISNUMBER($AX10*BE10),$AX10*BE10,"")</f>
        <v/>
      </c>
      <c r="CF10" s="1372" t="str">
        <f aca="false">IF(ISNUMBER($AW10*BF10),$AW10*BF10,"")</f>
        <v/>
      </c>
      <c r="CG10" s="1372" t="str">
        <f aca="false">IF(ISNUMBER($AX10*BG10),$AX10*BG10,"")</f>
        <v/>
      </c>
      <c r="CH10" s="1372"/>
      <c r="CI10" s="1372"/>
      <c r="CJ10" s="1372"/>
      <c r="CK10" s="1372"/>
      <c r="CL10" s="1339"/>
      <c r="CM10" s="1339"/>
      <c r="CN10" s="1339"/>
      <c r="CO10" s="1339"/>
      <c r="CP10" s="1339"/>
      <c r="CQ10" s="1339"/>
      <c r="CR10" s="1339"/>
      <c r="CU10" s="1411"/>
      <c r="CV10" s="1411"/>
      <c r="CW10" s="1425"/>
      <c r="CX10" s="1425"/>
      <c r="CY10" s="1425"/>
      <c r="CZ10" s="1425"/>
      <c r="DA10" s="1411"/>
      <c r="DB10" s="1411"/>
      <c r="DC10" s="1411"/>
      <c r="DD10" s="1411"/>
      <c r="DE10" s="1411"/>
      <c r="DF10" s="1411"/>
      <c r="DH10" s="1432"/>
      <c r="DI10" s="1432"/>
      <c r="DJ10" s="1437"/>
      <c r="DK10" s="1437"/>
      <c r="DL10" s="1437"/>
      <c r="DM10" s="1437"/>
      <c r="DN10" s="1432"/>
      <c r="DO10" s="1432"/>
      <c r="DP10" s="1432"/>
      <c r="DQ10" s="1432"/>
      <c r="DR10" s="1432"/>
      <c r="DS10" s="1432"/>
      <c r="DT10" s="1316"/>
      <c r="DU10" s="1433"/>
      <c r="DV10" s="1433"/>
      <c r="DW10" s="1433"/>
      <c r="DX10" s="1433"/>
      <c r="DY10" s="1433"/>
      <c r="DZ10" s="1433"/>
      <c r="EA10" s="1433"/>
      <c r="EB10" s="1433"/>
    </row>
    <row r="11" customFormat="false" ht="14.25" hidden="false" customHeight="false" outlineLevel="0" collapsed="false">
      <c r="A11" s="2" t="n">
        <f aca="false">'V_DATOS PAC_SGA'!R6</f>
        <v>0</v>
      </c>
      <c r="B11" s="2" t="n">
        <f aca="false">IF(I11="IV",CONCATENATE('V_DATOS PAC_SGA'!R6,"4")+0,CONCATENATE('V_DATOS PAC_SGA'!R6,"0")+0)</f>
        <v>0</v>
      </c>
      <c r="C11" s="2" t="n">
        <f aca="false">'V_DATOS PAC_SGA'!S6</f>
        <v>0</v>
      </c>
      <c r="D11" s="1409" t="n">
        <f aca="false">'V_DATOS PAC_SGA'!Y6</f>
        <v>0</v>
      </c>
      <c r="E11" s="1410" t="str">
        <f aca="false">IF('V_DATOS PAC_SGA'!AV6="","Regadio",'V_DATOS PAC_SGA'!AV6)</f>
        <v>Regadio</v>
      </c>
      <c r="F11" s="1411" t="n">
        <f aca="false">'V_DATOS PAC_SGA'!BK6</f>
        <v>0</v>
      </c>
      <c r="G11" s="1412" t="n">
        <f aca="false">'V_DATOS PAC_SGA'!AN6</f>
        <v>0</v>
      </c>
      <c r="H11" s="1413" t="str">
        <f aca="false">IF(B11&gt;0,VLOOKUP(B11,'O_MN, PE_UTA_UGM 2024'!E$3:O$419,10),"")</f>
        <v/>
      </c>
      <c r="I11" s="1359" t="n">
        <f aca="false">'V_DATOS PAC_SGA'!BV6</f>
        <v>0</v>
      </c>
      <c r="J11" s="2" t="str">
        <f aca="false">IF(AND(J$4=$G11,J$6=$F11),$D11*J$5,"")</f>
        <v/>
      </c>
      <c r="K11" s="2" t="str">
        <f aca="false">IF(AND(K$4=$G11,K$6=$F11),$D11*K$5,"")</f>
        <v/>
      </c>
      <c r="L11" s="2" t="str">
        <f aca="false">IF(AND(L$4=$G11,L$6=$F11),$D11*L$5,"")</f>
        <v/>
      </c>
      <c r="M11" s="2" t="str">
        <f aca="false">IF(AND(M$4=$G11,M$6=$F11),$D11*M$5,"")</f>
        <v/>
      </c>
      <c r="N11" s="1414" t="n">
        <f aca="false">VLOOKUP(B11,'O_MN, PE_UTA_UGM 2024'!$E$2:$K$419,IF(G11&gt;1,6,7))</f>
        <v>0</v>
      </c>
      <c r="O11" s="1434" t="str">
        <f aca="false">IF($H11=O$4,$D11*$N11,"")</f>
        <v/>
      </c>
      <c r="P11" s="1435" t="str">
        <f aca="false">IF($H11=P$4,$D11*$N11,"")</f>
        <v/>
      </c>
      <c r="Q11" s="1435" t="str">
        <f aca="false">IF($H11=Q$4,$D11*$N11,"")</f>
        <v/>
      </c>
      <c r="R11" s="1435" t="str">
        <f aca="false">IF($H11=R$4,$D11*$N11,"")</f>
        <v/>
      </c>
      <c r="S11" s="1435" t="str">
        <f aca="false">IF($H11=S$4,$D11*$N11,"")</f>
        <v/>
      </c>
      <c r="T11" s="1435" t="str">
        <f aca="false">IF($H11=T$4,$D11*$N11,"")</f>
        <v/>
      </c>
      <c r="U11" s="1436" t="str">
        <f aca="false">IF($H11=U$4,$D11*$N11,"")</f>
        <v/>
      </c>
      <c r="V11" s="1418"/>
      <c r="W11" s="1419"/>
      <c r="X11" s="1419"/>
      <c r="Y11" s="1419"/>
      <c r="Z11" s="1419"/>
      <c r="AA11" s="1419"/>
      <c r="AB11" s="1420"/>
      <c r="AC11" s="1319"/>
      <c r="AD11" s="2" t="str">
        <f aca="false">IF(AND(AD$4=$G11,AD$6=$F11),$B11,"")</f>
        <v/>
      </c>
      <c r="AE11" s="2" t="str">
        <f aca="false">IF(AND(AE$4=$G11,AE$6=$F11),$B11,"")</f>
        <v/>
      </c>
      <c r="AF11" s="2" t="str">
        <f aca="false">IF(AND(AF$4=$G11,AF$6=$F11),$B11,"")</f>
        <v/>
      </c>
      <c r="AG11" s="2" t="str">
        <f aca="false">IF(AND(AG$4=$G11,AG$6=$F11),$B11,"")</f>
        <v/>
      </c>
      <c r="AI11" s="366"/>
      <c r="AL11" s="367"/>
      <c r="AM11" s="2" t="n">
        <f aca="false">SUM(S7:S505)</f>
        <v>0</v>
      </c>
      <c r="AN11" s="2" t="n">
        <v>5</v>
      </c>
      <c r="AO11" s="367" t="s">
        <v>63</v>
      </c>
      <c r="AP11" s="2" t="str">
        <f aca="false">IF(AT11&gt;0,RANK(AT11,AT$7:AT$423),"")</f>
        <v/>
      </c>
      <c r="AQ11" s="2" t="n">
        <f aca="false">'O_MN, PE_UTA_UGM 2024'!C7</f>
        <v>5</v>
      </c>
      <c r="AR11" s="1421" t="n">
        <v>50</v>
      </c>
      <c r="AS11" s="2" t="str">
        <f aca="false">IF(AY11&lt;&gt;"",AY11,"")</f>
        <v/>
      </c>
      <c r="AT11" s="1422" t="n">
        <f aca="false">IF(ISNUMBER($AR11),SUMIF(B$7:B$505,AR11,D$7:D$505),"")</f>
        <v>0</v>
      </c>
      <c r="AU11" s="1411" t="n">
        <f aca="false">IF(ISNUMBER($AR11),SUMIF(AD$7:AD$503,$AR11,J$7:J$503),"")</f>
        <v>0</v>
      </c>
      <c r="AV11" s="1411" t="n">
        <f aca="false">IF(ISNUMBER($AR11),SUMIF(AF$7:AF$503,$AR11,L$7:L$503),"")</f>
        <v>0</v>
      </c>
      <c r="AW11" s="1423" t="n">
        <f aca="false">IF(ISNUMBER($AR11),SUMIF(AE$7:AE$503,$AR11,K$7:K$503),"")</f>
        <v>0</v>
      </c>
      <c r="AX11" s="1423" t="n">
        <f aca="false">IF(ISNUMBER($AR11),SUMIF(AG$7:AG$503,$AR11,M$7:M$503),"")</f>
        <v>0</v>
      </c>
      <c r="AY11" s="2" t="str">
        <f aca="false">IF($AT11&gt;0,VLOOKUP($AR11,'O_MN, PE_UTA_UGM 2024'!E7:O423,2),"")</f>
        <v/>
      </c>
      <c r="AZ11" s="1424"/>
      <c r="BA11" s="1424"/>
      <c r="BB11" s="1424" t="str">
        <f aca="false">IF($AT11&gt;0,VLOOKUP($AR11,'O_MN, PE_UTA_UGM 2024'!$E$3:$O$419,BB$6),"")</f>
        <v/>
      </c>
      <c r="BC11" s="1424" t="str">
        <f aca="false">IF($AT11&gt;0,VLOOKUP($AR11,'O_MN, PE_UTA_UGM 2024'!$E$3:$O$419,BC$6),"")</f>
        <v/>
      </c>
      <c r="BD11" s="1424" t="str">
        <f aca="false">IF($AT11&gt;0,VLOOKUP($AR11,'O_MN, PE_UTA_UGM 2024'!$E$3:$O$419,BD$6),"")</f>
        <v/>
      </c>
      <c r="BE11" s="1424" t="str">
        <f aca="false">IF($AT11&gt;0,VLOOKUP($AR11,'O_MN, PE_UTA_UGM 2024'!$E$3:$O$419,BE$6),"")</f>
        <v/>
      </c>
      <c r="BF11" s="1424" t="str">
        <f aca="false">IF($AT11&gt;0,VLOOKUP($AR11,'O_MN, PE_UTA_UGM 2024'!$E$3:$O$419,BF$6),"")</f>
        <v/>
      </c>
      <c r="BG11" s="1424" t="str">
        <f aca="false">IF($AT11&gt;0,VLOOKUP($AR11,'O_MN, PE_UTA_UGM 2024'!$E$3:$O$419,BG$6),"")</f>
        <v/>
      </c>
      <c r="BH11" s="872"/>
      <c r="BI11" s="872"/>
      <c r="BJ11" s="872"/>
      <c r="BK11" s="872"/>
      <c r="BM11" s="1411"/>
      <c r="BN11" s="1411"/>
      <c r="BO11" s="1425" t="str">
        <f aca="false">IF(ISNUMBER($AU11*BB11*1),$AU11*BB11*1,"")</f>
        <v/>
      </c>
      <c r="BP11" s="1425" t="str">
        <f aca="false">IF(ISNUMBER($AV11*BC11*1),$AV11*BC11*1,"")</f>
        <v/>
      </c>
      <c r="BQ11" s="1425" t="str">
        <f aca="false">IF(ISNUMBER($AU11*BD11*1),$AU11*BD11*1,"")</f>
        <v/>
      </c>
      <c r="BR11" s="1425" t="str">
        <f aca="false">IF(ISNUMBER($AV11*BE11*1),$AV11*BE11*1,"")</f>
        <v/>
      </c>
      <c r="BS11" s="1411" t="str">
        <f aca="false">IF(ISNUMBER($AU11*BF11),$AU11*BF11,"")</f>
        <v/>
      </c>
      <c r="BT11" s="1411" t="str">
        <f aca="false">IF(ISNUMBER($AV11*BG11),$AV11*BG11,"")</f>
        <v/>
      </c>
      <c r="BU11" s="1411"/>
      <c r="BV11" s="1411"/>
      <c r="BW11" s="1411"/>
      <c r="BX11" s="1411"/>
      <c r="BZ11" s="1372"/>
      <c r="CA11" s="1372"/>
      <c r="CB11" s="1426" t="str">
        <f aca="false">IF(ISNUMBER($AW11*BB11),$AW11*BB11,"")</f>
        <v/>
      </c>
      <c r="CC11" s="1426" t="str">
        <f aca="false">IF(ISNUMBER($AX11*BC11),$AX11*BC11,"")</f>
        <v/>
      </c>
      <c r="CD11" s="1426" t="str">
        <f aca="false">IF(ISNUMBER($AW11*BD11),$AW11*BD11,"")</f>
        <v/>
      </c>
      <c r="CE11" s="1426" t="str">
        <f aca="false">IF(ISNUMBER($AX11*BE11),$AX11*BE11,"")</f>
        <v/>
      </c>
      <c r="CF11" s="1372" t="str">
        <f aca="false">IF(ISNUMBER($AW11*BF11),$AW11*BF11,"")</f>
        <v/>
      </c>
      <c r="CG11" s="1372" t="str">
        <f aca="false">IF(ISNUMBER($AX11*BG11),$AX11*BG11,"")</f>
        <v/>
      </c>
      <c r="CH11" s="1372"/>
      <c r="CI11" s="1372"/>
      <c r="CJ11" s="1372"/>
      <c r="CK11" s="1372"/>
      <c r="CL11" s="1339"/>
      <c r="CM11" s="1339"/>
      <c r="CN11" s="1339"/>
      <c r="CO11" s="1339"/>
      <c r="CP11" s="1339"/>
      <c r="CQ11" s="1339"/>
      <c r="CR11" s="1339"/>
      <c r="CU11" s="1411"/>
      <c r="CV11" s="1411"/>
      <c r="CW11" s="1425"/>
      <c r="CX11" s="1425"/>
      <c r="CY11" s="1425"/>
      <c r="CZ11" s="1425"/>
      <c r="DA11" s="1411"/>
      <c r="DB11" s="1411"/>
      <c r="DC11" s="1411"/>
      <c r="DD11" s="1411"/>
      <c r="DE11" s="1411"/>
      <c r="DF11" s="1411"/>
      <c r="DH11" s="1432"/>
      <c r="DI11" s="1432"/>
      <c r="DJ11" s="1437"/>
      <c r="DK11" s="1437"/>
      <c r="DL11" s="1437"/>
      <c r="DM11" s="1437"/>
      <c r="DN11" s="1432"/>
      <c r="DO11" s="1432"/>
      <c r="DP11" s="1432"/>
      <c r="DQ11" s="1432"/>
      <c r="DR11" s="1432"/>
      <c r="DS11" s="1432"/>
      <c r="DT11" s="1316"/>
      <c r="DU11" s="1433"/>
      <c r="DV11" s="1433"/>
      <c r="DW11" s="1433"/>
      <c r="DX11" s="1433"/>
      <c r="DY11" s="1433"/>
      <c r="DZ11" s="1433"/>
      <c r="EA11" s="1433"/>
      <c r="EB11" s="1433"/>
    </row>
    <row r="12" customFormat="false" ht="14.25" hidden="false" customHeight="false" outlineLevel="0" collapsed="false">
      <c r="A12" s="2" t="n">
        <f aca="false">'V_DATOS PAC_SGA'!R7</f>
        <v>0</v>
      </c>
      <c r="B12" s="2" t="n">
        <f aca="false">IF(I12="IV",CONCATENATE('V_DATOS PAC_SGA'!R7,"4")+0,CONCATENATE('V_DATOS PAC_SGA'!R7,"0")+0)</f>
        <v>0</v>
      </c>
      <c r="C12" s="2" t="n">
        <f aca="false">'V_DATOS PAC_SGA'!S7</f>
        <v>0</v>
      </c>
      <c r="D12" s="1409" t="n">
        <f aca="false">'V_DATOS PAC_SGA'!Y7</f>
        <v>0</v>
      </c>
      <c r="E12" s="1410" t="str">
        <f aca="false">IF('V_DATOS PAC_SGA'!AV7="","Regadio",'V_DATOS PAC_SGA'!AV7)</f>
        <v>Regadio</v>
      </c>
      <c r="F12" s="1411" t="n">
        <f aca="false">'V_DATOS PAC_SGA'!BK7</f>
        <v>0</v>
      </c>
      <c r="G12" s="1412" t="n">
        <f aca="false">'V_DATOS PAC_SGA'!AN7</f>
        <v>0</v>
      </c>
      <c r="H12" s="1413" t="str">
        <f aca="false">IF(B12&gt;0,VLOOKUP(B12,'O_MN, PE_UTA_UGM 2024'!E$3:O$419,10),"")</f>
        <v/>
      </c>
      <c r="I12" s="1359" t="n">
        <f aca="false">'V_DATOS PAC_SGA'!BV7</f>
        <v>0</v>
      </c>
      <c r="J12" s="2" t="str">
        <f aca="false">IF(AND(J$4=$G12,J$6=$F12),$D12*J$5,"")</f>
        <v/>
      </c>
      <c r="K12" s="2" t="str">
        <f aca="false">IF(AND(K$4=$G12,K$6=$F12),$D12*K$5,"")</f>
        <v/>
      </c>
      <c r="L12" s="2" t="str">
        <f aca="false">IF(AND(L$4=$G12,L$6=$F12),$D12*L$5,"")</f>
        <v/>
      </c>
      <c r="M12" s="2" t="str">
        <f aca="false">IF(AND(M$4=$G12,M$6=$F12),$D12*M$5,"")</f>
        <v/>
      </c>
      <c r="N12" s="1414" t="n">
        <f aca="false">VLOOKUP(B12,'O_MN, PE_UTA_UGM 2024'!$E$2:$K$419,IF(G12&gt;1,6,7))</f>
        <v>0</v>
      </c>
      <c r="O12" s="1434" t="str">
        <f aca="false">IF($H12=O$4,$D12*$N12,"")</f>
        <v/>
      </c>
      <c r="P12" s="1435" t="str">
        <f aca="false">IF($H12=P$4,$D12*$N12,"")</f>
        <v/>
      </c>
      <c r="Q12" s="1435" t="str">
        <f aca="false">IF($H12=Q$4,$D12*$N12,"")</f>
        <v/>
      </c>
      <c r="R12" s="1435" t="str">
        <f aca="false">IF($H12=R$4,$D12*$N12,"")</f>
        <v/>
      </c>
      <c r="S12" s="1435" t="str">
        <f aca="false">IF($H12=S$4,$D12*$N12,"")</f>
        <v/>
      </c>
      <c r="T12" s="1435" t="str">
        <f aca="false">IF($H12=T$4,$D12*$N12,"")</f>
        <v/>
      </c>
      <c r="U12" s="1436" t="str">
        <f aca="false">IF($H12=U$4,$D12*$N12,"")</f>
        <v/>
      </c>
      <c r="V12" s="1418"/>
      <c r="W12" s="1419"/>
      <c r="X12" s="1419"/>
      <c r="Y12" s="1419"/>
      <c r="Z12" s="1419"/>
      <c r="AA12" s="1419"/>
      <c r="AB12" s="1420"/>
      <c r="AC12" s="1319"/>
      <c r="AD12" s="2" t="str">
        <f aca="false">IF(AND(AD$4=$G12,AD$6=$F12),$B12,"")</f>
        <v/>
      </c>
      <c r="AE12" s="2" t="str">
        <f aca="false">IF(AND(AE$4=$G12,AE$6=$F12),$B12,"")</f>
        <v/>
      </c>
      <c r="AF12" s="2" t="str">
        <f aca="false">IF(AND(AF$4=$G12,AF$6=$F12),$B12,"")</f>
        <v/>
      </c>
      <c r="AG12" s="2" t="str">
        <f aca="false">IF(AND(AG$4=$G12,AG$6=$F12),$B12,"")</f>
        <v/>
      </c>
      <c r="AI12" s="366"/>
      <c r="AL12" s="367"/>
      <c r="AM12" s="2" t="n">
        <f aca="false">SUM(T7:T505)</f>
        <v>0</v>
      </c>
      <c r="AN12" s="2" t="n">
        <v>6</v>
      </c>
      <c r="AO12" s="367" t="s">
        <v>813</v>
      </c>
      <c r="AP12" s="2" t="str">
        <f aca="false">IF(AT12&gt;0,RANK(AT12,AT$7:AT$423),"")</f>
        <v/>
      </c>
      <c r="AQ12" s="2" t="n">
        <f aca="false">'O_MN, PE_UTA_UGM 2024'!C8</f>
        <v>6</v>
      </c>
      <c r="AR12" s="1421" t="n">
        <v>60</v>
      </c>
      <c r="AS12" s="2" t="str">
        <f aca="false">IF(AY12&lt;&gt;"",AY12,"")</f>
        <v/>
      </c>
      <c r="AT12" s="1422" t="n">
        <f aca="false">IF(ISNUMBER($AR12),SUMIF(B$7:B$505,AR12,D$7:D$505),"")</f>
        <v>0</v>
      </c>
      <c r="AU12" s="1411" t="n">
        <f aca="false">IF(ISNUMBER($AR12),SUMIF(AD$7:AD$503,$AR12,J$7:J$503),"")</f>
        <v>0</v>
      </c>
      <c r="AV12" s="1411" t="n">
        <f aca="false">IF(ISNUMBER($AR12),SUMIF(AF$7:AF$503,$AR12,L$7:L$503),"")</f>
        <v>0</v>
      </c>
      <c r="AW12" s="1423" t="n">
        <f aca="false">IF(ISNUMBER($AR12),SUMIF(AE$7:AE$503,$AR12,K$7:K$503),"")</f>
        <v>0</v>
      </c>
      <c r="AX12" s="1423" t="n">
        <f aca="false">IF(ISNUMBER($AR12),SUMIF(AG$7:AG$503,$AR12,M$7:M$503),"")</f>
        <v>0</v>
      </c>
      <c r="AY12" s="2" t="str">
        <f aca="false">IF($AT12&gt;0,VLOOKUP($AR12,'O_MN, PE_UTA_UGM 2024'!E8:O424,2),"")</f>
        <v/>
      </c>
      <c r="AZ12" s="1424"/>
      <c r="BA12" s="1424"/>
      <c r="BB12" s="1424" t="str">
        <f aca="false">IF($AT12&gt;0,VLOOKUP($AR12,'O_MN, PE_UTA_UGM 2024'!$E$3:$O$419,BB$6),"")</f>
        <v/>
      </c>
      <c r="BC12" s="1424" t="str">
        <f aca="false">IF($AT12&gt;0,VLOOKUP($AR12,'O_MN, PE_UTA_UGM 2024'!$E$3:$O$419,BC$6),"")</f>
        <v/>
      </c>
      <c r="BD12" s="1424" t="str">
        <f aca="false">IF($AT12&gt;0,VLOOKUP($AR12,'O_MN, PE_UTA_UGM 2024'!$E$3:$O$419,BD$6),"")</f>
        <v/>
      </c>
      <c r="BE12" s="1424" t="str">
        <f aca="false">IF($AT12&gt;0,VLOOKUP($AR12,'O_MN, PE_UTA_UGM 2024'!$E$3:$O$419,BE$6),"")</f>
        <v/>
      </c>
      <c r="BF12" s="1424" t="str">
        <f aca="false">IF($AT12&gt;0,VLOOKUP($AR12,'O_MN, PE_UTA_UGM 2024'!$E$3:$O$419,BF$6),"")</f>
        <v/>
      </c>
      <c r="BG12" s="1424" t="str">
        <f aca="false">IF($AT12&gt;0,VLOOKUP($AR12,'O_MN, PE_UTA_UGM 2024'!$E$3:$O$419,BG$6),"")</f>
        <v/>
      </c>
      <c r="BH12" s="872"/>
      <c r="BI12" s="872"/>
      <c r="BJ12" s="872"/>
      <c r="BK12" s="872"/>
      <c r="BM12" s="1411"/>
      <c r="BN12" s="1411"/>
      <c r="BO12" s="1425" t="str">
        <f aca="false">IF(ISNUMBER($AU12*BB12*1),$AU12*BB12*1,"")</f>
        <v/>
      </c>
      <c r="BP12" s="1425" t="str">
        <f aca="false">IF(ISNUMBER($AV12*BC12*1),$AV12*BC12*1,"")</f>
        <v/>
      </c>
      <c r="BQ12" s="1425" t="str">
        <f aca="false">IF(ISNUMBER($AU12*BD12*1),$AU12*BD12*1,"")</f>
        <v/>
      </c>
      <c r="BR12" s="1425" t="str">
        <f aca="false">IF(ISNUMBER($AV12*BE12*1),$AV12*BE12*1,"")</f>
        <v/>
      </c>
      <c r="BS12" s="1411" t="str">
        <f aca="false">IF(ISNUMBER($AU12*BF12),$AU12*BF12,"")</f>
        <v/>
      </c>
      <c r="BT12" s="1411" t="str">
        <f aca="false">IF(ISNUMBER($AV12*BG12),$AV12*BG12,"")</f>
        <v/>
      </c>
      <c r="BU12" s="1411"/>
      <c r="BV12" s="1411"/>
      <c r="BW12" s="1411"/>
      <c r="BX12" s="1411"/>
      <c r="BZ12" s="1372"/>
      <c r="CA12" s="1372"/>
      <c r="CB12" s="1426" t="str">
        <f aca="false">IF(ISNUMBER($AW12*BB12),$AW12*BB12,"")</f>
        <v/>
      </c>
      <c r="CC12" s="1426" t="str">
        <f aca="false">IF(ISNUMBER($AX12*BC12),$AX12*BC12,"")</f>
        <v/>
      </c>
      <c r="CD12" s="1426" t="str">
        <f aca="false">IF(ISNUMBER($AW12*BD12),$AW12*BD12,"")</f>
        <v/>
      </c>
      <c r="CE12" s="1426" t="str">
        <f aca="false">IF(ISNUMBER($AX12*BE12),$AX12*BE12,"")</f>
        <v/>
      </c>
      <c r="CF12" s="1372" t="str">
        <f aca="false">IF(ISNUMBER($AW12*BF12),$AW12*BF12,"")</f>
        <v/>
      </c>
      <c r="CG12" s="1372" t="str">
        <f aca="false">IF(ISNUMBER($AX12*BG12),$AX12*BG12,"")</f>
        <v/>
      </c>
      <c r="CH12" s="1372"/>
      <c r="CI12" s="1372"/>
      <c r="CJ12" s="1372"/>
      <c r="CK12" s="1372"/>
      <c r="CL12" s="1339"/>
      <c r="CM12" s="1339"/>
      <c r="CN12" s="1339"/>
      <c r="CO12" s="1339"/>
      <c r="CP12" s="1339"/>
      <c r="CQ12" s="1339"/>
      <c r="CR12" s="1339"/>
      <c r="CU12" s="1411"/>
      <c r="CV12" s="1411"/>
      <c r="CW12" s="1425"/>
      <c r="CX12" s="1425"/>
      <c r="CY12" s="1425"/>
      <c r="CZ12" s="1425"/>
      <c r="DA12" s="1411"/>
      <c r="DB12" s="1411"/>
      <c r="DC12" s="1411"/>
      <c r="DD12" s="1411"/>
      <c r="DE12" s="1411"/>
      <c r="DF12" s="1411"/>
      <c r="DH12" s="1432"/>
      <c r="DI12" s="1432"/>
      <c r="DJ12" s="1437"/>
      <c r="DK12" s="1437"/>
      <c r="DL12" s="1437"/>
      <c r="DM12" s="1437"/>
      <c r="DN12" s="1432"/>
      <c r="DO12" s="1432"/>
      <c r="DP12" s="1432"/>
      <c r="DQ12" s="1432"/>
      <c r="DR12" s="1432"/>
      <c r="DS12" s="1432"/>
      <c r="DT12" s="1316"/>
      <c r="DU12" s="1433"/>
      <c r="DV12" s="1433"/>
      <c r="DW12" s="1433"/>
      <c r="DX12" s="1433"/>
      <c r="DY12" s="1433"/>
      <c r="DZ12" s="1433"/>
      <c r="EA12" s="1433"/>
      <c r="EB12" s="1433"/>
    </row>
    <row r="13" customFormat="false" ht="14.25" hidden="false" customHeight="false" outlineLevel="0" collapsed="false">
      <c r="A13" s="2" t="n">
        <f aca="false">'V_DATOS PAC_SGA'!R8</f>
        <v>0</v>
      </c>
      <c r="B13" s="2" t="n">
        <f aca="false">IF(I13="IV",CONCATENATE('V_DATOS PAC_SGA'!R8,"4")+0,CONCATENATE('V_DATOS PAC_SGA'!R8,"0")+0)</f>
        <v>0</v>
      </c>
      <c r="C13" s="2" t="n">
        <f aca="false">'V_DATOS PAC_SGA'!S8</f>
        <v>0</v>
      </c>
      <c r="D13" s="1409" t="n">
        <f aca="false">'V_DATOS PAC_SGA'!Y8</f>
        <v>0</v>
      </c>
      <c r="E13" s="1410" t="str">
        <f aca="false">IF('V_DATOS PAC_SGA'!AV8="","Regadio",'V_DATOS PAC_SGA'!AV8)</f>
        <v>Regadio</v>
      </c>
      <c r="F13" s="1411" t="n">
        <f aca="false">'V_DATOS PAC_SGA'!BK8</f>
        <v>0</v>
      </c>
      <c r="G13" s="1412" t="n">
        <f aca="false">'V_DATOS PAC_SGA'!AN8</f>
        <v>0</v>
      </c>
      <c r="H13" s="1413" t="str">
        <f aca="false">IF(B13&gt;0,VLOOKUP(B13,'O_MN, PE_UTA_UGM 2024'!E$3:O$419,10),"")</f>
        <v/>
      </c>
      <c r="I13" s="1359" t="n">
        <f aca="false">'V_DATOS PAC_SGA'!BV8</f>
        <v>0</v>
      </c>
      <c r="J13" s="2" t="str">
        <f aca="false">IF(AND(J$4=$G13,J$6=$F13),$D13*J$5,"")</f>
        <v/>
      </c>
      <c r="K13" s="2" t="str">
        <f aca="false">IF(AND(K$4=$G13,K$6=$F13),$D13*K$5,"")</f>
        <v/>
      </c>
      <c r="L13" s="2" t="str">
        <f aca="false">IF(AND(L$4=$G13,L$6=$F13),$D13*L$5,"")</f>
        <v/>
      </c>
      <c r="M13" s="2" t="str">
        <f aca="false">IF(AND(M$4=$G13,M$6=$F13),$D13*M$5,"")</f>
        <v/>
      </c>
      <c r="N13" s="1414" t="n">
        <f aca="false">VLOOKUP(B13,'O_MN, PE_UTA_UGM 2024'!$E$2:$K$419,IF(G13&gt;1,6,7))</f>
        <v>0</v>
      </c>
      <c r="O13" s="1434" t="str">
        <f aca="false">IF($H13=O$4,$D13*$N13,"")</f>
        <v/>
      </c>
      <c r="P13" s="1435" t="str">
        <f aca="false">IF($H13=P$4,$D13*$N13,"")</f>
        <v/>
      </c>
      <c r="Q13" s="1435" t="str">
        <f aca="false">IF($H13=Q$4,$D13*$N13,"")</f>
        <v/>
      </c>
      <c r="R13" s="1435" t="str">
        <f aca="false">IF($H13=R$4,$D13*$N13,"")</f>
        <v/>
      </c>
      <c r="S13" s="1435" t="str">
        <f aca="false">IF($H13=S$4,$D13*$N13,"")</f>
        <v/>
      </c>
      <c r="T13" s="1435" t="str">
        <f aca="false">IF($H13=T$4,$D13*$N13,"")</f>
        <v/>
      </c>
      <c r="U13" s="1436" t="str">
        <f aca="false">IF($H13=U$4,$D13*$N13,"")</f>
        <v/>
      </c>
      <c r="V13" s="1418"/>
      <c r="W13" s="1419"/>
      <c r="X13" s="1419"/>
      <c r="Y13" s="1419"/>
      <c r="Z13" s="1419"/>
      <c r="AA13" s="1419"/>
      <c r="AB13" s="1420"/>
      <c r="AC13" s="1319"/>
      <c r="AD13" s="2" t="str">
        <f aca="false">IF(AND(AD$4=$G13,AD$6=$F13),$B13,"")</f>
        <v/>
      </c>
      <c r="AE13" s="2" t="str">
        <f aca="false">IF(AND(AE$4=$G13,AE$6=$F13),$B13,"")</f>
        <v/>
      </c>
      <c r="AF13" s="2" t="str">
        <f aca="false">IF(AND(AF$4=$G13,AF$6=$F13),$B13,"")</f>
        <v/>
      </c>
      <c r="AG13" s="2" t="str">
        <f aca="false">IF(AND(AG$4=$G13,AG$6=$F13),$B13,"")</f>
        <v/>
      </c>
      <c r="AI13" s="366"/>
      <c r="AL13" s="367"/>
      <c r="AM13" s="2" t="n">
        <f aca="false">SUM(U7:U505)</f>
        <v>0</v>
      </c>
      <c r="AN13" s="2" t="n">
        <v>7</v>
      </c>
      <c r="AO13" s="367" t="s">
        <v>814</v>
      </c>
      <c r="AP13" s="2" t="str">
        <f aca="false">IF(AT13&gt;0,RANK(AT13,AT$7:AT$423),"")</f>
        <v/>
      </c>
      <c r="AQ13" s="2" t="n">
        <f aca="false">'O_MN, PE_UTA_UGM 2024'!C9</f>
        <v>7</v>
      </c>
      <c r="AR13" s="1421" t="n">
        <v>70</v>
      </c>
      <c r="AS13" s="2" t="str">
        <f aca="false">IF(AY13&lt;&gt;"",AY13,"")</f>
        <v/>
      </c>
      <c r="AT13" s="1422" t="n">
        <f aca="false">IF(ISNUMBER($AR13),SUMIF(B$7:B$505,AR13,D$7:D$505),"")</f>
        <v>0</v>
      </c>
      <c r="AU13" s="1411" t="n">
        <f aca="false">IF(ISNUMBER($AR13),SUMIF(AD$7:AD$503,$AR13,J$7:J$503),"")</f>
        <v>0</v>
      </c>
      <c r="AV13" s="1411" t="n">
        <f aca="false">IF(ISNUMBER($AR13),SUMIF(AF$7:AF$503,$AR13,L$7:L$503),"")</f>
        <v>0</v>
      </c>
      <c r="AW13" s="1423" t="n">
        <f aca="false">IF(ISNUMBER($AR13),SUMIF(AE$7:AE$503,$AR13,K$7:K$503),"")</f>
        <v>0</v>
      </c>
      <c r="AX13" s="1423" t="n">
        <f aca="false">IF(ISNUMBER($AR13),SUMIF(AG$7:AG$503,$AR13,M$7:M$503),"")</f>
        <v>0</v>
      </c>
      <c r="AY13" s="2" t="str">
        <f aca="false">IF($AT13&gt;0,VLOOKUP($AR13,'O_MN, PE_UTA_UGM 2024'!E9:O425,2),"")</f>
        <v/>
      </c>
      <c r="AZ13" s="1424"/>
      <c r="BA13" s="1424"/>
      <c r="BB13" s="1424" t="str">
        <f aca="false">IF($AT13&gt;0,VLOOKUP($AR13,'O_MN, PE_UTA_UGM 2024'!$E$3:$O$419,BB$6),"")</f>
        <v/>
      </c>
      <c r="BC13" s="1424" t="str">
        <f aca="false">IF($AT13&gt;0,VLOOKUP($AR13,'O_MN, PE_UTA_UGM 2024'!$E$3:$O$419,BC$6),"")</f>
        <v/>
      </c>
      <c r="BD13" s="1424" t="str">
        <f aca="false">IF($AT13&gt;0,VLOOKUP($AR13,'O_MN, PE_UTA_UGM 2024'!$E$3:$O$419,BD$6),"")</f>
        <v/>
      </c>
      <c r="BE13" s="1424" t="str">
        <f aca="false">IF($AT13&gt;0,VLOOKUP($AR13,'O_MN, PE_UTA_UGM 2024'!$E$3:$O$419,BE$6),"")</f>
        <v/>
      </c>
      <c r="BF13" s="1424" t="str">
        <f aca="false">IF($AT13&gt;0,VLOOKUP($AR13,'O_MN, PE_UTA_UGM 2024'!$E$3:$O$419,BF$6),"")</f>
        <v/>
      </c>
      <c r="BG13" s="1424" t="str">
        <f aca="false">IF($AT13&gt;0,VLOOKUP($AR13,'O_MN, PE_UTA_UGM 2024'!$E$3:$O$419,BG$6),"")</f>
        <v/>
      </c>
      <c r="BH13" s="872"/>
      <c r="BI13" s="872"/>
      <c r="BJ13" s="872"/>
      <c r="BK13" s="872"/>
      <c r="BM13" s="1411"/>
      <c r="BN13" s="1411"/>
      <c r="BO13" s="1425" t="str">
        <f aca="false">IF(ISNUMBER($AU13*BB13*1),$AU13*BB13*1,"")</f>
        <v/>
      </c>
      <c r="BP13" s="1425" t="str">
        <f aca="false">IF(ISNUMBER($AV13*BC13*1),$AV13*BC13*1,"")</f>
        <v/>
      </c>
      <c r="BQ13" s="1425" t="str">
        <f aca="false">IF(ISNUMBER($AU13*BD13*1),$AU13*BD13*1,"")</f>
        <v/>
      </c>
      <c r="BR13" s="1425" t="str">
        <f aca="false">IF(ISNUMBER($AV13*BE13*1),$AV13*BE13*1,"")</f>
        <v/>
      </c>
      <c r="BS13" s="1411" t="str">
        <f aca="false">IF(ISNUMBER($AU13*BF13),$AU13*BF13,"")</f>
        <v/>
      </c>
      <c r="BT13" s="1411" t="str">
        <f aca="false">IF(ISNUMBER($AV13*BG13),$AV13*BG13,"")</f>
        <v/>
      </c>
      <c r="BU13" s="1411"/>
      <c r="BV13" s="1411"/>
      <c r="BW13" s="1411"/>
      <c r="BX13" s="1411"/>
      <c r="BZ13" s="1372"/>
      <c r="CA13" s="1372"/>
      <c r="CB13" s="1426" t="str">
        <f aca="false">IF(ISNUMBER($AW13*BB13),$AW13*BB13,"")</f>
        <v/>
      </c>
      <c r="CC13" s="1426" t="str">
        <f aca="false">IF(ISNUMBER($AX13*BC13),$AX13*BC13,"")</f>
        <v/>
      </c>
      <c r="CD13" s="1426" t="str">
        <f aca="false">IF(ISNUMBER($AW13*BD13),$AW13*BD13,"")</f>
        <v/>
      </c>
      <c r="CE13" s="1426" t="str">
        <f aca="false">IF(ISNUMBER($AX13*BE13),$AX13*BE13,"")</f>
        <v/>
      </c>
      <c r="CF13" s="1372" t="str">
        <f aca="false">IF(ISNUMBER($AW13*BF13),$AW13*BF13,"")</f>
        <v/>
      </c>
      <c r="CG13" s="1372" t="str">
        <f aca="false">IF(ISNUMBER($AX13*BG13),$AX13*BG13,"")</f>
        <v/>
      </c>
      <c r="CH13" s="1372"/>
      <c r="CI13" s="1372"/>
      <c r="CJ13" s="1372"/>
      <c r="CK13" s="1372"/>
      <c r="CL13" s="1339"/>
      <c r="CM13" s="1339"/>
      <c r="CN13" s="1339"/>
      <c r="CO13" s="1339"/>
      <c r="CP13" s="1339"/>
      <c r="CQ13" s="1339"/>
      <c r="CR13" s="1339"/>
      <c r="CU13" s="1411"/>
      <c r="CV13" s="1411"/>
      <c r="CW13" s="1425"/>
      <c r="CX13" s="1425"/>
      <c r="CY13" s="1425"/>
      <c r="CZ13" s="1425"/>
      <c r="DA13" s="1411"/>
      <c r="DB13" s="1411"/>
      <c r="DC13" s="1411"/>
      <c r="DD13" s="1411"/>
      <c r="DE13" s="1411"/>
      <c r="DF13" s="1411"/>
      <c r="DH13" s="1432"/>
      <c r="DI13" s="1432"/>
      <c r="DJ13" s="1437"/>
      <c r="DK13" s="1437"/>
      <c r="DL13" s="1437"/>
      <c r="DM13" s="1437"/>
      <c r="DN13" s="1432"/>
      <c r="DO13" s="1432"/>
      <c r="DP13" s="1432"/>
      <c r="DQ13" s="1432"/>
      <c r="DR13" s="1432"/>
      <c r="DS13" s="1432"/>
      <c r="DT13" s="1316"/>
      <c r="DU13" s="1433"/>
      <c r="DV13" s="1433"/>
      <c r="DW13" s="1433"/>
      <c r="DX13" s="1433"/>
      <c r="DY13" s="1433"/>
      <c r="DZ13" s="1433"/>
      <c r="EA13" s="1433"/>
      <c r="EB13" s="1433"/>
    </row>
    <row r="14" customFormat="false" ht="14.25" hidden="false" customHeight="false" outlineLevel="0" collapsed="false">
      <c r="A14" s="2" t="n">
        <f aca="false">'V_DATOS PAC_SGA'!R9</f>
        <v>0</v>
      </c>
      <c r="B14" s="2" t="n">
        <f aca="false">IF(I14="IV",CONCATENATE('V_DATOS PAC_SGA'!R9,"4")+0,CONCATENATE('V_DATOS PAC_SGA'!R9,"0")+0)</f>
        <v>0</v>
      </c>
      <c r="C14" s="2" t="n">
        <f aca="false">'V_DATOS PAC_SGA'!S9</f>
        <v>0</v>
      </c>
      <c r="D14" s="1409" t="n">
        <f aca="false">'V_DATOS PAC_SGA'!Y9</f>
        <v>0</v>
      </c>
      <c r="E14" s="1410" t="str">
        <f aca="false">IF('V_DATOS PAC_SGA'!AV9="","Regadio",'V_DATOS PAC_SGA'!AV9)</f>
        <v>Regadio</v>
      </c>
      <c r="F14" s="1411" t="n">
        <f aca="false">'V_DATOS PAC_SGA'!BK9</f>
        <v>0</v>
      </c>
      <c r="G14" s="1412" t="n">
        <f aca="false">'V_DATOS PAC_SGA'!AN9</f>
        <v>0</v>
      </c>
      <c r="H14" s="1413" t="str">
        <f aca="false">IF(B14&gt;0,VLOOKUP(B14,'O_MN, PE_UTA_UGM 2024'!E$3:O$419,10),"")</f>
        <v/>
      </c>
      <c r="I14" s="1359" t="n">
        <f aca="false">'V_DATOS PAC_SGA'!BV9</f>
        <v>0</v>
      </c>
      <c r="J14" s="2" t="str">
        <f aca="false">IF(AND(J$4=$G14,J$6=$F14),$D14*J$5,"")</f>
        <v/>
      </c>
      <c r="K14" s="2" t="str">
        <f aca="false">IF(AND(K$4=$G14,K$6=$F14),$D14*K$5,"")</f>
        <v/>
      </c>
      <c r="L14" s="2" t="str">
        <f aca="false">IF(AND(L$4=$G14,L$6=$F14),$D14*L$5,"")</f>
        <v/>
      </c>
      <c r="M14" s="2" t="str">
        <f aca="false">IF(AND(M$4=$G14,M$6=$F14),$D14*M$5,"")</f>
        <v/>
      </c>
      <c r="N14" s="1414" t="n">
        <f aca="false">VLOOKUP(B14,'O_MN, PE_UTA_UGM 2024'!$E$2:$K$419,IF(G14&gt;1,6,7))</f>
        <v>0</v>
      </c>
      <c r="O14" s="1434" t="str">
        <f aca="false">IF($H14=O$4,$D14*$N14,"")</f>
        <v/>
      </c>
      <c r="P14" s="1435" t="str">
        <f aca="false">IF($H14=P$4,$D14*$N14,"")</f>
        <v/>
      </c>
      <c r="Q14" s="1435" t="str">
        <f aca="false">IF($H14=Q$4,$D14*$N14,"")</f>
        <v/>
      </c>
      <c r="R14" s="1435" t="str">
        <f aca="false">IF($H14=R$4,$D14*$N14,"")</f>
        <v/>
      </c>
      <c r="S14" s="1435" t="str">
        <f aca="false">IF($H14=S$4,$D14*$N14,"")</f>
        <v/>
      </c>
      <c r="T14" s="1435" t="str">
        <f aca="false">IF($H14=T$4,$D14*$N14,"")</f>
        <v/>
      </c>
      <c r="U14" s="1436" t="str">
        <f aca="false">IF($H14=U$4,$D14*$N14,"")</f>
        <v/>
      </c>
      <c r="V14" s="1418"/>
      <c r="W14" s="1419"/>
      <c r="X14" s="1419"/>
      <c r="Y14" s="1419"/>
      <c r="Z14" s="1419"/>
      <c r="AA14" s="1419"/>
      <c r="AB14" s="1420"/>
      <c r="AC14" s="1319"/>
      <c r="AD14" s="2" t="str">
        <f aca="false">IF(AND(AD$4=$G14,AD$6=$F14),$B14,"")</f>
        <v/>
      </c>
      <c r="AE14" s="2" t="str">
        <f aca="false">IF(AND(AE$4=$G14,AE$6=$F14),$B14,"")</f>
        <v/>
      </c>
      <c r="AF14" s="2" t="str">
        <f aca="false">IF(AND(AF$4=$G14,AF$6=$F14),$B14,"")</f>
        <v/>
      </c>
      <c r="AG14" s="2" t="str">
        <f aca="false">IF(AND(AG$4=$G14,AG$6=$F14),$B14,"")</f>
        <v/>
      </c>
      <c r="AI14" s="366"/>
      <c r="AL14" s="367"/>
      <c r="AO14" s="367"/>
      <c r="AP14" s="2" t="str">
        <f aca="false">IF(AT14&gt;0,RANK(AT14,AT$7:AT$423),"")</f>
        <v/>
      </c>
      <c r="AQ14" s="2" t="n">
        <f aca="false">'O_MN, PE_UTA_UGM 2024'!C10</f>
        <v>8</v>
      </c>
      <c r="AR14" s="1421" t="n">
        <v>80</v>
      </c>
      <c r="AS14" s="2" t="str">
        <f aca="false">IF(AY14&lt;&gt;"",AY14,"")</f>
        <v/>
      </c>
      <c r="AT14" s="1422" t="n">
        <f aca="false">IF(ISNUMBER($AR14),SUMIF(B$7:B$505,AR14,D$7:D$505),"")</f>
        <v>0</v>
      </c>
      <c r="AU14" s="1411" t="n">
        <f aca="false">IF(ISNUMBER($AR14),SUMIF(AD$7:AD$503,$AR14,J$7:J$503),"")</f>
        <v>0</v>
      </c>
      <c r="AV14" s="1411" t="n">
        <f aca="false">IF(ISNUMBER($AR14),SUMIF(AF$7:AF$503,$AR14,L$7:L$503),"")</f>
        <v>0</v>
      </c>
      <c r="AW14" s="1423" t="n">
        <f aca="false">IF(ISNUMBER($AR14),SUMIF(AE$7:AE$503,$AR14,K$7:K$503),"")</f>
        <v>0</v>
      </c>
      <c r="AX14" s="1423" t="n">
        <f aca="false">IF(ISNUMBER($AR14),SUMIF(AG$7:AG$503,$AR14,M$7:M$503),"")</f>
        <v>0</v>
      </c>
      <c r="AY14" s="2" t="str">
        <f aca="false">IF($AT14&gt;0,VLOOKUP($AR14,'O_MN, PE_UTA_UGM 2024'!E10:O426,2),"")</f>
        <v/>
      </c>
      <c r="AZ14" s="1424"/>
      <c r="BA14" s="1424"/>
      <c r="BB14" s="1424" t="str">
        <f aca="false">IF($AT14&gt;0,VLOOKUP($AR14,'O_MN, PE_UTA_UGM 2024'!$E$3:$O$419,BB$6),"")</f>
        <v/>
      </c>
      <c r="BC14" s="1424" t="str">
        <f aca="false">IF($AT14&gt;0,VLOOKUP($AR14,'O_MN, PE_UTA_UGM 2024'!$E$3:$O$419,BC$6),"")</f>
        <v/>
      </c>
      <c r="BD14" s="1424" t="str">
        <f aca="false">IF($AT14&gt;0,VLOOKUP($AR14,'O_MN, PE_UTA_UGM 2024'!$E$3:$O$419,BD$6),"")</f>
        <v/>
      </c>
      <c r="BE14" s="1424" t="str">
        <f aca="false">IF($AT14&gt;0,VLOOKUP($AR14,'O_MN, PE_UTA_UGM 2024'!$E$3:$O$419,BE$6),"")</f>
        <v/>
      </c>
      <c r="BF14" s="1424" t="str">
        <f aca="false">IF($AT14&gt;0,VLOOKUP($AR14,'O_MN, PE_UTA_UGM 2024'!$E$3:$O$419,BF$6),"")</f>
        <v/>
      </c>
      <c r="BG14" s="1424" t="str">
        <f aca="false">IF($AT14&gt;0,VLOOKUP($AR14,'O_MN, PE_UTA_UGM 2024'!$E$3:$O$419,BG$6),"")</f>
        <v/>
      </c>
      <c r="BH14" s="872"/>
      <c r="BI14" s="872"/>
      <c r="BJ14" s="872"/>
      <c r="BK14" s="872"/>
      <c r="BM14" s="1411"/>
      <c r="BN14" s="1411"/>
      <c r="BO14" s="1425" t="str">
        <f aca="false">IF(ISNUMBER($AU14*BB14*1),$AU14*BB14*1,"")</f>
        <v/>
      </c>
      <c r="BP14" s="1425" t="str">
        <f aca="false">IF(ISNUMBER($AV14*BC14*1),$AV14*BC14*1,"")</f>
        <v/>
      </c>
      <c r="BQ14" s="1425" t="str">
        <f aca="false">IF(ISNUMBER($AU14*BD14*1),$AU14*BD14*1,"")</f>
        <v/>
      </c>
      <c r="BR14" s="1425" t="str">
        <f aca="false">IF(ISNUMBER($AV14*BE14*1),$AV14*BE14*1,"")</f>
        <v/>
      </c>
      <c r="BS14" s="1411" t="str">
        <f aca="false">IF(ISNUMBER($AU14*BF14),$AU14*BF14,"")</f>
        <v/>
      </c>
      <c r="BT14" s="1411" t="str">
        <f aca="false">IF(ISNUMBER($AV14*BG14),$AV14*BG14,"")</f>
        <v/>
      </c>
      <c r="BU14" s="1411"/>
      <c r="BV14" s="1411"/>
      <c r="BW14" s="1411"/>
      <c r="BX14" s="1411"/>
      <c r="BZ14" s="1372"/>
      <c r="CA14" s="1372"/>
      <c r="CB14" s="1426" t="str">
        <f aca="false">IF(ISNUMBER($AW14*BB14),$AW14*BB14,"")</f>
        <v/>
      </c>
      <c r="CC14" s="1426" t="str">
        <f aca="false">IF(ISNUMBER($AX14*BC14),$AX14*BC14,"")</f>
        <v/>
      </c>
      <c r="CD14" s="1426" t="str">
        <f aca="false">IF(ISNUMBER($AW14*BD14),$AW14*BD14,"")</f>
        <v/>
      </c>
      <c r="CE14" s="1426" t="str">
        <f aca="false">IF(ISNUMBER($AX14*BE14),$AX14*BE14,"")</f>
        <v/>
      </c>
      <c r="CF14" s="1372" t="str">
        <f aca="false">IF(ISNUMBER($AW14*BF14),$AW14*BF14,"")</f>
        <v/>
      </c>
      <c r="CG14" s="1372" t="str">
        <f aca="false">IF(ISNUMBER($AX14*BG14),$AX14*BG14,"")</f>
        <v/>
      </c>
      <c r="CH14" s="1372"/>
      <c r="CI14" s="1372"/>
      <c r="CJ14" s="1372"/>
      <c r="CK14" s="1372"/>
      <c r="CL14" s="1339"/>
      <c r="CM14" s="1339"/>
      <c r="CN14" s="1339"/>
      <c r="CO14" s="1339"/>
      <c r="CP14" s="1339"/>
      <c r="CQ14" s="1339"/>
      <c r="CR14" s="1339"/>
      <c r="CU14" s="1411"/>
      <c r="CV14" s="1411"/>
      <c r="CW14" s="1425"/>
      <c r="CX14" s="1425"/>
      <c r="CY14" s="1425"/>
      <c r="CZ14" s="1425"/>
      <c r="DA14" s="1411"/>
      <c r="DB14" s="1411"/>
      <c r="DC14" s="1411"/>
      <c r="DD14" s="1411"/>
      <c r="DE14" s="1411"/>
      <c r="DF14" s="1411"/>
      <c r="DH14" s="1432"/>
      <c r="DI14" s="1432"/>
      <c r="DJ14" s="1437"/>
      <c r="DK14" s="1437"/>
      <c r="DL14" s="1437"/>
      <c r="DM14" s="1437"/>
      <c r="DN14" s="1432"/>
      <c r="DO14" s="1432"/>
      <c r="DP14" s="1432"/>
      <c r="DQ14" s="1432"/>
      <c r="DR14" s="1432"/>
      <c r="DS14" s="1432"/>
      <c r="DT14" s="1316"/>
      <c r="DU14" s="1433"/>
      <c r="DV14" s="1433"/>
      <c r="DW14" s="1433"/>
      <c r="DX14" s="1433"/>
      <c r="DY14" s="1433"/>
      <c r="DZ14" s="1433"/>
      <c r="EA14" s="1433"/>
      <c r="EB14" s="1433"/>
    </row>
    <row r="15" customFormat="false" ht="14.25" hidden="false" customHeight="false" outlineLevel="0" collapsed="false">
      <c r="A15" s="2" t="n">
        <f aca="false">'V_DATOS PAC_SGA'!R10</f>
        <v>0</v>
      </c>
      <c r="B15" s="2" t="n">
        <f aca="false">IF(I15="IV",CONCATENATE('V_DATOS PAC_SGA'!R10,"4")+0,CONCATENATE('V_DATOS PAC_SGA'!R10,"0")+0)</f>
        <v>0</v>
      </c>
      <c r="C15" s="2" t="n">
        <f aca="false">'V_DATOS PAC_SGA'!S10</f>
        <v>0</v>
      </c>
      <c r="D15" s="1409" t="n">
        <f aca="false">'V_DATOS PAC_SGA'!Y10</f>
        <v>0</v>
      </c>
      <c r="E15" s="1410" t="str">
        <f aca="false">IF('V_DATOS PAC_SGA'!AV10="","Regadio",'V_DATOS PAC_SGA'!AV10)</f>
        <v>Regadio</v>
      </c>
      <c r="F15" s="1411" t="n">
        <f aca="false">'V_DATOS PAC_SGA'!BK10</f>
        <v>0</v>
      </c>
      <c r="G15" s="1412" t="n">
        <f aca="false">'V_DATOS PAC_SGA'!AN10</f>
        <v>0</v>
      </c>
      <c r="H15" s="1413" t="str">
        <f aca="false">IF(B15&gt;0,VLOOKUP(B15,'O_MN, PE_UTA_UGM 2024'!E$3:O$419,10),"")</f>
        <v/>
      </c>
      <c r="I15" s="1359" t="n">
        <f aca="false">'V_DATOS PAC_SGA'!BV10</f>
        <v>0</v>
      </c>
      <c r="J15" s="2" t="str">
        <f aca="false">IF(AND(J$4=$G15,J$6=$F15),$D15*J$5,"")</f>
        <v/>
      </c>
      <c r="K15" s="2" t="str">
        <f aca="false">IF(AND(K$4=$G15,K$6=$F15),$D15*K$5,"")</f>
        <v/>
      </c>
      <c r="L15" s="2" t="str">
        <f aca="false">IF(AND(L$4=$G15,L$6=$F15),$D15*L$5,"")</f>
        <v/>
      </c>
      <c r="M15" s="2" t="str">
        <f aca="false">IF(AND(M$4=$G15,M$6=$F15),$D15*M$5,"")</f>
        <v/>
      </c>
      <c r="N15" s="1414" t="n">
        <f aca="false">VLOOKUP(B15,'O_MN, PE_UTA_UGM 2024'!$E$2:$K$419,IF(G15&gt;1,6,7))</f>
        <v>0</v>
      </c>
      <c r="O15" s="1434" t="str">
        <f aca="false">IF($H15=O$4,$D15*$N15,"")</f>
        <v/>
      </c>
      <c r="P15" s="1435" t="str">
        <f aca="false">IF($H15=P$4,$D15*$N15,"")</f>
        <v/>
      </c>
      <c r="Q15" s="1435" t="str">
        <f aca="false">IF($H15=Q$4,$D15*$N15,"")</f>
        <v/>
      </c>
      <c r="R15" s="1435" t="str">
        <f aca="false">IF($H15=R$4,$D15*$N15,"")</f>
        <v/>
      </c>
      <c r="S15" s="1435" t="str">
        <f aca="false">IF($H15=S$4,$D15*$N15,"")</f>
        <v/>
      </c>
      <c r="T15" s="1435" t="str">
        <f aca="false">IF($H15=T$4,$D15*$N15,"")</f>
        <v/>
      </c>
      <c r="U15" s="1436" t="str">
        <f aca="false">IF($H15=U$4,$D15*$N15,"")</f>
        <v/>
      </c>
      <c r="V15" s="1418"/>
      <c r="W15" s="1419"/>
      <c r="X15" s="1419"/>
      <c r="Y15" s="1419"/>
      <c r="Z15" s="1419"/>
      <c r="AA15" s="1419"/>
      <c r="AB15" s="1420"/>
      <c r="AC15" s="1319"/>
      <c r="AD15" s="2" t="str">
        <f aca="false">IF(AND(AD$4=$G15,AD$6=$F15),$B15,"")</f>
        <v/>
      </c>
      <c r="AE15" s="2" t="str">
        <f aca="false">IF(AND(AE$4=$G15,AE$6=$F15),$B15,"")</f>
        <v/>
      </c>
      <c r="AF15" s="2" t="str">
        <f aca="false">IF(AND(AF$4=$G15,AF$6=$F15),$B15,"")</f>
        <v/>
      </c>
      <c r="AG15" s="2" t="str">
        <f aca="false">IF(AND(AG$4=$G15,AG$6=$F15),$B15,"")</f>
        <v/>
      </c>
      <c r="AI15" s="366"/>
      <c r="AL15" s="367"/>
      <c r="AO15" s="367"/>
      <c r="AP15" s="2" t="str">
        <f aca="false">IF(AT15&gt;0,RANK(AT15,AT$7:AT$423),"")</f>
        <v/>
      </c>
      <c r="AQ15" s="2" t="n">
        <f aca="false">'O_MN, PE_UTA_UGM 2024'!C11</f>
        <v>9</v>
      </c>
      <c r="AR15" s="1421" t="n">
        <v>90</v>
      </c>
      <c r="AS15" s="2" t="str">
        <f aca="false">IF(AY15&lt;&gt;"",AY15,"")</f>
        <v/>
      </c>
      <c r="AT15" s="1422" t="n">
        <f aca="false">IF(ISNUMBER($AR15),SUMIF(B$7:B$505,AR15,D$7:D$505),"")</f>
        <v>0</v>
      </c>
      <c r="AU15" s="1411" t="n">
        <f aca="false">IF(ISNUMBER($AR15),SUMIF(AD$7:AD$503,$AR15,J$7:J$503),"")</f>
        <v>0</v>
      </c>
      <c r="AV15" s="1411" t="n">
        <f aca="false">IF(ISNUMBER($AR15),SUMIF(AF$7:AF$503,$AR15,L$7:L$503),"")</f>
        <v>0</v>
      </c>
      <c r="AW15" s="1423" t="n">
        <f aca="false">IF(ISNUMBER($AR15),SUMIF(AE$7:AE$503,$AR15,K$7:K$503),"")</f>
        <v>0</v>
      </c>
      <c r="AX15" s="1423" t="n">
        <f aca="false">IF(ISNUMBER($AR15),SUMIF(AG$7:AG$503,$AR15,M$7:M$503),"")</f>
        <v>0</v>
      </c>
      <c r="AY15" s="2" t="str">
        <f aca="false">IF($AT15&gt;0,VLOOKUP($AR15,'O_MN, PE_UTA_UGM 2024'!E11:O427,2),"")</f>
        <v/>
      </c>
      <c r="AZ15" s="1424"/>
      <c r="BA15" s="1424"/>
      <c r="BB15" s="1424" t="str">
        <f aca="false">IF($AT15&gt;0,VLOOKUP($AR15,'O_MN, PE_UTA_UGM 2024'!$E$3:$O$419,BB$6),"")</f>
        <v/>
      </c>
      <c r="BC15" s="1424" t="str">
        <f aca="false">IF($AT15&gt;0,VLOOKUP($AR15,'O_MN, PE_UTA_UGM 2024'!$E$3:$O$419,BC$6),"")</f>
        <v/>
      </c>
      <c r="BD15" s="1424" t="str">
        <f aca="false">IF($AT15&gt;0,VLOOKUP($AR15,'O_MN, PE_UTA_UGM 2024'!$E$3:$O$419,BD$6),"")</f>
        <v/>
      </c>
      <c r="BE15" s="1424" t="str">
        <f aca="false">IF($AT15&gt;0,VLOOKUP($AR15,'O_MN, PE_UTA_UGM 2024'!$E$3:$O$419,BE$6),"")</f>
        <v/>
      </c>
      <c r="BF15" s="1424" t="str">
        <f aca="false">IF($AT15&gt;0,VLOOKUP($AR15,'O_MN, PE_UTA_UGM 2024'!$E$3:$O$419,BF$6),"")</f>
        <v/>
      </c>
      <c r="BG15" s="1424" t="str">
        <f aca="false">IF($AT15&gt;0,VLOOKUP($AR15,'O_MN, PE_UTA_UGM 2024'!$E$3:$O$419,BG$6),"")</f>
        <v/>
      </c>
      <c r="BH15" s="872"/>
      <c r="BI15" s="872"/>
      <c r="BJ15" s="872"/>
      <c r="BK15" s="872"/>
      <c r="BM15" s="1411"/>
      <c r="BN15" s="1411"/>
      <c r="BO15" s="1425" t="str">
        <f aca="false">IF(ISNUMBER($AU15*BB15*1),$AU15*BB15*1,"")</f>
        <v/>
      </c>
      <c r="BP15" s="1425" t="str">
        <f aca="false">IF(ISNUMBER($AV15*BC15*1),$AV15*BC15*1,"")</f>
        <v/>
      </c>
      <c r="BQ15" s="1425" t="str">
        <f aca="false">IF(ISNUMBER($AU15*BD15*1),$AU15*BD15*1,"")</f>
        <v/>
      </c>
      <c r="BR15" s="1425" t="str">
        <f aca="false">IF(ISNUMBER($AV15*BE15*1),$AV15*BE15*1,"")</f>
        <v/>
      </c>
      <c r="BS15" s="1411" t="str">
        <f aca="false">IF(ISNUMBER($AU15*BF15),$AU15*BF15,"")</f>
        <v/>
      </c>
      <c r="BT15" s="1411" t="str">
        <f aca="false">IF(ISNUMBER($AV15*BG15),$AV15*BG15,"")</f>
        <v/>
      </c>
      <c r="BU15" s="1411"/>
      <c r="BV15" s="1411"/>
      <c r="BW15" s="1411"/>
      <c r="BX15" s="1411"/>
      <c r="BZ15" s="1372"/>
      <c r="CA15" s="1372"/>
      <c r="CB15" s="1426" t="str">
        <f aca="false">IF(ISNUMBER($AW15*BB15),$AW15*BB15,"")</f>
        <v/>
      </c>
      <c r="CC15" s="1426" t="str">
        <f aca="false">IF(ISNUMBER($AX15*BC15),$AX15*BC15,"")</f>
        <v/>
      </c>
      <c r="CD15" s="1426" t="str">
        <f aca="false">IF(ISNUMBER($AW15*BD15),$AW15*BD15,"")</f>
        <v/>
      </c>
      <c r="CE15" s="1426" t="str">
        <f aca="false">IF(ISNUMBER($AX15*BE15),$AX15*BE15,"")</f>
        <v/>
      </c>
      <c r="CF15" s="1372" t="str">
        <f aca="false">IF(ISNUMBER($AW15*BF15),$AW15*BF15,"")</f>
        <v/>
      </c>
      <c r="CG15" s="1372" t="str">
        <f aca="false">IF(ISNUMBER($AX15*BG15),$AX15*BG15,"")</f>
        <v/>
      </c>
      <c r="CH15" s="1372"/>
      <c r="CI15" s="1372"/>
      <c r="CJ15" s="1372"/>
      <c r="CK15" s="1372"/>
      <c r="CL15" s="1339"/>
      <c r="CM15" s="1339"/>
      <c r="CN15" s="1339"/>
      <c r="CO15" s="1339"/>
      <c r="CP15" s="1339"/>
      <c r="CQ15" s="1339"/>
      <c r="CR15" s="1339"/>
      <c r="CU15" s="1411"/>
      <c r="CV15" s="1411"/>
      <c r="CW15" s="1425"/>
      <c r="CX15" s="1425"/>
      <c r="CY15" s="1425"/>
      <c r="CZ15" s="1425"/>
      <c r="DA15" s="1411"/>
      <c r="DB15" s="1411"/>
      <c r="DC15" s="1411"/>
      <c r="DD15" s="1411"/>
      <c r="DE15" s="1411"/>
      <c r="DF15" s="1411"/>
      <c r="DH15" s="1432"/>
      <c r="DI15" s="1432"/>
      <c r="DJ15" s="1437"/>
      <c r="DK15" s="1437"/>
      <c r="DL15" s="1437"/>
      <c r="DM15" s="1437"/>
      <c r="DN15" s="1432"/>
      <c r="DO15" s="1432"/>
      <c r="DP15" s="1432"/>
      <c r="DQ15" s="1432"/>
      <c r="DR15" s="1432"/>
      <c r="DS15" s="1432"/>
      <c r="DT15" s="1316"/>
      <c r="DU15" s="1433"/>
      <c r="DV15" s="1433"/>
      <c r="DW15" s="1433"/>
      <c r="DX15" s="1433"/>
      <c r="DY15" s="1433"/>
      <c r="DZ15" s="1433"/>
      <c r="EA15" s="1433"/>
      <c r="EB15" s="1433"/>
    </row>
    <row r="16" customFormat="false" ht="14.25" hidden="false" customHeight="false" outlineLevel="0" collapsed="false">
      <c r="A16" s="2" t="n">
        <f aca="false">'V_DATOS PAC_SGA'!R11</f>
        <v>0</v>
      </c>
      <c r="B16" s="2" t="n">
        <f aca="false">IF(I16="IV",CONCATENATE('V_DATOS PAC_SGA'!R11,"4")+0,CONCATENATE('V_DATOS PAC_SGA'!R11,"0")+0)</f>
        <v>0</v>
      </c>
      <c r="C16" s="2" t="n">
        <f aca="false">'V_DATOS PAC_SGA'!S11</f>
        <v>0</v>
      </c>
      <c r="D16" s="1409" t="n">
        <f aca="false">'V_DATOS PAC_SGA'!Y11</f>
        <v>0</v>
      </c>
      <c r="E16" s="1410" t="str">
        <f aca="false">IF('V_DATOS PAC_SGA'!AV11="","Regadio",'V_DATOS PAC_SGA'!AV11)</f>
        <v>Regadio</v>
      </c>
      <c r="F16" s="1411" t="n">
        <f aca="false">'V_DATOS PAC_SGA'!BK11</f>
        <v>0</v>
      </c>
      <c r="G16" s="1412" t="n">
        <f aca="false">'V_DATOS PAC_SGA'!AN11</f>
        <v>0</v>
      </c>
      <c r="H16" s="1413" t="str">
        <f aca="false">IF(B16&gt;0,VLOOKUP(B16,'O_MN, PE_UTA_UGM 2024'!E$3:O$419,10),"")</f>
        <v/>
      </c>
      <c r="I16" s="1359" t="n">
        <f aca="false">'V_DATOS PAC_SGA'!BV11</f>
        <v>0</v>
      </c>
      <c r="J16" s="2" t="str">
        <f aca="false">IF(AND(J$4=$G16,J$6=$F16),$D16*J$5,"")</f>
        <v/>
      </c>
      <c r="K16" s="2" t="str">
        <f aca="false">IF(AND(K$4=$G16,K$6=$F16),$D16*K$5,"")</f>
        <v/>
      </c>
      <c r="L16" s="2" t="str">
        <f aca="false">IF(AND(L$4=$G16,L$6=$F16),$D16*L$5,"")</f>
        <v/>
      </c>
      <c r="M16" s="2" t="str">
        <f aca="false">IF(AND(M$4=$G16,M$6=$F16),$D16*M$5,"")</f>
        <v/>
      </c>
      <c r="N16" s="1414" t="n">
        <f aca="false">VLOOKUP(B16,'O_MN, PE_UTA_UGM 2024'!$E$2:$K$419,IF(G16&gt;1,6,7))</f>
        <v>0</v>
      </c>
      <c r="O16" s="1434" t="str">
        <f aca="false">IF($H16=O$4,$D16*$N16,"")</f>
        <v/>
      </c>
      <c r="P16" s="1435" t="str">
        <f aca="false">IF($H16=P$4,$D16*$N16,"")</f>
        <v/>
      </c>
      <c r="Q16" s="1435" t="str">
        <f aca="false">IF($H16=Q$4,$D16*$N16,"")</f>
        <v/>
      </c>
      <c r="R16" s="1435" t="str">
        <f aca="false">IF($H16=R$4,$D16*$N16,"")</f>
        <v/>
      </c>
      <c r="S16" s="1435" t="str">
        <f aca="false">IF($H16=S$4,$D16*$N16,"")</f>
        <v/>
      </c>
      <c r="T16" s="1435" t="str">
        <f aca="false">IF($H16=T$4,$D16*$N16,"")</f>
        <v/>
      </c>
      <c r="U16" s="1436" t="str">
        <f aca="false">IF($H16=U$4,$D16*$N16,"")</f>
        <v/>
      </c>
      <c r="V16" s="1418"/>
      <c r="W16" s="1419"/>
      <c r="X16" s="1419"/>
      <c r="Y16" s="1419"/>
      <c r="Z16" s="1419"/>
      <c r="AA16" s="1419"/>
      <c r="AB16" s="1420"/>
      <c r="AC16" s="1319"/>
      <c r="AD16" s="2" t="str">
        <f aca="false">IF(AND(AD$4=$G16,AD$6=$F16),$B16,"")</f>
        <v/>
      </c>
      <c r="AE16" s="2" t="str">
        <f aca="false">IF(AND(AE$4=$G16,AE$6=$F16),$B16,"")</f>
        <v/>
      </c>
      <c r="AF16" s="2" t="str">
        <f aca="false">IF(AND(AF$4=$G16,AF$6=$F16),$B16,"")</f>
        <v/>
      </c>
      <c r="AG16" s="2" t="str">
        <f aca="false">IF(AND(AG$4=$G16,AG$6=$F16),$B16,"")</f>
        <v/>
      </c>
      <c r="AI16" s="366"/>
      <c r="AL16" s="367"/>
      <c r="AO16" s="367"/>
      <c r="AP16" s="2" t="str">
        <f aca="false">IF(AT16&gt;0,RANK(AT16,AT$7:AT$423),"")</f>
        <v/>
      </c>
      <c r="AQ16" s="2" t="n">
        <f aca="false">'O_MN, PE_UTA_UGM 2024'!C12</f>
        <v>10</v>
      </c>
      <c r="AR16" s="1421" t="n">
        <v>100</v>
      </c>
      <c r="AS16" s="2" t="str">
        <f aca="false">IF(AY16&lt;&gt;"",AY16,"")</f>
        <v/>
      </c>
      <c r="AT16" s="1422" t="n">
        <f aca="false">IF(ISNUMBER($AR16),SUMIF(B$7:B$505,AR16,D$7:D$505),"")</f>
        <v>0</v>
      </c>
      <c r="AU16" s="1411" t="n">
        <f aca="false">IF(ISNUMBER($AR16),SUMIF(AD$7:AD$503,$AR16,J$7:J$503),"")</f>
        <v>0</v>
      </c>
      <c r="AV16" s="1411" t="n">
        <f aca="false">IF(ISNUMBER($AR16),SUMIF(AF$7:AF$503,$AR16,L$7:L$503),"")</f>
        <v>0</v>
      </c>
      <c r="AW16" s="1423" t="n">
        <f aca="false">IF(ISNUMBER($AR16),SUMIF(AE$7:AE$503,$AR16,K$7:K$503),"")</f>
        <v>0</v>
      </c>
      <c r="AX16" s="1423" t="n">
        <f aca="false">IF(ISNUMBER($AR16),SUMIF(AG$7:AG$503,$AR16,M$7:M$503),"")</f>
        <v>0</v>
      </c>
      <c r="AY16" s="2" t="str">
        <f aca="false">IF($AT16&gt;0,VLOOKUP($AR16,'O_MN, PE_UTA_UGM 2024'!E12:O428,2),"")</f>
        <v/>
      </c>
      <c r="AZ16" s="1424"/>
      <c r="BA16" s="1424"/>
      <c r="BB16" s="1424" t="str">
        <f aca="false">IF($AT16&gt;0,VLOOKUP($AR16,'O_MN, PE_UTA_UGM 2024'!$E$3:$O$419,BB$6),"")</f>
        <v/>
      </c>
      <c r="BC16" s="1424" t="str">
        <f aca="false">IF($AT16&gt;0,VLOOKUP($AR16,'O_MN, PE_UTA_UGM 2024'!$E$3:$O$419,BC$6),"")</f>
        <v/>
      </c>
      <c r="BD16" s="1424" t="str">
        <f aca="false">IF($AT16&gt;0,VLOOKUP($AR16,'O_MN, PE_UTA_UGM 2024'!$E$3:$O$419,BD$6),"")</f>
        <v/>
      </c>
      <c r="BE16" s="1424" t="str">
        <f aca="false">IF($AT16&gt;0,VLOOKUP($AR16,'O_MN, PE_UTA_UGM 2024'!$E$3:$O$419,BE$6),"")</f>
        <v/>
      </c>
      <c r="BF16" s="1424" t="str">
        <f aca="false">IF($AT16&gt;0,VLOOKUP($AR16,'O_MN, PE_UTA_UGM 2024'!$E$3:$O$419,BF$6),"")</f>
        <v/>
      </c>
      <c r="BG16" s="1424" t="str">
        <f aca="false">IF($AT16&gt;0,VLOOKUP($AR16,'O_MN, PE_UTA_UGM 2024'!$E$3:$O$419,BG$6),"")</f>
        <v/>
      </c>
      <c r="BH16" s="872"/>
      <c r="BI16" s="872"/>
      <c r="BJ16" s="872"/>
      <c r="BK16" s="872"/>
      <c r="BM16" s="1411"/>
      <c r="BN16" s="1411"/>
      <c r="BO16" s="1425" t="str">
        <f aca="false">IF(ISNUMBER($AU16*BB16*1),$AU16*BB16*1,"")</f>
        <v/>
      </c>
      <c r="BP16" s="1425" t="str">
        <f aca="false">IF(ISNUMBER($AV16*BC16*1),$AV16*BC16*1,"")</f>
        <v/>
      </c>
      <c r="BQ16" s="1425" t="str">
        <f aca="false">IF(ISNUMBER($AU16*BD16*1),$AU16*BD16*1,"")</f>
        <v/>
      </c>
      <c r="BR16" s="1425" t="str">
        <f aca="false">IF(ISNUMBER($AV16*BE16*1),$AV16*BE16*1,"")</f>
        <v/>
      </c>
      <c r="BS16" s="1411" t="str">
        <f aca="false">IF(ISNUMBER($AU16*BF16),$AU16*BF16,"")</f>
        <v/>
      </c>
      <c r="BT16" s="1411" t="str">
        <f aca="false">IF(ISNUMBER($AV16*BG16),$AV16*BG16,"")</f>
        <v/>
      </c>
      <c r="BU16" s="1411"/>
      <c r="BV16" s="1411"/>
      <c r="BW16" s="1411"/>
      <c r="BX16" s="1411"/>
      <c r="BZ16" s="1372"/>
      <c r="CA16" s="1372"/>
      <c r="CB16" s="1426" t="str">
        <f aca="false">IF(ISNUMBER($AW16*BB16),$AW16*BB16,"")</f>
        <v/>
      </c>
      <c r="CC16" s="1426" t="str">
        <f aca="false">IF(ISNUMBER($AX16*BC16),$AX16*BC16,"")</f>
        <v/>
      </c>
      <c r="CD16" s="1426" t="str">
        <f aca="false">IF(ISNUMBER($AW16*BD16),$AW16*BD16,"")</f>
        <v/>
      </c>
      <c r="CE16" s="1426" t="str">
        <f aca="false">IF(ISNUMBER($AX16*BE16),$AX16*BE16,"")</f>
        <v/>
      </c>
      <c r="CF16" s="1372" t="str">
        <f aca="false">IF(ISNUMBER($AW16*BF16),$AW16*BF16,"")</f>
        <v/>
      </c>
      <c r="CG16" s="1372" t="str">
        <f aca="false">IF(ISNUMBER($AX16*BG16),$AX16*BG16,"")</f>
        <v/>
      </c>
      <c r="CH16" s="1372"/>
      <c r="CI16" s="1372"/>
      <c r="CJ16" s="1372"/>
      <c r="CK16" s="1372"/>
      <c r="CL16" s="1339"/>
      <c r="CM16" s="1339"/>
      <c r="CN16" s="1339"/>
      <c r="CO16" s="1339"/>
      <c r="CP16" s="1339"/>
      <c r="CQ16" s="1339"/>
      <c r="CR16" s="1339"/>
      <c r="CU16" s="1411"/>
      <c r="CV16" s="1411"/>
      <c r="CW16" s="1425"/>
      <c r="CX16" s="1425"/>
      <c r="CY16" s="1425"/>
      <c r="CZ16" s="1425"/>
      <c r="DA16" s="1411"/>
      <c r="DB16" s="1411"/>
      <c r="DC16" s="1411"/>
      <c r="DD16" s="1411"/>
      <c r="DE16" s="1411"/>
      <c r="DF16" s="1411"/>
      <c r="DH16" s="1432"/>
      <c r="DI16" s="1432"/>
      <c r="DJ16" s="1437"/>
      <c r="DK16" s="1437"/>
      <c r="DL16" s="1437"/>
      <c r="DM16" s="1437"/>
      <c r="DN16" s="1432"/>
      <c r="DO16" s="1432"/>
      <c r="DP16" s="1432"/>
      <c r="DQ16" s="1432"/>
      <c r="DR16" s="1432"/>
      <c r="DS16" s="1432"/>
      <c r="DT16" s="1316"/>
      <c r="DU16" s="1433"/>
      <c r="DV16" s="1433"/>
      <c r="DW16" s="1433"/>
      <c r="DX16" s="1433"/>
      <c r="DY16" s="1433"/>
      <c r="DZ16" s="1433"/>
      <c r="EA16" s="1433"/>
      <c r="EB16" s="1433"/>
    </row>
    <row r="17" customFormat="false" ht="14.25" hidden="false" customHeight="false" outlineLevel="0" collapsed="false">
      <c r="A17" s="2" t="n">
        <f aca="false">'V_DATOS PAC_SGA'!R12</f>
        <v>0</v>
      </c>
      <c r="B17" s="2" t="n">
        <f aca="false">IF(I17="IV",CONCATENATE('V_DATOS PAC_SGA'!R12,"4")+0,CONCATENATE('V_DATOS PAC_SGA'!R12,"0")+0)</f>
        <v>0</v>
      </c>
      <c r="C17" s="2" t="n">
        <f aca="false">'V_DATOS PAC_SGA'!S12</f>
        <v>0</v>
      </c>
      <c r="D17" s="1409" t="n">
        <f aca="false">'V_DATOS PAC_SGA'!Y12</f>
        <v>0</v>
      </c>
      <c r="E17" s="1410" t="str">
        <f aca="false">IF('V_DATOS PAC_SGA'!AV12="","Regadio",'V_DATOS PAC_SGA'!AV12)</f>
        <v>Regadio</v>
      </c>
      <c r="F17" s="1411" t="n">
        <f aca="false">'V_DATOS PAC_SGA'!BK12</f>
        <v>0</v>
      </c>
      <c r="G17" s="1412" t="n">
        <f aca="false">'V_DATOS PAC_SGA'!AN12</f>
        <v>0</v>
      </c>
      <c r="H17" s="1413" t="str">
        <f aca="false">IF(B17&gt;0,VLOOKUP(B17,'O_MN, PE_UTA_UGM 2024'!E$3:O$419,10),"")</f>
        <v/>
      </c>
      <c r="I17" s="1359" t="n">
        <f aca="false">'V_DATOS PAC_SGA'!BV12</f>
        <v>0</v>
      </c>
      <c r="J17" s="2" t="str">
        <f aca="false">IF(AND(J$4=$G17,J$6=$F17),$D17*J$5,"")</f>
        <v/>
      </c>
      <c r="K17" s="2" t="str">
        <f aca="false">IF(AND(K$4=$G17,K$6=$F17),$D17*K$5,"")</f>
        <v/>
      </c>
      <c r="L17" s="2" t="str">
        <f aca="false">IF(AND(L$4=$G17,L$6=$F17),$D17*L$5,"")</f>
        <v/>
      </c>
      <c r="M17" s="2" t="str">
        <f aca="false">IF(AND(M$4=$G17,M$6=$F17),$D17*M$5,"")</f>
        <v/>
      </c>
      <c r="N17" s="1414" t="n">
        <f aca="false">VLOOKUP(B17,'O_MN, PE_UTA_UGM 2024'!$E$2:$K$419,IF(G17&gt;1,6,7))</f>
        <v>0</v>
      </c>
      <c r="O17" s="1434" t="str">
        <f aca="false">IF($H17=O$4,$D17*$N17,"")</f>
        <v/>
      </c>
      <c r="P17" s="1435" t="str">
        <f aca="false">IF($H17=P$4,$D17*$N17,"")</f>
        <v/>
      </c>
      <c r="Q17" s="1435" t="str">
        <f aca="false">IF($H17=Q$4,$D17*$N17,"")</f>
        <v/>
      </c>
      <c r="R17" s="1435" t="str">
        <f aca="false">IF($H17=R$4,$D17*$N17,"")</f>
        <v/>
      </c>
      <c r="S17" s="1435" t="str">
        <f aca="false">IF($H17=S$4,$D17*$N17,"")</f>
        <v/>
      </c>
      <c r="T17" s="1435" t="str">
        <f aca="false">IF($H17=T$4,$D17*$N17,"")</f>
        <v/>
      </c>
      <c r="U17" s="1436" t="str">
        <f aca="false">IF($H17=U$4,$D17*$N17,"")</f>
        <v/>
      </c>
      <c r="V17" s="1418"/>
      <c r="W17" s="1419"/>
      <c r="X17" s="1419"/>
      <c r="Y17" s="1419"/>
      <c r="Z17" s="1419"/>
      <c r="AA17" s="1419"/>
      <c r="AB17" s="1420"/>
      <c r="AC17" s="1319"/>
      <c r="AD17" s="2" t="str">
        <f aca="false">IF(AND(AD$4=$G17,AD$6=$F17),$B17,"")</f>
        <v/>
      </c>
      <c r="AE17" s="2" t="str">
        <f aca="false">IF(AND(AE$4=$G17,AE$6=$F17),$B17,"")</f>
        <v/>
      </c>
      <c r="AF17" s="2" t="str">
        <f aca="false">IF(AND(AF$4=$G17,AF$6=$F17),$B17,"")</f>
        <v/>
      </c>
      <c r="AG17" s="2" t="str">
        <f aca="false">IF(AND(AG$4=$G17,AG$6=$F17),$B17,"")</f>
        <v/>
      </c>
      <c r="AI17" s="366"/>
      <c r="AL17" s="367"/>
      <c r="AO17" s="367"/>
      <c r="AP17" s="2" t="str">
        <f aca="false">IF(AT17&gt;0,RANK(AT17,AT$7:AT$423),"")</f>
        <v/>
      </c>
      <c r="AQ17" s="2" t="n">
        <f aca="false">'O_MN, PE_UTA_UGM 2024'!C13</f>
        <v>11</v>
      </c>
      <c r="AR17" s="1421" t="n">
        <v>110</v>
      </c>
      <c r="AS17" s="2" t="str">
        <f aca="false">IF(AY17&lt;&gt;"",AY17,"")</f>
        <v/>
      </c>
      <c r="AT17" s="1422" t="n">
        <f aca="false">IF(ISNUMBER($AR17),SUMIF(B$7:B$505,AR17,D$7:D$505),"")</f>
        <v>0</v>
      </c>
      <c r="AU17" s="1411" t="n">
        <f aca="false">IF(ISNUMBER($AR17),SUMIF(AD$7:AD$503,$AR17,J$7:J$503),"")</f>
        <v>0</v>
      </c>
      <c r="AV17" s="1411" t="n">
        <f aca="false">IF(ISNUMBER($AR17),SUMIF(AF$7:AF$503,$AR17,L$7:L$503),"")</f>
        <v>0</v>
      </c>
      <c r="AW17" s="1423" t="n">
        <f aca="false">IF(ISNUMBER($AR17),SUMIF(AE$7:AE$503,$AR17,K$7:K$503),"")</f>
        <v>0</v>
      </c>
      <c r="AX17" s="1423" t="n">
        <f aca="false">IF(ISNUMBER($AR17),SUMIF(AG$7:AG$503,$AR17,M$7:M$503),"")</f>
        <v>0</v>
      </c>
      <c r="AY17" s="2" t="str">
        <f aca="false">IF($AT17&gt;0,VLOOKUP($AR17,'O_MN, PE_UTA_UGM 2024'!E13:O429,2),"")</f>
        <v/>
      </c>
      <c r="AZ17" s="1424"/>
      <c r="BA17" s="1424"/>
      <c r="BB17" s="1424" t="str">
        <f aca="false">IF($AT17&gt;0,VLOOKUP($AR17,'O_MN, PE_UTA_UGM 2024'!$E$3:$O$419,BB$6),"")</f>
        <v/>
      </c>
      <c r="BC17" s="1424" t="str">
        <f aca="false">IF($AT17&gt;0,VLOOKUP($AR17,'O_MN, PE_UTA_UGM 2024'!$E$3:$O$419,BC$6),"")</f>
        <v/>
      </c>
      <c r="BD17" s="1424" t="str">
        <f aca="false">IF($AT17&gt;0,VLOOKUP($AR17,'O_MN, PE_UTA_UGM 2024'!$E$3:$O$419,BD$6),"")</f>
        <v/>
      </c>
      <c r="BE17" s="1424" t="str">
        <f aca="false">IF($AT17&gt;0,VLOOKUP($AR17,'O_MN, PE_UTA_UGM 2024'!$E$3:$O$419,BE$6),"")</f>
        <v/>
      </c>
      <c r="BF17" s="1424" t="str">
        <f aca="false">IF($AT17&gt;0,VLOOKUP($AR17,'O_MN, PE_UTA_UGM 2024'!$E$3:$O$419,BF$6),"")</f>
        <v/>
      </c>
      <c r="BG17" s="1424" t="str">
        <f aca="false">IF($AT17&gt;0,VLOOKUP($AR17,'O_MN, PE_UTA_UGM 2024'!$E$3:$O$419,BG$6),"")</f>
        <v/>
      </c>
      <c r="BH17" s="872"/>
      <c r="BI17" s="872"/>
      <c r="BJ17" s="872"/>
      <c r="BK17" s="872"/>
      <c r="BM17" s="1411"/>
      <c r="BN17" s="1411"/>
      <c r="BO17" s="1425" t="str">
        <f aca="false">IF(ISNUMBER($AU17*BB17*1),$AU17*BB17*1,"")</f>
        <v/>
      </c>
      <c r="BP17" s="1425" t="str">
        <f aca="false">IF(ISNUMBER($AV17*BC17*1),$AV17*BC17*1,"")</f>
        <v/>
      </c>
      <c r="BQ17" s="1425" t="str">
        <f aca="false">IF(ISNUMBER($AU17*BD17*1),$AU17*BD17*1,"")</f>
        <v/>
      </c>
      <c r="BR17" s="1425" t="str">
        <f aca="false">IF(ISNUMBER($AV17*BE17*1),$AV17*BE17*1,"")</f>
        <v/>
      </c>
      <c r="BS17" s="1411" t="str">
        <f aca="false">IF(ISNUMBER($AU17*BF17),$AU17*BF17,"")</f>
        <v/>
      </c>
      <c r="BT17" s="1411" t="str">
        <f aca="false">IF(ISNUMBER($AV17*BG17),$AV17*BG17,"")</f>
        <v/>
      </c>
      <c r="BU17" s="1411"/>
      <c r="BV17" s="1411"/>
      <c r="BW17" s="1411"/>
      <c r="BX17" s="1411"/>
      <c r="BZ17" s="1372"/>
      <c r="CA17" s="1372"/>
      <c r="CB17" s="1426" t="str">
        <f aca="false">IF(ISNUMBER($AW17*BB17),$AW17*BB17,"")</f>
        <v/>
      </c>
      <c r="CC17" s="1426" t="str">
        <f aca="false">IF(ISNUMBER($AX17*BC17),$AX17*BC17,"")</f>
        <v/>
      </c>
      <c r="CD17" s="1426" t="str">
        <f aca="false">IF(ISNUMBER($AW17*BD17),$AW17*BD17,"")</f>
        <v/>
      </c>
      <c r="CE17" s="1426" t="str">
        <f aca="false">IF(ISNUMBER($AX17*BE17),$AX17*BE17,"")</f>
        <v/>
      </c>
      <c r="CF17" s="1372" t="str">
        <f aca="false">IF(ISNUMBER($AW17*BF17),$AW17*BF17,"")</f>
        <v/>
      </c>
      <c r="CG17" s="1372" t="str">
        <f aca="false">IF(ISNUMBER($AX17*BG17),$AX17*BG17,"")</f>
        <v/>
      </c>
      <c r="CH17" s="1438"/>
      <c r="CI17" s="1438"/>
      <c r="CJ17" s="1438"/>
      <c r="CK17" s="1438"/>
      <c r="CU17" s="1411"/>
      <c r="CV17" s="1411"/>
      <c r="CW17" s="1425"/>
      <c r="CX17" s="1425"/>
      <c r="CY17" s="1425"/>
      <c r="CZ17" s="1425"/>
      <c r="DA17" s="1411"/>
      <c r="DB17" s="1411"/>
      <c r="DC17" s="1411"/>
      <c r="DD17" s="1411"/>
      <c r="DE17" s="1411"/>
      <c r="DF17" s="1411"/>
      <c r="DH17" s="1432"/>
      <c r="DI17" s="1432"/>
      <c r="DJ17" s="1437"/>
      <c r="DK17" s="1437"/>
      <c r="DL17" s="1437"/>
      <c r="DM17" s="1437"/>
      <c r="DN17" s="1432"/>
      <c r="DO17" s="1432"/>
      <c r="DP17" s="1432"/>
      <c r="DQ17" s="1432"/>
      <c r="DR17" s="1432"/>
      <c r="DS17" s="1432"/>
      <c r="DT17" s="1316"/>
      <c r="DU17" s="1433"/>
      <c r="DV17" s="1433"/>
      <c r="DW17" s="1433"/>
      <c r="DX17" s="1433"/>
      <c r="DY17" s="1433"/>
      <c r="DZ17" s="1433"/>
      <c r="EA17" s="1433"/>
      <c r="EB17" s="1433"/>
    </row>
    <row r="18" customFormat="false" ht="14.25" hidden="false" customHeight="false" outlineLevel="0" collapsed="false">
      <c r="A18" s="2" t="n">
        <f aca="false">'V_DATOS PAC_SGA'!R13</f>
        <v>0</v>
      </c>
      <c r="B18" s="2" t="n">
        <f aca="false">IF(I18="IV",CONCATENATE('V_DATOS PAC_SGA'!R13,"4")+0,CONCATENATE('V_DATOS PAC_SGA'!R13,"0")+0)</f>
        <v>0</v>
      </c>
      <c r="C18" s="2" t="n">
        <f aca="false">'V_DATOS PAC_SGA'!S13</f>
        <v>0</v>
      </c>
      <c r="D18" s="1409" t="n">
        <f aca="false">'V_DATOS PAC_SGA'!Y13</f>
        <v>0</v>
      </c>
      <c r="E18" s="1410" t="str">
        <f aca="false">IF('V_DATOS PAC_SGA'!AV13="","Regadio",'V_DATOS PAC_SGA'!AV13)</f>
        <v>Regadio</v>
      </c>
      <c r="F18" s="1411" t="n">
        <f aca="false">'V_DATOS PAC_SGA'!BK13</f>
        <v>0</v>
      </c>
      <c r="G18" s="1412" t="n">
        <f aca="false">'V_DATOS PAC_SGA'!AN13</f>
        <v>0</v>
      </c>
      <c r="H18" s="1413" t="str">
        <f aca="false">IF(B18&gt;0,VLOOKUP(B18,'O_MN, PE_UTA_UGM 2024'!E$3:O$419,10),"")</f>
        <v/>
      </c>
      <c r="I18" s="1359" t="n">
        <f aca="false">'V_DATOS PAC_SGA'!BV13</f>
        <v>0</v>
      </c>
      <c r="J18" s="2" t="str">
        <f aca="false">IF(AND(J$4=$G18,J$6=$F18),$D18*J$5,"")</f>
        <v/>
      </c>
      <c r="K18" s="2" t="str">
        <f aca="false">IF(AND(K$4=$G18,K$6=$F18),$D18*K$5,"")</f>
        <v/>
      </c>
      <c r="L18" s="2" t="str">
        <f aca="false">IF(AND(L$4=$G18,L$6=$F18),$D18*L$5,"")</f>
        <v/>
      </c>
      <c r="M18" s="2" t="str">
        <f aca="false">IF(AND(M$4=$G18,M$6=$F18),$D18*M$5,"")</f>
        <v/>
      </c>
      <c r="N18" s="1414" t="n">
        <f aca="false">VLOOKUP(B18,'O_MN, PE_UTA_UGM 2024'!$E$2:$K$419,IF(G18&gt;1,6,7))</f>
        <v>0</v>
      </c>
      <c r="O18" s="1434" t="str">
        <f aca="false">IF($H18=O$4,$D18*$N18,"")</f>
        <v/>
      </c>
      <c r="P18" s="1435" t="str">
        <f aca="false">IF($H18=P$4,$D18*$N18,"")</f>
        <v/>
      </c>
      <c r="Q18" s="1435" t="str">
        <f aca="false">IF($H18=Q$4,$D18*$N18,"")</f>
        <v/>
      </c>
      <c r="R18" s="1435" t="str">
        <f aca="false">IF($H18=R$4,$D18*$N18,"")</f>
        <v/>
      </c>
      <c r="S18" s="1435" t="str">
        <f aca="false">IF($H18=S$4,$D18*$N18,"")</f>
        <v/>
      </c>
      <c r="T18" s="1435" t="str">
        <f aca="false">IF($H18=T$4,$D18*$N18,"")</f>
        <v/>
      </c>
      <c r="U18" s="1436" t="str">
        <f aca="false">IF($H18=U$4,$D18*$N18,"")</f>
        <v/>
      </c>
      <c r="V18" s="1418"/>
      <c r="W18" s="1419"/>
      <c r="X18" s="1419"/>
      <c r="Y18" s="1419"/>
      <c r="Z18" s="1419"/>
      <c r="AA18" s="1419"/>
      <c r="AB18" s="1420"/>
      <c r="AC18" s="1319"/>
      <c r="AD18" s="2" t="str">
        <f aca="false">IF(AND(AD$4=$G18,AD$6=$F18),$B18,"")</f>
        <v/>
      </c>
      <c r="AE18" s="2" t="str">
        <f aca="false">IF(AND(AE$4=$G18,AE$6=$F18),$B18,"")</f>
        <v/>
      </c>
      <c r="AF18" s="2" t="str">
        <f aca="false">IF(AND(AF$4=$G18,AF$6=$F18),$B18,"")</f>
        <v/>
      </c>
      <c r="AG18" s="2" t="str">
        <f aca="false">IF(AND(AG$4=$G18,AG$6=$F18),$B18,"")</f>
        <v/>
      </c>
      <c r="AI18" s="366"/>
      <c r="AL18" s="367"/>
      <c r="AO18" s="367"/>
      <c r="AP18" s="2" t="str">
        <f aca="false">IF(AT18&gt;0,RANK(AT18,AT$7:AT$423),"")</f>
        <v/>
      </c>
      <c r="AQ18" s="2" t="n">
        <f aca="false">'O_MN, PE_UTA_UGM 2024'!C14</f>
        <v>12</v>
      </c>
      <c r="AR18" s="1421" t="n">
        <v>120</v>
      </c>
      <c r="AS18" s="2" t="str">
        <f aca="false">IF(AY18&lt;&gt;"",AY18,"")</f>
        <v/>
      </c>
      <c r="AT18" s="1422" t="n">
        <f aca="false">IF(ISNUMBER($AR18),SUMIF(B$7:B$505,AR18,D$7:D$505),"")</f>
        <v>0</v>
      </c>
      <c r="AU18" s="1411" t="n">
        <f aca="false">IF(ISNUMBER($AR18),SUMIF(AD$7:AD$503,$AR18,J$7:J$503),"")</f>
        <v>0</v>
      </c>
      <c r="AV18" s="1411" t="n">
        <f aca="false">IF(ISNUMBER($AR18),SUMIF(AF$7:AF$503,$AR18,L$7:L$503),"")</f>
        <v>0</v>
      </c>
      <c r="AW18" s="1423" t="n">
        <f aca="false">IF(ISNUMBER($AR18),SUMIF(AE$7:AE$503,$AR18,K$7:K$503),"")</f>
        <v>0</v>
      </c>
      <c r="AX18" s="1423" t="n">
        <f aca="false">IF(ISNUMBER($AR18),SUMIF(AG$7:AG$503,$AR18,M$7:M$503),"")</f>
        <v>0</v>
      </c>
      <c r="AY18" s="2" t="str">
        <f aca="false">IF($AT18&gt;0,VLOOKUP($AR18,'O_MN, PE_UTA_UGM 2024'!E14:O430,2),"")</f>
        <v/>
      </c>
      <c r="AZ18" s="1424"/>
      <c r="BA18" s="1424"/>
      <c r="BB18" s="1424" t="str">
        <f aca="false">IF($AT18&gt;0,VLOOKUP($AR18,'O_MN, PE_UTA_UGM 2024'!$E$3:$O$419,BB$6),"")</f>
        <v/>
      </c>
      <c r="BC18" s="1424" t="str">
        <f aca="false">IF($AT18&gt;0,VLOOKUP($AR18,'O_MN, PE_UTA_UGM 2024'!$E$3:$O$419,BC$6),"")</f>
        <v/>
      </c>
      <c r="BD18" s="1424" t="str">
        <f aca="false">IF($AT18&gt;0,VLOOKUP($AR18,'O_MN, PE_UTA_UGM 2024'!$E$3:$O$419,BD$6),"")</f>
        <v/>
      </c>
      <c r="BE18" s="1424" t="str">
        <f aca="false">IF($AT18&gt;0,VLOOKUP($AR18,'O_MN, PE_UTA_UGM 2024'!$E$3:$O$419,BE$6),"")</f>
        <v/>
      </c>
      <c r="BF18" s="1424" t="str">
        <f aca="false">IF($AT18&gt;0,VLOOKUP($AR18,'O_MN, PE_UTA_UGM 2024'!$E$3:$O$419,BF$6),"")</f>
        <v/>
      </c>
      <c r="BG18" s="1424" t="str">
        <f aca="false">IF($AT18&gt;0,VLOOKUP($AR18,'O_MN, PE_UTA_UGM 2024'!$E$3:$O$419,BG$6),"")</f>
        <v/>
      </c>
      <c r="BH18" s="872"/>
      <c r="BI18" s="872"/>
      <c r="BJ18" s="872"/>
      <c r="BK18" s="872"/>
      <c r="BM18" s="1411"/>
      <c r="BN18" s="1411"/>
      <c r="BO18" s="1425" t="str">
        <f aca="false">IF(ISNUMBER($AU18*BB18*1),$AU18*BB18*1,"")</f>
        <v/>
      </c>
      <c r="BP18" s="1425" t="str">
        <f aca="false">IF(ISNUMBER($AV18*BC18*1),$AV18*BC18*1,"")</f>
        <v/>
      </c>
      <c r="BQ18" s="1425" t="str">
        <f aca="false">IF(ISNUMBER($AU18*BD18*1),$AU18*BD18*1,"")</f>
        <v/>
      </c>
      <c r="BR18" s="1425" t="str">
        <f aca="false">IF(ISNUMBER($AV18*BE18*1),$AV18*BE18*1,"")</f>
        <v/>
      </c>
      <c r="BS18" s="1411" t="str">
        <f aca="false">IF(ISNUMBER($AU18*BF18),$AU18*BF18,"")</f>
        <v/>
      </c>
      <c r="BT18" s="1411" t="str">
        <f aca="false">IF(ISNUMBER($AV18*BG18),$AV18*BG18,"")</f>
        <v/>
      </c>
      <c r="BU18" s="1411"/>
      <c r="BV18" s="1411"/>
      <c r="BW18" s="1411"/>
      <c r="BX18" s="1411"/>
      <c r="BZ18" s="1372"/>
      <c r="CA18" s="1372"/>
      <c r="CB18" s="1426" t="str">
        <f aca="false">IF(ISNUMBER($AW18*BB18),$AW18*BB18,"")</f>
        <v/>
      </c>
      <c r="CC18" s="1426" t="str">
        <f aca="false">IF(ISNUMBER($AX18*BC18),$AX18*BC18,"")</f>
        <v/>
      </c>
      <c r="CD18" s="1426" t="str">
        <f aca="false">IF(ISNUMBER($AW18*BD18),$AW18*BD18,"")</f>
        <v/>
      </c>
      <c r="CE18" s="1426" t="str">
        <f aca="false">IF(ISNUMBER($AX18*BE18),$AX18*BE18,"")</f>
        <v/>
      </c>
      <c r="CF18" s="1372" t="str">
        <f aca="false">IF(ISNUMBER($AW18*BF18),$AW18*BF18,"")</f>
        <v/>
      </c>
      <c r="CG18" s="1372" t="str">
        <f aca="false">IF(ISNUMBER($AX18*BG18),$AX18*BG18,"")</f>
        <v/>
      </c>
      <c r="CH18" s="1438"/>
      <c r="CI18" s="1438"/>
      <c r="CJ18" s="1438"/>
      <c r="CK18" s="1438"/>
      <c r="CU18" s="1411"/>
      <c r="CV18" s="1411"/>
      <c r="CW18" s="1425"/>
      <c r="CX18" s="1425"/>
      <c r="CY18" s="1425"/>
      <c r="CZ18" s="1425"/>
      <c r="DA18" s="1411"/>
      <c r="DB18" s="1411"/>
      <c r="DC18" s="1411"/>
      <c r="DD18" s="1411"/>
      <c r="DE18" s="1411"/>
      <c r="DF18" s="1411"/>
      <c r="DH18" s="1432"/>
      <c r="DI18" s="1432"/>
      <c r="DJ18" s="1437"/>
      <c r="DK18" s="1437"/>
      <c r="DL18" s="1437"/>
      <c r="DM18" s="1437"/>
      <c r="DN18" s="1432"/>
      <c r="DO18" s="1432"/>
      <c r="DP18" s="1432"/>
      <c r="DQ18" s="1432"/>
      <c r="DR18" s="1432"/>
      <c r="DS18" s="1432"/>
      <c r="DT18" s="1316"/>
      <c r="DU18" s="1433"/>
      <c r="DV18" s="1433"/>
      <c r="DW18" s="1433"/>
      <c r="DX18" s="1433"/>
      <c r="DY18" s="1433"/>
      <c r="DZ18" s="1433"/>
      <c r="EA18" s="1433"/>
      <c r="EB18" s="1433"/>
    </row>
    <row r="19" customFormat="false" ht="14.25" hidden="false" customHeight="false" outlineLevel="0" collapsed="false">
      <c r="A19" s="2" t="n">
        <f aca="false">'V_DATOS PAC_SGA'!R14</f>
        <v>0</v>
      </c>
      <c r="B19" s="2" t="n">
        <f aca="false">IF(I19="IV",CONCATENATE('V_DATOS PAC_SGA'!R14,"4")+0,CONCATENATE('V_DATOS PAC_SGA'!R14,"0")+0)</f>
        <v>0</v>
      </c>
      <c r="C19" s="2" t="n">
        <f aca="false">'V_DATOS PAC_SGA'!S14</f>
        <v>0</v>
      </c>
      <c r="D19" s="1409" t="n">
        <f aca="false">'V_DATOS PAC_SGA'!Y14</f>
        <v>0</v>
      </c>
      <c r="E19" s="1410" t="str">
        <f aca="false">IF('V_DATOS PAC_SGA'!AV14="","Regadio",'V_DATOS PAC_SGA'!AV14)</f>
        <v>Regadio</v>
      </c>
      <c r="F19" s="1411" t="n">
        <f aca="false">'V_DATOS PAC_SGA'!BK14</f>
        <v>0</v>
      </c>
      <c r="G19" s="1412" t="n">
        <f aca="false">'V_DATOS PAC_SGA'!AN14</f>
        <v>0</v>
      </c>
      <c r="H19" s="1413" t="str">
        <f aca="false">IF(B19&gt;0,VLOOKUP(B19,'O_MN, PE_UTA_UGM 2024'!E$3:O$419,10),"")</f>
        <v/>
      </c>
      <c r="I19" s="1359" t="n">
        <f aca="false">'V_DATOS PAC_SGA'!BV14</f>
        <v>0</v>
      </c>
      <c r="J19" s="2" t="str">
        <f aca="false">IF(AND(J$4=$G19,J$6=$F19),$D19*J$5,"")</f>
        <v/>
      </c>
      <c r="K19" s="2" t="str">
        <f aca="false">IF(AND(K$4=$G19,K$6=$F19),$D19*K$5,"")</f>
        <v/>
      </c>
      <c r="L19" s="2" t="str">
        <f aca="false">IF(AND(L$4=$G19,L$6=$F19),$D19*L$5,"")</f>
        <v/>
      </c>
      <c r="M19" s="2" t="str">
        <f aca="false">IF(AND(M$4=$G19,M$6=$F19),$D19*M$5,"")</f>
        <v/>
      </c>
      <c r="N19" s="1414" t="n">
        <f aca="false">VLOOKUP(B19,'O_MN, PE_UTA_UGM 2024'!$E$2:$K$419,IF(G19&gt;1,6,7))</f>
        <v>0</v>
      </c>
      <c r="O19" s="1434" t="str">
        <f aca="false">IF($H19=O$4,$D19*$N19,"")</f>
        <v/>
      </c>
      <c r="P19" s="1435" t="str">
        <f aca="false">IF($H19=P$4,$D19*$N19,"")</f>
        <v/>
      </c>
      <c r="Q19" s="1435" t="str">
        <f aca="false">IF($H19=Q$4,$D19*$N19,"")</f>
        <v/>
      </c>
      <c r="R19" s="1435" t="str">
        <f aca="false">IF($H19=R$4,$D19*$N19,"")</f>
        <v/>
      </c>
      <c r="S19" s="1435" t="str">
        <f aca="false">IF($H19=S$4,$D19*$N19,"")</f>
        <v/>
      </c>
      <c r="T19" s="1435" t="str">
        <f aca="false">IF($H19=T$4,$D19*$N19,"")</f>
        <v/>
      </c>
      <c r="U19" s="1436" t="str">
        <f aca="false">IF($H19=U$4,$D19*$N19,"")</f>
        <v/>
      </c>
      <c r="V19" s="1418"/>
      <c r="W19" s="1419"/>
      <c r="X19" s="1419"/>
      <c r="Y19" s="1419"/>
      <c r="Z19" s="1419"/>
      <c r="AA19" s="1419"/>
      <c r="AB19" s="1420"/>
      <c r="AC19" s="1319"/>
      <c r="AD19" s="2" t="str">
        <f aca="false">IF(AND(AD$4=$G19,AD$6=$F19),$B19,"")</f>
        <v/>
      </c>
      <c r="AE19" s="2" t="str">
        <f aca="false">IF(AND(AE$4=$G19,AE$6=$F19),$B19,"")</f>
        <v/>
      </c>
      <c r="AF19" s="2" t="str">
        <f aca="false">IF(AND(AF$4=$G19,AF$6=$F19),$B19,"")</f>
        <v/>
      </c>
      <c r="AG19" s="2" t="str">
        <f aca="false">IF(AND(AG$4=$G19,AG$6=$F19),$B19,"")</f>
        <v/>
      </c>
      <c r="AI19" s="366"/>
      <c r="AL19" s="367"/>
      <c r="AO19" s="367"/>
      <c r="AP19" s="2" t="str">
        <f aca="false">IF(AT19&gt;0,RANK(AT19,AT$7:AT$423),"")</f>
        <v/>
      </c>
      <c r="AQ19" s="2" t="n">
        <f aca="false">'O_MN, PE_UTA_UGM 2024'!C15</f>
        <v>13</v>
      </c>
      <c r="AR19" s="1421" t="n">
        <v>130</v>
      </c>
      <c r="AS19" s="2" t="str">
        <f aca="false">IF(AY19&lt;&gt;"",AY19,"")</f>
        <v/>
      </c>
      <c r="AT19" s="1422" t="n">
        <f aca="false">IF(ISNUMBER($AR19),SUMIF(B$7:B$505,AR19,D$7:D$505),"")</f>
        <v>0</v>
      </c>
      <c r="AU19" s="1411" t="n">
        <f aca="false">IF(ISNUMBER($AR19),SUMIF(AD$7:AD$503,$AR19,J$7:J$503),"")</f>
        <v>0</v>
      </c>
      <c r="AV19" s="1411" t="n">
        <f aca="false">IF(ISNUMBER($AR19),SUMIF(AF$7:AF$503,$AR19,L$7:L$503),"")</f>
        <v>0</v>
      </c>
      <c r="AW19" s="1423" t="n">
        <f aca="false">IF(ISNUMBER($AR19),SUMIF(AE$7:AE$503,$AR19,K$7:K$503),"")</f>
        <v>0</v>
      </c>
      <c r="AX19" s="1423" t="n">
        <f aca="false">IF(ISNUMBER($AR19),SUMIF(AG$7:AG$503,$AR19,M$7:M$503),"")</f>
        <v>0</v>
      </c>
      <c r="AY19" s="2" t="str">
        <f aca="false">IF($AT19&gt;0,VLOOKUP($AR19,'O_MN, PE_UTA_UGM 2024'!E15:O431,2),"")</f>
        <v/>
      </c>
      <c r="AZ19" s="1424"/>
      <c r="BA19" s="1424"/>
      <c r="BB19" s="1424" t="str">
        <f aca="false">IF($AT19&gt;0,VLOOKUP($AR19,'O_MN, PE_UTA_UGM 2024'!$E$3:$O$419,BB$6),"")</f>
        <v/>
      </c>
      <c r="BC19" s="1424" t="str">
        <f aca="false">IF($AT19&gt;0,VLOOKUP($AR19,'O_MN, PE_UTA_UGM 2024'!$E$3:$O$419,BC$6),"")</f>
        <v/>
      </c>
      <c r="BD19" s="1424" t="str">
        <f aca="false">IF($AT19&gt;0,VLOOKUP($AR19,'O_MN, PE_UTA_UGM 2024'!$E$3:$O$419,BD$6),"")</f>
        <v/>
      </c>
      <c r="BE19" s="1424" t="str">
        <f aca="false">IF($AT19&gt;0,VLOOKUP($AR19,'O_MN, PE_UTA_UGM 2024'!$E$3:$O$419,BE$6),"")</f>
        <v/>
      </c>
      <c r="BF19" s="1424" t="str">
        <f aca="false">IF($AT19&gt;0,VLOOKUP($AR19,'O_MN, PE_UTA_UGM 2024'!$E$3:$O$419,BF$6),"")</f>
        <v/>
      </c>
      <c r="BG19" s="1424" t="str">
        <f aca="false">IF($AT19&gt;0,VLOOKUP($AR19,'O_MN, PE_UTA_UGM 2024'!$E$3:$O$419,BG$6),"")</f>
        <v/>
      </c>
      <c r="BH19" s="872"/>
      <c r="BI19" s="872"/>
      <c r="BJ19" s="872"/>
      <c r="BK19" s="872"/>
      <c r="BM19" s="1411"/>
      <c r="BN19" s="1411"/>
      <c r="BO19" s="1425" t="str">
        <f aca="false">IF(ISNUMBER($AU19*BB19*1),$AU19*BB19*1,"")</f>
        <v/>
      </c>
      <c r="BP19" s="1425" t="str">
        <f aca="false">IF(ISNUMBER($AV19*BC19*1),$AV19*BC19*1,"")</f>
        <v/>
      </c>
      <c r="BQ19" s="1425" t="str">
        <f aca="false">IF(ISNUMBER($AU19*BD19*1),$AU19*BD19*1,"")</f>
        <v/>
      </c>
      <c r="BR19" s="1425" t="str">
        <f aca="false">IF(ISNUMBER($AV19*BE19*1),$AV19*BE19*1,"")</f>
        <v/>
      </c>
      <c r="BS19" s="1411" t="str">
        <f aca="false">IF(ISNUMBER($AU19*BF19),$AU19*BF19,"")</f>
        <v/>
      </c>
      <c r="BT19" s="1411" t="str">
        <f aca="false">IF(ISNUMBER($AV19*BG19),$AV19*BG19,"")</f>
        <v/>
      </c>
      <c r="BU19" s="1411"/>
      <c r="BV19" s="1411"/>
      <c r="BW19" s="1411"/>
      <c r="BX19" s="1411"/>
      <c r="BZ19" s="1372"/>
      <c r="CA19" s="1372"/>
      <c r="CB19" s="1426" t="str">
        <f aca="false">IF(ISNUMBER($AW19*BB19),$AW19*BB19,"")</f>
        <v/>
      </c>
      <c r="CC19" s="1426" t="str">
        <f aca="false">IF(ISNUMBER($AX19*BC19),$AX19*BC19,"")</f>
        <v/>
      </c>
      <c r="CD19" s="1426" t="str">
        <f aca="false">IF(ISNUMBER($AW19*BD19),$AW19*BD19,"")</f>
        <v/>
      </c>
      <c r="CE19" s="1426" t="str">
        <f aca="false">IF(ISNUMBER($AX19*BE19),$AX19*BE19,"")</f>
        <v/>
      </c>
      <c r="CF19" s="1372" t="str">
        <f aca="false">IF(ISNUMBER($AW19*BF19),$AW19*BF19,"")</f>
        <v/>
      </c>
      <c r="CG19" s="1372" t="str">
        <f aca="false">IF(ISNUMBER($AX19*BG19),$AX19*BG19,"")</f>
        <v/>
      </c>
      <c r="CH19" s="1438"/>
      <c r="CI19" s="1438"/>
      <c r="CJ19" s="1438"/>
      <c r="CK19" s="1438"/>
      <c r="CU19" s="1411"/>
      <c r="CV19" s="1411"/>
      <c r="CW19" s="1425"/>
      <c r="CX19" s="1425"/>
      <c r="CY19" s="1425"/>
      <c r="CZ19" s="1425"/>
      <c r="DA19" s="1411"/>
      <c r="DB19" s="1411"/>
      <c r="DC19" s="1411"/>
      <c r="DD19" s="1411"/>
      <c r="DE19" s="1411"/>
      <c r="DF19" s="1411"/>
      <c r="DH19" s="1432"/>
      <c r="DI19" s="1432"/>
      <c r="DJ19" s="1437"/>
      <c r="DK19" s="1437"/>
      <c r="DL19" s="1437"/>
      <c r="DM19" s="1437"/>
      <c r="DN19" s="1432"/>
      <c r="DO19" s="1432"/>
      <c r="DP19" s="1432"/>
      <c r="DQ19" s="1432"/>
      <c r="DR19" s="1432"/>
      <c r="DS19" s="1432"/>
      <c r="DT19" s="1316"/>
      <c r="DU19" s="1433"/>
      <c r="DV19" s="1433"/>
      <c r="DW19" s="1433"/>
      <c r="DX19" s="1433"/>
      <c r="DY19" s="1433"/>
      <c r="DZ19" s="1433"/>
      <c r="EA19" s="1433"/>
      <c r="EB19" s="1433"/>
    </row>
    <row r="20" customFormat="false" ht="14.25" hidden="false" customHeight="false" outlineLevel="0" collapsed="false">
      <c r="A20" s="2" t="n">
        <f aca="false">'V_DATOS PAC_SGA'!R15</f>
        <v>0</v>
      </c>
      <c r="B20" s="2" t="n">
        <f aca="false">IF(I20="IV",CONCATENATE('V_DATOS PAC_SGA'!R15,"4")+0,CONCATENATE('V_DATOS PAC_SGA'!R15,"0")+0)</f>
        <v>0</v>
      </c>
      <c r="C20" s="2" t="n">
        <f aca="false">'V_DATOS PAC_SGA'!S15</f>
        <v>0</v>
      </c>
      <c r="D20" s="1409" t="n">
        <f aca="false">'V_DATOS PAC_SGA'!Y15</f>
        <v>0</v>
      </c>
      <c r="E20" s="1410" t="str">
        <f aca="false">IF('V_DATOS PAC_SGA'!AV15="","Regadio",'V_DATOS PAC_SGA'!AV15)</f>
        <v>Regadio</v>
      </c>
      <c r="F20" s="1411" t="n">
        <f aca="false">'V_DATOS PAC_SGA'!BK15</f>
        <v>0</v>
      </c>
      <c r="G20" s="1412" t="n">
        <f aca="false">'V_DATOS PAC_SGA'!AN15</f>
        <v>0</v>
      </c>
      <c r="H20" s="1413" t="str">
        <f aca="false">IF(B20&gt;0,VLOOKUP(B20,'O_MN, PE_UTA_UGM 2024'!E$3:O$419,10),"")</f>
        <v/>
      </c>
      <c r="I20" s="1359" t="n">
        <f aca="false">'V_DATOS PAC_SGA'!BV15</f>
        <v>0</v>
      </c>
      <c r="J20" s="2" t="str">
        <f aca="false">IF(AND(J$4=$G20,J$6=$F20),$D20*J$5,"")</f>
        <v/>
      </c>
      <c r="K20" s="2" t="str">
        <f aca="false">IF(AND(K$4=$G20,K$6=$F20),$D20*K$5,"")</f>
        <v/>
      </c>
      <c r="L20" s="2" t="str">
        <f aca="false">IF(AND(L$4=$G20,L$6=$F20),$D20*L$5,"")</f>
        <v/>
      </c>
      <c r="M20" s="2" t="str">
        <f aca="false">IF(AND(M$4=$G20,M$6=$F20),$D20*M$5,"")</f>
        <v/>
      </c>
      <c r="N20" s="1414" t="n">
        <f aca="false">VLOOKUP(B20,'O_MN, PE_UTA_UGM 2024'!$E$2:$K$419,IF(G20&gt;1,6,7))</f>
        <v>0</v>
      </c>
      <c r="O20" s="1434" t="str">
        <f aca="false">IF($H20=O$4,$D20*$N20,"")</f>
        <v/>
      </c>
      <c r="P20" s="1435" t="str">
        <f aca="false">IF($H20=P$4,$D20*$N20,"")</f>
        <v/>
      </c>
      <c r="Q20" s="1435" t="str">
        <f aca="false">IF($H20=Q$4,$D20*$N20,"")</f>
        <v/>
      </c>
      <c r="R20" s="1435" t="str">
        <f aca="false">IF($H20=R$4,$D20*$N20,"")</f>
        <v/>
      </c>
      <c r="S20" s="1435" t="str">
        <f aca="false">IF($H20=S$4,$D20*$N20,"")</f>
        <v/>
      </c>
      <c r="T20" s="1435" t="str">
        <f aca="false">IF($H20=T$4,$D20*$N20,"")</f>
        <v/>
      </c>
      <c r="U20" s="1436" t="str">
        <f aca="false">IF($H20=U$4,$D20*$N20,"")</f>
        <v/>
      </c>
      <c r="V20" s="1418"/>
      <c r="W20" s="1419"/>
      <c r="X20" s="1419"/>
      <c r="Y20" s="1419"/>
      <c r="Z20" s="1419"/>
      <c r="AA20" s="1419"/>
      <c r="AB20" s="1420"/>
      <c r="AC20" s="1319"/>
      <c r="AD20" s="2" t="str">
        <f aca="false">IF(AND(AD$4=$G20,AD$6=$F20),$B20,"")</f>
        <v/>
      </c>
      <c r="AE20" s="2" t="str">
        <f aca="false">IF(AND(AE$4=$G20,AE$6=$F20),$B20,"")</f>
        <v/>
      </c>
      <c r="AF20" s="2" t="str">
        <f aca="false">IF(AND(AF$4=$G20,AF$6=$F20),$B20,"")</f>
        <v/>
      </c>
      <c r="AG20" s="2" t="str">
        <f aca="false">IF(AND(AG$4=$G20,AG$6=$F20),$B20,"")</f>
        <v/>
      </c>
      <c r="AI20" s="366"/>
      <c r="AL20" s="367"/>
      <c r="AO20" s="367"/>
      <c r="AP20" s="2" t="str">
        <f aca="false">IF(AT20&gt;0,RANK(AT20,AT$7:AT$423),"")</f>
        <v/>
      </c>
      <c r="AQ20" s="2" t="n">
        <f aca="false">'O_MN, PE_UTA_UGM 2024'!C16</f>
        <v>14</v>
      </c>
      <c r="AR20" s="1421" t="n">
        <v>140</v>
      </c>
      <c r="AS20" s="2" t="str">
        <f aca="false">IF(AY20&lt;&gt;"",AY20,"")</f>
        <v/>
      </c>
      <c r="AT20" s="1422" t="n">
        <f aca="false">IF(ISNUMBER($AR20),SUMIF(B$7:B$505,AR20,D$7:D$505),"")</f>
        <v>0</v>
      </c>
      <c r="AU20" s="1411" t="n">
        <f aca="false">IF(ISNUMBER($AR20),SUMIF(AD$7:AD$503,$AR20,J$7:J$503),"")</f>
        <v>0</v>
      </c>
      <c r="AV20" s="1411" t="n">
        <f aca="false">IF(ISNUMBER($AR20),SUMIF(AF$7:AF$503,$AR20,L$7:L$503),"")</f>
        <v>0</v>
      </c>
      <c r="AW20" s="1423" t="n">
        <f aca="false">IF(ISNUMBER($AR20),SUMIF(AE$7:AE$503,$AR20,K$7:K$503),"")</f>
        <v>0</v>
      </c>
      <c r="AX20" s="1423" t="n">
        <f aca="false">IF(ISNUMBER($AR20),SUMIF(AG$7:AG$503,$AR20,M$7:M$503),"")</f>
        <v>0</v>
      </c>
      <c r="AY20" s="2" t="str">
        <f aca="false">IF($AT20&gt;0,VLOOKUP($AR20,'O_MN, PE_UTA_UGM 2024'!E16:O432,2),"")</f>
        <v/>
      </c>
      <c r="AZ20" s="1424"/>
      <c r="BA20" s="1424"/>
      <c r="BB20" s="1424" t="str">
        <f aca="false">IF($AT20&gt;0,VLOOKUP($AR20,'O_MN, PE_UTA_UGM 2024'!$E$3:$O$419,BB$6),"")</f>
        <v/>
      </c>
      <c r="BC20" s="1424" t="str">
        <f aca="false">IF($AT20&gt;0,VLOOKUP($AR20,'O_MN, PE_UTA_UGM 2024'!$E$3:$O$419,BC$6),"")</f>
        <v/>
      </c>
      <c r="BD20" s="1424" t="str">
        <f aca="false">IF($AT20&gt;0,VLOOKUP($AR20,'O_MN, PE_UTA_UGM 2024'!$E$3:$O$419,BD$6),"")</f>
        <v/>
      </c>
      <c r="BE20" s="1424" t="str">
        <f aca="false">IF($AT20&gt;0,VLOOKUP($AR20,'O_MN, PE_UTA_UGM 2024'!$E$3:$O$419,BE$6),"")</f>
        <v/>
      </c>
      <c r="BF20" s="1424" t="str">
        <f aca="false">IF($AT20&gt;0,VLOOKUP($AR20,'O_MN, PE_UTA_UGM 2024'!$E$3:$O$419,BF$6),"")</f>
        <v/>
      </c>
      <c r="BG20" s="1424" t="str">
        <f aca="false">IF($AT20&gt;0,VLOOKUP($AR20,'O_MN, PE_UTA_UGM 2024'!$E$3:$O$419,BG$6),"")</f>
        <v/>
      </c>
      <c r="BH20" s="872"/>
      <c r="BI20" s="872"/>
      <c r="BJ20" s="872"/>
      <c r="BK20" s="872"/>
      <c r="BM20" s="1411"/>
      <c r="BN20" s="1411"/>
      <c r="BO20" s="1425" t="str">
        <f aca="false">IF(ISNUMBER($AU20*BB20*1),$AU20*BB20*1,"")</f>
        <v/>
      </c>
      <c r="BP20" s="1425" t="str">
        <f aca="false">IF(ISNUMBER($AV20*BC20*1),$AV20*BC20*1,"")</f>
        <v/>
      </c>
      <c r="BQ20" s="1425" t="str">
        <f aca="false">IF(ISNUMBER($AU20*BD20*1),$AU20*BD20*1,"")</f>
        <v/>
      </c>
      <c r="BR20" s="1425" t="str">
        <f aca="false">IF(ISNUMBER($AV20*BE20*1),$AV20*BE20*1,"")</f>
        <v/>
      </c>
      <c r="BS20" s="1411" t="str">
        <f aca="false">IF(ISNUMBER($AU20*BF20),$AU20*BF20,"")</f>
        <v/>
      </c>
      <c r="BT20" s="1411" t="str">
        <f aca="false">IF(ISNUMBER($AV20*BG20),$AV20*BG20,"")</f>
        <v/>
      </c>
      <c r="BU20" s="1411"/>
      <c r="BV20" s="1411"/>
      <c r="BW20" s="1411"/>
      <c r="BX20" s="1411"/>
      <c r="BZ20" s="1372"/>
      <c r="CA20" s="1372"/>
      <c r="CB20" s="1426" t="str">
        <f aca="false">IF(ISNUMBER($AW20*BB20),$AW20*BB20,"")</f>
        <v/>
      </c>
      <c r="CC20" s="1426" t="str">
        <f aca="false">IF(ISNUMBER($AX20*BC20),$AX20*BC20,"")</f>
        <v/>
      </c>
      <c r="CD20" s="1426" t="str">
        <f aca="false">IF(ISNUMBER($AW20*BD20),$AW20*BD20,"")</f>
        <v/>
      </c>
      <c r="CE20" s="1426" t="str">
        <f aca="false">IF(ISNUMBER($AX20*BE20),$AX20*BE20,"")</f>
        <v/>
      </c>
      <c r="CF20" s="1372" t="str">
        <f aca="false">IF(ISNUMBER($AW20*BF20),$AW20*BF20,"")</f>
        <v/>
      </c>
      <c r="CG20" s="1372" t="str">
        <f aca="false">IF(ISNUMBER($AX20*BG20),$AX20*BG20,"")</f>
        <v/>
      </c>
      <c r="CH20" s="1438"/>
      <c r="CI20" s="1438"/>
      <c r="CJ20" s="1438"/>
      <c r="CK20" s="1438"/>
      <c r="CU20" s="1411"/>
      <c r="CV20" s="1411"/>
      <c r="CW20" s="1425"/>
      <c r="CX20" s="1425"/>
      <c r="CY20" s="1425"/>
      <c r="CZ20" s="1425"/>
      <c r="DA20" s="1411"/>
      <c r="DB20" s="1411"/>
      <c r="DC20" s="1411"/>
      <c r="DD20" s="1411"/>
      <c r="DE20" s="1411"/>
      <c r="DF20" s="1411"/>
      <c r="DH20" s="1432"/>
      <c r="DI20" s="1432"/>
      <c r="DJ20" s="1437"/>
      <c r="DK20" s="1437"/>
      <c r="DL20" s="1437"/>
      <c r="DM20" s="1437"/>
      <c r="DN20" s="1432"/>
      <c r="DO20" s="1432"/>
      <c r="DP20" s="1432"/>
      <c r="DQ20" s="1432"/>
      <c r="DR20" s="1432"/>
      <c r="DS20" s="1432"/>
      <c r="DT20" s="1316"/>
      <c r="DU20" s="1433"/>
      <c r="DV20" s="1433"/>
      <c r="DW20" s="1433"/>
      <c r="DX20" s="1433"/>
      <c r="DY20" s="1433"/>
      <c r="DZ20" s="1433"/>
      <c r="EA20" s="1433"/>
      <c r="EB20" s="1433"/>
    </row>
    <row r="21" customFormat="false" ht="14.25" hidden="false" customHeight="false" outlineLevel="0" collapsed="false">
      <c r="A21" s="2" t="n">
        <f aca="false">'V_DATOS PAC_SGA'!R16</f>
        <v>0</v>
      </c>
      <c r="B21" s="2" t="n">
        <f aca="false">IF(I21="IV",CONCATENATE('V_DATOS PAC_SGA'!R16,"4")+0,CONCATENATE('V_DATOS PAC_SGA'!R16,"0")+0)</f>
        <v>0</v>
      </c>
      <c r="C21" s="2" t="n">
        <f aca="false">'V_DATOS PAC_SGA'!S16</f>
        <v>0</v>
      </c>
      <c r="D21" s="1409" t="n">
        <f aca="false">'V_DATOS PAC_SGA'!Y16</f>
        <v>0</v>
      </c>
      <c r="E21" s="1410" t="str">
        <f aca="false">IF('V_DATOS PAC_SGA'!AV16="","Regadio",'V_DATOS PAC_SGA'!AV16)</f>
        <v>Regadio</v>
      </c>
      <c r="F21" s="1411" t="n">
        <f aca="false">'V_DATOS PAC_SGA'!BK16</f>
        <v>0</v>
      </c>
      <c r="G21" s="1412" t="n">
        <f aca="false">'V_DATOS PAC_SGA'!AN16</f>
        <v>0</v>
      </c>
      <c r="H21" s="1413" t="str">
        <f aca="false">IF(B21&gt;0,VLOOKUP(B21,'O_MN, PE_UTA_UGM 2024'!E$3:O$419,10),"")</f>
        <v/>
      </c>
      <c r="I21" s="1359" t="n">
        <f aca="false">'V_DATOS PAC_SGA'!BV16</f>
        <v>0</v>
      </c>
      <c r="J21" s="2" t="str">
        <f aca="false">IF(AND(J$4=$G21,J$6=$F21),$D21*J$5,"")</f>
        <v/>
      </c>
      <c r="K21" s="2" t="str">
        <f aca="false">IF(AND(K$4=$G21,K$6=$F21),$D21*K$5,"")</f>
        <v/>
      </c>
      <c r="L21" s="2" t="str">
        <f aca="false">IF(AND(L$4=$G21,L$6=$F21),$D21*L$5,"")</f>
        <v/>
      </c>
      <c r="M21" s="2" t="str">
        <f aca="false">IF(AND(M$4=$G21,M$6=$F21),$D21*M$5,"")</f>
        <v/>
      </c>
      <c r="N21" s="1414" t="n">
        <f aca="false">VLOOKUP(B21,'O_MN, PE_UTA_UGM 2024'!$E$2:$K$419,IF(G21&gt;1,6,7))</f>
        <v>0</v>
      </c>
      <c r="O21" s="1434" t="str">
        <f aca="false">IF($H21=O$4,$D21*$N21,"")</f>
        <v/>
      </c>
      <c r="P21" s="1435" t="str">
        <f aca="false">IF($H21=P$4,$D21*$N21,"")</f>
        <v/>
      </c>
      <c r="Q21" s="1435" t="str">
        <f aca="false">IF($H21=Q$4,$D21*$N21,"")</f>
        <v/>
      </c>
      <c r="R21" s="1435" t="str">
        <f aca="false">IF($H21=R$4,$D21*$N21,"")</f>
        <v/>
      </c>
      <c r="S21" s="1435" t="str">
        <f aca="false">IF($H21=S$4,$D21*$N21,"")</f>
        <v/>
      </c>
      <c r="T21" s="1435" t="str">
        <f aca="false">IF($H21=T$4,$D21*$N21,"")</f>
        <v/>
      </c>
      <c r="U21" s="1436" t="str">
        <f aca="false">IF($H21=U$4,$D21*$N21,"")</f>
        <v/>
      </c>
      <c r="V21" s="1418"/>
      <c r="W21" s="1419"/>
      <c r="X21" s="1419"/>
      <c r="Y21" s="1419"/>
      <c r="Z21" s="1419"/>
      <c r="AA21" s="1419"/>
      <c r="AB21" s="1420"/>
      <c r="AC21" s="1319"/>
      <c r="AD21" s="2" t="str">
        <f aca="false">IF(AND(AD$4=$G21,AD$6=$F21),$B21,"")</f>
        <v/>
      </c>
      <c r="AE21" s="2" t="str">
        <f aca="false">IF(AND(AE$4=$G21,AE$6=$F21),$B21,"")</f>
        <v/>
      </c>
      <c r="AF21" s="2" t="str">
        <f aca="false">IF(AND(AF$4=$G21,AF$6=$F21),$B21,"")</f>
        <v/>
      </c>
      <c r="AG21" s="2" t="str">
        <f aca="false">IF(AND(AG$4=$G21,AG$6=$F21),$B21,"")</f>
        <v/>
      </c>
      <c r="AI21" s="366"/>
      <c r="AL21" s="367"/>
      <c r="AO21" s="367"/>
      <c r="AP21" s="2" t="str">
        <f aca="false">IF(AT21&gt;0,RANK(AT21,AT$7:AT$423),"")</f>
        <v/>
      </c>
      <c r="AQ21" s="2" t="n">
        <f aca="false">'O_MN, PE_UTA_UGM 2024'!C17</f>
        <v>19</v>
      </c>
      <c r="AR21" s="1421" t="n">
        <v>190</v>
      </c>
      <c r="AS21" s="2" t="str">
        <f aca="false">IF(AY21&lt;&gt;"",AY21,"")</f>
        <v/>
      </c>
      <c r="AT21" s="1422" t="n">
        <f aca="false">IF(ISNUMBER($AR21),SUMIF(B$7:B$505,AR21,D$7:D$505),"")</f>
        <v>0</v>
      </c>
      <c r="AU21" s="1411" t="n">
        <f aca="false">IF(ISNUMBER($AR21),SUMIF(AD$7:AD$503,$AR21,J$7:J$503),"")</f>
        <v>0</v>
      </c>
      <c r="AV21" s="1411" t="n">
        <f aca="false">IF(ISNUMBER($AR21),SUMIF(AF$7:AF$503,$AR21,L$7:L$503),"")</f>
        <v>0</v>
      </c>
      <c r="AW21" s="1423" t="n">
        <f aca="false">IF(ISNUMBER($AR21),SUMIF(AE$7:AE$503,$AR21,K$7:K$503),"")</f>
        <v>0</v>
      </c>
      <c r="AX21" s="1423" t="n">
        <f aca="false">IF(ISNUMBER($AR21),SUMIF(AG$7:AG$503,$AR21,M$7:M$503),"")</f>
        <v>0</v>
      </c>
      <c r="AY21" s="2" t="str">
        <f aca="false">IF($AT21&gt;0,VLOOKUP($AR21,'O_MN, PE_UTA_UGM 2024'!E17:O433,2),"")</f>
        <v/>
      </c>
      <c r="AZ21" s="1424"/>
      <c r="BA21" s="1424"/>
      <c r="BB21" s="1424" t="str">
        <f aca="false">IF($AT21&gt;0,VLOOKUP($AR21,'O_MN, PE_UTA_UGM 2024'!$E$3:$O$419,BB$6),"")</f>
        <v/>
      </c>
      <c r="BC21" s="1424" t="str">
        <f aca="false">IF($AT21&gt;0,VLOOKUP($AR21,'O_MN, PE_UTA_UGM 2024'!$E$3:$O$419,BC$6),"")</f>
        <v/>
      </c>
      <c r="BD21" s="1424" t="str">
        <f aca="false">IF($AT21&gt;0,VLOOKUP($AR21,'O_MN, PE_UTA_UGM 2024'!$E$3:$O$419,BD$6),"")</f>
        <v/>
      </c>
      <c r="BE21" s="1424" t="str">
        <f aca="false">IF($AT21&gt;0,VLOOKUP($AR21,'O_MN, PE_UTA_UGM 2024'!$E$3:$O$419,BE$6),"")</f>
        <v/>
      </c>
      <c r="BF21" s="1424" t="str">
        <f aca="false">IF($AT21&gt;0,VLOOKUP($AR21,'O_MN, PE_UTA_UGM 2024'!$E$3:$O$419,BF$6),"")</f>
        <v/>
      </c>
      <c r="BG21" s="1424" t="str">
        <f aca="false">IF($AT21&gt;0,VLOOKUP($AR21,'O_MN, PE_UTA_UGM 2024'!$E$3:$O$419,BG$6),"")</f>
        <v/>
      </c>
      <c r="BH21" s="872"/>
      <c r="BI21" s="872"/>
      <c r="BJ21" s="872"/>
      <c r="BK21" s="872"/>
      <c r="BM21" s="1411"/>
      <c r="BN21" s="1411"/>
      <c r="BO21" s="1425" t="str">
        <f aca="false">IF(ISNUMBER($AU21*BB21*1),$AU21*BB21*1,"")</f>
        <v/>
      </c>
      <c r="BP21" s="1425" t="str">
        <f aca="false">IF(ISNUMBER($AV21*BC21*1),$AV21*BC21*1,"")</f>
        <v/>
      </c>
      <c r="BQ21" s="1425" t="str">
        <f aca="false">IF(ISNUMBER($AU21*BD21*1),$AU21*BD21*1,"")</f>
        <v/>
      </c>
      <c r="BR21" s="1425" t="str">
        <f aca="false">IF(ISNUMBER($AV21*BE21*1),$AV21*BE21*1,"")</f>
        <v/>
      </c>
      <c r="BS21" s="1411" t="str">
        <f aca="false">IF(ISNUMBER($AU21*BF21),$AU21*BF21,"")</f>
        <v/>
      </c>
      <c r="BT21" s="1411" t="str">
        <f aca="false">IF(ISNUMBER($AV21*BG21),$AV21*BG21,"")</f>
        <v/>
      </c>
      <c r="BU21" s="1411"/>
      <c r="BV21" s="1411"/>
      <c r="BW21" s="1411"/>
      <c r="BX21" s="1411"/>
      <c r="BZ21" s="1372"/>
      <c r="CA21" s="1372"/>
      <c r="CB21" s="1426" t="str">
        <f aca="false">IF(ISNUMBER($AW21*BB21),$AW21*BB21,"")</f>
        <v/>
      </c>
      <c r="CC21" s="1426" t="str">
        <f aca="false">IF(ISNUMBER($AX21*BC21),$AX21*BC21,"")</f>
        <v/>
      </c>
      <c r="CD21" s="1426" t="str">
        <f aca="false">IF(ISNUMBER($AW21*BD21),$AW21*BD21,"")</f>
        <v/>
      </c>
      <c r="CE21" s="1426" t="str">
        <f aca="false">IF(ISNUMBER($AX21*BE21),$AX21*BE21,"")</f>
        <v/>
      </c>
      <c r="CF21" s="1372" t="str">
        <f aca="false">IF(ISNUMBER($AW21*BF21),$AW21*BF21,"")</f>
        <v/>
      </c>
      <c r="CG21" s="1372" t="str">
        <f aca="false">IF(ISNUMBER($AX21*BG21),$AX21*BG21,"")</f>
        <v/>
      </c>
      <c r="CH21" s="1438"/>
      <c r="CI21" s="1438"/>
      <c r="CJ21" s="1438"/>
      <c r="CK21" s="1438"/>
      <c r="CU21" s="1411"/>
      <c r="CV21" s="1411"/>
      <c r="CW21" s="1425"/>
      <c r="CX21" s="1425"/>
      <c r="CY21" s="1425"/>
      <c r="CZ21" s="1425"/>
      <c r="DA21" s="1411"/>
      <c r="DB21" s="1411"/>
      <c r="DC21" s="1411"/>
      <c r="DD21" s="1411"/>
      <c r="DE21" s="1411"/>
      <c r="DF21" s="1411"/>
      <c r="DH21" s="1432"/>
      <c r="DI21" s="1432"/>
      <c r="DJ21" s="1437"/>
      <c r="DK21" s="1437"/>
      <c r="DL21" s="1437"/>
      <c r="DM21" s="1437"/>
      <c r="DN21" s="1432"/>
      <c r="DO21" s="1432"/>
      <c r="DP21" s="1432"/>
      <c r="DQ21" s="1432"/>
      <c r="DR21" s="1432"/>
      <c r="DS21" s="1432"/>
      <c r="DT21" s="1316"/>
      <c r="DU21" s="1433"/>
      <c r="DV21" s="1433"/>
      <c r="DW21" s="1433"/>
      <c r="DX21" s="1433"/>
      <c r="DY21" s="1433"/>
      <c r="DZ21" s="1433"/>
      <c r="EA21" s="1433"/>
      <c r="EB21" s="1433"/>
    </row>
    <row r="22" customFormat="false" ht="14.25" hidden="false" customHeight="false" outlineLevel="0" collapsed="false">
      <c r="A22" s="2" t="n">
        <f aca="false">'V_DATOS PAC_SGA'!R17</f>
        <v>0</v>
      </c>
      <c r="B22" s="2" t="n">
        <f aca="false">IF(I22="IV",CONCATENATE('V_DATOS PAC_SGA'!R17,"4")+0,CONCATENATE('V_DATOS PAC_SGA'!R17,"0")+0)</f>
        <v>0</v>
      </c>
      <c r="C22" s="2" t="n">
        <f aca="false">'V_DATOS PAC_SGA'!S17</f>
        <v>0</v>
      </c>
      <c r="D22" s="1409" t="n">
        <f aca="false">'V_DATOS PAC_SGA'!Y17</f>
        <v>0</v>
      </c>
      <c r="E22" s="1410" t="str">
        <f aca="false">IF('V_DATOS PAC_SGA'!AV17="","Regadio",'V_DATOS PAC_SGA'!AV17)</f>
        <v>Regadio</v>
      </c>
      <c r="F22" s="1411" t="n">
        <f aca="false">'V_DATOS PAC_SGA'!BK17</f>
        <v>0</v>
      </c>
      <c r="G22" s="1412" t="n">
        <f aca="false">'V_DATOS PAC_SGA'!AN17</f>
        <v>0</v>
      </c>
      <c r="H22" s="1413" t="str">
        <f aca="false">IF(B22&gt;0,VLOOKUP(B22,'O_MN, PE_UTA_UGM 2024'!E$3:O$419,10),"")</f>
        <v/>
      </c>
      <c r="I22" s="1359" t="n">
        <f aca="false">'V_DATOS PAC_SGA'!BV17</f>
        <v>0</v>
      </c>
      <c r="J22" s="2" t="str">
        <f aca="false">IF(AND(J$4=$G22,J$6=$F22),$D22*J$5,"")</f>
        <v/>
      </c>
      <c r="K22" s="2" t="str">
        <f aca="false">IF(AND(K$4=$G22,K$6=$F22),$D22*K$5,"")</f>
        <v/>
      </c>
      <c r="L22" s="2" t="str">
        <f aca="false">IF(AND(L$4=$G22,L$6=$F22),$D22*L$5,"")</f>
        <v/>
      </c>
      <c r="M22" s="2" t="str">
        <f aca="false">IF(AND(M$4=$G22,M$6=$F22),$D22*M$5,"")</f>
        <v/>
      </c>
      <c r="N22" s="1414" t="n">
        <f aca="false">VLOOKUP(B22,'O_MN, PE_UTA_UGM 2024'!$E$2:$K$419,IF(G22&gt;1,6,7))</f>
        <v>0</v>
      </c>
      <c r="O22" s="1434" t="str">
        <f aca="false">IF($H22=O$4,$D22*$N22,"")</f>
        <v/>
      </c>
      <c r="P22" s="1435" t="str">
        <f aca="false">IF($H22=P$4,$D22*$N22,"")</f>
        <v/>
      </c>
      <c r="Q22" s="1435" t="str">
        <f aca="false">IF($H22=Q$4,$D22*$N22,"")</f>
        <v/>
      </c>
      <c r="R22" s="1435" t="str">
        <f aca="false">IF($H22=R$4,$D22*$N22,"")</f>
        <v/>
      </c>
      <c r="S22" s="1435" t="str">
        <f aca="false">IF($H22=S$4,$D22*$N22,"")</f>
        <v/>
      </c>
      <c r="T22" s="1435" t="str">
        <f aca="false">IF($H22=T$4,$D22*$N22,"")</f>
        <v/>
      </c>
      <c r="U22" s="1436" t="str">
        <f aca="false">IF($H22=U$4,$D22*$N22,"")</f>
        <v/>
      </c>
      <c r="V22" s="1418"/>
      <c r="W22" s="1419"/>
      <c r="X22" s="1419"/>
      <c r="Y22" s="1419"/>
      <c r="Z22" s="1419"/>
      <c r="AA22" s="1419"/>
      <c r="AB22" s="1420"/>
      <c r="AC22" s="1319"/>
      <c r="AD22" s="2" t="str">
        <f aca="false">IF(AND(AD$4=$G22,AD$6=$F22),$B22,"")</f>
        <v/>
      </c>
      <c r="AE22" s="2" t="str">
        <f aca="false">IF(AND(AE$4=$G22,AE$6=$F22),$B22,"")</f>
        <v/>
      </c>
      <c r="AF22" s="2" t="str">
        <f aca="false">IF(AND(AF$4=$G22,AF$6=$F22),$B22,"")</f>
        <v/>
      </c>
      <c r="AG22" s="2" t="str">
        <f aca="false">IF(AND(AG$4=$G22,AG$6=$F22),$B22,"")</f>
        <v/>
      </c>
      <c r="AI22" s="366"/>
      <c r="AL22" s="367"/>
      <c r="AO22" s="367" t="str">
        <f aca="false">IF(MID(AR22,LEN(AR22),1)+0&gt;0,CONCATENATE(AY22," invernadero"),AY22)</f>
        <v/>
      </c>
      <c r="AP22" s="2" t="str">
        <f aca="false">IF(AT22&gt;0,RANK(AT22,AT$7:AT$423),"")</f>
        <v/>
      </c>
      <c r="AQ22" s="2" t="n">
        <f aca="false">'O_MN, PE_UTA_UGM 2024'!C18</f>
        <v>20</v>
      </c>
      <c r="AR22" s="1421" t="n">
        <v>200</v>
      </c>
      <c r="AS22" s="2" t="str">
        <f aca="false">IF(AY22&lt;&gt;"",AY22,"")</f>
        <v/>
      </c>
      <c r="AT22" s="1422" t="n">
        <f aca="false">IF(ISNUMBER($AR22),SUMIF(B$7:B$505,AR22,D$7:D$505),"")</f>
        <v>0</v>
      </c>
      <c r="AU22" s="1411" t="n">
        <f aca="false">IF(ISNUMBER($AR22),SUMIF(AD$7:AD$503,$AR22,J$7:J$503),"")</f>
        <v>0</v>
      </c>
      <c r="AV22" s="1411" t="n">
        <f aca="false">IF(ISNUMBER($AR22),SUMIF(AF$7:AF$503,$AR22,L$7:L$503),"")</f>
        <v>0</v>
      </c>
      <c r="AW22" s="1423" t="n">
        <f aca="false">IF(ISNUMBER($AR22),SUMIF(AE$7:AE$503,$AR22,K$7:K$503),"")</f>
        <v>0</v>
      </c>
      <c r="AX22" s="1423" t="n">
        <f aca="false">IF(ISNUMBER($AR22),SUMIF(AG$7:AG$503,$AR22,M$7:M$503),"")</f>
        <v>0</v>
      </c>
      <c r="AY22" s="2" t="str">
        <f aca="false">IF($AT22&gt;0,VLOOKUP($AR22,'O_MN, PE_UTA_UGM 2024'!E18:O434,2),"")</f>
        <v/>
      </c>
      <c r="AZ22" s="1424"/>
      <c r="BA22" s="1424"/>
      <c r="BB22" s="1424" t="str">
        <f aca="false">IF($AT22&gt;0,VLOOKUP($AR22,'O_MN, PE_UTA_UGM 2024'!$E$3:$O$419,BB$6),"")</f>
        <v/>
      </c>
      <c r="BC22" s="1424" t="str">
        <f aca="false">IF($AT22&gt;0,VLOOKUP($AR22,'O_MN, PE_UTA_UGM 2024'!$E$3:$O$419,BC$6),"")</f>
        <v/>
      </c>
      <c r="BD22" s="1424" t="str">
        <f aca="false">IF($AT22&gt;0,VLOOKUP($AR22,'O_MN, PE_UTA_UGM 2024'!$E$3:$O$419,BD$6),"")</f>
        <v/>
      </c>
      <c r="BE22" s="1424" t="str">
        <f aca="false">IF($AT22&gt;0,VLOOKUP($AR22,'O_MN, PE_UTA_UGM 2024'!$E$3:$O$419,BE$6),"")</f>
        <v/>
      </c>
      <c r="BF22" s="1424" t="str">
        <f aca="false">IF($AT22&gt;0,VLOOKUP($AR22,'O_MN, PE_UTA_UGM 2024'!$E$3:$O$419,BF$6),"")</f>
        <v/>
      </c>
      <c r="BG22" s="1424" t="str">
        <f aca="false">IF($AT22&gt;0,VLOOKUP($AR22,'O_MN, PE_UTA_UGM 2024'!$E$3:$O$419,BG$6),"")</f>
        <v/>
      </c>
      <c r="BH22" s="872"/>
      <c r="BI22" s="872"/>
      <c r="BJ22" s="872"/>
      <c r="BK22" s="872"/>
      <c r="BM22" s="1411"/>
      <c r="BN22" s="1411"/>
      <c r="BO22" s="1425" t="str">
        <f aca="false">IF(ISNUMBER($AU22*BB22*1),$AU22*BB22*1,"")</f>
        <v/>
      </c>
      <c r="BP22" s="1425" t="str">
        <f aca="false">IF(ISNUMBER($AV22*BC22*1),$AV22*BC22*1,"")</f>
        <v/>
      </c>
      <c r="BQ22" s="1425" t="str">
        <f aca="false">IF(ISNUMBER($AU22*BD22*1),$AU22*BD22*1,"")</f>
        <v/>
      </c>
      <c r="BR22" s="1425" t="str">
        <f aca="false">IF(ISNUMBER($AV22*BE22*1),$AV22*BE22*1,"")</f>
        <v/>
      </c>
      <c r="BS22" s="1411" t="str">
        <f aca="false">IF(ISNUMBER($AU22*BF22),$AU22*BF22,"")</f>
        <v/>
      </c>
      <c r="BT22" s="1411" t="str">
        <f aca="false">IF(ISNUMBER($AV22*BG22),$AV22*BG22,"")</f>
        <v/>
      </c>
      <c r="BU22" s="1411"/>
      <c r="BV22" s="1411"/>
      <c r="BW22" s="1411"/>
      <c r="BX22" s="1411"/>
      <c r="BZ22" s="1372"/>
      <c r="CA22" s="1372"/>
      <c r="CB22" s="1426" t="str">
        <f aca="false">IF(ISNUMBER($AW22*BB22),$AW22*BB22,"")</f>
        <v/>
      </c>
      <c r="CC22" s="1426" t="str">
        <f aca="false">IF(ISNUMBER($AX22*BC22),$AX22*BC22,"")</f>
        <v/>
      </c>
      <c r="CD22" s="1426" t="str">
        <f aca="false">IF(ISNUMBER($AW22*BD22),$AW22*BD22,"")</f>
        <v/>
      </c>
      <c r="CE22" s="1426" t="str">
        <f aca="false">IF(ISNUMBER($AX22*BE22),$AX22*BE22,"")</f>
        <v/>
      </c>
      <c r="CF22" s="1372" t="str">
        <f aca="false">IF(ISNUMBER($AW22*BF22),$AW22*BF22,"")</f>
        <v/>
      </c>
      <c r="CG22" s="1372" t="str">
        <f aca="false">IF(ISNUMBER($AX22*BG22),$AX22*BG22,"")</f>
        <v/>
      </c>
      <c r="CH22" s="1438"/>
      <c r="CI22" s="1438"/>
      <c r="CJ22" s="1438"/>
      <c r="CK22" s="1438"/>
      <c r="CU22" s="1411"/>
      <c r="CV22" s="1411"/>
      <c r="CW22" s="1425"/>
      <c r="CX22" s="1425"/>
      <c r="CY22" s="1425"/>
      <c r="CZ22" s="1425"/>
      <c r="DA22" s="1411"/>
      <c r="DB22" s="1411"/>
      <c r="DC22" s="1411"/>
      <c r="DD22" s="1411"/>
      <c r="DE22" s="1411"/>
      <c r="DF22" s="1411"/>
      <c r="DH22" s="1432"/>
      <c r="DI22" s="1432"/>
      <c r="DJ22" s="1437"/>
      <c r="DK22" s="1437"/>
      <c r="DL22" s="1437"/>
      <c r="DM22" s="1437"/>
      <c r="DN22" s="1432"/>
      <c r="DO22" s="1432"/>
      <c r="DP22" s="1432"/>
      <c r="DQ22" s="1432"/>
      <c r="DR22" s="1432"/>
      <c r="DS22" s="1432"/>
      <c r="DT22" s="1316"/>
      <c r="DU22" s="1433"/>
      <c r="DV22" s="1433"/>
      <c r="DW22" s="1433"/>
      <c r="DX22" s="1433"/>
      <c r="DY22" s="1433"/>
      <c r="DZ22" s="1433"/>
      <c r="EA22" s="1433"/>
      <c r="EB22" s="1433"/>
    </row>
    <row r="23" customFormat="false" ht="14.25" hidden="false" customHeight="false" outlineLevel="0" collapsed="false">
      <c r="A23" s="2" t="n">
        <f aca="false">'V_DATOS PAC_SGA'!R18</f>
        <v>0</v>
      </c>
      <c r="B23" s="2" t="n">
        <f aca="false">IF(I23="IV",CONCATENATE('V_DATOS PAC_SGA'!R18,"4")+0,CONCATENATE('V_DATOS PAC_SGA'!R18,"0")+0)</f>
        <v>0</v>
      </c>
      <c r="C23" s="2" t="n">
        <f aca="false">'V_DATOS PAC_SGA'!S18</f>
        <v>0</v>
      </c>
      <c r="D23" s="1409" t="n">
        <f aca="false">'V_DATOS PAC_SGA'!Y18</f>
        <v>0</v>
      </c>
      <c r="E23" s="1410" t="str">
        <f aca="false">IF('V_DATOS PAC_SGA'!AV18="","Regadio",'V_DATOS PAC_SGA'!AV18)</f>
        <v>Regadio</v>
      </c>
      <c r="F23" s="1411" t="n">
        <f aca="false">'V_DATOS PAC_SGA'!BK18</f>
        <v>0</v>
      </c>
      <c r="G23" s="1412" t="n">
        <f aca="false">'V_DATOS PAC_SGA'!AN18</f>
        <v>0</v>
      </c>
      <c r="H23" s="1413" t="str">
        <f aca="false">IF(B23&gt;0,VLOOKUP(B23,'O_MN, PE_UTA_UGM 2024'!E$3:O$419,10),"")</f>
        <v/>
      </c>
      <c r="I23" s="1359" t="n">
        <f aca="false">'V_DATOS PAC_SGA'!BV18</f>
        <v>0</v>
      </c>
      <c r="J23" s="2" t="str">
        <f aca="false">IF(AND(J$4=$G23,J$6=$F23),$D23*J$5,"")</f>
        <v/>
      </c>
      <c r="K23" s="2" t="str">
        <f aca="false">IF(AND(K$4=$G23,K$6=$F23),$D23*K$5,"")</f>
        <v/>
      </c>
      <c r="L23" s="2" t="str">
        <f aca="false">IF(AND(L$4=$G23,L$6=$F23),$D23*L$5,"")</f>
        <v/>
      </c>
      <c r="M23" s="2" t="str">
        <f aca="false">IF(AND(M$4=$G23,M$6=$F23),$D23*M$5,"")</f>
        <v/>
      </c>
      <c r="N23" s="1414" t="n">
        <f aca="false">VLOOKUP(B23,'O_MN, PE_UTA_UGM 2024'!$E$2:$K$419,IF(G23&gt;1,6,7))</f>
        <v>0</v>
      </c>
      <c r="O23" s="1434" t="str">
        <f aca="false">IF($H23=O$4,$D23*$N23,"")</f>
        <v/>
      </c>
      <c r="P23" s="1435" t="str">
        <f aca="false">IF($H23=P$4,$D23*$N23,"")</f>
        <v/>
      </c>
      <c r="Q23" s="1435" t="str">
        <f aca="false">IF($H23=Q$4,$D23*$N23,"")</f>
        <v/>
      </c>
      <c r="R23" s="1435" t="str">
        <f aca="false">IF($H23=R$4,$D23*$N23,"")</f>
        <v/>
      </c>
      <c r="S23" s="1435" t="str">
        <f aca="false">IF($H23=S$4,$D23*$N23,"")</f>
        <v/>
      </c>
      <c r="T23" s="1435" t="str">
        <f aca="false">IF($H23=T$4,$D23*$N23,"")</f>
        <v/>
      </c>
      <c r="U23" s="1436" t="str">
        <f aca="false">IF($H23=U$4,$D23*$N23,"")</f>
        <v/>
      </c>
      <c r="V23" s="1418"/>
      <c r="W23" s="1419"/>
      <c r="X23" s="1419"/>
      <c r="Y23" s="1419"/>
      <c r="Z23" s="1419"/>
      <c r="AA23" s="1419"/>
      <c r="AB23" s="1420"/>
      <c r="AC23" s="1319"/>
      <c r="AD23" s="2" t="str">
        <f aca="false">IF(AND(AD$4=$G23,AD$6=$F23),$B23,"")</f>
        <v/>
      </c>
      <c r="AE23" s="2" t="str">
        <f aca="false">IF(AND(AE$4=$G23,AE$6=$F23),$B23,"")</f>
        <v/>
      </c>
      <c r="AF23" s="2" t="str">
        <f aca="false">IF(AND(AF$4=$G23,AF$6=$F23),$B23,"")</f>
        <v/>
      </c>
      <c r="AG23" s="2" t="str">
        <f aca="false">IF(AND(AG$4=$G23,AG$6=$F23),$B23,"")</f>
        <v/>
      </c>
      <c r="AI23" s="366"/>
      <c r="AL23" s="367"/>
      <c r="AO23" s="367"/>
      <c r="AP23" s="2" t="str">
        <f aca="false">IF(AT23&gt;0,RANK(AT23,AT$7:AT$423),"")</f>
        <v/>
      </c>
      <c r="AQ23" s="2" t="n">
        <f aca="false">'O_MN, PE_UTA_UGM 2024'!C19</f>
        <v>23</v>
      </c>
      <c r="AR23" s="1421" t="n">
        <v>230</v>
      </c>
      <c r="AS23" s="2" t="str">
        <f aca="false">IF(AY23&lt;&gt;"",AY23,"")</f>
        <v/>
      </c>
      <c r="AT23" s="1422" t="n">
        <f aca="false">IF(ISNUMBER($AR23),SUMIF(B$7:B$505,AR23,D$7:D$505),"")</f>
        <v>0</v>
      </c>
      <c r="AU23" s="1411" t="n">
        <f aca="false">IF(ISNUMBER($AR23),SUMIF(AD$7:AD$503,$AR23,J$7:J$503),"")</f>
        <v>0</v>
      </c>
      <c r="AV23" s="1411" t="n">
        <f aca="false">IF(ISNUMBER($AR23),SUMIF(AF$7:AF$503,$AR23,L$7:L$503),"")</f>
        <v>0</v>
      </c>
      <c r="AW23" s="1423" t="n">
        <f aca="false">IF(ISNUMBER($AR23),SUMIF(AE$7:AE$503,$AR23,K$7:K$503),"")</f>
        <v>0</v>
      </c>
      <c r="AX23" s="1423" t="n">
        <f aca="false">IF(ISNUMBER($AR23),SUMIF(AG$7:AG$503,$AR23,M$7:M$503),"")</f>
        <v>0</v>
      </c>
      <c r="AY23" s="2" t="str">
        <f aca="false">IF($AT23&gt;0,VLOOKUP($AR23,'O_MN, PE_UTA_UGM 2024'!E19:O435,2),"")</f>
        <v/>
      </c>
      <c r="AZ23" s="1424"/>
      <c r="BA23" s="1424"/>
      <c r="BB23" s="1424" t="str">
        <f aca="false">IF($AT23&gt;0,VLOOKUP($AR23,'O_MN, PE_UTA_UGM 2024'!$E$3:$O$419,BB$6),"")</f>
        <v/>
      </c>
      <c r="BC23" s="1424" t="str">
        <f aca="false">IF($AT23&gt;0,VLOOKUP($AR23,'O_MN, PE_UTA_UGM 2024'!$E$3:$O$419,BC$6),"")</f>
        <v/>
      </c>
      <c r="BD23" s="1424" t="str">
        <f aca="false">IF($AT23&gt;0,VLOOKUP($AR23,'O_MN, PE_UTA_UGM 2024'!$E$3:$O$419,BD$6),"")</f>
        <v/>
      </c>
      <c r="BE23" s="1424" t="str">
        <f aca="false">IF($AT23&gt;0,VLOOKUP($AR23,'O_MN, PE_UTA_UGM 2024'!$E$3:$O$419,BE$6),"")</f>
        <v/>
      </c>
      <c r="BF23" s="1424" t="str">
        <f aca="false">IF($AT23&gt;0,VLOOKUP($AR23,'O_MN, PE_UTA_UGM 2024'!$E$3:$O$419,BF$6),"")</f>
        <v/>
      </c>
      <c r="BG23" s="1424" t="str">
        <f aca="false">IF($AT23&gt;0,VLOOKUP($AR23,'O_MN, PE_UTA_UGM 2024'!$E$3:$O$419,BG$6),"")</f>
        <v/>
      </c>
      <c r="BH23" s="872"/>
      <c r="BI23" s="872"/>
      <c r="BJ23" s="872"/>
      <c r="BK23" s="872"/>
      <c r="BM23" s="1411"/>
      <c r="BN23" s="1411"/>
      <c r="BO23" s="1425" t="str">
        <f aca="false">IF(ISNUMBER($AU23*BB23*1),$AU23*BB23*1,"")</f>
        <v/>
      </c>
      <c r="BP23" s="1425" t="str">
        <f aca="false">IF(ISNUMBER($AV23*BC23*1),$AV23*BC23*1,"")</f>
        <v/>
      </c>
      <c r="BQ23" s="1425" t="str">
        <f aca="false">IF(ISNUMBER($AU23*BD23*1),$AU23*BD23*1,"")</f>
        <v/>
      </c>
      <c r="BR23" s="1425" t="str">
        <f aca="false">IF(ISNUMBER($AV23*BE23*1),$AV23*BE23*1,"")</f>
        <v/>
      </c>
      <c r="BS23" s="1411" t="str">
        <f aca="false">IF(ISNUMBER($AU23*BF23),$AU23*BF23,"")</f>
        <v/>
      </c>
      <c r="BT23" s="1411" t="str">
        <f aca="false">IF(ISNUMBER($AV23*BG23),$AV23*BG23,"")</f>
        <v/>
      </c>
      <c r="BU23" s="1411"/>
      <c r="BV23" s="1411"/>
      <c r="BW23" s="1411"/>
      <c r="BX23" s="1411"/>
      <c r="BZ23" s="1372"/>
      <c r="CA23" s="1372"/>
      <c r="CB23" s="1426" t="str">
        <f aca="false">IF(ISNUMBER($AW23*BB23),$AW23*BB23,"")</f>
        <v/>
      </c>
      <c r="CC23" s="1426" t="str">
        <f aca="false">IF(ISNUMBER($AX23*BC23),$AX23*BC23,"")</f>
        <v/>
      </c>
      <c r="CD23" s="1426" t="str">
        <f aca="false">IF(ISNUMBER($AW23*BD23),$AW23*BD23,"")</f>
        <v/>
      </c>
      <c r="CE23" s="1426" t="str">
        <f aca="false">IF(ISNUMBER($AX23*BE23),$AX23*BE23,"")</f>
        <v/>
      </c>
      <c r="CF23" s="1372" t="str">
        <f aca="false">IF(ISNUMBER($AW23*BF23),$AW23*BF23,"")</f>
        <v/>
      </c>
      <c r="CG23" s="1372" t="str">
        <f aca="false">IF(ISNUMBER($AX23*BG23),$AX23*BG23,"")</f>
        <v/>
      </c>
      <c r="CH23" s="1438"/>
      <c r="CI23" s="1438"/>
      <c r="CJ23" s="1438"/>
      <c r="CK23" s="1438"/>
      <c r="CU23" s="1411"/>
      <c r="CV23" s="1411"/>
      <c r="CW23" s="1425"/>
      <c r="CX23" s="1425"/>
      <c r="CY23" s="1425"/>
      <c r="CZ23" s="1425"/>
      <c r="DA23" s="1411"/>
      <c r="DB23" s="1411"/>
      <c r="DC23" s="1411"/>
      <c r="DD23" s="1411"/>
      <c r="DE23" s="1411"/>
      <c r="DF23" s="1411"/>
      <c r="DH23" s="1432"/>
      <c r="DI23" s="1432"/>
      <c r="DJ23" s="1437"/>
      <c r="DK23" s="1437"/>
      <c r="DL23" s="1437"/>
      <c r="DM23" s="1437"/>
      <c r="DN23" s="1432"/>
      <c r="DO23" s="1432"/>
      <c r="DP23" s="1432"/>
      <c r="DQ23" s="1432"/>
      <c r="DR23" s="1432"/>
      <c r="DS23" s="1432"/>
      <c r="DT23" s="1316"/>
      <c r="DU23" s="1433"/>
      <c r="DV23" s="1433"/>
      <c r="DW23" s="1433"/>
      <c r="DX23" s="1433"/>
      <c r="DY23" s="1433"/>
      <c r="DZ23" s="1433"/>
      <c r="EA23" s="1433"/>
      <c r="EB23" s="1433"/>
    </row>
    <row r="24" customFormat="false" ht="14.25" hidden="false" customHeight="false" outlineLevel="0" collapsed="false">
      <c r="A24" s="2" t="n">
        <f aca="false">'V_DATOS PAC_SGA'!R19</f>
        <v>0</v>
      </c>
      <c r="B24" s="2" t="n">
        <f aca="false">IF(I24="IV",CONCATENATE('V_DATOS PAC_SGA'!R19,"4")+0,CONCATENATE('V_DATOS PAC_SGA'!R19,"0")+0)</f>
        <v>0</v>
      </c>
      <c r="C24" s="2" t="n">
        <f aca="false">'V_DATOS PAC_SGA'!S19</f>
        <v>0</v>
      </c>
      <c r="D24" s="1409" t="n">
        <f aca="false">'V_DATOS PAC_SGA'!Y19</f>
        <v>0</v>
      </c>
      <c r="E24" s="1410" t="str">
        <f aca="false">IF('V_DATOS PAC_SGA'!AV19="","Regadio",'V_DATOS PAC_SGA'!AV19)</f>
        <v>Regadio</v>
      </c>
      <c r="F24" s="1411" t="n">
        <f aca="false">'V_DATOS PAC_SGA'!BK19</f>
        <v>0</v>
      </c>
      <c r="G24" s="1412" t="n">
        <f aca="false">'V_DATOS PAC_SGA'!AN19</f>
        <v>0</v>
      </c>
      <c r="H24" s="1413" t="str">
        <f aca="false">IF(B24&gt;0,VLOOKUP(B24,'O_MN, PE_UTA_UGM 2024'!E$3:O$419,10),"")</f>
        <v/>
      </c>
      <c r="I24" s="1359" t="n">
        <f aca="false">'V_DATOS PAC_SGA'!BV19</f>
        <v>0</v>
      </c>
      <c r="J24" s="2" t="str">
        <f aca="false">IF(AND(J$4=$G24,J$6=$F24),$D24*J$5,"")</f>
        <v/>
      </c>
      <c r="K24" s="2" t="str">
        <f aca="false">IF(AND(K$4=$G24,K$6=$F24),$D24*K$5,"")</f>
        <v/>
      </c>
      <c r="L24" s="2" t="str">
        <f aca="false">IF(AND(L$4=$G24,L$6=$F24),$D24*L$5,"")</f>
        <v/>
      </c>
      <c r="M24" s="2" t="str">
        <f aca="false">IF(AND(M$4=$G24,M$6=$F24),$D24*M$5,"")</f>
        <v/>
      </c>
      <c r="N24" s="1414" t="n">
        <f aca="false">VLOOKUP(B24,'O_MN, PE_UTA_UGM 2024'!$E$2:$K$419,IF(G24&gt;1,6,7))</f>
        <v>0</v>
      </c>
      <c r="O24" s="1434" t="str">
        <f aca="false">IF($H24=O$4,$D24*$N24,"")</f>
        <v/>
      </c>
      <c r="P24" s="1435" t="str">
        <f aca="false">IF($H24=P$4,$D24*$N24,"")</f>
        <v/>
      </c>
      <c r="Q24" s="1435" t="str">
        <f aca="false">IF($H24=Q$4,$D24*$N24,"")</f>
        <v/>
      </c>
      <c r="R24" s="1435" t="str">
        <f aca="false">IF($H24=R$4,$D24*$N24,"")</f>
        <v/>
      </c>
      <c r="S24" s="1435" t="str">
        <f aca="false">IF($H24=S$4,$D24*$N24,"")</f>
        <v/>
      </c>
      <c r="T24" s="1435" t="str">
        <f aca="false">IF($H24=T$4,$D24*$N24,"")</f>
        <v/>
      </c>
      <c r="U24" s="1436" t="str">
        <f aca="false">IF($H24=U$4,$D24*$N24,"")</f>
        <v/>
      </c>
      <c r="V24" s="1418"/>
      <c r="W24" s="1419"/>
      <c r="X24" s="1419"/>
      <c r="Y24" s="1419"/>
      <c r="Z24" s="1419"/>
      <c r="AA24" s="1419"/>
      <c r="AB24" s="1420"/>
      <c r="AC24" s="1319"/>
      <c r="AD24" s="2" t="str">
        <f aca="false">IF(AND(AD$4=$G24,AD$6=$F24),$B24,"")</f>
        <v/>
      </c>
      <c r="AE24" s="2" t="str">
        <f aca="false">IF(AND(AE$4=$G24,AE$6=$F24),$B24,"")</f>
        <v/>
      </c>
      <c r="AF24" s="2" t="str">
        <f aca="false">IF(AND(AF$4=$G24,AF$6=$F24),$B24,"")</f>
        <v/>
      </c>
      <c r="AG24" s="2" t="str">
        <f aca="false">IF(AND(AG$4=$G24,AG$6=$F24),$B24,"")</f>
        <v/>
      </c>
      <c r="AI24" s="366"/>
      <c r="AL24" s="367"/>
      <c r="AO24" s="367"/>
      <c r="AP24" s="2" t="str">
        <f aca="false">IF(AT24&gt;0,RANK(AT24,AT$7:AT$423),"")</f>
        <v/>
      </c>
      <c r="AQ24" s="2" t="n">
        <f aca="false">'O_MN, PE_UTA_UGM 2024'!C20</f>
        <v>33</v>
      </c>
      <c r="AR24" s="1421" t="n">
        <v>330</v>
      </c>
      <c r="AS24" s="2" t="str">
        <f aca="false">IF(AY24&lt;&gt;"",AY24,"")</f>
        <v/>
      </c>
      <c r="AT24" s="1422" t="n">
        <f aca="false">IF(ISNUMBER($AR24),SUMIF(B$7:B$505,AR24,D$7:D$505),"")</f>
        <v>0</v>
      </c>
      <c r="AU24" s="1411" t="n">
        <f aca="false">IF(ISNUMBER($AR24),SUMIF(AD$7:AD$503,$AR24,J$7:J$503),"")</f>
        <v>0</v>
      </c>
      <c r="AV24" s="1411" t="n">
        <f aca="false">IF(ISNUMBER($AR24),SUMIF(AF$7:AF$503,$AR24,L$7:L$503),"")</f>
        <v>0</v>
      </c>
      <c r="AW24" s="1423" t="n">
        <f aca="false">IF(ISNUMBER($AR24),SUMIF(AE$7:AE$503,$AR24,K$7:K$503),"")</f>
        <v>0</v>
      </c>
      <c r="AX24" s="1423" t="n">
        <f aca="false">IF(ISNUMBER($AR24),SUMIF(AG$7:AG$503,$AR24,M$7:M$503),"")</f>
        <v>0</v>
      </c>
      <c r="AY24" s="2" t="str">
        <f aca="false">IF($AT24&gt;0,VLOOKUP($AR24,'O_MN, PE_UTA_UGM 2024'!E20:O436,2),"")</f>
        <v/>
      </c>
      <c r="AZ24" s="1424"/>
      <c r="BA24" s="1424"/>
      <c r="BB24" s="1424" t="str">
        <f aca="false">IF($AT24&gt;0,VLOOKUP($AR24,'O_MN, PE_UTA_UGM 2024'!$E$3:$O$419,BB$6),"")</f>
        <v/>
      </c>
      <c r="BC24" s="1424" t="str">
        <f aca="false">IF($AT24&gt;0,VLOOKUP($AR24,'O_MN, PE_UTA_UGM 2024'!$E$3:$O$419,BC$6),"")</f>
        <v/>
      </c>
      <c r="BD24" s="1424" t="str">
        <f aca="false">IF($AT24&gt;0,VLOOKUP($AR24,'O_MN, PE_UTA_UGM 2024'!$E$3:$O$419,BD$6),"")</f>
        <v/>
      </c>
      <c r="BE24" s="1424" t="str">
        <f aca="false">IF($AT24&gt;0,VLOOKUP($AR24,'O_MN, PE_UTA_UGM 2024'!$E$3:$O$419,BE$6),"")</f>
        <v/>
      </c>
      <c r="BF24" s="1424" t="str">
        <f aca="false">IF($AT24&gt;0,VLOOKUP($AR24,'O_MN, PE_UTA_UGM 2024'!$E$3:$O$419,BF$6),"")</f>
        <v/>
      </c>
      <c r="BG24" s="1424" t="str">
        <f aca="false">IF($AT24&gt;0,VLOOKUP($AR24,'O_MN, PE_UTA_UGM 2024'!$E$3:$O$419,BG$6),"")</f>
        <v/>
      </c>
      <c r="BH24" s="872"/>
      <c r="BI24" s="872"/>
      <c r="BJ24" s="872"/>
      <c r="BK24" s="872"/>
      <c r="BM24" s="1411"/>
      <c r="BN24" s="1411"/>
      <c r="BO24" s="1425" t="str">
        <f aca="false">IF(ISNUMBER($AU24*BB24*1),$AU24*BB24*1,"")</f>
        <v/>
      </c>
      <c r="BP24" s="1425" t="str">
        <f aca="false">IF(ISNUMBER($AV24*BC24*1),$AV24*BC24*1,"")</f>
        <v/>
      </c>
      <c r="BQ24" s="1425" t="str">
        <f aca="false">IF(ISNUMBER($AU24*BD24*1),$AU24*BD24*1,"")</f>
        <v/>
      </c>
      <c r="BR24" s="1425" t="str">
        <f aca="false">IF(ISNUMBER($AV24*BE24*1),$AV24*BE24*1,"")</f>
        <v/>
      </c>
      <c r="BS24" s="1411" t="str">
        <f aca="false">IF(ISNUMBER($AU24*BF24),$AU24*BF24,"")</f>
        <v/>
      </c>
      <c r="BT24" s="1411" t="str">
        <f aca="false">IF(ISNUMBER($AV24*BG24),$AV24*BG24,"")</f>
        <v/>
      </c>
      <c r="BU24" s="1411"/>
      <c r="BV24" s="1411"/>
      <c r="BW24" s="1411"/>
      <c r="BX24" s="1411"/>
      <c r="BZ24" s="1372"/>
      <c r="CA24" s="1372"/>
      <c r="CB24" s="1426" t="str">
        <f aca="false">IF(ISNUMBER($AW24*BB24),$AW24*BB24,"")</f>
        <v/>
      </c>
      <c r="CC24" s="1426" t="str">
        <f aca="false">IF(ISNUMBER($AX24*BC24),$AX24*BC24,"")</f>
        <v/>
      </c>
      <c r="CD24" s="1426" t="str">
        <f aca="false">IF(ISNUMBER($AW24*BD24),$AW24*BD24,"")</f>
        <v/>
      </c>
      <c r="CE24" s="1426" t="str">
        <f aca="false">IF(ISNUMBER($AX24*BE24),$AX24*BE24,"")</f>
        <v/>
      </c>
      <c r="CF24" s="1372" t="str">
        <f aca="false">IF(ISNUMBER($AW24*BF24),$AW24*BF24,"")</f>
        <v/>
      </c>
      <c r="CG24" s="1372" t="str">
        <f aca="false">IF(ISNUMBER($AX24*BG24),$AX24*BG24,"")</f>
        <v/>
      </c>
      <c r="CH24" s="1438"/>
      <c r="CI24" s="1438"/>
      <c r="CJ24" s="1438"/>
      <c r="CK24" s="1438"/>
      <c r="CU24" s="1411"/>
      <c r="CV24" s="1411"/>
      <c r="CW24" s="1425"/>
      <c r="CX24" s="1425"/>
      <c r="CY24" s="1425"/>
      <c r="CZ24" s="1425"/>
      <c r="DA24" s="1411"/>
      <c r="DB24" s="1411"/>
      <c r="DC24" s="1411"/>
      <c r="DD24" s="1411"/>
      <c r="DE24" s="1411"/>
      <c r="DF24" s="1411"/>
      <c r="DH24" s="1432"/>
      <c r="DI24" s="1432"/>
      <c r="DJ24" s="1437"/>
      <c r="DK24" s="1437"/>
      <c r="DL24" s="1437"/>
      <c r="DM24" s="1437"/>
      <c r="DN24" s="1432"/>
      <c r="DO24" s="1432"/>
      <c r="DP24" s="1432"/>
      <c r="DQ24" s="1432"/>
      <c r="DR24" s="1432"/>
      <c r="DS24" s="1432"/>
      <c r="DT24" s="1316"/>
      <c r="DU24" s="1433"/>
      <c r="DV24" s="1433"/>
      <c r="DW24" s="1433"/>
      <c r="DX24" s="1433"/>
      <c r="DY24" s="1433"/>
      <c r="DZ24" s="1433"/>
      <c r="EA24" s="1433"/>
      <c r="EB24" s="1433"/>
    </row>
    <row r="25" customFormat="false" ht="14.25" hidden="false" customHeight="false" outlineLevel="0" collapsed="false">
      <c r="A25" s="2" t="n">
        <f aca="false">'V_DATOS PAC_SGA'!R20</f>
        <v>0</v>
      </c>
      <c r="B25" s="2" t="n">
        <f aca="false">IF(I25="IV",CONCATENATE('V_DATOS PAC_SGA'!R20,"4")+0,CONCATENATE('V_DATOS PAC_SGA'!R20,"0")+0)</f>
        <v>0</v>
      </c>
      <c r="C25" s="2" t="n">
        <f aca="false">'V_DATOS PAC_SGA'!S20</f>
        <v>0</v>
      </c>
      <c r="D25" s="1409" t="n">
        <f aca="false">'V_DATOS PAC_SGA'!Y20</f>
        <v>0</v>
      </c>
      <c r="E25" s="1410" t="str">
        <f aca="false">IF('V_DATOS PAC_SGA'!AV20="","Regadio",'V_DATOS PAC_SGA'!AV20)</f>
        <v>Regadio</v>
      </c>
      <c r="F25" s="1411" t="n">
        <f aca="false">'V_DATOS PAC_SGA'!BK20</f>
        <v>0</v>
      </c>
      <c r="G25" s="1412" t="n">
        <f aca="false">'V_DATOS PAC_SGA'!AN20</f>
        <v>0</v>
      </c>
      <c r="H25" s="1413" t="str">
        <f aca="false">IF(B25&gt;0,VLOOKUP(B25,'O_MN, PE_UTA_UGM 2024'!E$3:O$419,10),"")</f>
        <v/>
      </c>
      <c r="I25" s="1359" t="n">
        <f aca="false">'V_DATOS PAC_SGA'!BV20</f>
        <v>0</v>
      </c>
      <c r="J25" s="2" t="str">
        <f aca="false">IF(AND(J$4=$G25,J$6=$F25),$D25*J$5,"")</f>
        <v/>
      </c>
      <c r="K25" s="2" t="str">
        <f aca="false">IF(AND(K$4=$G25,K$6=$F25),$D25*K$5,"")</f>
        <v/>
      </c>
      <c r="L25" s="2" t="str">
        <f aca="false">IF(AND(L$4=$G25,L$6=$F25),$D25*L$5,"")</f>
        <v/>
      </c>
      <c r="M25" s="2" t="str">
        <f aca="false">IF(AND(M$4=$G25,M$6=$F25),$D25*M$5,"")</f>
        <v/>
      </c>
      <c r="N25" s="1414" t="n">
        <f aca="false">VLOOKUP(B25,'O_MN, PE_UTA_UGM 2024'!$E$2:$K$419,IF(G25&gt;1,6,7))</f>
        <v>0</v>
      </c>
      <c r="O25" s="1434" t="str">
        <f aca="false">IF($H25=O$4,$D25*$N25,"")</f>
        <v/>
      </c>
      <c r="P25" s="1435" t="str">
        <f aca="false">IF($H25=P$4,$D25*$N25,"")</f>
        <v/>
      </c>
      <c r="Q25" s="1435" t="str">
        <f aca="false">IF($H25=Q$4,$D25*$N25,"")</f>
        <v/>
      </c>
      <c r="R25" s="1435" t="str">
        <f aca="false">IF($H25=R$4,$D25*$N25,"")</f>
        <v/>
      </c>
      <c r="S25" s="1435" t="str">
        <f aca="false">IF($H25=S$4,$D25*$N25,"")</f>
        <v/>
      </c>
      <c r="T25" s="1435" t="str">
        <f aca="false">IF($H25=T$4,$D25*$N25,"")</f>
        <v/>
      </c>
      <c r="U25" s="1436" t="str">
        <f aca="false">IF($H25=U$4,$D25*$N25,"")</f>
        <v/>
      </c>
      <c r="V25" s="1418"/>
      <c r="W25" s="1419"/>
      <c r="X25" s="1419"/>
      <c r="Y25" s="1419"/>
      <c r="Z25" s="1419"/>
      <c r="AA25" s="1419"/>
      <c r="AB25" s="1420"/>
      <c r="AC25" s="1319"/>
      <c r="AD25" s="2" t="str">
        <f aca="false">IF(AND(AD$4=$G25,AD$6=$F25),$B25,"")</f>
        <v/>
      </c>
      <c r="AE25" s="2" t="str">
        <f aca="false">IF(AND(AE$4=$G25,AE$6=$F25),$B25,"")</f>
        <v/>
      </c>
      <c r="AF25" s="2" t="str">
        <f aca="false">IF(AND(AF$4=$G25,AF$6=$F25),$B25,"")</f>
        <v/>
      </c>
      <c r="AG25" s="2" t="str">
        <f aca="false">IF(AND(AG$4=$G25,AG$6=$F25),$B25,"")</f>
        <v/>
      </c>
      <c r="AI25" s="366"/>
      <c r="AL25" s="367"/>
      <c r="AO25" s="367"/>
      <c r="AP25" s="2" t="str">
        <f aca="false">IF(AT25&gt;0,RANK(AT25,AT$7:AT$423),"")</f>
        <v/>
      </c>
      <c r="AQ25" s="2" t="n">
        <f aca="false">'O_MN, PE_UTA_UGM 2024'!C21</f>
        <v>34</v>
      </c>
      <c r="AR25" s="1421" t="n">
        <v>340</v>
      </c>
      <c r="AS25" s="2" t="str">
        <f aca="false">IF(AY25&lt;&gt;"",AY25,"")</f>
        <v/>
      </c>
      <c r="AT25" s="1422" t="n">
        <f aca="false">IF(ISNUMBER($AR25),SUMIF(B$7:B$505,AR25,D$7:D$505),"")</f>
        <v>0</v>
      </c>
      <c r="AU25" s="1411" t="n">
        <f aca="false">IF(ISNUMBER($AR25),SUMIF(AD$7:AD$503,$AR25,J$7:J$503),"")</f>
        <v>0</v>
      </c>
      <c r="AV25" s="1411" t="n">
        <f aca="false">IF(ISNUMBER($AR25),SUMIF(AF$7:AF$503,$AR25,L$7:L$503),"")</f>
        <v>0</v>
      </c>
      <c r="AW25" s="1423" t="n">
        <f aca="false">IF(ISNUMBER($AR25),SUMIF(AE$7:AE$503,$AR25,K$7:K$503),"")</f>
        <v>0</v>
      </c>
      <c r="AX25" s="1423" t="n">
        <f aca="false">IF(ISNUMBER($AR25),SUMIF(AG$7:AG$503,$AR25,M$7:M$503),"")</f>
        <v>0</v>
      </c>
      <c r="AY25" s="2" t="str">
        <f aca="false">IF($AT25&gt;0,VLOOKUP($AR25,'O_MN, PE_UTA_UGM 2024'!E21:O437,2),"")</f>
        <v/>
      </c>
      <c r="AZ25" s="1424"/>
      <c r="BA25" s="1424"/>
      <c r="BB25" s="1424" t="str">
        <f aca="false">IF($AT25&gt;0,VLOOKUP($AR25,'O_MN, PE_UTA_UGM 2024'!$E$3:$O$419,BB$6),"")</f>
        <v/>
      </c>
      <c r="BC25" s="1424" t="str">
        <f aca="false">IF($AT25&gt;0,VLOOKUP($AR25,'O_MN, PE_UTA_UGM 2024'!$E$3:$O$419,BC$6),"")</f>
        <v/>
      </c>
      <c r="BD25" s="1424" t="str">
        <f aca="false">IF($AT25&gt;0,VLOOKUP($AR25,'O_MN, PE_UTA_UGM 2024'!$E$3:$O$419,BD$6),"")</f>
        <v/>
      </c>
      <c r="BE25" s="1424" t="str">
        <f aca="false">IF($AT25&gt;0,VLOOKUP($AR25,'O_MN, PE_UTA_UGM 2024'!$E$3:$O$419,BE$6),"")</f>
        <v/>
      </c>
      <c r="BF25" s="1424" t="str">
        <f aca="false">IF($AT25&gt;0,VLOOKUP($AR25,'O_MN, PE_UTA_UGM 2024'!$E$3:$O$419,BF$6),"")</f>
        <v/>
      </c>
      <c r="BG25" s="1424" t="str">
        <f aca="false">IF($AT25&gt;0,VLOOKUP($AR25,'O_MN, PE_UTA_UGM 2024'!$E$3:$O$419,BG$6),"")</f>
        <v/>
      </c>
      <c r="BH25" s="872"/>
      <c r="BI25" s="872"/>
      <c r="BJ25" s="872"/>
      <c r="BK25" s="872"/>
      <c r="BM25" s="1411"/>
      <c r="BN25" s="1411"/>
      <c r="BO25" s="1425" t="str">
        <f aca="false">IF(ISNUMBER($AU25*BB25*1),$AU25*BB25*1,"")</f>
        <v/>
      </c>
      <c r="BP25" s="1425" t="str">
        <f aca="false">IF(ISNUMBER($AV25*BC25*1),$AV25*BC25*1,"")</f>
        <v/>
      </c>
      <c r="BQ25" s="1425" t="str">
        <f aca="false">IF(ISNUMBER($AU25*BD25*1),$AU25*BD25*1,"")</f>
        <v/>
      </c>
      <c r="BR25" s="1425" t="str">
        <f aca="false">IF(ISNUMBER($AV25*BE25*1),$AV25*BE25*1,"")</f>
        <v/>
      </c>
      <c r="BS25" s="1411" t="str">
        <f aca="false">IF(ISNUMBER($AU25*BF25),$AU25*BF25,"")</f>
        <v/>
      </c>
      <c r="BT25" s="1411" t="str">
        <f aca="false">IF(ISNUMBER($AV25*BG25),$AV25*BG25,"")</f>
        <v/>
      </c>
      <c r="BU25" s="1411"/>
      <c r="BV25" s="1411"/>
      <c r="BW25" s="1411"/>
      <c r="BX25" s="1411"/>
      <c r="BZ25" s="1372"/>
      <c r="CA25" s="1372"/>
      <c r="CB25" s="1426" t="str">
        <f aca="false">IF(ISNUMBER($AW25*BB25),$AW25*BB25,"")</f>
        <v/>
      </c>
      <c r="CC25" s="1426" t="str">
        <f aca="false">IF(ISNUMBER($AX25*BC25),$AX25*BC25,"")</f>
        <v/>
      </c>
      <c r="CD25" s="1426" t="str">
        <f aca="false">IF(ISNUMBER($AW25*BD25),$AW25*BD25,"")</f>
        <v/>
      </c>
      <c r="CE25" s="1426" t="str">
        <f aca="false">IF(ISNUMBER($AX25*BE25),$AX25*BE25,"")</f>
        <v/>
      </c>
      <c r="CF25" s="1372" t="str">
        <f aca="false">IF(ISNUMBER($AW25*BF25),$AW25*BF25,"")</f>
        <v/>
      </c>
      <c r="CG25" s="1372" t="str">
        <f aca="false">IF(ISNUMBER($AX25*BG25),$AX25*BG25,"")</f>
        <v/>
      </c>
      <c r="CH25" s="1438"/>
      <c r="CI25" s="1438"/>
      <c r="CJ25" s="1438"/>
      <c r="CK25" s="1438"/>
      <c r="CU25" s="1411"/>
      <c r="CV25" s="1411"/>
      <c r="CW25" s="1425"/>
      <c r="CX25" s="1425"/>
      <c r="CY25" s="1425"/>
      <c r="CZ25" s="1425"/>
      <c r="DA25" s="1411"/>
      <c r="DB25" s="1411"/>
      <c r="DC25" s="1411"/>
      <c r="DD25" s="1411"/>
      <c r="DE25" s="1411"/>
      <c r="DF25" s="1411"/>
      <c r="DH25" s="1432"/>
      <c r="DI25" s="1432"/>
      <c r="DJ25" s="1437"/>
      <c r="DK25" s="1437"/>
      <c r="DL25" s="1437"/>
      <c r="DM25" s="1437"/>
      <c r="DN25" s="1432"/>
      <c r="DO25" s="1432"/>
      <c r="DP25" s="1432"/>
      <c r="DQ25" s="1432"/>
      <c r="DR25" s="1432"/>
      <c r="DS25" s="1432"/>
      <c r="DT25" s="1316"/>
      <c r="DU25" s="1433"/>
      <c r="DV25" s="1433"/>
      <c r="DW25" s="1433"/>
      <c r="DX25" s="1433"/>
      <c r="DY25" s="1433"/>
      <c r="DZ25" s="1433"/>
      <c r="EA25" s="1433"/>
      <c r="EB25" s="1433"/>
    </row>
    <row r="26" customFormat="false" ht="14.25" hidden="false" customHeight="false" outlineLevel="0" collapsed="false">
      <c r="A26" s="2" t="n">
        <f aca="false">'V_DATOS PAC_SGA'!R21</f>
        <v>0</v>
      </c>
      <c r="B26" s="2" t="n">
        <f aca="false">IF(I26="IV",CONCATENATE('V_DATOS PAC_SGA'!R21,"4")+0,CONCATENATE('V_DATOS PAC_SGA'!R21,"0")+0)</f>
        <v>0</v>
      </c>
      <c r="C26" s="2" t="n">
        <f aca="false">'V_DATOS PAC_SGA'!S21</f>
        <v>0</v>
      </c>
      <c r="D26" s="1409" t="n">
        <f aca="false">'V_DATOS PAC_SGA'!Y21</f>
        <v>0</v>
      </c>
      <c r="E26" s="1410" t="str">
        <f aca="false">IF('V_DATOS PAC_SGA'!AV21="","Regadio",'V_DATOS PAC_SGA'!AV21)</f>
        <v>Regadio</v>
      </c>
      <c r="F26" s="1411" t="n">
        <f aca="false">'V_DATOS PAC_SGA'!BK21</f>
        <v>0</v>
      </c>
      <c r="G26" s="1412" t="n">
        <f aca="false">'V_DATOS PAC_SGA'!AN21</f>
        <v>0</v>
      </c>
      <c r="H26" s="1413" t="str">
        <f aca="false">IF(B26&gt;0,VLOOKUP(B26,'O_MN, PE_UTA_UGM 2024'!E$3:O$419,10),"")</f>
        <v/>
      </c>
      <c r="I26" s="1359" t="n">
        <f aca="false">'V_DATOS PAC_SGA'!BV21</f>
        <v>0</v>
      </c>
      <c r="J26" s="2" t="str">
        <f aca="false">IF(AND(J$4=$G26,J$6=$F26),$D26*J$5,"")</f>
        <v/>
      </c>
      <c r="K26" s="2" t="str">
        <f aca="false">IF(AND(K$4=$G26,K$6=$F26),$D26*K$5,"")</f>
        <v/>
      </c>
      <c r="L26" s="2" t="str">
        <f aca="false">IF(AND(L$4=$G26,L$6=$F26),$D26*L$5,"")</f>
        <v/>
      </c>
      <c r="M26" s="2" t="str">
        <f aca="false">IF(AND(M$4=$G26,M$6=$F26),$D26*M$5,"")</f>
        <v/>
      </c>
      <c r="N26" s="1414" t="n">
        <f aca="false">VLOOKUP(B26,'O_MN, PE_UTA_UGM 2024'!$E$2:$K$419,IF(G26&gt;1,6,7))</f>
        <v>0</v>
      </c>
      <c r="O26" s="1434" t="str">
        <f aca="false">IF($H26=O$4,$D26*$N26,"")</f>
        <v/>
      </c>
      <c r="P26" s="1435" t="str">
        <f aca="false">IF($H26=P$4,$D26*$N26,"")</f>
        <v/>
      </c>
      <c r="Q26" s="1435" t="str">
        <f aca="false">IF($H26=Q$4,$D26*$N26,"")</f>
        <v/>
      </c>
      <c r="R26" s="1435" t="str">
        <f aca="false">IF($H26=R$4,$D26*$N26,"")</f>
        <v/>
      </c>
      <c r="S26" s="1435" t="str">
        <f aca="false">IF($H26=S$4,$D26*$N26,"")</f>
        <v/>
      </c>
      <c r="T26" s="1435" t="str">
        <f aca="false">IF($H26=T$4,$D26*$N26,"")</f>
        <v/>
      </c>
      <c r="U26" s="1436" t="str">
        <f aca="false">IF($H26=U$4,$D26*$N26,"")</f>
        <v/>
      </c>
      <c r="V26" s="1418"/>
      <c r="W26" s="1419"/>
      <c r="X26" s="1419"/>
      <c r="Y26" s="1419"/>
      <c r="Z26" s="1419"/>
      <c r="AA26" s="1419"/>
      <c r="AB26" s="1420"/>
      <c r="AC26" s="1319"/>
      <c r="AD26" s="2" t="str">
        <f aca="false">IF(AND(AD$4=$G26,AD$6=$F26),$B26,"")</f>
        <v/>
      </c>
      <c r="AE26" s="2" t="str">
        <f aca="false">IF(AND(AE$4=$G26,AE$6=$F26),$B26,"")</f>
        <v/>
      </c>
      <c r="AF26" s="2" t="str">
        <f aca="false">IF(AND(AF$4=$G26,AF$6=$F26),$B26,"")</f>
        <v/>
      </c>
      <c r="AG26" s="2" t="str">
        <f aca="false">IF(AND(AG$4=$G26,AG$6=$F26),$B26,"")</f>
        <v/>
      </c>
      <c r="AI26" s="366"/>
      <c r="AL26" s="367"/>
      <c r="AO26" s="367"/>
      <c r="AP26" s="2" t="str">
        <f aca="false">IF(AT26&gt;0,RANK(AT26,AT$7:AT$423),"")</f>
        <v/>
      </c>
      <c r="AQ26" s="2" t="n">
        <f aca="false">'O_MN, PE_UTA_UGM 2024'!C22</f>
        <v>35</v>
      </c>
      <c r="AR26" s="1421" t="n">
        <v>350</v>
      </c>
      <c r="AS26" s="2" t="str">
        <f aca="false">IF(AY26&lt;&gt;"",AY26,"")</f>
        <v/>
      </c>
      <c r="AT26" s="1422" t="n">
        <f aca="false">IF(ISNUMBER($AR26),SUMIF(B$7:B$505,AR26,D$7:D$505),"")</f>
        <v>0</v>
      </c>
      <c r="AU26" s="1411" t="n">
        <f aca="false">IF(ISNUMBER($AR26),SUMIF(AD$7:AD$503,$AR26,J$7:J$503),"")</f>
        <v>0</v>
      </c>
      <c r="AV26" s="1411" t="n">
        <f aca="false">IF(ISNUMBER($AR26),SUMIF(AF$7:AF$503,$AR26,L$7:L$503),"")</f>
        <v>0</v>
      </c>
      <c r="AW26" s="1423" t="n">
        <f aca="false">IF(ISNUMBER($AR26),SUMIF(AE$7:AE$503,$AR26,K$7:K$503),"")</f>
        <v>0</v>
      </c>
      <c r="AX26" s="1423" t="n">
        <f aca="false">IF(ISNUMBER($AR26),SUMIF(AG$7:AG$503,$AR26,M$7:M$503),"")</f>
        <v>0</v>
      </c>
      <c r="AY26" s="2" t="str">
        <f aca="false">IF($AT26&gt;0,VLOOKUP($AR26,'O_MN, PE_UTA_UGM 2024'!E22:O438,2),"")</f>
        <v/>
      </c>
      <c r="AZ26" s="1424"/>
      <c r="BA26" s="1424"/>
      <c r="BB26" s="1424" t="str">
        <f aca="false">IF($AT26&gt;0,VLOOKUP($AR26,'O_MN, PE_UTA_UGM 2024'!$E$3:$O$419,BB$6),"")</f>
        <v/>
      </c>
      <c r="BC26" s="1424" t="str">
        <f aca="false">IF($AT26&gt;0,VLOOKUP($AR26,'O_MN, PE_UTA_UGM 2024'!$E$3:$O$419,BC$6),"")</f>
        <v/>
      </c>
      <c r="BD26" s="1424" t="str">
        <f aca="false">IF($AT26&gt;0,VLOOKUP($AR26,'O_MN, PE_UTA_UGM 2024'!$E$3:$O$419,BD$6),"")</f>
        <v/>
      </c>
      <c r="BE26" s="1424" t="str">
        <f aca="false">IF($AT26&gt;0,VLOOKUP($AR26,'O_MN, PE_UTA_UGM 2024'!$E$3:$O$419,BE$6),"")</f>
        <v/>
      </c>
      <c r="BF26" s="1424" t="str">
        <f aca="false">IF($AT26&gt;0,VLOOKUP($AR26,'O_MN, PE_UTA_UGM 2024'!$E$3:$O$419,BF$6),"")</f>
        <v/>
      </c>
      <c r="BG26" s="1424" t="str">
        <f aca="false">IF($AT26&gt;0,VLOOKUP($AR26,'O_MN, PE_UTA_UGM 2024'!$E$3:$O$419,BG$6),"")</f>
        <v/>
      </c>
      <c r="BH26" s="872"/>
      <c r="BI26" s="872"/>
      <c r="BJ26" s="872"/>
      <c r="BK26" s="872"/>
      <c r="BM26" s="1411"/>
      <c r="BN26" s="1411"/>
      <c r="BO26" s="1425" t="str">
        <f aca="false">IF(ISNUMBER($AU26*BB26*1),$AU26*BB26*1,"")</f>
        <v/>
      </c>
      <c r="BP26" s="1425" t="str">
        <f aca="false">IF(ISNUMBER($AV26*BC26*1),$AV26*BC26*1,"")</f>
        <v/>
      </c>
      <c r="BQ26" s="1425" t="str">
        <f aca="false">IF(ISNUMBER($AU26*BD26*1),$AU26*BD26*1,"")</f>
        <v/>
      </c>
      <c r="BR26" s="1425" t="str">
        <f aca="false">IF(ISNUMBER($AV26*BE26*1),$AV26*BE26*1,"")</f>
        <v/>
      </c>
      <c r="BS26" s="1411" t="str">
        <f aca="false">IF(ISNUMBER($AU26*BF26),$AU26*BF26,"")</f>
        <v/>
      </c>
      <c r="BT26" s="1411" t="str">
        <f aca="false">IF(ISNUMBER($AV26*BG26),$AV26*BG26,"")</f>
        <v/>
      </c>
      <c r="BU26" s="1411"/>
      <c r="BV26" s="1411"/>
      <c r="BW26" s="1411"/>
      <c r="BX26" s="1411"/>
      <c r="BZ26" s="1372"/>
      <c r="CA26" s="1372"/>
      <c r="CB26" s="1426" t="str">
        <f aca="false">IF(ISNUMBER($AW26*BB26),$AW26*BB26,"")</f>
        <v/>
      </c>
      <c r="CC26" s="1426" t="str">
        <f aca="false">IF(ISNUMBER($AX26*BC26),$AX26*BC26,"")</f>
        <v/>
      </c>
      <c r="CD26" s="1426" t="str">
        <f aca="false">IF(ISNUMBER($AW26*BD26),$AW26*BD26,"")</f>
        <v/>
      </c>
      <c r="CE26" s="1426" t="str">
        <f aca="false">IF(ISNUMBER($AX26*BE26),$AX26*BE26,"")</f>
        <v/>
      </c>
      <c r="CF26" s="1372" t="str">
        <f aca="false">IF(ISNUMBER($AW26*BF26),$AW26*BF26,"")</f>
        <v/>
      </c>
      <c r="CG26" s="1372" t="str">
        <f aca="false">IF(ISNUMBER($AX26*BG26),$AX26*BG26,"")</f>
        <v/>
      </c>
      <c r="CH26" s="1438"/>
      <c r="CI26" s="1438"/>
      <c r="CJ26" s="1438"/>
      <c r="CK26" s="1438"/>
      <c r="CU26" s="1411"/>
      <c r="CV26" s="1411"/>
      <c r="CW26" s="1425"/>
      <c r="CX26" s="1425"/>
      <c r="CY26" s="1425"/>
      <c r="CZ26" s="1425"/>
      <c r="DA26" s="1411"/>
      <c r="DB26" s="1411"/>
      <c r="DC26" s="1411"/>
      <c r="DD26" s="1411"/>
      <c r="DE26" s="1411"/>
      <c r="DF26" s="1411"/>
      <c r="DH26" s="1432"/>
      <c r="DI26" s="1432"/>
      <c r="DJ26" s="1437"/>
      <c r="DK26" s="1437"/>
      <c r="DL26" s="1437"/>
      <c r="DM26" s="1437"/>
      <c r="DN26" s="1432"/>
      <c r="DO26" s="1432"/>
      <c r="DP26" s="1432"/>
      <c r="DQ26" s="1432"/>
      <c r="DR26" s="1432"/>
      <c r="DS26" s="1432"/>
      <c r="DT26" s="1316"/>
      <c r="DU26" s="1433"/>
      <c r="DV26" s="1433"/>
      <c r="DW26" s="1433"/>
      <c r="DX26" s="1433"/>
      <c r="DY26" s="1433"/>
      <c r="DZ26" s="1433"/>
      <c r="EA26" s="1433"/>
      <c r="EB26" s="1433"/>
    </row>
    <row r="27" customFormat="false" ht="14.25" hidden="false" customHeight="false" outlineLevel="0" collapsed="false">
      <c r="A27" s="2" t="n">
        <f aca="false">'V_DATOS PAC_SGA'!R22</f>
        <v>0</v>
      </c>
      <c r="B27" s="2" t="n">
        <f aca="false">IF(I27="IV",CONCATENATE('V_DATOS PAC_SGA'!R22,"4")+0,CONCATENATE('V_DATOS PAC_SGA'!R22,"0")+0)</f>
        <v>0</v>
      </c>
      <c r="C27" s="2" t="n">
        <f aca="false">'V_DATOS PAC_SGA'!S22</f>
        <v>0</v>
      </c>
      <c r="D27" s="1409" t="n">
        <f aca="false">'V_DATOS PAC_SGA'!Y22</f>
        <v>0</v>
      </c>
      <c r="E27" s="1410" t="str">
        <f aca="false">IF('V_DATOS PAC_SGA'!AV22="","Regadio",'V_DATOS PAC_SGA'!AV22)</f>
        <v>Regadio</v>
      </c>
      <c r="F27" s="1411" t="n">
        <f aca="false">'V_DATOS PAC_SGA'!BK22</f>
        <v>0</v>
      </c>
      <c r="G27" s="1412" t="n">
        <f aca="false">'V_DATOS PAC_SGA'!AN22</f>
        <v>0</v>
      </c>
      <c r="H27" s="1413" t="str">
        <f aca="false">IF(B27&gt;0,VLOOKUP(B27,'O_MN, PE_UTA_UGM 2024'!E$3:O$419,10),"")</f>
        <v/>
      </c>
      <c r="I27" s="1359" t="n">
        <f aca="false">'V_DATOS PAC_SGA'!BV22</f>
        <v>0</v>
      </c>
      <c r="J27" s="2" t="str">
        <f aca="false">IF(AND(J$4=$G27,J$6=$F27),$D27*J$5,"")</f>
        <v/>
      </c>
      <c r="K27" s="2" t="str">
        <f aca="false">IF(AND(K$4=$G27,K$6=$F27),$D27*K$5,"")</f>
        <v/>
      </c>
      <c r="L27" s="2" t="str">
        <f aca="false">IF(AND(L$4=$G27,L$6=$F27),$D27*L$5,"")</f>
        <v/>
      </c>
      <c r="M27" s="2" t="str">
        <f aca="false">IF(AND(M$4=$G27,M$6=$F27),$D27*M$5,"")</f>
        <v/>
      </c>
      <c r="N27" s="1414" t="n">
        <f aca="false">VLOOKUP(B27,'O_MN, PE_UTA_UGM 2024'!$E$2:$K$419,IF(G27&gt;1,6,7))</f>
        <v>0</v>
      </c>
      <c r="O27" s="1434" t="str">
        <f aca="false">IF($H27=O$4,$D27*$N27,"")</f>
        <v/>
      </c>
      <c r="P27" s="1435" t="str">
        <f aca="false">IF($H27=P$4,$D27*$N27,"")</f>
        <v/>
      </c>
      <c r="Q27" s="1435" t="str">
        <f aca="false">IF($H27=Q$4,$D27*$N27,"")</f>
        <v/>
      </c>
      <c r="R27" s="1435" t="str">
        <f aca="false">IF($H27=R$4,$D27*$N27,"")</f>
        <v/>
      </c>
      <c r="S27" s="1435" t="str">
        <f aca="false">IF($H27=S$4,$D27*$N27,"")</f>
        <v/>
      </c>
      <c r="T27" s="1435" t="str">
        <f aca="false">IF($H27=T$4,$D27*$N27,"")</f>
        <v/>
      </c>
      <c r="U27" s="1436" t="str">
        <f aca="false">IF($H27=U$4,$D27*$N27,"")</f>
        <v/>
      </c>
      <c r="V27" s="1418"/>
      <c r="W27" s="1419"/>
      <c r="X27" s="1419"/>
      <c r="Y27" s="1419"/>
      <c r="Z27" s="1419"/>
      <c r="AA27" s="1419"/>
      <c r="AB27" s="1420"/>
      <c r="AC27" s="1319"/>
      <c r="AD27" s="2" t="str">
        <f aca="false">IF(AND(AD$4=$G27,AD$6=$F27),$B27,"")</f>
        <v/>
      </c>
      <c r="AE27" s="2" t="str">
        <f aca="false">IF(AND(AE$4=$G27,AE$6=$F27),$B27,"")</f>
        <v/>
      </c>
      <c r="AF27" s="2" t="str">
        <f aca="false">IF(AND(AF$4=$G27,AF$6=$F27),$B27,"")</f>
        <v/>
      </c>
      <c r="AG27" s="2" t="str">
        <f aca="false">IF(AND(AG$4=$G27,AG$6=$F27),$B27,"")</f>
        <v/>
      </c>
      <c r="AI27" s="366"/>
      <c r="AL27" s="367"/>
      <c r="AO27" s="367"/>
      <c r="AP27" s="2" t="str">
        <f aca="false">IF(AT27&gt;0,RANK(AT27,AT$7:AT$423),"")</f>
        <v/>
      </c>
      <c r="AQ27" s="2" t="n">
        <f aca="false">'O_MN, PE_UTA_UGM 2024'!C23</f>
        <v>36</v>
      </c>
      <c r="AR27" s="1421" t="n">
        <v>360</v>
      </c>
      <c r="AS27" s="2" t="str">
        <f aca="false">IF(AY27&lt;&gt;"",AY27,"")</f>
        <v/>
      </c>
      <c r="AT27" s="1422" t="n">
        <f aca="false">IF(ISNUMBER($AR27),SUMIF(B$7:B$505,AR27,D$7:D$505),"")</f>
        <v>0</v>
      </c>
      <c r="AU27" s="1411" t="n">
        <f aca="false">IF(ISNUMBER($AR27),SUMIF(AD$7:AD$503,$AR27,J$7:J$503),"")</f>
        <v>0</v>
      </c>
      <c r="AV27" s="1411" t="n">
        <f aca="false">IF(ISNUMBER($AR27),SUMIF(AF$7:AF$503,$AR27,L$7:L$503),"")</f>
        <v>0</v>
      </c>
      <c r="AW27" s="1423" t="n">
        <f aca="false">IF(ISNUMBER($AR27),SUMIF(AE$7:AE$503,$AR27,K$7:K$503),"")</f>
        <v>0</v>
      </c>
      <c r="AX27" s="1423" t="n">
        <f aca="false">IF(ISNUMBER($AR27),SUMIF(AG$7:AG$503,$AR27,M$7:M$503),"")</f>
        <v>0</v>
      </c>
      <c r="AY27" s="2" t="str">
        <f aca="false">IF($AT27&gt;0,VLOOKUP($AR27,'O_MN, PE_UTA_UGM 2024'!E23:O439,2),"")</f>
        <v/>
      </c>
      <c r="AZ27" s="1424"/>
      <c r="BA27" s="1424"/>
      <c r="BB27" s="1424" t="str">
        <f aca="false">IF($AT27&gt;0,VLOOKUP($AR27,'O_MN, PE_UTA_UGM 2024'!$E$3:$O$419,BB$6),"")</f>
        <v/>
      </c>
      <c r="BC27" s="1424" t="str">
        <f aca="false">IF($AT27&gt;0,VLOOKUP($AR27,'O_MN, PE_UTA_UGM 2024'!$E$3:$O$419,BC$6),"")</f>
        <v/>
      </c>
      <c r="BD27" s="1424" t="str">
        <f aca="false">IF($AT27&gt;0,VLOOKUP($AR27,'O_MN, PE_UTA_UGM 2024'!$E$3:$O$419,BD$6),"")</f>
        <v/>
      </c>
      <c r="BE27" s="1424" t="str">
        <f aca="false">IF($AT27&gt;0,VLOOKUP($AR27,'O_MN, PE_UTA_UGM 2024'!$E$3:$O$419,BE$6),"")</f>
        <v/>
      </c>
      <c r="BF27" s="1424" t="str">
        <f aca="false">IF($AT27&gt;0,VLOOKUP($AR27,'O_MN, PE_UTA_UGM 2024'!$E$3:$O$419,BF$6),"")</f>
        <v/>
      </c>
      <c r="BG27" s="1424" t="str">
        <f aca="false">IF($AT27&gt;0,VLOOKUP($AR27,'O_MN, PE_UTA_UGM 2024'!$E$3:$O$419,BG$6),"")</f>
        <v/>
      </c>
      <c r="BH27" s="872"/>
      <c r="BI27" s="872"/>
      <c r="BJ27" s="872"/>
      <c r="BK27" s="872"/>
      <c r="BM27" s="1411"/>
      <c r="BN27" s="1411"/>
      <c r="BO27" s="1425" t="str">
        <f aca="false">IF(ISNUMBER($AU27*BB27*1),$AU27*BB27*1,"")</f>
        <v/>
      </c>
      <c r="BP27" s="1425" t="str">
        <f aca="false">IF(ISNUMBER($AV27*BC27*1),$AV27*BC27*1,"")</f>
        <v/>
      </c>
      <c r="BQ27" s="1425" t="str">
        <f aca="false">IF(ISNUMBER($AU27*BD27*1),$AU27*BD27*1,"")</f>
        <v/>
      </c>
      <c r="BR27" s="1425" t="str">
        <f aca="false">IF(ISNUMBER($AV27*BE27*1),$AV27*BE27*1,"")</f>
        <v/>
      </c>
      <c r="BS27" s="1411" t="str">
        <f aca="false">IF(ISNUMBER($AU27*BF27),$AU27*BF27,"")</f>
        <v/>
      </c>
      <c r="BT27" s="1411" t="str">
        <f aca="false">IF(ISNUMBER($AV27*BG27),$AV27*BG27,"")</f>
        <v/>
      </c>
      <c r="BU27" s="1411"/>
      <c r="BV27" s="1411"/>
      <c r="BW27" s="1411"/>
      <c r="BX27" s="1411"/>
      <c r="BZ27" s="1372"/>
      <c r="CA27" s="1372"/>
      <c r="CB27" s="1426" t="str">
        <f aca="false">IF(ISNUMBER($AW27*BB27),$AW27*BB27,"")</f>
        <v/>
      </c>
      <c r="CC27" s="1426" t="str">
        <f aca="false">IF(ISNUMBER($AX27*BC27),$AX27*BC27,"")</f>
        <v/>
      </c>
      <c r="CD27" s="1426" t="str">
        <f aca="false">IF(ISNUMBER($AW27*BD27),$AW27*BD27,"")</f>
        <v/>
      </c>
      <c r="CE27" s="1426" t="str">
        <f aca="false">IF(ISNUMBER($AX27*BE27),$AX27*BE27,"")</f>
        <v/>
      </c>
      <c r="CF27" s="1372" t="str">
        <f aca="false">IF(ISNUMBER($AW27*BF27),$AW27*BF27,"")</f>
        <v/>
      </c>
      <c r="CG27" s="1372" t="str">
        <f aca="false">IF(ISNUMBER($AX27*BG27),$AX27*BG27,"")</f>
        <v/>
      </c>
      <c r="CH27" s="1438"/>
      <c r="CI27" s="1438"/>
      <c r="CJ27" s="1438"/>
      <c r="CK27" s="1438"/>
      <c r="CU27" s="1411"/>
      <c r="CV27" s="1411"/>
      <c r="CW27" s="1425"/>
      <c r="CX27" s="1425"/>
      <c r="CY27" s="1425"/>
      <c r="CZ27" s="1425"/>
      <c r="DA27" s="1411"/>
      <c r="DB27" s="1411"/>
      <c r="DC27" s="1411"/>
      <c r="DD27" s="1411"/>
      <c r="DE27" s="1411"/>
      <c r="DF27" s="1411"/>
      <c r="DH27" s="1432"/>
      <c r="DI27" s="1432"/>
      <c r="DJ27" s="1437"/>
      <c r="DK27" s="1437"/>
      <c r="DL27" s="1437"/>
      <c r="DM27" s="1437"/>
      <c r="DN27" s="1432"/>
      <c r="DO27" s="1432"/>
      <c r="DP27" s="1432"/>
      <c r="DQ27" s="1432"/>
      <c r="DR27" s="1432"/>
      <c r="DS27" s="1432"/>
      <c r="DT27" s="1316"/>
      <c r="DU27" s="1433"/>
      <c r="DV27" s="1433"/>
      <c r="DW27" s="1433"/>
      <c r="DX27" s="1433"/>
      <c r="DY27" s="1433"/>
      <c r="DZ27" s="1433"/>
      <c r="EA27" s="1433"/>
      <c r="EB27" s="1433"/>
    </row>
    <row r="28" customFormat="false" ht="14.25" hidden="false" customHeight="false" outlineLevel="0" collapsed="false">
      <c r="A28" s="2" t="n">
        <f aca="false">'V_DATOS PAC_SGA'!R23</f>
        <v>0</v>
      </c>
      <c r="B28" s="2" t="n">
        <f aca="false">IF(I28="IV",CONCATENATE('V_DATOS PAC_SGA'!R23,"4")+0,CONCATENATE('V_DATOS PAC_SGA'!R23,"0")+0)</f>
        <v>0</v>
      </c>
      <c r="C28" s="2" t="n">
        <f aca="false">'V_DATOS PAC_SGA'!S23</f>
        <v>0</v>
      </c>
      <c r="D28" s="1409" t="n">
        <f aca="false">'V_DATOS PAC_SGA'!Y23</f>
        <v>0</v>
      </c>
      <c r="E28" s="1410" t="str">
        <f aca="false">IF('V_DATOS PAC_SGA'!AV23="","Regadio",'V_DATOS PAC_SGA'!AV23)</f>
        <v>Regadio</v>
      </c>
      <c r="F28" s="1411" t="n">
        <f aca="false">'V_DATOS PAC_SGA'!BK23</f>
        <v>0</v>
      </c>
      <c r="G28" s="1412" t="n">
        <f aca="false">'V_DATOS PAC_SGA'!AN23</f>
        <v>0</v>
      </c>
      <c r="H28" s="1413" t="str">
        <f aca="false">IF(B28&gt;0,VLOOKUP(B28,'O_MN, PE_UTA_UGM 2024'!E$3:O$419,10),"")</f>
        <v/>
      </c>
      <c r="I28" s="1359" t="n">
        <f aca="false">'V_DATOS PAC_SGA'!BV23</f>
        <v>0</v>
      </c>
      <c r="J28" s="2" t="str">
        <f aca="false">IF(AND(J$4=$G28,J$6=$F28),$D28*J$5,"")</f>
        <v/>
      </c>
      <c r="K28" s="2" t="str">
        <f aca="false">IF(AND(K$4=$G28,K$6=$F28),$D28*K$5,"")</f>
        <v/>
      </c>
      <c r="L28" s="2" t="str">
        <f aca="false">IF(AND(L$4=$G28,L$6=$F28),$D28*L$5,"")</f>
        <v/>
      </c>
      <c r="M28" s="2" t="str">
        <f aca="false">IF(AND(M$4=$G28,M$6=$F28),$D28*M$5,"")</f>
        <v/>
      </c>
      <c r="N28" s="1414" t="n">
        <f aca="false">VLOOKUP(B28,'O_MN, PE_UTA_UGM 2024'!$E$2:$K$419,IF(G28&gt;1,6,7))</f>
        <v>0</v>
      </c>
      <c r="O28" s="1434" t="str">
        <f aca="false">IF($H28=O$4,$D28*$N28,"")</f>
        <v/>
      </c>
      <c r="P28" s="1435" t="str">
        <f aca="false">IF($H28=P$4,$D28*$N28,"")</f>
        <v/>
      </c>
      <c r="Q28" s="1435" t="str">
        <f aca="false">IF($H28=Q$4,$D28*$N28,"")</f>
        <v/>
      </c>
      <c r="R28" s="1435" t="str">
        <f aca="false">IF($H28=R$4,$D28*$N28,"")</f>
        <v/>
      </c>
      <c r="S28" s="1435" t="str">
        <f aca="false">IF($H28=S$4,$D28*$N28,"")</f>
        <v/>
      </c>
      <c r="T28" s="1435" t="str">
        <f aca="false">IF($H28=T$4,$D28*$N28,"")</f>
        <v/>
      </c>
      <c r="U28" s="1436" t="str">
        <f aca="false">IF($H28=U$4,$D28*$N28,"")</f>
        <v/>
      </c>
      <c r="V28" s="1418"/>
      <c r="W28" s="1419"/>
      <c r="X28" s="1419"/>
      <c r="Y28" s="1419"/>
      <c r="Z28" s="1419"/>
      <c r="AA28" s="1419"/>
      <c r="AB28" s="1420"/>
      <c r="AC28" s="1319"/>
      <c r="AD28" s="2" t="str">
        <f aca="false">IF(AND(AD$4=$G28,AD$6=$F28),$B28,"")</f>
        <v/>
      </c>
      <c r="AE28" s="2" t="str">
        <f aca="false">IF(AND(AE$4=$G28,AE$6=$F28),$B28,"")</f>
        <v/>
      </c>
      <c r="AF28" s="2" t="str">
        <f aca="false">IF(AND(AF$4=$G28,AF$6=$F28),$B28,"")</f>
        <v/>
      </c>
      <c r="AG28" s="2" t="str">
        <f aca="false">IF(AND(AG$4=$G28,AG$6=$F28),$B28,"")</f>
        <v/>
      </c>
      <c r="AI28" s="366"/>
      <c r="AL28" s="367"/>
      <c r="AO28" s="367"/>
      <c r="AP28" s="2" t="str">
        <f aca="false">IF(AT28&gt;0,RANK(AT28,AT$7:AT$423),"")</f>
        <v/>
      </c>
      <c r="AQ28" s="2" t="n">
        <f aca="false">'O_MN, PE_UTA_UGM 2024'!C24</f>
        <v>40</v>
      </c>
      <c r="AR28" s="1421" t="n">
        <v>400</v>
      </c>
      <c r="AS28" s="2" t="str">
        <f aca="false">IF(AY28&lt;&gt;"",AY28,"")</f>
        <v/>
      </c>
      <c r="AT28" s="1422" t="n">
        <f aca="false">IF(ISNUMBER($AR28),SUMIF(B$7:B$505,AR28,D$7:D$505),"")</f>
        <v>0</v>
      </c>
      <c r="AU28" s="1411" t="n">
        <f aca="false">IF(ISNUMBER($AR28),SUMIF(AD$7:AD$503,$AR28,J$7:J$503),"")</f>
        <v>0</v>
      </c>
      <c r="AV28" s="1411" t="n">
        <f aca="false">IF(ISNUMBER($AR28),SUMIF(AF$7:AF$503,$AR28,L$7:L$503),"")</f>
        <v>0</v>
      </c>
      <c r="AW28" s="1423" t="n">
        <f aca="false">IF(ISNUMBER($AR28),SUMIF(AE$7:AE$503,$AR28,K$7:K$503),"")</f>
        <v>0</v>
      </c>
      <c r="AX28" s="1423" t="n">
        <f aca="false">IF(ISNUMBER($AR28),SUMIF(AG$7:AG$503,$AR28,M$7:M$503),"")</f>
        <v>0</v>
      </c>
      <c r="AY28" s="2" t="str">
        <f aca="false">IF($AT28&gt;0,VLOOKUP($AR28,'O_MN, PE_UTA_UGM 2024'!E24:O440,2),"")</f>
        <v/>
      </c>
      <c r="AZ28" s="1424"/>
      <c r="BA28" s="1424"/>
      <c r="BB28" s="1424" t="str">
        <f aca="false">IF($AT28&gt;0,VLOOKUP($AR28,'O_MN, PE_UTA_UGM 2024'!$E$3:$O$419,BB$6),"")</f>
        <v/>
      </c>
      <c r="BC28" s="1424" t="str">
        <f aca="false">IF($AT28&gt;0,VLOOKUP($AR28,'O_MN, PE_UTA_UGM 2024'!$E$3:$O$419,BC$6),"")</f>
        <v/>
      </c>
      <c r="BD28" s="1424" t="str">
        <f aca="false">IF($AT28&gt;0,VLOOKUP($AR28,'O_MN, PE_UTA_UGM 2024'!$E$3:$O$419,BD$6),"")</f>
        <v/>
      </c>
      <c r="BE28" s="1424" t="str">
        <f aca="false">IF($AT28&gt;0,VLOOKUP($AR28,'O_MN, PE_UTA_UGM 2024'!$E$3:$O$419,BE$6),"")</f>
        <v/>
      </c>
      <c r="BF28" s="1424" t="str">
        <f aca="false">IF($AT28&gt;0,VLOOKUP($AR28,'O_MN, PE_UTA_UGM 2024'!$E$3:$O$419,BF$6),"")</f>
        <v/>
      </c>
      <c r="BG28" s="1424" t="str">
        <f aca="false">IF($AT28&gt;0,VLOOKUP($AR28,'O_MN, PE_UTA_UGM 2024'!$E$3:$O$419,BG$6),"")</f>
        <v/>
      </c>
      <c r="BH28" s="872"/>
      <c r="BI28" s="872"/>
      <c r="BJ28" s="872"/>
      <c r="BK28" s="872"/>
      <c r="BM28" s="1411"/>
      <c r="BN28" s="1411"/>
      <c r="BO28" s="1425" t="str">
        <f aca="false">IF(ISNUMBER($AU28*BB28*1),$AU28*BB28*1,"")</f>
        <v/>
      </c>
      <c r="BP28" s="1425" t="str">
        <f aca="false">IF(ISNUMBER($AV28*BC28*1),$AV28*BC28*1,"")</f>
        <v/>
      </c>
      <c r="BQ28" s="1425" t="str">
        <f aca="false">IF(ISNUMBER($AU28*BD28*1),$AU28*BD28*1,"")</f>
        <v/>
      </c>
      <c r="BR28" s="1425" t="str">
        <f aca="false">IF(ISNUMBER($AV28*BE28*1),$AV28*BE28*1,"")</f>
        <v/>
      </c>
      <c r="BS28" s="1411" t="str">
        <f aca="false">IF(ISNUMBER($AU28*BF28),$AU28*BF28,"")</f>
        <v/>
      </c>
      <c r="BT28" s="1411" t="str">
        <f aca="false">IF(ISNUMBER($AV28*BG28),$AV28*BG28,"")</f>
        <v/>
      </c>
      <c r="BU28" s="1411"/>
      <c r="BV28" s="1411"/>
      <c r="BW28" s="1411"/>
      <c r="BX28" s="1411"/>
      <c r="BZ28" s="1372"/>
      <c r="CA28" s="1372"/>
      <c r="CB28" s="1426" t="str">
        <f aca="false">IF(ISNUMBER($AW28*BB28),$AW28*BB28,"")</f>
        <v/>
      </c>
      <c r="CC28" s="1426" t="str">
        <f aca="false">IF(ISNUMBER($AX28*BC28),$AX28*BC28,"")</f>
        <v/>
      </c>
      <c r="CD28" s="1426" t="str">
        <f aca="false">IF(ISNUMBER($AW28*BD28),$AW28*BD28,"")</f>
        <v/>
      </c>
      <c r="CE28" s="1426" t="str">
        <f aca="false">IF(ISNUMBER($AX28*BE28),$AX28*BE28,"")</f>
        <v/>
      </c>
      <c r="CF28" s="1372" t="str">
        <f aca="false">IF(ISNUMBER($AW28*BF28),$AW28*BF28,"")</f>
        <v/>
      </c>
      <c r="CG28" s="1372" t="str">
        <f aca="false">IF(ISNUMBER($AX28*BG28),$AX28*BG28,"")</f>
        <v/>
      </c>
      <c r="CH28" s="1438"/>
      <c r="CI28" s="1438"/>
      <c r="CJ28" s="1438"/>
      <c r="CK28" s="1438"/>
      <c r="CU28" s="1411"/>
      <c r="CV28" s="1411"/>
      <c r="CW28" s="1425"/>
      <c r="CX28" s="1425"/>
      <c r="CY28" s="1425"/>
      <c r="CZ28" s="1425"/>
      <c r="DA28" s="1411"/>
      <c r="DB28" s="1411"/>
      <c r="DC28" s="1411"/>
      <c r="DD28" s="1411"/>
      <c r="DE28" s="1411"/>
      <c r="DF28" s="1411"/>
      <c r="DH28" s="1432"/>
      <c r="DI28" s="1432"/>
      <c r="DJ28" s="1437"/>
      <c r="DK28" s="1437"/>
      <c r="DL28" s="1437"/>
      <c r="DM28" s="1437"/>
      <c r="DN28" s="1432"/>
      <c r="DO28" s="1432"/>
      <c r="DP28" s="1432"/>
      <c r="DQ28" s="1432"/>
      <c r="DR28" s="1432"/>
      <c r="DS28" s="1432"/>
      <c r="DT28" s="1316"/>
      <c r="DU28" s="1433"/>
      <c r="DV28" s="1433"/>
      <c r="DW28" s="1433"/>
      <c r="DX28" s="1433"/>
      <c r="DY28" s="1433"/>
      <c r="DZ28" s="1433"/>
      <c r="EA28" s="1433"/>
      <c r="EB28" s="1433"/>
    </row>
    <row r="29" customFormat="false" ht="14.25" hidden="false" customHeight="false" outlineLevel="0" collapsed="false">
      <c r="A29" s="2" t="n">
        <f aca="false">'V_DATOS PAC_SGA'!R24</f>
        <v>0</v>
      </c>
      <c r="B29" s="2" t="n">
        <f aca="false">IF(I29="IV",CONCATENATE('V_DATOS PAC_SGA'!R24,"4")+0,CONCATENATE('V_DATOS PAC_SGA'!R24,"0")+0)</f>
        <v>0</v>
      </c>
      <c r="C29" s="2" t="n">
        <f aca="false">'V_DATOS PAC_SGA'!S24</f>
        <v>0</v>
      </c>
      <c r="D29" s="1409" t="n">
        <f aca="false">'V_DATOS PAC_SGA'!Y24</f>
        <v>0</v>
      </c>
      <c r="E29" s="1410" t="str">
        <f aca="false">IF('V_DATOS PAC_SGA'!AV24="","Regadio",'V_DATOS PAC_SGA'!AV24)</f>
        <v>Regadio</v>
      </c>
      <c r="F29" s="1411" t="n">
        <f aca="false">'V_DATOS PAC_SGA'!BK24</f>
        <v>0</v>
      </c>
      <c r="G29" s="1412" t="n">
        <f aca="false">'V_DATOS PAC_SGA'!AN24</f>
        <v>0</v>
      </c>
      <c r="H29" s="1413" t="str">
        <f aca="false">IF(B29&gt;0,VLOOKUP(B29,'O_MN, PE_UTA_UGM 2024'!E$3:O$419,10),"")</f>
        <v/>
      </c>
      <c r="I29" s="1359" t="n">
        <f aca="false">'V_DATOS PAC_SGA'!BV24</f>
        <v>0</v>
      </c>
      <c r="J29" s="2" t="str">
        <f aca="false">IF(AND(J$4=$G29,J$6=$F29),$D29*J$5,"")</f>
        <v/>
      </c>
      <c r="K29" s="2" t="str">
        <f aca="false">IF(AND(K$4=$G29,K$6=$F29),$D29*K$5,"")</f>
        <v/>
      </c>
      <c r="L29" s="2" t="str">
        <f aca="false">IF(AND(L$4=$G29,L$6=$F29),$D29*L$5,"")</f>
        <v/>
      </c>
      <c r="M29" s="2" t="str">
        <f aca="false">IF(AND(M$4=$G29,M$6=$F29),$D29*M$5,"")</f>
        <v/>
      </c>
      <c r="N29" s="1414" t="n">
        <f aca="false">VLOOKUP(B29,'O_MN, PE_UTA_UGM 2024'!$E$2:$K$419,IF(G29&gt;1,6,7))</f>
        <v>0</v>
      </c>
      <c r="O29" s="1434" t="str">
        <f aca="false">IF($H29=O$4,$D29*$N29,"")</f>
        <v/>
      </c>
      <c r="P29" s="1435" t="str">
        <f aca="false">IF($H29=P$4,$D29*$N29,"")</f>
        <v/>
      </c>
      <c r="Q29" s="1435" t="str">
        <f aca="false">IF($H29=Q$4,$D29*$N29,"")</f>
        <v/>
      </c>
      <c r="R29" s="1435" t="str">
        <f aca="false">IF($H29=R$4,$D29*$N29,"")</f>
        <v/>
      </c>
      <c r="S29" s="1435" t="str">
        <f aca="false">IF($H29=S$4,$D29*$N29,"")</f>
        <v/>
      </c>
      <c r="T29" s="1435" t="str">
        <f aca="false">IF($H29=T$4,$D29*$N29,"")</f>
        <v/>
      </c>
      <c r="U29" s="1436" t="str">
        <f aca="false">IF($H29=U$4,$D29*$N29,"")</f>
        <v/>
      </c>
      <c r="V29" s="1418"/>
      <c r="W29" s="1419"/>
      <c r="X29" s="1419"/>
      <c r="Y29" s="1419"/>
      <c r="Z29" s="1419"/>
      <c r="AA29" s="1419"/>
      <c r="AB29" s="1420"/>
      <c r="AC29" s="1319"/>
      <c r="AD29" s="2" t="str">
        <f aca="false">IF(AND(AD$4=$G29,AD$6=$F29),$B29,"")</f>
        <v/>
      </c>
      <c r="AE29" s="2" t="str">
        <f aca="false">IF(AND(AE$4=$G29,AE$6=$F29),$B29,"")</f>
        <v/>
      </c>
      <c r="AF29" s="2" t="str">
        <f aca="false">IF(AND(AF$4=$G29,AF$6=$F29),$B29,"")</f>
        <v/>
      </c>
      <c r="AG29" s="2" t="str">
        <f aca="false">IF(AND(AG$4=$G29,AG$6=$F29),$B29,"")</f>
        <v/>
      </c>
      <c r="AI29" s="366"/>
      <c r="AL29" s="367"/>
      <c r="AO29" s="367"/>
      <c r="AP29" s="2" t="str">
        <f aca="false">IF(AT29&gt;0,RANK(AT29,AT$7:AT$423),"")</f>
        <v/>
      </c>
      <c r="AQ29" s="2" t="n">
        <f aca="false">'O_MN, PE_UTA_UGM 2024'!C25</f>
        <v>41</v>
      </c>
      <c r="AR29" s="1421" t="n">
        <v>410</v>
      </c>
      <c r="AS29" s="2" t="str">
        <f aca="false">IF(AY29&lt;&gt;"",AY29,"")</f>
        <v/>
      </c>
      <c r="AT29" s="1422" t="n">
        <f aca="false">IF(ISNUMBER($AR29),SUMIF(B$7:B$505,AR29,D$7:D$505),"")</f>
        <v>0</v>
      </c>
      <c r="AU29" s="1411" t="n">
        <f aca="false">IF(ISNUMBER($AR29),SUMIF(AD$7:AD$503,$AR29,J$7:J$503),"")</f>
        <v>0</v>
      </c>
      <c r="AV29" s="1411" t="n">
        <f aca="false">IF(ISNUMBER($AR29),SUMIF(AF$7:AF$503,$AR29,L$7:L$503),"")</f>
        <v>0</v>
      </c>
      <c r="AW29" s="1423" t="n">
        <f aca="false">IF(ISNUMBER($AR29),SUMIF(AE$7:AE$503,$AR29,K$7:K$503),"")</f>
        <v>0</v>
      </c>
      <c r="AX29" s="1423" t="n">
        <f aca="false">IF(ISNUMBER($AR29),SUMIF(AG$7:AG$503,$AR29,M$7:M$503),"")</f>
        <v>0</v>
      </c>
      <c r="AY29" s="2" t="str">
        <f aca="false">IF($AT29&gt;0,VLOOKUP($AR29,'O_MN, PE_UTA_UGM 2024'!E25:O441,2),"")</f>
        <v/>
      </c>
      <c r="AZ29" s="1424"/>
      <c r="BA29" s="1424"/>
      <c r="BB29" s="1424" t="str">
        <f aca="false">IF($AT29&gt;0,VLOOKUP($AR29,'O_MN, PE_UTA_UGM 2024'!$E$3:$O$419,BB$6),"")</f>
        <v/>
      </c>
      <c r="BC29" s="1424" t="str">
        <f aca="false">IF($AT29&gt;0,VLOOKUP($AR29,'O_MN, PE_UTA_UGM 2024'!$E$3:$O$419,BC$6),"")</f>
        <v/>
      </c>
      <c r="BD29" s="1424" t="str">
        <f aca="false">IF($AT29&gt;0,VLOOKUP($AR29,'O_MN, PE_UTA_UGM 2024'!$E$3:$O$419,BD$6),"")</f>
        <v/>
      </c>
      <c r="BE29" s="1424" t="str">
        <f aca="false">IF($AT29&gt;0,VLOOKUP($AR29,'O_MN, PE_UTA_UGM 2024'!$E$3:$O$419,BE$6),"")</f>
        <v/>
      </c>
      <c r="BF29" s="1424" t="str">
        <f aca="false">IF($AT29&gt;0,VLOOKUP($AR29,'O_MN, PE_UTA_UGM 2024'!$E$3:$O$419,BF$6),"")</f>
        <v/>
      </c>
      <c r="BG29" s="1424" t="str">
        <f aca="false">IF($AT29&gt;0,VLOOKUP($AR29,'O_MN, PE_UTA_UGM 2024'!$E$3:$O$419,BG$6),"")</f>
        <v/>
      </c>
      <c r="BH29" s="872"/>
      <c r="BI29" s="872"/>
      <c r="BJ29" s="872"/>
      <c r="BK29" s="872"/>
      <c r="BM29" s="1411"/>
      <c r="BN29" s="1411"/>
      <c r="BO29" s="1425" t="str">
        <f aca="false">IF(ISNUMBER($AU29*BB29*1),$AU29*BB29*1,"")</f>
        <v/>
      </c>
      <c r="BP29" s="1425" t="str">
        <f aca="false">IF(ISNUMBER($AV29*BC29*1),$AV29*BC29*1,"")</f>
        <v/>
      </c>
      <c r="BQ29" s="1425" t="str">
        <f aca="false">IF(ISNUMBER($AU29*BD29*1),$AU29*BD29*1,"")</f>
        <v/>
      </c>
      <c r="BR29" s="1425" t="str">
        <f aca="false">IF(ISNUMBER($AV29*BE29*1),$AV29*BE29*1,"")</f>
        <v/>
      </c>
      <c r="BS29" s="1411" t="str">
        <f aca="false">IF(ISNUMBER($AU29*BF29),$AU29*BF29,"")</f>
        <v/>
      </c>
      <c r="BT29" s="1411" t="str">
        <f aca="false">IF(ISNUMBER($AV29*BG29),$AV29*BG29,"")</f>
        <v/>
      </c>
      <c r="BU29" s="1411"/>
      <c r="BV29" s="1411"/>
      <c r="BW29" s="1411"/>
      <c r="BX29" s="1411"/>
      <c r="BZ29" s="1372"/>
      <c r="CA29" s="1372"/>
      <c r="CB29" s="1426" t="str">
        <f aca="false">IF(ISNUMBER($AW29*BB29),$AW29*BB29,"")</f>
        <v/>
      </c>
      <c r="CC29" s="1426" t="str">
        <f aca="false">IF(ISNUMBER($AX29*BC29),$AX29*BC29,"")</f>
        <v/>
      </c>
      <c r="CD29" s="1426" t="str">
        <f aca="false">IF(ISNUMBER($AW29*BD29),$AW29*BD29,"")</f>
        <v/>
      </c>
      <c r="CE29" s="1426" t="str">
        <f aca="false">IF(ISNUMBER($AX29*BE29),$AX29*BE29,"")</f>
        <v/>
      </c>
      <c r="CF29" s="1372" t="str">
        <f aca="false">IF(ISNUMBER($AW29*BF29),$AW29*BF29,"")</f>
        <v/>
      </c>
      <c r="CG29" s="1372" t="str">
        <f aca="false">IF(ISNUMBER($AX29*BG29),$AX29*BG29,"")</f>
        <v/>
      </c>
      <c r="CH29" s="1438"/>
      <c r="CI29" s="1438"/>
      <c r="CJ29" s="1438"/>
      <c r="CK29" s="1438"/>
      <c r="CU29" s="1411"/>
      <c r="CV29" s="1411"/>
      <c r="CW29" s="1425"/>
      <c r="CX29" s="1425"/>
      <c r="CY29" s="1425"/>
      <c r="CZ29" s="1425"/>
      <c r="DA29" s="1411"/>
      <c r="DB29" s="1411"/>
      <c r="DC29" s="1411"/>
      <c r="DD29" s="1411"/>
      <c r="DE29" s="1411"/>
      <c r="DF29" s="1411"/>
      <c r="DH29" s="1432"/>
      <c r="DI29" s="1432"/>
      <c r="DJ29" s="1437"/>
      <c r="DK29" s="1437"/>
      <c r="DL29" s="1437"/>
      <c r="DM29" s="1437"/>
      <c r="DN29" s="1432"/>
      <c r="DO29" s="1432"/>
      <c r="DP29" s="1432"/>
      <c r="DQ29" s="1432"/>
      <c r="DR29" s="1432"/>
      <c r="DS29" s="1432"/>
      <c r="DT29" s="1316"/>
      <c r="DU29" s="1433"/>
      <c r="DV29" s="1433"/>
      <c r="DW29" s="1433"/>
      <c r="DX29" s="1433"/>
      <c r="DY29" s="1433"/>
      <c r="DZ29" s="1433"/>
      <c r="EA29" s="1433"/>
      <c r="EB29" s="1433"/>
    </row>
    <row r="30" customFormat="false" ht="14.25" hidden="false" customHeight="false" outlineLevel="0" collapsed="false">
      <c r="A30" s="2" t="n">
        <f aca="false">'V_DATOS PAC_SGA'!R25</f>
        <v>0</v>
      </c>
      <c r="B30" s="2" t="n">
        <f aca="false">IF(I30="IV",CONCATENATE('V_DATOS PAC_SGA'!R25,"4")+0,CONCATENATE('V_DATOS PAC_SGA'!R25,"0")+0)</f>
        <v>0</v>
      </c>
      <c r="C30" s="2" t="n">
        <f aca="false">'V_DATOS PAC_SGA'!S25</f>
        <v>0</v>
      </c>
      <c r="D30" s="1409" t="n">
        <f aca="false">'V_DATOS PAC_SGA'!Y25</f>
        <v>0</v>
      </c>
      <c r="E30" s="1410" t="str">
        <f aca="false">IF('V_DATOS PAC_SGA'!AV25="","Regadio",'V_DATOS PAC_SGA'!AV25)</f>
        <v>Regadio</v>
      </c>
      <c r="F30" s="1411" t="n">
        <f aca="false">'V_DATOS PAC_SGA'!BK25</f>
        <v>0</v>
      </c>
      <c r="G30" s="1412" t="n">
        <f aca="false">'V_DATOS PAC_SGA'!AN25</f>
        <v>0</v>
      </c>
      <c r="H30" s="1413" t="str">
        <f aca="false">IF(B30&gt;0,VLOOKUP(B30,'O_MN, PE_UTA_UGM 2024'!E$3:O$419,10),"")</f>
        <v/>
      </c>
      <c r="I30" s="1359" t="n">
        <f aca="false">'V_DATOS PAC_SGA'!BV25</f>
        <v>0</v>
      </c>
      <c r="J30" s="2" t="str">
        <f aca="false">IF(AND(J$4=$G30,J$6=$F30),$D30*J$5,"")</f>
        <v/>
      </c>
      <c r="K30" s="2" t="str">
        <f aca="false">IF(AND(K$4=$G30,K$6=$F30),$D30*K$5,"")</f>
        <v/>
      </c>
      <c r="L30" s="2" t="str">
        <f aca="false">IF(AND(L$4=$G30,L$6=$F30),$D30*L$5,"")</f>
        <v/>
      </c>
      <c r="M30" s="2" t="str">
        <f aca="false">IF(AND(M$4=$G30,M$6=$F30),$D30*M$5,"")</f>
        <v/>
      </c>
      <c r="N30" s="1414" t="n">
        <f aca="false">VLOOKUP(B30,'O_MN, PE_UTA_UGM 2024'!$E$2:$K$419,IF(G30&gt;1,6,7))</f>
        <v>0</v>
      </c>
      <c r="O30" s="1434" t="str">
        <f aca="false">IF($H30=O$4,$D30*$N30,"")</f>
        <v/>
      </c>
      <c r="P30" s="1435" t="str">
        <f aca="false">IF($H30=P$4,$D30*$N30,"")</f>
        <v/>
      </c>
      <c r="Q30" s="1435" t="str">
        <f aca="false">IF($H30=Q$4,$D30*$N30,"")</f>
        <v/>
      </c>
      <c r="R30" s="1435" t="str">
        <f aca="false">IF($H30=R$4,$D30*$N30,"")</f>
        <v/>
      </c>
      <c r="S30" s="1435" t="str">
        <f aca="false">IF($H30=S$4,$D30*$N30,"")</f>
        <v/>
      </c>
      <c r="T30" s="1435" t="str">
        <f aca="false">IF($H30=T$4,$D30*$N30,"")</f>
        <v/>
      </c>
      <c r="U30" s="1436" t="str">
        <f aca="false">IF($H30=U$4,$D30*$N30,"")</f>
        <v/>
      </c>
      <c r="V30" s="1418"/>
      <c r="W30" s="1419"/>
      <c r="X30" s="1419"/>
      <c r="Y30" s="1419"/>
      <c r="Z30" s="1419"/>
      <c r="AA30" s="1419"/>
      <c r="AB30" s="1420"/>
      <c r="AC30" s="1319"/>
      <c r="AD30" s="2" t="str">
        <f aca="false">IF(AND(AD$4=$G30,AD$6=$F30),$B30,"")</f>
        <v/>
      </c>
      <c r="AE30" s="2" t="str">
        <f aca="false">IF(AND(AE$4=$G30,AE$6=$F30),$B30,"")</f>
        <v/>
      </c>
      <c r="AF30" s="2" t="str">
        <f aca="false">IF(AND(AF$4=$G30,AF$6=$F30),$B30,"")</f>
        <v/>
      </c>
      <c r="AG30" s="2" t="str">
        <f aca="false">IF(AND(AG$4=$G30,AG$6=$F30),$B30,"")</f>
        <v/>
      </c>
      <c r="AI30" s="366"/>
      <c r="AL30" s="367"/>
      <c r="AO30" s="367"/>
      <c r="AP30" s="2" t="str">
        <f aca="false">IF(AT30&gt;0,RANK(AT30,AT$7:AT$423),"")</f>
        <v/>
      </c>
      <c r="AQ30" s="2" t="n">
        <f aca="false">'O_MN, PE_UTA_UGM 2024'!C26</f>
        <v>43</v>
      </c>
      <c r="AR30" s="1421" t="n">
        <v>430</v>
      </c>
      <c r="AS30" s="2" t="str">
        <f aca="false">IF(AY30&lt;&gt;"",AY30,"")</f>
        <v/>
      </c>
      <c r="AT30" s="1422" t="n">
        <f aca="false">IF(ISNUMBER($AR30),SUMIF(B$7:B$505,AR30,D$7:D$505),"")</f>
        <v>0</v>
      </c>
      <c r="AU30" s="1411" t="n">
        <f aca="false">IF(ISNUMBER($AR30),SUMIF(AD$7:AD$503,$AR30,J$7:J$503),"")</f>
        <v>0</v>
      </c>
      <c r="AV30" s="1411" t="n">
        <f aca="false">IF(ISNUMBER($AR30),SUMIF(AF$7:AF$503,$AR30,L$7:L$503),"")</f>
        <v>0</v>
      </c>
      <c r="AW30" s="1423" t="n">
        <f aca="false">IF(ISNUMBER($AR30),SUMIF(AE$7:AE$503,$AR30,K$7:K$503),"")</f>
        <v>0</v>
      </c>
      <c r="AX30" s="1423" t="n">
        <f aca="false">IF(ISNUMBER($AR30),SUMIF(AG$7:AG$503,$AR30,M$7:M$503),"")</f>
        <v>0</v>
      </c>
      <c r="AY30" s="2" t="str">
        <f aca="false">IF($AT30&gt;0,VLOOKUP($AR30,'O_MN, PE_UTA_UGM 2024'!E26:O442,2),"")</f>
        <v/>
      </c>
      <c r="AZ30" s="1424"/>
      <c r="BA30" s="1424"/>
      <c r="BB30" s="1424" t="str">
        <f aca="false">IF($AT30&gt;0,VLOOKUP($AR30,'O_MN, PE_UTA_UGM 2024'!$E$3:$O$419,BB$6),"")</f>
        <v/>
      </c>
      <c r="BC30" s="1424" t="str">
        <f aca="false">IF($AT30&gt;0,VLOOKUP($AR30,'O_MN, PE_UTA_UGM 2024'!$E$3:$O$419,BC$6),"")</f>
        <v/>
      </c>
      <c r="BD30" s="1424" t="str">
        <f aca="false">IF($AT30&gt;0,VLOOKUP($AR30,'O_MN, PE_UTA_UGM 2024'!$E$3:$O$419,BD$6),"")</f>
        <v/>
      </c>
      <c r="BE30" s="1424" t="str">
        <f aca="false">IF($AT30&gt;0,VLOOKUP($AR30,'O_MN, PE_UTA_UGM 2024'!$E$3:$O$419,BE$6),"")</f>
        <v/>
      </c>
      <c r="BF30" s="1424" t="str">
        <f aca="false">IF($AT30&gt;0,VLOOKUP($AR30,'O_MN, PE_UTA_UGM 2024'!$E$3:$O$419,BF$6),"")</f>
        <v/>
      </c>
      <c r="BG30" s="1424" t="str">
        <f aca="false">IF($AT30&gt;0,VLOOKUP($AR30,'O_MN, PE_UTA_UGM 2024'!$E$3:$O$419,BG$6),"")</f>
        <v/>
      </c>
      <c r="BH30" s="872"/>
      <c r="BI30" s="872"/>
      <c r="BJ30" s="872"/>
      <c r="BK30" s="872"/>
      <c r="BM30" s="1411"/>
      <c r="BN30" s="1411"/>
      <c r="BO30" s="1425" t="str">
        <f aca="false">IF(ISNUMBER($AU30*BB30*1),$AU30*BB30*1,"")</f>
        <v/>
      </c>
      <c r="BP30" s="1425" t="str">
        <f aca="false">IF(ISNUMBER($AV30*BC30*1),$AV30*BC30*1,"")</f>
        <v/>
      </c>
      <c r="BQ30" s="1425" t="str">
        <f aca="false">IF(ISNUMBER($AU30*BD30*1),$AU30*BD30*1,"")</f>
        <v/>
      </c>
      <c r="BR30" s="1425" t="str">
        <f aca="false">IF(ISNUMBER($AV30*BE30*1),$AV30*BE30*1,"")</f>
        <v/>
      </c>
      <c r="BS30" s="1411" t="str">
        <f aca="false">IF(ISNUMBER($AU30*BF30),$AU30*BF30,"")</f>
        <v/>
      </c>
      <c r="BT30" s="1411" t="str">
        <f aca="false">IF(ISNUMBER($AV30*BG30),$AV30*BG30,"")</f>
        <v/>
      </c>
      <c r="BU30" s="1411"/>
      <c r="BV30" s="1411"/>
      <c r="BW30" s="1411"/>
      <c r="BX30" s="1411"/>
      <c r="BZ30" s="1372"/>
      <c r="CA30" s="1372"/>
      <c r="CB30" s="1426" t="str">
        <f aca="false">IF(ISNUMBER($AW30*BB30),$AW30*BB30,"")</f>
        <v/>
      </c>
      <c r="CC30" s="1426" t="str">
        <f aca="false">IF(ISNUMBER($AX30*BC30),$AX30*BC30,"")</f>
        <v/>
      </c>
      <c r="CD30" s="1426" t="str">
        <f aca="false">IF(ISNUMBER($AW30*BD30),$AW30*BD30,"")</f>
        <v/>
      </c>
      <c r="CE30" s="1426" t="str">
        <f aca="false">IF(ISNUMBER($AX30*BE30),$AX30*BE30,"")</f>
        <v/>
      </c>
      <c r="CF30" s="1372" t="str">
        <f aca="false">IF(ISNUMBER($AW30*BF30),$AW30*BF30,"")</f>
        <v/>
      </c>
      <c r="CG30" s="1372" t="str">
        <f aca="false">IF(ISNUMBER($AX30*BG30),$AX30*BG30,"")</f>
        <v/>
      </c>
      <c r="CH30" s="1438"/>
      <c r="CI30" s="1438"/>
      <c r="CJ30" s="1438"/>
      <c r="CK30" s="1438"/>
      <c r="CU30" s="1411"/>
      <c r="CV30" s="1411"/>
      <c r="CW30" s="1425"/>
      <c r="CX30" s="1425"/>
      <c r="CY30" s="1425"/>
      <c r="CZ30" s="1425"/>
      <c r="DA30" s="1411"/>
      <c r="DB30" s="1411"/>
      <c r="DC30" s="1411"/>
      <c r="DD30" s="1411"/>
      <c r="DE30" s="1411"/>
      <c r="DF30" s="1411"/>
      <c r="DH30" s="1432"/>
      <c r="DI30" s="1432"/>
      <c r="DJ30" s="1437"/>
      <c r="DK30" s="1437"/>
      <c r="DL30" s="1437"/>
      <c r="DM30" s="1437"/>
      <c r="DN30" s="1432"/>
      <c r="DO30" s="1432"/>
      <c r="DP30" s="1432"/>
      <c r="DQ30" s="1432"/>
      <c r="DR30" s="1432"/>
      <c r="DS30" s="1432"/>
      <c r="DT30" s="1316"/>
      <c r="DU30" s="1433"/>
      <c r="DV30" s="1433"/>
      <c r="DW30" s="1433"/>
      <c r="DX30" s="1433"/>
      <c r="DY30" s="1433"/>
      <c r="DZ30" s="1433"/>
      <c r="EA30" s="1433"/>
      <c r="EB30" s="1433"/>
    </row>
    <row r="31" customFormat="false" ht="14.25" hidden="false" customHeight="false" outlineLevel="0" collapsed="false">
      <c r="A31" s="2" t="n">
        <f aca="false">'V_DATOS PAC_SGA'!R26</f>
        <v>0</v>
      </c>
      <c r="B31" s="2" t="n">
        <f aca="false">IF(I31="IV",CONCATENATE('V_DATOS PAC_SGA'!R26,"4")+0,CONCATENATE('V_DATOS PAC_SGA'!R26,"0")+0)</f>
        <v>0</v>
      </c>
      <c r="C31" s="2" t="n">
        <f aca="false">'V_DATOS PAC_SGA'!S26</f>
        <v>0</v>
      </c>
      <c r="D31" s="1409" t="n">
        <f aca="false">'V_DATOS PAC_SGA'!Y26</f>
        <v>0</v>
      </c>
      <c r="E31" s="1410" t="str">
        <f aca="false">IF('V_DATOS PAC_SGA'!AV26="","Regadio",'V_DATOS PAC_SGA'!AV26)</f>
        <v>Regadio</v>
      </c>
      <c r="F31" s="1411" t="n">
        <f aca="false">'V_DATOS PAC_SGA'!BK26</f>
        <v>0</v>
      </c>
      <c r="G31" s="1412" t="n">
        <f aca="false">'V_DATOS PAC_SGA'!AN26</f>
        <v>0</v>
      </c>
      <c r="H31" s="1413" t="str">
        <f aca="false">IF(B31&gt;0,VLOOKUP(B31,'O_MN, PE_UTA_UGM 2024'!E$3:O$419,10),"")</f>
        <v/>
      </c>
      <c r="I31" s="1359" t="n">
        <f aca="false">'V_DATOS PAC_SGA'!BV26</f>
        <v>0</v>
      </c>
      <c r="J31" s="2" t="str">
        <f aca="false">IF(AND(J$4=$G31,J$6=$F31),$D31*J$5,"")</f>
        <v/>
      </c>
      <c r="K31" s="2" t="str">
        <f aca="false">IF(AND(K$4=$G31,K$6=$F31),$D31*K$5,"")</f>
        <v/>
      </c>
      <c r="L31" s="2" t="str">
        <f aca="false">IF(AND(L$4=$G31,L$6=$F31),$D31*L$5,"")</f>
        <v/>
      </c>
      <c r="M31" s="2" t="str">
        <f aca="false">IF(AND(M$4=$G31,M$6=$F31),$D31*M$5,"")</f>
        <v/>
      </c>
      <c r="N31" s="1414" t="n">
        <f aca="false">VLOOKUP(B31,'O_MN, PE_UTA_UGM 2024'!$E$2:$K$419,IF(G31&gt;1,6,7))</f>
        <v>0</v>
      </c>
      <c r="O31" s="1434" t="str">
        <f aca="false">IF($H31=O$4,$D31*$N31,"")</f>
        <v/>
      </c>
      <c r="P31" s="1435" t="str">
        <f aca="false">IF($H31=P$4,$D31*$N31,"")</f>
        <v/>
      </c>
      <c r="Q31" s="1435" t="str">
        <f aca="false">IF($H31=Q$4,$D31*$N31,"")</f>
        <v/>
      </c>
      <c r="R31" s="1435" t="str">
        <f aca="false">IF($H31=R$4,$D31*$N31,"")</f>
        <v/>
      </c>
      <c r="S31" s="1435" t="str">
        <f aca="false">IF($H31=S$4,$D31*$N31,"")</f>
        <v/>
      </c>
      <c r="T31" s="1435" t="str">
        <f aca="false">IF($H31=T$4,$D31*$N31,"")</f>
        <v/>
      </c>
      <c r="U31" s="1436" t="str">
        <f aca="false">IF($H31=U$4,$D31*$N31,"")</f>
        <v/>
      </c>
      <c r="V31" s="1418"/>
      <c r="W31" s="1419"/>
      <c r="X31" s="1419"/>
      <c r="Y31" s="1419"/>
      <c r="Z31" s="1419"/>
      <c r="AA31" s="1419"/>
      <c r="AB31" s="1420"/>
      <c r="AC31" s="1319"/>
      <c r="AD31" s="2" t="str">
        <f aca="false">IF(AND(AD$4=$G31,AD$6=$F31),$B31,"")</f>
        <v/>
      </c>
      <c r="AE31" s="2" t="str">
        <f aca="false">IF(AND(AE$4=$G31,AE$6=$F31),$B31,"")</f>
        <v/>
      </c>
      <c r="AF31" s="2" t="str">
        <f aca="false">IF(AND(AF$4=$G31,AF$6=$F31),$B31,"")</f>
        <v/>
      </c>
      <c r="AG31" s="2" t="str">
        <f aca="false">IF(AND(AG$4=$G31,AG$6=$F31),$B31,"")</f>
        <v/>
      </c>
      <c r="AI31" s="366"/>
      <c r="AL31" s="367"/>
      <c r="AO31" s="367"/>
      <c r="AP31" s="2" t="str">
        <f aca="false">IF(AT31&gt;0,RANK(AT31,AT$7:AT$423),"")</f>
        <v/>
      </c>
      <c r="AQ31" s="2" t="n">
        <f aca="false">'O_MN, PE_UTA_UGM 2024'!C27</f>
        <v>49</v>
      </c>
      <c r="AR31" s="1421" t="n">
        <v>490</v>
      </c>
      <c r="AS31" s="2" t="str">
        <f aca="false">IF(AY31&lt;&gt;"",AY31,"")</f>
        <v/>
      </c>
      <c r="AT31" s="1422" t="n">
        <f aca="false">IF(ISNUMBER($AR31),SUMIF(B$7:B$505,AR31,D$7:D$505),"")</f>
        <v>0</v>
      </c>
      <c r="AU31" s="1411" t="n">
        <f aca="false">IF(ISNUMBER($AR31),SUMIF(AD$7:AD$503,$AR31,J$7:J$503),"")</f>
        <v>0</v>
      </c>
      <c r="AV31" s="1411" t="n">
        <f aca="false">IF(ISNUMBER($AR31),SUMIF(AF$7:AF$503,$AR31,L$7:L$503),"")</f>
        <v>0</v>
      </c>
      <c r="AW31" s="1423" t="n">
        <f aca="false">IF(ISNUMBER($AR31),SUMIF(AE$7:AE$503,$AR31,K$7:K$503),"")</f>
        <v>0</v>
      </c>
      <c r="AX31" s="1423" t="n">
        <f aca="false">IF(ISNUMBER($AR31),SUMIF(AG$7:AG$503,$AR31,M$7:M$503),"")</f>
        <v>0</v>
      </c>
      <c r="AY31" s="2" t="str">
        <f aca="false">IF($AT31&gt;0,VLOOKUP($AR31,'O_MN, PE_UTA_UGM 2024'!E27:O443,2),"")</f>
        <v/>
      </c>
      <c r="AZ31" s="1424"/>
      <c r="BA31" s="1424"/>
      <c r="BB31" s="1424" t="str">
        <f aca="false">IF($AT31&gt;0,VLOOKUP($AR31,'O_MN, PE_UTA_UGM 2024'!$E$3:$O$419,BB$6),"")</f>
        <v/>
      </c>
      <c r="BC31" s="1424" t="str">
        <f aca="false">IF($AT31&gt;0,VLOOKUP($AR31,'O_MN, PE_UTA_UGM 2024'!$E$3:$O$419,BC$6),"")</f>
        <v/>
      </c>
      <c r="BD31" s="1424" t="str">
        <f aca="false">IF($AT31&gt;0,VLOOKUP($AR31,'O_MN, PE_UTA_UGM 2024'!$E$3:$O$419,BD$6),"")</f>
        <v/>
      </c>
      <c r="BE31" s="1424" t="str">
        <f aca="false">IF($AT31&gt;0,VLOOKUP($AR31,'O_MN, PE_UTA_UGM 2024'!$E$3:$O$419,BE$6),"")</f>
        <v/>
      </c>
      <c r="BF31" s="1424" t="str">
        <f aca="false">IF($AT31&gt;0,VLOOKUP($AR31,'O_MN, PE_UTA_UGM 2024'!$E$3:$O$419,BF$6),"")</f>
        <v/>
      </c>
      <c r="BG31" s="1424" t="str">
        <f aca="false">IF($AT31&gt;0,VLOOKUP($AR31,'O_MN, PE_UTA_UGM 2024'!$E$3:$O$419,BG$6),"")</f>
        <v/>
      </c>
      <c r="BH31" s="872"/>
      <c r="BI31" s="872"/>
      <c r="BJ31" s="872"/>
      <c r="BK31" s="872"/>
      <c r="BM31" s="1411"/>
      <c r="BN31" s="1411"/>
      <c r="BO31" s="1425" t="str">
        <f aca="false">IF(ISNUMBER($AU31*BB31*1),$AU31*BB31*1,"")</f>
        <v/>
      </c>
      <c r="BP31" s="1425" t="str">
        <f aca="false">IF(ISNUMBER($AV31*BC31*1),$AV31*BC31*1,"")</f>
        <v/>
      </c>
      <c r="BQ31" s="1425" t="str">
        <f aca="false">IF(ISNUMBER($AU31*BD31*1),$AU31*BD31*1,"")</f>
        <v/>
      </c>
      <c r="BR31" s="1425" t="str">
        <f aca="false">IF(ISNUMBER($AV31*BE31*1),$AV31*BE31*1,"")</f>
        <v/>
      </c>
      <c r="BS31" s="1411" t="str">
        <f aca="false">IF(ISNUMBER($AU31*BF31),$AU31*BF31,"")</f>
        <v/>
      </c>
      <c r="BT31" s="1411" t="str">
        <f aca="false">IF(ISNUMBER($AV31*BG31),$AV31*BG31,"")</f>
        <v/>
      </c>
      <c r="BU31" s="1411"/>
      <c r="BV31" s="1411"/>
      <c r="BW31" s="1411"/>
      <c r="BX31" s="1411"/>
      <c r="BZ31" s="1372"/>
      <c r="CA31" s="1372"/>
      <c r="CB31" s="1426" t="str">
        <f aca="false">IF(ISNUMBER($AW31*BB31),$AW31*BB31,"")</f>
        <v/>
      </c>
      <c r="CC31" s="1426" t="str">
        <f aca="false">IF(ISNUMBER($AX31*BC31),$AX31*BC31,"")</f>
        <v/>
      </c>
      <c r="CD31" s="1426" t="str">
        <f aca="false">IF(ISNUMBER($AW31*BD31),$AW31*BD31,"")</f>
        <v/>
      </c>
      <c r="CE31" s="1426" t="str">
        <f aca="false">IF(ISNUMBER($AX31*BE31),$AX31*BE31,"")</f>
        <v/>
      </c>
      <c r="CF31" s="1372" t="str">
        <f aca="false">IF(ISNUMBER($AW31*BF31),$AW31*BF31,"")</f>
        <v/>
      </c>
      <c r="CG31" s="1372" t="str">
        <f aca="false">IF(ISNUMBER($AX31*BG31),$AX31*BG31,"")</f>
        <v/>
      </c>
      <c r="CH31" s="1438"/>
      <c r="CI31" s="1438"/>
      <c r="CJ31" s="1438"/>
      <c r="CK31" s="1438"/>
      <c r="CU31" s="1411"/>
      <c r="CV31" s="1411"/>
      <c r="CW31" s="1425"/>
      <c r="CX31" s="1425"/>
      <c r="CY31" s="1425"/>
      <c r="CZ31" s="1425"/>
      <c r="DA31" s="1411"/>
      <c r="DB31" s="1411"/>
      <c r="DC31" s="1411"/>
      <c r="DD31" s="1411"/>
      <c r="DE31" s="1411"/>
      <c r="DF31" s="1411"/>
      <c r="DH31" s="1432"/>
      <c r="DI31" s="1432"/>
      <c r="DJ31" s="1437"/>
      <c r="DK31" s="1437"/>
      <c r="DL31" s="1437"/>
      <c r="DM31" s="1437"/>
      <c r="DN31" s="1432"/>
      <c r="DO31" s="1432"/>
      <c r="DP31" s="1432"/>
      <c r="DQ31" s="1432"/>
      <c r="DR31" s="1432"/>
      <c r="DS31" s="1432"/>
      <c r="DT31" s="1316"/>
      <c r="DU31" s="1433"/>
      <c r="DV31" s="1433"/>
      <c r="DW31" s="1433"/>
      <c r="DX31" s="1433"/>
      <c r="DY31" s="1433"/>
      <c r="DZ31" s="1433"/>
      <c r="EA31" s="1433"/>
      <c r="EB31" s="1433"/>
    </row>
    <row r="32" customFormat="false" ht="14.25" hidden="false" customHeight="false" outlineLevel="0" collapsed="false">
      <c r="A32" s="2" t="n">
        <f aca="false">'V_DATOS PAC_SGA'!R27</f>
        <v>0</v>
      </c>
      <c r="B32" s="2" t="n">
        <f aca="false">IF(I32="IV",CONCATENATE('V_DATOS PAC_SGA'!R27,"4")+0,CONCATENATE('V_DATOS PAC_SGA'!R27,"0")+0)</f>
        <v>0</v>
      </c>
      <c r="C32" s="2" t="n">
        <f aca="false">'V_DATOS PAC_SGA'!S27</f>
        <v>0</v>
      </c>
      <c r="D32" s="1409" t="n">
        <f aca="false">'V_DATOS PAC_SGA'!Y27</f>
        <v>0</v>
      </c>
      <c r="E32" s="1410" t="str">
        <f aca="false">IF('V_DATOS PAC_SGA'!AV27="","Regadio",'V_DATOS PAC_SGA'!AV27)</f>
        <v>Regadio</v>
      </c>
      <c r="F32" s="1411" t="n">
        <f aca="false">'V_DATOS PAC_SGA'!BK27</f>
        <v>0</v>
      </c>
      <c r="G32" s="1412" t="n">
        <f aca="false">'V_DATOS PAC_SGA'!AN27</f>
        <v>0</v>
      </c>
      <c r="H32" s="1413" t="str">
        <f aca="false">IF(B32&gt;0,VLOOKUP(B32,'O_MN, PE_UTA_UGM 2024'!E$3:O$419,10),"")</f>
        <v/>
      </c>
      <c r="I32" s="1359" t="n">
        <f aca="false">'V_DATOS PAC_SGA'!BV27</f>
        <v>0</v>
      </c>
      <c r="J32" s="2" t="str">
        <f aca="false">IF(AND(J$4=$G32,J$6=$F32),$D32*J$5,"")</f>
        <v/>
      </c>
      <c r="K32" s="2" t="str">
        <f aca="false">IF(AND(K$4=$G32,K$6=$F32),$D32*K$5,"")</f>
        <v/>
      </c>
      <c r="L32" s="2" t="str">
        <f aca="false">IF(AND(L$4=$G32,L$6=$F32),$D32*L$5,"")</f>
        <v/>
      </c>
      <c r="M32" s="2" t="str">
        <f aca="false">IF(AND(M$4=$G32,M$6=$F32),$D32*M$5,"")</f>
        <v/>
      </c>
      <c r="N32" s="1414" t="n">
        <f aca="false">VLOOKUP(B32,'O_MN, PE_UTA_UGM 2024'!$E$2:$K$419,IF(G32&gt;1,6,7))</f>
        <v>0</v>
      </c>
      <c r="O32" s="1434" t="str">
        <f aca="false">IF($H32=O$4,$D32*$N32,"")</f>
        <v/>
      </c>
      <c r="P32" s="1435" t="str">
        <f aca="false">IF($H32=P$4,$D32*$N32,"")</f>
        <v/>
      </c>
      <c r="Q32" s="1435" t="str">
        <f aca="false">IF($H32=Q$4,$D32*$N32,"")</f>
        <v/>
      </c>
      <c r="R32" s="1435" t="str">
        <f aca="false">IF($H32=R$4,$D32*$N32,"")</f>
        <v/>
      </c>
      <c r="S32" s="1435" t="str">
        <f aca="false">IF($H32=S$4,$D32*$N32,"")</f>
        <v/>
      </c>
      <c r="T32" s="1435" t="str">
        <f aca="false">IF($H32=T$4,$D32*$N32,"")</f>
        <v/>
      </c>
      <c r="U32" s="1436" t="str">
        <f aca="false">IF($H32=U$4,$D32*$N32,"")</f>
        <v/>
      </c>
      <c r="V32" s="1418"/>
      <c r="W32" s="1419"/>
      <c r="X32" s="1419"/>
      <c r="Y32" s="1419"/>
      <c r="Z32" s="1419"/>
      <c r="AA32" s="1419"/>
      <c r="AB32" s="1420"/>
      <c r="AC32" s="1319"/>
      <c r="AD32" s="2" t="str">
        <f aca="false">IF(AND(AD$4=$G32,AD$6=$F32),$B32,"")</f>
        <v/>
      </c>
      <c r="AE32" s="2" t="str">
        <f aca="false">IF(AND(AE$4=$G32,AE$6=$F32),$B32,"")</f>
        <v/>
      </c>
      <c r="AF32" s="2" t="str">
        <f aca="false">IF(AND(AF$4=$G32,AF$6=$F32),$B32,"")</f>
        <v/>
      </c>
      <c r="AG32" s="2" t="str">
        <f aca="false">IF(AND(AG$4=$G32,AG$6=$F32),$B32,"")</f>
        <v/>
      </c>
      <c r="AI32" s="366"/>
      <c r="AL32" s="367"/>
      <c r="AO32" s="367"/>
      <c r="AP32" s="2" t="str">
        <f aca="false">IF(AT32&gt;0,RANK(AT32,AT$7:AT$423),"")</f>
        <v/>
      </c>
      <c r="AQ32" s="2" t="n">
        <f aca="false">'O_MN, PE_UTA_UGM 2024'!C28</f>
        <v>50</v>
      </c>
      <c r="AR32" s="1421" t="n">
        <v>500</v>
      </c>
      <c r="AS32" s="2" t="str">
        <f aca="false">IF(AY32&lt;&gt;"",AY32,"")</f>
        <v/>
      </c>
      <c r="AT32" s="1422" t="n">
        <f aca="false">IF(ISNUMBER($AR32),SUMIF(B$7:B$505,AR32,D$7:D$505),"")</f>
        <v>0</v>
      </c>
      <c r="AU32" s="1411" t="n">
        <f aca="false">IF(ISNUMBER($AR32),SUMIF(AD$7:AD$503,$AR32,J$7:J$503),"")</f>
        <v>0</v>
      </c>
      <c r="AV32" s="1411" t="n">
        <f aca="false">IF(ISNUMBER($AR32),SUMIF(AF$7:AF$503,$AR32,L$7:L$503),"")</f>
        <v>0</v>
      </c>
      <c r="AW32" s="1423" t="n">
        <f aca="false">IF(ISNUMBER($AR32),SUMIF(AE$7:AE$503,$AR32,K$7:K$503),"")</f>
        <v>0</v>
      </c>
      <c r="AX32" s="1423" t="n">
        <f aca="false">IF(ISNUMBER($AR32),SUMIF(AG$7:AG$503,$AR32,M$7:M$503),"")</f>
        <v>0</v>
      </c>
      <c r="AY32" s="2" t="str">
        <f aca="false">IF($AT32&gt;0,VLOOKUP($AR32,'O_MN, PE_UTA_UGM 2024'!E28:O444,2),"")</f>
        <v/>
      </c>
      <c r="AZ32" s="1424"/>
      <c r="BA32" s="1424"/>
      <c r="BB32" s="1424" t="str">
        <f aca="false">IF($AT32&gt;0,VLOOKUP($AR32,'O_MN, PE_UTA_UGM 2024'!$E$3:$O$419,BB$6),"")</f>
        <v/>
      </c>
      <c r="BC32" s="1424" t="str">
        <f aca="false">IF($AT32&gt;0,VLOOKUP($AR32,'O_MN, PE_UTA_UGM 2024'!$E$3:$O$419,BC$6),"")</f>
        <v/>
      </c>
      <c r="BD32" s="1424" t="str">
        <f aca="false">IF($AT32&gt;0,VLOOKUP($AR32,'O_MN, PE_UTA_UGM 2024'!$E$3:$O$419,BD$6),"")</f>
        <v/>
      </c>
      <c r="BE32" s="1424" t="str">
        <f aca="false">IF($AT32&gt;0,VLOOKUP($AR32,'O_MN, PE_UTA_UGM 2024'!$E$3:$O$419,BE$6),"")</f>
        <v/>
      </c>
      <c r="BF32" s="1424" t="str">
        <f aca="false">IF($AT32&gt;0,VLOOKUP($AR32,'O_MN, PE_UTA_UGM 2024'!$E$3:$O$419,BF$6),"")</f>
        <v/>
      </c>
      <c r="BG32" s="1424" t="str">
        <f aca="false">IF($AT32&gt;0,VLOOKUP($AR32,'O_MN, PE_UTA_UGM 2024'!$E$3:$O$419,BG$6),"")</f>
        <v/>
      </c>
      <c r="BH32" s="872"/>
      <c r="BI32" s="872"/>
      <c r="BJ32" s="872"/>
      <c r="BK32" s="872"/>
      <c r="BM32" s="1411"/>
      <c r="BN32" s="1411"/>
      <c r="BO32" s="1425" t="str">
        <f aca="false">IF(ISNUMBER($AU32*BB32*1),$AU32*BB32*1,"")</f>
        <v/>
      </c>
      <c r="BP32" s="1425" t="str">
        <f aca="false">IF(ISNUMBER($AV32*BC32*1),$AV32*BC32*1,"")</f>
        <v/>
      </c>
      <c r="BQ32" s="1425" t="str">
        <f aca="false">IF(ISNUMBER($AU32*BD32*1),$AU32*BD32*1,"")</f>
        <v/>
      </c>
      <c r="BR32" s="1425" t="str">
        <f aca="false">IF(ISNUMBER($AV32*BE32*1),$AV32*BE32*1,"")</f>
        <v/>
      </c>
      <c r="BS32" s="1411" t="str">
        <f aca="false">IF(ISNUMBER($AU32*BF32),$AU32*BF32,"")</f>
        <v/>
      </c>
      <c r="BT32" s="1411" t="str">
        <f aca="false">IF(ISNUMBER($AV32*BG32),$AV32*BG32,"")</f>
        <v/>
      </c>
      <c r="BU32" s="1411"/>
      <c r="BV32" s="1411"/>
      <c r="BW32" s="1411"/>
      <c r="BX32" s="1411"/>
      <c r="BZ32" s="1372"/>
      <c r="CA32" s="1372"/>
      <c r="CB32" s="1426" t="str">
        <f aca="false">IF(ISNUMBER($AW32*BB32),$AW32*BB32,"")</f>
        <v/>
      </c>
      <c r="CC32" s="1426" t="str">
        <f aca="false">IF(ISNUMBER($AX32*BC32),$AX32*BC32,"")</f>
        <v/>
      </c>
      <c r="CD32" s="1426" t="str">
        <f aca="false">IF(ISNUMBER($AW32*BD32),$AW32*BD32,"")</f>
        <v/>
      </c>
      <c r="CE32" s="1426" t="str">
        <f aca="false">IF(ISNUMBER($AX32*BE32),$AX32*BE32,"")</f>
        <v/>
      </c>
      <c r="CF32" s="1372" t="str">
        <f aca="false">IF(ISNUMBER($AW32*BF32),$AW32*BF32,"")</f>
        <v/>
      </c>
      <c r="CG32" s="1372" t="str">
        <f aca="false">IF(ISNUMBER($AX32*BG32),$AX32*BG32,"")</f>
        <v/>
      </c>
      <c r="CH32" s="1438"/>
      <c r="CI32" s="1438"/>
      <c r="CJ32" s="1438"/>
      <c r="CK32" s="1438"/>
      <c r="CU32" s="1411"/>
      <c r="CV32" s="1411"/>
      <c r="CW32" s="1425"/>
      <c r="CX32" s="1425"/>
      <c r="CY32" s="1425"/>
      <c r="CZ32" s="1425"/>
      <c r="DA32" s="1411"/>
      <c r="DB32" s="1411"/>
      <c r="DC32" s="1411"/>
      <c r="DD32" s="1411"/>
      <c r="DE32" s="1411"/>
      <c r="DF32" s="1411"/>
      <c r="DH32" s="1432"/>
      <c r="DI32" s="1432"/>
      <c r="DJ32" s="1437"/>
      <c r="DK32" s="1437"/>
      <c r="DL32" s="1437"/>
      <c r="DM32" s="1437"/>
      <c r="DN32" s="1432"/>
      <c r="DO32" s="1432"/>
      <c r="DP32" s="1432"/>
      <c r="DQ32" s="1432"/>
      <c r="DR32" s="1432"/>
      <c r="DS32" s="1432"/>
      <c r="DT32" s="1316"/>
      <c r="DU32" s="1433"/>
      <c r="DV32" s="1433"/>
      <c r="DW32" s="1433"/>
      <c r="DX32" s="1433"/>
      <c r="DY32" s="1433"/>
      <c r="DZ32" s="1433"/>
      <c r="EA32" s="1433"/>
      <c r="EB32" s="1433"/>
    </row>
    <row r="33" customFormat="false" ht="14.25" hidden="false" customHeight="false" outlineLevel="0" collapsed="false">
      <c r="A33" s="2" t="n">
        <f aca="false">'V_DATOS PAC_SGA'!R28</f>
        <v>0</v>
      </c>
      <c r="B33" s="2" t="n">
        <f aca="false">IF(I33="IV",CONCATENATE('V_DATOS PAC_SGA'!R28,"4")+0,CONCATENATE('V_DATOS PAC_SGA'!R28,"0")+0)</f>
        <v>0</v>
      </c>
      <c r="C33" s="2" t="n">
        <f aca="false">'V_DATOS PAC_SGA'!S28</f>
        <v>0</v>
      </c>
      <c r="D33" s="1409" t="n">
        <f aca="false">'V_DATOS PAC_SGA'!Y28</f>
        <v>0</v>
      </c>
      <c r="E33" s="1410" t="str">
        <f aca="false">IF('V_DATOS PAC_SGA'!AV28="","Regadio",'V_DATOS PAC_SGA'!AV28)</f>
        <v>Regadio</v>
      </c>
      <c r="F33" s="1411" t="n">
        <f aca="false">'V_DATOS PAC_SGA'!BK28</f>
        <v>0</v>
      </c>
      <c r="G33" s="1412" t="n">
        <f aca="false">'V_DATOS PAC_SGA'!AN28</f>
        <v>0</v>
      </c>
      <c r="H33" s="1413" t="str">
        <f aca="false">IF(B33&gt;0,VLOOKUP(B33,'O_MN, PE_UTA_UGM 2024'!E$3:O$419,10),"")</f>
        <v/>
      </c>
      <c r="I33" s="1359" t="n">
        <f aca="false">'V_DATOS PAC_SGA'!BV28</f>
        <v>0</v>
      </c>
      <c r="J33" s="2" t="str">
        <f aca="false">IF(AND(J$4=$G33,J$6=$F33),$D33*J$5,"")</f>
        <v/>
      </c>
      <c r="K33" s="2" t="str">
        <f aca="false">IF(AND(K$4=$G33,K$6=$F33),$D33*K$5,"")</f>
        <v/>
      </c>
      <c r="L33" s="2" t="str">
        <f aca="false">IF(AND(L$4=$G33,L$6=$F33),$D33*L$5,"")</f>
        <v/>
      </c>
      <c r="M33" s="2" t="str">
        <f aca="false">IF(AND(M$4=$G33,M$6=$F33),$D33*M$5,"")</f>
        <v/>
      </c>
      <c r="N33" s="1414" t="n">
        <f aca="false">VLOOKUP(B33,'O_MN, PE_UTA_UGM 2024'!$E$2:$K$419,IF(G33&gt;1,6,7))</f>
        <v>0</v>
      </c>
      <c r="O33" s="1434" t="str">
        <f aca="false">IF($H33=O$4,$D33*$N33,"")</f>
        <v/>
      </c>
      <c r="P33" s="1435" t="str">
        <f aca="false">IF($H33=P$4,$D33*$N33,"")</f>
        <v/>
      </c>
      <c r="Q33" s="1435" t="str">
        <f aca="false">IF($H33=Q$4,$D33*$N33,"")</f>
        <v/>
      </c>
      <c r="R33" s="1435" t="str">
        <f aca="false">IF($H33=R$4,$D33*$N33,"")</f>
        <v/>
      </c>
      <c r="S33" s="1435" t="str">
        <f aca="false">IF($H33=S$4,$D33*$N33,"")</f>
        <v/>
      </c>
      <c r="T33" s="1435" t="str">
        <f aca="false">IF($H33=T$4,$D33*$N33,"")</f>
        <v/>
      </c>
      <c r="U33" s="1436" t="str">
        <f aca="false">IF($H33=U$4,$D33*$N33,"")</f>
        <v/>
      </c>
      <c r="V33" s="1418"/>
      <c r="W33" s="1419"/>
      <c r="X33" s="1419"/>
      <c r="Y33" s="1419"/>
      <c r="Z33" s="1419"/>
      <c r="AA33" s="1419"/>
      <c r="AB33" s="1420"/>
      <c r="AC33" s="1319"/>
      <c r="AD33" s="2" t="str">
        <f aca="false">IF(AND(AD$4=$G33,AD$6=$F33),$B33,"")</f>
        <v/>
      </c>
      <c r="AE33" s="2" t="str">
        <f aca="false">IF(AND(AE$4=$G33,AE$6=$F33),$B33,"")</f>
        <v/>
      </c>
      <c r="AF33" s="2" t="str">
        <f aca="false">IF(AND(AF$4=$G33,AF$6=$F33),$B33,"")</f>
        <v/>
      </c>
      <c r="AG33" s="2" t="str">
        <f aca="false">IF(AND(AG$4=$G33,AG$6=$F33),$B33,"")</f>
        <v/>
      </c>
      <c r="AI33" s="366"/>
      <c r="AL33" s="367"/>
      <c r="AO33" s="1420"/>
      <c r="AP33" s="2" t="str">
        <f aca="false">IF(AT33&gt;0,RANK(AT33,AT$7:AT$423),"")</f>
        <v/>
      </c>
      <c r="AQ33" s="2" t="n">
        <f aca="false">'O_MN, PE_UTA_UGM 2024'!C29</f>
        <v>51</v>
      </c>
      <c r="AR33" s="1421" t="n">
        <v>510</v>
      </c>
      <c r="AS33" s="2" t="str">
        <f aca="false">IF(AY33&lt;&gt;"",AY33,"")</f>
        <v/>
      </c>
      <c r="AT33" s="1422" t="n">
        <f aca="false">IF(ISNUMBER($AR33),SUMIF(B$7:B$505,AR33,D$7:D$505),"")</f>
        <v>0</v>
      </c>
      <c r="AU33" s="1411" t="n">
        <f aca="false">IF(ISNUMBER($AR33),SUMIF(AD$7:AD$503,$AR33,J$7:J$503),"")</f>
        <v>0</v>
      </c>
      <c r="AV33" s="1411" t="n">
        <f aca="false">IF(ISNUMBER($AR33),SUMIF(AF$7:AF$503,$AR33,L$7:L$503),"")</f>
        <v>0</v>
      </c>
      <c r="AW33" s="1423" t="n">
        <f aca="false">IF(ISNUMBER($AR33),SUMIF(AE$7:AE$503,$AR33,K$7:K$503),"")</f>
        <v>0</v>
      </c>
      <c r="AX33" s="1423" t="n">
        <f aca="false">IF(ISNUMBER($AR33),SUMIF(AG$7:AG$503,$AR33,M$7:M$503),"")</f>
        <v>0</v>
      </c>
      <c r="AY33" s="2" t="str">
        <f aca="false">IF($AT33&gt;0,VLOOKUP($AR33,'O_MN, PE_UTA_UGM 2024'!E29:O445,2),"")</f>
        <v/>
      </c>
      <c r="AZ33" s="1424"/>
      <c r="BA33" s="1424"/>
      <c r="BB33" s="1424" t="str">
        <f aca="false">IF($AT33&gt;0,VLOOKUP($AR33,'O_MN, PE_UTA_UGM 2024'!$E$3:$O$419,BB$6),"")</f>
        <v/>
      </c>
      <c r="BC33" s="1424" t="str">
        <f aca="false">IF($AT33&gt;0,VLOOKUP($AR33,'O_MN, PE_UTA_UGM 2024'!$E$3:$O$419,BC$6),"")</f>
        <v/>
      </c>
      <c r="BD33" s="1424" t="str">
        <f aca="false">IF($AT33&gt;0,VLOOKUP($AR33,'O_MN, PE_UTA_UGM 2024'!$E$3:$O$419,BD$6),"")</f>
        <v/>
      </c>
      <c r="BE33" s="1424" t="str">
        <f aca="false">IF($AT33&gt;0,VLOOKUP($AR33,'O_MN, PE_UTA_UGM 2024'!$E$3:$O$419,BE$6),"")</f>
        <v/>
      </c>
      <c r="BF33" s="1424" t="str">
        <f aca="false">IF($AT33&gt;0,VLOOKUP($AR33,'O_MN, PE_UTA_UGM 2024'!$E$3:$O$419,BF$6),"")</f>
        <v/>
      </c>
      <c r="BG33" s="1424" t="str">
        <f aca="false">IF($AT33&gt;0,VLOOKUP($AR33,'O_MN, PE_UTA_UGM 2024'!$E$3:$O$419,BG$6),"")</f>
        <v/>
      </c>
      <c r="BH33" s="872"/>
      <c r="BI33" s="872"/>
      <c r="BJ33" s="872"/>
      <c r="BK33" s="872"/>
      <c r="BM33" s="1411"/>
      <c r="BN33" s="1411"/>
      <c r="BO33" s="1425" t="str">
        <f aca="false">IF(ISNUMBER($AU33*BB33*1),$AU33*BB33*1,"")</f>
        <v/>
      </c>
      <c r="BP33" s="1425" t="str">
        <f aca="false">IF(ISNUMBER($AV33*BC33*1),$AV33*BC33*1,"")</f>
        <v/>
      </c>
      <c r="BQ33" s="1425" t="str">
        <f aca="false">IF(ISNUMBER($AU33*BD33*1),$AU33*BD33*1,"")</f>
        <v/>
      </c>
      <c r="BR33" s="1425" t="str">
        <f aca="false">IF(ISNUMBER($AV33*BE33*1),$AV33*BE33*1,"")</f>
        <v/>
      </c>
      <c r="BS33" s="1411" t="str">
        <f aca="false">IF(ISNUMBER($AU33*BF33),$AU33*BF33,"")</f>
        <v/>
      </c>
      <c r="BT33" s="1411" t="str">
        <f aca="false">IF(ISNUMBER($AV33*BG33),$AV33*BG33,"")</f>
        <v/>
      </c>
      <c r="BU33" s="1411"/>
      <c r="BV33" s="1411"/>
      <c r="BW33" s="1411"/>
      <c r="BX33" s="1411"/>
      <c r="BZ33" s="1372"/>
      <c r="CA33" s="1372"/>
      <c r="CB33" s="1426" t="str">
        <f aca="false">IF(ISNUMBER($AW33*BB33),$AW33*BB33,"")</f>
        <v/>
      </c>
      <c r="CC33" s="1426" t="str">
        <f aca="false">IF(ISNUMBER($AX33*BC33),$AX33*BC33,"")</f>
        <v/>
      </c>
      <c r="CD33" s="1426" t="str">
        <f aca="false">IF(ISNUMBER($AW33*BD33),$AW33*BD33,"")</f>
        <v/>
      </c>
      <c r="CE33" s="1426" t="str">
        <f aca="false">IF(ISNUMBER($AX33*BE33),$AX33*BE33,"")</f>
        <v/>
      </c>
      <c r="CF33" s="1372" t="str">
        <f aca="false">IF(ISNUMBER($AW33*BF33),$AW33*BF33,"")</f>
        <v/>
      </c>
      <c r="CG33" s="1372" t="str">
        <f aca="false">IF(ISNUMBER($AX33*BG33),$AX33*BG33,"")</f>
        <v/>
      </c>
      <c r="CH33" s="1438"/>
      <c r="CI33" s="1438"/>
      <c r="CJ33" s="1438"/>
      <c r="CK33" s="1438"/>
      <c r="CU33" s="1411"/>
      <c r="CV33" s="1411"/>
      <c r="CW33" s="1425"/>
      <c r="CX33" s="1425"/>
      <c r="CY33" s="1425"/>
      <c r="CZ33" s="1425"/>
      <c r="DA33" s="1411"/>
      <c r="DB33" s="1411"/>
      <c r="DC33" s="1411"/>
      <c r="DD33" s="1411"/>
      <c r="DE33" s="1411"/>
      <c r="DF33" s="1411"/>
      <c r="DH33" s="1432"/>
      <c r="DI33" s="1432"/>
      <c r="DJ33" s="1437"/>
      <c r="DK33" s="1437"/>
      <c r="DL33" s="1437"/>
      <c r="DM33" s="1437"/>
      <c r="DN33" s="1432"/>
      <c r="DO33" s="1432"/>
      <c r="DP33" s="1432"/>
      <c r="DQ33" s="1432"/>
      <c r="DR33" s="1432"/>
      <c r="DS33" s="1432"/>
      <c r="DT33" s="1316"/>
      <c r="DU33" s="1433"/>
      <c r="DV33" s="1433"/>
      <c r="DW33" s="1433"/>
      <c r="DX33" s="1433"/>
      <c r="DY33" s="1433"/>
      <c r="DZ33" s="1433"/>
      <c r="EA33" s="1433"/>
      <c r="EB33" s="1433"/>
    </row>
    <row r="34" customFormat="false" ht="14.25" hidden="false" customHeight="false" outlineLevel="0" collapsed="false">
      <c r="A34" s="2" t="n">
        <f aca="false">'V_DATOS PAC_SGA'!R29</f>
        <v>0</v>
      </c>
      <c r="B34" s="2" t="n">
        <f aca="false">IF(I34="IV",CONCATENATE('V_DATOS PAC_SGA'!R29,"4")+0,CONCATENATE('V_DATOS PAC_SGA'!R29,"0")+0)</f>
        <v>0</v>
      </c>
      <c r="C34" s="2" t="n">
        <f aca="false">'V_DATOS PAC_SGA'!S29</f>
        <v>0</v>
      </c>
      <c r="D34" s="1409" t="n">
        <f aca="false">'V_DATOS PAC_SGA'!Y29</f>
        <v>0</v>
      </c>
      <c r="E34" s="1410" t="str">
        <f aca="false">IF('V_DATOS PAC_SGA'!AV29="","Regadio",'V_DATOS PAC_SGA'!AV29)</f>
        <v>Regadio</v>
      </c>
      <c r="F34" s="1411" t="n">
        <f aca="false">'V_DATOS PAC_SGA'!BK29</f>
        <v>0</v>
      </c>
      <c r="G34" s="1412" t="n">
        <f aca="false">'V_DATOS PAC_SGA'!AN29</f>
        <v>0</v>
      </c>
      <c r="H34" s="1413" t="str">
        <f aca="false">IF(B34&gt;0,VLOOKUP(B34,'O_MN, PE_UTA_UGM 2024'!E$3:O$419,10),"")</f>
        <v/>
      </c>
      <c r="I34" s="1359" t="n">
        <f aca="false">'V_DATOS PAC_SGA'!BV29</f>
        <v>0</v>
      </c>
      <c r="J34" s="2" t="str">
        <f aca="false">IF(AND(J$4=$G34,J$6=$F34),$D34*J$5,"")</f>
        <v/>
      </c>
      <c r="K34" s="2" t="str">
        <f aca="false">IF(AND(K$4=$G34,K$6=$F34),$D34*K$5,"")</f>
        <v/>
      </c>
      <c r="L34" s="2" t="str">
        <f aca="false">IF(AND(L$4=$G34,L$6=$F34),$D34*L$5,"")</f>
        <v/>
      </c>
      <c r="M34" s="2" t="str">
        <f aca="false">IF(AND(M$4=$G34,M$6=$F34),$D34*M$5,"")</f>
        <v/>
      </c>
      <c r="N34" s="1414" t="n">
        <f aca="false">VLOOKUP(B34,'O_MN, PE_UTA_UGM 2024'!$E$2:$K$419,IF(G34&gt;1,6,7))</f>
        <v>0</v>
      </c>
      <c r="O34" s="1434" t="str">
        <f aca="false">IF($H34=O$4,$D34*$N34,"")</f>
        <v/>
      </c>
      <c r="P34" s="1435" t="str">
        <f aca="false">IF($H34=P$4,$D34*$N34,"")</f>
        <v/>
      </c>
      <c r="Q34" s="1435" t="str">
        <f aca="false">IF($H34=Q$4,$D34*$N34,"")</f>
        <v/>
      </c>
      <c r="R34" s="1435" t="str">
        <f aca="false">IF($H34=R$4,$D34*$N34,"")</f>
        <v/>
      </c>
      <c r="S34" s="1435" t="str">
        <f aca="false">IF($H34=S$4,$D34*$N34,"")</f>
        <v/>
      </c>
      <c r="T34" s="1435" t="str">
        <f aca="false">IF($H34=T$4,$D34*$N34,"")</f>
        <v/>
      </c>
      <c r="U34" s="1436" t="str">
        <f aca="false">IF($H34=U$4,$D34*$N34,"")</f>
        <v/>
      </c>
      <c r="V34" s="1418"/>
      <c r="W34" s="1419"/>
      <c r="X34" s="1419"/>
      <c r="Y34" s="1419"/>
      <c r="Z34" s="1419"/>
      <c r="AA34" s="1419"/>
      <c r="AB34" s="1420"/>
      <c r="AC34" s="1319"/>
      <c r="AD34" s="2" t="str">
        <f aca="false">IF(AND(AD$4=$G34,AD$6=$F34),$B34,"")</f>
        <v/>
      </c>
      <c r="AE34" s="2" t="str">
        <f aca="false">IF(AND(AE$4=$G34,AE$6=$F34),$B34,"")</f>
        <v/>
      </c>
      <c r="AF34" s="2" t="str">
        <f aca="false">IF(AND(AF$4=$G34,AF$6=$F34),$B34,"")</f>
        <v/>
      </c>
      <c r="AG34" s="2" t="str">
        <f aca="false">IF(AND(AG$4=$G34,AG$6=$F34),$B34,"")</f>
        <v/>
      </c>
      <c r="AI34" s="366"/>
      <c r="AL34" s="367"/>
      <c r="AO34" s="1420"/>
      <c r="AP34" s="2" t="str">
        <f aca="false">IF(AT34&gt;0,RANK(AT34,AT$7:AT$423),"")</f>
        <v/>
      </c>
      <c r="AQ34" s="2" t="n">
        <f aca="false">'O_MN, PE_UTA_UGM 2024'!C30</f>
        <v>52</v>
      </c>
      <c r="AR34" s="1421" t="n">
        <v>520</v>
      </c>
      <c r="AS34" s="2" t="str">
        <f aca="false">IF(AY34&lt;&gt;"",AY34,"")</f>
        <v/>
      </c>
      <c r="AT34" s="1422" t="n">
        <f aca="false">IF(ISNUMBER($AR34),SUMIF(B$7:B$505,AR34,D$7:D$505),"")</f>
        <v>0</v>
      </c>
      <c r="AU34" s="1411" t="n">
        <f aca="false">IF(ISNUMBER($AR34),SUMIF(AD$7:AD$503,$AR34,J$7:J$503),"")</f>
        <v>0</v>
      </c>
      <c r="AV34" s="1411" t="n">
        <f aca="false">IF(ISNUMBER($AR34),SUMIF(AF$7:AF$503,$AR34,L$7:L$503),"")</f>
        <v>0</v>
      </c>
      <c r="AW34" s="1423" t="n">
        <f aca="false">IF(ISNUMBER($AR34),SUMIF(AE$7:AE$503,$AR34,K$7:K$503),"")</f>
        <v>0</v>
      </c>
      <c r="AX34" s="1423" t="n">
        <f aca="false">IF(ISNUMBER($AR34),SUMIF(AG$7:AG$503,$AR34,M$7:M$503),"")</f>
        <v>0</v>
      </c>
      <c r="AY34" s="2" t="str">
        <f aca="false">IF($AT34&gt;0,VLOOKUP($AR34,'O_MN, PE_UTA_UGM 2024'!E30:O446,2),"")</f>
        <v/>
      </c>
      <c r="AZ34" s="1424"/>
      <c r="BA34" s="1424"/>
      <c r="BB34" s="1424" t="str">
        <f aca="false">IF($AT34&gt;0,VLOOKUP($AR34,'O_MN, PE_UTA_UGM 2024'!$E$3:$O$419,BB$6),"")</f>
        <v/>
      </c>
      <c r="BC34" s="1424" t="str">
        <f aca="false">IF($AT34&gt;0,VLOOKUP($AR34,'O_MN, PE_UTA_UGM 2024'!$E$3:$O$419,BC$6),"")</f>
        <v/>
      </c>
      <c r="BD34" s="1424" t="str">
        <f aca="false">IF($AT34&gt;0,VLOOKUP($AR34,'O_MN, PE_UTA_UGM 2024'!$E$3:$O$419,BD$6),"")</f>
        <v/>
      </c>
      <c r="BE34" s="1424" t="str">
        <f aca="false">IF($AT34&gt;0,VLOOKUP($AR34,'O_MN, PE_UTA_UGM 2024'!$E$3:$O$419,BE$6),"")</f>
        <v/>
      </c>
      <c r="BF34" s="1424" t="str">
        <f aca="false">IF($AT34&gt;0,VLOOKUP($AR34,'O_MN, PE_UTA_UGM 2024'!$E$3:$O$419,BF$6),"")</f>
        <v/>
      </c>
      <c r="BG34" s="1424" t="str">
        <f aca="false">IF($AT34&gt;0,VLOOKUP($AR34,'O_MN, PE_UTA_UGM 2024'!$E$3:$O$419,BG$6),"")</f>
        <v/>
      </c>
      <c r="BH34" s="872"/>
      <c r="BI34" s="872"/>
      <c r="BJ34" s="872"/>
      <c r="BK34" s="872"/>
      <c r="BM34" s="1411"/>
      <c r="BN34" s="1411"/>
      <c r="BO34" s="1425" t="str">
        <f aca="false">IF(ISNUMBER($AU34*BB34*1),$AU34*BB34*1,"")</f>
        <v/>
      </c>
      <c r="BP34" s="1425" t="str">
        <f aca="false">IF(ISNUMBER($AV34*BC34*1),$AV34*BC34*1,"")</f>
        <v/>
      </c>
      <c r="BQ34" s="1425" t="str">
        <f aca="false">IF(ISNUMBER($AU34*BD34*1),$AU34*BD34*1,"")</f>
        <v/>
      </c>
      <c r="BR34" s="1425" t="str">
        <f aca="false">IF(ISNUMBER($AV34*BE34*1),$AV34*BE34*1,"")</f>
        <v/>
      </c>
      <c r="BS34" s="1411" t="str">
        <f aca="false">IF(ISNUMBER($AU34*BF34),$AU34*BF34,"")</f>
        <v/>
      </c>
      <c r="BT34" s="1411" t="str">
        <f aca="false">IF(ISNUMBER($AV34*BG34),$AV34*BG34,"")</f>
        <v/>
      </c>
      <c r="BU34" s="1411"/>
      <c r="BV34" s="1411"/>
      <c r="BW34" s="1411"/>
      <c r="BX34" s="1411"/>
      <c r="BZ34" s="1372"/>
      <c r="CA34" s="1372"/>
      <c r="CB34" s="1426" t="str">
        <f aca="false">IF(ISNUMBER($AW34*BB34),$AW34*BB34,"")</f>
        <v/>
      </c>
      <c r="CC34" s="1426" t="str">
        <f aca="false">IF(ISNUMBER($AX34*BC34),$AX34*BC34,"")</f>
        <v/>
      </c>
      <c r="CD34" s="1426" t="str">
        <f aca="false">IF(ISNUMBER($AW34*BD34),$AW34*BD34,"")</f>
        <v/>
      </c>
      <c r="CE34" s="1426" t="str">
        <f aca="false">IF(ISNUMBER($AX34*BE34),$AX34*BE34,"")</f>
        <v/>
      </c>
      <c r="CF34" s="1372" t="str">
        <f aca="false">IF(ISNUMBER($AW34*BF34),$AW34*BF34,"")</f>
        <v/>
      </c>
      <c r="CG34" s="1372" t="str">
        <f aca="false">IF(ISNUMBER($AX34*BG34),$AX34*BG34,"")</f>
        <v/>
      </c>
      <c r="CH34" s="1438"/>
      <c r="CI34" s="1438"/>
      <c r="CJ34" s="1438"/>
      <c r="CK34" s="1438"/>
      <c r="CU34" s="1411"/>
      <c r="CV34" s="1411"/>
      <c r="CW34" s="1425"/>
      <c r="CX34" s="1425"/>
      <c r="CY34" s="1425"/>
      <c r="CZ34" s="1425"/>
      <c r="DA34" s="1411"/>
      <c r="DB34" s="1411"/>
      <c r="DC34" s="1411"/>
      <c r="DD34" s="1411"/>
      <c r="DE34" s="1411"/>
      <c r="DF34" s="1411"/>
      <c r="DH34" s="1432"/>
      <c r="DI34" s="1432"/>
      <c r="DJ34" s="1437"/>
      <c r="DK34" s="1437"/>
      <c r="DL34" s="1437"/>
      <c r="DM34" s="1437"/>
      <c r="DN34" s="1432"/>
      <c r="DO34" s="1432"/>
      <c r="DP34" s="1432"/>
      <c r="DQ34" s="1432"/>
      <c r="DR34" s="1432"/>
      <c r="DS34" s="1432"/>
      <c r="DT34" s="1316"/>
      <c r="DU34" s="1433"/>
      <c r="DV34" s="1433"/>
      <c r="DW34" s="1433"/>
      <c r="DX34" s="1433"/>
      <c r="DY34" s="1433"/>
      <c r="DZ34" s="1433"/>
      <c r="EA34" s="1433"/>
      <c r="EB34" s="1433"/>
    </row>
    <row r="35" customFormat="false" ht="14.25" hidden="false" customHeight="false" outlineLevel="0" collapsed="false">
      <c r="A35" s="2" t="n">
        <f aca="false">'V_DATOS PAC_SGA'!R30</f>
        <v>0</v>
      </c>
      <c r="B35" s="2" t="n">
        <f aca="false">IF(I35="IV",CONCATENATE('V_DATOS PAC_SGA'!R30,"4")+0,CONCATENATE('V_DATOS PAC_SGA'!R30,"0")+0)</f>
        <v>0</v>
      </c>
      <c r="C35" s="2" t="n">
        <f aca="false">'V_DATOS PAC_SGA'!S30</f>
        <v>0</v>
      </c>
      <c r="D35" s="1409" t="n">
        <f aca="false">'V_DATOS PAC_SGA'!Y30</f>
        <v>0</v>
      </c>
      <c r="E35" s="1410" t="str">
        <f aca="false">IF('V_DATOS PAC_SGA'!AV30="","Regadio",'V_DATOS PAC_SGA'!AV30)</f>
        <v>Regadio</v>
      </c>
      <c r="F35" s="1411" t="n">
        <f aca="false">'V_DATOS PAC_SGA'!BK30</f>
        <v>0</v>
      </c>
      <c r="G35" s="1412" t="n">
        <f aca="false">'V_DATOS PAC_SGA'!AN30</f>
        <v>0</v>
      </c>
      <c r="H35" s="1413" t="str">
        <f aca="false">IF(B35&gt;0,VLOOKUP(B35,'O_MN, PE_UTA_UGM 2024'!E$3:O$419,10),"")</f>
        <v/>
      </c>
      <c r="I35" s="1359" t="n">
        <f aca="false">'V_DATOS PAC_SGA'!BV30</f>
        <v>0</v>
      </c>
      <c r="J35" s="2" t="str">
        <f aca="false">IF(AND(J$4=$G35,J$6=$F35),$D35*J$5,"")</f>
        <v/>
      </c>
      <c r="K35" s="2" t="str">
        <f aca="false">IF(AND(K$4=$G35,K$6=$F35),$D35*K$5,"")</f>
        <v/>
      </c>
      <c r="L35" s="2" t="str">
        <f aca="false">IF(AND(L$4=$G35,L$6=$F35),$D35*L$5,"")</f>
        <v/>
      </c>
      <c r="M35" s="2" t="str">
        <f aca="false">IF(AND(M$4=$G35,M$6=$F35),$D35*M$5,"")</f>
        <v/>
      </c>
      <c r="N35" s="1414" t="n">
        <f aca="false">VLOOKUP(B35,'O_MN, PE_UTA_UGM 2024'!$E$2:$K$419,IF(G35&gt;1,6,7))</f>
        <v>0</v>
      </c>
      <c r="O35" s="1434" t="str">
        <f aca="false">IF($H35=O$4,$D35*$N35,"")</f>
        <v/>
      </c>
      <c r="P35" s="1435" t="str">
        <f aca="false">IF($H35=P$4,$D35*$N35,"")</f>
        <v/>
      </c>
      <c r="Q35" s="1435" t="str">
        <f aca="false">IF($H35=Q$4,$D35*$N35,"")</f>
        <v/>
      </c>
      <c r="R35" s="1435" t="str">
        <f aca="false">IF($H35=R$4,$D35*$N35,"")</f>
        <v/>
      </c>
      <c r="S35" s="1435" t="str">
        <f aca="false">IF($H35=S$4,$D35*$N35,"")</f>
        <v/>
      </c>
      <c r="T35" s="1435" t="str">
        <f aca="false">IF($H35=T$4,$D35*$N35,"")</f>
        <v/>
      </c>
      <c r="U35" s="1436" t="str">
        <f aca="false">IF($H35=U$4,$D35*$N35,"")</f>
        <v/>
      </c>
      <c r="V35" s="1418"/>
      <c r="W35" s="1419"/>
      <c r="X35" s="1419"/>
      <c r="Y35" s="1419"/>
      <c r="Z35" s="1419"/>
      <c r="AA35" s="1419"/>
      <c r="AB35" s="1420"/>
      <c r="AC35" s="1319"/>
      <c r="AD35" s="2" t="str">
        <f aca="false">IF(AND(AD$4=$G35,AD$6=$F35),$B35,"")</f>
        <v/>
      </c>
      <c r="AE35" s="2" t="str">
        <f aca="false">IF(AND(AE$4=$G35,AE$6=$F35),$B35,"")</f>
        <v/>
      </c>
      <c r="AF35" s="2" t="str">
        <f aca="false">IF(AND(AF$4=$G35,AF$6=$F35),$B35,"")</f>
        <v/>
      </c>
      <c r="AG35" s="2" t="str">
        <f aca="false">IF(AND(AG$4=$G35,AG$6=$F35),$B35,"")</f>
        <v/>
      </c>
      <c r="AI35" s="366"/>
      <c r="AL35" s="367"/>
      <c r="AO35" s="1420"/>
      <c r="AP35" s="2" t="str">
        <f aca="false">IF(AT35&gt;0,RANK(AT35,AT$7:AT$423),"")</f>
        <v/>
      </c>
      <c r="AQ35" s="2" t="n">
        <f aca="false">'O_MN, PE_UTA_UGM 2024'!C31</f>
        <v>53</v>
      </c>
      <c r="AR35" s="1421" t="n">
        <v>530</v>
      </c>
      <c r="AS35" s="2" t="str">
        <f aca="false">IF(AY35&lt;&gt;"",AY35,"")</f>
        <v/>
      </c>
      <c r="AT35" s="1422" t="n">
        <f aca="false">IF(ISNUMBER($AR35),SUMIF(B$7:B$505,AR35,D$7:D$505),"")</f>
        <v>0</v>
      </c>
      <c r="AU35" s="1411" t="n">
        <f aca="false">IF(ISNUMBER($AR35),SUMIF(AD$7:AD$503,$AR35,J$7:J$503),"")</f>
        <v>0</v>
      </c>
      <c r="AV35" s="1411" t="n">
        <f aca="false">IF(ISNUMBER($AR35),SUMIF(AF$7:AF$503,$AR35,L$7:L$503),"")</f>
        <v>0</v>
      </c>
      <c r="AW35" s="1423" t="n">
        <f aca="false">IF(ISNUMBER($AR35),SUMIF(AE$7:AE$503,$AR35,K$7:K$503),"")</f>
        <v>0</v>
      </c>
      <c r="AX35" s="1423" t="n">
        <f aca="false">IF(ISNUMBER($AR35),SUMIF(AG$7:AG$503,$AR35,M$7:M$503),"")</f>
        <v>0</v>
      </c>
      <c r="AY35" s="2" t="str">
        <f aca="false">IF($AT35&gt;0,VLOOKUP($AR35,'O_MN, PE_UTA_UGM 2024'!E31:O447,2),"")</f>
        <v/>
      </c>
      <c r="AZ35" s="1424"/>
      <c r="BA35" s="1424"/>
      <c r="BB35" s="1424" t="str">
        <f aca="false">IF($AT35&gt;0,VLOOKUP($AR35,'O_MN, PE_UTA_UGM 2024'!$E$3:$O$419,BB$6),"")</f>
        <v/>
      </c>
      <c r="BC35" s="1424" t="str">
        <f aca="false">IF($AT35&gt;0,VLOOKUP($AR35,'O_MN, PE_UTA_UGM 2024'!$E$3:$O$419,BC$6),"")</f>
        <v/>
      </c>
      <c r="BD35" s="1424" t="str">
        <f aca="false">IF($AT35&gt;0,VLOOKUP($AR35,'O_MN, PE_UTA_UGM 2024'!$E$3:$O$419,BD$6),"")</f>
        <v/>
      </c>
      <c r="BE35" s="1424" t="str">
        <f aca="false">IF($AT35&gt;0,VLOOKUP($AR35,'O_MN, PE_UTA_UGM 2024'!$E$3:$O$419,BE$6),"")</f>
        <v/>
      </c>
      <c r="BF35" s="1424" t="str">
        <f aca="false">IF($AT35&gt;0,VLOOKUP($AR35,'O_MN, PE_UTA_UGM 2024'!$E$3:$O$419,BF$6),"")</f>
        <v/>
      </c>
      <c r="BG35" s="1424" t="str">
        <f aca="false">IF($AT35&gt;0,VLOOKUP($AR35,'O_MN, PE_UTA_UGM 2024'!$E$3:$O$419,BG$6),"")</f>
        <v/>
      </c>
      <c r="BH35" s="872"/>
      <c r="BI35" s="872"/>
      <c r="BJ35" s="872"/>
      <c r="BK35" s="872"/>
      <c r="BM35" s="1411"/>
      <c r="BN35" s="1411"/>
      <c r="BO35" s="1425" t="str">
        <f aca="false">IF(ISNUMBER($AU35*BB35*1),$AU35*BB35*1,"")</f>
        <v/>
      </c>
      <c r="BP35" s="1425" t="str">
        <f aca="false">IF(ISNUMBER($AV35*BC35*1),$AV35*BC35*1,"")</f>
        <v/>
      </c>
      <c r="BQ35" s="1425" t="str">
        <f aca="false">IF(ISNUMBER($AU35*BD35*1),$AU35*BD35*1,"")</f>
        <v/>
      </c>
      <c r="BR35" s="1425" t="str">
        <f aca="false">IF(ISNUMBER($AV35*BE35*1),$AV35*BE35*1,"")</f>
        <v/>
      </c>
      <c r="BS35" s="1411" t="str">
        <f aca="false">IF(ISNUMBER($AU35*BF35),$AU35*BF35,"")</f>
        <v/>
      </c>
      <c r="BT35" s="1411" t="str">
        <f aca="false">IF(ISNUMBER($AV35*BG35),$AV35*BG35,"")</f>
        <v/>
      </c>
      <c r="BU35" s="1411"/>
      <c r="BV35" s="1411"/>
      <c r="BW35" s="1411"/>
      <c r="BX35" s="1411"/>
      <c r="BZ35" s="1372"/>
      <c r="CA35" s="1372"/>
      <c r="CB35" s="1426" t="str">
        <f aca="false">IF(ISNUMBER($AW35*BB35),$AW35*BB35,"")</f>
        <v/>
      </c>
      <c r="CC35" s="1426" t="str">
        <f aca="false">IF(ISNUMBER($AX35*BC35),$AX35*BC35,"")</f>
        <v/>
      </c>
      <c r="CD35" s="1426" t="str">
        <f aca="false">IF(ISNUMBER($AW35*BD35),$AW35*BD35,"")</f>
        <v/>
      </c>
      <c r="CE35" s="1426" t="str">
        <f aca="false">IF(ISNUMBER($AX35*BE35),$AX35*BE35,"")</f>
        <v/>
      </c>
      <c r="CF35" s="1372" t="str">
        <f aca="false">IF(ISNUMBER($AW35*BF35),$AW35*BF35,"")</f>
        <v/>
      </c>
      <c r="CG35" s="1372" t="str">
        <f aca="false">IF(ISNUMBER($AX35*BG35),$AX35*BG35,"")</f>
        <v/>
      </c>
      <c r="CH35" s="1438"/>
      <c r="CI35" s="1438"/>
      <c r="CJ35" s="1438"/>
      <c r="CK35" s="1438"/>
      <c r="CU35" s="1411"/>
      <c r="CV35" s="1411"/>
      <c r="CW35" s="1425"/>
      <c r="CX35" s="1425"/>
      <c r="CY35" s="1425"/>
      <c r="CZ35" s="1425"/>
      <c r="DA35" s="1411"/>
      <c r="DB35" s="1411"/>
      <c r="DC35" s="1411"/>
      <c r="DD35" s="1411"/>
      <c r="DE35" s="1411"/>
      <c r="DF35" s="1411"/>
      <c r="DH35" s="1432"/>
      <c r="DI35" s="1432"/>
      <c r="DJ35" s="1437"/>
      <c r="DK35" s="1437"/>
      <c r="DL35" s="1437"/>
      <c r="DM35" s="1437"/>
      <c r="DN35" s="1432"/>
      <c r="DO35" s="1432"/>
      <c r="DP35" s="1432"/>
      <c r="DQ35" s="1432"/>
      <c r="DR35" s="1432"/>
      <c r="DS35" s="1432"/>
      <c r="DT35" s="1316"/>
      <c r="DU35" s="1433"/>
      <c r="DV35" s="1433"/>
      <c r="DW35" s="1433"/>
      <c r="DX35" s="1433"/>
      <c r="DY35" s="1433"/>
      <c r="DZ35" s="1433"/>
      <c r="EA35" s="1433"/>
      <c r="EB35" s="1433"/>
    </row>
    <row r="36" customFormat="false" ht="14.25" hidden="false" customHeight="false" outlineLevel="0" collapsed="false">
      <c r="A36" s="2" t="n">
        <f aca="false">'V_DATOS PAC_SGA'!R31</f>
        <v>0</v>
      </c>
      <c r="B36" s="2" t="n">
        <f aca="false">IF(I36="IV",CONCATENATE('V_DATOS PAC_SGA'!R31,"4")+0,CONCATENATE('V_DATOS PAC_SGA'!R31,"0")+0)</f>
        <v>0</v>
      </c>
      <c r="C36" s="2" t="n">
        <f aca="false">'V_DATOS PAC_SGA'!S31</f>
        <v>0</v>
      </c>
      <c r="D36" s="1409" t="n">
        <f aca="false">'V_DATOS PAC_SGA'!Y31</f>
        <v>0</v>
      </c>
      <c r="E36" s="1410" t="str">
        <f aca="false">IF('V_DATOS PAC_SGA'!AV31="","Regadio",'V_DATOS PAC_SGA'!AV31)</f>
        <v>Regadio</v>
      </c>
      <c r="F36" s="1411" t="n">
        <f aca="false">'V_DATOS PAC_SGA'!BK31</f>
        <v>0</v>
      </c>
      <c r="G36" s="1412" t="n">
        <f aca="false">'V_DATOS PAC_SGA'!AN31</f>
        <v>0</v>
      </c>
      <c r="H36" s="1413" t="str">
        <f aca="false">IF(B36&gt;0,VLOOKUP(B36,'O_MN, PE_UTA_UGM 2024'!E$3:O$419,10),"")</f>
        <v/>
      </c>
      <c r="I36" s="1359" t="n">
        <f aca="false">'V_DATOS PAC_SGA'!BV31</f>
        <v>0</v>
      </c>
      <c r="J36" s="2" t="str">
        <f aca="false">IF(AND(J$4=$G36,J$6=$F36),$D36*J$5,"")</f>
        <v/>
      </c>
      <c r="K36" s="2" t="str">
        <f aca="false">IF(AND(K$4=$G36,K$6=$F36),$D36*K$5,"")</f>
        <v/>
      </c>
      <c r="L36" s="2" t="str">
        <f aca="false">IF(AND(L$4=$G36,L$6=$F36),$D36*L$5,"")</f>
        <v/>
      </c>
      <c r="M36" s="2" t="str">
        <f aca="false">IF(AND(M$4=$G36,M$6=$F36),$D36*M$5,"")</f>
        <v/>
      </c>
      <c r="N36" s="1414" t="n">
        <f aca="false">VLOOKUP(B36,'O_MN, PE_UTA_UGM 2024'!$E$2:$K$419,IF(G36&gt;1,6,7))</f>
        <v>0</v>
      </c>
      <c r="O36" s="1434" t="str">
        <f aca="false">IF($H36=O$4,$D36*$N36,"")</f>
        <v/>
      </c>
      <c r="P36" s="1435" t="str">
        <f aca="false">IF($H36=P$4,$D36*$N36,"")</f>
        <v/>
      </c>
      <c r="Q36" s="1435" t="str">
        <f aca="false">IF($H36=Q$4,$D36*$N36,"")</f>
        <v/>
      </c>
      <c r="R36" s="1435" t="str">
        <f aca="false">IF($H36=R$4,$D36*$N36,"")</f>
        <v/>
      </c>
      <c r="S36" s="1435" t="str">
        <f aca="false">IF($H36=S$4,$D36*$N36,"")</f>
        <v/>
      </c>
      <c r="T36" s="1435" t="str">
        <f aca="false">IF($H36=T$4,$D36*$N36,"")</f>
        <v/>
      </c>
      <c r="U36" s="1436" t="str">
        <f aca="false">IF($H36=U$4,$D36*$N36,"")</f>
        <v/>
      </c>
      <c r="V36" s="1418"/>
      <c r="W36" s="1419"/>
      <c r="X36" s="1419"/>
      <c r="Y36" s="1419"/>
      <c r="Z36" s="1419"/>
      <c r="AA36" s="1419"/>
      <c r="AB36" s="1420"/>
      <c r="AC36" s="1319"/>
      <c r="AD36" s="2" t="str">
        <f aca="false">IF(AND(AD$4=$G36,AD$6=$F36),$B36,"")</f>
        <v/>
      </c>
      <c r="AE36" s="2" t="str">
        <f aca="false">IF(AND(AE$4=$G36,AE$6=$F36),$B36,"")</f>
        <v/>
      </c>
      <c r="AF36" s="2" t="str">
        <f aca="false">IF(AND(AF$4=$G36,AF$6=$F36),$B36,"")</f>
        <v/>
      </c>
      <c r="AG36" s="2" t="str">
        <f aca="false">IF(AND(AG$4=$G36,AG$6=$F36),$B36,"")</f>
        <v/>
      </c>
      <c r="AI36" s="366"/>
      <c r="AL36" s="367"/>
      <c r="AO36" s="1420"/>
      <c r="AP36" s="2" t="str">
        <f aca="false">IF(AT36&gt;0,RANK(AT36,AT$7:AT$423),"")</f>
        <v/>
      </c>
      <c r="AQ36" s="2" t="n">
        <f aca="false">'O_MN, PE_UTA_UGM 2024'!C32</f>
        <v>60</v>
      </c>
      <c r="AR36" s="1421" t="n">
        <v>600</v>
      </c>
      <c r="AS36" s="2" t="str">
        <f aca="false">IF(AY36&lt;&gt;"",AY36,"")</f>
        <v/>
      </c>
      <c r="AT36" s="1422" t="n">
        <f aca="false">IF(ISNUMBER($AR36),SUMIF(B$7:B$505,AR36,D$7:D$505),"")</f>
        <v>0</v>
      </c>
      <c r="AU36" s="1411" t="n">
        <f aca="false">IF(ISNUMBER($AR36),SUMIF(AD$7:AD$503,$AR36,J$7:J$503),"")</f>
        <v>0</v>
      </c>
      <c r="AV36" s="1411" t="n">
        <f aca="false">IF(ISNUMBER($AR36),SUMIF(AF$7:AF$503,$AR36,L$7:L$503),"")</f>
        <v>0</v>
      </c>
      <c r="AW36" s="1423" t="n">
        <f aca="false">IF(ISNUMBER($AR36),SUMIF(AE$7:AE$503,$AR36,K$7:K$503),"")</f>
        <v>0</v>
      </c>
      <c r="AX36" s="1423" t="n">
        <f aca="false">IF(ISNUMBER($AR36),SUMIF(AG$7:AG$503,$AR36,M$7:M$503),"")</f>
        <v>0</v>
      </c>
      <c r="AY36" s="2" t="str">
        <f aca="false">IF($AT36&gt;0,VLOOKUP($AR36,'O_MN, PE_UTA_UGM 2024'!E32:O448,2),"")</f>
        <v/>
      </c>
      <c r="AZ36" s="1424"/>
      <c r="BA36" s="1424"/>
      <c r="BB36" s="1424" t="str">
        <f aca="false">IF($AT36&gt;0,VLOOKUP($AR36,'O_MN, PE_UTA_UGM 2024'!$E$3:$O$419,BB$6),"")</f>
        <v/>
      </c>
      <c r="BC36" s="1424" t="str">
        <f aca="false">IF($AT36&gt;0,VLOOKUP($AR36,'O_MN, PE_UTA_UGM 2024'!$E$3:$O$419,BC$6),"")</f>
        <v/>
      </c>
      <c r="BD36" s="1424" t="str">
        <f aca="false">IF($AT36&gt;0,VLOOKUP($AR36,'O_MN, PE_UTA_UGM 2024'!$E$3:$O$419,BD$6),"")</f>
        <v/>
      </c>
      <c r="BE36" s="1424" t="str">
        <f aca="false">IF($AT36&gt;0,VLOOKUP($AR36,'O_MN, PE_UTA_UGM 2024'!$E$3:$O$419,BE$6),"")</f>
        <v/>
      </c>
      <c r="BF36" s="1424" t="str">
        <f aca="false">IF($AT36&gt;0,VLOOKUP($AR36,'O_MN, PE_UTA_UGM 2024'!$E$3:$O$419,BF$6),"")</f>
        <v/>
      </c>
      <c r="BG36" s="1424" t="str">
        <f aca="false">IF($AT36&gt;0,VLOOKUP($AR36,'O_MN, PE_UTA_UGM 2024'!$E$3:$O$419,BG$6),"")</f>
        <v/>
      </c>
      <c r="BH36" s="872"/>
      <c r="BI36" s="872"/>
      <c r="BJ36" s="872"/>
      <c r="BK36" s="872"/>
      <c r="BM36" s="1411"/>
      <c r="BN36" s="1411"/>
      <c r="BO36" s="1425" t="str">
        <f aca="false">IF(ISNUMBER($AU36*BB36*1),$AU36*BB36*1,"")</f>
        <v/>
      </c>
      <c r="BP36" s="1425" t="str">
        <f aca="false">IF(ISNUMBER($AV36*BC36*1),$AV36*BC36*1,"")</f>
        <v/>
      </c>
      <c r="BQ36" s="1425" t="str">
        <f aca="false">IF(ISNUMBER($AU36*BD36*1),$AU36*BD36*1,"")</f>
        <v/>
      </c>
      <c r="BR36" s="1425" t="str">
        <f aca="false">IF(ISNUMBER($AV36*BE36*1),$AV36*BE36*1,"")</f>
        <v/>
      </c>
      <c r="BS36" s="1411" t="str">
        <f aca="false">IF(ISNUMBER($AU36*BF36),$AU36*BF36,"")</f>
        <v/>
      </c>
      <c r="BT36" s="1411" t="str">
        <f aca="false">IF(ISNUMBER($AV36*BG36),$AV36*BG36,"")</f>
        <v/>
      </c>
      <c r="BU36" s="1411"/>
      <c r="BV36" s="1411"/>
      <c r="BW36" s="1411"/>
      <c r="BX36" s="1411"/>
      <c r="BZ36" s="1372"/>
      <c r="CA36" s="1372"/>
      <c r="CB36" s="1426" t="str">
        <f aca="false">IF(ISNUMBER($AW36*BB36),$AW36*BB36,"")</f>
        <v/>
      </c>
      <c r="CC36" s="1426" t="str">
        <f aca="false">IF(ISNUMBER($AX36*BC36),$AX36*BC36,"")</f>
        <v/>
      </c>
      <c r="CD36" s="1426" t="str">
        <f aca="false">IF(ISNUMBER($AW36*BD36),$AW36*BD36,"")</f>
        <v/>
      </c>
      <c r="CE36" s="1426" t="str">
        <f aca="false">IF(ISNUMBER($AX36*BE36),$AX36*BE36,"")</f>
        <v/>
      </c>
      <c r="CF36" s="1372" t="str">
        <f aca="false">IF(ISNUMBER($AW36*BF36),$AW36*BF36,"")</f>
        <v/>
      </c>
      <c r="CG36" s="1372" t="str">
        <f aca="false">IF(ISNUMBER($AX36*BG36),$AX36*BG36,"")</f>
        <v/>
      </c>
      <c r="CH36" s="1438"/>
      <c r="CI36" s="1438"/>
      <c r="CJ36" s="1438"/>
      <c r="CK36" s="1438"/>
      <c r="CU36" s="1411"/>
      <c r="CV36" s="1411"/>
      <c r="CW36" s="1425"/>
      <c r="CX36" s="1425"/>
      <c r="CY36" s="1425"/>
      <c r="CZ36" s="1425"/>
      <c r="DA36" s="1411"/>
      <c r="DB36" s="1411"/>
      <c r="DC36" s="1411"/>
      <c r="DD36" s="1411"/>
      <c r="DE36" s="1411"/>
      <c r="DF36" s="1411"/>
      <c r="DH36" s="1432"/>
      <c r="DI36" s="1432"/>
      <c r="DJ36" s="1437"/>
      <c r="DK36" s="1437"/>
      <c r="DL36" s="1437"/>
      <c r="DM36" s="1437"/>
      <c r="DN36" s="1432"/>
      <c r="DO36" s="1432"/>
      <c r="DP36" s="1432"/>
      <c r="DQ36" s="1432"/>
      <c r="DR36" s="1432"/>
      <c r="DS36" s="1432"/>
      <c r="DT36" s="1316"/>
      <c r="DU36" s="1433"/>
      <c r="DV36" s="1433"/>
      <c r="DW36" s="1433"/>
      <c r="DX36" s="1433"/>
      <c r="DY36" s="1433"/>
      <c r="DZ36" s="1433"/>
      <c r="EA36" s="1433"/>
      <c r="EB36" s="1433"/>
    </row>
    <row r="37" customFormat="false" ht="14.25" hidden="false" customHeight="false" outlineLevel="0" collapsed="false">
      <c r="A37" s="2" t="n">
        <f aca="false">'V_DATOS PAC_SGA'!R32</f>
        <v>0</v>
      </c>
      <c r="B37" s="2" t="n">
        <f aca="false">IF(I37="IV",CONCATENATE('V_DATOS PAC_SGA'!R32,"4")+0,CONCATENATE('V_DATOS PAC_SGA'!R32,"0")+0)</f>
        <v>0</v>
      </c>
      <c r="C37" s="2" t="n">
        <f aca="false">'V_DATOS PAC_SGA'!S32</f>
        <v>0</v>
      </c>
      <c r="D37" s="1409" t="n">
        <f aca="false">'V_DATOS PAC_SGA'!Y32</f>
        <v>0</v>
      </c>
      <c r="E37" s="1410" t="str">
        <f aca="false">IF('V_DATOS PAC_SGA'!AV32="","Regadio",'V_DATOS PAC_SGA'!AV32)</f>
        <v>Regadio</v>
      </c>
      <c r="F37" s="1411" t="n">
        <f aca="false">'V_DATOS PAC_SGA'!BK32</f>
        <v>0</v>
      </c>
      <c r="G37" s="1412" t="n">
        <f aca="false">'V_DATOS PAC_SGA'!AN32</f>
        <v>0</v>
      </c>
      <c r="H37" s="1413" t="str">
        <f aca="false">IF(B37&gt;0,VLOOKUP(B37,'O_MN, PE_UTA_UGM 2024'!E$3:O$419,10),"")</f>
        <v/>
      </c>
      <c r="I37" s="1359" t="n">
        <f aca="false">'V_DATOS PAC_SGA'!BV32</f>
        <v>0</v>
      </c>
      <c r="J37" s="2" t="str">
        <f aca="false">IF(AND(J$4=$G37,J$6=$F37),$D37*J$5,"")</f>
        <v/>
      </c>
      <c r="K37" s="2" t="str">
        <f aca="false">IF(AND(K$4=$G37,K$6=$F37),$D37*K$5,"")</f>
        <v/>
      </c>
      <c r="L37" s="2" t="str">
        <f aca="false">IF(AND(L$4=$G37,L$6=$F37),$D37*L$5,"")</f>
        <v/>
      </c>
      <c r="M37" s="2" t="str">
        <f aca="false">IF(AND(M$4=$G37,M$6=$F37),$D37*M$5,"")</f>
        <v/>
      </c>
      <c r="N37" s="1414" t="n">
        <f aca="false">VLOOKUP(B37,'O_MN, PE_UTA_UGM 2024'!$E$2:$K$419,IF(G37&gt;1,6,7))</f>
        <v>0</v>
      </c>
      <c r="O37" s="1434" t="str">
        <f aca="false">IF($H37=O$4,$D37*$N37,"")</f>
        <v/>
      </c>
      <c r="P37" s="1435" t="str">
        <f aca="false">IF($H37=P$4,$D37*$N37,"")</f>
        <v/>
      </c>
      <c r="Q37" s="1435" t="str">
        <f aca="false">IF($H37=Q$4,$D37*$N37,"")</f>
        <v/>
      </c>
      <c r="R37" s="1435" t="str">
        <f aca="false">IF($H37=R$4,$D37*$N37,"")</f>
        <v/>
      </c>
      <c r="S37" s="1435" t="str">
        <f aca="false">IF($H37=S$4,$D37*$N37,"")</f>
        <v/>
      </c>
      <c r="T37" s="1435" t="str">
        <f aca="false">IF($H37=T$4,$D37*$N37,"")</f>
        <v/>
      </c>
      <c r="U37" s="1436" t="str">
        <f aca="false">IF($H37=U$4,$D37*$N37,"")</f>
        <v/>
      </c>
      <c r="V37" s="1418"/>
      <c r="W37" s="1419"/>
      <c r="X37" s="1419"/>
      <c r="Y37" s="1419"/>
      <c r="Z37" s="1419"/>
      <c r="AA37" s="1419"/>
      <c r="AB37" s="1420"/>
      <c r="AC37" s="1319"/>
      <c r="AD37" s="2" t="str">
        <f aca="false">IF(AND(AD$4=$G37,AD$6=$F37),$B37,"")</f>
        <v/>
      </c>
      <c r="AE37" s="2" t="str">
        <f aca="false">IF(AND(AE$4=$G37,AE$6=$F37),$B37,"")</f>
        <v/>
      </c>
      <c r="AF37" s="2" t="str">
        <f aca="false">IF(AND(AF$4=$G37,AF$6=$F37),$B37,"")</f>
        <v/>
      </c>
      <c r="AG37" s="2" t="str">
        <f aca="false">IF(AND(AG$4=$G37,AG$6=$F37),$B37,"")</f>
        <v/>
      </c>
      <c r="AI37" s="366"/>
      <c r="AL37" s="367"/>
      <c r="AO37" s="1420"/>
      <c r="AP37" s="2" t="str">
        <f aca="false">IF(AT37&gt;0,RANK(AT37,AT$7:AT$423),"")</f>
        <v/>
      </c>
      <c r="AQ37" s="2" t="n">
        <f aca="false">'O_MN, PE_UTA_UGM 2024'!C33</f>
        <v>61</v>
      </c>
      <c r="AR37" s="1421" t="n">
        <v>610</v>
      </c>
      <c r="AS37" s="2" t="str">
        <f aca="false">IF(AY37&lt;&gt;"",AY37,"")</f>
        <v/>
      </c>
      <c r="AT37" s="1422" t="n">
        <f aca="false">IF(ISNUMBER($AR37),SUMIF(B$7:B$505,AR37,D$7:D$505),"")</f>
        <v>0</v>
      </c>
      <c r="AU37" s="1411" t="n">
        <f aca="false">IF(ISNUMBER($AR37),SUMIF(AD$7:AD$503,$AR37,J$7:J$503),"")</f>
        <v>0</v>
      </c>
      <c r="AV37" s="1411" t="n">
        <f aca="false">IF(ISNUMBER($AR37),SUMIF(AF$7:AF$503,$AR37,L$7:L$503),"")</f>
        <v>0</v>
      </c>
      <c r="AW37" s="1423" t="n">
        <f aca="false">IF(ISNUMBER($AR37),SUMIF(AE$7:AE$503,$AR37,K$7:K$503),"")</f>
        <v>0</v>
      </c>
      <c r="AX37" s="1423" t="n">
        <f aca="false">IF(ISNUMBER($AR37),SUMIF(AG$7:AG$503,$AR37,M$7:M$503),"")</f>
        <v>0</v>
      </c>
      <c r="AY37" s="2" t="str">
        <f aca="false">IF($AT37&gt;0,VLOOKUP($AR37,'O_MN, PE_UTA_UGM 2024'!E33:O449,2),"")</f>
        <v/>
      </c>
      <c r="AZ37" s="1424"/>
      <c r="BA37" s="1424"/>
      <c r="BB37" s="1424" t="str">
        <f aca="false">IF($AT37&gt;0,VLOOKUP($AR37,'O_MN, PE_UTA_UGM 2024'!$E$3:$O$419,BB$6),"")</f>
        <v/>
      </c>
      <c r="BC37" s="1424" t="str">
        <f aca="false">IF($AT37&gt;0,VLOOKUP($AR37,'O_MN, PE_UTA_UGM 2024'!$E$3:$O$419,BC$6),"")</f>
        <v/>
      </c>
      <c r="BD37" s="1424" t="str">
        <f aca="false">IF($AT37&gt;0,VLOOKUP($AR37,'O_MN, PE_UTA_UGM 2024'!$E$3:$O$419,BD$6),"")</f>
        <v/>
      </c>
      <c r="BE37" s="1424" t="str">
        <f aca="false">IF($AT37&gt;0,VLOOKUP($AR37,'O_MN, PE_UTA_UGM 2024'!$E$3:$O$419,BE$6),"")</f>
        <v/>
      </c>
      <c r="BF37" s="1424" t="str">
        <f aca="false">IF($AT37&gt;0,VLOOKUP($AR37,'O_MN, PE_UTA_UGM 2024'!$E$3:$O$419,BF$6),"")</f>
        <v/>
      </c>
      <c r="BG37" s="1424" t="str">
        <f aca="false">IF($AT37&gt;0,VLOOKUP($AR37,'O_MN, PE_UTA_UGM 2024'!$E$3:$O$419,BG$6),"")</f>
        <v/>
      </c>
      <c r="BH37" s="872"/>
      <c r="BI37" s="872"/>
      <c r="BJ37" s="872"/>
      <c r="BK37" s="872"/>
      <c r="BM37" s="1411"/>
      <c r="BN37" s="1411"/>
      <c r="BO37" s="1425" t="str">
        <f aca="false">IF(ISNUMBER($AU37*BB37*1),$AU37*BB37*1,"")</f>
        <v/>
      </c>
      <c r="BP37" s="1425" t="str">
        <f aca="false">IF(ISNUMBER($AV37*BC37*1),$AV37*BC37*1,"")</f>
        <v/>
      </c>
      <c r="BQ37" s="1425" t="str">
        <f aca="false">IF(ISNUMBER($AU37*BD37*1),$AU37*BD37*1,"")</f>
        <v/>
      </c>
      <c r="BR37" s="1425" t="str">
        <f aca="false">IF(ISNUMBER($AV37*BE37*1),$AV37*BE37*1,"")</f>
        <v/>
      </c>
      <c r="BS37" s="1411" t="str">
        <f aca="false">IF(ISNUMBER($AU37*BF37),$AU37*BF37,"")</f>
        <v/>
      </c>
      <c r="BT37" s="1411" t="str">
        <f aca="false">IF(ISNUMBER($AV37*BG37),$AV37*BG37,"")</f>
        <v/>
      </c>
      <c r="BU37" s="1411"/>
      <c r="BV37" s="1411"/>
      <c r="BW37" s="1411"/>
      <c r="BX37" s="1411"/>
      <c r="BZ37" s="1372"/>
      <c r="CA37" s="1372"/>
      <c r="CB37" s="1426" t="str">
        <f aca="false">IF(ISNUMBER($AW37*BB37),$AW37*BB37,"")</f>
        <v/>
      </c>
      <c r="CC37" s="1426" t="str">
        <f aca="false">IF(ISNUMBER($AX37*BC37),$AX37*BC37,"")</f>
        <v/>
      </c>
      <c r="CD37" s="1426" t="str">
        <f aca="false">IF(ISNUMBER($AW37*BD37),$AW37*BD37,"")</f>
        <v/>
      </c>
      <c r="CE37" s="1426" t="str">
        <f aca="false">IF(ISNUMBER($AX37*BE37),$AX37*BE37,"")</f>
        <v/>
      </c>
      <c r="CF37" s="1372" t="str">
        <f aca="false">IF(ISNUMBER($AW37*BF37),$AW37*BF37,"")</f>
        <v/>
      </c>
      <c r="CG37" s="1372" t="str">
        <f aca="false">IF(ISNUMBER($AX37*BG37),$AX37*BG37,"")</f>
        <v/>
      </c>
      <c r="CH37" s="1438"/>
      <c r="CI37" s="1438"/>
      <c r="CJ37" s="1438"/>
      <c r="CK37" s="1438"/>
      <c r="CU37" s="1411"/>
      <c r="CV37" s="1411"/>
      <c r="CW37" s="1425"/>
      <c r="CX37" s="1425"/>
      <c r="CY37" s="1425"/>
      <c r="CZ37" s="1425"/>
      <c r="DA37" s="1411"/>
      <c r="DB37" s="1411"/>
      <c r="DC37" s="1411"/>
      <c r="DD37" s="1411"/>
      <c r="DE37" s="1411"/>
      <c r="DF37" s="1411"/>
      <c r="DH37" s="1432"/>
      <c r="DI37" s="1432"/>
      <c r="DJ37" s="1437"/>
      <c r="DK37" s="1437"/>
      <c r="DL37" s="1437"/>
      <c r="DM37" s="1437"/>
      <c r="DN37" s="1432"/>
      <c r="DO37" s="1432"/>
      <c r="DP37" s="1432"/>
      <c r="DQ37" s="1432"/>
      <c r="DR37" s="1432"/>
      <c r="DS37" s="1432"/>
      <c r="DT37" s="1316"/>
      <c r="DU37" s="1433"/>
      <c r="DV37" s="1433"/>
      <c r="DW37" s="1433"/>
      <c r="DX37" s="1433"/>
      <c r="DY37" s="1433"/>
      <c r="DZ37" s="1433"/>
      <c r="EA37" s="1433"/>
      <c r="EB37" s="1433"/>
    </row>
    <row r="38" customFormat="false" ht="14.25" hidden="false" customHeight="false" outlineLevel="0" collapsed="false">
      <c r="A38" s="2" t="n">
        <f aca="false">'V_DATOS PAC_SGA'!R33</f>
        <v>0</v>
      </c>
      <c r="B38" s="2" t="n">
        <f aca="false">IF(I38="IV",CONCATENATE('V_DATOS PAC_SGA'!R33,"4")+0,CONCATENATE('V_DATOS PAC_SGA'!R33,"0")+0)</f>
        <v>0</v>
      </c>
      <c r="C38" s="2" t="n">
        <f aca="false">'V_DATOS PAC_SGA'!S33</f>
        <v>0</v>
      </c>
      <c r="D38" s="1409" t="n">
        <f aca="false">'V_DATOS PAC_SGA'!Y33</f>
        <v>0</v>
      </c>
      <c r="E38" s="1410" t="str">
        <f aca="false">IF('V_DATOS PAC_SGA'!AV33="","Regadio",'V_DATOS PAC_SGA'!AV33)</f>
        <v>Regadio</v>
      </c>
      <c r="F38" s="1411" t="n">
        <f aca="false">'V_DATOS PAC_SGA'!BK33</f>
        <v>0</v>
      </c>
      <c r="G38" s="1412" t="n">
        <f aca="false">'V_DATOS PAC_SGA'!AN33</f>
        <v>0</v>
      </c>
      <c r="H38" s="1413" t="str">
        <f aca="false">IF(B38&gt;0,VLOOKUP(B38,'O_MN, PE_UTA_UGM 2024'!E$3:O$419,10),"")</f>
        <v/>
      </c>
      <c r="I38" s="1359" t="n">
        <f aca="false">'V_DATOS PAC_SGA'!BV33</f>
        <v>0</v>
      </c>
      <c r="J38" s="2" t="str">
        <f aca="false">IF(AND(J$4=$G38,J$6=$F38),$D38*J$5,"")</f>
        <v/>
      </c>
      <c r="K38" s="2" t="str">
        <f aca="false">IF(AND(K$4=$G38,K$6=$F38),$D38*K$5,"")</f>
        <v/>
      </c>
      <c r="L38" s="2" t="str">
        <f aca="false">IF(AND(L$4=$G38,L$6=$F38),$D38*L$5,"")</f>
        <v/>
      </c>
      <c r="M38" s="2" t="str">
        <f aca="false">IF(AND(M$4=$G38,M$6=$F38),$D38*M$5,"")</f>
        <v/>
      </c>
      <c r="N38" s="1414" t="n">
        <f aca="false">VLOOKUP(B38,'O_MN, PE_UTA_UGM 2024'!$E$2:$K$419,IF(G38&gt;1,6,7))</f>
        <v>0</v>
      </c>
      <c r="O38" s="1434" t="str">
        <f aca="false">IF($H38=O$4,$D38*$N38,"")</f>
        <v/>
      </c>
      <c r="P38" s="1435" t="str">
        <f aca="false">IF($H38=P$4,$D38*$N38,"")</f>
        <v/>
      </c>
      <c r="Q38" s="1435" t="str">
        <f aca="false">IF($H38=Q$4,$D38*$N38,"")</f>
        <v/>
      </c>
      <c r="R38" s="1435" t="str">
        <f aca="false">IF($H38=R$4,$D38*$N38,"")</f>
        <v/>
      </c>
      <c r="S38" s="1435" t="str">
        <f aca="false">IF($H38=S$4,$D38*$N38,"")</f>
        <v/>
      </c>
      <c r="T38" s="1435" t="str">
        <f aca="false">IF($H38=T$4,$D38*$N38,"")</f>
        <v/>
      </c>
      <c r="U38" s="1436" t="str">
        <f aca="false">IF($H38=U$4,$D38*$N38,"")</f>
        <v/>
      </c>
      <c r="V38" s="1418"/>
      <c r="W38" s="1419"/>
      <c r="X38" s="1419"/>
      <c r="Y38" s="1419"/>
      <c r="Z38" s="1419"/>
      <c r="AA38" s="1419"/>
      <c r="AB38" s="1420"/>
      <c r="AC38" s="1319"/>
      <c r="AD38" s="2" t="str">
        <f aca="false">IF(AND(AD$4=$G38,AD$6=$F38),$B38,"")</f>
        <v/>
      </c>
      <c r="AE38" s="2" t="str">
        <f aca="false">IF(AND(AE$4=$G38,AE$6=$F38),$B38,"")</f>
        <v/>
      </c>
      <c r="AF38" s="2" t="str">
        <f aca="false">IF(AND(AF$4=$G38,AF$6=$F38),$B38,"")</f>
        <v/>
      </c>
      <c r="AG38" s="2" t="str">
        <f aca="false">IF(AND(AG$4=$G38,AG$6=$F38),$B38,"")</f>
        <v/>
      </c>
      <c r="AI38" s="366"/>
      <c r="AL38" s="367"/>
      <c r="AO38" s="1420"/>
      <c r="AP38" s="2" t="str">
        <f aca="false">IF(AT38&gt;0,RANK(AT38,AT$7:AT$423),"")</f>
        <v/>
      </c>
      <c r="AQ38" s="2" t="n">
        <f aca="false">'O_MN, PE_UTA_UGM 2024'!C34</f>
        <v>67</v>
      </c>
      <c r="AR38" s="1421" t="n">
        <v>620</v>
      </c>
      <c r="AS38" s="2" t="str">
        <f aca="false">IF(AY38&lt;&gt;"",AY38,"")</f>
        <v/>
      </c>
      <c r="AT38" s="1422" t="n">
        <f aca="false">IF(ISNUMBER($AR38),SUMIF(B$7:B$505,AR38,D$7:D$505),"")</f>
        <v>0</v>
      </c>
      <c r="AU38" s="1411" t="n">
        <f aca="false">IF(ISNUMBER($AR38),SUMIF(AD$7:AD$503,$AR38,J$7:J$503),"")</f>
        <v>0</v>
      </c>
      <c r="AV38" s="1411" t="n">
        <f aca="false">IF(ISNUMBER($AR38),SUMIF(AF$7:AF$503,$AR38,L$7:L$503),"")</f>
        <v>0</v>
      </c>
      <c r="AW38" s="1423" t="n">
        <f aca="false">IF(ISNUMBER($AR38),SUMIF(AE$7:AE$503,$AR38,K$7:K$503),"")</f>
        <v>0</v>
      </c>
      <c r="AX38" s="1423" t="n">
        <f aca="false">IF(ISNUMBER($AR38),SUMIF(AG$7:AG$503,$AR38,M$7:M$503),"")</f>
        <v>0</v>
      </c>
      <c r="AY38" s="2" t="str">
        <f aca="false">IF($AT38&gt;0,VLOOKUP($AR38,'O_MN, PE_UTA_UGM 2024'!E34:O450,2),"")</f>
        <v/>
      </c>
      <c r="AZ38" s="1424"/>
      <c r="BA38" s="1424"/>
      <c r="BB38" s="1424" t="str">
        <f aca="false">IF($AT38&gt;0,VLOOKUP($AR38,'O_MN, PE_UTA_UGM 2024'!$E$3:$O$419,BB$6),"")</f>
        <v/>
      </c>
      <c r="BC38" s="1424" t="str">
        <f aca="false">IF($AT38&gt;0,VLOOKUP($AR38,'O_MN, PE_UTA_UGM 2024'!$E$3:$O$419,BC$6),"")</f>
        <v/>
      </c>
      <c r="BD38" s="1424" t="str">
        <f aca="false">IF($AT38&gt;0,VLOOKUP($AR38,'O_MN, PE_UTA_UGM 2024'!$E$3:$O$419,BD$6),"")</f>
        <v/>
      </c>
      <c r="BE38" s="1424" t="str">
        <f aca="false">IF($AT38&gt;0,VLOOKUP($AR38,'O_MN, PE_UTA_UGM 2024'!$E$3:$O$419,BE$6),"")</f>
        <v/>
      </c>
      <c r="BF38" s="1424" t="str">
        <f aca="false">IF($AT38&gt;0,VLOOKUP($AR38,'O_MN, PE_UTA_UGM 2024'!$E$3:$O$419,BF$6),"")</f>
        <v/>
      </c>
      <c r="BG38" s="1424" t="str">
        <f aca="false">IF($AT38&gt;0,VLOOKUP($AR38,'O_MN, PE_UTA_UGM 2024'!$E$3:$O$419,BG$6),"")</f>
        <v/>
      </c>
      <c r="BH38" s="872"/>
      <c r="BI38" s="872"/>
      <c r="BJ38" s="872"/>
      <c r="BK38" s="872"/>
      <c r="BM38" s="1411"/>
      <c r="BN38" s="1411"/>
      <c r="BO38" s="1425" t="str">
        <f aca="false">IF(ISNUMBER($AU38*BB38*1),$AU38*BB38*1,"")</f>
        <v/>
      </c>
      <c r="BP38" s="1425" t="str">
        <f aca="false">IF(ISNUMBER($AV38*BC38*1),$AV38*BC38*1,"")</f>
        <v/>
      </c>
      <c r="BQ38" s="1425" t="str">
        <f aca="false">IF(ISNUMBER($AU38*BD38*1),$AU38*BD38*1,"")</f>
        <v/>
      </c>
      <c r="BR38" s="1425" t="str">
        <f aca="false">IF(ISNUMBER($AV38*BE38*1),$AV38*BE38*1,"")</f>
        <v/>
      </c>
      <c r="BS38" s="1411" t="str">
        <f aca="false">IF(ISNUMBER($AU38*BF38),$AU38*BF38,"")</f>
        <v/>
      </c>
      <c r="BT38" s="1411" t="str">
        <f aca="false">IF(ISNUMBER($AV38*BG38),$AV38*BG38,"")</f>
        <v/>
      </c>
      <c r="BU38" s="1411"/>
      <c r="BV38" s="1411"/>
      <c r="BW38" s="1411"/>
      <c r="BX38" s="1411"/>
      <c r="BZ38" s="1372"/>
      <c r="CA38" s="1372"/>
      <c r="CB38" s="1426" t="str">
        <f aca="false">IF(ISNUMBER($AW38*BB38),$AW38*BB38,"")</f>
        <v/>
      </c>
      <c r="CC38" s="1426" t="str">
        <f aca="false">IF(ISNUMBER($AX38*BC38),$AX38*BC38,"")</f>
        <v/>
      </c>
      <c r="CD38" s="1426" t="str">
        <f aca="false">IF(ISNUMBER($AW38*BD38),$AW38*BD38,"")</f>
        <v/>
      </c>
      <c r="CE38" s="1426" t="str">
        <f aca="false">IF(ISNUMBER($AX38*BE38),$AX38*BE38,"")</f>
        <v/>
      </c>
      <c r="CF38" s="1372" t="str">
        <f aca="false">IF(ISNUMBER($AW38*BF38),$AW38*BF38,"")</f>
        <v/>
      </c>
      <c r="CG38" s="1372" t="str">
        <f aca="false">IF(ISNUMBER($AX38*BG38),$AX38*BG38,"")</f>
        <v/>
      </c>
      <c r="CH38" s="1438"/>
      <c r="CI38" s="1438"/>
      <c r="CJ38" s="1438"/>
      <c r="CK38" s="1438"/>
      <c r="CU38" s="1411"/>
      <c r="CV38" s="1411"/>
      <c r="CW38" s="1425"/>
      <c r="CX38" s="1425"/>
      <c r="CY38" s="1425"/>
      <c r="CZ38" s="1425"/>
      <c r="DA38" s="1411"/>
      <c r="DB38" s="1411"/>
      <c r="DC38" s="1411"/>
      <c r="DD38" s="1411"/>
      <c r="DE38" s="1411"/>
      <c r="DF38" s="1411"/>
      <c r="DH38" s="1432"/>
      <c r="DI38" s="1432"/>
      <c r="DJ38" s="1437"/>
      <c r="DK38" s="1437"/>
      <c r="DL38" s="1437"/>
      <c r="DM38" s="1437"/>
      <c r="DN38" s="1432"/>
      <c r="DO38" s="1432"/>
      <c r="DP38" s="1432"/>
      <c r="DQ38" s="1432"/>
      <c r="DR38" s="1432"/>
      <c r="DS38" s="1432"/>
      <c r="DT38" s="1316"/>
      <c r="DU38" s="1433"/>
      <c r="DV38" s="1433"/>
      <c r="DW38" s="1433"/>
      <c r="DX38" s="1433"/>
      <c r="DY38" s="1433"/>
      <c r="DZ38" s="1433"/>
      <c r="EA38" s="1433"/>
      <c r="EB38" s="1433"/>
    </row>
    <row r="39" customFormat="false" ht="14.25" hidden="false" customHeight="false" outlineLevel="0" collapsed="false">
      <c r="A39" s="2" t="n">
        <f aca="false">'V_DATOS PAC_SGA'!R34</f>
        <v>0</v>
      </c>
      <c r="B39" s="2" t="n">
        <f aca="false">IF(I39="IV",CONCATENATE('V_DATOS PAC_SGA'!R34,"4")+0,CONCATENATE('V_DATOS PAC_SGA'!R34,"0")+0)</f>
        <v>0</v>
      </c>
      <c r="C39" s="2" t="n">
        <f aca="false">'V_DATOS PAC_SGA'!S34</f>
        <v>0</v>
      </c>
      <c r="D39" s="1409" t="n">
        <f aca="false">'V_DATOS PAC_SGA'!Y34</f>
        <v>0</v>
      </c>
      <c r="E39" s="1410" t="str">
        <f aca="false">IF('V_DATOS PAC_SGA'!AV34="","Regadio",'V_DATOS PAC_SGA'!AV34)</f>
        <v>Regadio</v>
      </c>
      <c r="F39" s="1411" t="n">
        <f aca="false">'V_DATOS PAC_SGA'!BK34</f>
        <v>0</v>
      </c>
      <c r="G39" s="1412" t="n">
        <f aca="false">'V_DATOS PAC_SGA'!AN34</f>
        <v>0</v>
      </c>
      <c r="H39" s="1413" t="str">
        <f aca="false">IF(B39&gt;0,VLOOKUP(B39,'O_MN, PE_UTA_UGM 2024'!E$3:O$419,10),"")</f>
        <v/>
      </c>
      <c r="I39" s="1359" t="n">
        <f aca="false">'V_DATOS PAC_SGA'!BV34</f>
        <v>0</v>
      </c>
      <c r="J39" s="2" t="str">
        <f aca="false">IF(AND(J$4=$G39,J$6=$F39),$D39*J$5,"")</f>
        <v/>
      </c>
      <c r="K39" s="2" t="str">
        <f aca="false">IF(AND(K$4=$G39,K$6=$F39),$D39*K$5,"")</f>
        <v/>
      </c>
      <c r="L39" s="2" t="str">
        <f aca="false">IF(AND(L$4=$G39,L$6=$F39),$D39*L$5,"")</f>
        <v/>
      </c>
      <c r="M39" s="2" t="str">
        <f aca="false">IF(AND(M$4=$G39,M$6=$F39),$D39*M$5,"")</f>
        <v/>
      </c>
      <c r="N39" s="1414" t="n">
        <f aca="false">VLOOKUP(B39,'O_MN, PE_UTA_UGM 2024'!$E$2:$K$419,IF(G39&gt;1,6,7))</f>
        <v>0</v>
      </c>
      <c r="O39" s="1434" t="str">
        <f aca="false">IF($H39=O$4,$D39*$N39,"")</f>
        <v/>
      </c>
      <c r="P39" s="1435" t="str">
        <f aca="false">IF($H39=P$4,$D39*$N39,"")</f>
        <v/>
      </c>
      <c r="Q39" s="1435" t="str">
        <f aca="false">IF($H39=Q$4,$D39*$N39,"")</f>
        <v/>
      </c>
      <c r="R39" s="1435" t="str">
        <f aca="false">IF($H39=R$4,$D39*$N39,"")</f>
        <v/>
      </c>
      <c r="S39" s="1435" t="str">
        <f aca="false">IF($H39=S$4,$D39*$N39,"")</f>
        <v/>
      </c>
      <c r="T39" s="1435" t="str">
        <f aca="false">IF($H39=T$4,$D39*$N39,"")</f>
        <v/>
      </c>
      <c r="U39" s="1436" t="str">
        <f aca="false">IF($H39=U$4,$D39*$N39,"")</f>
        <v/>
      </c>
      <c r="V39" s="1418"/>
      <c r="W39" s="1419"/>
      <c r="X39" s="1419"/>
      <c r="Y39" s="1419"/>
      <c r="Z39" s="1419"/>
      <c r="AA39" s="1419"/>
      <c r="AB39" s="1420"/>
      <c r="AC39" s="1319"/>
      <c r="AD39" s="2" t="str">
        <f aca="false">IF(AND(AD$4=$G39,AD$6=$F39),$B39,"")</f>
        <v/>
      </c>
      <c r="AE39" s="2" t="str">
        <f aca="false">IF(AND(AE$4=$G39,AE$6=$F39),$B39,"")</f>
        <v/>
      </c>
      <c r="AF39" s="2" t="str">
        <f aca="false">IF(AND(AF$4=$G39,AF$6=$F39),$B39,"")</f>
        <v/>
      </c>
      <c r="AG39" s="2" t="str">
        <f aca="false">IF(AND(AG$4=$G39,AG$6=$F39),$B39,"")</f>
        <v/>
      </c>
      <c r="AI39" s="366"/>
      <c r="AL39" s="367"/>
      <c r="AO39" s="1420"/>
      <c r="AP39" s="2" t="str">
        <f aca="false">IF(AT39&gt;0,RANK(AT39,AT$7:AT$423),"")</f>
        <v/>
      </c>
      <c r="AQ39" s="2" t="n">
        <f aca="false">'O_MN, PE_UTA_UGM 2024'!C35</f>
        <v>68</v>
      </c>
      <c r="AR39" s="1421" t="n">
        <v>630</v>
      </c>
      <c r="AS39" s="2" t="str">
        <f aca="false">IF(AY39&lt;&gt;"",AY39,"")</f>
        <v/>
      </c>
      <c r="AT39" s="1422" t="n">
        <f aca="false">IF(ISNUMBER($AR39),SUMIF(B$7:B$505,AR39,D$7:D$505),"")</f>
        <v>0</v>
      </c>
      <c r="AU39" s="1411" t="n">
        <f aca="false">IF(ISNUMBER($AR39),SUMIF(AD$7:AD$503,$AR39,J$7:J$503),"")</f>
        <v>0</v>
      </c>
      <c r="AV39" s="1411" t="n">
        <f aca="false">IF(ISNUMBER($AR39),SUMIF(AF$7:AF$503,$AR39,L$7:L$503),"")</f>
        <v>0</v>
      </c>
      <c r="AW39" s="1423" t="n">
        <f aca="false">IF(ISNUMBER($AR39),SUMIF(AE$7:AE$503,$AR39,K$7:K$503),"")</f>
        <v>0</v>
      </c>
      <c r="AX39" s="1423" t="n">
        <f aca="false">IF(ISNUMBER($AR39),SUMIF(AG$7:AG$503,$AR39,M$7:M$503),"")</f>
        <v>0</v>
      </c>
      <c r="AY39" s="2" t="str">
        <f aca="false">IF($AT39&gt;0,VLOOKUP($AR39,'O_MN, PE_UTA_UGM 2024'!E35:O451,2),"")</f>
        <v/>
      </c>
      <c r="AZ39" s="1424"/>
      <c r="BA39" s="1424"/>
      <c r="BB39" s="1424" t="str">
        <f aca="false">IF($AT39&gt;0,VLOOKUP($AR39,'O_MN, PE_UTA_UGM 2024'!$E$3:$O$419,BB$6),"")</f>
        <v/>
      </c>
      <c r="BC39" s="1424" t="str">
        <f aca="false">IF($AT39&gt;0,VLOOKUP($AR39,'O_MN, PE_UTA_UGM 2024'!$E$3:$O$419,BC$6),"")</f>
        <v/>
      </c>
      <c r="BD39" s="1424" t="str">
        <f aca="false">IF($AT39&gt;0,VLOOKUP($AR39,'O_MN, PE_UTA_UGM 2024'!$E$3:$O$419,BD$6),"")</f>
        <v/>
      </c>
      <c r="BE39" s="1424" t="str">
        <f aca="false">IF($AT39&gt;0,VLOOKUP($AR39,'O_MN, PE_UTA_UGM 2024'!$E$3:$O$419,BE$6),"")</f>
        <v/>
      </c>
      <c r="BF39" s="1424" t="str">
        <f aca="false">IF($AT39&gt;0,VLOOKUP($AR39,'O_MN, PE_UTA_UGM 2024'!$E$3:$O$419,BF$6),"")</f>
        <v/>
      </c>
      <c r="BG39" s="1424" t="str">
        <f aca="false">IF($AT39&gt;0,VLOOKUP($AR39,'O_MN, PE_UTA_UGM 2024'!$E$3:$O$419,BG$6),"")</f>
        <v/>
      </c>
      <c r="BH39" s="872"/>
      <c r="BI39" s="872"/>
      <c r="BJ39" s="872"/>
      <c r="BK39" s="872"/>
      <c r="BM39" s="1411"/>
      <c r="BN39" s="1411"/>
      <c r="BO39" s="1425" t="str">
        <f aca="false">IF(ISNUMBER($AU39*BB39*1),$AU39*BB39*1,"")</f>
        <v/>
      </c>
      <c r="BP39" s="1425" t="str">
        <f aca="false">IF(ISNUMBER($AV39*BC39*1),$AV39*BC39*1,"")</f>
        <v/>
      </c>
      <c r="BQ39" s="1425" t="str">
        <f aca="false">IF(ISNUMBER($AU39*BD39*1),$AU39*BD39*1,"")</f>
        <v/>
      </c>
      <c r="BR39" s="1425" t="str">
        <f aca="false">IF(ISNUMBER($AV39*BE39*1),$AV39*BE39*1,"")</f>
        <v/>
      </c>
      <c r="BS39" s="1411" t="str">
        <f aca="false">IF(ISNUMBER($AU39*BF39),$AU39*BF39,"")</f>
        <v/>
      </c>
      <c r="BT39" s="1411" t="str">
        <f aca="false">IF(ISNUMBER($AV39*BG39),$AV39*BG39,"")</f>
        <v/>
      </c>
      <c r="BU39" s="1411"/>
      <c r="BV39" s="1411"/>
      <c r="BW39" s="1411"/>
      <c r="BX39" s="1411"/>
      <c r="BZ39" s="1372"/>
      <c r="CA39" s="1372"/>
      <c r="CB39" s="1426" t="str">
        <f aca="false">IF(ISNUMBER($AW39*BB39),$AW39*BB39,"")</f>
        <v/>
      </c>
      <c r="CC39" s="1426" t="str">
        <f aca="false">IF(ISNUMBER($AX39*BC39),$AX39*BC39,"")</f>
        <v/>
      </c>
      <c r="CD39" s="1426" t="str">
        <f aca="false">IF(ISNUMBER($AW39*BD39),$AW39*BD39,"")</f>
        <v/>
      </c>
      <c r="CE39" s="1426" t="str">
        <f aca="false">IF(ISNUMBER($AX39*BE39),$AX39*BE39,"")</f>
        <v/>
      </c>
      <c r="CF39" s="1372" t="str">
        <f aca="false">IF(ISNUMBER($AW39*BF39),$AW39*BF39,"")</f>
        <v/>
      </c>
      <c r="CG39" s="1372" t="str">
        <f aca="false">IF(ISNUMBER($AX39*BG39),$AX39*BG39,"")</f>
        <v/>
      </c>
      <c r="CH39" s="1438"/>
      <c r="CI39" s="1438"/>
      <c r="CJ39" s="1438"/>
      <c r="CK39" s="1438"/>
      <c r="CU39" s="1411"/>
      <c r="CV39" s="1411"/>
      <c r="CW39" s="1425"/>
      <c r="CX39" s="1425"/>
      <c r="CY39" s="1425"/>
      <c r="CZ39" s="1425"/>
      <c r="DA39" s="1411"/>
      <c r="DB39" s="1411"/>
      <c r="DC39" s="1411"/>
      <c r="DD39" s="1411"/>
      <c r="DE39" s="1411"/>
      <c r="DF39" s="1411"/>
      <c r="DH39" s="1432"/>
      <c r="DI39" s="1432"/>
      <c r="DJ39" s="1437"/>
      <c r="DK39" s="1437"/>
      <c r="DL39" s="1437"/>
      <c r="DM39" s="1437"/>
      <c r="DN39" s="1432"/>
      <c r="DO39" s="1432"/>
      <c r="DP39" s="1432"/>
      <c r="DQ39" s="1432"/>
      <c r="DR39" s="1432"/>
      <c r="DS39" s="1432"/>
      <c r="DT39" s="1316"/>
      <c r="DU39" s="1433"/>
      <c r="DV39" s="1433"/>
      <c r="DW39" s="1433"/>
      <c r="DX39" s="1433"/>
      <c r="DY39" s="1433"/>
      <c r="DZ39" s="1433"/>
      <c r="EA39" s="1433"/>
      <c r="EB39" s="1433"/>
    </row>
    <row r="40" customFormat="false" ht="14.25" hidden="false" customHeight="false" outlineLevel="0" collapsed="false">
      <c r="A40" s="2" t="n">
        <f aca="false">'V_DATOS PAC_SGA'!R35</f>
        <v>0</v>
      </c>
      <c r="B40" s="2" t="n">
        <f aca="false">IF(I40="IV",CONCATENATE('V_DATOS PAC_SGA'!R35,"4")+0,CONCATENATE('V_DATOS PAC_SGA'!R35,"0")+0)</f>
        <v>0</v>
      </c>
      <c r="C40" s="2" t="n">
        <f aca="false">'V_DATOS PAC_SGA'!S35</f>
        <v>0</v>
      </c>
      <c r="D40" s="1409" t="n">
        <f aca="false">'V_DATOS PAC_SGA'!Y35</f>
        <v>0</v>
      </c>
      <c r="E40" s="1410" t="str">
        <f aca="false">IF('V_DATOS PAC_SGA'!AV35="","Regadio",'V_DATOS PAC_SGA'!AV35)</f>
        <v>Regadio</v>
      </c>
      <c r="F40" s="1411" t="n">
        <f aca="false">'V_DATOS PAC_SGA'!BK35</f>
        <v>0</v>
      </c>
      <c r="G40" s="1412" t="n">
        <f aca="false">'V_DATOS PAC_SGA'!AN35</f>
        <v>0</v>
      </c>
      <c r="H40" s="1413" t="str">
        <f aca="false">IF(B40&gt;0,VLOOKUP(B40,'O_MN, PE_UTA_UGM 2024'!E$3:O$419,10),"")</f>
        <v/>
      </c>
      <c r="I40" s="1359" t="n">
        <f aca="false">'V_DATOS PAC_SGA'!BV35</f>
        <v>0</v>
      </c>
      <c r="J40" s="2" t="str">
        <f aca="false">IF(AND(J$4=$G40,J$6=$F40),$D40*J$5,"")</f>
        <v/>
      </c>
      <c r="K40" s="2" t="str">
        <f aca="false">IF(AND(K$4=$G40,K$6=$F40),$D40*K$5,"")</f>
        <v/>
      </c>
      <c r="L40" s="2" t="str">
        <f aca="false">IF(AND(L$4=$G40,L$6=$F40),$D40*L$5,"")</f>
        <v/>
      </c>
      <c r="M40" s="2" t="str">
        <f aca="false">IF(AND(M$4=$G40,M$6=$F40),$D40*M$5,"")</f>
        <v/>
      </c>
      <c r="N40" s="1414" t="n">
        <f aca="false">VLOOKUP(B40,'O_MN, PE_UTA_UGM 2024'!$E$2:$K$419,IF(G40&gt;1,6,7))</f>
        <v>0</v>
      </c>
      <c r="O40" s="1434" t="str">
        <f aca="false">IF($H40=O$4,$D40*$N40,"")</f>
        <v/>
      </c>
      <c r="P40" s="1435" t="str">
        <f aca="false">IF($H40=P$4,$D40*$N40,"")</f>
        <v/>
      </c>
      <c r="Q40" s="1435" t="str">
        <f aca="false">IF($H40=Q$4,$D40*$N40,"")</f>
        <v/>
      </c>
      <c r="R40" s="1435" t="str">
        <f aca="false">IF($H40=R$4,$D40*$N40,"")</f>
        <v/>
      </c>
      <c r="S40" s="1435" t="str">
        <f aca="false">IF($H40=S$4,$D40*$N40,"")</f>
        <v/>
      </c>
      <c r="T40" s="1435" t="str">
        <f aca="false">IF($H40=T$4,$D40*$N40,"")</f>
        <v/>
      </c>
      <c r="U40" s="1436" t="str">
        <f aca="false">IF($H40=U$4,$D40*$N40,"")</f>
        <v/>
      </c>
      <c r="V40" s="1418"/>
      <c r="W40" s="1419"/>
      <c r="X40" s="1419"/>
      <c r="Y40" s="1419"/>
      <c r="Z40" s="1419"/>
      <c r="AA40" s="1419"/>
      <c r="AB40" s="1420"/>
      <c r="AC40" s="1319"/>
      <c r="AD40" s="2" t="str">
        <f aca="false">IF(AND(AD$4=$G40,AD$6=$F40),$B40,"")</f>
        <v/>
      </c>
      <c r="AE40" s="2" t="str">
        <f aca="false">IF(AND(AE$4=$G40,AE$6=$F40),$B40,"")</f>
        <v/>
      </c>
      <c r="AF40" s="2" t="str">
        <f aca="false">IF(AND(AF$4=$G40,AF$6=$F40),$B40,"")</f>
        <v/>
      </c>
      <c r="AG40" s="2" t="str">
        <f aca="false">IF(AND(AG$4=$G40,AG$6=$F40),$B40,"")</f>
        <v/>
      </c>
      <c r="AI40" s="366"/>
      <c r="AL40" s="367"/>
      <c r="AO40" s="367"/>
      <c r="AP40" s="2" t="str">
        <f aca="false">IF(AT40&gt;0,RANK(AT40,AT$7:AT$423),"")</f>
        <v/>
      </c>
      <c r="AQ40" s="2" t="n">
        <f aca="false">'O_MN, PE_UTA_UGM 2024'!C36</f>
        <v>69</v>
      </c>
      <c r="AR40" s="1421" t="n">
        <v>670</v>
      </c>
      <c r="AS40" s="2" t="str">
        <f aca="false">IF(AY40&lt;&gt;"",AY40,"")</f>
        <v/>
      </c>
      <c r="AT40" s="1422" t="n">
        <f aca="false">IF(ISNUMBER($AR40),SUMIF(B$7:B$505,AR40,D$7:D$505),"")</f>
        <v>0</v>
      </c>
      <c r="AU40" s="1411" t="n">
        <f aca="false">IF(ISNUMBER($AR40),SUMIF(AD$7:AD$503,$AR40,J$7:J$503),"")</f>
        <v>0</v>
      </c>
      <c r="AV40" s="1411" t="n">
        <f aca="false">IF(ISNUMBER($AR40),SUMIF(AF$7:AF$503,$AR40,L$7:L$503),"")</f>
        <v>0</v>
      </c>
      <c r="AW40" s="1423" t="n">
        <f aca="false">IF(ISNUMBER($AR40),SUMIF(AE$7:AE$503,$AR40,K$7:K$503),"")</f>
        <v>0</v>
      </c>
      <c r="AX40" s="1423" t="n">
        <f aca="false">IF(ISNUMBER($AR40),SUMIF(AG$7:AG$503,$AR40,M$7:M$503),"")</f>
        <v>0</v>
      </c>
      <c r="AY40" s="2" t="str">
        <f aca="false">IF($AT40&gt;0,VLOOKUP($AR40,'O_MN, PE_UTA_UGM 2024'!E36:O452,2),"")</f>
        <v/>
      </c>
      <c r="AZ40" s="1424"/>
      <c r="BA40" s="1424"/>
      <c r="BB40" s="1424" t="str">
        <f aca="false">IF($AT40&gt;0,VLOOKUP($AR40,'O_MN, PE_UTA_UGM 2024'!$E$3:$O$419,BB$6),"")</f>
        <v/>
      </c>
      <c r="BC40" s="1424" t="str">
        <f aca="false">IF($AT40&gt;0,VLOOKUP($AR40,'O_MN, PE_UTA_UGM 2024'!$E$3:$O$419,BC$6),"")</f>
        <v/>
      </c>
      <c r="BD40" s="1424" t="str">
        <f aca="false">IF($AT40&gt;0,VLOOKUP($AR40,'O_MN, PE_UTA_UGM 2024'!$E$3:$O$419,BD$6),"")</f>
        <v/>
      </c>
      <c r="BE40" s="1424" t="str">
        <f aca="false">IF($AT40&gt;0,VLOOKUP($AR40,'O_MN, PE_UTA_UGM 2024'!$E$3:$O$419,BE$6),"")</f>
        <v/>
      </c>
      <c r="BF40" s="1424" t="str">
        <f aca="false">IF($AT40&gt;0,VLOOKUP($AR40,'O_MN, PE_UTA_UGM 2024'!$E$3:$O$419,BF$6),"")</f>
        <v/>
      </c>
      <c r="BG40" s="1424" t="str">
        <f aca="false">IF($AT40&gt;0,VLOOKUP($AR40,'O_MN, PE_UTA_UGM 2024'!$E$3:$O$419,BG$6),"")</f>
        <v/>
      </c>
      <c r="BH40" s="872"/>
      <c r="BI40" s="872"/>
      <c r="BJ40" s="872"/>
      <c r="BK40" s="872"/>
      <c r="BM40" s="1411"/>
      <c r="BN40" s="1411"/>
      <c r="BO40" s="1425" t="str">
        <f aca="false">IF(ISNUMBER($AU40*BB40*1),$AU40*BB40*1,"")</f>
        <v/>
      </c>
      <c r="BP40" s="1425" t="str">
        <f aca="false">IF(ISNUMBER($AV40*BC40*1),$AV40*BC40*1,"")</f>
        <v/>
      </c>
      <c r="BQ40" s="1425" t="str">
        <f aca="false">IF(ISNUMBER($AU40*BD40*1),$AU40*BD40*1,"")</f>
        <v/>
      </c>
      <c r="BR40" s="1425" t="str">
        <f aca="false">IF(ISNUMBER($AV40*BE40*1),$AV40*BE40*1,"")</f>
        <v/>
      </c>
      <c r="BS40" s="1411" t="str">
        <f aca="false">IF(ISNUMBER($AU40*BF40),$AU40*BF40,"")</f>
        <v/>
      </c>
      <c r="BT40" s="1411" t="str">
        <f aca="false">IF(ISNUMBER($AV40*BG40),$AV40*BG40,"")</f>
        <v/>
      </c>
      <c r="BU40" s="1411"/>
      <c r="BV40" s="1411"/>
      <c r="BW40" s="1411"/>
      <c r="BX40" s="1411"/>
      <c r="BZ40" s="1372"/>
      <c r="CA40" s="1372"/>
      <c r="CB40" s="1426" t="str">
        <f aca="false">IF(ISNUMBER($AW40*BB40),$AW40*BB40,"")</f>
        <v/>
      </c>
      <c r="CC40" s="1426" t="str">
        <f aca="false">IF(ISNUMBER($AX40*BC40),$AX40*BC40,"")</f>
        <v/>
      </c>
      <c r="CD40" s="1426" t="str">
        <f aca="false">IF(ISNUMBER($AW40*BD40),$AW40*BD40,"")</f>
        <v/>
      </c>
      <c r="CE40" s="1426" t="str">
        <f aca="false">IF(ISNUMBER($AX40*BE40),$AX40*BE40,"")</f>
        <v/>
      </c>
      <c r="CF40" s="1372" t="str">
        <f aca="false">IF(ISNUMBER($AW40*BF40),$AW40*BF40,"")</f>
        <v/>
      </c>
      <c r="CG40" s="1372" t="str">
        <f aca="false">IF(ISNUMBER($AX40*BG40),$AX40*BG40,"")</f>
        <v/>
      </c>
      <c r="CH40" s="1438"/>
      <c r="CI40" s="1438"/>
      <c r="CJ40" s="1438"/>
      <c r="CK40" s="1438"/>
      <c r="CU40" s="1411"/>
      <c r="CV40" s="1411"/>
      <c r="CW40" s="1425"/>
      <c r="CX40" s="1425"/>
      <c r="CY40" s="1425"/>
      <c r="CZ40" s="1425"/>
      <c r="DA40" s="1411"/>
      <c r="DB40" s="1411"/>
      <c r="DC40" s="1411"/>
      <c r="DD40" s="1411"/>
      <c r="DE40" s="1411"/>
      <c r="DF40" s="1411"/>
      <c r="DH40" s="1432"/>
      <c r="DI40" s="1432"/>
      <c r="DJ40" s="1437"/>
      <c r="DK40" s="1437"/>
      <c r="DL40" s="1437"/>
      <c r="DM40" s="1437"/>
      <c r="DN40" s="1432"/>
      <c r="DO40" s="1432"/>
      <c r="DP40" s="1432"/>
      <c r="DQ40" s="1432"/>
      <c r="DR40" s="1432"/>
      <c r="DS40" s="1432"/>
      <c r="DT40" s="1316"/>
      <c r="DU40" s="1433"/>
      <c r="DV40" s="1433"/>
      <c r="DW40" s="1433"/>
      <c r="DX40" s="1433"/>
      <c r="DY40" s="1433"/>
      <c r="DZ40" s="1433"/>
      <c r="EA40" s="1433"/>
      <c r="EB40" s="1433"/>
    </row>
    <row r="41" customFormat="false" ht="14.25" hidden="false" customHeight="false" outlineLevel="0" collapsed="false">
      <c r="A41" s="2" t="n">
        <f aca="false">'V_DATOS PAC_SGA'!R36</f>
        <v>0</v>
      </c>
      <c r="B41" s="2" t="n">
        <f aca="false">IF(I41="IV",CONCATENATE('V_DATOS PAC_SGA'!R36,"4")+0,CONCATENATE('V_DATOS PAC_SGA'!R36,"0")+0)</f>
        <v>0</v>
      </c>
      <c r="C41" s="2" t="n">
        <f aca="false">'V_DATOS PAC_SGA'!S36</f>
        <v>0</v>
      </c>
      <c r="D41" s="1409" t="n">
        <f aca="false">'V_DATOS PAC_SGA'!Y36</f>
        <v>0</v>
      </c>
      <c r="E41" s="1410" t="str">
        <f aca="false">IF('V_DATOS PAC_SGA'!AV36="","Regadio",'V_DATOS PAC_SGA'!AV36)</f>
        <v>Regadio</v>
      </c>
      <c r="F41" s="1411" t="n">
        <f aca="false">'V_DATOS PAC_SGA'!BK36</f>
        <v>0</v>
      </c>
      <c r="G41" s="1412" t="n">
        <f aca="false">'V_DATOS PAC_SGA'!AN36</f>
        <v>0</v>
      </c>
      <c r="H41" s="1413" t="str">
        <f aca="false">IF(B41&gt;0,VLOOKUP(B41,'O_MN, PE_UTA_UGM 2024'!E$3:O$419,10),"")</f>
        <v/>
      </c>
      <c r="I41" s="1359" t="n">
        <f aca="false">'V_DATOS PAC_SGA'!BV36</f>
        <v>0</v>
      </c>
      <c r="J41" s="2" t="str">
        <f aca="false">IF(AND(J$4=$G41,J$6=$F41),$D41*J$5,"")</f>
        <v/>
      </c>
      <c r="K41" s="2" t="str">
        <f aca="false">IF(AND(K$4=$G41,K$6=$F41),$D41*K$5,"")</f>
        <v/>
      </c>
      <c r="L41" s="2" t="str">
        <f aca="false">IF(AND(L$4=$G41,L$6=$F41),$D41*L$5,"")</f>
        <v/>
      </c>
      <c r="M41" s="2" t="str">
        <f aca="false">IF(AND(M$4=$G41,M$6=$F41),$D41*M$5,"")</f>
        <v/>
      </c>
      <c r="N41" s="1414" t="n">
        <f aca="false">VLOOKUP(B41,'O_MN, PE_UTA_UGM 2024'!$E$2:$K$419,IF(G41&gt;1,6,7))</f>
        <v>0</v>
      </c>
      <c r="O41" s="1434" t="str">
        <f aca="false">IF($H41=O$4,$D41*$N41,"")</f>
        <v/>
      </c>
      <c r="P41" s="1435" t="str">
        <f aca="false">IF($H41=P$4,$D41*$N41,"")</f>
        <v/>
      </c>
      <c r="Q41" s="1435" t="str">
        <f aca="false">IF($H41=Q$4,$D41*$N41,"")</f>
        <v/>
      </c>
      <c r="R41" s="1435" t="str">
        <f aca="false">IF($H41=R$4,$D41*$N41,"")</f>
        <v/>
      </c>
      <c r="S41" s="1435" t="str">
        <f aca="false">IF($H41=S$4,$D41*$N41,"")</f>
        <v/>
      </c>
      <c r="T41" s="1435" t="str">
        <f aca="false">IF($H41=T$4,$D41*$N41,"")</f>
        <v/>
      </c>
      <c r="U41" s="1436" t="str">
        <f aca="false">IF($H41=U$4,$D41*$N41,"")</f>
        <v/>
      </c>
      <c r="V41" s="1418"/>
      <c r="W41" s="1419"/>
      <c r="X41" s="1419"/>
      <c r="Y41" s="1419"/>
      <c r="Z41" s="1419"/>
      <c r="AA41" s="1419"/>
      <c r="AB41" s="1420"/>
      <c r="AC41" s="1319"/>
      <c r="AD41" s="2" t="str">
        <f aca="false">IF(AND(AD$4=$G41,AD$6=$F41),$B41,"")</f>
        <v/>
      </c>
      <c r="AE41" s="2" t="str">
        <f aca="false">IF(AND(AE$4=$G41,AE$6=$F41),$B41,"")</f>
        <v/>
      </c>
      <c r="AF41" s="2" t="str">
        <f aca="false">IF(AND(AF$4=$G41,AF$6=$F41),$B41,"")</f>
        <v/>
      </c>
      <c r="AG41" s="2" t="str">
        <f aca="false">IF(AND(AG$4=$G41,AG$6=$F41),$B41,"")</f>
        <v/>
      </c>
      <c r="AI41" s="366"/>
      <c r="AL41" s="367"/>
      <c r="AO41" s="367"/>
      <c r="AP41" s="2" t="str">
        <f aca="false">IF(AT41&gt;0,RANK(AT41,AT$7:AT$423),"")</f>
        <v/>
      </c>
      <c r="AQ41" s="2" t="n">
        <f aca="false">'O_MN, PE_UTA_UGM 2024'!C37</f>
        <v>70</v>
      </c>
      <c r="AR41" s="1421" t="n">
        <v>680</v>
      </c>
      <c r="AS41" s="2" t="str">
        <f aca="false">IF(AY41&lt;&gt;"",AY41,"")</f>
        <v/>
      </c>
      <c r="AT41" s="1422" t="n">
        <f aca="false">IF(ISNUMBER($AR41),SUMIF(B$7:B$505,AR41,D$7:D$505),"")</f>
        <v>0</v>
      </c>
      <c r="AU41" s="1411" t="n">
        <f aca="false">IF(ISNUMBER($AR41),SUMIF(AD$7:AD$503,$AR41,J$7:J$503),"")</f>
        <v>0</v>
      </c>
      <c r="AV41" s="1411" t="n">
        <f aca="false">IF(ISNUMBER($AR41),SUMIF(AF$7:AF$503,$AR41,L$7:L$503),"")</f>
        <v>0</v>
      </c>
      <c r="AW41" s="1423" t="n">
        <f aca="false">IF(ISNUMBER($AR41),SUMIF(AE$7:AE$503,$AR41,K$7:K$503),"")</f>
        <v>0</v>
      </c>
      <c r="AX41" s="1423" t="n">
        <f aca="false">IF(ISNUMBER($AR41),SUMIF(AG$7:AG$503,$AR41,M$7:M$503),"")</f>
        <v>0</v>
      </c>
      <c r="AY41" s="2" t="str">
        <f aca="false">IF($AT41&gt;0,VLOOKUP($AR41,'O_MN, PE_UTA_UGM 2024'!E37:O453,2),"")</f>
        <v/>
      </c>
      <c r="AZ41" s="1424"/>
      <c r="BA41" s="1424"/>
      <c r="BB41" s="1424" t="str">
        <f aca="false">IF($AT41&gt;0,VLOOKUP($AR41,'O_MN, PE_UTA_UGM 2024'!$E$3:$O$419,BB$6),"")</f>
        <v/>
      </c>
      <c r="BC41" s="1424" t="str">
        <f aca="false">IF($AT41&gt;0,VLOOKUP($AR41,'O_MN, PE_UTA_UGM 2024'!$E$3:$O$419,BC$6),"")</f>
        <v/>
      </c>
      <c r="BD41" s="1424" t="str">
        <f aca="false">IF($AT41&gt;0,VLOOKUP($AR41,'O_MN, PE_UTA_UGM 2024'!$E$3:$O$419,BD$6),"")</f>
        <v/>
      </c>
      <c r="BE41" s="1424" t="str">
        <f aca="false">IF($AT41&gt;0,VLOOKUP($AR41,'O_MN, PE_UTA_UGM 2024'!$E$3:$O$419,BE$6),"")</f>
        <v/>
      </c>
      <c r="BF41" s="1424" t="str">
        <f aca="false">IF($AT41&gt;0,VLOOKUP($AR41,'O_MN, PE_UTA_UGM 2024'!$E$3:$O$419,BF$6),"")</f>
        <v/>
      </c>
      <c r="BG41" s="1424" t="str">
        <f aca="false">IF($AT41&gt;0,VLOOKUP($AR41,'O_MN, PE_UTA_UGM 2024'!$E$3:$O$419,BG$6),"")</f>
        <v/>
      </c>
      <c r="BH41" s="872"/>
      <c r="BI41" s="872"/>
      <c r="BJ41" s="872"/>
      <c r="BK41" s="872"/>
      <c r="BM41" s="1411"/>
      <c r="BN41" s="1411"/>
      <c r="BO41" s="1425" t="str">
        <f aca="false">IF(ISNUMBER($AU41*BB41*1),$AU41*BB41*1,"")</f>
        <v/>
      </c>
      <c r="BP41" s="1425" t="str">
        <f aca="false">IF(ISNUMBER($AV41*BC41*1),$AV41*BC41*1,"")</f>
        <v/>
      </c>
      <c r="BQ41" s="1425" t="str">
        <f aca="false">IF(ISNUMBER($AU41*BD41*1),$AU41*BD41*1,"")</f>
        <v/>
      </c>
      <c r="BR41" s="1425" t="str">
        <f aca="false">IF(ISNUMBER($AV41*BE41*1),$AV41*BE41*1,"")</f>
        <v/>
      </c>
      <c r="BS41" s="1411" t="str">
        <f aca="false">IF(ISNUMBER($AU41*BF41),$AU41*BF41,"")</f>
        <v/>
      </c>
      <c r="BT41" s="1411" t="str">
        <f aca="false">IF(ISNUMBER($AV41*BG41),$AV41*BG41,"")</f>
        <v/>
      </c>
      <c r="BU41" s="1411"/>
      <c r="BV41" s="1411"/>
      <c r="BW41" s="1411"/>
      <c r="BX41" s="1411"/>
      <c r="BZ41" s="1372"/>
      <c r="CA41" s="1372"/>
      <c r="CB41" s="1426" t="str">
        <f aca="false">IF(ISNUMBER($AW41*BB41),$AW41*BB41,"")</f>
        <v/>
      </c>
      <c r="CC41" s="1426" t="str">
        <f aca="false">IF(ISNUMBER($AX41*BC41),$AX41*BC41,"")</f>
        <v/>
      </c>
      <c r="CD41" s="1426" t="str">
        <f aca="false">IF(ISNUMBER($AW41*BD41),$AW41*BD41,"")</f>
        <v/>
      </c>
      <c r="CE41" s="1426" t="str">
        <f aca="false">IF(ISNUMBER($AX41*BE41),$AX41*BE41,"")</f>
        <v/>
      </c>
      <c r="CF41" s="1372" t="str">
        <f aca="false">IF(ISNUMBER($AW41*BF41),$AW41*BF41,"")</f>
        <v/>
      </c>
      <c r="CG41" s="1372" t="str">
        <f aca="false">IF(ISNUMBER($AX41*BG41),$AX41*BG41,"")</f>
        <v/>
      </c>
      <c r="CH41" s="1438"/>
      <c r="CI41" s="1438"/>
      <c r="CJ41" s="1438"/>
      <c r="CK41" s="1438"/>
      <c r="CU41" s="1411"/>
      <c r="CV41" s="1411"/>
      <c r="CW41" s="1425"/>
      <c r="CX41" s="1425"/>
      <c r="CY41" s="1425"/>
      <c r="CZ41" s="1425"/>
      <c r="DA41" s="1411"/>
      <c r="DB41" s="1411"/>
      <c r="DC41" s="1411"/>
      <c r="DD41" s="1411"/>
      <c r="DE41" s="1411"/>
      <c r="DF41" s="1411"/>
      <c r="DH41" s="1432"/>
      <c r="DI41" s="1432"/>
      <c r="DJ41" s="1437"/>
      <c r="DK41" s="1437"/>
      <c r="DL41" s="1437"/>
      <c r="DM41" s="1437"/>
      <c r="DN41" s="1432"/>
      <c r="DO41" s="1432"/>
      <c r="DP41" s="1432"/>
      <c r="DQ41" s="1432"/>
      <c r="DR41" s="1432"/>
      <c r="DS41" s="1432"/>
      <c r="DT41" s="1316"/>
      <c r="DU41" s="1433"/>
      <c r="DV41" s="1433"/>
      <c r="DW41" s="1433"/>
      <c r="DX41" s="1433"/>
      <c r="DY41" s="1433"/>
      <c r="DZ41" s="1433"/>
      <c r="EA41" s="1433"/>
      <c r="EB41" s="1433"/>
    </row>
    <row r="42" customFormat="false" ht="14.25" hidden="false" customHeight="false" outlineLevel="0" collapsed="false">
      <c r="A42" s="2" t="n">
        <f aca="false">'V_DATOS PAC_SGA'!R37</f>
        <v>0</v>
      </c>
      <c r="B42" s="2" t="n">
        <f aca="false">IF(I42="IV",CONCATENATE('V_DATOS PAC_SGA'!R37,"4")+0,CONCATENATE('V_DATOS PAC_SGA'!R37,"0")+0)</f>
        <v>0</v>
      </c>
      <c r="C42" s="2" t="n">
        <f aca="false">'V_DATOS PAC_SGA'!S37</f>
        <v>0</v>
      </c>
      <c r="D42" s="1409" t="n">
        <f aca="false">'V_DATOS PAC_SGA'!Y37</f>
        <v>0</v>
      </c>
      <c r="E42" s="1410" t="str">
        <f aca="false">IF('V_DATOS PAC_SGA'!AV37="","Regadio",'V_DATOS PAC_SGA'!AV37)</f>
        <v>Regadio</v>
      </c>
      <c r="F42" s="1411" t="n">
        <f aca="false">'V_DATOS PAC_SGA'!BK37</f>
        <v>0</v>
      </c>
      <c r="G42" s="1412" t="n">
        <f aca="false">'V_DATOS PAC_SGA'!AN37</f>
        <v>0</v>
      </c>
      <c r="H42" s="1413" t="str">
        <f aca="false">IF(B42&gt;0,VLOOKUP(B42,'O_MN, PE_UTA_UGM 2024'!E$3:O$419,10),"")</f>
        <v/>
      </c>
      <c r="I42" s="1359" t="n">
        <f aca="false">'V_DATOS PAC_SGA'!BV37</f>
        <v>0</v>
      </c>
      <c r="J42" s="2" t="str">
        <f aca="false">IF(AND(J$4=$G42,J$6=$F42),$D42*J$5,"")</f>
        <v/>
      </c>
      <c r="K42" s="2" t="str">
        <f aca="false">IF(AND(K$4=$G42,K$6=$F42),$D42*K$5,"")</f>
        <v/>
      </c>
      <c r="L42" s="2" t="str">
        <f aca="false">IF(AND(L$4=$G42,L$6=$F42),$D42*L$5,"")</f>
        <v/>
      </c>
      <c r="M42" s="2" t="str">
        <f aca="false">IF(AND(M$4=$G42,M$6=$F42),$D42*M$5,"")</f>
        <v/>
      </c>
      <c r="N42" s="1414" t="n">
        <f aca="false">VLOOKUP(B42,'O_MN, PE_UTA_UGM 2024'!$E$2:$K$419,IF(G42&gt;1,6,7))</f>
        <v>0</v>
      </c>
      <c r="O42" s="1434" t="str">
        <f aca="false">IF($H42=O$4,$D42*$N42,"")</f>
        <v/>
      </c>
      <c r="P42" s="1435" t="str">
        <f aca="false">IF($H42=P$4,$D42*$N42,"")</f>
        <v/>
      </c>
      <c r="Q42" s="1435" t="str">
        <f aca="false">IF($H42=Q$4,$D42*$N42,"")</f>
        <v/>
      </c>
      <c r="R42" s="1435" t="str">
        <f aca="false">IF($H42=R$4,$D42*$N42,"")</f>
        <v/>
      </c>
      <c r="S42" s="1435" t="str">
        <f aca="false">IF($H42=S$4,$D42*$N42,"")</f>
        <v/>
      </c>
      <c r="T42" s="1435" t="str">
        <f aca="false">IF($H42=T$4,$D42*$N42,"")</f>
        <v/>
      </c>
      <c r="U42" s="1436" t="str">
        <f aca="false">IF($H42=U$4,$D42*$N42,"")</f>
        <v/>
      </c>
      <c r="V42" s="1418"/>
      <c r="W42" s="1419"/>
      <c r="X42" s="1419"/>
      <c r="Y42" s="1419"/>
      <c r="Z42" s="1419"/>
      <c r="AA42" s="1419"/>
      <c r="AB42" s="1420"/>
      <c r="AC42" s="1319"/>
      <c r="AD42" s="2" t="str">
        <f aca="false">IF(AND(AD$4=$G42,AD$6=$F42),$B42,"")</f>
        <v/>
      </c>
      <c r="AE42" s="2" t="str">
        <f aca="false">IF(AND(AE$4=$G42,AE$6=$F42),$B42,"")</f>
        <v/>
      </c>
      <c r="AF42" s="2" t="str">
        <f aca="false">IF(AND(AF$4=$G42,AF$6=$F42),$B42,"")</f>
        <v/>
      </c>
      <c r="AG42" s="2" t="str">
        <f aca="false">IF(AND(AG$4=$G42,AG$6=$F42),$B42,"")</f>
        <v/>
      </c>
      <c r="AI42" s="366"/>
      <c r="AL42" s="367"/>
      <c r="AO42" s="367"/>
      <c r="AP42" s="2" t="str">
        <f aca="false">IF(AT42&gt;0,RANK(AT42,AT$7:AT$423),"")</f>
        <v/>
      </c>
      <c r="AQ42" s="2" t="n">
        <f aca="false">'O_MN, PE_UTA_UGM 2024'!C38</f>
        <v>71</v>
      </c>
      <c r="AR42" s="1421" t="n">
        <v>690</v>
      </c>
      <c r="AS42" s="2" t="str">
        <f aca="false">IF(AY42&lt;&gt;"",AY42,"")</f>
        <v/>
      </c>
      <c r="AT42" s="1422" t="n">
        <f aca="false">IF(ISNUMBER($AR42),SUMIF(B$7:B$505,AR42,D$7:D$505),"")</f>
        <v>0</v>
      </c>
      <c r="AU42" s="1411" t="n">
        <f aca="false">IF(ISNUMBER($AR42),SUMIF(AD$7:AD$503,$AR42,J$7:J$503),"")</f>
        <v>0</v>
      </c>
      <c r="AV42" s="1411" t="n">
        <f aca="false">IF(ISNUMBER($AR42),SUMIF(AF$7:AF$503,$AR42,L$7:L$503),"")</f>
        <v>0</v>
      </c>
      <c r="AW42" s="1423" t="n">
        <f aca="false">IF(ISNUMBER($AR42),SUMIF(AE$7:AE$503,$AR42,K$7:K$503),"")</f>
        <v>0</v>
      </c>
      <c r="AX42" s="1423" t="n">
        <f aca="false">IF(ISNUMBER($AR42),SUMIF(AG$7:AG$503,$AR42,M$7:M$503),"")</f>
        <v>0</v>
      </c>
      <c r="AY42" s="2" t="str">
        <f aca="false">IF($AT42&gt;0,VLOOKUP($AR42,'O_MN, PE_UTA_UGM 2024'!E38:O454,2),"")</f>
        <v/>
      </c>
      <c r="AZ42" s="1424"/>
      <c r="BA42" s="1424"/>
      <c r="BB42" s="1424" t="str">
        <f aca="false">IF($AT42&gt;0,VLOOKUP($AR42,'O_MN, PE_UTA_UGM 2024'!$E$3:$O$419,BB$6),"")</f>
        <v/>
      </c>
      <c r="BC42" s="1424" t="str">
        <f aca="false">IF($AT42&gt;0,VLOOKUP($AR42,'O_MN, PE_UTA_UGM 2024'!$E$3:$O$419,BC$6),"")</f>
        <v/>
      </c>
      <c r="BD42" s="1424" t="str">
        <f aca="false">IF($AT42&gt;0,VLOOKUP($AR42,'O_MN, PE_UTA_UGM 2024'!$E$3:$O$419,BD$6),"")</f>
        <v/>
      </c>
      <c r="BE42" s="1424" t="str">
        <f aca="false">IF($AT42&gt;0,VLOOKUP($AR42,'O_MN, PE_UTA_UGM 2024'!$E$3:$O$419,BE$6),"")</f>
        <v/>
      </c>
      <c r="BF42" s="1424" t="str">
        <f aca="false">IF($AT42&gt;0,VLOOKUP($AR42,'O_MN, PE_UTA_UGM 2024'!$E$3:$O$419,BF$6),"")</f>
        <v/>
      </c>
      <c r="BG42" s="1424" t="str">
        <f aca="false">IF($AT42&gt;0,VLOOKUP($AR42,'O_MN, PE_UTA_UGM 2024'!$E$3:$O$419,BG$6),"")</f>
        <v/>
      </c>
      <c r="BH42" s="872"/>
      <c r="BI42" s="872"/>
      <c r="BJ42" s="872"/>
      <c r="BK42" s="872"/>
      <c r="BM42" s="1411"/>
      <c r="BN42" s="1411"/>
      <c r="BO42" s="1425" t="str">
        <f aca="false">IF(ISNUMBER($AU42*BB42*1),$AU42*BB42*1,"")</f>
        <v/>
      </c>
      <c r="BP42" s="1425" t="str">
        <f aca="false">IF(ISNUMBER($AV42*BC42*1),$AV42*BC42*1,"")</f>
        <v/>
      </c>
      <c r="BQ42" s="1425" t="str">
        <f aca="false">IF(ISNUMBER($AU42*BD42*1),$AU42*BD42*1,"")</f>
        <v/>
      </c>
      <c r="BR42" s="1425" t="str">
        <f aca="false">IF(ISNUMBER($AV42*BE42*1),$AV42*BE42*1,"")</f>
        <v/>
      </c>
      <c r="BS42" s="1411" t="str">
        <f aca="false">IF(ISNUMBER($AU42*BF42),$AU42*BF42,"")</f>
        <v/>
      </c>
      <c r="BT42" s="1411" t="str">
        <f aca="false">IF(ISNUMBER($AV42*BG42),$AV42*BG42,"")</f>
        <v/>
      </c>
      <c r="BU42" s="1411"/>
      <c r="BV42" s="1411"/>
      <c r="BW42" s="1411"/>
      <c r="BX42" s="1411"/>
      <c r="BZ42" s="1372"/>
      <c r="CA42" s="1372"/>
      <c r="CB42" s="1426" t="str">
        <f aca="false">IF(ISNUMBER($AW42*BB42),$AW42*BB42,"")</f>
        <v/>
      </c>
      <c r="CC42" s="1426" t="str">
        <f aca="false">IF(ISNUMBER($AX42*BC42),$AX42*BC42,"")</f>
        <v/>
      </c>
      <c r="CD42" s="1426" t="str">
        <f aca="false">IF(ISNUMBER($AW42*BD42),$AW42*BD42,"")</f>
        <v/>
      </c>
      <c r="CE42" s="1426" t="str">
        <f aca="false">IF(ISNUMBER($AX42*BE42),$AX42*BE42,"")</f>
        <v/>
      </c>
      <c r="CF42" s="1372" t="str">
        <f aca="false">IF(ISNUMBER($AW42*BF42),$AW42*BF42,"")</f>
        <v/>
      </c>
      <c r="CG42" s="1372" t="str">
        <f aca="false">IF(ISNUMBER($AX42*BG42),$AX42*BG42,"")</f>
        <v/>
      </c>
      <c r="CH42" s="1438"/>
      <c r="CI42" s="1438"/>
      <c r="CJ42" s="1438"/>
      <c r="CK42" s="1438"/>
      <c r="CU42" s="1411"/>
      <c r="CV42" s="1411"/>
      <c r="CW42" s="1425"/>
      <c r="CX42" s="1425"/>
      <c r="CY42" s="1425"/>
      <c r="CZ42" s="1425"/>
      <c r="DA42" s="1411"/>
      <c r="DB42" s="1411"/>
      <c r="DC42" s="1411"/>
      <c r="DD42" s="1411"/>
      <c r="DE42" s="1411"/>
      <c r="DF42" s="1411"/>
      <c r="DH42" s="1432"/>
      <c r="DI42" s="1432"/>
      <c r="DJ42" s="1437"/>
      <c r="DK42" s="1437"/>
      <c r="DL42" s="1437"/>
      <c r="DM42" s="1437"/>
      <c r="DN42" s="1432"/>
      <c r="DO42" s="1432"/>
      <c r="DP42" s="1432"/>
      <c r="DQ42" s="1432"/>
      <c r="DR42" s="1432"/>
      <c r="DS42" s="1432"/>
      <c r="DT42" s="1316"/>
      <c r="DU42" s="1433"/>
      <c r="DV42" s="1433"/>
      <c r="DW42" s="1433"/>
      <c r="DX42" s="1433"/>
      <c r="DY42" s="1433"/>
      <c r="DZ42" s="1433"/>
      <c r="EA42" s="1433"/>
      <c r="EB42" s="1433"/>
    </row>
    <row r="43" customFormat="false" ht="14.25" hidden="false" customHeight="false" outlineLevel="0" collapsed="false">
      <c r="A43" s="2" t="n">
        <f aca="false">'V_DATOS PAC_SGA'!R38</f>
        <v>0</v>
      </c>
      <c r="B43" s="2" t="n">
        <f aca="false">IF(I43="IV",CONCATENATE('V_DATOS PAC_SGA'!R38,"4")+0,CONCATENATE('V_DATOS PAC_SGA'!R38,"0")+0)</f>
        <v>0</v>
      </c>
      <c r="C43" s="2" t="n">
        <f aca="false">'V_DATOS PAC_SGA'!S38</f>
        <v>0</v>
      </c>
      <c r="D43" s="1409" t="n">
        <f aca="false">'V_DATOS PAC_SGA'!Y38</f>
        <v>0</v>
      </c>
      <c r="E43" s="1410" t="str">
        <f aca="false">IF('V_DATOS PAC_SGA'!AV38="","Regadio",'V_DATOS PAC_SGA'!AV38)</f>
        <v>Regadio</v>
      </c>
      <c r="F43" s="1411" t="n">
        <f aca="false">'V_DATOS PAC_SGA'!BK38</f>
        <v>0</v>
      </c>
      <c r="G43" s="1412" t="n">
        <f aca="false">'V_DATOS PAC_SGA'!AN38</f>
        <v>0</v>
      </c>
      <c r="H43" s="1413" t="str">
        <f aca="false">IF(B43&gt;0,VLOOKUP(B43,'O_MN, PE_UTA_UGM 2024'!E$3:O$419,10),"")</f>
        <v/>
      </c>
      <c r="I43" s="1359" t="n">
        <f aca="false">'V_DATOS PAC_SGA'!BV38</f>
        <v>0</v>
      </c>
      <c r="J43" s="2" t="str">
        <f aca="false">IF(AND(J$4=$G43,J$6=$F43),$D43*J$5,"")</f>
        <v/>
      </c>
      <c r="K43" s="2" t="str">
        <f aca="false">IF(AND(K$4=$G43,K$6=$F43),$D43*K$5,"")</f>
        <v/>
      </c>
      <c r="L43" s="2" t="str">
        <f aca="false">IF(AND(L$4=$G43,L$6=$F43),$D43*L$5,"")</f>
        <v/>
      </c>
      <c r="M43" s="2" t="str">
        <f aca="false">IF(AND(M$4=$G43,M$6=$F43),$D43*M$5,"")</f>
        <v/>
      </c>
      <c r="N43" s="1414" t="n">
        <f aca="false">VLOOKUP(B43,'O_MN, PE_UTA_UGM 2024'!$E$2:$K$419,IF(G43&gt;1,6,7))</f>
        <v>0</v>
      </c>
      <c r="O43" s="1434" t="str">
        <f aca="false">IF($H43=O$4,$D43*$N43,"")</f>
        <v/>
      </c>
      <c r="P43" s="1435" t="str">
        <f aca="false">IF($H43=P$4,$D43*$N43,"")</f>
        <v/>
      </c>
      <c r="Q43" s="1435" t="str">
        <f aca="false">IF($H43=Q$4,$D43*$N43,"")</f>
        <v/>
      </c>
      <c r="R43" s="1435" t="str">
        <f aca="false">IF($H43=R$4,$D43*$N43,"")</f>
        <v/>
      </c>
      <c r="S43" s="1435" t="str">
        <f aca="false">IF($H43=S$4,$D43*$N43,"")</f>
        <v/>
      </c>
      <c r="T43" s="1435" t="str">
        <f aca="false">IF($H43=T$4,$D43*$N43,"")</f>
        <v/>
      </c>
      <c r="U43" s="1436" t="str">
        <f aca="false">IF($H43=U$4,$D43*$N43,"")</f>
        <v/>
      </c>
      <c r="V43" s="1418"/>
      <c r="W43" s="1419"/>
      <c r="X43" s="1419"/>
      <c r="Y43" s="1419"/>
      <c r="Z43" s="1419"/>
      <c r="AA43" s="1419"/>
      <c r="AB43" s="1420"/>
      <c r="AC43" s="1319"/>
      <c r="AD43" s="2" t="str">
        <f aca="false">IF(AND(AD$4=$G43,AD$6=$F43),$B43,"")</f>
        <v/>
      </c>
      <c r="AE43" s="2" t="str">
        <f aca="false">IF(AND(AE$4=$G43,AE$6=$F43),$B43,"")</f>
        <v/>
      </c>
      <c r="AF43" s="2" t="str">
        <f aca="false">IF(AND(AF$4=$G43,AF$6=$F43),$B43,"")</f>
        <v/>
      </c>
      <c r="AG43" s="2" t="str">
        <f aca="false">IF(AND(AG$4=$G43,AG$6=$F43),$B43,"")</f>
        <v/>
      </c>
      <c r="AI43" s="366"/>
      <c r="AL43" s="367"/>
      <c r="AO43" s="367"/>
      <c r="AP43" s="2" t="str">
        <f aca="false">IF(AT43&gt;0,RANK(AT43,AT$7:AT$423),"")</f>
        <v/>
      </c>
      <c r="AQ43" s="2" t="n">
        <f aca="false">'O_MN, PE_UTA_UGM 2024'!C39</f>
        <v>72</v>
      </c>
      <c r="AR43" s="1421" t="n">
        <v>700</v>
      </c>
      <c r="AS43" s="2" t="str">
        <f aca="false">IF(AY43&lt;&gt;"",AY43,"")</f>
        <v/>
      </c>
      <c r="AT43" s="1422" t="n">
        <f aca="false">IF(ISNUMBER($AR43),SUMIF(B$7:B$505,AR43,D$7:D$505),"")</f>
        <v>0</v>
      </c>
      <c r="AU43" s="1411" t="n">
        <f aca="false">IF(ISNUMBER($AR43),SUMIF(AD$7:AD$503,$AR43,J$7:J$503),"")</f>
        <v>0</v>
      </c>
      <c r="AV43" s="1411" t="n">
        <f aca="false">IF(ISNUMBER($AR43),SUMIF(AF$7:AF$503,$AR43,L$7:L$503),"")</f>
        <v>0</v>
      </c>
      <c r="AW43" s="1423" t="n">
        <f aca="false">IF(ISNUMBER($AR43),SUMIF(AE$7:AE$503,$AR43,K$7:K$503),"")</f>
        <v>0</v>
      </c>
      <c r="AX43" s="1423" t="n">
        <f aca="false">IF(ISNUMBER($AR43),SUMIF(AG$7:AG$503,$AR43,M$7:M$503),"")</f>
        <v>0</v>
      </c>
      <c r="AY43" s="2" t="str">
        <f aca="false">IF($AT43&gt;0,VLOOKUP($AR43,'O_MN, PE_UTA_UGM 2024'!E39:O455,2),"")</f>
        <v/>
      </c>
      <c r="AZ43" s="1424"/>
      <c r="BA43" s="1424"/>
      <c r="BB43" s="1424" t="str">
        <f aca="false">IF($AT43&gt;0,VLOOKUP($AR43,'O_MN, PE_UTA_UGM 2024'!$E$3:$O$419,BB$6),"")</f>
        <v/>
      </c>
      <c r="BC43" s="1424" t="str">
        <f aca="false">IF($AT43&gt;0,VLOOKUP($AR43,'O_MN, PE_UTA_UGM 2024'!$E$3:$O$419,BC$6),"")</f>
        <v/>
      </c>
      <c r="BD43" s="1424" t="str">
        <f aca="false">IF($AT43&gt;0,VLOOKUP($AR43,'O_MN, PE_UTA_UGM 2024'!$E$3:$O$419,BD$6),"")</f>
        <v/>
      </c>
      <c r="BE43" s="1424" t="str">
        <f aca="false">IF($AT43&gt;0,VLOOKUP($AR43,'O_MN, PE_UTA_UGM 2024'!$E$3:$O$419,BE$6),"")</f>
        <v/>
      </c>
      <c r="BF43" s="1424" t="str">
        <f aca="false">IF($AT43&gt;0,VLOOKUP($AR43,'O_MN, PE_UTA_UGM 2024'!$E$3:$O$419,BF$6),"")</f>
        <v/>
      </c>
      <c r="BG43" s="1424" t="str">
        <f aca="false">IF($AT43&gt;0,VLOOKUP($AR43,'O_MN, PE_UTA_UGM 2024'!$E$3:$O$419,BG$6),"")</f>
        <v/>
      </c>
      <c r="BH43" s="872"/>
      <c r="BI43" s="872"/>
      <c r="BJ43" s="872"/>
      <c r="BK43" s="872"/>
      <c r="BM43" s="1411"/>
      <c r="BN43" s="1411"/>
      <c r="BO43" s="1425" t="str">
        <f aca="false">IF(ISNUMBER($AU43*BB43*1),$AU43*BB43*1,"")</f>
        <v/>
      </c>
      <c r="BP43" s="1425" t="str">
        <f aca="false">IF(ISNUMBER($AV43*BC43*1),$AV43*BC43*1,"")</f>
        <v/>
      </c>
      <c r="BQ43" s="1425" t="str">
        <f aca="false">IF(ISNUMBER($AU43*BD43*1),$AU43*BD43*1,"")</f>
        <v/>
      </c>
      <c r="BR43" s="1425" t="str">
        <f aca="false">IF(ISNUMBER($AV43*BE43*1),$AV43*BE43*1,"")</f>
        <v/>
      </c>
      <c r="BS43" s="1411" t="str">
        <f aca="false">IF(ISNUMBER($AU43*BF43),$AU43*BF43,"")</f>
        <v/>
      </c>
      <c r="BT43" s="1411" t="str">
        <f aca="false">IF(ISNUMBER($AV43*BG43),$AV43*BG43,"")</f>
        <v/>
      </c>
      <c r="BU43" s="1411"/>
      <c r="BV43" s="1411"/>
      <c r="BW43" s="1411"/>
      <c r="BX43" s="1411"/>
      <c r="BZ43" s="1372"/>
      <c r="CA43" s="1372"/>
      <c r="CB43" s="1426" t="str">
        <f aca="false">IF(ISNUMBER($AW43*BB43),$AW43*BB43,"")</f>
        <v/>
      </c>
      <c r="CC43" s="1426" t="str">
        <f aca="false">IF(ISNUMBER($AX43*BC43),$AX43*BC43,"")</f>
        <v/>
      </c>
      <c r="CD43" s="1426" t="str">
        <f aca="false">IF(ISNUMBER($AW43*BD43),$AW43*BD43,"")</f>
        <v/>
      </c>
      <c r="CE43" s="1426" t="str">
        <f aca="false">IF(ISNUMBER($AX43*BE43),$AX43*BE43,"")</f>
        <v/>
      </c>
      <c r="CF43" s="1372" t="str">
        <f aca="false">IF(ISNUMBER($AW43*BF43),$AW43*BF43,"")</f>
        <v/>
      </c>
      <c r="CG43" s="1372" t="str">
        <f aca="false">IF(ISNUMBER($AX43*BG43),$AX43*BG43,"")</f>
        <v/>
      </c>
      <c r="CH43" s="1438"/>
      <c r="CI43" s="1438"/>
      <c r="CJ43" s="1438"/>
      <c r="CK43" s="1438"/>
      <c r="CU43" s="1411"/>
      <c r="CV43" s="1411"/>
      <c r="CW43" s="1425"/>
      <c r="CX43" s="1425"/>
      <c r="CY43" s="1425"/>
      <c r="CZ43" s="1425"/>
      <c r="DA43" s="1411"/>
      <c r="DB43" s="1411"/>
      <c r="DC43" s="1411"/>
      <c r="DD43" s="1411"/>
      <c r="DE43" s="1411"/>
      <c r="DF43" s="1411"/>
      <c r="DH43" s="1432"/>
      <c r="DI43" s="1432"/>
      <c r="DJ43" s="1437"/>
      <c r="DK43" s="1437"/>
      <c r="DL43" s="1437"/>
      <c r="DM43" s="1437"/>
      <c r="DN43" s="1432"/>
      <c r="DO43" s="1432"/>
      <c r="DP43" s="1432"/>
      <c r="DQ43" s="1432"/>
      <c r="DR43" s="1432"/>
      <c r="DS43" s="1432"/>
      <c r="DT43" s="1316"/>
      <c r="DU43" s="1433"/>
      <c r="DV43" s="1433"/>
      <c r="DW43" s="1433"/>
      <c r="DX43" s="1433"/>
      <c r="DY43" s="1433"/>
      <c r="DZ43" s="1433"/>
      <c r="EA43" s="1433"/>
      <c r="EB43" s="1433"/>
    </row>
    <row r="44" customFormat="false" ht="14.25" hidden="false" customHeight="false" outlineLevel="0" collapsed="false">
      <c r="A44" s="2" t="n">
        <f aca="false">'V_DATOS PAC_SGA'!R39</f>
        <v>0</v>
      </c>
      <c r="B44" s="2" t="n">
        <f aca="false">IF(I44="IV",CONCATENATE('V_DATOS PAC_SGA'!R39,"4")+0,CONCATENATE('V_DATOS PAC_SGA'!R39,"0")+0)</f>
        <v>0</v>
      </c>
      <c r="C44" s="2" t="n">
        <f aca="false">'V_DATOS PAC_SGA'!S39</f>
        <v>0</v>
      </c>
      <c r="D44" s="1409" t="n">
        <f aca="false">'V_DATOS PAC_SGA'!Y39</f>
        <v>0</v>
      </c>
      <c r="E44" s="1410" t="str">
        <f aca="false">IF('V_DATOS PAC_SGA'!AV39="","Regadio",'V_DATOS PAC_SGA'!AV39)</f>
        <v>Regadio</v>
      </c>
      <c r="F44" s="1411" t="n">
        <f aca="false">'V_DATOS PAC_SGA'!BK39</f>
        <v>0</v>
      </c>
      <c r="G44" s="1412" t="n">
        <f aca="false">'V_DATOS PAC_SGA'!AN39</f>
        <v>0</v>
      </c>
      <c r="H44" s="1413" t="str">
        <f aca="false">IF(B44&gt;0,VLOOKUP(B44,'O_MN, PE_UTA_UGM 2024'!E$3:O$419,10),"")</f>
        <v/>
      </c>
      <c r="I44" s="1359" t="n">
        <f aca="false">'V_DATOS PAC_SGA'!BV39</f>
        <v>0</v>
      </c>
      <c r="J44" s="2" t="str">
        <f aca="false">IF(AND(J$4=$G44,J$6=$F44),$D44*J$5,"")</f>
        <v/>
      </c>
      <c r="K44" s="2" t="str">
        <f aca="false">IF(AND(K$4=$G44,K$6=$F44),$D44*K$5,"")</f>
        <v/>
      </c>
      <c r="L44" s="2" t="str">
        <f aca="false">IF(AND(L$4=$G44,L$6=$F44),$D44*L$5,"")</f>
        <v/>
      </c>
      <c r="M44" s="2" t="str">
        <f aca="false">IF(AND(M$4=$G44,M$6=$F44),$D44*M$5,"")</f>
        <v/>
      </c>
      <c r="N44" s="1414" t="n">
        <f aca="false">VLOOKUP(B44,'O_MN, PE_UTA_UGM 2024'!$E$2:$K$419,IF(G44&gt;1,6,7))</f>
        <v>0</v>
      </c>
      <c r="O44" s="1434" t="str">
        <f aca="false">IF($H44=O$4,$D44*$N44,"")</f>
        <v/>
      </c>
      <c r="P44" s="1435" t="str">
        <f aca="false">IF($H44=P$4,$D44*$N44,"")</f>
        <v/>
      </c>
      <c r="Q44" s="1435" t="str">
        <f aca="false">IF($H44=Q$4,$D44*$N44,"")</f>
        <v/>
      </c>
      <c r="R44" s="1435" t="str">
        <f aca="false">IF($H44=R$4,$D44*$N44,"")</f>
        <v/>
      </c>
      <c r="S44" s="1435" t="str">
        <f aca="false">IF($H44=S$4,$D44*$N44,"")</f>
        <v/>
      </c>
      <c r="T44" s="1435" t="str">
        <f aca="false">IF($H44=T$4,$D44*$N44,"")</f>
        <v/>
      </c>
      <c r="U44" s="1436" t="str">
        <f aca="false">IF($H44=U$4,$D44*$N44,"")</f>
        <v/>
      </c>
      <c r="V44" s="1418"/>
      <c r="W44" s="1419"/>
      <c r="X44" s="1419"/>
      <c r="Y44" s="1419"/>
      <c r="Z44" s="1419"/>
      <c r="AA44" s="1419"/>
      <c r="AB44" s="1420"/>
      <c r="AC44" s="1319"/>
      <c r="AD44" s="2" t="str">
        <f aca="false">IF(AND(AD$4=$G44,AD$6=$F44),$B44,"")</f>
        <v/>
      </c>
      <c r="AE44" s="2" t="str">
        <f aca="false">IF(AND(AE$4=$G44,AE$6=$F44),$B44,"")</f>
        <v/>
      </c>
      <c r="AF44" s="2" t="str">
        <f aca="false">IF(AND(AF$4=$G44,AF$6=$F44),$B44,"")</f>
        <v/>
      </c>
      <c r="AG44" s="2" t="str">
        <f aca="false">IF(AND(AG$4=$G44,AG$6=$F44),$B44,"")</f>
        <v/>
      </c>
      <c r="AI44" s="366"/>
      <c r="AL44" s="367"/>
      <c r="AO44" s="367"/>
      <c r="AP44" s="2" t="str">
        <f aca="false">IF(AT44&gt;0,RANK(AT44,AT$7:AT$423),"")</f>
        <v/>
      </c>
      <c r="AQ44" s="2" t="n">
        <f aca="false">'O_MN, PE_UTA_UGM 2024'!C40</f>
        <v>73</v>
      </c>
      <c r="AR44" s="1421" t="n">
        <v>710</v>
      </c>
      <c r="AS44" s="2" t="str">
        <f aca="false">IF(AY44&lt;&gt;"",AY44,"")</f>
        <v/>
      </c>
      <c r="AT44" s="1422" t="n">
        <f aca="false">IF(ISNUMBER($AR44),SUMIF(B$7:B$505,AR44,D$7:D$505),"")</f>
        <v>0</v>
      </c>
      <c r="AU44" s="1411" t="n">
        <f aca="false">IF(ISNUMBER($AR44),SUMIF(AD$7:AD$503,$AR44,J$7:J$503),"")</f>
        <v>0</v>
      </c>
      <c r="AV44" s="1411" t="n">
        <f aca="false">IF(ISNUMBER($AR44),SUMIF(AF$7:AF$503,$AR44,L$7:L$503),"")</f>
        <v>0</v>
      </c>
      <c r="AW44" s="1423" t="n">
        <f aca="false">IF(ISNUMBER($AR44),SUMIF(AE$7:AE$503,$AR44,K$7:K$503),"")</f>
        <v>0</v>
      </c>
      <c r="AX44" s="1423" t="n">
        <f aca="false">IF(ISNUMBER($AR44),SUMIF(AG$7:AG$503,$AR44,M$7:M$503),"")</f>
        <v>0</v>
      </c>
      <c r="AY44" s="2" t="str">
        <f aca="false">IF($AT44&gt;0,VLOOKUP($AR44,'O_MN, PE_UTA_UGM 2024'!E40:O456,2),"")</f>
        <v/>
      </c>
      <c r="AZ44" s="1424"/>
      <c r="BA44" s="1424"/>
      <c r="BB44" s="1424" t="str">
        <f aca="false">IF($AT44&gt;0,VLOOKUP($AR44,'O_MN, PE_UTA_UGM 2024'!$E$3:$O$419,BB$6),"")</f>
        <v/>
      </c>
      <c r="BC44" s="1424" t="str">
        <f aca="false">IF($AT44&gt;0,VLOOKUP($AR44,'O_MN, PE_UTA_UGM 2024'!$E$3:$O$419,BC$6),"")</f>
        <v/>
      </c>
      <c r="BD44" s="1424" t="str">
        <f aca="false">IF($AT44&gt;0,VLOOKUP($AR44,'O_MN, PE_UTA_UGM 2024'!$E$3:$O$419,BD$6),"")</f>
        <v/>
      </c>
      <c r="BE44" s="1424" t="str">
        <f aca="false">IF($AT44&gt;0,VLOOKUP($AR44,'O_MN, PE_UTA_UGM 2024'!$E$3:$O$419,BE$6),"")</f>
        <v/>
      </c>
      <c r="BF44" s="1424" t="str">
        <f aca="false">IF($AT44&gt;0,VLOOKUP($AR44,'O_MN, PE_UTA_UGM 2024'!$E$3:$O$419,BF$6),"")</f>
        <v/>
      </c>
      <c r="BG44" s="1424" t="str">
        <f aca="false">IF($AT44&gt;0,VLOOKUP($AR44,'O_MN, PE_UTA_UGM 2024'!$E$3:$O$419,BG$6),"")</f>
        <v/>
      </c>
      <c r="BH44" s="872"/>
      <c r="BI44" s="872"/>
      <c r="BJ44" s="872"/>
      <c r="BK44" s="872"/>
      <c r="BM44" s="1411"/>
      <c r="BN44" s="1411"/>
      <c r="BO44" s="1425" t="str">
        <f aca="false">IF(ISNUMBER($AU44*BB44*1),$AU44*BB44*1,"")</f>
        <v/>
      </c>
      <c r="BP44" s="1425" t="str">
        <f aca="false">IF(ISNUMBER($AV44*BC44*1),$AV44*BC44*1,"")</f>
        <v/>
      </c>
      <c r="BQ44" s="1425" t="str">
        <f aca="false">IF(ISNUMBER($AU44*BD44*1),$AU44*BD44*1,"")</f>
        <v/>
      </c>
      <c r="BR44" s="1425" t="str">
        <f aca="false">IF(ISNUMBER($AV44*BE44*1),$AV44*BE44*1,"")</f>
        <v/>
      </c>
      <c r="BS44" s="1411" t="str">
        <f aca="false">IF(ISNUMBER($AU44*BF44),$AU44*BF44,"")</f>
        <v/>
      </c>
      <c r="BT44" s="1411" t="str">
        <f aca="false">IF(ISNUMBER($AV44*BG44),$AV44*BG44,"")</f>
        <v/>
      </c>
      <c r="BU44" s="1411"/>
      <c r="BV44" s="1411"/>
      <c r="BW44" s="1411"/>
      <c r="BX44" s="1411"/>
      <c r="BZ44" s="1372"/>
      <c r="CA44" s="1372"/>
      <c r="CB44" s="1426" t="str">
        <f aca="false">IF(ISNUMBER($AW44*BB44),$AW44*BB44,"")</f>
        <v/>
      </c>
      <c r="CC44" s="1426" t="str">
        <f aca="false">IF(ISNUMBER($AX44*BC44),$AX44*BC44,"")</f>
        <v/>
      </c>
      <c r="CD44" s="1426" t="str">
        <f aca="false">IF(ISNUMBER($AW44*BD44),$AW44*BD44,"")</f>
        <v/>
      </c>
      <c r="CE44" s="1426" t="str">
        <f aca="false">IF(ISNUMBER($AX44*BE44),$AX44*BE44,"")</f>
        <v/>
      </c>
      <c r="CF44" s="1372" t="str">
        <f aca="false">IF(ISNUMBER($AW44*BF44),$AW44*BF44,"")</f>
        <v/>
      </c>
      <c r="CG44" s="1372" t="str">
        <f aca="false">IF(ISNUMBER($AX44*BG44),$AX44*BG44,"")</f>
        <v/>
      </c>
      <c r="CH44" s="1438"/>
      <c r="CI44" s="1438"/>
      <c r="CJ44" s="1438"/>
      <c r="CK44" s="1438"/>
      <c r="CU44" s="1411"/>
      <c r="CV44" s="1411"/>
      <c r="CW44" s="1425"/>
      <c r="CX44" s="1425"/>
      <c r="CY44" s="1425"/>
      <c r="CZ44" s="1425"/>
      <c r="DA44" s="1411"/>
      <c r="DB44" s="1411"/>
      <c r="DC44" s="1411"/>
      <c r="DD44" s="1411"/>
      <c r="DE44" s="1411"/>
      <c r="DF44" s="1411"/>
      <c r="DH44" s="1432"/>
      <c r="DI44" s="1432"/>
      <c r="DJ44" s="1437"/>
      <c r="DK44" s="1437"/>
      <c r="DL44" s="1437"/>
      <c r="DM44" s="1437"/>
      <c r="DN44" s="1432"/>
      <c r="DO44" s="1432"/>
      <c r="DP44" s="1432"/>
      <c r="DQ44" s="1432"/>
      <c r="DR44" s="1432"/>
      <c r="DS44" s="1432"/>
      <c r="DT44" s="1316"/>
      <c r="DU44" s="1433"/>
      <c r="DV44" s="1433"/>
      <c r="DW44" s="1433"/>
      <c r="DX44" s="1433"/>
      <c r="DY44" s="1433"/>
      <c r="DZ44" s="1433"/>
      <c r="EA44" s="1433"/>
      <c r="EB44" s="1433"/>
    </row>
    <row r="45" customFormat="false" ht="14.25" hidden="false" customHeight="false" outlineLevel="0" collapsed="false">
      <c r="A45" s="2" t="n">
        <f aca="false">'V_DATOS PAC_SGA'!R40</f>
        <v>0</v>
      </c>
      <c r="B45" s="2" t="n">
        <f aca="false">IF(I45="IV",CONCATENATE('V_DATOS PAC_SGA'!R40,"4")+0,CONCATENATE('V_DATOS PAC_SGA'!R40,"0")+0)</f>
        <v>0</v>
      </c>
      <c r="C45" s="2" t="n">
        <f aca="false">'V_DATOS PAC_SGA'!S40</f>
        <v>0</v>
      </c>
      <c r="D45" s="1409" t="n">
        <f aca="false">'V_DATOS PAC_SGA'!Y40</f>
        <v>0</v>
      </c>
      <c r="E45" s="1410" t="str">
        <f aca="false">IF('V_DATOS PAC_SGA'!AV40="","Regadio",'V_DATOS PAC_SGA'!AV40)</f>
        <v>Regadio</v>
      </c>
      <c r="F45" s="1411" t="n">
        <f aca="false">'V_DATOS PAC_SGA'!BK40</f>
        <v>0</v>
      </c>
      <c r="G45" s="1412" t="n">
        <f aca="false">'V_DATOS PAC_SGA'!AN40</f>
        <v>0</v>
      </c>
      <c r="H45" s="1413" t="str">
        <f aca="false">IF(B45&gt;0,VLOOKUP(B45,'O_MN, PE_UTA_UGM 2024'!E$3:O$419,10),"")</f>
        <v/>
      </c>
      <c r="I45" s="1359" t="n">
        <f aca="false">'V_DATOS PAC_SGA'!BV40</f>
        <v>0</v>
      </c>
      <c r="J45" s="2" t="str">
        <f aca="false">IF(AND(J$4=$G45,J$6=$F45),$D45*J$5,"")</f>
        <v/>
      </c>
      <c r="K45" s="2" t="str">
        <f aca="false">IF(AND(K$4=$G45,K$6=$F45),$D45*K$5,"")</f>
        <v/>
      </c>
      <c r="L45" s="2" t="str">
        <f aca="false">IF(AND(L$4=$G45,L$6=$F45),$D45*L$5,"")</f>
        <v/>
      </c>
      <c r="M45" s="2" t="str">
        <f aca="false">IF(AND(M$4=$G45,M$6=$F45),$D45*M$5,"")</f>
        <v/>
      </c>
      <c r="N45" s="1414" t="n">
        <f aca="false">VLOOKUP(B45,'O_MN, PE_UTA_UGM 2024'!$E$2:$K$419,IF(G45&gt;1,6,7))</f>
        <v>0</v>
      </c>
      <c r="O45" s="1434" t="str">
        <f aca="false">IF($H45=O$4,$D45*$N45,"")</f>
        <v/>
      </c>
      <c r="P45" s="1435" t="str">
        <f aca="false">IF($H45=P$4,$D45*$N45,"")</f>
        <v/>
      </c>
      <c r="Q45" s="1435" t="str">
        <f aca="false">IF($H45=Q$4,$D45*$N45,"")</f>
        <v/>
      </c>
      <c r="R45" s="1435" t="str">
        <f aca="false">IF($H45=R$4,$D45*$N45,"")</f>
        <v/>
      </c>
      <c r="S45" s="1435" t="str">
        <f aca="false">IF($H45=S$4,$D45*$N45,"")</f>
        <v/>
      </c>
      <c r="T45" s="1435" t="str">
        <f aca="false">IF($H45=T$4,$D45*$N45,"")</f>
        <v/>
      </c>
      <c r="U45" s="1436" t="str">
        <f aca="false">IF($H45=U$4,$D45*$N45,"")</f>
        <v/>
      </c>
      <c r="V45" s="1418"/>
      <c r="W45" s="1419"/>
      <c r="X45" s="1419"/>
      <c r="Y45" s="1419"/>
      <c r="Z45" s="1419"/>
      <c r="AA45" s="1419"/>
      <c r="AB45" s="1420"/>
      <c r="AC45" s="1319"/>
      <c r="AD45" s="2" t="str">
        <f aca="false">IF(AND(AD$4=$G45,AD$6=$F45),$B45,"")</f>
        <v/>
      </c>
      <c r="AE45" s="2" t="str">
        <f aca="false">IF(AND(AE$4=$G45,AE$6=$F45),$B45,"")</f>
        <v/>
      </c>
      <c r="AF45" s="2" t="str">
        <f aca="false">IF(AND(AF$4=$G45,AF$6=$F45),$B45,"")</f>
        <v/>
      </c>
      <c r="AG45" s="2" t="str">
        <f aca="false">IF(AND(AG$4=$G45,AG$6=$F45),$B45,"")</f>
        <v/>
      </c>
      <c r="AI45" s="366"/>
      <c r="AL45" s="367"/>
      <c r="AO45" s="367"/>
      <c r="AP45" s="2" t="str">
        <f aca="false">IF(AT45&gt;0,RANK(AT45,AT$7:AT$423),"")</f>
        <v/>
      </c>
      <c r="AQ45" s="2" t="n">
        <f aca="false">'O_MN, PE_UTA_UGM 2024'!C41</f>
        <v>74</v>
      </c>
      <c r="AR45" s="1421" t="n">
        <v>720</v>
      </c>
      <c r="AS45" s="2" t="str">
        <f aca="false">IF(AY45&lt;&gt;"",AY45,"")</f>
        <v/>
      </c>
      <c r="AT45" s="1422" t="n">
        <f aca="false">IF(ISNUMBER($AR45),SUMIF(B$7:B$505,AR45,D$7:D$505),"")</f>
        <v>0</v>
      </c>
      <c r="AU45" s="1411" t="n">
        <f aca="false">IF(ISNUMBER($AR45),SUMIF(AD$7:AD$503,$AR45,J$7:J$503),"")</f>
        <v>0</v>
      </c>
      <c r="AV45" s="1411" t="n">
        <f aca="false">IF(ISNUMBER($AR45),SUMIF(AF$7:AF$503,$AR45,L$7:L$503),"")</f>
        <v>0</v>
      </c>
      <c r="AW45" s="1423" t="n">
        <f aca="false">IF(ISNUMBER($AR45),SUMIF(AE$7:AE$503,$AR45,K$7:K$503),"")</f>
        <v>0</v>
      </c>
      <c r="AX45" s="1423" t="n">
        <f aca="false">IF(ISNUMBER($AR45),SUMIF(AG$7:AG$503,$AR45,M$7:M$503),"")</f>
        <v>0</v>
      </c>
      <c r="AY45" s="2" t="str">
        <f aca="false">IF($AT45&gt;0,VLOOKUP($AR45,'O_MN, PE_UTA_UGM 2024'!E41:O457,2),"")</f>
        <v/>
      </c>
      <c r="AZ45" s="1424"/>
      <c r="BA45" s="1424"/>
      <c r="BB45" s="1424" t="str">
        <f aca="false">IF($AT45&gt;0,VLOOKUP($AR45,'O_MN, PE_UTA_UGM 2024'!$E$3:$O$419,BB$6),"")</f>
        <v/>
      </c>
      <c r="BC45" s="1424" t="str">
        <f aca="false">IF($AT45&gt;0,VLOOKUP($AR45,'O_MN, PE_UTA_UGM 2024'!$E$3:$O$419,BC$6),"")</f>
        <v/>
      </c>
      <c r="BD45" s="1424" t="str">
        <f aca="false">IF($AT45&gt;0,VLOOKUP($AR45,'O_MN, PE_UTA_UGM 2024'!$E$3:$O$419,BD$6),"")</f>
        <v/>
      </c>
      <c r="BE45" s="1424" t="str">
        <f aca="false">IF($AT45&gt;0,VLOOKUP($AR45,'O_MN, PE_UTA_UGM 2024'!$E$3:$O$419,BE$6),"")</f>
        <v/>
      </c>
      <c r="BF45" s="1424" t="str">
        <f aca="false">IF($AT45&gt;0,VLOOKUP($AR45,'O_MN, PE_UTA_UGM 2024'!$E$3:$O$419,BF$6),"")</f>
        <v/>
      </c>
      <c r="BG45" s="1424" t="str">
        <f aca="false">IF($AT45&gt;0,VLOOKUP($AR45,'O_MN, PE_UTA_UGM 2024'!$E$3:$O$419,BG$6),"")</f>
        <v/>
      </c>
      <c r="BH45" s="872"/>
      <c r="BI45" s="872"/>
      <c r="BJ45" s="872"/>
      <c r="BK45" s="872"/>
      <c r="BM45" s="1411"/>
      <c r="BN45" s="1411"/>
      <c r="BO45" s="1425" t="str">
        <f aca="false">IF(ISNUMBER($AU45*BB45*1),$AU45*BB45*1,"")</f>
        <v/>
      </c>
      <c r="BP45" s="1425" t="str">
        <f aca="false">IF(ISNUMBER($AV45*BC45*1),$AV45*BC45*1,"")</f>
        <v/>
      </c>
      <c r="BQ45" s="1425" t="str">
        <f aca="false">IF(ISNUMBER($AU45*BD45*1),$AU45*BD45*1,"")</f>
        <v/>
      </c>
      <c r="BR45" s="1425" t="str">
        <f aca="false">IF(ISNUMBER($AV45*BE45*1),$AV45*BE45*1,"")</f>
        <v/>
      </c>
      <c r="BS45" s="1411" t="str">
        <f aca="false">IF(ISNUMBER($AU45*BF45),$AU45*BF45,"")</f>
        <v/>
      </c>
      <c r="BT45" s="1411" t="str">
        <f aca="false">IF(ISNUMBER($AV45*BG45),$AV45*BG45,"")</f>
        <v/>
      </c>
      <c r="BU45" s="1411"/>
      <c r="BV45" s="1411"/>
      <c r="BW45" s="1411"/>
      <c r="BX45" s="1411"/>
      <c r="BZ45" s="1372"/>
      <c r="CA45" s="1372"/>
      <c r="CB45" s="1426" t="str">
        <f aca="false">IF(ISNUMBER($AW45*BB45),$AW45*BB45,"")</f>
        <v/>
      </c>
      <c r="CC45" s="1426" t="str">
        <f aca="false">IF(ISNUMBER($AX45*BC45),$AX45*BC45,"")</f>
        <v/>
      </c>
      <c r="CD45" s="1426" t="str">
        <f aca="false">IF(ISNUMBER($AW45*BD45),$AW45*BD45,"")</f>
        <v/>
      </c>
      <c r="CE45" s="1426" t="str">
        <f aca="false">IF(ISNUMBER($AX45*BE45),$AX45*BE45,"")</f>
        <v/>
      </c>
      <c r="CF45" s="1372" t="str">
        <f aca="false">IF(ISNUMBER($AW45*BF45),$AW45*BF45,"")</f>
        <v/>
      </c>
      <c r="CG45" s="1372" t="str">
        <f aca="false">IF(ISNUMBER($AX45*BG45),$AX45*BG45,"")</f>
        <v/>
      </c>
      <c r="CH45" s="1438"/>
      <c r="CI45" s="1438"/>
      <c r="CJ45" s="1438"/>
      <c r="CK45" s="1438"/>
      <c r="CU45" s="1411"/>
      <c r="CV45" s="1411"/>
      <c r="CW45" s="1425"/>
      <c r="CX45" s="1425"/>
      <c r="CY45" s="1425"/>
      <c r="CZ45" s="1425"/>
      <c r="DA45" s="1411"/>
      <c r="DB45" s="1411"/>
      <c r="DC45" s="1411"/>
      <c r="DD45" s="1411"/>
      <c r="DE45" s="1411"/>
      <c r="DF45" s="1411"/>
      <c r="DH45" s="1432"/>
      <c r="DI45" s="1432"/>
      <c r="DJ45" s="1437"/>
      <c r="DK45" s="1437"/>
      <c r="DL45" s="1437"/>
      <c r="DM45" s="1437"/>
      <c r="DN45" s="1432"/>
      <c r="DO45" s="1432"/>
      <c r="DP45" s="1432"/>
      <c r="DQ45" s="1432"/>
      <c r="DR45" s="1432"/>
      <c r="DS45" s="1432"/>
      <c r="DT45" s="1316"/>
      <c r="DU45" s="1433"/>
      <c r="DV45" s="1433"/>
      <c r="DW45" s="1433"/>
      <c r="DX45" s="1433"/>
      <c r="DY45" s="1433"/>
      <c r="DZ45" s="1433"/>
      <c r="EA45" s="1433"/>
      <c r="EB45" s="1433"/>
    </row>
    <row r="46" customFormat="false" ht="14.25" hidden="false" customHeight="false" outlineLevel="0" collapsed="false">
      <c r="A46" s="2" t="n">
        <f aca="false">'V_DATOS PAC_SGA'!R41</f>
        <v>0</v>
      </c>
      <c r="B46" s="2" t="n">
        <f aca="false">IF(I46="IV",CONCATENATE('V_DATOS PAC_SGA'!R41,"4")+0,CONCATENATE('V_DATOS PAC_SGA'!R41,"0")+0)</f>
        <v>0</v>
      </c>
      <c r="C46" s="2" t="n">
        <f aca="false">'V_DATOS PAC_SGA'!S41</f>
        <v>0</v>
      </c>
      <c r="D46" s="1409" t="n">
        <f aca="false">'V_DATOS PAC_SGA'!Y41</f>
        <v>0</v>
      </c>
      <c r="E46" s="1410" t="str">
        <f aca="false">IF('V_DATOS PAC_SGA'!AV41="","Regadio",'V_DATOS PAC_SGA'!AV41)</f>
        <v>Regadio</v>
      </c>
      <c r="F46" s="1411" t="n">
        <f aca="false">'V_DATOS PAC_SGA'!BK41</f>
        <v>0</v>
      </c>
      <c r="G46" s="1412" t="n">
        <f aca="false">'V_DATOS PAC_SGA'!AN41</f>
        <v>0</v>
      </c>
      <c r="H46" s="1413" t="str">
        <f aca="false">IF(B46&gt;0,VLOOKUP(B46,'O_MN, PE_UTA_UGM 2024'!E$3:O$419,10),"")</f>
        <v/>
      </c>
      <c r="I46" s="1359" t="n">
        <f aca="false">'V_DATOS PAC_SGA'!BV41</f>
        <v>0</v>
      </c>
      <c r="J46" s="2" t="str">
        <f aca="false">IF(AND(J$4=$G46,J$6=$F46),$D46*J$5,"")</f>
        <v/>
      </c>
      <c r="K46" s="2" t="str">
        <f aca="false">IF(AND(K$4=$G46,K$6=$F46),$D46*K$5,"")</f>
        <v/>
      </c>
      <c r="L46" s="2" t="str">
        <f aca="false">IF(AND(L$4=$G46,L$6=$F46),$D46*L$5,"")</f>
        <v/>
      </c>
      <c r="M46" s="2" t="str">
        <f aca="false">IF(AND(M$4=$G46,M$6=$F46),$D46*M$5,"")</f>
        <v/>
      </c>
      <c r="N46" s="1414" t="n">
        <f aca="false">VLOOKUP(B46,'O_MN, PE_UTA_UGM 2024'!$E$2:$K$419,IF(G46&gt;1,6,7))</f>
        <v>0</v>
      </c>
      <c r="O46" s="1434" t="str">
        <f aca="false">IF($H46=O$4,$D46*$N46,"")</f>
        <v/>
      </c>
      <c r="P46" s="1435" t="str">
        <f aca="false">IF($H46=P$4,$D46*$N46,"")</f>
        <v/>
      </c>
      <c r="Q46" s="1435" t="str">
        <f aca="false">IF($H46=Q$4,$D46*$N46,"")</f>
        <v/>
      </c>
      <c r="R46" s="1435" t="str">
        <f aca="false">IF($H46=R$4,$D46*$N46,"")</f>
        <v/>
      </c>
      <c r="S46" s="1435" t="str">
        <f aca="false">IF($H46=S$4,$D46*$N46,"")</f>
        <v/>
      </c>
      <c r="T46" s="1435" t="str">
        <f aca="false">IF($H46=T$4,$D46*$N46,"")</f>
        <v/>
      </c>
      <c r="U46" s="1436" t="str">
        <f aca="false">IF($H46=U$4,$D46*$N46,"")</f>
        <v/>
      </c>
      <c r="V46" s="1418"/>
      <c r="W46" s="1419"/>
      <c r="X46" s="1419"/>
      <c r="Y46" s="1419"/>
      <c r="Z46" s="1419"/>
      <c r="AA46" s="1419"/>
      <c r="AB46" s="1420"/>
      <c r="AC46" s="1319"/>
      <c r="AD46" s="2" t="str">
        <f aca="false">IF(AND(AD$4=$G46,AD$6=$F46),$B46,"")</f>
        <v/>
      </c>
      <c r="AE46" s="2" t="str">
        <f aca="false">IF(AND(AE$4=$G46,AE$6=$F46),$B46,"")</f>
        <v/>
      </c>
      <c r="AF46" s="2" t="str">
        <f aca="false">IF(AND(AF$4=$G46,AF$6=$F46),$B46,"")</f>
        <v/>
      </c>
      <c r="AG46" s="2" t="str">
        <f aca="false">IF(AND(AG$4=$G46,AG$6=$F46),$B46,"")</f>
        <v/>
      </c>
      <c r="AI46" s="366"/>
      <c r="AL46" s="367"/>
      <c r="AO46" s="367"/>
      <c r="AP46" s="2" t="str">
        <f aca="false">IF(AT46&gt;0,RANK(AT46,AT$7:AT$423),"")</f>
        <v/>
      </c>
      <c r="AQ46" s="2" t="n">
        <f aca="false">'O_MN, PE_UTA_UGM 2024'!C42</f>
        <v>76</v>
      </c>
      <c r="AR46" s="1421" t="n">
        <v>730</v>
      </c>
      <c r="AS46" s="2" t="str">
        <f aca="false">IF(AY46&lt;&gt;"",AY46,"")</f>
        <v/>
      </c>
      <c r="AT46" s="1422" t="n">
        <f aca="false">IF(ISNUMBER($AR46),SUMIF(B$7:B$505,AR46,D$7:D$505),"")</f>
        <v>0</v>
      </c>
      <c r="AU46" s="1411" t="n">
        <f aca="false">IF(ISNUMBER($AR46),SUMIF(AD$7:AD$503,$AR46,J$7:J$503),"")</f>
        <v>0</v>
      </c>
      <c r="AV46" s="1411" t="n">
        <f aca="false">IF(ISNUMBER($AR46),SUMIF(AF$7:AF$503,$AR46,L$7:L$503),"")</f>
        <v>0</v>
      </c>
      <c r="AW46" s="1423" t="n">
        <f aca="false">IF(ISNUMBER($AR46),SUMIF(AE$7:AE$503,$AR46,K$7:K$503),"")</f>
        <v>0</v>
      </c>
      <c r="AX46" s="1423" t="n">
        <f aca="false">IF(ISNUMBER($AR46),SUMIF(AG$7:AG$503,$AR46,M$7:M$503),"")</f>
        <v>0</v>
      </c>
      <c r="AY46" s="2" t="str">
        <f aca="false">IF($AT46&gt;0,VLOOKUP($AR46,'O_MN, PE_UTA_UGM 2024'!E42:O458,2),"")</f>
        <v/>
      </c>
      <c r="AZ46" s="1424"/>
      <c r="BA46" s="1424"/>
      <c r="BB46" s="1424" t="str">
        <f aca="false">IF($AT46&gt;0,VLOOKUP($AR46,'O_MN, PE_UTA_UGM 2024'!$E$3:$O$419,BB$6),"")</f>
        <v/>
      </c>
      <c r="BC46" s="1424" t="str">
        <f aca="false">IF($AT46&gt;0,VLOOKUP($AR46,'O_MN, PE_UTA_UGM 2024'!$E$3:$O$419,BC$6),"")</f>
        <v/>
      </c>
      <c r="BD46" s="1424" t="str">
        <f aca="false">IF($AT46&gt;0,VLOOKUP($AR46,'O_MN, PE_UTA_UGM 2024'!$E$3:$O$419,BD$6),"")</f>
        <v/>
      </c>
      <c r="BE46" s="1424" t="str">
        <f aca="false">IF($AT46&gt;0,VLOOKUP($AR46,'O_MN, PE_UTA_UGM 2024'!$E$3:$O$419,BE$6),"")</f>
        <v/>
      </c>
      <c r="BF46" s="1424" t="str">
        <f aca="false">IF($AT46&gt;0,VLOOKUP($AR46,'O_MN, PE_UTA_UGM 2024'!$E$3:$O$419,BF$6),"")</f>
        <v/>
      </c>
      <c r="BG46" s="1424" t="str">
        <f aca="false">IF($AT46&gt;0,VLOOKUP($AR46,'O_MN, PE_UTA_UGM 2024'!$E$3:$O$419,BG$6),"")</f>
        <v/>
      </c>
      <c r="BH46" s="872"/>
      <c r="BI46" s="872"/>
      <c r="BJ46" s="872"/>
      <c r="BK46" s="872"/>
      <c r="BM46" s="1411"/>
      <c r="BN46" s="1411"/>
      <c r="BO46" s="1425" t="str">
        <f aca="false">IF(ISNUMBER($AU46*BB46*1),$AU46*BB46*1,"")</f>
        <v/>
      </c>
      <c r="BP46" s="1425" t="str">
        <f aca="false">IF(ISNUMBER($AV46*BC46*1),$AV46*BC46*1,"")</f>
        <v/>
      </c>
      <c r="BQ46" s="1425" t="str">
        <f aca="false">IF(ISNUMBER($AU46*BD46*1),$AU46*BD46*1,"")</f>
        <v/>
      </c>
      <c r="BR46" s="1425" t="str">
        <f aca="false">IF(ISNUMBER($AV46*BE46*1),$AV46*BE46*1,"")</f>
        <v/>
      </c>
      <c r="BS46" s="1411" t="str">
        <f aca="false">IF(ISNUMBER($AU46*BF46),$AU46*BF46,"")</f>
        <v/>
      </c>
      <c r="BT46" s="1411" t="str">
        <f aca="false">IF(ISNUMBER($AV46*BG46),$AV46*BG46,"")</f>
        <v/>
      </c>
      <c r="BU46" s="1411"/>
      <c r="BV46" s="1411"/>
      <c r="BW46" s="1411"/>
      <c r="BX46" s="1411"/>
      <c r="BZ46" s="1372"/>
      <c r="CA46" s="1372"/>
      <c r="CB46" s="1426" t="str">
        <f aca="false">IF(ISNUMBER($AW46*BB46),$AW46*BB46,"")</f>
        <v/>
      </c>
      <c r="CC46" s="1426" t="str">
        <f aca="false">IF(ISNUMBER($AX46*BC46),$AX46*BC46,"")</f>
        <v/>
      </c>
      <c r="CD46" s="1426" t="str">
        <f aca="false">IF(ISNUMBER($AW46*BD46),$AW46*BD46,"")</f>
        <v/>
      </c>
      <c r="CE46" s="1426" t="str">
        <f aca="false">IF(ISNUMBER($AX46*BE46),$AX46*BE46,"")</f>
        <v/>
      </c>
      <c r="CF46" s="1372" t="str">
        <f aca="false">IF(ISNUMBER($AW46*BF46),$AW46*BF46,"")</f>
        <v/>
      </c>
      <c r="CG46" s="1372" t="str">
        <f aca="false">IF(ISNUMBER($AX46*BG46),$AX46*BG46,"")</f>
        <v/>
      </c>
      <c r="CH46" s="1438"/>
      <c r="CI46" s="1438"/>
      <c r="CJ46" s="1438"/>
      <c r="CK46" s="1438"/>
      <c r="CU46" s="1411"/>
      <c r="CV46" s="1411"/>
      <c r="CW46" s="1425"/>
      <c r="CX46" s="1425"/>
      <c r="CY46" s="1425"/>
      <c r="CZ46" s="1425"/>
      <c r="DA46" s="1411"/>
      <c r="DB46" s="1411"/>
      <c r="DC46" s="1411"/>
      <c r="DD46" s="1411"/>
      <c r="DE46" s="1411"/>
      <c r="DF46" s="1411"/>
      <c r="DH46" s="1432"/>
      <c r="DI46" s="1432"/>
      <c r="DJ46" s="1437"/>
      <c r="DK46" s="1437"/>
      <c r="DL46" s="1437"/>
      <c r="DM46" s="1437"/>
      <c r="DN46" s="1432"/>
      <c r="DO46" s="1432"/>
      <c r="DP46" s="1432"/>
      <c r="DQ46" s="1432"/>
      <c r="DR46" s="1432"/>
      <c r="DS46" s="1432"/>
      <c r="DT46" s="1316"/>
      <c r="DU46" s="1433"/>
      <c r="DV46" s="1433"/>
      <c r="DW46" s="1433"/>
      <c r="DX46" s="1433"/>
      <c r="DY46" s="1433"/>
      <c r="DZ46" s="1433"/>
      <c r="EA46" s="1433"/>
      <c r="EB46" s="1433"/>
    </row>
    <row r="47" customFormat="false" ht="14.25" hidden="false" customHeight="false" outlineLevel="0" collapsed="false">
      <c r="A47" s="2" t="n">
        <f aca="false">'V_DATOS PAC_SGA'!R42</f>
        <v>0</v>
      </c>
      <c r="B47" s="2" t="n">
        <f aca="false">IF(I47="IV",CONCATENATE('V_DATOS PAC_SGA'!R42,"4")+0,CONCATENATE('V_DATOS PAC_SGA'!R42,"0")+0)</f>
        <v>0</v>
      </c>
      <c r="C47" s="2" t="n">
        <f aca="false">'V_DATOS PAC_SGA'!S42</f>
        <v>0</v>
      </c>
      <c r="D47" s="1409" t="n">
        <f aca="false">'V_DATOS PAC_SGA'!Y42</f>
        <v>0</v>
      </c>
      <c r="E47" s="1410" t="str">
        <f aca="false">IF('V_DATOS PAC_SGA'!AV42="","Regadio",'V_DATOS PAC_SGA'!AV42)</f>
        <v>Regadio</v>
      </c>
      <c r="F47" s="1411" t="n">
        <f aca="false">'V_DATOS PAC_SGA'!BK42</f>
        <v>0</v>
      </c>
      <c r="G47" s="1412" t="n">
        <f aca="false">'V_DATOS PAC_SGA'!AN42</f>
        <v>0</v>
      </c>
      <c r="H47" s="1413" t="str">
        <f aca="false">IF(B47&gt;0,VLOOKUP(B47,'O_MN, PE_UTA_UGM 2024'!E$3:O$419,10),"")</f>
        <v/>
      </c>
      <c r="I47" s="1359" t="n">
        <f aca="false">'V_DATOS PAC_SGA'!BV42</f>
        <v>0</v>
      </c>
      <c r="J47" s="2" t="str">
        <f aca="false">IF(AND(J$4=$G47,J$6=$F47),$D47*J$5,"")</f>
        <v/>
      </c>
      <c r="K47" s="2" t="str">
        <f aca="false">IF(AND(K$4=$G47,K$6=$F47),$D47*K$5,"")</f>
        <v/>
      </c>
      <c r="L47" s="2" t="str">
        <f aca="false">IF(AND(L$4=$G47,L$6=$F47),$D47*L$5,"")</f>
        <v/>
      </c>
      <c r="M47" s="2" t="str">
        <f aca="false">IF(AND(M$4=$G47,M$6=$F47),$D47*M$5,"")</f>
        <v/>
      </c>
      <c r="N47" s="1414" t="n">
        <f aca="false">VLOOKUP(B47,'O_MN, PE_UTA_UGM 2024'!$E$2:$K$419,IF(G47&gt;1,6,7))</f>
        <v>0</v>
      </c>
      <c r="O47" s="1434" t="str">
        <f aca="false">IF($H47=O$4,$D47*$N47,"")</f>
        <v/>
      </c>
      <c r="P47" s="1435" t="str">
        <f aca="false">IF($H47=P$4,$D47*$N47,"")</f>
        <v/>
      </c>
      <c r="Q47" s="1435" t="str">
        <f aca="false">IF($H47=Q$4,$D47*$N47,"")</f>
        <v/>
      </c>
      <c r="R47" s="1435" t="str">
        <f aca="false">IF($H47=R$4,$D47*$N47,"")</f>
        <v/>
      </c>
      <c r="S47" s="1435" t="str">
        <f aca="false">IF($H47=S$4,$D47*$N47,"")</f>
        <v/>
      </c>
      <c r="T47" s="1435" t="str">
        <f aca="false">IF($H47=T$4,$D47*$N47,"")</f>
        <v/>
      </c>
      <c r="U47" s="1436" t="str">
        <f aca="false">IF($H47=U$4,$D47*$N47,"")</f>
        <v/>
      </c>
      <c r="V47" s="1418"/>
      <c r="W47" s="1419"/>
      <c r="X47" s="1419"/>
      <c r="Y47" s="1419"/>
      <c r="Z47" s="1419"/>
      <c r="AA47" s="1419"/>
      <c r="AB47" s="1420"/>
      <c r="AC47" s="1319"/>
      <c r="AD47" s="2" t="str">
        <f aca="false">IF(AND(AD$4=$G47,AD$6=$F47),$B47,"")</f>
        <v/>
      </c>
      <c r="AE47" s="2" t="str">
        <f aca="false">IF(AND(AE$4=$G47,AE$6=$F47),$B47,"")</f>
        <v/>
      </c>
      <c r="AF47" s="2" t="str">
        <f aca="false">IF(AND(AF$4=$G47,AF$6=$F47),$B47,"")</f>
        <v/>
      </c>
      <c r="AG47" s="2" t="str">
        <f aca="false">IF(AND(AG$4=$G47,AG$6=$F47),$B47,"")</f>
        <v/>
      </c>
      <c r="AI47" s="366"/>
      <c r="AL47" s="367"/>
      <c r="AO47" s="367"/>
      <c r="AP47" s="2" t="str">
        <f aca="false">IF(AT47&gt;0,RANK(AT47,AT$7:AT$423),"")</f>
        <v/>
      </c>
      <c r="AQ47" s="2" t="n">
        <f aca="false">'O_MN, PE_UTA_UGM 2024'!C43</f>
        <v>77</v>
      </c>
      <c r="AR47" s="1421" t="n">
        <v>740</v>
      </c>
      <c r="AS47" s="2" t="str">
        <f aca="false">IF(AY47&lt;&gt;"",AY47,"")</f>
        <v/>
      </c>
      <c r="AT47" s="1422" t="n">
        <f aca="false">IF(ISNUMBER($AR47),SUMIF(B$7:B$505,AR47,D$7:D$505),"")</f>
        <v>0</v>
      </c>
      <c r="AU47" s="1411" t="n">
        <f aca="false">IF(ISNUMBER($AR47),SUMIF(AD$7:AD$503,$AR47,J$7:J$503),"")</f>
        <v>0</v>
      </c>
      <c r="AV47" s="1411" t="n">
        <f aca="false">IF(ISNUMBER($AR47),SUMIF(AF$7:AF$503,$AR47,L$7:L$503),"")</f>
        <v>0</v>
      </c>
      <c r="AW47" s="1423" t="n">
        <f aca="false">IF(ISNUMBER($AR47),SUMIF(AE$7:AE$503,$AR47,K$7:K$503),"")</f>
        <v>0</v>
      </c>
      <c r="AX47" s="1423" t="n">
        <f aca="false">IF(ISNUMBER($AR47),SUMIF(AG$7:AG$503,$AR47,M$7:M$503),"")</f>
        <v>0</v>
      </c>
      <c r="AY47" s="2" t="str">
        <f aca="false">IF($AT47&gt;0,VLOOKUP($AR47,'O_MN, PE_UTA_UGM 2024'!E43:O459,2),"")</f>
        <v/>
      </c>
      <c r="AZ47" s="1424"/>
      <c r="BA47" s="1424"/>
      <c r="BB47" s="1424" t="str">
        <f aca="false">IF($AT47&gt;0,VLOOKUP($AR47,'O_MN, PE_UTA_UGM 2024'!$E$3:$O$419,BB$6),"")</f>
        <v/>
      </c>
      <c r="BC47" s="1424" t="str">
        <f aca="false">IF($AT47&gt;0,VLOOKUP($AR47,'O_MN, PE_UTA_UGM 2024'!$E$3:$O$419,BC$6),"")</f>
        <v/>
      </c>
      <c r="BD47" s="1424" t="str">
        <f aca="false">IF($AT47&gt;0,VLOOKUP($AR47,'O_MN, PE_UTA_UGM 2024'!$E$3:$O$419,BD$6),"")</f>
        <v/>
      </c>
      <c r="BE47" s="1424" t="str">
        <f aca="false">IF($AT47&gt;0,VLOOKUP($AR47,'O_MN, PE_UTA_UGM 2024'!$E$3:$O$419,BE$6),"")</f>
        <v/>
      </c>
      <c r="BF47" s="1424" t="str">
        <f aca="false">IF($AT47&gt;0,VLOOKUP($AR47,'O_MN, PE_UTA_UGM 2024'!$E$3:$O$419,BF$6),"")</f>
        <v/>
      </c>
      <c r="BG47" s="1424" t="str">
        <f aca="false">IF($AT47&gt;0,VLOOKUP($AR47,'O_MN, PE_UTA_UGM 2024'!$E$3:$O$419,BG$6),"")</f>
        <v/>
      </c>
      <c r="BH47" s="872"/>
      <c r="BI47" s="872"/>
      <c r="BJ47" s="872"/>
      <c r="BK47" s="872"/>
      <c r="BM47" s="1411"/>
      <c r="BN47" s="1411"/>
      <c r="BO47" s="1425" t="str">
        <f aca="false">IF(ISNUMBER($AU47*BB47*1),$AU47*BB47*1,"")</f>
        <v/>
      </c>
      <c r="BP47" s="1425" t="str">
        <f aca="false">IF(ISNUMBER($AV47*BC47*1),$AV47*BC47*1,"")</f>
        <v/>
      </c>
      <c r="BQ47" s="1425" t="str">
        <f aca="false">IF(ISNUMBER($AU47*BD47*1),$AU47*BD47*1,"")</f>
        <v/>
      </c>
      <c r="BR47" s="1425" t="str">
        <f aca="false">IF(ISNUMBER($AV47*BE47*1),$AV47*BE47*1,"")</f>
        <v/>
      </c>
      <c r="BS47" s="1411" t="str">
        <f aca="false">IF(ISNUMBER($AU47*BF47),$AU47*BF47,"")</f>
        <v/>
      </c>
      <c r="BT47" s="1411" t="str">
        <f aca="false">IF(ISNUMBER($AV47*BG47),$AV47*BG47,"")</f>
        <v/>
      </c>
      <c r="BU47" s="1411"/>
      <c r="BV47" s="1411"/>
      <c r="BW47" s="1411"/>
      <c r="BX47" s="1411"/>
      <c r="BZ47" s="1372"/>
      <c r="CA47" s="1372"/>
      <c r="CB47" s="1426" t="str">
        <f aca="false">IF(ISNUMBER($AW47*BB47),$AW47*BB47,"")</f>
        <v/>
      </c>
      <c r="CC47" s="1426" t="str">
        <f aca="false">IF(ISNUMBER($AX47*BC47),$AX47*BC47,"")</f>
        <v/>
      </c>
      <c r="CD47" s="1426" t="str">
        <f aca="false">IF(ISNUMBER($AW47*BD47),$AW47*BD47,"")</f>
        <v/>
      </c>
      <c r="CE47" s="1426" t="str">
        <f aca="false">IF(ISNUMBER($AX47*BE47),$AX47*BE47,"")</f>
        <v/>
      </c>
      <c r="CF47" s="1372" t="str">
        <f aca="false">IF(ISNUMBER($AW47*BF47),$AW47*BF47,"")</f>
        <v/>
      </c>
      <c r="CG47" s="1372" t="str">
        <f aca="false">IF(ISNUMBER($AX47*BG47),$AX47*BG47,"")</f>
        <v/>
      </c>
      <c r="CH47" s="1438"/>
      <c r="CI47" s="1438"/>
      <c r="CJ47" s="1438"/>
      <c r="CK47" s="1438"/>
      <c r="CU47" s="1411"/>
      <c r="CV47" s="1411"/>
      <c r="CW47" s="1425"/>
      <c r="CX47" s="1425"/>
      <c r="CY47" s="1425"/>
      <c r="CZ47" s="1425"/>
      <c r="DA47" s="1411"/>
      <c r="DB47" s="1411"/>
      <c r="DC47" s="1411"/>
      <c r="DD47" s="1411"/>
      <c r="DE47" s="1411"/>
      <c r="DF47" s="1411"/>
      <c r="DH47" s="1432"/>
      <c r="DI47" s="1432"/>
      <c r="DJ47" s="1437"/>
      <c r="DK47" s="1437"/>
      <c r="DL47" s="1437"/>
      <c r="DM47" s="1437"/>
      <c r="DN47" s="1432"/>
      <c r="DO47" s="1432"/>
      <c r="DP47" s="1432"/>
      <c r="DQ47" s="1432"/>
      <c r="DR47" s="1432"/>
      <c r="DS47" s="1432"/>
      <c r="DT47" s="1316"/>
      <c r="DU47" s="1433"/>
      <c r="DV47" s="1433"/>
      <c r="DW47" s="1433"/>
      <c r="DX47" s="1433"/>
      <c r="DY47" s="1433"/>
      <c r="DZ47" s="1433"/>
      <c r="EA47" s="1433"/>
      <c r="EB47" s="1433"/>
    </row>
    <row r="48" customFormat="false" ht="14.25" hidden="false" customHeight="false" outlineLevel="0" collapsed="false">
      <c r="A48" s="2" t="n">
        <f aca="false">'V_DATOS PAC_SGA'!R43</f>
        <v>0</v>
      </c>
      <c r="B48" s="2" t="n">
        <f aca="false">IF(I48="IV",CONCATENATE('V_DATOS PAC_SGA'!R43,"4")+0,CONCATENATE('V_DATOS PAC_SGA'!R43,"0")+0)</f>
        <v>0</v>
      </c>
      <c r="C48" s="2" t="n">
        <f aca="false">'V_DATOS PAC_SGA'!S43</f>
        <v>0</v>
      </c>
      <c r="D48" s="1409" t="n">
        <f aca="false">'V_DATOS PAC_SGA'!Y43</f>
        <v>0</v>
      </c>
      <c r="E48" s="1410" t="str">
        <f aca="false">IF('V_DATOS PAC_SGA'!AV43="","Regadio",'V_DATOS PAC_SGA'!AV43)</f>
        <v>Regadio</v>
      </c>
      <c r="F48" s="1411" t="n">
        <f aca="false">'V_DATOS PAC_SGA'!BK43</f>
        <v>0</v>
      </c>
      <c r="G48" s="1412" t="n">
        <f aca="false">'V_DATOS PAC_SGA'!AN43</f>
        <v>0</v>
      </c>
      <c r="H48" s="1413" t="str">
        <f aca="false">IF(B48&gt;0,VLOOKUP(B48,'O_MN, PE_UTA_UGM 2024'!E$3:O$419,10),"")</f>
        <v/>
      </c>
      <c r="I48" s="1359" t="n">
        <f aca="false">'V_DATOS PAC_SGA'!BV43</f>
        <v>0</v>
      </c>
      <c r="J48" s="2" t="str">
        <f aca="false">IF(AND(J$4=$G48,J$6=$F48),$D48*J$5,"")</f>
        <v/>
      </c>
      <c r="K48" s="2" t="str">
        <f aca="false">IF(AND(K$4=$G48,K$6=$F48),$D48*K$5,"")</f>
        <v/>
      </c>
      <c r="L48" s="2" t="str">
        <f aca="false">IF(AND(L$4=$G48,L$6=$F48),$D48*L$5,"")</f>
        <v/>
      </c>
      <c r="M48" s="2" t="str">
        <f aca="false">IF(AND(M$4=$G48,M$6=$F48),$D48*M$5,"")</f>
        <v/>
      </c>
      <c r="N48" s="1414" t="n">
        <f aca="false">VLOOKUP(B48,'O_MN, PE_UTA_UGM 2024'!$E$2:$K$419,IF(G48&gt;1,6,7))</f>
        <v>0</v>
      </c>
      <c r="O48" s="1434" t="str">
        <f aca="false">IF($H48=O$4,$D48*$N48,"")</f>
        <v/>
      </c>
      <c r="P48" s="1435" t="str">
        <f aca="false">IF($H48=P$4,$D48*$N48,"")</f>
        <v/>
      </c>
      <c r="Q48" s="1435" t="str">
        <f aca="false">IF($H48=Q$4,$D48*$N48,"")</f>
        <v/>
      </c>
      <c r="R48" s="1435" t="str">
        <f aca="false">IF($H48=R$4,$D48*$N48,"")</f>
        <v/>
      </c>
      <c r="S48" s="1435" t="str">
        <f aca="false">IF($H48=S$4,$D48*$N48,"")</f>
        <v/>
      </c>
      <c r="T48" s="1435" t="str">
        <f aca="false">IF($H48=T$4,$D48*$N48,"")</f>
        <v/>
      </c>
      <c r="U48" s="1436" t="str">
        <f aca="false">IF($H48=U$4,$D48*$N48,"")</f>
        <v/>
      </c>
      <c r="V48" s="1418"/>
      <c r="W48" s="1419"/>
      <c r="X48" s="1419"/>
      <c r="Y48" s="1419"/>
      <c r="Z48" s="1419"/>
      <c r="AA48" s="1419"/>
      <c r="AB48" s="1420"/>
      <c r="AC48" s="1319"/>
      <c r="AD48" s="2" t="str">
        <f aca="false">IF(AND(AD$4=$G48,AD$6=$F48),$B48,"")</f>
        <v/>
      </c>
      <c r="AE48" s="2" t="str">
        <f aca="false">IF(AND(AE$4=$G48,AE$6=$F48),$B48,"")</f>
        <v/>
      </c>
      <c r="AF48" s="2" t="str">
        <f aca="false">IF(AND(AF$4=$G48,AF$6=$F48),$B48,"")</f>
        <v/>
      </c>
      <c r="AG48" s="2" t="str">
        <f aca="false">IF(AND(AG$4=$G48,AG$6=$F48),$B48,"")</f>
        <v/>
      </c>
      <c r="AI48" s="366"/>
      <c r="AL48" s="367"/>
      <c r="AO48" s="367"/>
      <c r="AP48" s="2" t="str">
        <f aca="false">IF(AT48&gt;0,RANK(AT48,AT$7:AT$423),"")</f>
        <v/>
      </c>
      <c r="AQ48" s="2" t="n">
        <f aca="false">'O_MN, PE_UTA_UGM 2024'!C44</f>
        <v>78</v>
      </c>
      <c r="AR48" s="1421" t="n">
        <v>760</v>
      </c>
      <c r="AS48" s="2" t="str">
        <f aca="false">IF(AY48&lt;&gt;"",AY48,"")</f>
        <v/>
      </c>
      <c r="AT48" s="1422" t="n">
        <f aca="false">IF(ISNUMBER($AR48),SUMIF(B$7:B$505,AR48,D$7:D$505),"")</f>
        <v>0</v>
      </c>
      <c r="AU48" s="1411" t="n">
        <f aca="false">IF(ISNUMBER($AR48),SUMIF(AD$7:AD$503,$AR48,J$7:J$503),"")</f>
        <v>0</v>
      </c>
      <c r="AV48" s="1411" t="n">
        <f aca="false">IF(ISNUMBER($AR48),SUMIF(AF$7:AF$503,$AR48,L$7:L$503),"")</f>
        <v>0</v>
      </c>
      <c r="AW48" s="1423" t="n">
        <f aca="false">IF(ISNUMBER($AR48),SUMIF(AE$7:AE$503,$AR48,K$7:K$503),"")</f>
        <v>0</v>
      </c>
      <c r="AX48" s="1423" t="n">
        <f aca="false">IF(ISNUMBER($AR48),SUMIF(AG$7:AG$503,$AR48,M$7:M$503),"")</f>
        <v>0</v>
      </c>
      <c r="AY48" s="2" t="str">
        <f aca="false">IF($AT48&gt;0,VLOOKUP($AR48,'O_MN, PE_UTA_UGM 2024'!E44:O460,2),"")</f>
        <v/>
      </c>
      <c r="AZ48" s="1424"/>
      <c r="BA48" s="1424"/>
      <c r="BB48" s="1424" t="str">
        <f aca="false">IF($AT48&gt;0,VLOOKUP($AR48,'O_MN, PE_UTA_UGM 2024'!$E$3:$O$419,BB$6),"")</f>
        <v/>
      </c>
      <c r="BC48" s="1424" t="str">
        <f aca="false">IF($AT48&gt;0,VLOOKUP($AR48,'O_MN, PE_UTA_UGM 2024'!$E$3:$O$419,BC$6),"")</f>
        <v/>
      </c>
      <c r="BD48" s="1424" t="str">
        <f aca="false">IF($AT48&gt;0,VLOOKUP($AR48,'O_MN, PE_UTA_UGM 2024'!$E$3:$O$419,BD$6),"")</f>
        <v/>
      </c>
      <c r="BE48" s="1424" t="str">
        <f aca="false">IF($AT48&gt;0,VLOOKUP($AR48,'O_MN, PE_UTA_UGM 2024'!$E$3:$O$419,BE$6),"")</f>
        <v/>
      </c>
      <c r="BF48" s="1424" t="str">
        <f aca="false">IF($AT48&gt;0,VLOOKUP($AR48,'O_MN, PE_UTA_UGM 2024'!$E$3:$O$419,BF$6),"")</f>
        <v/>
      </c>
      <c r="BG48" s="1424" t="str">
        <f aca="false">IF($AT48&gt;0,VLOOKUP($AR48,'O_MN, PE_UTA_UGM 2024'!$E$3:$O$419,BG$6),"")</f>
        <v/>
      </c>
      <c r="BH48" s="872"/>
      <c r="BI48" s="872"/>
      <c r="BJ48" s="872"/>
      <c r="BK48" s="872"/>
      <c r="BM48" s="1411"/>
      <c r="BN48" s="1411"/>
      <c r="BO48" s="1425" t="str">
        <f aca="false">IF(ISNUMBER($AU48*BB48*1),$AU48*BB48*1,"")</f>
        <v/>
      </c>
      <c r="BP48" s="1425" t="str">
        <f aca="false">IF(ISNUMBER($AV48*BC48*1),$AV48*BC48*1,"")</f>
        <v/>
      </c>
      <c r="BQ48" s="1425" t="str">
        <f aca="false">IF(ISNUMBER($AU48*BD48*1),$AU48*BD48*1,"")</f>
        <v/>
      </c>
      <c r="BR48" s="1425" t="str">
        <f aca="false">IF(ISNUMBER($AV48*BE48*1),$AV48*BE48*1,"")</f>
        <v/>
      </c>
      <c r="BS48" s="1411" t="str">
        <f aca="false">IF(ISNUMBER($AU48*BF48),$AU48*BF48,"")</f>
        <v/>
      </c>
      <c r="BT48" s="1411" t="str">
        <f aca="false">IF(ISNUMBER($AV48*BG48),$AV48*BG48,"")</f>
        <v/>
      </c>
      <c r="BU48" s="1411"/>
      <c r="BV48" s="1411"/>
      <c r="BW48" s="1411"/>
      <c r="BX48" s="1411"/>
      <c r="BZ48" s="1372"/>
      <c r="CA48" s="1372"/>
      <c r="CB48" s="1426" t="str">
        <f aca="false">IF(ISNUMBER($AW48*BB48),$AW48*BB48,"")</f>
        <v/>
      </c>
      <c r="CC48" s="1426" t="str">
        <f aca="false">IF(ISNUMBER($AX48*BC48),$AX48*BC48,"")</f>
        <v/>
      </c>
      <c r="CD48" s="1426" t="str">
        <f aca="false">IF(ISNUMBER($AW48*BD48),$AW48*BD48,"")</f>
        <v/>
      </c>
      <c r="CE48" s="1426" t="str">
        <f aca="false">IF(ISNUMBER($AX48*BE48),$AX48*BE48,"")</f>
        <v/>
      </c>
      <c r="CF48" s="1372" t="str">
        <f aca="false">IF(ISNUMBER($AW48*BF48),$AW48*BF48,"")</f>
        <v/>
      </c>
      <c r="CG48" s="1372" t="str">
        <f aca="false">IF(ISNUMBER($AX48*BG48),$AX48*BG48,"")</f>
        <v/>
      </c>
      <c r="CH48" s="1438"/>
      <c r="CI48" s="1438"/>
      <c r="CJ48" s="1438"/>
      <c r="CK48" s="1438"/>
      <c r="CU48" s="1411"/>
      <c r="CV48" s="1411"/>
      <c r="CW48" s="1425"/>
      <c r="CX48" s="1425"/>
      <c r="CY48" s="1425"/>
      <c r="CZ48" s="1425"/>
      <c r="DA48" s="1411"/>
      <c r="DB48" s="1411"/>
      <c r="DC48" s="1411"/>
      <c r="DD48" s="1411"/>
      <c r="DE48" s="1411"/>
      <c r="DF48" s="1411"/>
      <c r="DH48" s="1432"/>
      <c r="DI48" s="1432"/>
      <c r="DJ48" s="1437"/>
      <c r="DK48" s="1437"/>
      <c r="DL48" s="1437"/>
      <c r="DM48" s="1437"/>
      <c r="DN48" s="1432"/>
      <c r="DO48" s="1432"/>
      <c r="DP48" s="1432"/>
      <c r="DQ48" s="1432"/>
      <c r="DR48" s="1432"/>
      <c r="DS48" s="1432"/>
      <c r="DT48" s="1316"/>
      <c r="DU48" s="1433"/>
      <c r="DV48" s="1433"/>
      <c r="DW48" s="1433"/>
      <c r="DX48" s="1433"/>
      <c r="DY48" s="1433"/>
      <c r="DZ48" s="1433"/>
      <c r="EA48" s="1433"/>
      <c r="EB48" s="1433"/>
    </row>
    <row r="49" customFormat="false" ht="14.25" hidden="false" customHeight="false" outlineLevel="0" collapsed="false">
      <c r="A49" s="2" t="n">
        <f aca="false">'V_DATOS PAC_SGA'!R44</f>
        <v>0</v>
      </c>
      <c r="B49" s="2" t="n">
        <f aca="false">IF(I49="IV",CONCATENATE('V_DATOS PAC_SGA'!R44,"4")+0,CONCATENATE('V_DATOS PAC_SGA'!R44,"0")+0)</f>
        <v>0</v>
      </c>
      <c r="C49" s="2" t="n">
        <f aca="false">'V_DATOS PAC_SGA'!S44</f>
        <v>0</v>
      </c>
      <c r="D49" s="1409" t="n">
        <f aca="false">'V_DATOS PAC_SGA'!Y44</f>
        <v>0</v>
      </c>
      <c r="E49" s="1410" t="str">
        <f aca="false">IF('V_DATOS PAC_SGA'!AV44="","Regadio",'V_DATOS PAC_SGA'!AV44)</f>
        <v>Regadio</v>
      </c>
      <c r="F49" s="1411" t="n">
        <f aca="false">'V_DATOS PAC_SGA'!BK44</f>
        <v>0</v>
      </c>
      <c r="G49" s="1412" t="n">
        <f aca="false">'V_DATOS PAC_SGA'!AN44</f>
        <v>0</v>
      </c>
      <c r="H49" s="1413" t="str">
        <f aca="false">IF(B49&gt;0,VLOOKUP(B49,'O_MN, PE_UTA_UGM 2024'!E$3:O$419,10),"")</f>
        <v/>
      </c>
      <c r="I49" s="1359" t="n">
        <f aca="false">'V_DATOS PAC_SGA'!BV44</f>
        <v>0</v>
      </c>
      <c r="J49" s="2" t="str">
        <f aca="false">IF(AND(J$4=$G49,J$6=$F49),$D49*J$5,"")</f>
        <v/>
      </c>
      <c r="K49" s="2" t="str">
        <f aca="false">IF(AND(K$4=$G49,K$6=$F49),$D49*K$5,"")</f>
        <v/>
      </c>
      <c r="L49" s="2" t="str">
        <f aca="false">IF(AND(L$4=$G49,L$6=$F49),$D49*L$5,"")</f>
        <v/>
      </c>
      <c r="M49" s="2" t="str">
        <f aca="false">IF(AND(M$4=$G49,M$6=$F49),$D49*M$5,"")</f>
        <v/>
      </c>
      <c r="N49" s="1414" t="n">
        <f aca="false">VLOOKUP(B49,'O_MN, PE_UTA_UGM 2024'!$E$2:$K$419,IF(G49&gt;1,6,7))</f>
        <v>0</v>
      </c>
      <c r="O49" s="1434" t="str">
        <f aca="false">IF($H49=O$4,$D49*$N49,"")</f>
        <v/>
      </c>
      <c r="P49" s="1435" t="str">
        <f aca="false">IF($H49=P$4,$D49*$N49,"")</f>
        <v/>
      </c>
      <c r="Q49" s="1435" t="str">
        <f aca="false">IF($H49=Q$4,$D49*$N49,"")</f>
        <v/>
      </c>
      <c r="R49" s="1435" t="str">
        <f aca="false">IF($H49=R$4,$D49*$N49,"")</f>
        <v/>
      </c>
      <c r="S49" s="1435" t="str">
        <f aca="false">IF($H49=S$4,$D49*$N49,"")</f>
        <v/>
      </c>
      <c r="T49" s="1435" t="str">
        <f aca="false">IF($H49=T$4,$D49*$N49,"")</f>
        <v/>
      </c>
      <c r="U49" s="1436" t="str">
        <f aca="false">IF($H49=U$4,$D49*$N49,"")</f>
        <v/>
      </c>
      <c r="V49" s="1418"/>
      <c r="W49" s="1419"/>
      <c r="X49" s="1419"/>
      <c r="Y49" s="1419"/>
      <c r="Z49" s="1419"/>
      <c r="AA49" s="1419"/>
      <c r="AB49" s="1420"/>
      <c r="AC49" s="1319"/>
      <c r="AD49" s="2" t="str">
        <f aca="false">IF(AND(AD$4=$G49,AD$6=$F49),$B49,"")</f>
        <v/>
      </c>
      <c r="AE49" s="2" t="str">
        <f aca="false">IF(AND(AE$4=$G49,AE$6=$F49),$B49,"")</f>
        <v/>
      </c>
      <c r="AF49" s="2" t="str">
        <f aca="false">IF(AND(AF$4=$G49,AF$6=$F49),$B49,"")</f>
        <v/>
      </c>
      <c r="AG49" s="2" t="str">
        <f aca="false">IF(AND(AG$4=$G49,AG$6=$F49),$B49,"")</f>
        <v/>
      </c>
      <c r="AI49" s="366"/>
      <c r="AL49" s="367"/>
      <c r="AO49" s="367"/>
      <c r="AP49" s="2" t="str">
        <f aca="false">IF(AT49&gt;0,RANK(AT49,AT$7:AT$423),"")</f>
        <v/>
      </c>
      <c r="AQ49" s="2" t="n">
        <f aca="false">'O_MN, PE_UTA_UGM 2024'!C45</f>
        <v>80</v>
      </c>
      <c r="AR49" s="1421" t="n">
        <v>770</v>
      </c>
      <c r="AS49" s="2" t="str">
        <f aca="false">IF(AY49&lt;&gt;"",AY49,"")</f>
        <v/>
      </c>
      <c r="AT49" s="1422" t="n">
        <f aca="false">IF(ISNUMBER($AR49),SUMIF(B$7:B$505,AR49,D$7:D$505),"")</f>
        <v>0</v>
      </c>
      <c r="AU49" s="1411" t="n">
        <f aca="false">IF(ISNUMBER($AR49),SUMIF(AD$7:AD$503,$AR49,J$7:J$503),"")</f>
        <v>0</v>
      </c>
      <c r="AV49" s="1411" t="n">
        <f aca="false">IF(ISNUMBER($AR49),SUMIF(AF$7:AF$503,$AR49,L$7:L$503),"")</f>
        <v>0</v>
      </c>
      <c r="AW49" s="1423" t="n">
        <f aca="false">IF(ISNUMBER($AR49),SUMIF(AE$7:AE$503,$AR49,K$7:K$503),"")</f>
        <v>0</v>
      </c>
      <c r="AX49" s="1423" t="n">
        <f aca="false">IF(ISNUMBER($AR49),SUMIF(AG$7:AG$503,$AR49,M$7:M$503),"")</f>
        <v>0</v>
      </c>
      <c r="AY49" s="2" t="str">
        <f aca="false">IF($AT49&gt;0,VLOOKUP($AR49,'O_MN, PE_UTA_UGM 2024'!E45:O461,2),"")</f>
        <v/>
      </c>
      <c r="AZ49" s="1424"/>
      <c r="BA49" s="1424"/>
      <c r="BB49" s="1424" t="str">
        <f aca="false">IF($AT49&gt;0,VLOOKUP($AR49,'O_MN, PE_UTA_UGM 2024'!$E$3:$O$419,BB$6),"")</f>
        <v/>
      </c>
      <c r="BC49" s="1424" t="str">
        <f aca="false">IF($AT49&gt;0,VLOOKUP($AR49,'O_MN, PE_UTA_UGM 2024'!$E$3:$O$419,BC$6),"")</f>
        <v/>
      </c>
      <c r="BD49" s="1424" t="str">
        <f aca="false">IF($AT49&gt;0,VLOOKUP($AR49,'O_MN, PE_UTA_UGM 2024'!$E$3:$O$419,BD$6),"")</f>
        <v/>
      </c>
      <c r="BE49" s="1424" t="str">
        <f aca="false">IF($AT49&gt;0,VLOOKUP($AR49,'O_MN, PE_UTA_UGM 2024'!$E$3:$O$419,BE$6),"")</f>
        <v/>
      </c>
      <c r="BF49" s="1424" t="str">
        <f aca="false">IF($AT49&gt;0,VLOOKUP($AR49,'O_MN, PE_UTA_UGM 2024'!$E$3:$O$419,BF$6),"")</f>
        <v/>
      </c>
      <c r="BG49" s="1424" t="str">
        <f aca="false">IF($AT49&gt;0,VLOOKUP($AR49,'O_MN, PE_UTA_UGM 2024'!$E$3:$O$419,BG$6),"")</f>
        <v/>
      </c>
      <c r="BH49" s="872"/>
      <c r="BI49" s="872"/>
      <c r="BJ49" s="872"/>
      <c r="BK49" s="872"/>
      <c r="BM49" s="1411"/>
      <c r="BN49" s="1411"/>
      <c r="BO49" s="1425" t="str">
        <f aca="false">IF(ISNUMBER($AU49*BB49*1),$AU49*BB49*1,"")</f>
        <v/>
      </c>
      <c r="BP49" s="1425" t="str">
        <f aca="false">IF(ISNUMBER($AV49*BC49*1),$AV49*BC49*1,"")</f>
        <v/>
      </c>
      <c r="BQ49" s="1425" t="str">
        <f aca="false">IF(ISNUMBER($AU49*BD49*1),$AU49*BD49*1,"")</f>
        <v/>
      </c>
      <c r="BR49" s="1425" t="str">
        <f aca="false">IF(ISNUMBER($AV49*BE49*1),$AV49*BE49*1,"")</f>
        <v/>
      </c>
      <c r="BS49" s="1411" t="str">
        <f aca="false">IF(ISNUMBER($AU49*BF49),$AU49*BF49,"")</f>
        <v/>
      </c>
      <c r="BT49" s="1411" t="str">
        <f aca="false">IF(ISNUMBER($AV49*BG49),$AV49*BG49,"")</f>
        <v/>
      </c>
      <c r="BU49" s="1411"/>
      <c r="BV49" s="1411"/>
      <c r="BW49" s="1411"/>
      <c r="BX49" s="1411"/>
      <c r="BZ49" s="1372"/>
      <c r="CA49" s="1372"/>
      <c r="CB49" s="1426" t="str">
        <f aca="false">IF(ISNUMBER($AW49*BB49),$AW49*BB49,"")</f>
        <v/>
      </c>
      <c r="CC49" s="1426" t="str">
        <f aca="false">IF(ISNUMBER($AX49*BC49),$AX49*BC49,"")</f>
        <v/>
      </c>
      <c r="CD49" s="1426" t="str">
        <f aca="false">IF(ISNUMBER($AW49*BD49),$AW49*BD49,"")</f>
        <v/>
      </c>
      <c r="CE49" s="1426" t="str">
        <f aca="false">IF(ISNUMBER($AX49*BE49),$AX49*BE49,"")</f>
        <v/>
      </c>
      <c r="CF49" s="1372" t="str">
        <f aca="false">IF(ISNUMBER($AW49*BF49),$AW49*BF49,"")</f>
        <v/>
      </c>
      <c r="CG49" s="1372" t="str">
        <f aca="false">IF(ISNUMBER($AX49*BG49),$AX49*BG49,"")</f>
        <v/>
      </c>
      <c r="CH49" s="1438"/>
      <c r="CI49" s="1438"/>
      <c r="CJ49" s="1438"/>
      <c r="CK49" s="1438"/>
      <c r="CU49" s="1411"/>
      <c r="CV49" s="1411"/>
      <c r="CW49" s="1425"/>
      <c r="CX49" s="1425"/>
      <c r="CY49" s="1425"/>
      <c r="CZ49" s="1425"/>
      <c r="DA49" s="1411"/>
      <c r="DB49" s="1411"/>
      <c r="DC49" s="1411"/>
      <c r="DD49" s="1411"/>
      <c r="DE49" s="1411"/>
      <c r="DF49" s="1411"/>
      <c r="DH49" s="1432"/>
      <c r="DI49" s="1432"/>
      <c r="DJ49" s="1437"/>
      <c r="DK49" s="1437"/>
      <c r="DL49" s="1437"/>
      <c r="DM49" s="1437"/>
      <c r="DN49" s="1432"/>
      <c r="DO49" s="1432"/>
      <c r="DP49" s="1432"/>
      <c r="DQ49" s="1432"/>
      <c r="DR49" s="1432"/>
      <c r="DS49" s="1432"/>
      <c r="DT49" s="1316"/>
      <c r="DU49" s="1433"/>
      <c r="DV49" s="1433"/>
      <c r="DW49" s="1433"/>
      <c r="DX49" s="1433"/>
      <c r="DY49" s="1433"/>
      <c r="DZ49" s="1433"/>
      <c r="EA49" s="1433"/>
      <c r="EB49" s="1433"/>
    </row>
    <row r="50" customFormat="false" ht="14.25" hidden="false" customHeight="false" outlineLevel="0" collapsed="false">
      <c r="A50" s="2" t="n">
        <f aca="false">'V_DATOS PAC_SGA'!R45</f>
        <v>0</v>
      </c>
      <c r="B50" s="2" t="n">
        <f aca="false">IF(I50="IV",CONCATENATE('V_DATOS PAC_SGA'!R45,"4")+0,CONCATENATE('V_DATOS PAC_SGA'!R45,"0")+0)</f>
        <v>0</v>
      </c>
      <c r="C50" s="2" t="n">
        <f aca="false">'V_DATOS PAC_SGA'!S45</f>
        <v>0</v>
      </c>
      <c r="D50" s="1409" t="n">
        <f aca="false">'V_DATOS PAC_SGA'!Y45</f>
        <v>0</v>
      </c>
      <c r="E50" s="1410" t="str">
        <f aca="false">IF('V_DATOS PAC_SGA'!AV45="","Regadio",'V_DATOS PAC_SGA'!AV45)</f>
        <v>Regadio</v>
      </c>
      <c r="F50" s="1411" t="n">
        <f aca="false">'V_DATOS PAC_SGA'!BK45</f>
        <v>0</v>
      </c>
      <c r="G50" s="1412" t="n">
        <f aca="false">'V_DATOS PAC_SGA'!AN45</f>
        <v>0</v>
      </c>
      <c r="H50" s="1413" t="str">
        <f aca="false">IF(B50&gt;0,VLOOKUP(B50,'O_MN, PE_UTA_UGM 2024'!E$3:O$419,10),"")</f>
        <v/>
      </c>
      <c r="I50" s="1359" t="n">
        <f aca="false">'V_DATOS PAC_SGA'!BV45</f>
        <v>0</v>
      </c>
      <c r="J50" s="2" t="str">
        <f aca="false">IF(AND(J$4=$G50,J$6=$F50),$D50*J$5,"")</f>
        <v/>
      </c>
      <c r="K50" s="2" t="str">
        <f aca="false">IF(AND(K$4=$G50,K$6=$F50),$D50*K$5,"")</f>
        <v/>
      </c>
      <c r="L50" s="2" t="str">
        <f aca="false">IF(AND(L$4=$G50,L$6=$F50),$D50*L$5,"")</f>
        <v/>
      </c>
      <c r="M50" s="2" t="str">
        <f aca="false">IF(AND(M$4=$G50,M$6=$F50),$D50*M$5,"")</f>
        <v/>
      </c>
      <c r="N50" s="1414" t="n">
        <f aca="false">VLOOKUP(B50,'O_MN, PE_UTA_UGM 2024'!$E$2:$K$419,IF(G50&gt;1,6,7))</f>
        <v>0</v>
      </c>
      <c r="O50" s="1434" t="str">
        <f aca="false">IF($H50=O$4,$D50*$N50,"")</f>
        <v/>
      </c>
      <c r="P50" s="1435" t="str">
        <f aca="false">IF($H50=P$4,$D50*$N50,"")</f>
        <v/>
      </c>
      <c r="Q50" s="1435" t="str">
        <f aca="false">IF($H50=Q$4,$D50*$N50,"")</f>
        <v/>
      </c>
      <c r="R50" s="1435" t="str">
        <f aca="false">IF($H50=R$4,$D50*$N50,"")</f>
        <v/>
      </c>
      <c r="S50" s="1435" t="str">
        <f aca="false">IF($H50=S$4,$D50*$N50,"")</f>
        <v/>
      </c>
      <c r="T50" s="1435" t="str">
        <f aca="false">IF($H50=T$4,$D50*$N50,"")</f>
        <v/>
      </c>
      <c r="U50" s="1436" t="str">
        <f aca="false">IF($H50=U$4,$D50*$N50,"")</f>
        <v/>
      </c>
      <c r="V50" s="1418"/>
      <c r="W50" s="1419"/>
      <c r="X50" s="1419"/>
      <c r="Y50" s="1419"/>
      <c r="Z50" s="1419"/>
      <c r="AA50" s="1419"/>
      <c r="AB50" s="1420"/>
      <c r="AC50" s="1319"/>
      <c r="AD50" s="2" t="str">
        <f aca="false">IF(AND(AD$4=$G50,AD$6=$F50),$B50,"")</f>
        <v/>
      </c>
      <c r="AE50" s="2" t="str">
        <f aca="false">IF(AND(AE$4=$G50,AE$6=$F50),$B50,"")</f>
        <v/>
      </c>
      <c r="AF50" s="2" t="str">
        <f aca="false">IF(AND(AF$4=$G50,AF$6=$F50),$B50,"")</f>
        <v/>
      </c>
      <c r="AG50" s="2" t="str">
        <f aca="false">IF(AND(AG$4=$G50,AG$6=$F50),$B50,"")</f>
        <v/>
      </c>
      <c r="AI50" s="366"/>
      <c r="AL50" s="367"/>
      <c r="AO50" s="367"/>
      <c r="AP50" s="2" t="str">
        <f aca="false">IF(AT50&gt;0,RANK(AT50,AT$7:AT$423),"")</f>
        <v/>
      </c>
      <c r="AQ50" s="2" t="n">
        <f aca="false">'O_MN, PE_UTA_UGM 2024'!C46</f>
        <v>82</v>
      </c>
      <c r="AR50" s="1421" t="n">
        <v>780</v>
      </c>
      <c r="AS50" s="2" t="str">
        <f aca="false">IF(AY50&lt;&gt;"",AY50,"")</f>
        <v/>
      </c>
      <c r="AT50" s="1422" t="n">
        <f aca="false">IF(ISNUMBER($AR50),SUMIF(B$7:B$505,AR50,D$7:D$505),"")</f>
        <v>0</v>
      </c>
      <c r="AU50" s="1411" t="n">
        <f aca="false">IF(ISNUMBER($AR50),SUMIF(AD$7:AD$503,$AR50,J$7:J$503),"")</f>
        <v>0</v>
      </c>
      <c r="AV50" s="1411" t="n">
        <f aca="false">IF(ISNUMBER($AR50),SUMIF(AF$7:AF$503,$AR50,L$7:L$503),"")</f>
        <v>0</v>
      </c>
      <c r="AW50" s="1423" t="n">
        <f aca="false">IF(ISNUMBER($AR50),SUMIF(AE$7:AE$503,$AR50,K$7:K$503),"")</f>
        <v>0</v>
      </c>
      <c r="AX50" s="1423" t="n">
        <f aca="false">IF(ISNUMBER($AR50),SUMIF(AG$7:AG$503,$AR50,M$7:M$503),"")</f>
        <v>0</v>
      </c>
      <c r="AY50" s="2" t="str">
        <f aca="false">IF($AT50&gt;0,VLOOKUP($AR50,'O_MN, PE_UTA_UGM 2024'!E46:O462,2),"")</f>
        <v/>
      </c>
      <c r="AZ50" s="1424"/>
      <c r="BA50" s="1424"/>
      <c r="BB50" s="1424" t="str">
        <f aca="false">IF($AT50&gt;0,VLOOKUP($AR50,'O_MN, PE_UTA_UGM 2024'!$E$3:$O$419,BB$6),"")</f>
        <v/>
      </c>
      <c r="BC50" s="1424" t="str">
        <f aca="false">IF($AT50&gt;0,VLOOKUP($AR50,'O_MN, PE_UTA_UGM 2024'!$E$3:$O$419,BC$6),"")</f>
        <v/>
      </c>
      <c r="BD50" s="1424" t="str">
        <f aca="false">IF($AT50&gt;0,VLOOKUP($AR50,'O_MN, PE_UTA_UGM 2024'!$E$3:$O$419,BD$6),"")</f>
        <v/>
      </c>
      <c r="BE50" s="1424" t="str">
        <f aca="false">IF($AT50&gt;0,VLOOKUP($AR50,'O_MN, PE_UTA_UGM 2024'!$E$3:$O$419,BE$6),"")</f>
        <v/>
      </c>
      <c r="BF50" s="1424" t="str">
        <f aca="false">IF($AT50&gt;0,VLOOKUP($AR50,'O_MN, PE_UTA_UGM 2024'!$E$3:$O$419,BF$6),"")</f>
        <v/>
      </c>
      <c r="BG50" s="1424" t="str">
        <f aca="false">IF($AT50&gt;0,VLOOKUP($AR50,'O_MN, PE_UTA_UGM 2024'!$E$3:$O$419,BG$6),"")</f>
        <v/>
      </c>
      <c r="BH50" s="872"/>
      <c r="BI50" s="872"/>
      <c r="BJ50" s="872"/>
      <c r="BK50" s="872"/>
      <c r="BM50" s="1411"/>
      <c r="BN50" s="1411"/>
      <c r="BO50" s="1425" t="str">
        <f aca="false">IF(ISNUMBER($AU50*BB50*1),$AU50*BB50*1,"")</f>
        <v/>
      </c>
      <c r="BP50" s="1425" t="str">
        <f aca="false">IF(ISNUMBER($AV50*BC50*1),$AV50*BC50*1,"")</f>
        <v/>
      </c>
      <c r="BQ50" s="1425" t="str">
        <f aca="false">IF(ISNUMBER($AU50*BD50*1),$AU50*BD50*1,"")</f>
        <v/>
      </c>
      <c r="BR50" s="1425" t="str">
        <f aca="false">IF(ISNUMBER($AV50*BE50*1),$AV50*BE50*1,"")</f>
        <v/>
      </c>
      <c r="BS50" s="1411" t="str">
        <f aca="false">IF(ISNUMBER($AU50*BF50),$AU50*BF50,"")</f>
        <v/>
      </c>
      <c r="BT50" s="1411" t="str">
        <f aca="false">IF(ISNUMBER($AV50*BG50),$AV50*BG50,"")</f>
        <v/>
      </c>
      <c r="BU50" s="1411"/>
      <c r="BV50" s="1411"/>
      <c r="BW50" s="1411"/>
      <c r="BX50" s="1411"/>
      <c r="BZ50" s="1372"/>
      <c r="CA50" s="1372"/>
      <c r="CB50" s="1426" t="str">
        <f aca="false">IF(ISNUMBER($AW50*BB50),$AW50*BB50,"")</f>
        <v/>
      </c>
      <c r="CC50" s="1426" t="str">
        <f aca="false">IF(ISNUMBER($AX50*BC50),$AX50*BC50,"")</f>
        <v/>
      </c>
      <c r="CD50" s="1426" t="str">
        <f aca="false">IF(ISNUMBER($AW50*BD50),$AW50*BD50,"")</f>
        <v/>
      </c>
      <c r="CE50" s="1426" t="str">
        <f aca="false">IF(ISNUMBER($AX50*BE50),$AX50*BE50,"")</f>
        <v/>
      </c>
      <c r="CF50" s="1372" t="str">
        <f aca="false">IF(ISNUMBER($AW50*BF50),$AW50*BF50,"")</f>
        <v/>
      </c>
      <c r="CG50" s="1372" t="str">
        <f aca="false">IF(ISNUMBER($AX50*BG50),$AX50*BG50,"")</f>
        <v/>
      </c>
      <c r="CH50" s="1438"/>
      <c r="CI50" s="1438"/>
      <c r="CJ50" s="1438"/>
      <c r="CK50" s="1438"/>
      <c r="CU50" s="1411"/>
      <c r="CV50" s="1411"/>
      <c r="CW50" s="1425"/>
      <c r="CX50" s="1425"/>
      <c r="CY50" s="1425"/>
      <c r="CZ50" s="1425"/>
      <c r="DA50" s="1411"/>
      <c r="DB50" s="1411"/>
      <c r="DC50" s="1411"/>
      <c r="DD50" s="1411"/>
      <c r="DE50" s="1411"/>
      <c r="DF50" s="1411"/>
      <c r="DH50" s="1432"/>
      <c r="DI50" s="1432"/>
      <c r="DJ50" s="1437"/>
      <c r="DK50" s="1437"/>
      <c r="DL50" s="1437"/>
      <c r="DM50" s="1437"/>
      <c r="DN50" s="1432"/>
      <c r="DO50" s="1432"/>
      <c r="DP50" s="1432"/>
      <c r="DQ50" s="1432"/>
      <c r="DR50" s="1432"/>
      <c r="DS50" s="1432"/>
      <c r="DT50" s="1316"/>
      <c r="DU50" s="1433"/>
      <c r="DV50" s="1433"/>
      <c r="DW50" s="1433"/>
      <c r="DX50" s="1433"/>
      <c r="DY50" s="1433"/>
      <c r="DZ50" s="1433"/>
      <c r="EA50" s="1433"/>
      <c r="EB50" s="1433"/>
    </row>
    <row r="51" customFormat="false" ht="14.25" hidden="false" customHeight="false" outlineLevel="0" collapsed="false">
      <c r="A51" s="2" t="n">
        <f aca="false">'V_DATOS PAC_SGA'!R46</f>
        <v>0</v>
      </c>
      <c r="B51" s="2" t="n">
        <f aca="false">IF(I51="IV",CONCATENATE('V_DATOS PAC_SGA'!R46,"4")+0,CONCATENATE('V_DATOS PAC_SGA'!R46,"0")+0)</f>
        <v>0</v>
      </c>
      <c r="C51" s="2" t="n">
        <f aca="false">'V_DATOS PAC_SGA'!S46</f>
        <v>0</v>
      </c>
      <c r="D51" s="1409" t="n">
        <f aca="false">'V_DATOS PAC_SGA'!Y46</f>
        <v>0</v>
      </c>
      <c r="E51" s="1410" t="str">
        <f aca="false">IF('V_DATOS PAC_SGA'!AV46="","Regadio",'V_DATOS PAC_SGA'!AV46)</f>
        <v>Regadio</v>
      </c>
      <c r="F51" s="1411" t="n">
        <f aca="false">'V_DATOS PAC_SGA'!BK46</f>
        <v>0</v>
      </c>
      <c r="G51" s="1412" t="n">
        <f aca="false">'V_DATOS PAC_SGA'!AN46</f>
        <v>0</v>
      </c>
      <c r="H51" s="1413" t="str">
        <f aca="false">IF(B51&gt;0,VLOOKUP(B51,'O_MN, PE_UTA_UGM 2024'!E$3:O$419,10),"")</f>
        <v/>
      </c>
      <c r="I51" s="1359" t="n">
        <f aca="false">'V_DATOS PAC_SGA'!BV46</f>
        <v>0</v>
      </c>
      <c r="J51" s="2" t="str">
        <f aca="false">IF(AND(J$4=$G51,J$6=$F51),$D51*J$5,"")</f>
        <v/>
      </c>
      <c r="K51" s="2" t="str">
        <f aca="false">IF(AND(K$4=$G51,K$6=$F51),$D51*K$5,"")</f>
        <v/>
      </c>
      <c r="L51" s="2" t="str">
        <f aca="false">IF(AND(L$4=$G51,L$6=$F51),$D51*L$5,"")</f>
        <v/>
      </c>
      <c r="M51" s="2" t="str">
        <f aca="false">IF(AND(M$4=$G51,M$6=$F51),$D51*M$5,"")</f>
        <v/>
      </c>
      <c r="N51" s="1414" t="n">
        <f aca="false">VLOOKUP(B51,'O_MN, PE_UTA_UGM 2024'!$E$2:$K$419,IF(G51&gt;1,6,7))</f>
        <v>0</v>
      </c>
      <c r="O51" s="1434" t="str">
        <f aca="false">IF($H51=O$4,$D51*$N51,"")</f>
        <v/>
      </c>
      <c r="P51" s="1435" t="str">
        <f aca="false">IF($H51=P$4,$D51*$N51,"")</f>
        <v/>
      </c>
      <c r="Q51" s="1435" t="str">
        <f aca="false">IF($H51=Q$4,$D51*$N51,"")</f>
        <v/>
      </c>
      <c r="R51" s="1435" t="str">
        <f aca="false">IF($H51=R$4,$D51*$N51,"")</f>
        <v/>
      </c>
      <c r="S51" s="1435" t="str">
        <f aca="false">IF($H51=S$4,$D51*$N51,"")</f>
        <v/>
      </c>
      <c r="T51" s="1435" t="str">
        <f aca="false">IF($H51=T$4,$D51*$N51,"")</f>
        <v/>
      </c>
      <c r="U51" s="1436" t="str">
        <f aca="false">IF($H51=U$4,$D51*$N51,"")</f>
        <v/>
      </c>
      <c r="V51" s="1418"/>
      <c r="W51" s="1419"/>
      <c r="X51" s="1419"/>
      <c r="Y51" s="1419"/>
      <c r="Z51" s="1419"/>
      <c r="AA51" s="1419"/>
      <c r="AB51" s="1420"/>
      <c r="AC51" s="1319"/>
      <c r="AD51" s="2" t="str">
        <f aca="false">IF(AND(AD$4=$G51,AD$6=$F51),$B51,"")</f>
        <v/>
      </c>
      <c r="AE51" s="2" t="str">
        <f aca="false">IF(AND(AE$4=$G51,AE$6=$F51),$B51,"")</f>
        <v/>
      </c>
      <c r="AF51" s="2" t="str">
        <f aca="false">IF(AND(AF$4=$G51,AF$6=$F51),$B51,"")</f>
        <v/>
      </c>
      <c r="AG51" s="2" t="str">
        <f aca="false">IF(AND(AG$4=$G51,AG$6=$F51),$B51,"")</f>
        <v/>
      </c>
      <c r="AI51" s="366"/>
      <c r="AL51" s="367"/>
      <c r="AO51" s="367"/>
      <c r="AP51" s="2" t="str">
        <f aca="false">IF(AT51&gt;0,RANK(AT51,AT$7:AT$423),"")</f>
        <v/>
      </c>
      <c r="AQ51" s="2" t="n">
        <f aca="false">'O_MN, PE_UTA_UGM 2024'!C47</f>
        <v>84</v>
      </c>
      <c r="AR51" s="1421" t="n">
        <v>800</v>
      </c>
      <c r="AS51" s="2" t="str">
        <f aca="false">IF(AY51&lt;&gt;"",AY51,"")</f>
        <v/>
      </c>
      <c r="AT51" s="1422" t="n">
        <f aca="false">IF(ISNUMBER($AR51),SUMIF(B$7:B$505,AR51,D$7:D$505),"")</f>
        <v>0</v>
      </c>
      <c r="AU51" s="1411" t="n">
        <f aca="false">IF(ISNUMBER($AR51),SUMIF(AD$7:AD$503,$AR51,J$7:J$503),"")</f>
        <v>0</v>
      </c>
      <c r="AV51" s="1411" t="n">
        <f aca="false">IF(ISNUMBER($AR51),SUMIF(AF$7:AF$503,$AR51,L$7:L$503),"")</f>
        <v>0</v>
      </c>
      <c r="AW51" s="1423" t="n">
        <f aca="false">IF(ISNUMBER($AR51),SUMIF(AE$7:AE$503,$AR51,K$7:K$503),"")</f>
        <v>0</v>
      </c>
      <c r="AX51" s="1423" t="n">
        <f aca="false">IF(ISNUMBER($AR51),SUMIF(AG$7:AG$503,$AR51,M$7:M$503),"")</f>
        <v>0</v>
      </c>
      <c r="AY51" s="2" t="str">
        <f aca="false">IF($AT51&gt;0,VLOOKUP($AR51,'O_MN, PE_UTA_UGM 2024'!E47:O463,2),"")</f>
        <v/>
      </c>
      <c r="AZ51" s="1424"/>
      <c r="BA51" s="1424"/>
      <c r="BB51" s="1424" t="str">
        <f aca="false">IF($AT51&gt;0,VLOOKUP($AR51,'O_MN, PE_UTA_UGM 2024'!$E$3:$O$419,BB$6),"")</f>
        <v/>
      </c>
      <c r="BC51" s="1424" t="str">
        <f aca="false">IF($AT51&gt;0,VLOOKUP($AR51,'O_MN, PE_UTA_UGM 2024'!$E$3:$O$419,BC$6),"")</f>
        <v/>
      </c>
      <c r="BD51" s="1424" t="str">
        <f aca="false">IF($AT51&gt;0,VLOOKUP($AR51,'O_MN, PE_UTA_UGM 2024'!$E$3:$O$419,BD$6),"")</f>
        <v/>
      </c>
      <c r="BE51" s="1424" t="str">
        <f aca="false">IF($AT51&gt;0,VLOOKUP($AR51,'O_MN, PE_UTA_UGM 2024'!$E$3:$O$419,BE$6),"")</f>
        <v/>
      </c>
      <c r="BF51" s="1424" t="str">
        <f aca="false">IF($AT51&gt;0,VLOOKUP($AR51,'O_MN, PE_UTA_UGM 2024'!$E$3:$O$419,BF$6),"")</f>
        <v/>
      </c>
      <c r="BG51" s="1424" t="str">
        <f aca="false">IF($AT51&gt;0,VLOOKUP($AR51,'O_MN, PE_UTA_UGM 2024'!$E$3:$O$419,BG$6),"")</f>
        <v/>
      </c>
      <c r="BH51" s="872"/>
      <c r="BI51" s="872"/>
      <c r="BJ51" s="872"/>
      <c r="BK51" s="872"/>
      <c r="BM51" s="1411"/>
      <c r="BN51" s="1411"/>
      <c r="BO51" s="1425" t="str">
        <f aca="false">IF(ISNUMBER($AU51*BB51*1),$AU51*BB51*1,"")</f>
        <v/>
      </c>
      <c r="BP51" s="1425" t="str">
        <f aca="false">IF(ISNUMBER($AV51*BC51*1),$AV51*BC51*1,"")</f>
        <v/>
      </c>
      <c r="BQ51" s="1425" t="str">
        <f aca="false">IF(ISNUMBER($AU51*BD51*1),$AU51*BD51*1,"")</f>
        <v/>
      </c>
      <c r="BR51" s="1425" t="str">
        <f aca="false">IF(ISNUMBER($AV51*BE51*1),$AV51*BE51*1,"")</f>
        <v/>
      </c>
      <c r="BS51" s="1411" t="str">
        <f aca="false">IF(ISNUMBER($AU51*BF51),$AU51*BF51,"")</f>
        <v/>
      </c>
      <c r="BT51" s="1411" t="str">
        <f aca="false">IF(ISNUMBER($AV51*BG51),$AV51*BG51,"")</f>
        <v/>
      </c>
      <c r="BU51" s="1411"/>
      <c r="BV51" s="1411"/>
      <c r="BW51" s="1411"/>
      <c r="BX51" s="1411"/>
      <c r="BZ51" s="1372"/>
      <c r="CA51" s="1372"/>
      <c r="CB51" s="1426" t="str">
        <f aca="false">IF(ISNUMBER($AW51*BB51),$AW51*BB51,"")</f>
        <v/>
      </c>
      <c r="CC51" s="1426" t="str">
        <f aca="false">IF(ISNUMBER($AX51*BC51),$AX51*BC51,"")</f>
        <v/>
      </c>
      <c r="CD51" s="1426" t="str">
        <f aca="false">IF(ISNUMBER($AW51*BD51),$AW51*BD51,"")</f>
        <v/>
      </c>
      <c r="CE51" s="1426" t="str">
        <f aca="false">IF(ISNUMBER($AX51*BE51),$AX51*BE51,"")</f>
        <v/>
      </c>
      <c r="CF51" s="1372" t="str">
        <f aca="false">IF(ISNUMBER($AW51*BF51),$AW51*BF51,"")</f>
        <v/>
      </c>
      <c r="CG51" s="1372" t="str">
        <f aca="false">IF(ISNUMBER($AX51*BG51),$AX51*BG51,"")</f>
        <v/>
      </c>
      <c r="CH51" s="1438"/>
      <c r="CI51" s="1438"/>
      <c r="CJ51" s="1438"/>
      <c r="CK51" s="1438"/>
      <c r="CU51" s="1411"/>
      <c r="CV51" s="1411"/>
      <c r="CW51" s="1425"/>
      <c r="CX51" s="1425"/>
      <c r="CY51" s="1425"/>
      <c r="CZ51" s="1425"/>
      <c r="DA51" s="1411"/>
      <c r="DB51" s="1411"/>
      <c r="DC51" s="1411"/>
      <c r="DD51" s="1411"/>
      <c r="DE51" s="1411"/>
      <c r="DF51" s="1411"/>
      <c r="DH51" s="1432"/>
      <c r="DI51" s="1432"/>
      <c r="DJ51" s="1437"/>
      <c r="DK51" s="1437"/>
      <c r="DL51" s="1437"/>
      <c r="DM51" s="1437"/>
      <c r="DN51" s="1432"/>
      <c r="DO51" s="1432"/>
      <c r="DP51" s="1432"/>
      <c r="DQ51" s="1432"/>
      <c r="DR51" s="1432"/>
      <c r="DS51" s="1432"/>
      <c r="DT51" s="1316"/>
      <c r="DU51" s="1433"/>
      <c r="DV51" s="1433"/>
      <c r="DW51" s="1433"/>
      <c r="DX51" s="1433"/>
      <c r="DY51" s="1433"/>
      <c r="DZ51" s="1433"/>
      <c r="EA51" s="1433"/>
      <c r="EB51" s="1433"/>
    </row>
    <row r="52" customFormat="false" ht="14.25" hidden="false" customHeight="false" outlineLevel="0" collapsed="false">
      <c r="A52" s="2" t="n">
        <f aca="false">'V_DATOS PAC_SGA'!R47</f>
        <v>0</v>
      </c>
      <c r="B52" s="2" t="n">
        <f aca="false">IF(I52="IV",CONCATENATE('V_DATOS PAC_SGA'!R47,"4")+0,CONCATENATE('V_DATOS PAC_SGA'!R47,"0")+0)</f>
        <v>0</v>
      </c>
      <c r="C52" s="2" t="n">
        <f aca="false">'V_DATOS PAC_SGA'!S47</f>
        <v>0</v>
      </c>
      <c r="D52" s="1409" t="n">
        <f aca="false">'V_DATOS PAC_SGA'!Y47</f>
        <v>0</v>
      </c>
      <c r="E52" s="1410" t="str">
        <f aca="false">IF('V_DATOS PAC_SGA'!AV47="","Regadio",'V_DATOS PAC_SGA'!AV47)</f>
        <v>Regadio</v>
      </c>
      <c r="F52" s="1411" t="n">
        <f aca="false">'V_DATOS PAC_SGA'!BK47</f>
        <v>0</v>
      </c>
      <c r="G52" s="1412" t="n">
        <f aca="false">'V_DATOS PAC_SGA'!AN47</f>
        <v>0</v>
      </c>
      <c r="H52" s="1413" t="str">
        <f aca="false">IF(B52&gt;0,VLOOKUP(B52,'O_MN, PE_UTA_UGM 2024'!E$3:O$419,10),"")</f>
        <v/>
      </c>
      <c r="I52" s="1359" t="n">
        <f aca="false">'V_DATOS PAC_SGA'!BV47</f>
        <v>0</v>
      </c>
      <c r="J52" s="2" t="str">
        <f aca="false">IF(AND(J$4=$G52,J$6=$F52),$D52*J$5,"")</f>
        <v/>
      </c>
      <c r="K52" s="2" t="str">
        <f aca="false">IF(AND(K$4=$G52,K$6=$F52),$D52*K$5,"")</f>
        <v/>
      </c>
      <c r="L52" s="2" t="str">
        <f aca="false">IF(AND(L$4=$G52,L$6=$F52),$D52*L$5,"")</f>
        <v/>
      </c>
      <c r="M52" s="2" t="str">
        <f aca="false">IF(AND(M$4=$G52,M$6=$F52),$D52*M$5,"")</f>
        <v/>
      </c>
      <c r="N52" s="1414" t="n">
        <f aca="false">VLOOKUP(B52,'O_MN, PE_UTA_UGM 2024'!$E$2:$K$419,IF(G52&gt;1,6,7))</f>
        <v>0</v>
      </c>
      <c r="O52" s="1434" t="str">
        <f aca="false">IF($H52=O$4,$D52*$N52,"")</f>
        <v/>
      </c>
      <c r="P52" s="1435" t="str">
        <f aca="false">IF($H52=P$4,$D52*$N52,"")</f>
        <v/>
      </c>
      <c r="Q52" s="1435" t="str">
        <f aca="false">IF($H52=Q$4,$D52*$N52,"")</f>
        <v/>
      </c>
      <c r="R52" s="1435" t="str">
        <f aca="false">IF($H52=R$4,$D52*$N52,"")</f>
        <v/>
      </c>
      <c r="S52" s="1435" t="str">
        <f aca="false">IF($H52=S$4,$D52*$N52,"")</f>
        <v/>
      </c>
      <c r="T52" s="1435" t="str">
        <f aca="false">IF($H52=T$4,$D52*$N52,"")</f>
        <v/>
      </c>
      <c r="U52" s="1436" t="str">
        <f aca="false">IF($H52=U$4,$D52*$N52,"")</f>
        <v/>
      </c>
      <c r="V52" s="1418"/>
      <c r="W52" s="1419"/>
      <c r="X52" s="1419"/>
      <c r="Y52" s="1419"/>
      <c r="Z52" s="1419"/>
      <c r="AA52" s="1419"/>
      <c r="AB52" s="1420"/>
      <c r="AC52" s="1319"/>
      <c r="AD52" s="2" t="str">
        <f aca="false">IF(AND(AD$4=$G52,AD$6=$F52),$B52,"")</f>
        <v/>
      </c>
      <c r="AE52" s="2" t="str">
        <f aca="false">IF(AND(AE$4=$G52,AE$6=$F52),$B52,"")</f>
        <v/>
      </c>
      <c r="AF52" s="2" t="str">
        <f aca="false">IF(AND(AF$4=$G52,AF$6=$F52),$B52,"")</f>
        <v/>
      </c>
      <c r="AG52" s="2" t="str">
        <f aca="false">IF(AND(AG$4=$G52,AG$6=$F52),$B52,"")</f>
        <v/>
      </c>
      <c r="AI52" s="366"/>
      <c r="AL52" s="367"/>
      <c r="AO52" s="367"/>
      <c r="AP52" s="2" t="str">
        <f aca="false">IF(AT52&gt;0,RANK(AT52,AT$7:AT$423),"")</f>
        <v/>
      </c>
      <c r="AQ52" s="2" t="n">
        <f aca="false">'O_MN, PE_UTA_UGM 2024'!C48</f>
        <v>85</v>
      </c>
      <c r="AR52" s="1421" t="n">
        <v>820</v>
      </c>
      <c r="AS52" s="2" t="str">
        <f aca="false">IF(AY52&lt;&gt;"",AY52,"")</f>
        <v/>
      </c>
      <c r="AT52" s="1422" t="n">
        <f aca="false">IF(ISNUMBER($AR52),SUMIF(B$7:B$505,AR52,D$7:D$505),"")</f>
        <v>0</v>
      </c>
      <c r="AU52" s="1411" t="n">
        <f aca="false">IF(ISNUMBER($AR52),SUMIF(AD$7:AD$503,$AR52,J$7:J$503),"")</f>
        <v>0</v>
      </c>
      <c r="AV52" s="1411" t="n">
        <f aca="false">IF(ISNUMBER($AR52),SUMIF(AF$7:AF$503,$AR52,L$7:L$503),"")</f>
        <v>0</v>
      </c>
      <c r="AW52" s="1423" t="n">
        <f aca="false">IF(ISNUMBER($AR52),SUMIF(AE$7:AE$503,$AR52,K$7:K$503),"")</f>
        <v>0</v>
      </c>
      <c r="AX52" s="1423" t="n">
        <f aca="false">IF(ISNUMBER($AR52),SUMIF(AG$7:AG$503,$AR52,M$7:M$503),"")</f>
        <v>0</v>
      </c>
      <c r="AY52" s="2" t="str">
        <f aca="false">IF($AT52&gt;0,VLOOKUP($AR52,'O_MN, PE_UTA_UGM 2024'!E48:O464,2),"")</f>
        <v/>
      </c>
      <c r="AZ52" s="1424"/>
      <c r="BA52" s="1424"/>
      <c r="BB52" s="1424" t="str">
        <f aca="false">IF($AT52&gt;0,VLOOKUP($AR52,'O_MN, PE_UTA_UGM 2024'!$E$3:$O$419,BB$6),"")</f>
        <v/>
      </c>
      <c r="BC52" s="1424" t="str">
        <f aca="false">IF($AT52&gt;0,VLOOKUP($AR52,'O_MN, PE_UTA_UGM 2024'!$E$3:$O$419,BC$6),"")</f>
        <v/>
      </c>
      <c r="BD52" s="1424" t="str">
        <f aca="false">IF($AT52&gt;0,VLOOKUP($AR52,'O_MN, PE_UTA_UGM 2024'!$E$3:$O$419,BD$6),"")</f>
        <v/>
      </c>
      <c r="BE52" s="1424" t="str">
        <f aca="false">IF($AT52&gt;0,VLOOKUP($AR52,'O_MN, PE_UTA_UGM 2024'!$E$3:$O$419,BE$6),"")</f>
        <v/>
      </c>
      <c r="BF52" s="1424" t="str">
        <f aca="false">IF($AT52&gt;0,VLOOKUP($AR52,'O_MN, PE_UTA_UGM 2024'!$E$3:$O$419,BF$6),"")</f>
        <v/>
      </c>
      <c r="BG52" s="1424" t="str">
        <f aca="false">IF($AT52&gt;0,VLOOKUP($AR52,'O_MN, PE_UTA_UGM 2024'!$E$3:$O$419,BG$6),"")</f>
        <v/>
      </c>
      <c r="BH52" s="872"/>
      <c r="BI52" s="872"/>
      <c r="BJ52" s="872"/>
      <c r="BK52" s="872"/>
      <c r="BM52" s="1411"/>
      <c r="BN52" s="1411"/>
      <c r="BO52" s="1425" t="str">
        <f aca="false">IF(ISNUMBER($AU52*BB52*1),$AU52*BB52*1,"")</f>
        <v/>
      </c>
      <c r="BP52" s="1425" t="str">
        <f aca="false">IF(ISNUMBER($AV52*BC52*1),$AV52*BC52*1,"")</f>
        <v/>
      </c>
      <c r="BQ52" s="1425" t="str">
        <f aca="false">IF(ISNUMBER($AU52*BD52*1),$AU52*BD52*1,"")</f>
        <v/>
      </c>
      <c r="BR52" s="1425" t="str">
        <f aca="false">IF(ISNUMBER($AV52*BE52*1),$AV52*BE52*1,"")</f>
        <v/>
      </c>
      <c r="BS52" s="1411" t="str">
        <f aca="false">IF(ISNUMBER($AU52*BF52),$AU52*BF52,"")</f>
        <v/>
      </c>
      <c r="BT52" s="1411" t="str">
        <f aca="false">IF(ISNUMBER($AV52*BG52),$AV52*BG52,"")</f>
        <v/>
      </c>
      <c r="BU52" s="1411"/>
      <c r="BV52" s="1411"/>
      <c r="BW52" s="1411"/>
      <c r="BX52" s="1411"/>
      <c r="BZ52" s="1372"/>
      <c r="CA52" s="1372"/>
      <c r="CB52" s="1426" t="str">
        <f aca="false">IF(ISNUMBER($AW52*BB52),$AW52*BB52,"")</f>
        <v/>
      </c>
      <c r="CC52" s="1426" t="str">
        <f aca="false">IF(ISNUMBER($AX52*BC52),$AX52*BC52,"")</f>
        <v/>
      </c>
      <c r="CD52" s="1426" t="str">
        <f aca="false">IF(ISNUMBER($AW52*BD52),$AW52*BD52,"")</f>
        <v/>
      </c>
      <c r="CE52" s="1426" t="str">
        <f aca="false">IF(ISNUMBER($AX52*BE52),$AX52*BE52,"")</f>
        <v/>
      </c>
      <c r="CF52" s="1372" t="str">
        <f aca="false">IF(ISNUMBER($AW52*BF52),$AW52*BF52,"")</f>
        <v/>
      </c>
      <c r="CG52" s="1372" t="str">
        <f aca="false">IF(ISNUMBER($AX52*BG52),$AX52*BG52,"")</f>
        <v/>
      </c>
      <c r="CH52" s="1438"/>
      <c r="CI52" s="1438"/>
      <c r="CJ52" s="1438"/>
      <c r="CK52" s="1438"/>
      <c r="CU52" s="1411"/>
      <c r="CV52" s="1411"/>
      <c r="CW52" s="1425"/>
      <c r="CX52" s="1425"/>
      <c r="CY52" s="1425"/>
      <c r="CZ52" s="1425"/>
      <c r="DA52" s="1411"/>
      <c r="DB52" s="1411"/>
      <c r="DC52" s="1411"/>
      <c r="DD52" s="1411"/>
      <c r="DE52" s="1411"/>
      <c r="DF52" s="1411"/>
      <c r="DH52" s="1432"/>
      <c r="DI52" s="1432"/>
      <c r="DJ52" s="1437"/>
      <c r="DK52" s="1437"/>
      <c r="DL52" s="1437"/>
      <c r="DM52" s="1437"/>
      <c r="DN52" s="1432"/>
      <c r="DO52" s="1432"/>
      <c r="DP52" s="1432"/>
      <c r="DQ52" s="1432"/>
      <c r="DR52" s="1432"/>
      <c r="DS52" s="1432"/>
      <c r="DT52" s="1316"/>
      <c r="DU52" s="1433"/>
      <c r="DV52" s="1433"/>
      <c r="DW52" s="1433"/>
      <c r="DX52" s="1433"/>
      <c r="DY52" s="1433"/>
      <c r="DZ52" s="1433"/>
      <c r="EA52" s="1433"/>
      <c r="EB52" s="1433"/>
    </row>
    <row r="53" customFormat="false" ht="14.25" hidden="false" customHeight="false" outlineLevel="0" collapsed="false">
      <c r="A53" s="2" t="n">
        <f aca="false">'V_DATOS PAC_SGA'!R48</f>
        <v>0</v>
      </c>
      <c r="B53" s="2" t="n">
        <f aca="false">IF(I53="IV",CONCATENATE('V_DATOS PAC_SGA'!R48,"4")+0,CONCATENATE('V_DATOS PAC_SGA'!R48,"0")+0)</f>
        <v>0</v>
      </c>
      <c r="C53" s="2" t="n">
        <f aca="false">'V_DATOS PAC_SGA'!S48</f>
        <v>0</v>
      </c>
      <c r="D53" s="1409" t="n">
        <f aca="false">'V_DATOS PAC_SGA'!Y48</f>
        <v>0</v>
      </c>
      <c r="E53" s="1410" t="str">
        <f aca="false">IF('V_DATOS PAC_SGA'!AV48="","Regadio",'V_DATOS PAC_SGA'!AV48)</f>
        <v>Regadio</v>
      </c>
      <c r="F53" s="1411" t="n">
        <f aca="false">'V_DATOS PAC_SGA'!BK48</f>
        <v>0</v>
      </c>
      <c r="G53" s="1412" t="n">
        <f aca="false">'V_DATOS PAC_SGA'!AN48</f>
        <v>0</v>
      </c>
      <c r="H53" s="1413" t="str">
        <f aca="false">IF(B53&gt;0,VLOOKUP(B53,'O_MN, PE_UTA_UGM 2024'!E$3:O$419,10),"")</f>
        <v/>
      </c>
      <c r="I53" s="1359" t="n">
        <f aca="false">'V_DATOS PAC_SGA'!BV48</f>
        <v>0</v>
      </c>
      <c r="J53" s="2" t="str">
        <f aca="false">IF(AND(J$4=$G53,J$6=$F53),$D53*J$5,"")</f>
        <v/>
      </c>
      <c r="K53" s="2" t="str">
        <f aca="false">IF(AND(K$4=$G53,K$6=$F53),$D53*K$5,"")</f>
        <v/>
      </c>
      <c r="L53" s="2" t="str">
        <f aca="false">IF(AND(L$4=$G53,L$6=$F53),$D53*L$5,"")</f>
        <v/>
      </c>
      <c r="M53" s="2" t="str">
        <f aca="false">IF(AND(M$4=$G53,M$6=$F53),$D53*M$5,"")</f>
        <v/>
      </c>
      <c r="N53" s="1414" t="n">
        <f aca="false">VLOOKUP(B53,'O_MN, PE_UTA_UGM 2024'!$E$2:$K$419,IF(G53&gt;1,6,7))</f>
        <v>0</v>
      </c>
      <c r="O53" s="1434" t="str">
        <f aca="false">IF($H53=O$4,$D53*$N53,"")</f>
        <v/>
      </c>
      <c r="P53" s="1435" t="str">
        <f aca="false">IF($H53=P$4,$D53*$N53,"")</f>
        <v/>
      </c>
      <c r="Q53" s="1435" t="str">
        <f aca="false">IF($H53=Q$4,$D53*$N53,"")</f>
        <v/>
      </c>
      <c r="R53" s="1435" t="str">
        <f aca="false">IF($H53=R$4,$D53*$N53,"")</f>
        <v/>
      </c>
      <c r="S53" s="1435" t="str">
        <f aca="false">IF($H53=S$4,$D53*$N53,"")</f>
        <v/>
      </c>
      <c r="T53" s="1435" t="str">
        <f aca="false">IF($H53=T$4,$D53*$N53,"")</f>
        <v/>
      </c>
      <c r="U53" s="1436" t="str">
        <f aca="false">IF($H53=U$4,$D53*$N53,"")</f>
        <v/>
      </c>
      <c r="V53" s="1418"/>
      <c r="W53" s="1419"/>
      <c r="X53" s="1419"/>
      <c r="Y53" s="1419"/>
      <c r="Z53" s="1419"/>
      <c r="AA53" s="1419"/>
      <c r="AB53" s="1420"/>
      <c r="AC53" s="1319"/>
      <c r="AD53" s="2" t="str">
        <f aca="false">IF(AND(AD$4=$G53,AD$6=$F53),$B53,"")</f>
        <v/>
      </c>
      <c r="AE53" s="2" t="str">
        <f aca="false">IF(AND(AE$4=$G53,AE$6=$F53),$B53,"")</f>
        <v/>
      </c>
      <c r="AF53" s="2" t="str">
        <f aca="false">IF(AND(AF$4=$G53,AF$6=$F53),$B53,"")</f>
        <v/>
      </c>
      <c r="AG53" s="2" t="str">
        <f aca="false">IF(AND(AG$4=$G53,AG$6=$F53),$B53,"")</f>
        <v/>
      </c>
      <c r="AI53" s="366"/>
      <c r="AL53" s="367"/>
      <c r="AO53" s="367"/>
      <c r="AP53" s="2" t="str">
        <f aca="false">IF(AT53&gt;0,RANK(AT53,AT$7:AT$423),"")</f>
        <v/>
      </c>
      <c r="AQ53" s="2" t="n">
        <f aca="false">'O_MN, PE_UTA_UGM 2024'!C49</f>
        <v>86</v>
      </c>
      <c r="AR53" s="1421" t="n">
        <v>840</v>
      </c>
      <c r="AS53" s="2" t="str">
        <f aca="false">IF(AY53&lt;&gt;"",AY53,"")</f>
        <v/>
      </c>
      <c r="AT53" s="1422" t="n">
        <f aca="false">IF(ISNUMBER($AR53),SUMIF(B$7:B$505,AR53,D$7:D$505),"")</f>
        <v>0</v>
      </c>
      <c r="AU53" s="1411" t="n">
        <f aca="false">IF(ISNUMBER($AR53),SUMIF(AD$7:AD$503,$AR53,J$7:J$503),"")</f>
        <v>0</v>
      </c>
      <c r="AV53" s="1411" t="n">
        <f aca="false">IF(ISNUMBER($AR53),SUMIF(AF$7:AF$503,$AR53,L$7:L$503),"")</f>
        <v>0</v>
      </c>
      <c r="AW53" s="1423" t="n">
        <f aca="false">IF(ISNUMBER($AR53),SUMIF(AE$7:AE$503,$AR53,K$7:K$503),"")</f>
        <v>0</v>
      </c>
      <c r="AX53" s="1423" t="n">
        <f aca="false">IF(ISNUMBER($AR53),SUMIF(AG$7:AG$503,$AR53,M$7:M$503),"")</f>
        <v>0</v>
      </c>
      <c r="AY53" s="2" t="str">
        <f aca="false">IF($AT53&gt;0,VLOOKUP($AR53,'O_MN, PE_UTA_UGM 2024'!E49:O465,2),"")</f>
        <v/>
      </c>
      <c r="AZ53" s="1424"/>
      <c r="BA53" s="1424"/>
      <c r="BB53" s="1424" t="str">
        <f aca="false">IF($AT53&gt;0,VLOOKUP($AR53,'O_MN, PE_UTA_UGM 2024'!$E$3:$O$419,BB$6),"")</f>
        <v/>
      </c>
      <c r="BC53" s="1424" t="str">
        <f aca="false">IF($AT53&gt;0,VLOOKUP($AR53,'O_MN, PE_UTA_UGM 2024'!$E$3:$O$419,BC$6),"")</f>
        <v/>
      </c>
      <c r="BD53" s="1424" t="str">
        <f aca="false">IF($AT53&gt;0,VLOOKUP($AR53,'O_MN, PE_UTA_UGM 2024'!$E$3:$O$419,BD$6),"")</f>
        <v/>
      </c>
      <c r="BE53" s="1424" t="str">
        <f aca="false">IF($AT53&gt;0,VLOOKUP($AR53,'O_MN, PE_UTA_UGM 2024'!$E$3:$O$419,BE$6),"")</f>
        <v/>
      </c>
      <c r="BF53" s="1424" t="str">
        <f aca="false">IF($AT53&gt;0,VLOOKUP($AR53,'O_MN, PE_UTA_UGM 2024'!$E$3:$O$419,BF$6),"")</f>
        <v/>
      </c>
      <c r="BG53" s="1424" t="str">
        <f aca="false">IF($AT53&gt;0,VLOOKUP($AR53,'O_MN, PE_UTA_UGM 2024'!$E$3:$O$419,BG$6),"")</f>
        <v/>
      </c>
      <c r="BH53" s="872"/>
      <c r="BI53" s="872"/>
      <c r="BJ53" s="872"/>
      <c r="BK53" s="872"/>
      <c r="BM53" s="1411"/>
      <c r="BN53" s="1411"/>
      <c r="BO53" s="1425" t="str">
        <f aca="false">IF(ISNUMBER($AU53*BB53*1),$AU53*BB53*1,"")</f>
        <v/>
      </c>
      <c r="BP53" s="1425" t="str">
        <f aca="false">IF(ISNUMBER($AV53*BC53*1),$AV53*BC53*1,"")</f>
        <v/>
      </c>
      <c r="BQ53" s="1425" t="str">
        <f aca="false">IF(ISNUMBER($AU53*BD53*1),$AU53*BD53*1,"")</f>
        <v/>
      </c>
      <c r="BR53" s="1425" t="str">
        <f aca="false">IF(ISNUMBER($AV53*BE53*1),$AV53*BE53*1,"")</f>
        <v/>
      </c>
      <c r="BS53" s="1411" t="str">
        <f aca="false">IF(ISNUMBER($AU53*BF53),$AU53*BF53,"")</f>
        <v/>
      </c>
      <c r="BT53" s="1411" t="str">
        <f aca="false">IF(ISNUMBER($AV53*BG53),$AV53*BG53,"")</f>
        <v/>
      </c>
      <c r="BU53" s="1411"/>
      <c r="BV53" s="1411"/>
      <c r="BW53" s="1411"/>
      <c r="BX53" s="1411"/>
      <c r="BZ53" s="1372"/>
      <c r="CA53" s="1372"/>
      <c r="CB53" s="1426" t="str">
        <f aca="false">IF(ISNUMBER($AW53*BB53),$AW53*BB53,"")</f>
        <v/>
      </c>
      <c r="CC53" s="1426" t="str">
        <f aca="false">IF(ISNUMBER($AX53*BC53),$AX53*BC53,"")</f>
        <v/>
      </c>
      <c r="CD53" s="1426" t="str">
        <f aca="false">IF(ISNUMBER($AW53*BD53),$AW53*BD53,"")</f>
        <v/>
      </c>
      <c r="CE53" s="1426" t="str">
        <f aca="false">IF(ISNUMBER($AX53*BE53),$AX53*BE53,"")</f>
        <v/>
      </c>
      <c r="CF53" s="1372" t="str">
        <f aca="false">IF(ISNUMBER($AW53*BF53),$AW53*BF53,"")</f>
        <v/>
      </c>
      <c r="CG53" s="1372" t="str">
        <f aca="false">IF(ISNUMBER($AX53*BG53),$AX53*BG53,"")</f>
        <v/>
      </c>
      <c r="CH53" s="1438"/>
      <c r="CI53" s="1438"/>
      <c r="CJ53" s="1438"/>
      <c r="CK53" s="1438"/>
      <c r="CU53" s="1411"/>
      <c r="CV53" s="1411"/>
      <c r="CW53" s="1425"/>
      <c r="CX53" s="1425"/>
      <c r="CY53" s="1425"/>
      <c r="CZ53" s="1425"/>
      <c r="DA53" s="1411"/>
      <c r="DB53" s="1411"/>
      <c r="DC53" s="1411"/>
      <c r="DD53" s="1411"/>
      <c r="DE53" s="1411"/>
      <c r="DF53" s="1411"/>
      <c r="DH53" s="1432"/>
      <c r="DI53" s="1432"/>
      <c r="DJ53" s="1437"/>
      <c r="DK53" s="1437"/>
      <c r="DL53" s="1437"/>
      <c r="DM53" s="1437"/>
      <c r="DN53" s="1432"/>
      <c r="DO53" s="1432"/>
      <c r="DP53" s="1432"/>
      <c r="DQ53" s="1432"/>
      <c r="DR53" s="1432"/>
      <c r="DS53" s="1432"/>
      <c r="DT53" s="1316"/>
      <c r="DU53" s="1433"/>
      <c r="DV53" s="1433"/>
      <c r="DW53" s="1433"/>
      <c r="DX53" s="1433"/>
      <c r="DY53" s="1433"/>
      <c r="DZ53" s="1433"/>
      <c r="EA53" s="1433"/>
      <c r="EB53" s="1433"/>
    </row>
    <row r="54" customFormat="false" ht="14.25" hidden="false" customHeight="false" outlineLevel="0" collapsed="false">
      <c r="A54" s="2" t="n">
        <f aca="false">'V_DATOS PAC_SGA'!R49</f>
        <v>0</v>
      </c>
      <c r="B54" s="2" t="n">
        <f aca="false">IF(I54="IV",CONCATENATE('V_DATOS PAC_SGA'!R49,"4")+0,CONCATENATE('V_DATOS PAC_SGA'!R49,"0")+0)</f>
        <v>0</v>
      </c>
      <c r="C54" s="2" t="n">
        <f aca="false">'V_DATOS PAC_SGA'!S49</f>
        <v>0</v>
      </c>
      <c r="D54" s="1409" t="n">
        <f aca="false">'V_DATOS PAC_SGA'!Y49</f>
        <v>0</v>
      </c>
      <c r="E54" s="1410" t="str">
        <f aca="false">IF('V_DATOS PAC_SGA'!AV49="","Regadio",'V_DATOS PAC_SGA'!AV49)</f>
        <v>Regadio</v>
      </c>
      <c r="F54" s="1411" t="n">
        <f aca="false">'V_DATOS PAC_SGA'!BK49</f>
        <v>0</v>
      </c>
      <c r="G54" s="1412" t="n">
        <f aca="false">'V_DATOS PAC_SGA'!AN49</f>
        <v>0</v>
      </c>
      <c r="H54" s="1413" t="str">
        <f aca="false">IF(B54&gt;0,VLOOKUP(B54,'O_MN, PE_UTA_UGM 2024'!E$3:O$419,10),"")</f>
        <v/>
      </c>
      <c r="I54" s="1359" t="n">
        <f aca="false">'V_DATOS PAC_SGA'!BV49</f>
        <v>0</v>
      </c>
      <c r="J54" s="2" t="str">
        <f aca="false">IF(AND(J$4=$G54,J$6=$F54),$D54*J$5,"")</f>
        <v/>
      </c>
      <c r="K54" s="2" t="str">
        <f aca="false">IF(AND(K$4=$G54,K$6=$F54),$D54*K$5,"")</f>
        <v/>
      </c>
      <c r="L54" s="2" t="str">
        <f aca="false">IF(AND(L$4=$G54,L$6=$F54),$D54*L$5,"")</f>
        <v/>
      </c>
      <c r="M54" s="2" t="str">
        <f aca="false">IF(AND(M$4=$G54,M$6=$F54),$D54*M$5,"")</f>
        <v/>
      </c>
      <c r="N54" s="1414" t="n">
        <f aca="false">VLOOKUP(B54,'O_MN, PE_UTA_UGM 2024'!$E$2:$K$419,IF(G54&gt;1,6,7))</f>
        <v>0</v>
      </c>
      <c r="O54" s="1434" t="str">
        <f aca="false">IF($H54=O$4,$D54*$N54,"")</f>
        <v/>
      </c>
      <c r="P54" s="1435" t="str">
        <f aca="false">IF($H54=P$4,$D54*$N54,"")</f>
        <v/>
      </c>
      <c r="Q54" s="1435" t="str">
        <f aca="false">IF($H54=Q$4,$D54*$N54,"")</f>
        <v/>
      </c>
      <c r="R54" s="1435" t="str">
        <f aca="false">IF($H54=R$4,$D54*$N54,"")</f>
        <v/>
      </c>
      <c r="S54" s="1435" t="str">
        <f aca="false">IF($H54=S$4,$D54*$N54,"")</f>
        <v/>
      </c>
      <c r="T54" s="1435" t="str">
        <f aca="false">IF($H54=T$4,$D54*$N54,"")</f>
        <v/>
      </c>
      <c r="U54" s="1436" t="str">
        <f aca="false">IF($H54=U$4,$D54*$N54,"")</f>
        <v/>
      </c>
      <c r="V54" s="1418"/>
      <c r="W54" s="1419"/>
      <c r="X54" s="1419"/>
      <c r="Y54" s="1419"/>
      <c r="Z54" s="1419"/>
      <c r="AA54" s="1419"/>
      <c r="AB54" s="1420"/>
      <c r="AC54" s="1319"/>
      <c r="AD54" s="2" t="str">
        <f aca="false">IF(AND(AD$4=$G54,AD$6=$F54),$B54,"")</f>
        <v/>
      </c>
      <c r="AE54" s="2" t="str">
        <f aca="false">IF(AND(AE$4=$G54,AE$6=$F54),$B54,"")</f>
        <v/>
      </c>
      <c r="AF54" s="2" t="str">
        <f aca="false">IF(AND(AF$4=$G54,AF$6=$F54),$B54,"")</f>
        <v/>
      </c>
      <c r="AG54" s="2" t="str">
        <f aca="false">IF(AND(AG$4=$G54,AG$6=$F54),$B54,"")</f>
        <v/>
      </c>
      <c r="AI54" s="366"/>
      <c r="AL54" s="367"/>
      <c r="AO54" s="367"/>
      <c r="AP54" s="2" t="str">
        <f aca="false">IF(AT54&gt;0,RANK(AT54,AT$7:AT$423),"")</f>
        <v/>
      </c>
      <c r="AQ54" s="2" t="n">
        <f aca="false">'O_MN, PE_UTA_UGM 2024'!C50</f>
        <v>87</v>
      </c>
      <c r="AR54" s="1421" t="n">
        <v>850</v>
      </c>
      <c r="AS54" s="2" t="str">
        <f aca="false">IF(AY54&lt;&gt;"",AY54,"")</f>
        <v/>
      </c>
      <c r="AT54" s="1422" t="n">
        <f aca="false">IF(ISNUMBER($AR54),SUMIF(B$7:B$505,AR54,D$7:D$505),"")</f>
        <v>0</v>
      </c>
      <c r="AU54" s="1411" t="n">
        <f aca="false">IF(ISNUMBER($AR54),SUMIF(AD$7:AD$503,$AR54,J$7:J$503),"")</f>
        <v>0</v>
      </c>
      <c r="AV54" s="1411" t="n">
        <f aca="false">IF(ISNUMBER($AR54),SUMIF(AF$7:AF$503,$AR54,L$7:L$503),"")</f>
        <v>0</v>
      </c>
      <c r="AW54" s="1423" t="n">
        <f aca="false">IF(ISNUMBER($AR54),SUMIF(AE$7:AE$503,$AR54,K$7:K$503),"")</f>
        <v>0</v>
      </c>
      <c r="AX54" s="1423" t="n">
        <f aca="false">IF(ISNUMBER($AR54),SUMIF(AG$7:AG$503,$AR54,M$7:M$503),"")</f>
        <v>0</v>
      </c>
      <c r="AY54" s="2" t="str">
        <f aca="false">IF($AT54&gt;0,VLOOKUP($AR54,'O_MN, PE_UTA_UGM 2024'!E50:O466,2),"")</f>
        <v/>
      </c>
      <c r="AZ54" s="1424"/>
      <c r="BA54" s="1424"/>
      <c r="BB54" s="1424" t="str">
        <f aca="false">IF($AT54&gt;0,VLOOKUP($AR54,'O_MN, PE_UTA_UGM 2024'!$E$3:$O$419,BB$6),"")</f>
        <v/>
      </c>
      <c r="BC54" s="1424" t="str">
        <f aca="false">IF($AT54&gt;0,VLOOKUP($AR54,'O_MN, PE_UTA_UGM 2024'!$E$3:$O$419,BC$6),"")</f>
        <v/>
      </c>
      <c r="BD54" s="1424" t="str">
        <f aca="false">IF($AT54&gt;0,VLOOKUP($AR54,'O_MN, PE_UTA_UGM 2024'!$E$3:$O$419,BD$6),"")</f>
        <v/>
      </c>
      <c r="BE54" s="1424" t="str">
        <f aca="false">IF($AT54&gt;0,VLOOKUP($AR54,'O_MN, PE_UTA_UGM 2024'!$E$3:$O$419,BE$6),"")</f>
        <v/>
      </c>
      <c r="BF54" s="1424" t="str">
        <f aca="false">IF($AT54&gt;0,VLOOKUP($AR54,'O_MN, PE_UTA_UGM 2024'!$E$3:$O$419,BF$6),"")</f>
        <v/>
      </c>
      <c r="BG54" s="1424" t="str">
        <f aca="false">IF($AT54&gt;0,VLOOKUP($AR54,'O_MN, PE_UTA_UGM 2024'!$E$3:$O$419,BG$6),"")</f>
        <v/>
      </c>
      <c r="BH54" s="872"/>
      <c r="BI54" s="872"/>
      <c r="BJ54" s="872"/>
      <c r="BK54" s="872"/>
      <c r="BM54" s="1411"/>
      <c r="BN54" s="1411"/>
      <c r="BO54" s="1425" t="str">
        <f aca="false">IF(ISNUMBER($AU54*BB54*1),$AU54*BB54*1,"")</f>
        <v/>
      </c>
      <c r="BP54" s="1425" t="str">
        <f aca="false">IF(ISNUMBER($AV54*BC54*1),$AV54*BC54*1,"")</f>
        <v/>
      </c>
      <c r="BQ54" s="1425" t="str">
        <f aca="false">IF(ISNUMBER($AU54*BD54*1),$AU54*BD54*1,"")</f>
        <v/>
      </c>
      <c r="BR54" s="1425" t="str">
        <f aca="false">IF(ISNUMBER($AV54*BE54*1),$AV54*BE54*1,"")</f>
        <v/>
      </c>
      <c r="BS54" s="1411" t="str">
        <f aca="false">IF(ISNUMBER($AU54*BF54),$AU54*BF54,"")</f>
        <v/>
      </c>
      <c r="BT54" s="1411" t="str">
        <f aca="false">IF(ISNUMBER($AV54*BG54),$AV54*BG54,"")</f>
        <v/>
      </c>
      <c r="BU54" s="1411"/>
      <c r="BV54" s="1411"/>
      <c r="BW54" s="1411"/>
      <c r="BX54" s="1411"/>
      <c r="BZ54" s="1372"/>
      <c r="CA54" s="1372"/>
      <c r="CB54" s="1426" t="str">
        <f aca="false">IF(ISNUMBER($AW54*BB54),$AW54*BB54,"")</f>
        <v/>
      </c>
      <c r="CC54" s="1426" t="str">
        <f aca="false">IF(ISNUMBER($AX54*BC54),$AX54*BC54,"")</f>
        <v/>
      </c>
      <c r="CD54" s="1426" t="str">
        <f aca="false">IF(ISNUMBER($AW54*BD54),$AW54*BD54,"")</f>
        <v/>
      </c>
      <c r="CE54" s="1426" t="str">
        <f aca="false">IF(ISNUMBER($AX54*BE54),$AX54*BE54,"")</f>
        <v/>
      </c>
      <c r="CF54" s="1372" t="str">
        <f aca="false">IF(ISNUMBER($AW54*BF54),$AW54*BF54,"")</f>
        <v/>
      </c>
      <c r="CG54" s="1372" t="str">
        <f aca="false">IF(ISNUMBER($AX54*BG54),$AX54*BG54,"")</f>
        <v/>
      </c>
      <c r="CH54" s="1438"/>
      <c r="CI54" s="1438"/>
      <c r="CJ54" s="1438"/>
      <c r="CK54" s="1438"/>
      <c r="CU54" s="1411"/>
      <c r="CV54" s="1411"/>
      <c r="CW54" s="1425"/>
      <c r="CX54" s="1425"/>
      <c r="CY54" s="1425"/>
      <c r="CZ54" s="1425"/>
      <c r="DA54" s="1411"/>
      <c r="DB54" s="1411"/>
      <c r="DC54" s="1411"/>
      <c r="DD54" s="1411"/>
      <c r="DE54" s="1411"/>
      <c r="DF54" s="1411"/>
      <c r="DH54" s="1432"/>
      <c r="DI54" s="1432"/>
      <c r="DJ54" s="1437"/>
      <c r="DK54" s="1437"/>
      <c r="DL54" s="1437"/>
      <c r="DM54" s="1437"/>
      <c r="DN54" s="1432"/>
      <c r="DO54" s="1432"/>
      <c r="DP54" s="1432"/>
      <c r="DQ54" s="1432"/>
      <c r="DR54" s="1432"/>
      <c r="DS54" s="1432"/>
      <c r="DT54" s="1316"/>
      <c r="DU54" s="1433"/>
      <c r="DV54" s="1433"/>
      <c r="DW54" s="1433"/>
      <c r="DX54" s="1433"/>
      <c r="DY54" s="1433"/>
      <c r="DZ54" s="1433"/>
      <c r="EA54" s="1433"/>
      <c r="EB54" s="1433"/>
    </row>
    <row r="55" customFormat="false" ht="14.25" hidden="false" customHeight="false" outlineLevel="0" collapsed="false">
      <c r="A55" s="2" t="n">
        <f aca="false">'V_DATOS PAC_SGA'!R50</f>
        <v>0</v>
      </c>
      <c r="B55" s="2" t="n">
        <f aca="false">IF(I55="IV",CONCATENATE('V_DATOS PAC_SGA'!R50,"4")+0,CONCATENATE('V_DATOS PAC_SGA'!R50,"0")+0)</f>
        <v>0</v>
      </c>
      <c r="C55" s="2" t="n">
        <f aca="false">'V_DATOS PAC_SGA'!S50</f>
        <v>0</v>
      </c>
      <c r="D55" s="1409" t="n">
        <f aca="false">'V_DATOS PAC_SGA'!Y50</f>
        <v>0</v>
      </c>
      <c r="E55" s="1410" t="str">
        <f aca="false">IF('V_DATOS PAC_SGA'!AV50="","Regadio",'V_DATOS PAC_SGA'!AV50)</f>
        <v>Regadio</v>
      </c>
      <c r="F55" s="1411" t="n">
        <f aca="false">'V_DATOS PAC_SGA'!BK50</f>
        <v>0</v>
      </c>
      <c r="G55" s="1412" t="n">
        <f aca="false">'V_DATOS PAC_SGA'!AN50</f>
        <v>0</v>
      </c>
      <c r="H55" s="1413" t="str">
        <f aca="false">IF(B55&gt;0,VLOOKUP(B55,'O_MN, PE_UTA_UGM 2024'!E$3:O$419,10),"")</f>
        <v/>
      </c>
      <c r="I55" s="1359" t="n">
        <f aca="false">'V_DATOS PAC_SGA'!BV50</f>
        <v>0</v>
      </c>
      <c r="J55" s="2" t="str">
        <f aca="false">IF(AND(J$4=$G55,J$6=$F55),$D55*J$5,"")</f>
        <v/>
      </c>
      <c r="K55" s="2" t="str">
        <f aca="false">IF(AND(K$4=$G55,K$6=$F55),$D55*K$5,"")</f>
        <v/>
      </c>
      <c r="L55" s="2" t="str">
        <f aca="false">IF(AND(L$4=$G55,L$6=$F55),$D55*L$5,"")</f>
        <v/>
      </c>
      <c r="M55" s="2" t="str">
        <f aca="false">IF(AND(M$4=$G55,M$6=$F55),$D55*M$5,"")</f>
        <v/>
      </c>
      <c r="N55" s="1414" t="n">
        <f aca="false">VLOOKUP(B55,'O_MN, PE_UTA_UGM 2024'!$E$2:$K$419,IF(G55&gt;1,6,7))</f>
        <v>0</v>
      </c>
      <c r="O55" s="1434" t="str">
        <f aca="false">IF($H55=O$4,$D55*$N55,"")</f>
        <v/>
      </c>
      <c r="P55" s="1435" t="str">
        <f aca="false">IF($H55=P$4,$D55*$N55,"")</f>
        <v/>
      </c>
      <c r="Q55" s="1435" t="str">
        <f aca="false">IF($H55=Q$4,$D55*$N55,"")</f>
        <v/>
      </c>
      <c r="R55" s="1435" t="str">
        <f aca="false">IF($H55=R$4,$D55*$N55,"")</f>
        <v/>
      </c>
      <c r="S55" s="1435" t="str">
        <f aca="false">IF($H55=S$4,$D55*$N55,"")</f>
        <v/>
      </c>
      <c r="T55" s="1435" t="str">
        <f aca="false">IF($H55=T$4,$D55*$N55,"")</f>
        <v/>
      </c>
      <c r="U55" s="1436" t="str">
        <f aca="false">IF($H55=U$4,$D55*$N55,"")</f>
        <v/>
      </c>
      <c r="V55" s="1418"/>
      <c r="W55" s="1419"/>
      <c r="X55" s="1419"/>
      <c r="Y55" s="1419"/>
      <c r="Z55" s="1419"/>
      <c r="AA55" s="1419"/>
      <c r="AB55" s="1420"/>
      <c r="AC55" s="1319"/>
      <c r="AD55" s="2" t="str">
        <f aca="false">IF(AND(AD$4=$G55,AD$6=$F55),$B55,"")</f>
        <v/>
      </c>
      <c r="AE55" s="2" t="str">
        <f aca="false">IF(AND(AE$4=$G55,AE$6=$F55),$B55,"")</f>
        <v/>
      </c>
      <c r="AF55" s="2" t="str">
        <f aca="false">IF(AND(AF$4=$G55,AF$6=$F55),$B55,"")</f>
        <v/>
      </c>
      <c r="AG55" s="2" t="str">
        <f aca="false">IF(AND(AG$4=$G55,AG$6=$F55),$B55,"")</f>
        <v/>
      </c>
      <c r="AI55" s="366"/>
      <c r="AL55" s="367"/>
      <c r="AO55" s="367"/>
      <c r="AP55" s="2" t="str">
        <f aca="false">IF(AT55&gt;0,RANK(AT55,AT$7:AT$423),"")</f>
        <v/>
      </c>
      <c r="AQ55" s="2" t="n">
        <f aca="false">'O_MN, PE_UTA_UGM 2024'!C51</f>
        <v>88</v>
      </c>
      <c r="AR55" s="1421" t="n">
        <v>860</v>
      </c>
      <c r="AS55" s="2" t="str">
        <f aca="false">IF(AY55&lt;&gt;"",AY55,"")</f>
        <v/>
      </c>
      <c r="AT55" s="1422" t="n">
        <f aca="false">IF(ISNUMBER($AR55),SUMIF(B$7:B$505,AR55,D$7:D$505),"")</f>
        <v>0</v>
      </c>
      <c r="AU55" s="1411" t="n">
        <f aca="false">IF(ISNUMBER($AR55),SUMIF(AD$7:AD$503,$AR55,J$7:J$503),"")</f>
        <v>0</v>
      </c>
      <c r="AV55" s="1411" t="n">
        <f aca="false">IF(ISNUMBER($AR55),SUMIF(AF$7:AF$503,$AR55,L$7:L$503),"")</f>
        <v>0</v>
      </c>
      <c r="AW55" s="1423" t="n">
        <f aca="false">IF(ISNUMBER($AR55),SUMIF(AE$7:AE$503,$AR55,K$7:K$503),"")</f>
        <v>0</v>
      </c>
      <c r="AX55" s="1423" t="n">
        <f aca="false">IF(ISNUMBER($AR55),SUMIF(AG$7:AG$503,$AR55,M$7:M$503),"")</f>
        <v>0</v>
      </c>
      <c r="AY55" s="2" t="str">
        <f aca="false">IF($AT55&gt;0,VLOOKUP($AR55,'O_MN, PE_UTA_UGM 2024'!E51:O467,2),"")</f>
        <v/>
      </c>
      <c r="AZ55" s="1424"/>
      <c r="BA55" s="1424"/>
      <c r="BB55" s="1424" t="str">
        <f aca="false">IF($AT55&gt;0,VLOOKUP($AR55,'O_MN, PE_UTA_UGM 2024'!$E$3:$O$419,BB$6),"")</f>
        <v/>
      </c>
      <c r="BC55" s="1424" t="str">
        <f aca="false">IF($AT55&gt;0,VLOOKUP($AR55,'O_MN, PE_UTA_UGM 2024'!$E$3:$O$419,BC$6),"")</f>
        <v/>
      </c>
      <c r="BD55" s="1424" t="str">
        <f aca="false">IF($AT55&gt;0,VLOOKUP($AR55,'O_MN, PE_UTA_UGM 2024'!$E$3:$O$419,BD$6),"")</f>
        <v/>
      </c>
      <c r="BE55" s="1424" t="str">
        <f aca="false">IF($AT55&gt;0,VLOOKUP($AR55,'O_MN, PE_UTA_UGM 2024'!$E$3:$O$419,BE$6),"")</f>
        <v/>
      </c>
      <c r="BF55" s="1424" t="str">
        <f aca="false">IF($AT55&gt;0,VLOOKUP($AR55,'O_MN, PE_UTA_UGM 2024'!$E$3:$O$419,BF$6),"")</f>
        <v/>
      </c>
      <c r="BG55" s="1424" t="str">
        <f aca="false">IF($AT55&gt;0,VLOOKUP($AR55,'O_MN, PE_UTA_UGM 2024'!$E$3:$O$419,BG$6),"")</f>
        <v/>
      </c>
      <c r="BH55" s="872"/>
      <c r="BI55" s="872"/>
      <c r="BJ55" s="872"/>
      <c r="BK55" s="872"/>
      <c r="BM55" s="1411"/>
      <c r="BN55" s="1411"/>
      <c r="BO55" s="1425" t="str">
        <f aca="false">IF(ISNUMBER($AU55*BB55*1),$AU55*BB55*1,"")</f>
        <v/>
      </c>
      <c r="BP55" s="1425" t="str">
        <f aca="false">IF(ISNUMBER($AV55*BC55*1),$AV55*BC55*1,"")</f>
        <v/>
      </c>
      <c r="BQ55" s="1425" t="str">
        <f aca="false">IF(ISNUMBER($AU55*BD55*1),$AU55*BD55*1,"")</f>
        <v/>
      </c>
      <c r="BR55" s="1425" t="str">
        <f aca="false">IF(ISNUMBER($AV55*BE55*1),$AV55*BE55*1,"")</f>
        <v/>
      </c>
      <c r="BS55" s="1411" t="str">
        <f aca="false">IF(ISNUMBER($AU55*BF55),$AU55*BF55,"")</f>
        <v/>
      </c>
      <c r="BT55" s="1411" t="str">
        <f aca="false">IF(ISNUMBER($AV55*BG55),$AV55*BG55,"")</f>
        <v/>
      </c>
      <c r="BU55" s="1411"/>
      <c r="BV55" s="1411"/>
      <c r="BW55" s="1411"/>
      <c r="BX55" s="1411"/>
      <c r="BZ55" s="1372"/>
      <c r="CA55" s="1372"/>
      <c r="CB55" s="1426" t="str">
        <f aca="false">IF(ISNUMBER($AW55*BB55),$AW55*BB55,"")</f>
        <v/>
      </c>
      <c r="CC55" s="1426" t="str">
        <f aca="false">IF(ISNUMBER($AX55*BC55),$AX55*BC55,"")</f>
        <v/>
      </c>
      <c r="CD55" s="1426" t="str">
        <f aca="false">IF(ISNUMBER($AW55*BD55),$AW55*BD55,"")</f>
        <v/>
      </c>
      <c r="CE55" s="1426" t="str">
        <f aca="false">IF(ISNUMBER($AX55*BE55),$AX55*BE55,"")</f>
        <v/>
      </c>
      <c r="CF55" s="1372" t="str">
        <f aca="false">IF(ISNUMBER($AW55*BF55),$AW55*BF55,"")</f>
        <v/>
      </c>
      <c r="CG55" s="1372" t="str">
        <f aca="false">IF(ISNUMBER($AX55*BG55),$AX55*BG55,"")</f>
        <v/>
      </c>
      <c r="CH55" s="1438"/>
      <c r="CI55" s="1438"/>
      <c r="CJ55" s="1438"/>
      <c r="CK55" s="1438"/>
      <c r="CU55" s="1411"/>
      <c r="CV55" s="1411"/>
      <c r="CW55" s="1425"/>
      <c r="CX55" s="1425"/>
      <c r="CY55" s="1425"/>
      <c r="CZ55" s="1425"/>
      <c r="DA55" s="1411"/>
      <c r="DB55" s="1411"/>
      <c r="DC55" s="1411"/>
      <c r="DD55" s="1411"/>
      <c r="DE55" s="1411"/>
      <c r="DF55" s="1411"/>
      <c r="DH55" s="1432"/>
      <c r="DI55" s="1432"/>
      <c r="DJ55" s="1437"/>
      <c r="DK55" s="1437"/>
      <c r="DL55" s="1437"/>
      <c r="DM55" s="1437"/>
      <c r="DN55" s="1432"/>
      <c r="DO55" s="1432"/>
      <c r="DP55" s="1432"/>
      <c r="DQ55" s="1432"/>
      <c r="DR55" s="1432"/>
      <c r="DS55" s="1432"/>
      <c r="DT55" s="1316"/>
      <c r="DU55" s="1433"/>
      <c r="DV55" s="1433"/>
      <c r="DW55" s="1433"/>
      <c r="DX55" s="1433"/>
      <c r="DY55" s="1433"/>
      <c r="DZ55" s="1433"/>
      <c r="EA55" s="1433"/>
      <c r="EB55" s="1433"/>
    </row>
    <row r="56" customFormat="false" ht="14.25" hidden="false" customHeight="false" outlineLevel="0" collapsed="false">
      <c r="A56" s="2" t="n">
        <f aca="false">'V_DATOS PAC_SGA'!R51</f>
        <v>0</v>
      </c>
      <c r="B56" s="2" t="n">
        <f aca="false">IF(I56="IV",CONCATENATE('V_DATOS PAC_SGA'!R51,"4")+0,CONCATENATE('V_DATOS PAC_SGA'!R51,"0")+0)</f>
        <v>0</v>
      </c>
      <c r="C56" s="2" t="n">
        <f aca="false">'V_DATOS PAC_SGA'!S51</f>
        <v>0</v>
      </c>
      <c r="D56" s="1409" t="n">
        <f aca="false">'V_DATOS PAC_SGA'!Y51</f>
        <v>0</v>
      </c>
      <c r="E56" s="1410" t="str">
        <f aca="false">IF('V_DATOS PAC_SGA'!AV51="","Regadio",'V_DATOS PAC_SGA'!AV51)</f>
        <v>Regadio</v>
      </c>
      <c r="F56" s="1411" t="n">
        <f aca="false">'V_DATOS PAC_SGA'!BK51</f>
        <v>0</v>
      </c>
      <c r="G56" s="1412" t="n">
        <f aca="false">'V_DATOS PAC_SGA'!AN51</f>
        <v>0</v>
      </c>
      <c r="H56" s="1413" t="str">
        <f aca="false">IF(B56&gt;0,VLOOKUP(B56,'O_MN, PE_UTA_UGM 2024'!E$3:O$419,10),"")</f>
        <v/>
      </c>
      <c r="I56" s="1359" t="n">
        <f aca="false">'V_DATOS PAC_SGA'!BV51</f>
        <v>0</v>
      </c>
      <c r="J56" s="2" t="str">
        <f aca="false">IF(AND(J$4=$G56,J$6=$F56),$D56*J$5,"")</f>
        <v/>
      </c>
      <c r="K56" s="2" t="str">
        <f aca="false">IF(AND(K$4=$G56,K$6=$F56),$D56*K$5,"")</f>
        <v/>
      </c>
      <c r="L56" s="2" t="str">
        <f aca="false">IF(AND(L$4=$G56,L$6=$F56),$D56*L$5,"")</f>
        <v/>
      </c>
      <c r="M56" s="2" t="str">
        <f aca="false">IF(AND(M$4=$G56,M$6=$F56),$D56*M$5,"")</f>
        <v/>
      </c>
      <c r="N56" s="1414" t="n">
        <f aca="false">VLOOKUP(B56,'O_MN, PE_UTA_UGM 2024'!$E$2:$K$419,IF(G56&gt;1,6,7))</f>
        <v>0</v>
      </c>
      <c r="O56" s="1434" t="str">
        <f aca="false">IF($H56=O$4,$D56*$N56,"")</f>
        <v/>
      </c>
      <c r="P56" s="1435" t="str">
        <f aca="false">IF($H56=P$4,$D56*$N56,"")</f>
        <v/>
      </c>
      <c r="Q56" s="1435" t="str">
        <f aca="false">IF($H56=Q$4,$D56*$N56,"")</f>
        <v/>
      </c>
      <c r="R56" s="1435" t="str">
        <f aca="false">IF($H56=R$4,$D56*$N56,"")</f>
        <v/>
      </c>
      <c r="S56" s="1435" t="str">
        <f aca="false">IF($H56=S$4,$D56*$N56,"")</f>
        <v/>
      </c>
      <c r="T56" s="1435" t="str">
        <f aca="false">IF($H56=T$4,$D56*$N56,"")</f>
        <v/>
      </c>
      <c r="U56" s="1436" t="str">
        <f aca="false">IF($H56=U$4,$D56*$N56,"")</f>
        <v/>
      </c>
      <c r="V56" s="1418"/>
      <c r="W56" s="1419"/>
      <c r="X56" s="1419"/>
      <c r="Y56" s="1419"/>
      <c r="Z56" s="1419"/>
      <c r="AA56" s="1419"/>
      <c r="AB56" s="1420"/>
      <c r="AC56" s="1319"/>
      <c r="AD56" s="2" t="str">
        <f aca="false">IF(AND(AD$4=$G56,AD$6=$F56),$B56,"")</f>
        <v/>
      </c>
      <c r="AE56" s="2" t="str">
        <f aca="false">IF(AND(AE$4=$G56,AE$6=$F56),$B56,"")</f>
        <v/>
      </c>
      <c r="AF56" s="2" t="str">
        <f aca="false">IF(AND(AF$4=$G56,AF$6=$F56),$B56,"")</f>
        <v/>
      </c>
      <c r="AG56" s="2" t="str">
        <f aca="false">IF(AND(AG$4=$G56,AG$6=$F56),$B56,"")</f>
        <v/>
      </c>
      <c r="AI56" s="366"/>
      <c r="AL56" s="367"/>
      <c r="AO56" s="367"/>
      <c r="AP56" s="2" t="str">
        <f aca="false">IF(AT56&gt;0,RANK(AT56,AT$7:AT$423),"")</f>
        <v/>
      </c>
      <c r="AQ56" s="2" t="n">
        <f aca="false">'O_MN, PE_UTA_UGM 2024'!C52</f>
        <v>90</v>
      </c>
      <c r="AR56" s="1421" t="n">
        <v>870</v>
      </c>
      <c r="AS56" s="2" t="str">
        <f aca="false">IF(AY56&lt;&gt;"",AY56,"")</f>
        <v/>
      </c>
      <c r="AT56" s="1422" t="n">
        <f aca="false">IF(ISNUMBER($AR56),SUMIF(B$7:B$505,AR56,D$7:D$505),"")</f>
        <v>0</v>
      </c>
      <c r="AU56" s="1439" t="n">
        <f aca="false">IF(ISNUMBER($AR56),SUMIF(AD$7:AD$503,$AR56,J$7:J$503),"")</f>
        <v>0</v>
      </c>
      <c r="AV56" s="1439" t="n">
        <f aca="false">IF(ISNUMBER($AR56),SUMIF(AF$7:AF$503,$AR56,L$7:L$503),"")</f>
        <v>0</v>
      </c>
      <c r="AW56" s="1440" t="n">
        <f aca="false">IF(ISNUMBER($AR56),SUMIF(AE$7:AE$503,$AR56,K$7:K$503),"")</f>
        <v>0</v>
      </c>
      <c r="AX56" s="1440" t="n">
        <f aca="false">IF(ISNUMBER($AR56),SUMIF(AG$7:AG$503,$AR56,M$7:M$503),"")</f>
        <v>0</v>
      </c>
      <c r="AY56" s="2" t="str">
        <f aca="false">IF($AT56&gt;0,VLOOKUP($AR56,'O_MN, PE_UTA_UGM 2024'!E52:O468,2),"")</f>
        <v/>
      </c>
      <c r="AZ56" s="1424"/>
      <c r="BA56" s="1424"/>
      <c r="BB56" s="1424" t="str">
        <f aca="false">IF($AT56&gt;0,VLOOKUP($AR56,'O_MN, PE_UTA_UGM 2024'!$E$3:$O$419,BB$6),"")</f>
        <v/>
      </c>
      <c r="BC56" s="1424" t="str">
        <f aca="false">IF($AT56&gt;0,VLOOKUP($AR56,'O_MN, PE_UTA_UGM 2024'!$E$3:$O$419,BC$6),"")</f>
        <v/>
      </c>
      <c r="BD56" s="1424" t="str">
        <f aca="false">IF($AT56&gt;0,VLOOKUP($AR56,'O_MN, PE_UTA_UGM 2024'!$E$3:$O$419,BD$6),"")</f>
        <v/>
      </c>
      <c r="BE56" s="1424" t="str">
        <f aca="false">IF($AT56&gt;0,VLOOKUP($AR56,'O_MN, PE_UTA_UGM 2024'!$E$3:$O$419,BE$6),"")</f>
        <v/>
      </c>
      <c r="BF56" s="1424" t="str">
        <f aca="false">IF($AT56&gt;0,VLOOKUP($AR56,'O_MN, PE_UTA_UGM 2024'!$E$3:$O$419,BF$6),"")</f>
        <v/>
      </c>
      <c r="BG56" s="1424" t="str">
        <f aca="false">IF($AT56&gt;0,VLOOKUP($AR56,'O_MN, PE_UTA_UGM 2024'!$E$3:$O$419,BG$6),"")</f>
        <v/>
      </c>
      <c r="BH56" s="872"/>
      <c r="BI56" s="872"/>
      <c r="BJ56" s="872"/>
      <c r="BK56" s="872"/>
      <c r="BL56" s="1441"/>
      <c r="BM56" s="1439"/>
      <c r="BN56" s="1439"/>
      <c r="BO56" s="1442" t="str">
        <f aca="false">IF(ISNUMBER($AU56*BB56*1),$AU56*BB56*1,"")</f>
        <v/>
      </c>
      <c r="BP56" s="1442" t="str">
        <f aca="false">IF(ISNUMBER($AV56*BC56*1),$AV56*BC56*1,"")</f>
        <v/>
      </c>
      <c r="BQ56" s="1442" t="str">
        <f aca="false">IF(ISNUMBER($AU56*BD56*1),$AU56*BD56*1,"")</f>
        <v/>
      </c>
      <c r="BR56" s="1442" t="str">
        <f aca="false">IF(ISNUMBER($AV56*BE56*1),$AV56*BE56*1,"")</f>
        <v/>
      </c>
      <c r="BS56" s="1439" t="str">
        <f aca="false">IF(ISNUMBER($AU56*BF56),$AU56*BF56,"")</f>
        <v/>
      </c>
      <c r="BT56" s="1439" t="str">
        <f aca="false">IF(ISNUMBER($AV56*BG56),$AV56*BG56,"")</f>
        <v/>
      </c>
      <c r="BU56" s="1439"/>
      <c r="BV56" s="1439"/>
      <c r="BW56" s="1439"/>
      <c r="BX56" s="1439"/>
      <c r="BY56" s="1441"/>
      <c r="BZ56" s="1443"/>
      <c r="CA56" s="1443"/>
      <c r="CB56" s="1444" t="str">
        <f aca="false">IF(ISNUMBER($AW56*BB56),$AW56*BB56,"")</f>
        <v/>
      </c>
      <c r="CC56" s="1444" t="str">
        <f aca="false">IF(ISNUMBER($AX56*BC56),$AX56*BC56,"")</f>
        <v/>
      </c>
      <c r="CD56" s="1444" t="str">
        <f aca="false">IF(ISNUMBER($AW56*BD56),$AW56*BD56,"")</f>
        <v/>
      </c>
      <c r="CE56" s="1444" t="str">
        <f aca="false">IF(ISNUMBER($AX56*BE56),$AX56*BE56,"")</f>
        <v/>
      </c>
      <c r="CF56" s="1443" t="str">
        <f aca="false">IF(ISNUMBER($AW56*BF56),$AW56*BF56,"")</f>
        <v/>
      </c>
      <c r="CG56" s="1443" t="str">
        <f aca="false">IF(ISNUMBER($AX56*BG56),$AX56*BG56,"")</f>
        <v/>
      </c>
      <c r="CH56" s="1438"/>
      <c r="CI56" s="1438"/>
      <c r="CJ56" s="1438"/>
      <c r="CK56" s="1438"/>
      <c r="CU56" s="1411"/>
      <c r="CV56" s="1411"/>
      <c r="CW56" s="1425"/>
      <c r="CX56" s="1425"/>
      <c r="CY56" s="1425"/>
      <c r="CZ56" s="1425"/>
      <c r="DA56" s="1411"/>
      <c r="DB56" s="1411"/>
      <c r="DC56" s="1411"/>
      <c r="DD56" s="1411"/>
      <c r="DE56" s="1411"/>
      <c r="DF56" s="1411"/>
      <c r="DH56" s="1432"/>
      <c r="DI56" s="1432"/>
      <c r="DJ56" s="1437"/>
      <c r="DK56" s="1437"/>
      <c r="DL56" s="1437"/>
      <c r="DM56" s="1437"/>
      <c r="DN56" s="1432"/>
      <c r="DO56" s="1432"/>
      <c r="DP56" s="1432"/>
      <c r="DQ56" s="1432"/>
      <c r="DR56" s="1432"/>
      <c r="DS56" s="1432"/>
      <c r="DT56" s="1316"/>
      <c r="DU56" s="1433"/>
      <c r="DV56" s="1433"/>
      <c r="DW56" s="1433"/>
      <c r="DX56" s="1433"/>
      <c r="DY56" s="1433"/>
      <c r="DZ56" s="1433"/>
      <c r="EA56" s="1433"/>
      <c r="EB56" s="1433"/>
    </row>
    <row r="57" customFormat="false" ht="14.25" hidden="false" customHeight="false" outlineLevel="0" collapsed="false">
      <c r="A57" s="1445" t="n">
        <f aca="false">'V_DATOS PAC_SGA'!R52</f>
        <v>0</v>
      </c>
      <c r="B57" s="1445" t="n">
        <f aca="false">IF(I57="IV",CONCATENATE('V_DATOS PAC_SGA'!R52,"4")+0,CONCATENATE('V_DATOS PAC_SGA'!R52,"0")+0)</f>
        <v>0</v>
      </c>
      <c r="C57" s="1445" t="n">
        <f aca="false">'V_DATOS PAC_SGA'!S52</f>
        <v>0</v>
      </c>
      <c r="D57" s="1409" t="n">
        <f aca="false">'V_DATOS PAC_SGA'!Y52</f>
        <v>0</v>
      </c>
      <c r="E57" s="1410" t="str">
        <f aca="false">IF('V_DATOS PAC_SGA'!AV52="","Regadio",'V_DATOS PAC_SGA'!AV52)</f>
        <v>Regadio</v>
      </c>
      <c r="F57" s="1411" t="n">
        <f aca="false">'V_DATOS PAC_SGA'!BK52</f>
        <v>0</v>
      </c>
      <c r="G57" s="1412" t="n">
        <f aca="false">'V_DATOS PAC_SGA'!AN52</f>
        <v>0</v>
      </c>
      <c r="H57" s="1413" t="str">
        <f aca="false">IF(B57&gt;0,VLOOKUP(B57,'O_MN, PE_UTA_UGM 2024'!E$3:O$419,10),"")</f>
        <v/>
      </c>
      <c r="I57" s="1359" t="n">
        <f aca="false">'V_DATOS PAC_SGA'!BV52</f>
        <v>0</v>
      </c>
      <c r="J57" s="1445" t="str">
        <f aca="false">IF(AND(J$4=$G57,J$6=$F57),$D57*J$5,"")</f>
        <v/>
      </c>
      <c r="K57" s="1445" t="str">
        <f aca="false">IF(AND(K$4=$G57,K$6=$F57),$D57*K$5,"")</f>
        <v/>
      </c>
      <c r="L57" s="1445" t="str">
        <f aca="false">IF(AND(L$4=$G57,L$6=$F57),$D57*L$5,"")</f>
        <v/>
      </c>
      <c r="M57" s="1445" t="str">
        <f aca="false">IF(AND(M$4=$G57,M$6=$F57),$D57*M$5,"")</f>
        <v/>
      </c>
      <c r="N57" s="1414" t="n">
        <f aca="false">VLOOKUP(B57,'O_MN, PE_UTA_UGM 2024'!$E$2:$K$419,IF(G57&gt;1,6,7))</f>
        <v>0</v>
      </c>
      <c r="O57" s="1434" t="str">
        <f aca="false">IF($H57=O$4,$D57*$N57,"")</f>
        <v/>
      </c>
      <c r="P57" s="1435" t="str">
        <f aca="false">IF($H57=P$4,$D57*$N57,"")</f>
        <v/>
      </c>
      <c r="Q57" s="1435" t="str">
        <f aca="false">IF($H57=Q$4,$D57*$N57,"")</f>
        <v/>
      </c>
      <c r="R57" s="1435" t="str">
        <f aca="false">IF($H57=R$4,$D57*$N57,"")</f>
        <v/>
      </c>
      <c r="S57" s="1435" t="str">
        <f aca="false">IF($H57=S$4,$D57*$N57,"")</f>
        <v/>
      </c>
      <c r="T57" s="1435" t="str">
        <f aca="false">IF($H57=T$4,$D57*$N57,"")</f>
        <v/>
      </c>
      <c r="U57" s="1436" t="str">
        <f aca="false">IF($H57=U$4,$D57*$N57,"")</f>
        <v/>
      </c>
      <c r="V57" s="1418"/>
      <c r="W57" s="1419"/>
      <c r="X57" s="1419"/>
      <c r="Y57" s="1419"/>
      <c r="Z57" s="1419"/>
      <c r="AA57" s="1419"/>
      <c r="AB57" s="1420"/>
      <c r="AC57" s="1319"/>
      <c r="AD57" s="1445" t="str">
        <f aca="false">IF(AND(AD$4=$G57,AD$6=$F57),$B57,"")</f>
        <v/>
      </c>
      <c r="AE57" s="1445" t="str">
        <f aca="false">IF(AND(AE$4=$G57,AE$6=$F57),$B57,"")</f>
        <v/>
      </c>
      <c r="AF57" s="1445" t="str">
        <f aca="false">IF(AND(AF$4=$G57,AF$6=$F57),$B57,"")</f>
        <v/>
      </c>
      <c r="AG57" s="1445" t="str">
        <f aca="false">IF(AND(AG$4=$G57,AG$6=$F57),$B57,"")</f>
        <v/>
      </c>
      <c r="AH57" s="1445"/>
      <c r="AI57" s="366"/>
      <c r="AJ57" s="1445"/>
      <c r="AK57" s="1445"/>
      <c r="AL57" s="367"/>
      <c r="AM57" s="1445"/>
      <c r="AN57" s="1445"/>
      <c r="AO57" s="367"/>
      <c r="AP57" s="1445" t="str">
        <f aca="false">IF(AT57&gt;0,RANK(AT57,AT$7:AT$423),"")</f>
        <v/>
      </c>
      <c r="AQ57" s="1445" t="n">
        <f aca="false">'O_MN, PE_UTA_UGM 2024'!C53</f>
        <v>92</v>
      </c>
      <c r="AR57" s="1421" t="n">
        <v>880</v>
      </c>
      <c r="AS57" s="1445" t="str">
        <f aca="false">IF(AY57&lt;&gt;"",AY57,"")</f>
        <v/>
      </c>
      <c r="AT57" s="1422" t="n">
        <f aca="false">IF(ISNUMBER($AR57),SUMIF(B$7:B$505,AR57,D$7:D$505),"")</f>
        <v>0</v>
      </c>
      <c r="AU57" s="1411" t="n">
        <f aca="false">IF(ISNUMBER($AR57),SUMIF(AD$7:AD$503,$AR57,J$7:J$503),"")</f>
        <v>0</v>
      </c>
      <c r="AV57" s="1411" t="n">
        <f aca="false">IF(ISNUMBER($AR57),SUMIF(AF$7:AF$503,$AR57,L$7:L$503),"")</f>
        <v>0</v>
      </c>
      <c r="AW57" s="1423" t="n">
        <f aca="false">IF(ISNUMBER($AR57),SUMIF(AE$7:AE$503,$AR57,K$7:K$503),"")</f>
        <v>0</v>
      </c>
      <c r="AX57" s="1423" t="n">
        <f aca="false">IF(ISNUMBER($AR57),SUMIF(AG$7:AG$503,$AR57,M$7:M$503),"")</f>
        <v>0</v>
      </c>
      <c r="AY57" s="1445" t="str">
        <f aca="false">IF($AT57&gt;0,VLOOKUP($AR57,'O_MN, PE_UTA_UGM 2024'!E53:O469,2),"")</f>
        <v/>
      </c>
      <c r="AZ57" s="1424"/>
      <c r="BA57" s="1424"/>
      <c r="BB57" s="1424" t="str">
        <f aca="false">IF($AT57&gt;0,VLOOKUP($AR57,'O_MN, PE_UTA_UGM 2024'!$E$3:$O$419,BB$6),"")</f>
        <v/>
      </c>
      <c r="BC57" s="1424" t="str">
        <f aca="false">IF($AT57&gt;0,VLOOKUP($AR57,'O_MN, PE_UTA_UGM 2024'!$E$3:$O$419,BC$6),"")</f>
        <v/>
      </c>
      <c r="BD57" s="1424" t="str">
        <f aca="false">IF($AT57&gt;0,VLOOKUP($AR57,'O_MN, PE_UTA_UGM 2024'!$E$3:$O$419,BD$6),"")</f>
        <v/>
      </c>
      <c r="BE57" s="1424" t="str">
        <f aca="false">IF($AT57&gt;0,VLOOKUP($AR57,'O_MN, PE_UTA_UGM 2024'!$E$3:$O$419,BE$6),"")</f>
        <v/>
      </c>
      <c r="BF57" s="1424" t="str">
        <f aca="false">IF($AT57&gt;0,VLOOKUP($AR57,'O_MN, PE_UTA_UGM 2024'!$E$3:$O$419,BF$6),"")</f>
        <v/>
      </c>
      <c r="BG57" s="1424" t="str">
        <f aca="false">IF($AT57&gt;0,VLOOKUP($AR57,'O_MN, PE_UTA_UGM 2024'!$E$3:$O$419,BG$6),"")</f>
        <v/>
      </c>
      <c r="BH57" s="872"/>
      <c r="BI57" s="872"/>
      <c r="BJ57" s="872"/>
      <c r="BK57" s="872"/>
      <c r="BL57" s="1445"/>
      <c r="BM57" s="1411"/>
      <c r="BN57" s="1411"/>
      <c r="BO57" s="1425" t="str">
        <f aca="false">IF(ISNUMBER($AU57*BB57*1),$AU57*BB57*1,"")</f>
        <v/>
      </c>
      <c r="BP57" s="1425" t="str">
        <f aca="false">IF(ISNUMBER($AV57*BC57*1),$AV57*BC57*1,"")</f>
        <v/>
      </c>
      <c r="BQ57" s="1425" t="str">
        <f aca="false">IF(ISNUMBER($AU57*BD57*1),$AU57*BD57*1,"")</f>
        <v/>
      </c>
      <c r="BR57" s="1425" t="str">
        <f aca="false">IF(ISNUMBER($AV57*BE57*1),$AV57*BE57*1,"")</f>
        <v/>
      </c>
      <c r="BS57" s="1411" t="str">
        <f aca="false">IF(ISNUMBER($AU57*BF57),$AU57*BF57,"")</f>
        <v/>
      </c>
      <c r="BT57" s="1411" t="str">
        <f aca="false">IF(ISNUMBER($AV57*BG57),$AV57*BG57,"")</f>
        <v/>
      </c>
      <c r="BU57" s="1411"/>
      <c r="BV57" s="1411"/>
      <c r="BW57" s="1411"/>
      <c r="BX57" s="1411"/>
      <c r="BY57" s="1445"/>
      <c r="BZ57" s="1372"/>
      <c r="CA57" s="1372"/>
      <c r="CB57" s="1426" t="str">
        <f aca="false">IF(ISNUMBER($AW57*BB57),$AW57*BB57,"")</f>
        <v/>
      </c>
      <c r="CC57" s="1426" t="str">
        <f aca="false">IF(ISNUMBER($AX57*BC57),$AX57*BC57,"")</f>
        <v/>
      </c>
      <c r="CD57" s="1426" t="str">
        <f aca="false">IF(ISNUMBER($AW57*BD57),$AW57*BD57,"")</f>
        <v/>
      </c>
      <c r="CE57" s="1426" t="str">
        <f aca="false">IF(ISNUMBER($AX57*BE57),$AX57*BE57,"")</f>
        <v/>
      </c>
      <c r="CF57" s="1372" t="str">
        <f aca="false">IF(ISNUMBER($AW57*BF57),$AW57*BF57,"")</f>
        <v/>
      </c>
      <c r="CG57" s="1372" t="str">
        <f aca="false">IF(ISNUMBER($AX57*BG57),$AX57*BG57,"")</f>
        <v/>
      </c>
      <c r="CH57" s="1438"/>
      <c r="CI57" s="1438"/>
      <c r="CJ57" s="1438"/>
      <c r="CK57" s="1438"/>
      <c r="CL57" s="1445"/>
      <c r="CM57" s="1445"/>
      <c r="CN57" s="1445"/>
      <c r="CO57" s="1445"/>
      <c r="CP57" s="1445"/>
      <c r="CQ57" s="1445"/>
      <c r="CR57" s="1445"/>
      <c r="CS57" s="1445"/>
      <c r="CT57" s="1445"/>
      <c r="CU57" s="1411"/>
      <c r="CV57" s="1411"/>
      <c r="CW57" s="1425"/>
      <c r="CX57" s="1425"/>
      <c r="CY57" s="1425"/>
      <c r="CZ57" s="1425"/>
      <c r="DA57" s="1411"/>
      <c r="DB57" s="1411"/>
      <c r="DC57" s="1411"/>
      <c r="DD57" s="1411"/>
      <c r="DE57" s="1411"/>
      <c r="DF57" s="1411"/>
      <c r="DG57" s="1445"/>
      <c r="DH57" s="1432"/>
      <c r="DI57" s="1432"/>
      <c r="DJ57" s="1437"/>
      <c r="DK57" s="1437"/>
      <c r="DL57" s="1437"/>
      <c r="DM57" s="1437"/>
      <c r="DN57" s="1432"/>
      <c r="DO57" s="1432"/>
      <c r="DP57" s="1432"/>
      <c r="DQ57" s="1432"/>
      <c r="DR57" s="1432"/>
      <c r="DS57" s="1432"/>
      <c r="DT57" s="1316"/>
      <c r="DU57" s="1433"/>
      <c r="DV57" s="1433"/>
      <c r="DW57" s="1433"/>
      <c r="DX57" s="1433"/>
      <c r="DY57" s="1433"/>
      <c r="DZ57" s="1433"/>
      <c r="EA57" s="1433"/>
      <c r="EB57" s="1433"/>
    </row>
    <row r="58" customFormat="false" ht="14.25" hidden="false" customHeight="false" outlineLevel="0" collapsed="false">
      <c r="A58" s="1445" t="n">
        <f aca="false">'V_DATOS PAC_SGA'!R53</f>
        <v>0</v>
      </c>
      <c r="B58" s="1445" t="n">
        <f aca="false">IF(I58="IV",CONCATENATE('V_DATOS PAC_SGA'!R53,"4")+0,CONCATENATE('V_DATOS PAC_SGA'!R53,"0")+0)</f>
        <v>0</v>
      </c>
      <c r="C58" s="1445" t="n">
        <f aca="false">'V_DATOS PAC_SGA'!S53</f>
        <v>0</v>
      </c>
      <c r="D58" s="1409" t="n">
        <f aca="false">'V_DATOS PAC_SGA'!Y53</f>
        <v>0</v>
      </c>
      <c r="E58" s="1410" t="str">
        <f aca="false">IF('V_DATOS PAC_SGA'!AV53="","Regadio",'V_DATOS PAC_SGA'!AV53)</f>
        <v>Regadio</v>
      </c>
      <c r="F58" s="1411" t="n">
        <f aca="false">'V_DATOS PAC_SGA'!BK53</f>
        <v>0</v>
      </c>
      <c r="G58" s="1412" t="n">
        <f aca="false">'V_DATOS PAC_SGA'!AN53</f>
        <v>0</v>
      </c>
      <c r="H58" s="1413" t="str">
        <f aca="false">IF(B58&gt;0,VLOOKUP(B58,'O_MN, PE_UTA_UGM 2024'!E$3:O$419,10),"")</f>
        <v/>
      </c>
      <c r="I58" s="1359" t="n">
        <f aca="false">'V_DATOS PAC_SGA'!BV53</f>
        <v>0</v>
      </c>
      <c r="J58" s="1445" t="str">
        <f aca="false">IF(AND(J$4=$G58,J$6=$F58),$D58*J$5,"")</f>
        <v/>
      </c>
      <c r="K58" s="1445" t="str">
        <f aca="false">IF(AND(K$4=$G58,K$6=$F58),$D58*K$5,"")</f>
        <v/>
      </c>
      <c r="L58" s="1445" t="str">
        <f aca="false">IF(AND(L$4=$G58,L$6=$F58),$D58*L$5,"")</f>
        <v/>
      </c>
      <c r="M58" s="1445" t="str">
        <f aca="false">IF(AND(M$4=$G58,M$6=$F58),$D58*M$5,"")</f>
        <v/>
      </c>
      <c r="N58" s="1414" t="n">
        <f aca="false">VLOOKUP(B58,'O_MN, PE_UTA_UGM 2024'!$E$2:$K$419,IF(G58&gt;1,6,7))</f>
        <v>0</v>
      </c>
      <c r="O58" s="1434" t="str">
        <f aca="false">IF($H58=O$4,$D58*$N58,"")</f>
        <v/>
      </c>
      <c r="P58" s="1435" t="str">
        <f aca="false">IF($H58=P$4,$D58*$N58,"")</f>
        <v/>
      </c>
      <c r="Q58" s="1435" t="str">
        <f aca="false">IF($H58=Q$4,$D58*$N58,"")</f>
        <v/>
      </c>
      <c r="R58" s="1435" t="str">
        <f aca="false">IF($H58=R$4,$D58*$N58,"")</f>
        <v/>
      </c>
      <c r="S58" s="1435" t="str">
        <f aca="false">IF($H58=S$4,$D58*$N58,"")</f>
        <v/>
      </c>
      <c r="T58" s="1435" t="str">
        <f aca="false">IF($H58=T$4,$D58*$N58,"")</f>
        <v/>
      </c>
      <c r="U58" s="1436" t="str">
        <f aca="false">IF($H58=U$4,$D58*$N58,"")</f>
        <v/>
      </c>
      <c r="V58" s="1418"/>
      <c r="W58" s="1419"/>
      <c r="X58" s="1419"/>
      <c r="Y58" s="1419"/>
      <c r="Z58" s="1419"/>
      <c r="AA58" s="1419"/>
      <c r="AB58" s="1420"/>
      <c r="AC58" s="1319"/>
      <c r="AD58" s="1445" t="str">
        <f aca="false">IF(AND(AD$4=$G58,AD$6=$F58),$B58,"")</f>
        <v/>
      </c>
      <c r="AE58" s="1445" t="str">
        <f aca="false">IF(AND(AE$4=$G58,AE$6=$F58),$B58,"")</f>
        <v/>
      </c>
      <c r="AF58" s="1445" t="str">
        <f aca="false">IF(AND(AF$4=$G58,AF$6=$F58),$B58,"")</f>
        <v/>
      </c>
      <c r="AG58" s="1445" t="str">
        <f aca="false">IF(AND(AG$4=$G58,AG$6=$F58),$B58,"")</f>
        <v/>
      </c>
      <c r="AH58" s="1445"/>
      <c r="AI58" s="366"/>
      <c r="AJ58" s="1445"/>
      <c r="AK58" s="1445"/>
      <c r="AL58" s="367"/>
      <c r="AM58" s="1445"/>
      <c r="AN58" s="1445"/>
      <c r="AO58" s="367"/>
      <c r="AP58" s="1445" t="str">
        <f aca="false">IF(AT58&gt;0,RANK(AT58,AT$7:AT$423),"")</f>
        <v/>
      </c>
      <c r="AQ58" s="1445" t="n">
        <f aca="false">'O_MN, PE_UTA_UGM 2024'!C54</f>
        <v>96</v>
      </c>
      <c r="AR58" s="1421" t="n">
        <v>900</v>
      </c>
      <c r="AS58" s="1445" t="str">
        <f aca="false">IF(AY58&lt;&gt;"",AY58,"")</f>
        <v/>
      </c>
      <c r="AT58" s="1422" t="n">
        <f aca="false">IF(ISNUMBER($AR58),SUMIF(B$7:B$505,AR58,D$7:D$505),"")</f>
        <v>0</v>
      </c>
      <c r="AU58" s="1411" t="n">
        <f aca="false">IF(ISNUMBER($AR58),SUMIF(AD$7:AD$503,$AR58,J$7:J$503),"")</f>
        <v>0</v>
      </c>
      <c r="AV58" s="1411" t="n">
        <f aca="false">IF(ISNUMBER($AR58),SUMIF(AF$7:AF$503,$AR58,L$7:L$503),"")</f>
        <v>0</v>
      </c>
      <c r="AW58" s="1423" t="n">
        <f aca="false">IF(ISNUMBER($AR58),SUMIF(AE$7:AE$503,$AR58,K$7:K$503),"")</f>
        <v>0</v>
      </c>
      <c r="AX58" s="1423" t="n">
        <f aca="false">IF(ISNUMBER($AR58),SUMIF(AG$7:AG$503,$AR58,M$7:M$503),"")</f>
        <v>0</v>
      </c>
      <c r="AY58" s="1445" t="str">
        <f aca="false">IF($AT58&gt;0,VLOOKUP($AR58,'O_MN, PE_UTA_UGM 2024'!E54:O470,2),"")</f>
        <v/>
      </c>
      <c r="AZ58" s="1424"/>
      <c r="BA58" s="1424"/>
      <c r="BB58" s="1424" t="str">
        <f aca="false">IF($AT58&gt;0,VLOOKUP($AR58,'O_MN, PE_UTA_UGM 2024'!$E$3:$O$419,BB$6),"")</f>
        <v/>
      </c>
      <c r="BC58" s="1424" t="str">
        <f aca="false">IF($AT58&gt;0,VLOOKUP($AR58,'O_MN, PE_UTA_UGM 2024'!$E$3:$O$419,BC$6),"")</f>
        <v/>
      </c>
      <c r="BD58" s="1424" t="str">
        <f aca="false">IF($AT58&gt;0,VLOOKUP($AR58,'O_MN, PE_UTA_UGM 2024'!$E$3:$O$419,BD$6),"")</f>
        <v/>
      </c>
      <c r="BE58" s="1424" t="str">
        <f aca="false">IF($AT58&gt;0,VLOOKUP($AR58,'O_MN, PE_UTA_UGM 2024'!$E$3:$O$419,BE$6),"")</f>
        <v/>
      </c>
      <c r="BF58" s="1424" t="str">
        <f aca="false">IF($AT58&gt;0,VLOOKUP($AR58,'O_MN, PE_UTA_UGM 2024'!$E$3:$O$419,BF$6),"")</f>
        <v/>
      </c>
      <c r="BG58" s="1424" t="str">
        <f aca="false">IF($AT58&gt;0,VLOOKUP($AR58,'O_MN, PE_UTA_UGM 2024'!$E$3:$O$419,BG$6),"")</f>
        <v/>
      </c>
      <c r="BH58" s="872"/>
      <c r="BI58" s="872"/>
      <c r="BJ58" s="872"/>
      <c r="BK58" s="872"/>
      <c r="BL58" s="1445"/>
      <c r="BM58" s="1411"/>
      <c r="BN58" s="1411"/>
      <c r="BO58" s="1425" t="str">
        <f aca="false">IF(ISNUMBER($AU58*BB58*1),$AU58*BB58*1,"")</f>
        <v/>
      </c>
      <c r="BP58" s="1425" t="str">
        <f aca="false">IF(ISNUMBER($AV58*BC58*1),$AV58*BC58*1,"")</f>
        <v/>
      </c>
      <c r="BQ58" s="1425" t="str">
        <f aca="false">IF(ISNUMBER($AU58*BD58*1),$AU58*BD58*1,"")</f>
        <v/>
      </c>
      <c r="BR58" s="1425" t="str">
        <f aca="false">IF(ISNUMBER($AV58*BE58*1),$AV58*BE58*1,"")</f>
        <v/>
      </c>
      <c r="BS58" s="1411" t="str">
        <f aca="false">IF(ISNUMBER($AU58*BF58),$AU58*BF58,"")</f>
        <v/>
      </c>
      <c r="BT58" s="1411" t="str">
        <f aca="false">IF(ISNUMBER($AV58*BG58),$AV58*BG58,"")</f>
        <v/>
      </c>
      <c r="BU58" s="1411"/>
      <c r="BV58" s="1411"/>
      <c r="BW58" s="1411"/>
      <c r="BX58" s="1411"/>
      <c r="BY58" s="1445"/>
      <c r="BZ58" s="1372"/>
      <c r="CA58" s="1372"/>
      <c r="CB58" s="1426" t="str">
        <f aca="false">IF(ISNUMBER($AW58*BB58),$AW58*BB58,"")</f>
        <v/>
      </c>
      <c r="CC58" s="1426" t="str">
        <f aca="false">IF(ISNUMBER($AX58*BC58),$AX58*BC58,"")</f>
        <v/>
      </c>
      <c r="CD58" s="1426" t="str">
        <f aca="false">IF(ISNUMBER($AW58*BD58),$AW58*BD58,"")</f>
        <v/>
      </c>
      <c r="CE58" s="1426" t="str">
        <f aca="false">IF(ISNUMBER($AX58*BE58),$AX58*BE58,"")</f>
        <v/>
      </c>
      <c r="CF58" s="1372" t="str">
        <f aca="false">IF(ISNUMBER($AW58*BF58),$AW58*BF58,"")</f>
        <v/>
      </c>
      <c r="CG58" s="1372" t="str">
        <f aca="false">IF(ISNUMBER($AX58*BG58),$AX58*BG58,"")</f>
        <v/>
      </c>
      <c r="CH58" s="1445"/>
      <c r="CI58" s="1445"/>
      <c r="CJ58" s="1445"/>
      <c r="CK58" s="1445"/>
      <c r="CL58" s="1445"/>
      <c r="CM58" s="1445"/>
      <c r="CN58" s="1445"/>
      <c r="CO58" s="1445"/>
      <c r="CP58" s="1445"/>
      <c r="CQ58" s="1445"/>
      <c r="CR58" s="1445"/>
      <c r="CS58" s="1445"/>
      <c r="CT58" s="1445"/>
      <c r="CU58" s="1445"/>
      <c r="CV58" s="1445"/>
      <c r="CW58" s="1445"/>
      <c r="CX58" s="1445"/>
      <c r="CY58" s="1445"/>
      <c r="CZ58" s="1445"/>
      <c r="DA58" s="1445"/>
      <c r="DB58" s="1445"/>
      <c r="DC58" s="1445"/>
      <c r="DD58" s="1445"/>
      <c r="DE58" s="1445"/>
      <c r="DF58" s="1445"/>
      <c r="DG58" s="1445"/>
      <c r="DH58" s="1445"/>
      <c r="DI58" s="1445"/>
      <c r="DJ58" s="1445"/>
      <c r="DK58" s="1445"/>
      <c r="DL58" s="1445"/>
      <c r="DM58" s="1445"/>
      <c r="DN58" s="1445"/>
      <c r="DO58" s="1445"/>
      <c r="DP58" s="1445"/>
      <c r="DQ58" s="1445"/>
      <c r="DR58" s="1445"/>
      <c r="DS58" s="1445"/>
      <c r="DT58" s="1445"/>
      <c r="DU58" s="1445"/>
      <c r="DV58" s="1445"/>
      <c r="DW58" s="1445"/>
      <c r="DX58" s="1445"/>
      <c r="DY58" s="1445"/>
      <c r="DZ58" s="1445"/>
      <c r="EA58" s="1445"/>
      <c r="EB58" s="1445"/>
    </row>
    <row r="59" customFormat="false" ht="14.25" hidden="false" customHeight="false" outlineLevel="0" collapsed="false">
      <c r="A59" s="2" t="n">
        <f aca="false">'V_DATOS PAC_SGA'!R54</f>
        <v>0</v>
      </c>
      <c r="B59" s="2" t="n">
        <f aca="false">IF(I59="IV",CONCATENATE('V_DATOS PAC_SGA'!R54,"4")+0,CONCATENATE('V_DATOS PAC_SGA'!R54,"0")+0)</f>
        <v>0</v>
      </c>
      <c r="C59" s="2" t="n">
        <f aca="false">'V_DATOS PAC_SGA'!S54</f>
        <v>0</v>
      </c>
      <c r="D59" s="1409" t="n">
        <f aca="false">'V_DATOS PAC_SGA'!Y54</f>
        <v>0</v>
      </c>
      <c r="E59" s="1410" t="str">
        <f aca="false">IF('V_DATOS PAC_SGA'!AV54="","Regadio",'V_DATOS PAC_SGA'!AV54)</f>
        <v>Regadio</v>
      </c>
      <c r="F59" s="1411" t="n">
        <f aca="false">'V_DATOS PAC_SGA'!BK54</f>
        <v>0</v>
      </c>
      <c r="G59" s="1412" t="n">
        <f aca="false">'V_DATOS PAC_SGA'!AN54</f>
        <v>0</v>
      </c>
      <c r="H59" s="1413" t="str">
        <f aca="false">IF(B59&gt;0,VLOOKUP(B59,'O_MN, PE_UTA_UGM 2024'!E$3:O$419,10),"")</f>
        <v/>
      </c>
      <c r="I59" s="1359" t="n">
        <f aca="false">'V_DATOS PAC_SGA'!BV54</f>
        <v>0</v>
      </c>
      <c r="J59" s="2" t="str">
        <f aca="false">IF(AND(J$4=$G59,J$6=$F59),$D59*J$5,"")</f>
        <v/>
      </c>
      <c r="K59" s="2" t="str">
        <f aca="false">IF(AND(K$4=$G59,K$6=$F59),$D59*K$5,"")</f>
        <v/>
      </c>
      <c r="L59" s="2" t="str">
        <f aca="false">IF(AND(L$4=$G59,L$6=$F59),$D59*L$5,"")</f>
        <v/>
      </c>
      <c r="M59" s="2" t="str">
        <f aca="false">IF(AND(M$4=$G59,M$6=$F59),$D59*M$5,"")</f>
        <v/>
      </c>
      <c r="N59" s="1414" t="n">
        <f aca="false">VLOOKUP(B59,'O_MN, PE_UTA_UGM 2024'!$E$2:$K$419,IF(G59&gt;1,6,7))</f>
        <v>0</v>
      </c>
      <c r="O59" s="1434" t="str">
        <f aca="false">IF($H59=O$4,$D59*$N59,"")</f>
        <v/>
      </c>
      <c r="P59" s="1435" t="str">
        <f aca="false">IF($H59=P$4,$D59*$N59,"")</f>
        <v/>
      </c>
      <c r="Q59" s="1435" t="str">
        <f aca="false">IF($H59=Q$4,$D59*$N59,"")</f>
        <v/>
      </c>
      <c r="R59" s="1435" t="str">
        <f aca="false">IF($H59=R$4,$D59*$N59,"")</f>
        <v/>
      </c>
      <c r="S59" s="1435" t="str">
        <f aca="false">IF($H59=S$4,$D59*$N59,"")</f>
        <v/>
      </c>
      <c r="T59" s="1435" t="str">
        <f aca="false">IF($H59=T$4,$D59*$N59,"")</f>
        <v/>
      </c>
      <c r="U59" s="1436" t="str">
        <f aca="false">IF($H59=U$4,$D59*$N59,"")</f>
        <v/>
      </c>
      <c r="V59" s="1418"/>
      <c r="W59" s="1419"/>
      <c r="X59" s="1419"/>
      <c r="Y59" s="1419"/>
      <c r="Z59" s="1419"/>
      <c r="AA59" s="1419"/>
      <c r="AB59" s="1420"/>
      <c r="AC59" s="1319"/>
      <c r="AD59" s="2" t="str">
        <f aca="false">IF(AND(AD$4=$G59,AD$6=$F59),$B59,"")</f>
        <v/>
      </c>
      <c r="AE59" s="2" t="str">
        <f aca="false">IF(AND(AE$4=$G59,AE$6=$F59),$B59,"")</f>
        <v/>
      </c>
      <c r="AF59" s="2" t="str">
        <f aca="false">IF(AND(AF$4=$G59,AF$6=$F59),$B59,"")</f>
        <v/>
      </c>
      <c r="AG59" s="2" t="str">
        <f aca="false">IF(AND(AG$4=$G59,AG$6=$F59),$B59,"")</f>
        <v/>
      </c>
      <c r="AI59" s="366"/>
      <c r="AL59" s="367"/>
      <c r="AO59" s="367"/>
      <c r="AP59" s="2" t="str">
        <f aca="false">IF(AT59&gt;0,RANK(AT59,AT$7:AT$423),"")</f>
        <v/>
      </c>
      <c r="AQ59" s="2" t="n">
        <f aca="false">'O_MN, PE_UTA_UGM 2024'!C55</f>
        <v>99</v>
      </c>
      <c r="AR59" s="1421" t="n">
        <v>910</v>
      </c>
      <c r="AS59" s="2" t="str">
        <f aca="false">IF(AY59&lt;&gt;"",AY59,"")</f>
        <v/>
      </c>
      <c r="AT59" s="1422" t="n">
        <f aca="false">IF(ISNUMBER($AR59),SUMIF(B$7:B$505,AR59,D$7:D$505),"")</f>
        <v>0</v>
      </c>
      <c r="AU59" s="1411" t="n">
        <f aca="false">IF(ISNUMBER($AR59),SUMIF(AD$7:AD$503,$AR59,J$7:J$503),"")</f>
        <v>0</v>
      </c>
      <c r="AV59" s="1411" t="n">
        <f aca="false">IF(ISNUMBER($AR59),SUMIF(AF$7:AF$503,$AR59,L$7:L$503),"")</f>
        <v>0</v>
      </c>
      <c r="AW59" s="1423" t="n">
        <f aca="false">IF(ISNUMBER($AR59),SUMIF(AE$7:AE$503,$AR59,K$7:K$503),"")</f>
        <v>0</v>
      </c>
      <c r="AX59" s="1423" t="n">
        <f aca="false">IF(ISNUMBER($AR59),SUMIF(AG$7:AG$503,$AR59,M$7:M$503),"")</f>
        <v>0</v>
      </c>
      <c r="AY59" s="2" t="str">
        <f aca="false">IF($AT59&gt;0,VLOOKUP($AR59,'O_MN, PE_UTA_UGM 2024'!E55:O471,2),"")</f>
        <v/>
      </c>
      <c r="AZ59" s="1424"/>
      <c r="BA59" s="1424"/>
      <c r="BB59" s="1424" t="str">
        <f aca="false">IF($AT59&gt;0,VLOOKUP($AR59,'O_MN, PE_UTA_UGM 2024'!$E$3:$O$419,BB$6),"")</f>
        <v/>
      </c>
      <c r="BC59" s="1424" t="str">
        <f aca="false">IF($AT59&gt;0,VLOOKUP($AR59,'O_MN, PE_UTA_UGM 2024'!$E$3:$O$419,BC$6),"")</f>
        <v/>
      </c>
      <c r="BD59" s="1424" t="str">
        <f aca="false">IF($AT59&gt;0,VLOOKUP($AR59,'O_MN, PE_UTA_UGM 2024'!$E$3:$O$419,BD$6),"")</f>
        <v/>
      </c>
      <c r="BE59" s="1424" t="str">
        <f aca="false">IF($AT59&gt;0,VLOOKUP($AR59,'O_MN, PE_UTA_UGM 2024'!$E$3:$O$419,BE$6),"")</f>
        <v/>
      </c>
      <c r="BF59" s="1424" t="str">
        <f aca="false">IF($AT59&gt;0,VLOOKUP($AR59,'O_MN, PE_UTA_UGM 2024'!$E$3:$O$419,BF$6),"")</f>
        <v/>
      </c>
      <c r="BG59" s="1424" t="str">
        <f aca="false">IF($AT59&gt;0,VLOOKUP($AR59,'O_MN, PE_UTA_UGM 2024'!$E$3:$O$419,BG$6),"")</f>
        <v/>
      </c>
      <c r="BH59" s="872"/>
      <c r="BI59" s="872"/>
      <c r="BJ59" s="872"/>
      <c r="BK59" s="872"/>
      <c r="BM59" s="1411"/>
      <c r="BN59" s="1411"/>
      <c r="BO59" s="1425" t="str">
        <f aca="false">IF(ISNUMBER($AU59*BB59*1),$AU59*BB59*1,"")</f>
        <v/>
      </c>
      <c r="BP59" s="1425" t="str">
        <f aca="false">IF(ISNUMBER($AV59*BC59*1),$AV59*BC59*1,"")</f>
        <v/>
      </c>
      <c r="BQ59" s="1425" t="str">
        <f aca="false">IF(ISNUMBER($AU59*BD59*1),$AU59*BD59*1,"")</f>
        <v/>
      </c>
      <c r="BR59" s="1425" t="str">
        <f aca="false">IF(ISNUMBER($AV59*BE59*1),$AV59*BE59*1,"")</f>
        <v/>
      </c>
      <c r="BS59" s="1411" t="str">
        <f aca="false">IF(ISNUMBER($AU59*BF59),$AU59*BF59,"")</f>
        <v/>
      </c>
      <c r="BT59" s="1411" t="str">
        <f aca="false">IF(ISNUMBER($AV59*BG59),$AV59*BG59,"")</f>
        <v/>
      </c>
      <c r="BU59" s="1411"/>
      <c r="BV59" s="1411"/>
      <c r="BW59" s="1411"/>
      <c r="BX59" s="1411"/>
      <c r="BZ59" s="1372"/>
      <c r="CA59" s="1372"/>
      <c r="CB59" s="1426" t="str">
        <f aca="false">IF(ISNUMBER($AW59*BB59),$AW59*BB59,"")</f>
        <v/>
      </c>
      <c r="CC59" s="1426" t="str">
        <f aca="false">IF(ISNUMBER($AX59*BC59),$AX59*BC59,"")</f>
        <v/>
      </c>
      <c r="CD59" s="1426" t="str">
        <f aca="false">IF(ISNUMBER($AW59*BD59),$AW59*BD59,"")</f>
        <v/>
      </c>
      <c r="CE59" s="1426" t="str">
        <f aca="false">IF(ISNUMBER($AX59*BE59),$AX59*BE59,"")</f>
        <v/>
      </c>
      <c r="CF59" s="1372" t="str">
        <f aca="false">IF(ISNUMBER($AW59*BF59),$AW59*BF59,"")</f>
        <v/>
      </c>
      <c r="CG59" s="1372" t="str">
        <f aca="false">IF(ISNUMBER($AX59*BG59),$AX59*BG59,"")</f>
        <v/>
      </c>
      <c r="CH59" s="1438"/>
      <c r="CI59" s="1438"/>
      <c r="CJ59" s="1438"/>
      <c r="CK59" s="1438"/>
      <c r="CU59" s="1411"/>
      <c r="CV59" s="1411"/>
      <c r="CW59" s="1425"/>
      <c r="CX59" s="1425"/>
      <c r="CY59" s="1425"/>
      <c r="CZ59" s="1425"/>
      <c r="DA59" s="1411"/>
      <c r="DB59" s="1411"/>
      <c r="DC59" s="1411"/>
      <c r="DD59" s="1411"/>
      <c r="DE59" s="1411"/>
      <c r="DF59" s="1411"/>
      <c r="DH59" s="1432"/>
      <c r="DI59" s="1432"/>
      <c r="DJ59" s="1437"/>
      <c r="DK59" s="1437"/>
      <c r="DL59" s="1437"/>
      <c r="DM59" s="1437"/>
      <c r="DN59" s="1432"/>
      <c r="DO59" s="1432"/>
      <c r="DP59" s="1432"/>
      <c r="DQ59" s="1432"/>
      <c r="DR59" s="1432"/>
      <c r="DS59" s="1432"/>
      <c r="DT59" s="1316"/>
      <c r="DU59" s="1433"/>
      <c r="DV59" s="1433"/>
      <c r="DW59" s="1433"/>
      <c r="DX59" s="1433"/>
      <c r="DY59" s="1433"/>
      <c r="DZ59" s="1433"/>
      <c r="EA59" s="1433"/>
      <c r="EB59" s="1433"/>
    </row>
    <row r="60" customFormat="false" ht="14.25" hidden="false" customHeight="false" outlineLevel="0" collapsed="false">
      <c r="A60" s="2" t="n">
        <f aca="false">'V_DATOS PAC_SGA'!R55</f>
        <v>0</v>
      </c>
      <c r="B60" s="2" t="n">
        <f aca="false">IF(I60="IV",CONCATENATE('V_DATOS PAC_SGA'!R55,"4")+0,CONCATENATE('V_DATOS PAC_SGA'!R55,"0")+0)</f>
        <v>0</v>
      </c>
      <c r="C60" s="2" t="n">
        <f aca="false">'V_DATOS PAC_SGA'!S55</f>
        <v>0</v>
      </c>
      <c r="D60" s="1409" t="n">
        <f aca="false">'V_DATOS PAC_SGA'!Y55</f>
        <v>0</v>
      </c>
      <c r="E60" s="1410" t="str">
        <f aca="false">IF('V_DATOS PAC_SGA'!AV55="","Regadio",'V_DATOS PAC_SGA'!AV55)</f>
        <v>Regadio</v>
      </c>
      <c r="F60" s="1411" t="n">
        <f aca="false">'V_DATOS PAC_SGA'!BK55</f>
        <v>0</v>
      </c>
      <c r="G60" s="1412" t="n">
        <f aca="false">'V_DATOS PAC_SGA'!AN55</f>
        <v>0</v>
      </c>
      <c r="H60" s="1413" t="str">
        <f aca="false">IF(B60&gt;0,VLOOKUP(B60,'O_MN, PE_UTA_UGM 2024'!E$3:O$419,10),"")</f>
        <v/>
      </c>
      <c r="I60" s="1359" t="n">
        <f aca="false">'V_DATOS PAC_SGA'!BV55</f>
        <v>0</v>
      </c>
      <c r="J60" s="2" t="str">
        <f aca="false">IF(AND(J$4=$G60,J$6=$F60),$D60*J$5,"")</f>
        <v/>
      </c>
      <c r="K60" s="2" t="str">
        <f aca="false">IF(AND(K$4=$G60,K$6=$F60),$D60*K$5,"")</f>
        <v/>
      </c>
      <c r="L60" s="2" t="str">
        <f aca="false">IF(AND(L$4=$G60,L$6=$F60),$D60*L$5,"")</f>
        <v/>
      </c>
      <c r="M60" s="2" t="str">
        <f aca="false">IF(AND(M$4=$G60,M$6=$F60),$D60*M$5,"")</f>
        <v/>
      </c>
      <c r="N60" s="1414" t="n">
        <f aca="false">VLOOKUP(B60,'O_MN, PE_UTA_UGM 2024'!$E$2:$K$419,IF(G60&gt;1,6,7))</f>
        <v>0</v>
      </c>
      <c r="O60" s="1434" t="str">
        <f aca="false">IF($H60=O$4,$D60*$N60,"")</f>
        <v/>
      </c>
      <c r="P60" s="1435" t="str">
        <f aca="false">IF($H60=P$4,$D60*$N60,"")</f>
        <v/>
      </c>
      <c r="Q60" s="1435" t="str">
        <f aca="false">IF($H60=Q$4,$D60*$N60,"")</f>
        <v/>
      </c>
      <c r="R60" s="1435" t="str">
        <f aca="false">IF($H60=R$4,$D60*$N60,"")</f>
        <v/>
      </c>
      <c r="S60" s="1435" t="str">
        <f aca="false">IF($H60=S$4,$D60*$N60,"")</f>
        <v/>
      </c>
      <c r="T60" s="1435" t="str">
        <f aca="false">IF($H60=T$4,$D60*$N60,"")</f>
        <v/>
      </c>
      <c r="U60" s="1436" t="str">
        <f aca="false">IF($H60=U$4,$D60*$N60,"")</f>
        <v/>
      </c>
      <c r="V60" s="1418"/>
      <c r="W60" s="1419"/>
      <c r="X60" s="1419"/>
      <c r="Y60" s="1419"/>
      <c r="Z60" s="1419"/>
      <c r="AA60" s="1419"/>
      <c r="AB60" s="1420"/>
      <c r="AC60" s="1319"/>
      <c r="AD60" s="2" t="str">
        <f aca="false">IF(AND(AD$4=$G60,AD$6=$F60),$B60,"")</f>
        <v/>
      </c>
      <c r="AE60" s="2" t="str">
        <f aca="false">IF(AND(AE$4=$G60,AE$6=$F60),$B60,"")</f>
        <v/>
      </c>
      <c r="AF60" s="2" t="str">
        <f aca="false">IF(AND(AF$4=$G60,AF$6=$F60),$B60,"")</f>
        <v/>
      </c>
      <c r="AG60" s="2" t="str">
        <f aca="false">IF(AND(AG$4=$G60,AG$6=$F60),$B60,"")</f>
        <v/>
      </c>
      <c r="AI60" s="366"/>
      <c r="AL60" s="367"/>
      <c r="AO60" s="367"/>
      <c r="AP60" s="2" t="str">
        <f aca="false">IF(AT60&gt;0,RANK(AT60,AT$7:AT$423),"")</f>
        <v/>
      </c>
      <c r="AQ60" s="2" t="n">
        <f aca="false">'O_MN, PE_UTA_UGM 2024'!C56</f>
        <v>101</v>
      </c>
      <c r="AR60" s="1421" t="n">
        <v>920</v>
      </c>
      <c r="AS60" s="2" t="str">
        <f aca="false">IF(AY60&lt;&gt;"",AY60,"")</f>
        <v/>
      </c>
      <c r="AT60" s="1422" t="n">
        <f aca="false">IF(ISNUMBER($AR60),SUMIF(B$7:B$505,AR60,D$7:D$505),"")</f>
        <v>0</v>
      </c>
      <c r="AU60" s="1411" t="n">
        <f aca="false">IF(ISNUMBER($AR60),SUMIF(AD$7:AD$503,$AR60,J$7:J$503),"")</f>
        <v>0</v>
      </c>
      <c r="AV60" s="1411" t="n">
        <f aca="false">IF(ISNUMBER($AR60),SUMIF(AF$7:AF$503,$AR60,L$7:L$503),"")</f>
        <v>0</v>
      </c>
      <c r="AW60" s="1423" t="n">
        <f aca="false">IF(ISNUMBER($AR60),SUMIF(AE$7:AE$503,$AR60,K$7:K$503),"")</f>
        <v>0</v>
      </c>
      <c r="AX60" s="1423" t="n">
        <f aca="false">IF(ISNUMBER($AR60),SUMIF(AG$7:AG$503,$AR60,M$7:M$503),"")</f>
        <v>0</v>
      </c>
      <c r="AY60" s="2" t="str">
        <f aca="false">IF($AT60&gt;0,VLOOKUP($AR60,'O_MN, PE_UTA_UGM 2024'!E56:O472,2),"")</f>
        <v/>
      </c>
      <c r="AZ60" s="1424"/>
      <c r="BA60" s="1424"/>
      <c r="BB60" s="1424" t="str">
        <f aca="false">IF($AT60&gt;0,VLOOKUP($AR60,'O_MN, PE_UTA_UGM 2024'!$E$3:$O$419,BB$6),"")</f>
        <v/>
      </c>
      <c r="BC60" s="1424" t="str">
        <f aca="false">IF($AT60&gt;0,VLOOKUP($AR60,'O_MN, PE_UTA_UGM 2024'!$E$3:$O$419,BC$6),"")</f>
        <v/>
      </c>
      <c r="BD60" s="1424" t="str">
        <f aca="false">IF($AT60&gt;0,VLOOKUP($AR60,'O_MN, PE_UTA_UGM 2024'!$E$3:$O$419,BD$6),"")</f>
        <v/>
      </c>
      <c r="BE60" s="1424" t="str">
        <f aca="false">IF($AT60&gt;0,VLOOKUP($AR60,'O_MN, PE_UTA_UGM 2024'!$E$3:$O$419,BE$6),"")</f>
        <v/>
      </c>
      <c r="BF60" s="1424" t="str">
        <f aca="false">IF($AT60&gt;0,VLOOKUP($AR60,'O_MN, PE_UTA_UGM 2024'!$E$3:$O$419,BF$6),"")</f>
        <v/>
      </c>
      <c r="BG60" s="1424" t="str">
        <f aca="false">IF($AT60&gt;0,VLOOKUP($AR60,'O_MN, PE_UTA_UGM 2024'!$E$3:$O$419,BG$6),"")</f>
        <v/>
      </c>
      <c r="BH60" s="872"/>
      <c r="BI60" s="872"/>
      <c r="BJ60" s="872"/>
      <c r="BK60" s="872"/>
      <c r="BM60" s="1411"/>
      <c r="BN60" s="1411"/>
      <c r="BO60" s="1425" t="str">
        <f aca="false">IF(ISNUMBER($AU60*BB60*1),$AU60*BB60*1,"")</f>
        <v/>
      </c>
      <c r="BP60" s="1425" t="str">
        <f aca="false">IF(ISNUMBER($AV60*BC60*1),$AV60*BC60*1,"")</f>
        <v/>
      </c>
      <c r="BQ60" s="1425" t="str">
        <f aca="false">IF(ISNUMBER($AU60*BD60*1),$AU60*BD60*1,"")</f>
        <v/>
      </c>
      <c r="BR60" s="1425" t="str">
        <f aca="false">IF(ISNUMBER($AV60*BE60*1),$AV60*BE60*1,"")</f>
        <v/>
      </c>
      <c r="BS60" s="1411" t="str">
        <f aca="false">IF(ISNUMBER($AU60*BF60),$AU60*BF60,"")</f>
        <v/>
      </c>
      <c r="BT60" s="1411" t="str">
        <f aca="false">IF(ISNUMBER($AV60*BG60),$AV60*BG60,"")</f>
        <v/>
      </c>
      <c r="BU60" s="1411"/>
      <c r="BV60" s="1411"/>
      <c r="BW60" s="1411"/>
      <c r="BX60" s="1411"/>
      <c r="BZ60" s="1372"/>
      <c r="CA60" s="1372"/>
      <c r="CB60" s="1426" t="str">
        <f aca="false">IF(ISNUMBER($AW60*BB60),$AW60*BB60,"")</f>
        <v/>
      </c>
      <c r="CC60" s="1426" t="str">
        <f aca="false">IF(ISNUMBER($AX60*BC60),$AX60*BC60,"")</f>
        <v/>
      </c>
      <c r="CD60" s="1426" t="str">
        <f aca="false">IF(ISNUMBER($AW60*BD60),$AW60*BD60,"")</f>
        <v/>
      </c>
      <c r="CE60" s="1426" t="str">
        <f aca="false">IF(ISNUMBER($AX60*BE60),$AX60*BE60,"")</f>
        <v/>
      </c>
      <c r="CF60" s="1372" t="str">
        <f aca="false">IF(ISNUMBER($AW60*BF60),$AW60*BF60,"")</f>
        <v/>
      </c>
      <c r="CG60" s="1372" t="str">
        <f aca="false">IF(ISNUMBER($AX60*BG60),$AX60*BG60,"")</f>
        <v/>
      </c>
      <c r="CH60" s="1438"/>
      <c r="CI60" s="1438"/>
      <c r="CJ60" s="1438"/>
      <c r="CK60" s="1438"/>
      <c r="CU60" s="1411"/>
      <c r="CV60" s="1411"/>
      <c r="CW60" s="1425"/>
      <c r="CX60" s="1425"/>
      <c r="CY60" s="1425"/>
      <c r="CZ60" s="1425"/>
      <c r="DA60" s="1411"/>
      <c r="DB60" s="1411"/>
      <c r="DC60" s="1411"/>
      <c r="DD60" s="1411"/>
      <c r="DE60" s="1411"/>
      <c r="DF60" s="1411"/>
      <c r="DH60" s="1432"/>
      <c r="DI60" s="1432"/>
      <c r="DJ60" s="1437"/>
      <c r="DK60" s="1437"/>
      <c r="DL60" s="1437"/>
      <c r="DM60" s="1437"/>
      <c r="DN60" s="1432"/>
      <c r="DO60" s="1432"/>
      <c r="DP60" s="1432"/>
      <c r="DQ60" s="1432"/>
      <c r="DR60" s="1432"/>
      <c r="DS60" s="1432"/>
      <c r="DT60" s="1316"/>
      <c r="DU60" s="1433"/>
      <c r="DV60" s="1433"/>
      <c r="DW60" s="1433"/>
      <c r="DX60" s="1433"/>
      <c r="DY60" s="1433"/>
      <c r="DZ60" s="1433"/>
      <c r="EA60" s="1433"/>
      <c r="EB60" s="1433"/>
    </row>
    <row r="61" customFormat="false" ht="14.25" hidden="false" customHeight="false" outlineLevel="0" collapsed="false">
      <c r="A61" s="2" t="n">
        <f aca="false">'V_DATOS PAC_SGA'!R56</f>
        <v>0</v>
      </c>
      <c r="B61" s="2" t="n">
        <f aca="false">IF(I61="IV",CONCATENATE('V_DATOS PAC_SGA'!R56,"4")+0,CONCATENATE('V_DATOS PAC_SGA'!R56,"0")+0)</f>
        <v>0</v>
      </c>
      <c r="C61" s="2" t="n">
        <f aca="false">'V_DATOS PAC_SGA'!S56</f>
        <v>0</v>
      </c>
      <c r="D61" s="1409" t="n">
        <f aca="false">'V_DATOS PAC_SGA'!Y56</f>
        <v>0</v>
      </c>
      <c r="E61" s="1410" t="str">
        <f aca="false">IF('V_DATOS PAC_SGA'!AV56="","Regadio",'V_DATOS PAC_SGA'!AV56)</f>
        <v>Regadio</v>
      </c>
      <c r="F61" s="1411" t="n">
        <f aca="false">'V_DATOS PAC_SGA'!BK56</f>
        <v>0</v>
      </c>
      <c r="G61" s="1412" t="n">
        <f aca="false">'V_DATOS PAC_SGA'!AN56</f>
        <v>0</v>
      </c>
      <c r="H61" s="1413" t="str">
        <f aca="false">IF(B61&gt;0,VLOOKUP(B61,'O_MN, PE_UTA_UGM 2024'!E$3:O$419,10),"")</f>
        <v/>
      </c>
      <c r="I61" s="1359" t="n">
        <f aca="false">'V_DATOS PAC_SGA'!BV56</f>
        <v>0</v>
      </c>
      <c r="J61" s="2" t="str">
        <f aca="false">IF(AND(J$4=$G61,J$6=$F61),$D61*J$5,"")</f>
        <v/>
      </c>
      <c r="K61" s="2" t="str">
        <f aca="false">IF(AND(K$4=$G61,K$6=$F61),$D61*K$5,"")</f>
        <v/>
      </c>
      <c r="L61" s="2" t="str">
        <f aca="false">IF(AND(L$4=$G61,L$6=$F61),$D61*L$5,"")</f>
        <v/>
      </c>
      <c r="M61" s="2" t="str">
        <f aca="false">IF(AND(M$4=$G61,M$6=$F61),$D61*M$5,"")</f>
        <v/>
      </c>
      <c r="N61" s="1414" t="n">
        <f aca="false">VLOOKUP(B61,'O_MN, PE_UTA_UGM 2024'!$E$2:$K$419,IF(G61&gt;1,6,7))</f>
        <v>0</v>
      </c>
      <c r="O61" s="1434" t="str">
        <f aca="false">IF($H61=O$4,$D61*$N61,"")</f>
        <v/>
      </c>
      <c r="P61" s="1435" t="str">
        <f aca="false">IF($H61=P$4,$D61*$N61,"")</f>
        <v/>
      </c>
      <c r="Q61" s="1435" t="str">
        <f aca="false">IF($H61=Q$4,$D61*$N61,"")</f>
        <v/>
      </c>
      <c r="R61" s="1435" t="str">
        <f aca="false">IF($H61=R$4,$D61*$N61,"")</f>
        <v/>
      </c>
      <c r="S61" s="1435" t="str">
        <f aca="false">IF($H61=S$4,$D61*$N61,"")</f>
        <v/>
      </c>
      <c r="T61" s="1435" t="str">
        <f aca="false">IF($H61=T$4,$D61*$N61,"")</f>
        <v/>
      </c>
      <c r="U61" s="1436" t="str">
        <f aca="false">IF($H61=U$4,$D61*$N61,"")</f>
        <v/>
      </c>
      <c r="V61" s="1418"/>
      <c r="W61" s="1419"/>
      <c r="X61" s="1419"/>
      <c r="Y61" s="1419"/>
      <c r="Z61" s="1419"/>
      <c r="AA61" s="1419"/>
      <c r="AB61" s="1420"/>
      <c r="AC61" s="1319"/>
      <c r="AD61" s="2" t="str">
        <f aca="false">IF(AND(AD$4=$G61,AD$6=$F61),$B61,"")</f>
        <v/>
      </c>
      <c r="AE61" s="2" t="str">
        <f aca="false">IF(AND(AE$4=$G61,AE$6=$F61),$B61,"")</f>
        <v/>
      </c>
      <c r="AF61" s="2" t="str">
        <f aca="false">IF(AND(AF$4=$G61,AF$6=$F61),$B61,"")</f>
        <v/>
      </c>
      <c r="AG61" s="2" t="str">
        <f aca="false">IF(AND(AG$4=$G61,AG$6=$F61),$B61,"")</f>
        <v/>
      </c>
      <c r="AI61" s="366"/>
      <c r="AL61" s="367"/>
      <c r="AO61" s="367"/>
      <c r="AP61" s="2" t="str">
        <f aca="false">IF(AT61&gt;0,RANK(AT61,AT$7:AT$423),"")</f>
        <v/>
      </c>
      <c r="AQ61" s="2" t="n">
        <f aca="false">'O_MN, PE_UTA_UGM 2024'!C57</f>
        <v>102</v>
      </c>
      <c r="AR61" s="1421" t="n">
        <v>960</v>
      </c>
      <c r="AS61" s="2" t="str">
        <f aca="false">IF(AY61&lt;&gt;"",AY61,"")</f>
        <v/>
      </c>
      <c r="AT61" s="1422" t="n">
        <f aca="false">IF(ISNUMBER($AR61),SUMIF(B$7:B$505,AR61,D$7:D$505),"")</f>
        <v>0</v>
      </c>
      <c r="AU61" s="1411" t="n">
        <f aca="false">IF(ISNUMBER($AR61),SUMIF(AD$7:AD$503,$AR61,J$7:J$503),"")</f>
        <v>0</v>
      </c>
      <c r="AV61" s="1411" t="n">
        <f aca="false">IF(ISNUMBER($AR61),SUMIF(AF$7:AF$503,$AR61,L$7:L$503),"")</f>
        <v>0</v>
      </c>
      <c r="AW61" s="1423" t="n">
        <f aca="false">IF(ISNUMBER($AR61),SUMIF(AE$7:AE$503,$AR61,K$7:K$503),"")</f>
        <v>0</v>
      </c>
      <c r="AX61" s="1423" t="n">
        <f aca="false">IF(ISNUMBER($AR61),SUMIF(AG$7:AG$503,$AR61,M$7:M$503),"")</f>
        <v>0</v>
      </c>
      <c r="AY61" s="2" t="str">
        <f aca="false">IF($AT61&gt;0,VLOOKUP($AR61,'O_MN, PE_UTA_UGM 2024'!E57:O473,2),"")</f>
        <v/>
      </c>
      <c r="AZ61" s="1424"/>
      <c r="BA61" s="1424"/>
      <c r="BB61" s="1424" t="str">
        <f aca="false">IF($AT61&gt;0,VLOOKUP($AR61,'O_MN, PE_UTA_UGM 2024'!$E$3:$O$419,BB$6),"")</f>
        <v/>
      </c>
      <c r="BC61" s="1424" t="str">
        <f aca="false">IF($AT61&gt;0,VLOOKUP($AR61,'O_MN, PE_UTA_UGM 2024'!$E$3:$O$419,BC$6),"")</f>
        <v/>
      </c>
      <c r="BD61" s="1424" t="str">
        <f aca="false">IF($AT61&gt;0,VLOOKUP($AR61,'O_MN, PE_UTA_UGM 2024'!$E$3:$O$419,BD$6),"")</f>
        <v/>
      </c>
      <c r="BE61" s="1424" t="str">
        <f aca="false">IF($AT61&gt;0,VLOOKUP($AR61,'O_MN, PE_UTA_UGM 2024'!$E$3:$O$419,BE$6),"")</f>
        <v/>
      </c>
      <c r="BF61" s="1424" t="str">
        <f aca="false">IF($AT61&gt;0,VLOOKUP($AR61,'O_MN, PE_UTA_UGM 2024'!$E$3:$O$419,BF$6),"")</f>
        <v/>
      </c>
      <c r="BG61" s="1424" t="str">
        <f aca="false">IF($AT61&gt;0,VLOOKUP($AR61,'O_MN, PE_UTA_UGM 2024'!$E$3:$O$419,BG$6),"")</f>
        <v/>
      </c>
      <c r="BH61" s="872"/>
      <c r="BI61" s="872"/>
      <c r="BJ61" s="872"/>
      <c r="BK61" s="872"/>
      <c r="BM61" s="1411"/>
      <c r="BN61" s="1411"/>
      <c r="BO61" s="1425" t="str">
        <f aca="false">IF(ISNUMBER($AU61*BB61*1),$AU61*BB61*1,"")</f>
        <v/>
      </c>
      <c r="BP61" s="1425" t="str">
        <f aca="false">IF(ISNUMBER($AV61*BC61*1),$AV61*BC61*1,"")</f>
        <v/>
      </c>
      <c r="BQ61" s="1425" t="str">
        <f aca="false">IF(ISNUMBER($AU61*BD61*1),$AU61*BD61*1,"")</f>
        <v/>
      </c>
      <c r="BR61" s="1425" t="str">
        <f aca="false">IF(ISNUMBER($AV61*BE61*1),$AV61*BE61*1,"")</f>
        <v/>
      </c>
      <c r="BS61" s="1411" t="str">
        <f aca="false">IF(ISNUMBER($AU61*BF61),$AU61*BF61,"")</f>
        <v/>
      </c>
      <c r="BT61" s="1411" t="str">
        <f aca="false">IF(ISNUMBER($AV61*BG61),$AV61*BG61,"")</f>
        <v/>
      </c>
      <c r="BU61" s="1411"/>
      <c r="BV61" s="1411"/>
      <c r="BW61" s="1411"/>
      <c r="BX61" s="1411"/>
      <c r="BZ61" s="1372"/>
      <c r="CA61" s="1372"/>
      <c r="CB61" s="1426" t="str">
        <f aca="false">IF(ISNUMBER($AW61*BB61),$AW61*BB61,"")</f>
        <v/>
      </c>
      <c r="CC61" s="1426" t="str">
        <f aca="false">IF(ISNUMBER($AX61*BC61),$AX61*BC61,"")</f>
        <v/>
      </c>
      <c r="CD61" s="1426" t="str">
        <f aca="false">IF(ISNUMBER($AW61*BD61),$AW61*BD61,"")</f>
        <v/>
      </c>
      <c r="CE61" s="1426" t="str">
        <f aca="false">IF(ISNUMBER($AX61*BE61),$AX61*BE61,"")</f>
        <v/>
      </c>
      <c r="CF61" s="1372" t="str">
        <f aca="false">IF(ISNUMBER($AW61*BF61),$AW61*BF61,"")</f>
        <v/>
      </c>
      <c r="CG61" s="1372" t="str">
        <f aca="false">IF(ISNUMBER($AX61*BG61),$AX61*BG61,"")</f>
        <v/>
      </c>
      <c r="CH61" s="1438"/>
      <c r="CI61" s="1438"/>
      <c r="CJ61" s="1438"/>
      <c r="CK61" s="1438"/>
      <c r="CU61" s="1411"/>
      <c r="CV61" s="1411"/>
      <c r="CW61" s="1425"/>
      <c r="CX61" s="1425"/>
      <c r="CY61" s="1425"/>
      <c r="CZ61" s="1425"/>
      <c r="DA61" s="1411"/>
      <c r="DB61" s="1411"/>
      <c r="DC61" s="1411"/>
      <c r="DD61" s="1411"/>
      <c r="DE61" s="1411"/>
      <c r="DF61" s="1411"/>
      <c r="DH61" s="1432"/>
      <c r="DI61" s="1432"/>
      <c r="DJ61" s="1437"/>
      <c r="DK61" s="1437"/>
      <c r="DL61" s="1437"/>
      <c r="DM61" s="1437"/>
      <c r="DN61" s="1432"/>
      <c r="DO61" s="1432"/>
      <c r="DP61" s="1432"/>
      <c r="DQ61" s="1432"/>
      <c r="DR61" s="1432"/>
      <c r="DS61" s="1432"/>
      <c r="DT61" s="1316"/>
      <c r="DU61" s="1433"/>
      <c r="DV61" s="1433"/>
      <c r="DW61" s="1433"/>
      <c r="DX61" s="1433"/>
      <c r="DY61" s="1433"/>
      <c r="DZ61" s="1433"/>
      <c r="EA61" s="1433"/>
      <c r="EB61" s="1433"/>
    </row>
    <row r="62" customFormat="false" ht="14.25" hidden="false" customHeight="false" outlineLevel="0" collapsed="false">
      <c r="A62" s="2" t="n">
        <f aca="false">'V_DATOS PAC_SGA'!R57</f>
        <v>0</v>
      </c>
      <c r="B62" s="2" t="n">
        <f aca="false">IF(I62="IV",CONCATENATE('V_DATOS PAC_SGA'!R57,"4")+0,CONCATENATE('V_DATOS PAC_SGA'!R57,"0")+0)</f>
        <v>0</v>
      </c>
      <c r="C62" s="2" t="n">
        <f aca="false">'V_DATOS PAC_SGA'!S57</f>
        <v>0</v>
      </c>
      <c r="D62" s="1409" t="n">
        <f aca="false">'V_DATOS PAC_SGA'!Y57</f>
        <v>0</v>
      </c>
      <c r="E62" s="1410" t="str">
        <f aca="false">IF('V_DATOS PAC_SGA'!AV57="","Regadio",'V_DATOS PAC_SGA'!AV57)</f>
        <v>Regadio</v>
      </c>
      <c r="F62" s="1411" t="n">
        <f aca="false">'V_DATOS PAC_SGA'!BK57</f>
        <v>0</v>
      </c>
      <c r="G62" s="1412" t="n">
        <f aca="false">'V_DATOS PAC_SGA'!AN57</f>
        <v>0</v>
      </c>
      <c r="H62" s="1413" t="str">
        <f aca="false">IF(B62&gt;0,VLOOKUP(B62,'O_MN, PE_UTA_UGM 2024'!E$3:O$419,10),"")</f>
        <v/>
      </c>
      <c r="I62" s="1359" t="n">
        <f aca="false">'V_DATOS PAC_SGA'!BV57</f>
        <v>0</v>
      </c>
      <c r="J62" s="2" t="str">
        <f aca="false">IF(AND(J$4=$G62,J$6=$F62),$D62*J$5,"")</f>
        <v/>
      </c>
      <c r="K62" s="2" t="str">
        <f aca="false">IF(AND(K$4=$G62,K$6=$F62),$D62*K$5,"")</f>
        <v/>
      </c>
      <c r="L62" s="2" t="str">
        <f aca="false">IF(AND(L$4=$G62,L$6=$F62),$D62*L$5,"")</f>
        <v/>
      </c>
      <c r="M62" s="2" t="str">
        <f aca="false">IF(AND(M$4=$G62,M$6=$F62),$D62*M$5,"")</f>
        <v/>
      </c>
      <c r="N62" s="1414" t="n">
        <f aca="false">VLOOKUP(B62,'O_MN, PE_UTA_UGM 2024'!$E$2:$K$419,IF(G62&gt;1,6,7))</f>
        <v>0</v>
      </c>
      <c r="O62" s="1434" t="str">
        <f aca="false">IF($H62=O$4,$D62*$N62,"")</f>
        <v/>
      </c>
      <c r="P62" s="1435" t="str">
        <f aca="false">IF($H62=P$4,$D62*$N62,"")</f>
        <v/>
      </c>
      <c r="Q62" s="1435" t="str">
        <f aca="false">IF($H62=Q$4,$D62*$N62,"")</f>
        <v/>
      </c>
      <c r="R62" s="1435" t="str">
        <f aca="false">IF($H62=R$4,$D62*$N62,"")</f>
        <v/>
      </c>
      <c r="S62" s="1435" t="str">
        <f aca="false">IF($H62=S$4,$D62*$N62,"")</f>
        <v/>
      </c>
      <c r="T62" s="1435" t="str">
        <f aca="false">IF($H62=T$4,$D62*$N62,"")</f>
        <v/>
      </c>
      <c r="U62" s="1436" t="str">
        <f aca="false">IF($H62=U$4,$D62*$N62,"")</f>
        <v/>
      </c>
      <c r="V62" s="1418"/>
      <c r="W62" s="1419"/>
      <c r="X62" s="1419"/>
      <c r="Y62" s="1419"/>
      <c r="Z62" s="1419"/>
      <c r="AA62" s="1419"/>
      <c r="AB62" s="1420"/>
      <c r="AC62" s="1319"/>
      <c r="AD62" s="2" t="str">
        <f aca="false">IF(AND(AD$4=$G62,AD$6=$F62),$B62,"")</f>
        <v/>
      </c>
      <c r="AE62" s="2" t="str">
        <f aca="false">IF(AND(AE$4=$G62,AE$6=$F62),$B62,"")</f>
        <v/>
      </c>
      <c r="AF62" s="2" t="str">
        <f aca="false">IF(AND(AF$4=$G62,AF$6=$F62),$B62,"")</f>
        <v/>
      </c>
      <c r="AG62" s="2" t="str">
        <f aca="false">IF(AND(AG$4=$G62,AG$6=$F62),$B62,"")</f>
        <v/>
      </c>
      <c r="AI62" s="366"/>
      <c r="AL62" s="367"/>
      <c r="AO62" s="367"/>
      <c r="AP62" s="2" t="str">
        <f aca="false">IF(AT62&gt;0,RANK(AT62,AT$7:AT$423),"")</f>
        <v/>
      </c>
      <c r="AQ62" s="2" t="n">
        <f aca="false">'O_MN, PE_UTA_UGM 2024'!C58</f>
        <v>104</v>
      </c>
      <c r="AR62" s="1421" t="n">
        <v>970</v>
      </c>
      <c r="AS62" s="2" t="str">
        <f aca="false">IF(AY62&lt;&gt;"",AY62,"")</f>
        <v/>
      </c>
      <c r="AT62" s="1422" t="n">
        <f aca="false">IF(ISNUMBER($AR62),SUMIF(B$7:B$505,AR62,D$7:D$505),"")</f>
        <v>0</v>
      </c>
      <c r="AU62" s="1411" t="n">
        <f aca="false">IF(ISNUMBER($AR62),SUMIF(AD$7:AD$503,$AR62,J$7:J$503),"")</f>
        <v>0</v>
      </c>
      <c r="AV62" s="1411" t="n">
        <f aca="false">IF(ISNUMBER($AR62),SUMIF(AF$7:AF$503,$AR62,L$7:L$503),"")</f>
        <v>0</v>
      </c>
      <c r="AW62" s="1423" t="n">
        <f aca="false">IF(ISNUMBER($AR62),SUMIF(AE$7:AE$503,$AR62,K$7:K$503),"")</f>
        <v>0</v>
      </c>
      <c r="AX62" s="1423" t="n">
        <f aca="false">IF(ISNUMBER($AR62),SUMIF(AG$7:AG$503,$AR62,M$7:M$503),"")</f>
        <v>0</v>
      </c>
      <c r="AY62" s="2" t="str">
        <f aca="false">IF($AT62&gt;0,VLOOKUP($AR62,'O_MN, PE_UTA_UGM 2024'!E58:O474,2),"")</f>
        <v/>
      </c>
      <c r="AZ62" s="1424"/>
      <c r="BA62" s="1424"/>
      <c r="BB62" s="1424" t="str">
        <f aca="false">IF($AT62&gt;0,VLOOKUP($AR62,'O_MN, PE_UTA_UGM 2024'!$E$3:$O$419,BB$6),"")</f>
        <v/>
      </c>
      <c r="BC62" s="1424" t="str">
        <f aca="false">IF($AT62&gt;0,VLOOKUP($AR62,'O_MN, PE_UTA_UGM 2024'!$E$3:$O$419,BC$6),"")</f>
        <v/>
      </c>
      <c r="BD62" s="1424" t="str">
        <f aca="false">IF($AT62&gt;0,VLOOKUP($AR62,'O_MN, PE_UTA_UGM 2024'!$E$3:$O$419,BD$6),"")</f>
        <v/>
      </c>
      <c r="BE62" s="1424" t="str">
        <f aca="false">IF($AT62&gt;0,VLOOKUP($AR62,'O_MN, PE_UTA_UGM 2024'!$E$3:$O$419,BE$6),"")</f>
        <v/>
      </c>
      <c r="BF62" s="1424" t="str">
        <f aca="false">IF($AT62&gt;0,VLOOKUP($AR62,'O_MN, PE_UTA_UGM 2024'!$E$3:$O$419,BF$6),"")</f>
        <v/>
      </c>
      <c r="BG62" s="1424" t="str">
        <f aca="false">IF($AT62&gt;0,VLOOKUP($AR62,'O_MN, PE_UTA_UGM 2024'!$E$3:$O$419,BG$6),"")</f>
        <v/>
      </c>
      <c r="BH62" s="872"/>
      <c r="BI62" s="872"/>
      <c r="BJ62" s="872"/>
      <c r="BK62" s="872"/>
      <c r="BM62" s="1411"/>
      <c r="BN62" s="1411"/>
      <c r="BO62" s="1425" t="str">
        <f aca="false">IF(ISNUMBER($AU62*BB62*1),$AU62*BB62*1,"")</f>
        <v/>
      </c>
      <c r="BP62" s="1425" t="str">
        <f aca="false">IF(ISNUMBER($AV62*BC62*1),$AV62*BC62*1,"")</f>
        <v/>
      </c>
      <c r="BQ62" s="1425" t="str">
        <f aca="false">IF(ISNUMBER($AU62*BD62*1),$AU62*BD62*1,"")</f>
        <v/>
      </c>
      <c r="BR62" s="1425" t="str">
        <f aca="false">IF(ISNUMBER($AV62*BE62*1),$AV62*BE62*1,"")</f>
        <v/>
      </c>
      <c r="BS62" s="1411" t="str">
        <f aca="false">IF(ISNUMBER($AU62*BF62),$AU62*BF62,"")</f>
        <v/>
      </c>
      <c r="BT62" s="1411" t="str">
        <f aca="false">IF(ISNUMBER($AV62*BG62),$AV62*BG62,"")</f>
        <v/>
      </c>
      <c r="BU62" s="1411"/>
      <c r="BV62" s="1411"/>
      <c r="BW62" s="1411"/>
      <c r="BX62" s="1411"/>
      <c r="BZ62" s="1372"/>
      <c r="CA62" s="1372"/>
      <c r="CB62" s="1426" t="str">
        <f aca="false">IF(ISNUMBER($AW62*BB62),$AW62*BB62,"")</f>
        <v/>
      </c>
      <c r="CC62" s="1426" t="str">
        <f aca="false">IF(ISNUMBER($AX62*BC62),$AX62*BC62,"")</f>
        <v/>
      </c>
      <c r="CD62" s="1426" t="str">
        <f aca="false">IF(ISNUMBER($AW62*BD62),$AW62*BD62,"")</f>
        <v/>
      </c>
      <c r="CE62" s="1426" t="str">
        <f aca="false">IF(ISNUMBER($AX62*BE62),$AX62*BE62,"")</f>
        <v/>
      </c>
      <c r="CF62" s="1372" t="str">
        <f aca="false">IF(ISNUMBER($AW62*BF62),$AW62*BF62,"")</f>
        <v/>
      </c>
      <c r="CG62" s="1372" t="str">
        <f aca="false">IF(ISNUMBER($AX62*BG62),$AX62*BG62,"")</f>
        <v/>
      </c>
      <c r="CH62" s="1438"/>
      <c r="CI62" s="1438"/>
      <c r="CJ62" s="1438"/>
      <c r="CK62" s="1438"/>
      <c r="CU62" s="1411"/>
      <c r="CV62" s="1411"/>
      <c r="CW62" s="1425"/>
      <c r="CX62" s="1425"/>
      <c r="CY62" s="1425"/>
      <c r="CZ62" s="1425"/>
      <c r="DA62" s="1411"/>
      <c r="DB62" s="1411"/>
      <c r="DC62" s="1411"/>
      <c r="DD62" s="1411"/>
      <c r="DE62" s="1411"/>
      <c r="DF62" s="1411"/>
      <c r="DH62" s="1432"/>
      <c r="DI62" s="1432"/>
      <c r="DJ62" s="1437"/>
      <c r="DK62" s="1437"/>
      <c r="DL62" s="1437"/>
      <c r="DM62" s="1437"/>
      <c r="DN62" s="1432"/>
      <c r="DO62" s="1432"/>
      <c r="DP62" s="1432"/>
      <c r="DQ62" s="1432"/>
      <c r="DR62" s="1432"/>
      <c r="DS62" s="1432"/>
      <c r="DT62" s="1316"/>
      <c r="DU62" s="1433"/>
      <c r="DV62" s="1433"/>
      <c r="DW62" s="1433"/>
      <c r="DX62" s="1433"/>
      <c r="DY62" s="1433"/>
      <c r="DZ62" s="1433"/>
      <c r="EA62" s="1433"/>
      <c r="EB62" s="1433"/>
    </row>
    <row r="63" customFormat="false" ht="14.25" hidden="false" customHeight="false" outlineLevel="0" collapsed="false">
      <c r="A63" s="2" t="n">
        <f aca="false">'V_DATOS PAC_SGA'!R58</f>
        <v>0</v>
      </c>
      <c r="B63" s="2" t="n">
        <f aca="false">IF(I63="IV",CONCATENATE('V_DATOS PAC_SGA'!R58,"4")+0,CONCATENATE('V_DATOS PAC_SGA'!R58,"0")+0)</f>
        <v>0</v>
      </c>
      <c r="C63" s="2" t="n">
        <f aca="false">'V_DATOS PAC_SGA'!S58</f>
        <v>0</v>
      </c>
      <c r="D63" s="1409" t="n">
        <f aca="false">'V_DATOS PAC_SGA'!Y58</f>
        <v>0</v>
      </c>
      <c r="E63" s="1410" t="str">
        <f aca="false">IF('V_DATOS PAC_SGA'!AV58="","Regadio",'V_DATOS PAC_SGA'!AV58)</f>
        <v>Regadio</v>
      </c>
      <c r="F63" s="1411" t="n">
        <f aca="false">'V_DATOS PAC_SGA'!BK58</f>
        <v>0</v>
      </c>
      <c r="G63" s="1412" t="n">
        <f aca="false">'V_DATOS PAC_SGA'!AN58</f>
        <v>0</v>
      </c>
      <c r="H63" s="1413" t="str">
        <f aca="false">IF(B63&gt;0,VLOOKUP(B63,'O_MN, PE_UTA_UGM 2024'!E$3:O$419,10),"")</f>
        <v/>
      </c>
      <c r="I63" s="1359" t="n">
        <f aca="false">'V_DATOS PAC_SGA'!BV58</f>
        <v>0</v>
      </c>
      <c r="J63" s="2" t="str">
        <f aca="false">IF(AND(J$4=$G63,J$6=$F63),$D63*J$5,"")</f>
        <v/>
      </c>
      <c r="K63" s="2" t="str">
        <f aca="false">IF(AND(K$4=$G63,K$6=$F63),$D63*K$5,"")</f>
        <v/>
      </c>
      <c r="L63" s="2" t="str">
        <f aca="false">IF(AND(L$4=$G63,L$6=$F63),$D63*L$5,"")</f>
        <v/>
      </c>
      <c r="M63" s="2" t="str">
        <f aca="false">IF(AND(M$4=$G63,M$6=$F63),$D63*M$5,"")</f>
        <v/>
      </c>
      <c r="N63" s="1414" t="n">
        <f aca="false">VLOOKUP(B63,'O_MN, PE_UTA_UGM 2024'!$E$2:$K$419,IF(G63&gt;1,6,7))</f>
        <v>0</v>
      </c>
      <c r="O63" s="1434" t="str">
        <f aca="false">IF($H63=O$4,$D63*$N63,"")</f>
        <v/>
      </c>
      <c r="P63" s="1435" t="str">
        <f aca="false">IF($H63=P$4,$D63*$N63,"")</f>
        <v/>
      </c>
      <c r="Q63" s="1435" t="str">
        <f aca="false">IF($H63=Q$4,$D63*$N63,"")</f>
        <v/>
      </c>
      <c r="R63" s="1435" t="str">
        <f aca="false">IF($H63=R$4,$D63*$N63,"")</f>
        <v/>
      </c>
      <c r="S63" s="1435" t="str">
        <f aca="false">IF($H63=S$4,$D63*$N63,"")</f>
        <v/>
      </c>
      <c r="T63" s="1435" t="str">
        <f aca="false">IF($H63=T$4,$D63*$N63,"")</f>
        <v/>
      </c>
      <c r="U63" s="1436" t="str">
        <f aca="false">IF($H63=U$4,$D63*$N63,"")</f>
        <v/>
      </c>
      <c r="V63" s="1418"/>
      <c r="W63" s="1419"/>
      <c r="X63" s="1419"/>
      <c r="Y63" s="1419"/>
      <c r="Z63" s="1419"/>
      <c r="AA63" s="1419"/>
      <c r="AB63" s="1420"/>
      <c r="AC63" s="1319"/>
      <c r="AD63" s="2" t="str">
        <f aca="false">IF(AND(AD$4=$G63,AD$6=$F63),$B63,"")</f>
        <v/>
      </c>
      <c r="AE63" s="2" t="str">
        <f aca="false">IF(AND(AE$4=$G63,AE$6=$F63),$B63,"")</f>
        <v/>
      </c>
      <c r="AF63" s="2" t="str">
        <f aca="false">IF(AND(AF$4=$G63,AF$6=$F63),$B63,"")</f>
        <v/>
      </c>
      <c r="AG63" s="2" t="str">
        <f aca="false">IF(AND(AG$4=$G63,AG$6=$F63),$B63,"")</f>
        <v/>
      </c>
      <c r="AI63" s="366"/>
      <c r="AL63" s="367"/>
      <c r="AO63" s="367"/>
      <c r="AP63" s="2" t="str">
        <f aca="false">IF(AT63&gt;0,RANK(AT63,AT$7:AT$423),"")</f>
        <v/>
      </c>
      <c r="AQ63" s="2" t="n">
        <f aca="false">'O_MN, PE_UTA_UGM 2024'!C59</f>
        <v>105</v>
      </c>
      <c r="AR63" s="1421" t="n">
        <v>990</v>
      </c>
      <c r="AS63" s="2" t="str">
        <f aca="false">IF(AY63&lt;&gt;"",AY63,"")</f>
        <v/>
      </c>
      <c r="AT63" s="1422" t="n">
        <f aca="false">IF(ISNUMBER($AR63),SUMIF(B$7:B$505,AR63,D$7:D$505),"")</f>
        <v>0</v>
      </c>
      <c r="AU63" s="1411" t="n">
        <f aca="false">IF(ISNUMBER($AR63),SUMIF(AD$7:AD$503,$AR63,J$7:J$503),"")</f>
        <v>0</v>
      </c>
      <c r="AV63" s="1411" t="n">
        <f aca="false">IF(ISNUMBER($AR63),SUMIF(AF$7:AF$503,$AR63,L$7:L$503),"")</f>
        <v>0</v>
      </c>
      <c r="AW63" s="1423" t="n">
        <f aca="false">IF(ISNUMBER($AR63),SUMIF(AE$7:AE$503,$AR63,K$7:K$503),"")</f>
        <v>0</v>
      </c>
      <c r="AX63" s="1423" t="n">
        <f aca="false">IF(ISNUMBER($AR63),SUMIF(AG$7:AG$503,$AR63,M$7:M$503),"")</f>
        <v>0</v>
      </c>
      <c r="AY63" s="2" t="str">
        <f aca="false">IF($AT63&gt;0,VLOOKUP($AR63,'O_MN, PE_UTA_UGM 2024'!E59:O475,2),"")</f>
        <v/>
      </c>
      <c r="AZ63" s="1424"/>
      <c r="BA63" s="1424"/>
      <c r="BB63" s="1424" t="str">
        <f aca="false">IF($AT63&gt;0,VLOOKUP($AR63,'O_MN, PE_UTA_UGM 2024'!$E$3:$O$419,BB$6),"")</f>
        <v/>
      </c>
      <c r="BC63" s="1424" t="str">
        <f aca="false">IF($AT63&gt;0,VLOOKUP($AR63,'O_MN, PE_UTA_UGM 2024'!$E$3:$O$419,BC$6),"")</f>
        <v/>
      </c>
      <c r="BD63" s="1424" t="str">
        <f aca="false">IF($AT63&gt;0,VLOOKUP($AR63,'O_MN, PE_UTA_UGM 2024'!$E$3:$O$419,BD$6),"")</f>
        <v/>
      </c>
      <c r="BE63" s="1424" t="str">
        <f aca="false">IF($AT63&gt;0,VLOOKUP($AR63,'O_MN, PE_UTA_UGM 2024'!$E$3:$O$419,BE$6),"")</f>
        <v/>
      </c>
      <c r="BF63" s="1424" t="str">
        <f aca="false">IF($AT63&gt;0,VLOOKUP($AR63,'O_MN, PE_UTA_UGM 2024'!$E$3:$O$419,BF$6),"")</f>
        <v/>
      </c>
      <c r="BG63" s="1424" t="str">
        <f aca="false">IF($AT63&gt;0,VLOOKUP($AR63,'O_MN, PE_UTA_UGM 2024'!$E$3:$O$419,BG$6),"")</f>
        <v/>
      </c>
      <c r="BH63" s="872"/>
      <c r="BI63" s="872"/>
      <c r="BJ63" s="872"/>
      <c r="BK63" s="872"/>
      <c r="BM63" s="1411"/>
      <c r="BN63" s="1411"/>
      <c r="BO63" s="1425" t="str">
        <f aca="false">IF(ISNUMBER($AU63*BB63*1),$AU63*BB63*1,"")</f>
        <v/>
      </c>
      <c r="BP63" s="1425" t="str">
        <f aca="false">IF(ISNUMBER($AV63*BC63*1),$AV63*BC63*1,"")</f>
        <v/>
      </c>
      <c r="BQ63" s="1425" t="str">
        <f aca="false">IF(ISNUMBER($AU63*BD63*1),$AU63*BD63*1,"")</f>
        <v/>
      </c>
      <c r="BR63" s="1425" t="str">
        <f aca="false">IF(ISNUMBER($AV63*BE63*1),$AV63*BE63*1,"")</f>
        <v/>
      </c>
      <c r="BS63" s="1411" t="str">
        <f aca="false">IF(ISNUMBER($AU63*BF63),$AU63*BF63,"")</f>
        <v/>
      </c>
      <c r="BT63" s="1411" t="str">
        <f aca="false">IF(ISNUMBER($AV63*BG63),$AV63*BG63,"")</f>
        <v/>
      </c>
      <c r="BU63" s="1411"/>
      <c r="BV63" s="1411"/>
      <c r="BW63" s="1411"/>
      <c r="BX63" s="1411"/>
      <c r="BZ63" s="1372"/>
      <c r="CA63" s="1372"/>
      <c r="CB63" s="1426" t="str">
        <f aca="false">IF(ISNUMBER($AW63*BB63),$AW63*BB63,"")</f>
        <v/>
      </c>
      <c r="CC63" s="1426" t="str">
        <f aca="false">IF(ISNUMBER($AX63*BC63),$AX63*BC63,"")</f>
        <v/>
      </c>
      <c r="CD63" s="1426" t="str">
        <f aca="false">IF(ISNUMBER($AW63*BD63),$AW63*BD63,"")</f>
        <v/>
      </c>
      <c r="CE63" s="1426" t="str">
        <f aca="false">IF(ISNUMBER($AX63*BE63),$AX63*BE63,"")</f>
        <v/>
      </c>
      <c r="CF63" s="1372" t="str">
        <f aca="false">IF(ISNUMBER($AW63*BF63),$AW63*BF63,"")</f>
        <v/>
      </c>
      <c r="CG63" s="1372" t="str">
        <f aca="false">IF(ISNUMBER($AX63*BG63),$AX63*BG63,"")</f>
        <v/>
      </c>
      <c r="CH63" s="1438"/>
      <c r="CI63" s="1438"/>
      <c r="CJ63" s="1438"/>
      <c r="CK63" s="1438"/>
      <c r="CU63" s="1411"/>
      <c r="CV63" s="1411"/>
      <c r="CW63" s="1425"/>
      <c r="CX63" s="1425"/>
      <c r="CY63" s="1425"/>
      <c r="CZ63" s="1425"/>
      <c r="DA63" s="1411"/>
      <c r="DB63" s="1411"/>
      <c r="DC63" s="1411"/>
      <c r="DD63" s="1411"/>
      <c r="DE63" s="1411"/>
      <c r="DF63" s="1411"/>
      <c r="DH63" s="1432"/>
      <c r="DI63" s="1432"/>
      <c r="DJ63" s="1437"/>
      <c r="DK63" s="1437"/>
      <c r="DL63" s="1437"/>
      <c r="DM63" s="1437"/>
      <c r="DN63" s="1432"/>
      <c r="DO63" s="1432"/>
      <c r="DP63" s="1432"/>
      <c r="DQ63" s="1432"/>
      <c r="DR63" s="1432"/>
      <c r="DS63" s="1432"/>
      <c r="DT63" s="1316"/>
      <c r="DU63" s="1433"/>
      <c r="DV63" s="1433"/>
      <c r="DW63" s="1433"/>
      <c r="DX63" s="1433"/>
      <c r="DY63" s="1433"/>
      <c r="DZ63" s="1433"/>
      <c r="EA63" s="1433"/>
      <c r="EB63" s="1433"/>
    </row>
    <row r="64" customFormat="false" ht="14.25" hidden="false" customHeight="false" outlineLevel="0" collapsed="false">
      <c r="A64" s="2" t="n">
        <f aca="false">'V_DATOS PAC_SGA'!R59</f>
        <v>0</v>
      </c>
      <c r="B64" s="2" t="n">
        <f aca="false">IF(I64="IV",CONCATENATE('V_DATOS PAC_SGA'!R59,"4")+0,CONCATENATE('V_DATOS PAC_SGA'!R59,"0")+0)</f>
        <v>0</v>
      </c>
      <c r="C64" s="2" t="n">
        <f aca="false">'V_DATOS PAC_SGA'!S59</f>
        <v>0</v>
      </c>
      <c r="D64" s="1409" t="n">
        <f aca="false">'V_DATOS PAC_SGA'!Y59</f>
        <v>0</v>
      </c>
      <c r="E64" s="1410" t="str">
        <f aca="false">IF('V_DATOS PAC_SGA'!AV59="","Regadio",'V_DATOS PAC_SGA'!AV59)</f>
        <v>Regadio</v>
      </c>
      <c r="F64" s="1411" t="n">
        <f aca="false">'V_DATOS PAC_SGA'!BK59</f>
        <v>0</v>
      </c>
      <c r="G64" s="1412" t="n">
        <f aca="false">'V_DATOS PAC_SGA'!AN59</f>
        <v>0</v>
      </c>
      <c r="H64" s="1413" t="str">
        <f aca="false">IF(B64&gt;0,VLOOKUP(B64,'O_MN, PE_UTA_UGM 2024'!E$3:O$419,10),"")</f>
        <v/>
      </c>
      <c r="I64" s="1359" t="n">
        <f aca="false">'V_DATOS PAC_SGA'!BV59</f>
        <v>0</v>
      </c>
      <c r="J64" s="2" t="str">
        <f aca="false">IF(AND(J$4=$G64,J$6=$F64),$D64*J$5,"")</f>
        <v/>
      </c>
      <c r="K64" s="2" t="str">
        <f aca="false">IF(AND(K$4=$G64,K$6=$F64),$D64*K$5,"")</f>
        <v/>
      </c>
      <c r="L64" s="2" t="str">
        <f aca="false">IF(AND(L$4=$G64,L$6=$F64),$D64*L$5,"")</f>
        <v/>
      </c>
      <c r="M64" s="2" t="str">
        <f aca="false">IF(AND(M$4=$G64,M$6=$F64),$D64*M$5,"")</f>
        <v/>
      </c>
      <c r="N64" s="1414" t="n">
        <f aca="false">VLOOKUP(B64,'O_MN, PE_UTA_UGM 2024'!$E$2:$K$419,IF(G64&gt;1,6,7))</f>
        <v>0</v>
      </c>
      <c r="O64" s="1434" t="str">
        <f aca="false">IF($H64=O$4,$D64*$N64,"")</f>
        <v/>
      </c>
      <c r="P64" s="1435" t="str">
        <f aca="false">IF($H64=P$4,$D64*$N64,"")</f>
        <v/>
      </c>
      <c r="Q64" s="1435" t="str">
        <f aca="false">IF($H64=Q$4,$D64*$N64,"")</f>
        <v/>
      </c>
      <c r="R64" s="1435" t="str">
        <f aca="false">IF($H64=R$4,$D64*$N64,"")</f>
        <v/>
      </c>
      <c r="S64" s="1435" t="str">
        <f aca="false">IF($H64=S$4,$D64*$N64,"")</f>
        <v/>
      </c>
      <c r="T64" s="1435" t="str">
        <f aca="false">IF($H64=T$4,$D64*$N64,"")</f>
        <v/>
      </c>
      <c r="U64" s="1436" t="str">
        <f aca="false">IF($H64=U$4,$D64*$N64,"")</f>
        <v/>
      </c>
      <c r="V64" s="1418"/>
      <c r="W64" s="1419"/>
      <c r="X64" s="1419"/>
      <c r="Y64" s="1419"/>
      <c r="Z64" s="1419"/>
      <c r="AA64" s="1419"/>
      <c r="AB64" s="1420"/>
      <c r="AC64" s="1319"/>
      <c r="AD64" s="2" t="str">
        <f aca="false">IF(AND(AD$4=$G64,AD$6=$F64),$B64,"")</f>
        <v/>
      </c>
      <c r="AE64" s="2" t="str">
        <f aca="false">IF(AND(AE$4=$G64,AE$6=$F64),$B64,"")</f>
        <v/>
      </c>
      <c r="AF64" s="2" t="str">
        <f aca="false">IF(AND(AF$4=$G64,AF$6=$F64),$B64,"")</f>
        <v/>
      </c>
      <c r="AG64" s="2" t="str">
        <f aca="false">IF(AND(AG$4=$G64,AG$6=$F64),$B64,"")</f>
        <v/>
      </c>
      <c r="AI64" s="366"/>
      <c r="AL64" s="367"/>
      <c r="AO64" s="367"/>
      <c r="AP64" s="2" t="str">
        <f aca="false">IF(AT64&gt;0,RANK(AT64,AT$7:AT$423),"")</f>
        <v/>
      </c>
      <c r="AQ64" s="2" t="n">
        <f aca="false">'O_MN, PE_UTA_UGM 2024'!C60</f>
        <v>106</v>
      </c>
      <c r="AR64" s="1421" t="n">
        <v>1010</v>
      </c>
      <c r="AS64" s="2" t="str">
        <f aca="false">IF(AY64&lt;&gt;"",AY64,"")</f>
        <v/>
      </c>
      <c r="AT64" s="1422" t="n">
        <f aca="false">IF(ISNUMBER($AR64),SUMIF(B$7:B$505,AR64,D$7:D$505),"")</f>
        <v>0</v>
      </c>
      <c r="AU64" s="1411" t="n">
        <f aca="false">IF(ISNUMBER($AR64),SUMIF(AD$7:AD$503,$AR64,J$7:J$503),"")</f>
        <v>0</v>
      </c>
      <c r="AV64" s="1411" t="n">
        <f aca="false">IF(ISNUMBER($AR64),SUMIF(AF$7:AF$503,$AR64,L$7:L$503),"")</f>
        <v>0</v>
      </c>
      <c r="AW64" s="1423" t="n">
        <f aca="false">IF(ISNUMBER($AR64),SUMIF(AE$7:AE$503,$AR64,K$7:K$503),"")</f>
        <v>0</v>
      </c>
      <c r="AX64" s="1423" t="n">
        <f aca="false">IF(ISNUMBER($AR64),SUMIF(AG$7:AG$503,$AR64,M$7:M$503),"")</f>
        <v>0</v>
      </c>
      <c r="AY64" s="2" t="str">
        <f aca="false">IF($AT64&gt;0,VLOOKUP($AR64,'O_MN, PE_UTA_UGM 2024'!E60:O476,2),"")</f>
        <v/>
      </c>
      <c r="AZ64" s="1424"/>
      <c r="BA64" s="1424"/>
      <c r="BB64" s="1424" t="str">
        <f aca="false">IF($AT64&gt;0,VLOOKUP($AR64,'O_MN, PE_UTA_UGM 2024'!$E$3:$O$419,BB$6),"")</f>
        <v/>
      </c>
      <c r="BC64" s="1424" t="str">
        <f aca="false">IF($AT64&gt;0,VLOOKUP($AR64,'O_MN, PE_UTA_UGM 2024'!$E$3:$O$419,BC$6),"")</f>
        <v/>
      </c>
      <c r="BD64" s="1424" t="str">
        <f aca="false">IF($AT64&gt;0,VLOOKUP($AR64,'O_MN, PE_UTA_UGM 2024'!$E$3:$O$419,BD$6),"")</f>
        <v/>
      </c>
      <c r="BE64" s="1424" t="str">
        <f aca="false">IF($AT64&gt;0,VLOOKUP($AR64,'O_MN, PE_UTA_UGM 2024'!$E$3:$O$419,BE$6),"")</f>
        <v/>
      </c>
      <c r="BF64" s="1424" t="str">
        <f aca="false">IF($AT64&gt;0,VLOOKUP($AR64,'O_MN, PE_UTA_UGM 2024'!$E$3:$O$419,BF$6),"")</f>
        <v/>
      </c>
      <c r="BG64" s="1424" t="str">
        <f aca="false">IF($AT64&gt;0,VLOOKUP($AR64,'O_MN, PE_UTA_UGM 2024'!$E$3:$O$419,BG$6),"")</f>
        <v/>
      </c>
      <c r="BH64" s="872"/>
      <c r="BI64" s="872"/>
      <c r="BJ64" s="872"/>
      <c r="BK64" s="872"/>
      <c r="BM64" s="1411"/>
      <c r="BN64" s="1411"/>
      <c r="BO64" s="1425" t="str">
        <f aca="false">IF(ISNUMBER($AU64*BB64*1),$AU64*BB64*1,"")</f>
        <v/>
      </c>
      <c r="BP64" s="1425" t="str">
        <f aca="false">IF(ISNUMBER($AV64*BC64*1),$AV64*BC64*1,"")</f>
        <v/>
      </c>
      <c r="BQ64" s="1425" t="str">
        <f aca="false">IF(ISNUMBER($AU64*BD64*1),$AU64*BD64*1,"")</f>
        <v/>
      </c>
      <c r="BR64" s="1425" t="str">
        <f aca="false">IF(ISNUMBER($AV64*BE64*1),$AV64*BE64*1,"")</f>
        <v/>
      </c>
      <c r="BS64" s="1411" t="str">
        <f aca="false">IF(ISNUMBER($AU64*BF64),$AU64*BF64,"")</f>
        <v/>
      </c>
      <c r="BT64" s="1411" t="str">
        <f aca="false">IF(ISNUMBER($AV64*BG64),$AV64*BG64,"")</f>
        <v/>
      </c>
      <c r="BU64" s="1411"/>
      <c r="BV64" s="1411"/>
      <c r="BW64" s="1411"/>
      <c r="BX64" s="1411"/>
      <c r="BZ64" s="1372"/>
      <c r="CA64" s="1372"/>
      <c r="CB64" s="1426" t="str">
        <f aca="false">IF(ISNUMBER($AW64*BB64),$AW64*BB64,"")</f>
        <v/>
      </c>
      <c r="CC64" s="1426" t="str">
        <f aca="false">IF(ISNUMBER($AX64*BC64),$AX64*BC64,"")</f>
        <v/>
      </c>
      <c r="CD64" s="1426" t="str">
        <f aca="false">IF(ISNUMBER($AW64*BD64),$AW64*BD64,"")</f>
        <v/>
      </c>
      <c r="CE64" s="1426" t="str">
        <f aca="false">IF(ISNUMBER($AX64*BE64),$AX64*BE64,"")</f>
        <v/>
      </c>
      <c r="CF64" s="1372" t="str">
        <f aca="false">IF(ISNUMBER($AW64*BF64),$AW64*BF64,"")</f>
        <v/>
      </c>
      <c r="CG64" s="1372" t="str">
        <f aca="false">IF(ISNUMBER($AX64*BG64),$AX64*BG64,"")</f>
        <v/>
      </c>
      <c r="CH64" s="1438"/>
      <c r="CI64" s="1438"/>
      <c r="CJ64" s="1438"/>
      <c r="CK64" s="1438"/>
      <c r="CU64" s="1411"/>
      <c r="CV64" s="1411"/>
      <c r="CW64" s="1425"/>
      <c r="CX64" s="1425"/>
      <c r="CY64" s="1425"/>
      <c r="CZ64" s="1425"/>
      <c r="DA64" s="1411"/>
      <c r="DB64" s="1411"/>
      <c r="DC64" s="1411"/>
      <c r="DD64" s="1411"/>
      <c r="DE64" s="1411"/>
      <c r="DF64" s="1411"/>
      <c r="DH64" s="1432"/>
      <c r="DI64" s="1432"/>
      <c r="DJ64" s="1437"/>
      <c r="DK64" s="1437"/>
      <c r="DL64" s="1437"/>
      <c r="DM64" s="1437"/>
      <c r="DN64" s="1432"/>
      <c r="DO64" s="1432"/>
      <c r="DP64" s="1432"/>
      <c r="DQ64" s="1432"/>
      <c r="DR64" s="1432"/>
      <c r="DS64" s="1432"/>
      <c r="DT64" s="1316"/>
      <c r="DU64" s="1433"/>
      <c r="DV64" s="1433"/>
      <c r="DW64" s="1433"/>
      <c r="DX64" s="1433"/>
      <c r="DY64" s="1433"/>
      <c r="DZ64" s="1433"/>
      <c r="EA64" s="1433"/>
      <c r="EB64" s="1433"/>
    </row>
    <row r="65" customFormat="false" ht="14.25" hidden="false" customHeight="false" outlineLevel="0" collapsed="false">
      <c r="A65" s="2" t="n">
        <f aca="false">'V_DATOS PAC_SGA'!R60</f>
        <v>0</v>
      </c>
      <c r="B65" s="2" t="n">
        <f aca="false">IF(I65="IV",CONCATENATE('V_DATOS PAC_SGA'!R60,"4")+0,CONCATENATE('V_DATOS PAC_SGA'!R60,"0")+0)</f>
        <v>0</v>
      </c>
      <c r="C65" s="2" t="n">
        <f aca="false">'V_DATOS PAC_SGA'!S60</f>
        <v>0</v>
      </c>
      <c r="D65" s="1409" t="n">
        <f aca="false">'V_DATOS PAC_SGA'!Y60</f>
        <v>0</v>
      </c>
      <c r="E65" s="1410" t="str">
        <f aca="false">IF('V_DATOS PAC_SGA'!AV60="","Regadio",'V_DATOS PAC_SGA'!AV60)</f>
        <v>Regadio</v>
      </c>
      <c r="F65" s="1411" t="n">
        <f aca="false">'V_DATOS PAC_SGA'!BK60</f>
        <v>0</v>
      </c>
      <c r="G65" s="1412" t="n">
        <f aca="false">'V_DATOS PAC_SGA'!AN60</f>
        <v>0</v>
      </c>
      <c r="H65" s="1413" t="str">
        <f aca="false">IF(B65&gt;0,VLOOKUP(B65,'O_MN, PE_UTA_UGM 2024'!E$3:O$419,10),"")</f>
        <v/>
      </c>
      <c r="I65" s="1359" t="n">
        <f aca="false">'V_DATOS PAC_SGA'!BV60</f>
        <v>0</v>
      </c>
      <c r="J65" s="2" t="str">
        <f aca="false">IF(AND(J$4=$G65,J$6=$F65),$D65*J$5,"")</f>
        <v/>
      </c>
      <c r="K65" s="2" t="str">
        <f aca="false">IF(AND(K$4=$G65,K$6=$F65),$D65*K$5,"")</f>
        <v/>
      </c>
      <c r="L65" s="2" t="str">
        <f aca="false">IF(AND(L$4=$G65,L$6=$F65),$D65*L$5,"")</f>
        <v/>
      </c>
      <c r="M65" s="2" t="str">
        <f aca="false">IF(AND(M$4=$G65,M$6=$F65),$D65*M$5,"")</f>
        <v/>
      </c>
      <c r="N65" s="1414" t="n">
        <f aca="false">VLOOKUP(B65,'O_MN, PE_UTA_UGM 2024'!$E$2:$K$419,IF(G65&gt;1,6,7))</f>
        <v>0</v>
      </c>
      <c r="O65" s="1434" t="str">
        <f aca="false">IF($H65=O$4,$D65*$N65,"")</f>
        <v/>
      </c>
      <c r="P65" s="1435" t="str">
        <f aca="false">IF($H65=P$4,$D65*$N65,"")</f>
        <v/>
      </c>
      <c r="Q65" s="1435" t="str">
        <f aca="false">IF($H65=Q$4,$D65*$N65,"")</f>
        <v/>
      </c>
      <c r="R65" s="1435" t="str">
        <f aca="false">IF($H65=R$4,$D65*$N65,"")</f>
        <v/>
      </c>
      <c r="S65" s="1435" t="str">
        <f aca="false">IF($H65=S$4,$D65*$N65,"")</f>
        <v/>
      </c>
      <c r="T65" s="1435" t="str">
        <f aca="false">IF($H65=T$4,$D65*$N65,"")</f>
        <v/>
      </c>
      <c r="U65" s="1436" t="str">
        <f aca="false">IF($H65=U$4,$D65*$N65,"")</f>
        <v/>
      </c>
      <c r="V65" s="1418"/>
      <c r="W65" s="1419"/>
      <c r="X65" s="1419"/>
      <c r="Y65" s="1419"/>
      <c r="Z65" s="1419"/>
      <c r="AA65" s="1419"/>
      <c r="AB65" s="1420"/>
      <c r="AC65" s="1319"/>
      <c r="AD65" s="2" t="str">
        <f aca="false">IF(AND(AD$4=$G65,AD$6=$F65),$B65,"")</f>
        <v/>
      </c>
      <c r="AE65" s="2" t="str">
        <f aca="false">IF(AND(AE$4=$G65,AE$6=$F65),$B65,"")</f>
        <v/>
      </c>
      <c r="AF65" s="2" t="str">
        <f aca="false">IF(AND(AF$4=$G65,AF$6=$F65),$B65,"")</f>
        <v/>
      </c>
      <c r="AG65" s="2" t="str">
        <f aca="false">IF(AND(AG$4=$G65,AG$6=$F65),$B65,"")</f>
        <v/>
      </c>
      <c r="AI65" s="366"/>
      <c r="AL65" s="367"/>
      <c r="AO65" s="367"/>
      <c r="AP65" s="2" t="str">
        <f aca="false">IF(AT65&gt;0,RANK(AT65,AT$7:AT$423),"")</f>
        <v/>
      </c>
      <c r="AQ65" s="2" t="n">
        <f aca="false">'O_MN, PE_UTA_UGM 2024'!C61</f>
        <v>107</v>
      </c>
      <c r="AR65" s="1421" t="n">
        <v>1020</v>
      </c>
      <c r="AS65" s="2" t="str">
        <f aca="false">IF(AY65&lt;&gt;"",AY65,"")</f>
        <v/>
      </c>
      <c r="AT65" s="1422" t="n">
        <f aca="false">IF(ISNUMBER($AR65),SUMIF(B$7:B$505,AR65,D$7:D$505),"")</f>
        <v>0</v>
      </c>
      <c r="AU65" s="1411" t="n">
        <f aca="false">IF(ISNUMBER($AR65),SUMIF(AD$7:AD$503,$AR65,J$7:J$503),"")</f>
        <v>0</v>
      </c>
      <c r="AV65" s="1411" t="n">
        <f aca="false">IF(ISNUMBER($AR65),SUMIF(AF$7:AF$503,$AR65,L$7:L$503),"")</f>
        <v>0</v>
      </c>
      <c r="AW65" s="1423" t="n">
        <f aca="false">IF(ISNUMBER($AR65),SUMIF(AE$7:AE$503,$AR65,K$7:K$503),"")</f>
        <v>0</v>
      </c>
      <c r="AX65" s="1423" t="n">
        <f aca="false">IF(ISNUMBER($AR65),SUMIF(AG$7:AG$503,$AR65,M$7:M$503),"")</f>
        <v>0</v>
      </c>
      <c r="AY65" s="2" t="str">
        <f aca="false">IF($AT65&gt;0,VLOOKUP($AR65,'O_MN, PE_UTA_UGM 2024'!E61:O477,2),"")</f>
        <v/>
      </c>
      <c r="AZ65" s="1424"/>
      <c r="BA65" s="1424"/>
      <c r="BB65" s="1424" t="str">
        <f aca="false">IF($AT65&gt;0,VLOOKUP($AR65,'O_MN, PE_UTA_UGM 2024'!$E$3:$O$419,BB$6),"")</f>
        <v/>
      </c>
      <c r="BC65" s="1424" t="str">
        <f aca="false">IF($AT65&gt;0,VLOOKUP($AR65,'O_MN, PE_UTA_UGM 2024'!$E$3:$O$419,BC$6),"")</f>
        <v/>
      </c>
      <c r="BD65" s="1424" t="str">
        <f aca="false">IF($AT65&gt;0,VLOOKUP($AR65,'O_MN, PE_UTA_UGM 2024'!$E$3:$O$419,BD$6),"")</f>
        <v/>
      </c>
      <c r="BE65" s="1424" t="str">
        <f aca="false">IF($AT65&gt;0,VLOOKUP($AR65,'O_MN, PE_UTA_UGM 2024'!$E$3:$O$419,BE$6),"")</f>
        <v/>
      </c>
      <c r="BF65" s="1424" t="str">
        <f aca="false">IF($AT65&gt;0,VLOOKUP($AR65,'O_MN, PE_UTA_UGM 2024'!$E$3:$O$419,BF$6),"")</f>
        <v/>
      </c>
      <c r="BG65" s="1424" t="str">
        <f aca="false">IF($AT65&gt;0,VLOOKUP($AR65,'O_MN, PE_UTA_UGM 2024'!$E$3:$O$419,BG$6),"")</f>
        <v/>
      </c>
      <c r="BH65" s="872"/>
      <c r="BI65" s="872"/>
      <c r="BJ65" s="872"/>
      <c r="BK65" s="872"/>
      <c r="BM65" s="1411"/>
      <c r="BN65" s="1411"/>
      <c r="BO65" s="1425" t="str">
        <f aca="false">IF(ISNUMBER($AU65*BB65*1),$AU65*BB65*1,"")</f>
        <v/>
      </c>
      <c r="BP65" s="1425" t="str">
        <f aca="false">IF(ISNUMBER($AV65*BC65*1),$AV65*BC65*1,"")</f>
        <v/>
      </c>
      <c r="BQ65" s="1425" t="str">
        <f aca="false">IF(ISNUMBER($AU65*BD65*1),$AU65*BD65*1,"")</f>
        <v/>
      </c>
      <c r="BR65" s="1425" t="str">
        <f aca="false">IF(ISNUMBER($AV65*BE65*1),$AV65*BE65*1,"")</f>
        <v/>
      </c>
      <c r="BS65" s="1411" t="str">
        <f aca="false">IF(ISNUMBER($AU65*BF65),$AU65*BF65,"")</f>
        <v/>
      </c>
      <c r="BT65" s="1411" t="str">
        <f aca="false">IF(ISNUMBER($AV65*BG65),$AV65*BG65,"")</f>
        <v/>
      </c>
      <c r="BU65" s="1411"/>
      <c r="BV65" s="1411"/>
      <c r="BW65" s="1411"/>
      <c r="BX65" s="1411"/>
      <c r="BZ65" s="1372"/>
      <c r="CA65" s="1372"/>
      <c r="CB65" s="1426" t="str">
        <f aca="false">IF(ISNUMBER($AW65*BB65),$AW65*BB65,"")</f>
        <v/>
      </c>
      <c r="CC65" s="1426" t="str">
        <f aca="false">IF(ISNUMBER($AX65*BC65),$AX65*BC65,"")</f>
        <v/>
      </c>
      <c r="CD65" s="1426" t="str">
        <f aca="false">IF(ISNUMBER($AW65*BD65),$AW65*BD65,"")</f>
        <v/>
      </c>
      <c r="CE65" s="1426" t="str">
        <f aca="false">IF(ISNUMBER($AX65*BE65),$AX65*BE65,"")</f>
        <v/>
      </c>
      <c r="CF65" s="1372" t="str">
        <f aca="false">IF(ISNUMBER($AW65*BF65),$AW65*BF65,"")</f>
        <v/>
      </c>
      <c r="CG65" s="1372" t="str">
        <f aca="false">IF(ISNUMBER($AX65*BG65),$AX65*BG65,"")</f>
        <v/>
      </c>
      <c r="CH65" s="1438"/>
      <c r="CI65" s="1438"/>
      <c r="CJ65" s="1438"/>
      <c r="CK65" s="1438"/>
      <c r="CU65" s="1411"/>
      <c r="CV65" s="1411"/>
      <c r="CW65" s="1425"/>
      <c r="CX65" s="1425"/>
      <c r="CY65" s="1425"/>
      <c r="CZ65" s="1425"/>
      <c r="DA65" s="1411"/>
      <c r="DB65" s="1411"/>
      <c r="DC65" s="1411"/>
      <c r="DD65" s="1411"/>
      <c r="DE65" s="1411"/>
      <c r="DF65" s="1411"/>
      <c r="DH65" s="1432"/>
      <c r="DI65" s="1432"/>
      <c r="DJ65" s="1437"/>
      <c r="DK65" s="1437"/>
      <c r="DL65" s="1437"/>
      <c r="DM65" s="1437"/>
      <c r="DN65" s="1432"/>
      <c r="DO65" s="1432"/>
      <c r="DP65" s="1432"/>
      <c r="DQ65" s="1432"/>
      <c r="DR65" s="1432"/>
      <c r="DS65" s="1432"/>
      <c r="DT65" s="1316"/>
      <c r="DU65" s="1433"/>
      <c r="DV65" s="1433"/>
      <c r="DW65" s="1433"/>
      <c r="DX65" s="1433"/>
      <c r="DY65" s="1433"/>
      <c r="DZ65" s="1433"/>
      <c r="EA65" s="1433"/>
      <c r="EB65" s="1433"/>
    </row>
    <row r="66" customFormat="false" ht="14.25" hidden="false" customHeight="false" outlineLevel="0" collapsed="false">
      <c r="A66" s="2" t="n">
        <f aca="false">'V_DATOS PAC_SGA'!R61</f>
        <v>0</v>
      </c>
      <c r="B66" s="2" t="n">
        <f aca="false">IF(I66="IV",CONCATENATE('V_DATOS PAC_SGA'!R61,"4")+0,CONCATENATE('V_DATOS PAC_SGA'!R61,"0")+0)</f>
        <v>0</v>
      </c>
      <c r="C66" s="2" t="n">
        <f aca="false">'V_DATOS PAC_SGA'!S61</f>
        <v>0</v>
      </c>
      <c r="D66" s="1409" t="n">
        <f aca="false">'V_DATOS PAC_SGA'!Y61</f>
        <v>0</v>
      </c>
      <c r="E66" s="1410" t="str">
        <f aca="false">IF('V_DATOS PAC_SGA'!AV61="","Regadio",'V_DATOS PAC_SGA'!AV61)</f>
        <v>Regadio</v>
      </c>
      <c r="F66" s="1411" t="n">
        <f aca="false">'V_DATOS PAC_SGA'!BK61</f>
        <v>0</v>
      </c>
      <c r="G66" s="1412" t="n">
        <f aca="false">'V_DATOS PAC_SGA'!AN61</f>
        <v>0</v>
      </c>
      <c r="H66" s="1413" t="str">
        <f aca="false">IF(B66&gt;0,VLOOKUP(B66,'O_MN, PE_UTA_UGM 2024'!E$3:O$419,10),"")</f>
        <v/>
      </c>
      <c r="I66" s="1359" t="n">
        <f aca="false">'V_DATOS PAC_SGA'!BV61</f>
        <v>0</v>
      </c>
      <c r="J66" s="2" t="str">
        <f aca="false">IF(AND(J$4=$G66,J$6=$F66),$D66*J$5,"")</f>
        <v/>
      </c>
      <c r="K66" s="2" t="str">
        <f aca="false">IF(AND(K$4=$G66,K$6=$F66),$D66*K$5,"")</f>
        <v/>
      </c>
      <c r="L66" s="2" t="str">
        <f aca="false">IF(AND(L$4=$G66,L$6=$F66),$D66*L$5,"")</f>
        <v/>
      </c>
      <c r="M66" s="2" t="str">
        <f aca="false">IF(AND(M$4=$G66,M$6=$F66),$D66*M$5,"")</f>
        <v/>
      </c>
      <c r="N66" s="1414" t="n">
        <f aca="false">VLOOKUP(B66,'O_MN, PE_UTA_UGM 2024'!$E$2:$K$419,IF(G66&gt;1,6,7))</f>
        <v>0</v>
      </c>
      <c r="O66" s="1434" t="str">
        <f aca="false">IF($H66=O$4,$D66*$N66,"")</f>
        <v/>
      </c>
      <c r="P66" s="1435" t="str">
        <f aca="false">IF($H66=P$4,$D66*$N66,"")</f>
        <v/>
      </c>
      <c r="Q66" s="1435" t="str">
        <f aca="false">IF($H66=Q$4,$D66*$N66,"")</f>
        <v/>
      </c>
      <c r="R66" s="1435" t="str">
        <f aca="false">IF($H66=R$4,$D66*$N66,"")</f>
        <v/>
      </c>
      <c r="S66" s="1435" t="str">
        <f aca="false">IF($H66=S$4,$D66*$N66,"")</f>
        <v/>
      </c>
      <c r="T66" s="1435" t="str">
        <f aca="false">IF($H66=T$4,$D66*$N66,"")</f>
        <v/>
      </c>
      <c r="U66" s="1436" t="str">
        <f aca="false">IF($H66=U$4,$D66*$N66,"")</f>
        <v/>
      </c>
      <c r="V66" s="1418"/>
      <c r="W66" s="1419"/>
      <c r="X66" s="1419"/>
      <c r="Y66" s="1419"/>
      <c r="Z66" s="1419"/>
      <c r="AA66" s="1419"/>
      <c r="AB66" s="1420"/>
      <c r="AC66" s="1319"/>
      <c r="AD66" s="2" t="str">
        <f aca="false">IF(AND(AD$4=$G66,AD$6=$F66),$B66,"")</f>
        <v/>
      </c>
      <c r="AE66" s="2" t="str">
        <f aca="false">IF(AND(AE$4=$G66,AE$6=$F66),$B66,"")</f>
        <v/>
      </c>
      <c r="AF66" s="2" t="str">
        <f aca="false">IF(AND(AF$4=$G66,AF$6=$F66),$B66,"")</f>
        <v/>
      </c>
      <c r="AG66" s="2" t="str">
        <f aca="false">IF(AND(AG$4=$G66,AG$6=$F66),$B66,"")</f>
        <v/>
      </c>
      <c r="AI66" s="366"/>
      <c r="AL66" s="367"/>
      <c r="AO66" s="367"/>
      <c r="AP66" s="2" t="str">
        <f aca="false">IF(AT66&gt;0,RANK(AT66,AT$7:AT$423),"")</f>
        <v/>
      </c>
      <c r="AQ66" s="2" t="n">
        <f aca="false">'O_MN, PE_UTA_UGM 2024'!C62</f>
        <v>108</v>
      </c>
      <c r="AR66" s="1421" t="n">
        <v>1040</v>
      </c>
      <c r="AS66" s="2" t="str">
        <f aca="false">IF(AY66&lt;&gt;"",AY66,"")</f>
        <v/>
      </c>
      <c r="AT66" s="1422" t="n">
        <f aca="false">IF(ISNUMBER($AR66),SUMIF(B$7:B$505,AR66,D$7:D$505),"")</f>
        <v>0</v>
      </c>
      <c r="AU66" s="1411" t="n">
        <f aca="false">IF(ISNUMBER($AR66),SUMIF(AD$7:AD$503,$AR66,J$7:J$503),"")</f>
        <v>0</v>
      </c>
      <c r="AV66" s="1411" t="n">
        <f aca="false">IF(ISNUMBER($AR66),SUMIF(AF$7:AF$503,$AR66,L$7:L$503),"")</f>
        <v>0</v>
      </c>
      <c r="AW66" s="1423" t="n">
        <f aca="false">IF(ISNUMBER($AR66),SUMIF(AE$7:AE$503,$AR66,K$7:K$503),"")</f>
        <v>0</v>
      </c>
      <c r="AX66" s="1423" t="n">
        <f aca="false">IF(ISNUMBER($AR66),SUMIF(AG$7:AG$503,$AR66,M$7:M$503),"")</f>
        <v>0</v>
      </c>
      <c r="AY66" s="2" t="str">
        <f aca="false">IF($AT66&gt;0,VLOOKUP($AR66,'O_MN, PE_UTA_UGM 2024'!E62:O478,2),"")</f>
        <v/>
      </c>
      <c r="AZ66" s="1424"/>
      <c r="BA66" s="1424"/>
      <c r="BB66" s="1424" t="str">
        <f aca="false">IF($AT66&gt;0,VLOOKUP($AR66,'O_MN, PE_UTA_UGM 2024'!$E$3:$O$419,BB$6),"")</f>
        <v/>
      </c>
      <c r="BC66" s="1424" t="str">
        <f aca="false">IF($AT66&gt;0,VLOOKUP($AR66,'O_MN, PE_UTA_UGM 2024'!$E$3:$O$419,BC$6),"")</f>
        <v/>
      </c>
      <c r="BD66" s="1424" t="str">
        <f aca="false">IF($AT66&gt;0,VLOOKUP($AR66,'O_MN, PE_UTA_UGM 2024'!$E$3:$O$419,BD$6),"")</f>
        <v/>
      </c>
      <c r="BE66" s="1424" t="str">
        <f aca="false">IF($AT66&gt;0,VLOOKUP($AR66,'O_MN, PE_UTA_UGM 2024'!$E$3:$O$419,BE$6),"")</f>
        <v/>
      </c>
      <c r="BF66" s="1424" t="str">
        <f aca="false">IF($AT66&gt;0,VLOOKUP($AR66,'O_MN, PE_UTA_UGM 2024'!$E$3:$O$419,BF$6),"")</f>
        <v/>
      </c>
      <c r="BG66" s="1424" t="str">
        <f aca="false">IF($AT66&gt;0,VLOOKUP($AR66,'O_MN, PE_UTA_UGM 2024'!$E$3:$O$419,BG$6),"")</f>
        <v/>
      </c>
      <c r="BH66" s="872"/>
      <c r="BI66" s="872"/>
      <c r="BJ66" s="872"/>
      <c r="BK66" s="872"/>
      <c r="BM66" s="1411"/>
      <c r="BN66" s="1411"/>
      <c r="BO66" s="1425" t="str">
        <f aca="false">IF(ISNUMBER($AU66*BB66*1),$AU66*BB66*1,"")</f>
        <v/>
      </c>
      <c r="BP66" s="1425" t="str">
        <f aca="false">IF(ISNUMBER($AV66*BC66*1),$AV66*BC66*1,"")</f>
        <v/>
      </c>
      <c r="BQ66" s="1425" t="str">
        <f aca="false">IF(ISNUMBER($AU66*BD66*1),$AU66*BD66*1,"")</f>
        <v/>
      </c>
      <c r="BR66" s="1425" t="str">
        <f aca="false">IF(ISNUMBER($AV66*BE66*1),$AV66*BE66*1,"")</f>
        <v/>
      </c>
      <c r="BS66" s="1411" t="str">
        <f aca="false">IF(ISNUMBER($AU66*BF66),$AU66*BF66,"")</f>
        <v/>
      </c>
      <c r="BT66" s="1411" t="str">
        <f aca="false">IF(ISNUMBER($AV66*BG66),$AV66*BG66,"")</f>
        <v/>
      </c>
      <c r="BU66" s="1411"/>
      <c r="BV66" s="1411"/>
      <c r="BW66" s="1411"/>
      <c r="BX66" s="1411"/>
      <c r="BZ66" s="1372"/>
      <c r="CA66" s="1372"/>
      <c r="CB66" s="1426" t="str">
        <f aca="false">IF(ISNUMBER($AW66*BB66),$AW66*BB66,"")</f>
        <v/>
      </c>
      <c r="CC66" s="1426" t="str">
        <f aca="false">IF(ISNUMBER($AX66*BC66),$AX66*BC66,"")</f>
        <v/>
      </c>
      <c r="CD66" s="1426" t="str">
        <f aca="false">IF(ISNUMBER($AW66*BD66),$AW66*BD66,"")</f>
        <v/>
      </c>
      <c r="CE66" s="1426" t="str">
        <f aca="false">IF(ISNUMBER($AX66*BE66),$AX66*BE66,"")</f>
        <v/>
      </c>
      <c r="CF66" s="1372" t="str">
        <f aca="false">IF(ISNUMBER($AW66*BF66),$AW66*BF66,"")</f>
        <v/>
      </c>
      <c r="CG66" s="1372" t="str">
        <f aca="false">IF(ISNUMBER($AX66*BG66),$AX66*BG66,"")</f>
        <v/>
      </c>
      <c r="CH66" s="1438"/>
      <c r="CI66" s="1438"/>
      <c r="CJ66" s="1438"/>
      <c r="CK66" s="1438"/>
      <c r="CU66" s="1411"/>
      <c r="CV66" s="1411"/>
      <c r="CW66" s="1425"/>
      <c r="CX66" s="1425"/>
      <c r="CY66" s="1425"/>
      <c r="CZ66" s="1425"/>
      <c r="DA66" s="1411"/>
      <c r="DB66" s="1411"/>
      <c r="DC66" s="1411"/>
      <c r="DD66" s="1411"/>
      <c r="DE66" s="1411"/>
      <c r="DF66" s="1411"/>
      <c r="DH66" s="1432"/>
      <c r="DI66" s="1432"/>
      <c r="DJ66" s="1437"/>
      <c r="DK66" s="1437"/>
      <c r="DL66" s="1437"/>
      <c r="DM66" s="1437"/>
      <c r="DN66" s="1432"/>
      <c r="DO66" s="1432"/>
      <c r="DP66" s="1432"/>
      <c r="DQ66" s="1432"/>
      <c r="DR66" s="1432"/>
      <c r="DS66" s="1432"/>
      <c r="DT66" s="1316"/>
      <c r="DU66" s="1433"/>
      <c r="DV66" s="1433"/>
      <c r="DW66" s="1433"/>
      <c r="DX66" s="1433"/>
      <c r="DY66" s="1433"/>
      <c r="DZ66" s="1433"/>
      <c r="EA66" s="1433"/>
      <c r="EB66" s="1433"/>
    </row>
    <row r="67" customFormat="false" ht="14.25" hidden="false" customHeight="false" outlineLevel="0" collapsed="false">
      <c r="A67" s="2" t="n">
        <f aca="false">'V_DATOS PAC_SGA'!R62</f>
        <v>0</v>
      </c>
      <c r="B67" s="2" t="n">
        <f aca="false">IF(I67="IV",CONCATENATE('V_DATOS PAC_SGA'!R62,"4")+0,CONCATENATE('V_DATOS PAC_SGA'!R62,"0")+0)</f>
        <v>0</v>
      </c>
      <c r="C67" s="2" t="n">
        <f aca="false">'V_DATOS PAC_SGA'!S62</f>
        <v>0</v>
      </c>
      <c r="D67" s="1409" t="n">
        <f aca="false">'V_DATOS PAC_SGA'!Y62</f>
        <v>0</v>
      </c>
      <c r="E67" s="1410" t="str">
        <f aca="false">IF('V_DATOS PAC_SGA'!AV62="","Regadio",'V_DATOS PAC_SGA'!AV62)</f>
        <v>Regadio</v>
      </c>
      <c r="F67" s="1411" t="n">
        <f aca="false">'V_DATOS PAC_SGA'!BK62</f>
        <v>0</v>
      </c>
      <c r="G67" s="1412" t="n">
        <f aca="false">'V_DATOS PAC_SGA'!AN62</f>
        <v>0</v>
      </c>
      <c r="H67" s="1413" t="str">
        <f aca="false">IF(B67&gt;0,VLOOKUP(B67,'O_MN, PE_UTA_UGM 2024'!E$3:O$419,10),"")</f>
        <v/>
      </c>
      <c r="I67" s="1359" t="n">
        <f aca="false">'V_DATOS PAC_SGA'!BV62</f>
        <v>0</v>
      </c>
      <c r="J67" s="2" t="str">
        <f aca="false">IF(AND(J$4=$G67,J$6=$F67),$D67*J$5,"")</f>
        <v/>
      </c>
      <c r="K67" s="2" t="str">
        <f aca="false">IF(AND(K$4=$G67,K$6=$F67),$D67*K$5,"")</f>
        <v/>
      </c>
      <c r="L67" s="2" t="str">
        <f aca="false">IF(AND(L$4=$G67,L$6=$F67),$D67*L$5,"")</f>
        <v/>
      </c>
      <c r="M67" s="2" t="str">
        <f aca="false">IF(AND(M$4=$G67,M$6=$F67),$D67*M$5,"")</f>
        <v/>
      </c>
      <c r="N67" s="1414" t="n">
        <f aca="false">VLOOKUP(B67,'O_MN, PE_UTA_UGM 2024'!$E$2:$K$419,IF(G67&gt;1,6,7))</f>
        <v>0</v>
      </c>
      <c r="O67" s="1434" t="str">
        <f aca="false">IF($H67=O$4,$D67*$N67,"")</f>
        <v/>
      </c>
      <c r="P67" s="1435" t="str">
        <f aca="false">IF($H67=P$4,$D67*$N67,"")</f>
        <v/>
      </c>
      <c r="Q67" s="1435" t="str">
        <f aca="false">IF($H67=Q$4,$D67*$N67,"")</f>
        <v/>
      </c>
      <c r="R67" s="1435" t="str">
        <f aca="false">IF($H67=R$4,$D67*$N67,"")</f>
        <v/>
      </c>
      <c r="S67" s="1435" t="str">
        <f aca="false">IF($H67=S$4,$D67*$N67,"")</f>
        <v/>
      </c>
      <c r="T67" s="1435" t="str">
        <f aca="false">IF($H67=T$4,$D67*$N67,"")</f>
        <v/>
      </c>
      <c r="U67" s="1436" t="str">
        <f aca="false">IF($H67=U$4,$D67*$N67,"")</f>
        <v/>
      </c>
      <c r="V67" s="1418"/>
      <c r="W67" s="1419"/>
      <c r="X67" s="1419"/>
      <c r="Y67" s="1419"/>
      <c r="Z67" s="1419"/>
      <c r="AA67" s="1419"/>
      <c r="AB67" s="1420"/>
      <c r="AC67" s="1319"/>
      <c r="AD67" s="2" t="str">
        <f aca="false">IF(AND(AD$4=$G67,AD$6=$F67),$B67,"")</f>
        <v/>
      </c>
      <c r="AE67" s="2" t="str">
        <f aca="false">IF(AND(AE$4=$G67,AE$6=$F67),$B67,"")</f>
        <v/>
      </c>
      <c r="AF67" s="2" t="str">
        <f aca="false">IF(AND(AF$4=$G67,AF$6=$F67),$B67,"")</f>
        <v/>
      </c>
      <c r="AG67" s="2" t="str">
        <f aca="false">IF(AND(AG$4=$G67,AG$6=$F67),$B67,"")</f>
        <v/>
      </c>
      <c r="AI67" s="366"/>
      <c r="AL67" s="367"/>
      <c r="AO67" s="367"/>
      <c r="AP67" s="2" t="str">
        <f aca="false">IF(AT67&gt;0,RANK(AT67,AT$7:AT$423),"")</f>
        <v/>
      </c>
      <c r="AQ67" s="2" t="n">
        <f aca="false">'O_MN, PE_UTA_UGM 2024'!C63</f>
        <v>109</v>
      </c>
      <c r="AR67" s="1421" t="n">
        <v>1050</v>
      </c>
      <c r="AS67" s="2" t="str">
        <f aca="false">IF(AY67&lt;&gt;"",AY67,"")</f>
        <v/>
      </c>
      <c r="AT67" s="1422" t="n">
        <f aca="false">IF(ISNUMBER($AR67),SUMIF(B$7:B$505,AR67,D$7:D$505),"")</f>
        <v>0</v>
      </c>
      <c r="AU67" s="1411" t="n">
        <f aca="false">IF(ISNUMBER($AR67),SUMIF(AD$7:AD$503,$AR67,J$7:J$503),"")</f>
        <v>0</v>
      </c>
      <c r="AV67" s="1411" t="n">
        <f aca="false">IF(ISNUMBER($AR67),SUMIF(AF$7:AF$503,$AR67,L$7:L$503),"")</f>
        <v>0</v>
      </c>
      <c r="AW67" s="1423" t="n">
        <f aca="false">IF(ISNUMBER($AR67),SUMIF(AE$7:AE$503,$AR67,K$7:K$503),"")</f>
        <v>0</v>
      </c>
      <c r="AX67" s="1423" t="n">
        <f aca="false">IF(ISNUMBER($AR67),SUMIF(AG$7:AG$503,$AR67,M$7:M$503),"")</f>
        <v>0</v>
      </c>
      <c r="AY67" s="2" t="str">
        <f aca="false">IF($AT67&gt;0,VLOOKUP($AR67,'O_MN, PE_UTA_UGM 2024'!E63:O479,2),"")</f>
        <v/>
      </c>
      <c r="AZ67" s="1424"/>
      <c r="BA67" s="1424"/>
      <c r="BB67" s="1424" t="str">
        <f aca="false">IF($AT67&gt;0,VLOOKUP($AR67,'O_MN, PE_UTA_UGM 2024'!$E$3:$O$419,BB$6),"")</f>
        <v/>
      </c>
      <c r="BC67" s="1424" t="str">
        <f aca="false">IF($AT67&gt;0,VLOOKUP($AR67,'O_MN, PE_UTA_UGM 2024'!$E$3:$O$419,BC$6),"")</f>
        <v/>
      </c>
      <c r="BD67" s="1424" t="str">
        <f aca="false">IF($AT67&gt;0,VLOOKUP($AR67,'O_MN, PE_UTA_UGM 2024'!$E$3:$O$419,BD$6),"")</f>
        <v/>
      </c>
      <c r="BE67" s="1424" t="str">
        <f aca="false">IF($AT67&gt;0,VLOOKUP($AR67,'O_MN, PE_UTA_UGM 2024'!$E$3:$O$419,BE$6),"")</f>
        <v/>
      </c>
      <c r="BF67" s="1424" t="str">
        <f aca="false">IF($AT67&gt;0,VLOOKUP($AR67,'O_MN, PE_UTA_UGM 2024'!$E$3:$O$419,BF$6),"")</f>
        <v/>
      </c>
      <c r="BG67" s="1424" t="str">
        <f aca="false">IF($AT67&gt;0,VLOOKUP($AR67,'O_MN, PE_UTA_UGM 2024'!$E$3:$O$419,BG$6),"")</f>
        <v/>
      </c>
      <c r="BH67" s="872"/>
      <c r="BI67" s="872"/>
      <c r="BJ67" s="872"/>
      <c r="BK67" s="872"/>
      <c r="BM67" s="1411"/>
      <c r="BN67" s="1411"/>
      <c r="BO67" s="1425" t="str">
        <f aca="false">IF(ISNUMBER($AU67*BB67*1),$AU67*BB67*1,"")</f>
        <v/>
      </c>
      <c r="BP67" s="1425" t="str">
        <f aca="false">IF(ISNUMBER($AV67*BC67*1),$AV67*BC67*1,"")</f>
        <v/>
      </c>
      <c r="BQ67" s="1425" t="str">
        <f aca="false">IF(ISNUMBER($AU67*BD67*1),$AU67*BD67*1,"")</f>
        <v/>
      </c>
      <c r="BR67" s="1425" t="str">
        <f aca="false">IF(ISNUMBER($AV67*BE67*1),$AV67*BE67*1,"")</f>
        <v/>
      </c>
      <c r="BS67" s="1411" t="str">
        <f aca="false">IF(ISNUMBER($AU67*BF67),$AU67*BF67,"")</f>
        <v/>
      </c>
      <c r="BT67" s="1411" t="str">
        <f aca="false">IF(ISNUMBER($AV67*BG67),$AV67*BG67,"")</f>
        <v/>
      </c>
      <c r="BU67" s="1411"/>
      <c r="BV67" s="1411"/>
      <c r="BW67" s="1411"/>
      <c r="BX67" s="1411"/>
      <c r="BZ67" s="1372"/>
      <c r="CA67" s="1372"/>
      <c r="CB67" s="1426" t="str">
        <f aca="false">IF(ISNUMBER($AW67*BB67),$AW67*BB67,"")</f>
        <v/>
      </c>
      <c r="CC67" s="1426" t="str">
        <f aca="false">IF(ISNUMBER($AX67*BC67),$AX67*BC67,"")</f>
        <v/>
      </c>
      <c r="CD67" s="1426" t="str">
        <f aca="false">IF(ISNUMBER($AW67*BD67),$AW67*BD67,"")</f>
        <v/>
      </c>
      <c r="CE67" s="1426" t="str">
        <f aca="false">IF(ISNUMBER($AX67*BE67),$AX67*BE67,"")</f>
        <v/>
      </c>
      <c r="CF67" s="1372" t="str">
        <f aca="false">IF(ISNUMBER($AW67*BF67),$AW67*BF67,"")</f>
        <v/>
      </c>
      <c r="CG67" s="1372" t="str">
        <f aca="false">IF(ISNUMBER($AX67*BG67),$AX67*BG67,"")</f>
        <v/>
      </c>
      <c r="CH67" s="1438"/>
      <c r="CI67" s="1438"/>
      <c r="CJ67" s="1438"/>
      <c r="CK67" s="1438"/>
      <c r="CU67" s="1411"/>
      <c r="CV67" s="1411"/>
      <c r="CW67" s="1425"/>
      <c r="CX67" s="1425"/>
      <c r="CY67" s="1425"/>
      <c r="CZ67" s="1425"/>
      <c r="DA67" s="1411"/>
      <c r="DB67" s="1411"/>
      <c r="DC67" s="1411"/>
      <c r="DD67" s="1411"/>
      <c r="DE67" s="1411"/>
      <c r="DF67" s="1411"/>
      <c r="DH67" s="1432"/>
      <c r="DI67" s="1432"/>
      <c r="DJ67" s="1437"/>
      <c r="DK67" s="1437"/>
      <c r="DL67" s="1437"/>
      <c r="DM67" s="1437"/>
      <c r="DN67" s="1432"/>
      <c r="DO67" s="1432"/>
      <c r="DP67" s="1432"/>
      <c r="DQ67" s="1432"/>
      <c r="DR67" s="1432"/>
      <c r="DS67" s="1432"/>
      <c r="DT67" s="1316"/>
      <c r="DU67" s="1433"/>
      <c r="DV67" s="1433"/>
      <c r="DW67" s="1433"/>
      <c r="DX67" s="1433"/>
      <c r="DY67" s="1433"/>
      <c r="DZ67" s="1433"/>
      <c r="EA67" s="1433"/>
      <c r="EB67" s="1433"/>
    </row>
    <row r="68" customFormat="false" ht="14.25" hidden="false" customHeight="false" outlineLevel="0" collapsed="false">
      <c r="A68" s="2" t="n">
        <f aca="false">'V_DATOS PAC_SGA'!R63</f>
        <v>0</v>
      </c>
      <c r="B68" s="2" t="n">
        <f aca="false">IF(I68="IV",CONCATENATE('V_DATOS PAC_SGA'!R63,"4")+0,CONCATENATE('V_DATOS PAC_SGA'!R63,"0")+0)</f>
        <v>0</v>
      </c>
      <c r="C68" s="2" t="n">
        <f aca="false">'V_DATOS PAC_SGA'!S63</f>
        <v>0</v>
      </c>
      <c r="D68" s="1409" t="n">
        <f aca="false">'V_DATOS PAC_SGA'!Y63</f>
        <v>0</v>
      </c>
      <c r="E68" s="1410" t="str">
        <f aca="false">IF('V_DATOS PAC_SGA'!AV63="","Regadio",'V_DATOS PAC_SGA'!AV63)</f>
        <v>Regadio</v>
      </c>
      <c r="F68" s="1411" t="n">
        <f aca="false">'V_DATOS PAC_SGA'!BK63</f>
        <v>0</v>
      </c>
      <c r="G68" s="1412" t="n">
        <f aca="false">'V_DATOS PAC_SGA'!AN63</f>
        <v>0</v>
      </c>
      <c r="H68" s="1413" t="str">
        <f aca="false">IF(B68&gt;0,VLOOKUP(B68,'O_MN, PE_UTA_UGM 2024'!E$3:O$419,10),"")</f>
        <v/>
      </c>
      <c r="I68" s="1359" t="n">
        <f aca="false">'V_DATOS PAC_SGA'!BV63</f>
        <v>0</v>
      </c>
      <c r="J68" s="2" t="str">
        <f aca="false">IF(AND(J$4=$G68,J$6=$F68),$D68*J$5,"")</f>
        <v/>
      </c>
      <c r="K68" s="2" t="str">
        <f aca="false">IF(AND(K$4=$G68,K$6=$F68),$D68*K$5,"")</f>
        <v/>
      </c>
      <c r="L68" s="2" t="str">
        <f aca="false">IF(AND(L$4=$G68,L$6=$F68),$D68*L$5,"")</f>
        <v/>
      </c>
      <c r="M68" s="2" t="str">
        <f aca="false">IF(AND(M$4=$G68,M$6=$F68),$D68*M$5,"")</f>
        <v/>
      </c>
      <c r="N68" s="1414" t="n">
        <f aca="false">VLOOKUP(B68,'O_MN, PE_UTA_UGM 2024'!$E$2:$K$419,IF(G68&gt;1,6,7))</f>
        <v>0</v>
      </c>
      <c r="O68" s="1434" t="str">
        <f aca="false">IF($H68=O$4,$D68*$N68,"")</f>
        <v/>
      </c>
      <c r="P68" s="1435" t="str">
        <f aca="false">IF($H68=P$4,$D68*$N68,"")</f>
        <v/>
      </c>
      <c r="Q68" s="1435" t="str">
        <f aca="false">IF($H68=Q$4,$D68*$N68,"")</f>
        <v/>
      </c>
      <c r="R68" s="1435" t="str">
        <f aca="false">IF($H68=R$4,$D68*$N68,"")</f>
        <v/>
      </c>
      <c r="S68" s="1435" t="str">
        <f aca="false">IF($H68=S$4,$D68*$N68,"")</f>
        <v/>
      </c>
      <c r="T68" s="1435" t="str">
        <f aca="false">IF($H68=T$4,$D68*$N68,"")</f>
        <v/>
      </c>
      <c r="U68" s="1436" t="str">
        <f aca="false">IF($H68=U$4,$D68*$N68,"")</f>
        <v/>
      </c>
      <c r="V68" s="1418"/>
      <c r="W68" s="1419"/>
      <c r="X68" s="1419"/>
      <c r="Y68" s="1419"/>
      <c r="Z68" s="1419"/>
      <c r="AA68" s="1419"/>
      <c r="AB68" s="1420"/>
      <c r="AC68" s="1319"/>
      <c r="AD68" s="2" t="str">
        <f aca="false">IF(AND(AD$4=$G68,AD$6=$F68),$B68,"")</f>
        <v/>
      </c>
      <c r="AE68" s="2" t="str">
        <f aca="false">IF(AND(AE$4=$G68,AE$6=$F68),$B68,"")</f>
        <v/>
      </c>
      <c r="AF68" s="2" t="str">
        <f aca="false">IF(AND(AF$4=$G68,AF$6=$F68),$B68,"")</f>
        <v/>
      </c>
      <c r="AG68" s="2" t="str">
        <f aca="false">IF(AND(AG$4=$G68,AG$6=$F68),$B68,"")</f>
        <v/>
      </c>
      <c r="AI68" s="366"/>
      <c r="AL68" s="367"/>
      <c r="AO68" s="367"/>
      <c r="AP68" s="2" t="str">
        <f aca="false">IF(AT68&gt;0,RANK(AT68,AT$7:AT$423),"")</f>
        <v/>
      </c>
      <c r="AQ68" s="2" t="n">
        <f aca="false">'O_MN, PE_UTA_UGM 2024'!C64</f>
        <v>110</v>
      </c>
      <c r="AR68" s="1421" t="n">
        <v>1060</v>
      </c>
      <c r="AS68" s="2" t="str">
        <f aca="false">IF(AY68&lt;&gt;"",AY68,"")</f>
        <v/>
      </c>
      <c r="AT68" s="1422" t="n">
        <f aca="false">IF(ISNUMBER($AR68),SUMIF(B$7:B$505,AR68,D$7:D$505),"")</f>
        <v>0</v>
      </c>
      <c r="AU68" s="1411" t="n">
        <f aca="false">IF(ISNUMBER($AR68),SUMIF(AD$7:AD$503,$AR68,J$7:J$503),"")</f>
        <v>0</v>
      </c>
      <c r="AV68" s="1411" t="n">
        <f aca="false">IF(ISNUMBER($AR68),SUMIF(AF$7:AF$503,$AR68,L$7:L$503),"")</f>
        <v>0</v>
      </c>
      <c r="AW68" s="1423" t="n">
        <f aca="false">IF(ISNUMBER($AR68),SUMIF(AE$7:AE$503,$AR68,K$7:K$503),"")</f>
        <v>0</v>
      </c>
      <c r="AX68" s="1423" t="n">
        <f aca="false">IF(ISNUMBER($AR68),SUMIF(AG$7:AG$503,$AR68,M$7:M$503),"")</f>
        <v>0</v>
      </c>
      <c r="AY68" s="2" t="str">
        <f aca="false">IF($AT68&gt;0,VLOOKUP($AR68,'O_MN, PE_UTA_UGM 2024'!E64:O480,2),"")</f>
        <v/>
      </c>
      <c r="AZ68" s="1424"/>
      <c r="BA68" s="1424"/>
      <c r="BB68" s="1424" t="str">
        <f aca="false">IF($AT68&gt;0,VLOOKUP($AR68,'O_MN, PE_UTA_UGM 2024'!$E$3:$O$419,BB$6),"")</f>
        <v/>
      </c>
      <c r="BC68" s="1424" t="str">
        <f aca="false">IF($AT68&gt;0,VLOOKUP($AR68,'O_MN, PE_UTA_UGM 2024'!$E$3:$O$419,BC$6),"")</f>
        <v/>
      </c>
      <c r="BD68" s="1424" t="str">
        <f aca="false">IF($AT68&gt;0,VLOOKUP($AR68,'O_MN, PE_UTA_UGM 2024'!$E$3:$O$419,BD$6),"")</f>
        <v/>
      </c>
      <c r="BE68" s="1424" t="str">
        <f aca="false">IF($AT68&gt;0,VLOOKUP($AR68,'O_MN, PE_UTA_UGM 2024'!$E$3:$O$419,BE$6),"")</f>
        <v/>
      </c>
      <c r="BF68" s="1424" t="str">
        <f aca="false">IF($AT68&gt;0,VLOOKUP($AR68,'O_MN, PE_UTA_UGM 2024'!$E$3:$O$419,BF$6),"")</f>
        <v/>
      </c>
      <c r="BG68" s="1424" t="str">
        <f aca="false">IF($AT68&gt;0,VLOOKUP($AR68,'O_MN, PE_UTA_UGM 2024'!$E$3:$O$419,BG$6),"")</f>
        <v/>
      </c>
      <c r="BH68" s="872"/>
      <c r="BI68" s="872"/>
      <c r="BJ68" s="872"/>
      <c r="BK68" s="872"/>
      <c r="BM68" s="1411"/>
      <c r="BN68" s="1411"/>
      <c r="BO68" s="1425" t="str">
        <f aca="false">IF(ISNUMBER($AU68*BB68*1),$AU68*BB68*1,"")</f>
        <v/>
      </c>
      <c r="BP68" s="1425" t="str">
        <f aca="false">IF(ISNUMBER($AV68*BC68*1),$AV68*BC68*1,"")</f>
        <v/>
      </c>
      <c r="BQ68" s="1425" t="str">
        <f aca="false">IF(ISNUMBER($AU68*BD68*1),$AU68*BD68*1,"")</f>
        <v/>
      </c>
      <c r="BR68" s="1425" t="str">
        <f aca="false">IF(ISNUMBER($AV68*BE68*1),$AV68*BE68*1,"")</f>
        <v/>
      </c>
      <c r="BS68" s="1411" t="str">
        <f aca="false">IF(ISNUMBER($AU68*BF68),$AU68*BF68,"")</f>
        <v/>
      </c>
      <c r="BT68" s="1411" t="str">
        <f aca="false">IF(ISNUMBER($AV68*BG68),$AV68*BG68,"")</f>
        <v/>
      </c>
      <c r="BU68" s="1411"/>
      <c r="BV68" s="1411"/>
      <c r="BW68" s="1411"/>
      <c r="BX68" s="1411"/>
      <c r="BZ68" s="1372"/>
      <c r="CA68" s="1372"/>
      <c r="CB68" s="1426" t="str">
        <f aca="false">IF(ISNUMBER($AW68*BB68),$AW68*BB68,"")</f>
        <v/>
      </c>
      <c r="CC68" s="1426" t="str">
        <f aca="false">IF(ISNUMBER($AX68*BC68),$AX68*BC68,"")</f>
        <v/>
      </c>
      <c r="CD68" s="1426" t="str">
        <f aca="false">IF(ISNUMBER($AW68*BD68),$AW68*BD68,"")</f>
        <v/>
      </c>
      <c r="CE68" s="1426" t="str">
        <f aca="false">IF(ISNUMBER($AX68*BE68),$AX68*BE68,"")</f>
        <v/>
      </c>
      <c r="CF68" s="1372" t="str">
        <f aca="false">IF(ISNUMBER($AW68*BF68),$AW68*BF68,"")</f>
        <v/>
      </c>
      <c r="CG68" s="1372" t="str">
        <f aca="false">IF(ISNUMBER($AX68*BG68),$AX68*BG68,"")</f>
        <v/>
      </c>
      <c r="CH68" s="1438"/>
      <c r="CI68" s="1438"/>
      <c r="CJ68" s="1438"/>
      <c r="CK68" s="1438"/>
      <c r="CU68" s="1411"/>
      <c r="CV68" s="1411"/>
      <c r="CW68" s="1425"/>
      <c r="CX68" s="1425"/>
      <c r="CY68" s="1425"/>
      <c r="CZ68" s="1425"/>
      <c r="DA68" s="1411"/>
      <c r="DB68" s="1411"/>
      <c r="DC68" s="1411"/>
      <c r="DD68" s="1411"/>
      <c r="DE68" s="1411"/>
      <c r="DF68" s="1411"/>
      <c r="DH68" s="1432"/>
      <c r="DI68" s="1432"/>
      <c r="DJ68" s="1437"/>
      <c r="DK68" s="1437"/>
      <c r="DL68" s="1437"/>
      <c r="DM68" s="1437"/>
      <c r="DN68" s="1432"/>
      <c r="DO68" s="1432"/>
      <c r="DP68" s="1432"/>
      <c r="DQ68" s="1432"/>
      <c r="DR68" s="1432"/>
      <c r="DS68" s="1432"/>
      <c r="DT68" s="1316"/>
      <c r="DU68" s="1433"/>
      <c r="DV68" s="1433"/>
      <c r="DW68" s="1433"/>
      <c r="DX68" s="1433"/>
      <c r="DY68" s="1433"/>
      <c r="DZ68" s="1433"/>
      <c r="EA68" s="1433"/>
      <c r="EB68" s="1433"/>
    </row>
    <row r="69" customFormat="false" ht="14.25" hidden="false" customHeight="false" outlineLevel="0" collapsed="false">
      <c r="A69" s="2" t="n">
        <f aca="false">'V_DATOS PAC_SGA'!R64</f>
        <v>0</v>
      </c>
      <c r="B69" s="2" t="n">
        <f aca="false">IF(I69="IV",CONCATENATE('V_DATOS PAC_SGA'!R64,"4")+0,CONCATENATE('V_DATOS PAC_SGA'!R64,"0")+0)</f>
        <v>0</v>
      </c>
      <c r="C69" s="2" t="n">
        <f aca="false">'V_DATOS PAC_SGA'!S64</f>
        <v>0</v>
      </c>
      <c r="D69" s="1409" t="n">
        <f aca="false">'V_DATOS PAC_SGA'!Y64</f>
        <v>0</v>
      </c>
      <c r="E69" s="1410" t="str">
        <f aca="false">IF('V_DATOS PAC_SGA'!AV64="","Regadio",'V_DATOS PAC_SGA'!AV64)</f>
        <v>Regadio</v>
      </c>
      <c r="F69" s="1411" t="n">
        <f aca="false">'V_DATOS PAC_SGA'!BK64</f>
        <v>0</v>
      </c>
      <c r="G69" s="1412" t="n">
        <f aca="false">'V_DATOS PAC_SGA'!AN64</f>
        <v>0</v>
      </c>
      <c r="H69" s="1413" t="str">
        <f aca="false">IF(B69&gt;0,VLOOKUP(B69,'O_MN, PE_UTA_UGM 2024'!E$3:O$419,10),"")</f>
        <v/>
      </c>
      <c r="I69" s="1359" t="n">
        <f aca="false">'V_DATOS PAC_SGA'!BV64</f>
        <v>0</v>
      </c>
      <c r="J69" s="2" t="str">
        <f aca="false">IF(AND(J$4=$G69,J$6=$F69),$D69*J$5,"")</f>
        <v/>
      </c>
      <c r="K69" s="2" t="str">
        <f aca="false">IF(AND(K$4=$G69,K$6=$F69),$D69*K$5,"")</f>
        <v/>
      </c>
      <c r="L69" s="2" t="str">
        <f aca="false">IF(AND(L$4=$G69,L$6=$F69),$D69*L$5,"")</f>
        <v/>
      </c>
      <c r="M69" s="2" t="str">
        <f aca="false">IF(AND(M$4=$G69,M$6=$F69),$D69*M$5,"")</f>
        <v/>
      </c>
      <c r="N69" s="1414" t="n">
        <f aca="false">VLOOKUP(B69,'O_MN, PE_UTA_UGM 2024'!$E$2:$K$419,IF(G69&gt;1,6,7))</f>
        <v>0</v>
      </c>
      <c r="O69" s="1434" t="str">
        <f aca="false">IF($H69=O$4,$D69*$N69,"")</f>
        <v/>
      </c>
      <c r="P69" s="1435" t="str">
        <f aca="false">IF($H69=P$4,$D69*$N69,"")</f>
        <v/>
      </c>
      <c r="Q69" s="1435" t="str">
        <f aca="false">IF($H69=Q$4,$D69*$N69,"")</f>
        <v/>
      </c>
      <c r="R69" s="1435" t="str">
        <f aca="false">IF($H69=R$4,$D69*$N69,"")</f>
        <v/>
      </c>
      <c r="S69" s="1435" t="str">
        <f aca="false">IF($H69=S$4,$D69*$N69,"")</f>
        <v/>
      </c>
      <c r="T69" s="1435" t="str">
        <f aca="false">IF($H69=T$4,$D69*$N69,"")</f>
        <v/>
      </c>
      <c r="U69" s="1436" t="str">
        <f aca="false">IF($H69=U$4,$D69*$N69,"")</f>
        <v/>
      </c>
      <c r="V69" s="1418"/>
      <c r="W69" s="1419"/>
      <c r="X69" s="1419"/>
      <c r="Y69" s="1419"/>
      <c r="Z69" s="1419"/>
      <c r="AA69" s="1419"/>
      <c r="AB69" s="1420"/>
      <c r="AC69" s="1319"/>
      <c r="AD69" s="2" t="str">
        <f aca="false">IF(AND(AD$4=$G69,AD$6=$F69),$B69,"")</f>
        <v/>
      </c>
      <c r="AE69" s="2" t="str">
        <f aca="false">IF(AND(AE$4=$G69,AE$6=$F69),$B69,"")</f>
        <v/>
      </c>
      <c r="AF69" s="2" t="str">
        <f aca="false">IF(AND(AF$4=$G69,AF$6=$F69),$B69,"")</f>
        <v/>
      </c>
      <c r="AG69" s="2" t="str">
        <f aca="false">IF(AND(AG$4=$G69,AG$6=$F69),$B69,"")</f>
        <v/>
      </c>
      <c r="AI69" s="366"/>
      <c r="AL69" s="367"/>
      <c r="AO69" s="367"/>
      <c r="AP69" s="2" t="str">
        <f aca="false">IF(AT69&gt;0,RANK(AT69,AT$7:AT$423),"")</f>
        <v/>
      </c>
      <c r="AQ69" s="2" t="n">
        <f aca="false">'O_MN, PE_UTA_UGM 2024'!C65</f>
        <v>111</v>
      </c>
      <c r="AR69" s="1421" t="n">
        <v>1070</v>
      </c>
      <c r="AS69" s="2" t="str">
        <f aca="false">IF(AY69&lt;&gt;"",AY69,"")</f>
        <v/>
      </c>
      <c r="AT69" s="1422" t="n">
        <f aca="false">IF(ISNUMBER($AR69),SUMIF(B$7:B$505,AR69,D$7:D$505),"")</f>
        <v>0</v>
      </c>
      <c r="AU69" s="1411" t="n">
        <f aca="false">IF(ISNUMBER($AR69),SUMIF(AD$7:AD$503,$AR69,J$7:J$503),"")</f>
        <v>0</v>
      </c>
      <c r="AV69" s="1411" t="n">
        <f aca="false">IF(ISNUMBER($AR69),SUMIF(AF$7:AF$503,$AR69,L$7:L$503),"")</f>
        <v>0</v>
      </c>
      <c r="AW69" s="1423" t="n">
        <f aca="false">IF(ISNUMBER($AR69),SUMIF(AE$7:AE$503,$AR69,K$7:K$503),"")</f>
        <v>0</v>
      </c>
      <c r="AX69" s="1423" t="n">
        <f aca="false">IF(ISNUMBER($AR69),SUMIF(AG$7:AG$503,$AR69,M$7:M$503),"")</f>
        <v>0</v>
      </c>
      <c r="AY69" s="2" t="str">
        <f aca="false">IF($AT69&gt;0,VLOOKUP($AR69,'O_MN, PE_UTA_UGM 2024'!E65:O481,2),"")</f>
        <v/>
      </c>
      <c r="AZ69" s="1424"/>
      <c r="BA69" s="1424"/>
      <c r="BB69" s="1424" t="str">
        <f aca="false">IF($AT69&gt;0,VLOOKUP($AR69,'O_MN, PE_UTA_UGM 2024'!$E$3:$O$419,BB$6),"")</f>
        <v/>
      </c>
      <c r="BC69" s="1424" t="str">
        <f aca="false">IF($AT69&gt;0,VLOOKUP($AR69,'O_MN, PE_UTA_UGM 2024'!$E$3:$O$419,BC$6),"")</f>
        <v/>
      </c>
      <c r="BD69" s="1424" t="str">
        <f aca="false">IF($AT69&gt;0,VLOOKUP($AR69,'O_MN, PE_UTA_UGM 2024'!$E$3:$O$419,BD$6),"")</f>
        <v/>
      </c>
      <c r="BE69" s="1424" t="str">
        <f aca="false">IF($AT69&gt;0,VLOOKUP($AR69,'O_MN, PE_UTA_UGM 2024'!$E$3:$O$419,BE$6),"")</f>
        <v/>
      </c>
      <c r="BF69" s="1424" t="str">
        <f aca="false">IF($AT69&gt;0,VLOOKUP($AR69,'O_MN, PE_UTA_UGM 2024'!$E$3:$O$419,BF$6),"")</f>
        <v/>
      </c>
      <c r="BG69" s="1424" t="str">
        <f aca="false">IF($AT69&gt;0,VLOOKUP($AR69,'O_MN, PE_UTA_UGM 2024'!$E$3:$O$419,BG$6),"")</f>
        <v/>
      </c>
      <c r="BH69" s="872"/>
      <c r="BI69" s="872"/>
      <c r="BJ69" s="872"/>
      <c r="BK69" s="872"/>
      <c r="BM69" s="1411"/>
      <c r="BN69" s="1411"/>
      <c r="BO69" s="1425" t="str">
        <f aca="false">IF(ISNUMBER($AU69*BB69*1),$AU69*BB69*1,"")</f>
        <v/>
      </c>
      <c r="BP69" s="1425" t="str">
        <f aca="false">IF(ISNUMBER($AV69*BC69*1),$AV69*BC69*1,"")</f>
        <v/>
      </c>
      <c r="BQ69" s="1425" t="str">
        <f aca="false">IF(ISNUMBER($AU69*BD69*1),$AU69*BD69*1,"")</f>
        <v/>
      </c>
      <c r="BR69" s="1425" t="str">
        <f aca="false">IF(ISNUMBER($AV69*BE69*1),$AV69*BE69*1,"")</f>
        <v/>
      </c>
      <c r="BS69" s="1411" t="str">
        <f aca="false">IF(ISNUMBER($AU69*BF69),$AU69*BF69,"")</f>
        <v/>
      </c>
      <c r="BT69" s="1411" t="str">
        <f aca="false">IF(ISNUMBER($AV69*BG69),$AV69*BG69,"")</f>
        <v/>
      </c>
      <c r="BU69" s="1411"/>
      <c r="BV69" s="1411"/>
      <c r="BW69" s="1411"/>
      <c r="BX69" s="1411"/>
      <c r="BZ69" s="1372"/>
      <c r="CA69" s="1372"/>
      <c r="CB69" s="1426" t="str">
        <f aca="false">IF(ISNUMBER($AW69*BB69),$AW69*BB69,"")</f>
        <v/>
      </c>
      <c r="CC69" s="1426" t="str">
        <f aca="false">IF(ISNUMBER($AX69*BC69),$AX69*BC69,"")</f>
        <v/>
      </c>
      <c r="CD69" s="1426" t="str">
        <f aca="false">IF(ISNUMBER($AW69*BD69),$AW69*BD69,"")</f>
        <v/>
      </c>
      <c r="CE69" s="1426" t="str">
        <f aca="false">IF(ISNUMBER($AX69*BE69),$AX69*BE69,"")</f>
        <v/>
      </c>
      <c r="CF69" s="1372" t="str">
        <f aca="false">IF(ISNUMBER($AW69*BF69),$AW69*BF69,"")</f>
        <v/>
      </c>
      <c r="CG69" s="1372" t="str">
        <f aca="false">IF(ISNUMBER($AX69*BG69),$AX69*BG69,"")</f>
        <v/>
      </c>
      <c r="CH69" s="1438"/>
      <c r="CI69" s="1438"/>
      <c r="CJ69" s="1438"/>
      <c r="CK69" s="1438"/>
      <c r="CU69" s="1411"/>
      <c r="CV69" s="1411"/>
      <c r="CW69" s="1425"/>
      <c r="CX69" s="1425"/>
      <c r="CY69" s="1425"/>
      <c r="CZ69" s="1425"/>
      <c r="DA69" s="1411"/>
      <c r="DB69" s="1411"/>
      <c r="DC69" s="1411"/>
      <c r="DD69" s="1411"/>
      <c r="DE69" s="1411"/>
      <c r="DF69" s="1411"/>
      <c r="DH69" s="1432"/>
      <c r="DI69" s="1432"/>
      <c r="DJ69" s="1437"/>
      <c r="DK69" s="1437"/>
      <c r="DL69" s="1437"/>
      <c r="DM69" s="1437"/>
      <c r="DN69" s="1432"/>
      <c r="DO69" s="1432"/>
      <c r="DP69" s="1432"/>
      <c r="DQ69" s="1432"/>
      <c r="DR69" s="1432"/>
      <c r="DS69" s="1432"/>
      <c r="DT69" s="1316"/>
      <c r="DU69" s="1433"/>
      <c r="DV69" s="1433"/>
      <c r="DW69" s="1433"/>
      <c r="DX69" s="1433"/>
      <c r="DY69" s="1433"/>
      <c r="DZ69" s="1433"/>
      <c r="EA69" s="1433"/>
      <c r="EB69" s="1433"/>
    </row>
    <row r="70" customFormat="false" ht="14.25" hidden="false" customHeight="false" outlineLevel="0" collapsed="false">
      <c r="A70" s="2" t="n">
        <f aca="false">'V_DATOS PAC_SGA'!R65</f>
        <v>0</v>
      </c>
      <c r="B70" s="2" t="n">
        <f aca="false">IF(I70="IV",CONCATENATE('V_DATOS PAC_SGA'!R65,"4")+0,CONCATENATE('V_DATOS PAC_SGA'!R65,"0")+0)</f>
        <v>0</v>
      </c>
      <c r="C70" s="2" t="n">
        <f aca="false">'V_DATOS PAC_SGA'!S65</f>
        <v>0</v>
      </c>
      <c r="D70" s="1409" t="n">
        <f aca="false">'V_DATOS PAC_SGA'!Y65</f>
        <v>0</v>
      </c>
      <c r="E70" s="1410" t="str">
        <f aca="false">IF('V_DATOS PAC_SGA'!AV65="","Regadio",'V_DATOS PAC_SGA'!AV65)</f>
        <v>Regadio</v>
      </c>
      <c r="F70" s="1411" t="n">
        <f aca="false">'V_DATOS PAC_SGA'!BK65</f>
        <v>0</v>
      </c>
      <c r="G70" s="1412" t="n">
        <f aca="false">'V_DATOS PAC_SGA'!AN65</f>
        <v>0</v>
      </c>
      <c r="H70" s="1413" t="str">
        <f aca="false">IF(B70&gt;0,VLOOKUP(B70,'O_MN, PE_UTA_UGM 2024'!E$3:O$419,10),"")</f>
        <v/>
      </c>
      <c r="I70" s="1359" t="n">
        <f aca="false">'V_DATOS PAC_SGA'!BV65</f>
        <v>0</v>
      </c>
      <c r="J70" s="2" t="str">
        <f aca="false">IF(AND(J$4=$G70,J$6=$F70),$D70*J$5,"")</f>
        <v/>
      </c>
      <c r="K70" s="2" t="str">
        <f aca="false">IF(AND(K$4=$G70,K$6=$F70),$D70*K$5,"")</f>
        <v/>
      </c>
      <c r="L70" s="2" t="str">
        <f aca="false">IF(AND(L$4=$G70,L$6=$F70),$D70*L$5,"")</f>
        <v/>
      </c>
      <c r="M70" s="2" t="str">
        <f aca="false">IF(AND(M$4=$G70,M$6=$F70),$D70*M$5,"")</f>
        <v/>
      </c>
      <c r="N70" s="1414" t="n">
        <f aca="false">VLOOKUP(B70,'O_MN, PE_UTA_UGM 2024'!$E$2:$K$419,IF(G70&gt;1,6,7))</f>
        <v>0</v>
      </c>
      <c r="O70" s="1434" t="str">
        <f aca="false">IF($H70=O$4,$D70*$N70,"")</f>
        <v/>
      </c>
      <c r="P70" s="1435" t="str">
        <f aca="false">IF($H70=P$4,$D70*$N70,"")</f>
        <v/>
      </c>
      <c r="Q70" s="1435" t="str">
        <f aca="false">IF($H70=Q$4,$D70*$N70,"")</f>
        <v/>
      </c>
      <c r="R70" s="1435" t="str">
        <f aca="false">IF($H70=R$4,$D70*$N70,"")</f>
        <v/>
      </c>
      <c r="S70" s="1435" t="str">
        <f aca="false">IF($H70=S$4,$D70*$N70,"")</f>
        <v/>
      </c>
      <c r="T70" s="1435" t="str">
        <f aca="false">IF($H70=T$4,$D70*$N70,"")</f>
        <v/>
      </c>
      <c r="U70" s="1436" t="str">
        <f aca="false">IF($H70=U$4,$D70*$N70,"")</f>
        <v/>
      </c>
      <c r="V70" s="1418"/>
      <c r="W70" s="1419"/>
      <c r="X70" s="1419"/>
      <c r="Y70" s="1419"/>
      <c r="Z70" s="1419"/>
      <c r="AA70" s="1419"/>
      <c r="AB70" s="1420"/>
      <c r="AC70" s="1319"/>
      <c r="AD70" s="2" t="str">
        <f aca="false">IF(AND(AD$4=$G70,AD$6=$F70),$B70,"")</f>
        <v/>
      </c>
      <c r="AE70" s="2" t="str">
        <f aca="false">IF(AND(AE$4=$G70,AE$6=$F70),$B70,"")</f>
        <v/>
      </c>
      <c r="AF70" s="2" t="str">
        <f aca="false">IF(AND(AF$4=$G70,AF$6=$F70),$B70,"")</f>
        <v/>
      </c>
      <c r="AG70" s="2" t="str">
        <f aca="false">IF(AND(AG$4=$G70,AG$6=$F70),$B70,"")</f>
        <v/>
      </c>
      <c r="AI70" s="366"/>
      <c r="AL70" s="367"/>
      <c r="AO70" s="367"/>
      <c r="AP70" s="2" t="str">
        <f aca="false">IF(AT70&gt;0,RANK(AT70,AT$7:AT$423),"")</f>
        <v/>
      </c>
      <c r="AQ70" s="2" t="n">
        <f aca="false">'O_MN, PE_UTA_UGM 2024'!C66</f>
        <v>112</v>
      </c>
      <c r="AR70" s="1421" t="n">
        <v>1080</v>
      </c>
      <c r="AS70" s="2" t="str">
        <f aca="false">IF(AY70&lt;&gt;"",AY70,"")</f>
        <v/>
      </c>
      <c r="AT70" s="1422" t="n">
        <f aca="false">IF(ISNUMBER($AR70),SUMIF(B$7:B$505,AR70,D$7:D$505),"")</f>
        <v>0</v>
      </c>
      <c r="AU70" s="1411" t="n">
        <f aca="false">IF(ISNUMBER($AR70),SUMIF(AD$7:AD$503,$AR70,J$7:J$503),"")</f>
        <v>0</v>
      </c>
      <c r="AV70" s="1411" t="n">
        <f aca="false">IF(ISNUMBER($AR70),SUMIF(AF$7:AF$503,$AR70,L$7:L$503),"")</f>
        <v>0</v>
      </c>
      <c r="AW70" s="1423" t="n">
        <f aca="false">IF(ISNUMBER($AR70),SUMIF(AE$7:AE$503,$AR70,K$7:K$503),"")</f>
        <v>0</v>
      </c>
      <c r="AX70" s="1423" t="n">
        <f aca="false">IF(ISNUMBER($AR70),SUMIF(AG$7:AG$503,$AR70,M$7:M$503),"")</f>
        <v>0</v>
      </c>
      <c r="AY70" s="2" t="str">
        <f aca="false">IF($AT70&gt;0,VLOOKUP($AR70,'O_MN, PE_UTA_UGM 2024'!E66:O482,2),"")</f>
        <v/>
      </c>
      <c r="AZ70" s="1424"/>
      <c r="BA70" s="1424"/>
      <c r="BB70" s="1424" t="str">
        <f aca="false">IF($AT70&gt;0,VLOOKUP($AR70,'O_MN, PE_UTA_UGM 2024'!$E$3:$O$419,BB$6),"")</f>
        <v/>
      </c>
      <c r="BC70" s="1424" t="str">
        <f aca="false">IF($AT70&gt;0,VLOOKUP($AR70,'O_MN, PE_UTA_UGM 2024'!$E$3:$O$419,BC$6),"")</f>
        <v/>
      </c>
      <c r="BD70" s="1424" t="str">
        <f aca="false">IF($AT70&gt;0,VLOOKUP($AR70,'O_MN, PE_UTA_UGM 2024'!$E$3:$O$419,BD$6),"")</f>
        <v/>
      </c>
      <c r="BE70" s="1424" t="str">
        <f aca="false">IF($AT70&gt;0,VLOOKUP($AR70,'O_MN, PE_UTA_UGM 2024'!$E$3:$O$419,BE$6),"")</f>
        <v/>
      </c>
      <c r="BF70" s="1424" t="str">
        <f aca="false">IF($AT70&gt;0,VLOOKUP($AR70,'O_MN, PE_UTA_UGM 2024'!$E$3:$O$419,BF$6),"")</f>
        <v/>
      </c>
      <c r="BG70" s="1424" t="str">
        <f aca="false">IF($AT70&gt;0,VLOOKUP($AR70,'O_MN, PE_UTA_UGM 2024'!$E$3:$O$419,BG$6),"")</f>
        <v/>
      </c>
      <c r="BH70" s="872"/>
      <c r="BI70" s="872"/>
      <c r="BJ70" s="872"/>
      <c r="BK70" s="872"/>
      <c r="BM70" s="1411"/>
      <c r="BN70" s="1411"/>
      <c r="BO70" s="1425" t="str">
        <f aca="false">IF(ISNUMBER($AU70*BB70*1),$AU70*BB70*1,"")</f>
        <v/>
      </c>
      <c r="BP70" s="1425" t="str">
        <f aca="false">IF(ISNUMBER($AV70*BC70*1),$AV70*BC70*1,"")</f>
        <v/>
      </c>
      <c r="BQ70" s="1425" t="str">
        <f aca="false">IF(ISNUMBER($AU70*BD70*1),$AU70*BD70*1,"")</f>
        <v/>
      </c>
      <c r="BR70" s="1425" t="str">
        <f aca="false">IF(ISNUMBER($AV70*BE70*1),$AV70*BE70*1,"")</f>
        <v/>
      </c>
      <c r="BS70" s="1411" t="str">
        <f aca="false">IF(ISNUMBER($AU70*BF70),$AU70*BF70,"")</f>
        <v/>
      </c>
      <c r="BT70" s="1411" t="str">
        <f aca="false">IF(ISNUMBER($AV70*BG70),$AV70*BG70,"")</f>
        <v/>
      </c>
      <c r="BU70" s="1411"/>
      <c r="BV70" s="1411"/>
      <c r="BW70" s="1411"/>
      <c r="BX70" s="1411"/>
      <c r="BZ70" s="1372"/>
      <c r="CA70" s="1372"/>
      <c r="CB70" s="1426" t="str">
        <f aca="false">IF(ISNUMBER($AW70*BB70),$AW70*BB70,"")</f>
        <v/>
      </c>
      <c r="CC70" s="1426" t="str">
        <f aca="false">IF(ISNUMBER($AX70*BC70),$AX70*BC70,"")</f>
        <v/>
      </c>
      <c r="CD70" s="1426" t="str">
        <f aca="false">IF(ISNUMBER($AW70*BD70),$AW70*BD70,"")</f>
        <v/>
      </c>
      <c r="CE70" s="1426" t="str">
        <f aca="false">IF(ISNUMBER($AX70*BE70),$AX70*BE70,"")</f>
        <v/>
      </c>
      <c r="CF70" s="1372" t="str">
        <f aca="false">IF(ISNUMBER($AW70*BF70),$AW70*BF70,"")</f>
        <v/>
      </c>
      <c r="CG70" s="1372" t="str">
        <f aca="false">IF(ISNUMBER($AX70*BG70),$AX70*BG70,"")</f>
        <v/>
      </c>
      <c r="CH70" s="1438"/>
      <c r="CI70" s="1438"/>
      <c r="CJ70" s="1438"/>
      <c r="CK70" s="1438"/>
      <c r="CU70" s="1411"/>
      <c r="CV70" s="1411"/>
      <c r="CW70" s="1425"/>
      <c r="CX70" s="1425"/>
      <c r="CY70" s="1425"/>
      <c r="CZ70" s="1425"/>
      <c r="DA70" s="1411"/>
      <c r="DB70" s="1411"/>
      <c r="DC70" s="1411"/>
      <c r="DD70" s="1411"/>
      <c r="DE70" s="1411"/>
      <c r="DF70" s="1411"/>
      <c r="DH70" s="1432"/>
      <c r="DI70" s="1432"/>
      <c r="DJ70" s="1437"/>
      <c r="DK70" s="1437"/>
      <c r="DL70" s="1437"/>
      <c r="DM70" s="1437"/>
      <c r="DN70" s="1432"/>
      <c r="DO70" s="1432"/>
      <c r="DP70" s="1432"/>
      <c r="DQ70" s="1432"/>
      <c r="DR70" s="1432"/>
      <c r="DS70" s="1432"/>
      <c r="DT70" s="1316"/>
      <c r="DU70" s="1433"/>
      <c r="DV70" s="1433"/>
      <c r="DW70" s="1433"/>
      <c r="DX70" s="1433"/>
      <c r="DY70" s="1433"/>
      <c r="DZ70" s="1433"/>
      <c r="EA70" s="1433"/>
      <c r="EB70" s="1433"/>
    </row>
    <row r="71" customFormat="false" ht="14.25" hidden="false" customHeight="false" outlineLevel="0" collapsed="false">
      <c r="A71" s="2" t="n">
        <f aca="false">'V_DATOS PAC_SGA'!R66</f>
        <v>0</v>
      </c>
      <c r="B71" s="2" t="n">
        <f aca="false">IF(I71="IV",CONCATENATE('V_DATOS PAC_SGA'!R66,"4")+0,CONCATENATE('V_DATOS PAC_SGA'!R66,"0")+0)</f>
        <v>0</v>
      </c>
      <c r="C71" s="2" t="n">
        <f aca="false">'V_DATOS PAC_SGA'!S66</f>
        <v>0</v>
      </c>
      <c r="D71" s="1409" t="n">
        <f aca="false">'V_DATOS PAC_SGA'!Y66</f>
        <v>0</v>
      </c>
      <c r="E71" s="1410" t="str">
        <f aca="false">IF('V_DATOS PAC_SGA'!AV66="","Regadio",'V_DATOS PAC_SGA'!AV66)</f>
        <v>Regadio</v>
      </c>
      <c r="F71" s="1411" t="n">
        <f aca="false">'V_DATOS PAC_SGA'!BK66</f>
        <v>0</v>
      </c>
      <c r="G71" s="1412" t="n">
        <f aca="false">'V_DATOS PAC_SGA'!AN66</f>
        <v>0</v>
      </c>
      <c r="H71" s="1413" t="str">
        <f aca="false">IF(B71&gt;0,VLOOKUP(B71,'O_MN, PE_UTA_UGM 2024'!E$3:O$419,10),"")</f>
        <v/>
      </c>
      <c r="I71" s="1359" t="n">
        <f aca="false">'V_DATOS PAC_SGA'!BV66</f>
        <v>0</v>
      </c>
      <c r="J71" s="2" t="str">
        <f aca="false">IF(AND(J$4=$G71,J$6=$F71),$D71*J$5,"")</f>
        <v/>
      </c>
      <c r="K71" s="2" t="str">
        <f aca="false">IF(AND(K$4=$G71,K$6=$F71),$D71*K$5,"")</f>
        <v/>
      </c>
      <c r="L71" s="2" t="str">
        <f aca="false">IF(AND(L$4=$G71,L$6=$F71),$D71*L$5,"")</f>
        <v/>
      </c>
      <c r="M71" s="2" t="str">
        <f aca="false">IF(AND(M$4=$G71,M$6=$F71),$D71*M$5,"")</f>
        <v/>
      </c>
      <c r="N71" s="1414" t="n">
        <f aca="false">VLOOKUP(B71,'O_MN, PE_UTA_UGM 2024'!$E$2:$K$419,IF(G71&gt;1,6,7))</f>
        <v>0</v>
      </c>
      <c r="O71" s="1434" t="str">
        <f aca="false">IF($H71=O$4,$D71*$N71,"")</f>
        <v/>
      </c>
      <c r="P71" s="1435" t="str">
        <f aca="false">IF($H71=P$4,$D71*$N71,"")</f>
        <v/>
      </c>
      <c r="Q71" s="1435" t="str">
        <f aca="false">IF($H71=Q$4,$D71*$N71,"")</f>
        <v/>
      </c>
      <c r="R71" s="1435" t="str">
        <f aca="false">IF($H71=R$4,$D71*$N71,"")</f>
        <v/>
      </c>
      <c r="S71" s="1435" t="str">
        <f aca="false">IF($H71=S$4,$D71*$N71,"")</f>
        <v/>
      </c>
      <c r="T71" s="1435" t="str">
        <f aca="false">IF($H71=T$4,$D71*$N71,"")</f>
        <v/>
      </c>
      <c r="U71" s="1436" t="str">
        <f aca="false">IF($H71=U$4,$D71*$N71,"")</f>
        <v/>
      </c>
      <c r="V71" s="1418"/>
      <c r="W71" s="1419"/>
      <c r="X71" s="1419"/>
      <c r="Y71" s="1419"/>
      <c r="Z71" s="1419"/>
      <c r="AA71" s="1419"/>
      <c r="AB71" s="1420"/>
      <c r="AC71" s="1319"/>
      <c r="AD71" s="2" t="str">
        <f aca="false">IF(AND(AD$4=$G71,AD$6=$F71),$B71,"")</f>
        <v/>
      </c>
      <c r="AE71" s="2" t="str">
        <f aca="false">IF(AND(AE$4=$G71,AE$6=$F71),$B71,"")</f>
        <v/>
      </c>
      <c r="AF71" s="2" t="str">
        <f aca="false">IF(AND(AF$4=$G71,AF$6=$F71),$B71,"")</f>
        <v/>
      </c>
      <c r="AG71" s="2" t="str">
        <f aca="false">IF(AND(AG$4=$G71,AG$6=$F71),$B71,"")</f>
        <v/>
      </c>
      <c r="AI71" s="366"/>
      <c r="AL71" s="367"/>
      <c r="AO71" s="367"/>
      <c r="AP71" s="2" t="str">
        <f aca="false">IF(AT71&gt;0,RANK(AT71,AT$7:AT$423),"")</f>
        <v/>
      </c>
      <c r="AQ71" s="2" t="n">
        <f aca="false">'O_MN, PE_UTA_UGM 2024'!C67</f>
        <v>113</v>
      </c>
      <c r="AR71" s="1421" t="n">
        <v>1090</v>
      </c>
      <c r="AS71" s="2" t="str">
        <f aca="false">IF(AY71&lt;&gt;"",AY71,"")</f>
        <v/>
      </c>
      <c r="AT71" s="1422" t="n">
        <f aca="false">IF(ISNUMBER($AR71),SUMIF(B$7:B$505,AR71,D$7:D$505),"")</f>
        <v>0</v>
      </c>
      <c r="AU71" s="1411" t="n">
        <f aca="false">IF(ISNUMBER($AR71),SUMIF(AD$7:AD$503,$AR71,J$7:J$503),"")</f>
        <v>0</v>
      </c>
      <c r="AV71" s="1411" t="n">
        <f aca="false">IF(ISNUMBER($AR71),SUMIF(AF$7:AF$503,$AR71,L$7:L$503),"")</f>
        <v>0</v>
      </c>
      <c r="AW71" s="1423" t="n">
        <f aca="false">IF(ISNUMBER($AR71),SUMIF(AE$7:AE$503,$AR71,K$7:K$503),"")</f>
        <v>0</v>
      </c>
      <c r="AX71" s="1423" t="n">
        <f aca="false">IF(ISNUMBER($AR71),SUMIF(AG$7:AG$503,$AR71,M$7:M$503),"")</f>
        <v>0</v>
      </c>
      <c r="AY71" s="2" t="str">
        <f aca="false">IF($AT71&gt;0,VLOOKUP($AR71,'O_MN, PE_UTA_UGM 2024'!E67:O483,2),"")</f>
        <v/>
      </c>
      <c r="AZ71" s="1424"/>
      <c r="BA71" s="1424"/>
      <c r="BB71" s="1424" t="str">
        <f aca="false">IF($AT71&gt;0,VLOOKUP($AR71,'O_MN, PE_UTA_UGM 2024'!$E$3:$O$419,BB$6),"")</f>
        <v/>
      </c>
      <c r="BC71" s="1424" t="str">
        <f aca="false">IF($AT71&gt;0,VLOOKUP($AR71,'O_MN, PE_UTA_UGM 2024'!$E$3:$O$419,BC$6),"")</f>
        <v/>
      </c>
      <c r="BD71" s="1424" t="str">
        <f aca="false">IF($AT71&gt;0,VLOOKUP($AR71,'O_MN, PE_UTA_UGM 2024'!$E$3:$O$419,BD$6),"")</f>
        <v/>
      </c>
      <c r="BE71" s="1424" t="str">
        <f aca="false">IF($AT71&gt;0,VLOOKUP($AR71,'O_MN, PE_UTA_UGM 2024'!$E$3:$O$419,BE$6),"")</f>
        <v/>
      </c>
      <c r="BF71" s="1424" t="str">
        <f aca="false">IF($AT71&gt;0,VLOOKUP($AR71,'O_MN, PE_UTA_UGM 2024'!$E$3:$O$419,BF$6),"")</f>
        <v/>
      </c>
      <c r="BG71" s="1424" t="str">
        <f aca="false">IF($AT71&gt;0,VLOOKUP($AR71,'O_MN, PE_UTA_UGM 2024'!$E$3:$O$419,BG$6),"")</f>
        <v/>
      </c>
      <c r="BH71" s="872"/>
      <c r="BI71" s="872"/>
      <c r="BJ71" s="872"/>
      <c r="BK71" s="872"/>
      <c r="BM71" s="1411"/>
      <c r="BN71" s="1411"/>
      <c r="BO71" s="1425" t="str">
        <f aca="false">IF(ISNUMBER($AU71*BB71*1),$AU71*BB71*1,"")</f>
        <v/>
      </c>
      <c r="BP71" s="1425" t="str">
        <f aca="false">IF(ISNUMBER($AV71*BC71*1),$AV71*BC71*1,"")</f>
        <v/>
      </c>
      <c r="BQ71" s="1425" t="str">
        <f aca="false">IF(ISNUMBER($AU71*BD71*1),$AU71*BD71*1,"")</f>
        <v/>
      </c>
      <c r="BR71" s="1425" t="str">
        <f aca="false">IF(ISNUMBER($AV71*BE71*1),$AV71*BE71*1,"")</f>
        <v/>
      </c>
      <c r="BS71" s="1411" t="str">
        <f aca="false">IF(ISNUMBER($AU71*BF71),$AU71*BF71,"")</f>
        <v/>
      </c>
      <c r="BT71" s="1411" t="str">
        <f aca="false">IF(ISNUMBER($AV71*BG71),$AV71*BG71,"")</f>
        <v/>
      </c>
      <c r="BU71" s="1411"/>
      <c r="BV71" s="1411"/>
      <c r="BW71" s="1411"/>
      <c r="BX71" s="1411"/>
      <c r="BZ71" s="1372"/>
      <c r="CA71" s="1372"/>
      <c r="CB71" s="1426" t="str">
        <f aca="false">IF(ISNUMBER($AW71*BB71),$AW71*BB71,"")</f>
        <v/>
      </c>
      <c r="CC71" s="1426" t="str">
        <f aca="false">IF(ISNUMBER($AX71*BC71),$AX71*BC71,"")</f>
        <v/>
      </c>
      <c r="CD71" s="1426" t="str">
        <f aca="false">IF(ISNUMBER($AW71*BD71),$AW71*BD71,"")</f>
        <v/>
      </c>
      <c r="CE71" s="1426" t="str">
        <f aca="false">IF(ISNUMBER($AX71*BE71),$AX71*BE71,"")</f>
        <v/>
      </c>
      <c r="CF71" s="1372" t="str">
        <f aca="false">IF(ISNUMBER($AW71*BF71),$AW71*BF71,"")</f>
        <v/>
      </c>
      <c r="CG71" s="1372" t="str">
        <f aca="false">IF(ISNUMBER($AX71*BG71),$AX71*BG71,"")</f>
        <v/>
      </c>
      <c r="CH71" s="1438"/>
      <c r="CI71" s="1438"/>
      <c r="CJ71" s="1438"/>
      <c r="CK71" s="1438"/>
      <c r="CU71" s="1411"/>
      <c r="CV71" s="1411"/>
      <c r="CW71" s="1425"/>
      <c r="CX71" s="1425"/>
      <c r="CY71" s="1425"/>
      <c r="CZ71" s="1425"/>
      <c r="DA71" s="1411"/>
      <c r="DB71" s="1411"/>
      <c r="DC71" s="1411"/>
      <c r="DD71" s="1411"/>
      <c r="DE71" s="1411"/>
      <c r="DF71" s="1411"/>
      <c r="DH71" s="1432"/>
      <c r="DI71" s="1432"/>
      <c r="DJ71" s="1437"/>
      <c r="DK71" s="1437"/>
      <c r="DL71" s="1437"/>
      <c r="DM71" s="1437"/>
      <c r="DN71" s="1432"/>
      <c r="DO71" s="1432"/>
      <c r="DP71" s="1432"/>
      <c r="DQ71" s="1432"/>
      <c r="DR71" s="1432"/>
      <c r="DS71" s="1432"/>
      <c r="DT71" s="1316"/>
      <c r="DU71" s="1433"/>
      <c r="DV71" s="1433"/>
      <c r="DW71" s="1433"/>
      <c r="DX71" s="1433"/>
      <c r="DY71" s="1433"/>
      <c r="DZ71" s="1433"/>
      <c r="EA71" s="1433"/>
      <c r="EB71" s="1433"/>
    </row>
    <row r="72" customFormat="false" ht="14.25" hidden="false" customHeight="false" outlineLevel="0" collapsed="false">
      <c r="A72" s="2" t="n">
        <f aca="false">'V_DATOS PAC_SGA'!R67</f>
        <v>0</v>
      </c>
      <c r="B72" s="2" t="n">
        <f aca="false">IF(I72="IV",CONCATENATE('V_DATOS PAC_SGA'!R67,"4")+0,CONCATENATE('V_DATOS PAC_SGA'!R67,"0")+0)</f>
        <v>0</v>
      </c>
      <c r="C72" s="2" t="n">
        <f aca="false">'V_DATOS PAC_SGA'!S67</f>
        <v>0</v>
      </c>
      <c r="D72" s="1409" t="n">
        <f aca="false">'V_DATOS PAC_SGA'!Y67</f>
        <v>0</v>
      </c>
      <c r="E72" s="1410" t="str">
        <f aca="false">IF('V_DATOS PAC_SGA'!AV67="","Regadio",'V_DATOS PAC_SGA'!AV67)</f>
        <v>Regadio</v>
      </c>
      <c r="F72" s="1411" t="n">
        <f aca="false">'V_DATOS PAC_SGA'!BK67</f>
        <v>0</v>
      </c>
      <c r="G72" s="1412" t="n">
        <f aca="false">'V_DATOS PAC_SGA'!AN67</f>
        <v>0</v>
      </c>
      <c r="H72" s="1413" t="str">
        <f aca="false">IF(B72&gt;0,VLOOKUP(B72,'O_MN, PE_UTA_UGM 2024'!E$3:O$419,10),"")</f>
        <v/>
      </c>
      <c r="I72" s="1359" t="n">
        <f aca="false">'V_DATOS PAC_SGA'!BV67</f>
        <v>0</v>
      </c>
      <c r="J72" s="2" t="str">
        <f aca="false">IF(AND(J$4=$G72,J$6=$F72),$D72*J$5,"")</f>
        <v/>
      </c>
      <c r="K72" s="2" t="str">
        <f aca="false">IF(AND(K$4=$G72,K$6=$F72),$D72*K$5,"")</f>
        <v/>
      </c>
      <c r="L72" s="2" t="str">
        <f aca="false">IF(AND(L$4=$G72,L$6=$F72),$D72*L$5,"")</f>
        <v/>
      </c>
      <c r="M72" s="2" t="str">
        <f aca="false">IF(AND(M$4=$G72,M$6=$F72),$D72*M$5,"")</f>
        <v/>
      </c>
      <c r="N72" s="1414" t="n">
        <f aca="false">VLOOKUP(B72,'O_MN, PE_UTA_UGM 2024'!$E$2:$K$419,IF(G72&gt;1,6,7))</f>
        <v>0</v>
      </c>
      <c r="O72" s="1434" t="str">
        <f aca="false">IF($H72=O$4,$D72*$N72,"")</f>
        <v/>
      </c>
      <c r="P72" s="1435" t="str">
        <f aca="false">IF($H72=P$4,$D72*$N72,"")</f>
        <v/>
      </c>
      <c r="Q72" s="1435" t="str">
        <f aca="false">IF($H72=Q$4,$D72*$N72,"")</f>
        <v/>
      </c>
      <c r="R72" s="1435" t="str">
        <f aca="false">IF($H72=R$4,$D72*$N72,"")</f>
        <v/>
      </c>
      <c r="S72" s="1435" t="str">
        <f aca="false">IF($H72=S$4,$D72*$N72,"")</f>
        <v/>
      </c>
      <c r="T72" s="1435" t="str">
        <f aca="false">IF($H72=T$4,$D72*$N72,"")</f>
        <v/>
      </c>
      <c r="U72" s="1436" t="str">
        <f aca="false">IF($H72=U$4,$D72*$N72,"")</f>
        <v/>
      </c>
      <c r="V72" s="1418"/>
      <c r="W72" s="1419"/>
      <c r="X72" s="1419"/>
      <c r="Y72" s="1419"/>
      <c r="Z72" s="1419"/>
      <c r="AA72" s="1419"/>
      <c r="AB72" s="1420"/>
      <c r="AC72" s="1319"/>
      <c r="AD72" s="2" t="str">
        <f aca="false">IF(AND(AD$4=$G72,AD$6=$F72),$B72,"")</f>
        <v/>
      </c>
      <c r="AE72" s="2" t="str">
        <f aca="false">IF(AND(AE$4=$G72,AE$6=$F72),$B72,"")</f>
        <v/>
      </c>
      <c r="AF72" s="2" t="str">
        <f aca="false">IF(AND(AF$4=$G72,AF$6=$F72),$B72,"")</f>
        <v/>
      </c>
      <c r="AG72" s="2" t="str">
        <f aca="false">IF(AND(AG$4=$G72,AG$6=$F72),$B72,"")</f>
        <v/>
      </c>
      <c r="AI72" s="366"/>
      <c r="AL72" s="367"/>
      <c r="AO72" s="367"/>
      <c r="AP72" s="2" t="str">
        <f aca="false">IF(AT72&gt;0,RANK(AT72,AT$7:AT$423),"")</f>
        <v/>
      </c>
      <c r="AQ72" s="2" t="n">
        <f aca="false">'O_MN, PE_UTA_UGM 2024'!C68</f>
        <v>117</v>
      </c>
      <c r="AR72" s="1421" t="n">
        <v>1100</v>
      </c>
      <c r="AS72" s="2" t="str">
        <f aca="false">IF(AY72&lt;&gt;"",AY72,"")</f>
        <v/>
      </c>
      <c r="AT72" s="1422" t="n">
        <f aca="false">IF(ISNUMBER($AR72),SUMIF(B$7:B$505,AR72,D$7:D$505),"")</f>
        <v>0</v>
      </c>
      <c r="AU72" s="1411" t="n">
        <f aca="false">IF(ISNUMBER($AR72),SUMIF(AD$7:AD$503,$AR72,J$7:J$503),"")</f>
        <v>0</v>
      </c>
      <c r="AV72" s="1411" t="n">
        <f aca="false">IF(ISNUMBER($AR72),SUMIF(AF$7:AF$503,$AR72,L$7:L$503),"")</f>
        <v>0</v>
      </c>
      <c r="AW72" s="1423" t="n">
        <f aca="false">IF(ISNUMBER($AR72),SUMIF(AE$7:AE$503,$AR72,K$7:K$503),"")</f>
        <v>0</v>
      </c>
      <c r="AX72" s="1423" t="n">
        <f aca="false">IF(ISNUMBER($AR72),SUMIF(AG$7:AG$503,$AR72,M$7:M$503),"")</f>
        <v>0</v>
      </c>
      <c r="AY72" s="2" t="str">
        <f aca="false">IF($AT72&gt;0,VLOOKUP($AR72,'O_MN, PE_UTA_UGM 2024'!E68:O484,2),"")</f>
        <v/>
      </c>
      <c r="AZ72" s="1424"/>
      <c r="BA72" s="1424"/>
      <c r="BB72" s="1424" t="str">
        <f aca="false">IF($AT72&gt;0,VLOOKUP($AR72,'O_MN, PE_UTA_UGM 2024'!$E$3:$O$419,BB$6),"")</f>
        <v/>
      </c>
      <c r="BC72" s="1424" t="str">
        <f aca="false">IF($AT72&gt;0,VLOOKUP($AR72,'O_MN, PE_UTA_UGM 2024'!$E$3:$O$419,BC$6),"")</f>
        <v/>
      </c>
      <c r="BD72" s="1424" t="str">
        <f aca="false">IF($AT72&gt;0,VLOOKUP($AR72,'O_MN, PE_UTA_UGM 2024'!$E$3:$O$419,BD$6),"")</f>
        <v/>
      </c>
      <c r="BE72" s="1424" t="str">
        <f aca="false">IF($AT72&gt;0,VLOOKUP($AR72,'O_MN, PE_UTA_UGM 2024'!$E$3:$O$419,BE$6),"")</f>
        <v/>
      </c>
      <c r="BF72" s="1424" t="str">
        <f aca="false">IF($AT72&gt;0,VLOOKUP($AR72,'O_MN, PE_UTA_UGM 2024'!$E$3:$O$419,BF$6),"")</f>
        <v/>
      </c>
      <c r="BG72" s="1424" t="str">
        <f aca="false">IF($AT72&gt;0,VLOOKUP($AR72,'O_MN, PE_UTA_UGM 2024'!$E$3:$O$419,BG$6),"")</f>
        <v/>
      </c>
      <c r="BH72" s="872"/>
      <c r="BI72" s="872"/>
      <c r="BJ72" s="872"/>
      <c r="BK72" s="872"/>
      <c r="BM72" s="1411"/>
      <c r="BN72" s="1411"/>
      <c r="BO72" s="1425" t="str">
        <f aca="false">IF(ISNUMBER($AU72*BB72*1),$AU72*BB72*1,"")</f>
        <v/>
      </c>
      <c r="BP72" s="1425" t="str">
        <f aca="false">IF(ISNUMBER($AV72*BC72*1),$AV72*BC72*1,"")</f>
        <v/>
      </c>
      <c r="BQ72" s="1425" t="str">
        <f aca="false">IF(ISNUMBER($AU72*BD72*1),$AU72*BD72*1,"")</f>
        <v/>
      </c>
      <c r="BR72" s="1425" t="str">
        <f aca="false">IF(ISNUMBER($AV72*BE72*1),$AV72*BE72*1,"")</f>
        <v/>
      </c>
      <c r="BS72" s="1411" t="str">
        <f aca="false">IF(ISNUMBER($AU72*BF72),$AU72*BF72,"")</f>
        <v/>
      </c>
      <c r="BT72" s="1411" t="str">
        <f aca="false">IF(ISNUMBER($AV72*BG72),$AV72*BG72,"")</f>
        <v/>
      </c>
      <c r="BU72" s="1411"/>
      <c r="BV72" s="1411"/>
      <c r="BW72" s="1411"/>
      <c r="BX72" s="1411"/>
      <c r="BZ72" s="1372"/>
      <c r="CA72" s="1372"/>
      <c r="CB72" s="1426" t="str">
        <f aca="false">IF(ISNUMBER($AW72*BB72),$AW72*BB72,"")</f>
        <v/>
      </c>
      <c r="CC72" s="1426" t="str">
        <f aca="false">IF(ISNUMBER($AX72*BC72),$AX72*BC72,"")</f>
        <v/>
      </c>
      <c r="CD72" s="1426" t="str">
        <f aca="false">IF(ISNUMBER($AW72*BD72),$AW72*BD72,"")</f>
        <v/>
      </c>
      <c r="CE72" s="1426" t="str">
        <f aca="false">IF(ISNUMBER($AX72*BE72),$AX72*BE72,"")</f>
        <v/>
      </c>
      <c r="CF72" s="1372" t="str">
        <f aca="false">IF(ISNUMBER($AW72*BF72),$AW72*BF72,"")</f>
        <v/>
      </c>
      <c r="CG72" s="1372" t="str">
        <f aca="false">IF(ISNUMBER($AX72*BG72),$AX72*BG72,"")</f>
        <v/>
      </c>
      <c r="CH72" s="1438"/>
      <c r="CI72" s="1438"/>
      <c r="CJ72" s="1438"/>
      <c r="CK72" s="1438"/>
      <c r="CU72" s="1411"/>
      <c r="CV72" s="1411"/>
      <c r="CW72" s="1425"/>
      <c r="CX72" s="1425"/>
      <c r="CY72" s="1425"/>
      <c r="CZ72" s="1425"/>
      <c r="DA72" s="1411"/>
      <c r="DB72" s="1411"/>
      <c r="DC72" s="1411"/>
      <c r="DD72" s="1411"/>
      <c r="DE72" s="1411"/>
      <c r="DF72" s="1411"/>
      <c r="DH72" s="1432"/>
      <c r="DI72" s="1432"/>
      <c r="DJ72" s="1437"/>
      <c r="DK72" s="1437"/>
      <c r="DL72" s="1437"/>
      <c r="DM72" s="1437"/>
      <c r="DN72" s="1432"/>
      <c r="DO72" s="1432"/>
      <c r="DP72" s="1432"/>
      <c r="DQ72" s="1432"/>
      <c r="DR72" s="1432"/>
      <c r="DS72" s="1432"/>
      <c r="DT72" s="1316"/>
      <c r="DU72" s="1433"/>
      <c r="DV72" s="1433"/>
      <c r="DW72" s="1433"/>
      <c r="DX72" s="1433"/>
      <c r="DY72" s="1433"/>
      <c r="DZ72" s="1433"/>
      <c r="EA72" s="1433"/>
      <c r="EB72" s="1433"/>
    </row>
    <row r="73" customFormat="false" ht="14.25" hidden="false" customHeight="false" outlineLevel="0" collapsed="false">
      <c r="A73" s="2" t="n">
        <f aca="false">'V_DATOS PAC_SGA'!R68</f>
        <v>0</v>
      </c>
      <c r="B73" s="2" t="n">
        <f aca="false">IF(I73="IV",CONCATENATE('V_DATOS PAC_SGA'!R68,"4")+0,CONCATENATE('V_DATOS PAC_SGA'!R68,"0")+0)</f>
        <v>0</v>
      </c>
      <c r="C73" s="2" t="n">
        <f aca="false">'V_DATOS PAC_SGA'!S68</f>
        <v>0</v>
      </c>
      <c r="D73" s="1409" t="n">
        <f aca="false">'V_DATOS PAC_SGA'!Y68</f>
        <v>0</v>
      </c>
      <c r="E73" s="1410" t="str">
        <f aca="false">IF('V_DATOS PAC_SGA'!AV68="","Regadio",'V_DATOS PAC_SGA'!AV68)</f>
        <v>Regadio</v>
      </c>
      <c r="F73" s="1411" t="n">
        <f aca="false">'V_DATOS PAC_SGA'!BK68</f>
        <v>0</v>
      </c>
      <c r="G73" s="1412" t="n">
        <f aca="false">'V_DATOS PAC_SGA'!AN68</f>
        <v>0</v>
      </c>
      <c r="H73" s="1413" t="str">
        <f aca="false">IF(B73&gt;0,VLOOKUP(B73,'O_MN, PE_UTA_UGM 2024'!E$3:O$419,10),"")</f>
        <v/>
      </c>
      <c r="I73" s="1359" t="n">
        <f aca="false">'V_DATOS PAC_SGA'!BV68</f>
        <v>0</v>
      </c>
      <c r="J73" s="2" t="str">
        <f aca="false">IF(AND(J$4=$G73,J$6=$F73),$D73*J$5,"")</f>
        <v/>
      </c>
      <c r="K73" s="2" t="str">
        <f aca="false">IF(AND(K$4=$G73,K$6=$F73),$D73*K$5,"")</f>
        <v/>
      </c>
      <c r="L73" s="2" t="str">
        <f aca="false">IF(AND(L$4=$G73,L$6=$F73),$D73*L$5,"")</f>
        <v/>
      </c>
      <c r="M73" s="2" t="str">
        <f aca="false">IF(AND(M$4=$G73,M$6=$F73),$D73*M$5,"")</f>
        <v/>
      </c>
      <c r="N73" s="1414" t="n">
        <f aca="false">VLOOKUP(B73,'O_MN, PE_UTA_UGM 2024'!$E$2:$K$419,IF(G73&gt;1,6,7))</f>
        <v>0</v>
      </c>
      <c r="O73" s="1434" t="str">
        <f aca="false">IF($H73=O$4,$D73*$N73,"")</f>
        <v/>
      </c>
      <c r="P73" s="1435" t="str">
        <f aca="false">IF($H73=P$4,$D73*$N73,"")</f>
        <v/>
      </c>
      <c r="Q73" s="1435" t="str">
        <f aca="false">IF($H73=Q$4,$D73*$N73,"")</f>
        <v/>
      </c>
      <c r="R73" s="1435" t="str">
        <f aca="false">IF($H73=R$4,$D73*$N73,"")</f>
        <v/>
      </c>
      <c r="S73" s="1435" t="str">
        <f aca="false">IF($H73=S$4,$D73*$N73,"")</f>
        <v/>
      </c>
      <c r="T73" s="1435" t="str">
        <f aca="false">IF($H73=T$4,$D73*$N73,"")</f>
        <v/>
      </c>
      <c r="U73" s="1436" t="str">
        <f aca="false">IF($H73=U$4,$D73*$N73,"")</f>
        <v/>
      </c>
      <c r="V73" s="1418"/>
      <c r="W73" s="1419"/>
      <c r="X73" s="1419"/>
      <c r="Y73" s="1419"/>
      <c r="Z73" s="1419"/>
      <c r="AA73" s="1419"/>
      <c r="AB73" s="1420"/>
      <c r="AC73" s="1319"/>
      <c r="AD73" s="2" t="str">
        <f aca="false">IF(AND(AD$4=$G73,AD$6=$F73),$B73,"")</f>
        <v/>
      </c>
      <c r="AE73" s="2" t="str">
        <f aca="false">IF(AND(AE$4=$G73,AE$6=$F73),$B73,"")</f>
        <v/>
      </c>
      <c r="AF73" s="2" t="str">
        <f aca="false">IF(AND(AF$4=$G73,AF$6=$F73),$B73,"")</f>
        <v/>
      </c>
      <c r="AG73" s="2" t="str">
        <f aca="false">IF(AND(AG$4=$G73,AG$6=$F73),$B73,"")</f>
        <v/>
      </c>
      <c r="AI73" s="366"/>
      <c r="AL73" s="367"/>
      <c r="AO73" s="367"/>
      <c r="AP73" s="2" t="str">
        <f aca="false">IF(AT73&gt;0,RANK(AT73,AT$7:AT$423),"")</f>
        <v/>
      </c>
      <c r="AQ73" s="2" t="n">
        <f aca="false">'O_MN, PE_UTA_UGM 2024'!C69</f>
        <v>118</v>
      </c>
      <c r="AR73" s="1421" t="n">
        <v>1110</v>
      </c>
      <c r="AS73" s="2" t="str">
        <f aca="false">IF(AY73&lt;&gt;"",AY73,"")</f>
        <v/>
      </c>
      <c r="AT73" s="1422" t="n">
        <f aca="false">IF(ISNUMBER($AR73),SUMIF(B$7:B$505,AR73,D$7:D$505),"")</f>
        <v>0</v>
      </c>
      <c r="AU73" s="1411" t="n">
        <f aca="false">IF(ISNUMBER($AR73),SUMIF(AD$7:AD$503,$AR73,J$7:J$503),"")</f>
        <v>0</v>
      </c>
      <c r="AV73" s="1411" t="n">
        <f aca="false">IF(ISNUMBER($AR73),SUMIF(AF$7:AF$503,$AR73,L$7:L$503),"")</f>
        <v>0</v>
      </c>
      <c r="AW73" s="1423" t="n">
        <f aca="false">IF(ISNUMBER($AR73),SUMIF(AE$7:AE$503,$AR73,K$7:K$503),"")</f>
        <v>0</v>
      </c>
      <c r="AX73" s="1423" t="n">
        <f aca="false">IF(ISNUMBER($AR73),SUMIF(AG$7:AG$503,$AR73,M$7:M$503),"")</f>
        <v>0</v>
      </c>
      <c r="AY73" s="2" t="str">
        <f aca="false">IF($AT73&gt;0,VLOOKUP($AR73,'O_MN, PE_UTA_UGM 2024'!E69:O485,2),"")</f>
        <v/>
      </c>
      <c r="AZ73" s="1424"/>
      <c r="BA73" s="1424"/>
      <c r="BB73" s="1424" t="str">
        <f aca="false">IF($AT73&gt;0,VLOOKUP($AR73,'O_MN, PE_UTA_UGM 2024'!$E$3:$O$419,BB$6),"")</f>
        <v/>
      </c>
      <c r="BC73" s="1424" t="str">
        <f aca="false">IF($AT73&gt;0,VLOOKUP($AR73,'O_MN, PE_UTA_UGM 2024'!$E$3:$O$419,BC$6),"")</f>
        <v/>
      </c>
      <c r="BD73" s="1424" t="str">
        <f aca="false">IF($AT73&gt;0,VLOOKUP($AR73,'O_MN, PE_UTA_UGM 2024'!$E$3:$O$419,BD$6),"")</f>
        <v/>
      </c>
      <c r="BE73" s="1424" t="str">
        <f aca="false">IF($AT73&gt;0,VLOOKUP($AR73,'O_MN, PE_UTA_UGM 2024'!$E$3:$O$419,BE$6),"")</f>
        <v/>
      </c>
      <c r="BF73" s="1424" t="str">
        <f aca="false">IF($AT73&gt;0,VLOOKUP($AR73,'O_MN, PE_UTA_UGM 2024'!$E$3:$O$419,BF$6),"")</f>
        <v/>
      </c>
      <c r="BG73" s="1424" t="str">
        <f aca="false">IF($AT73&gt;0,VLOOKUP($AR73,'O_MN, PE_UTA_UGM 2024'!$E$3:$O$419,BG$6),"")</f>
        <v/>
      </c>
      <c r="BH73" s="872"/>
      <c r="BI73" s="872"/>
      <c r="BJ73" s="872"/>
      <c r="BK73" s="872"/>
      <c r="BM73" s="1411"/>
      <c r="BN73" s="1411"/>
      <c r="BO73" s="1425" t="str">
        <f aca="false">IF(ISNUMBER($AU73*BB73*1),$AU73*BB73*1,"")</f>
        <v/>
      </c>
      <c r="BP73" s="1425" t="str">
        <f aca="false">IF(ISNUMBER($AV73*BC73*1),$AV73*BC73*1,"")</f>
        <v/>
      </c>
      <c r="BQ73" s="1425" t="str">
        <f aca="false">IF(ISNUMBER($AU73*BD73*1),$AU73*BD73*1,"")</f>
        <v/>
      </c>
      <c r="BR73" s="1425" t="str">
        <f aca="false">IF(ISNUMBER($AV73*BE73*1),$AV73*BE73*1,"")</f>
        <v/>
      </c>
      <c r="BS73" s="1411" t="str">
        <f aca="false">IF(ISNUMBER($AU73*BF73),$AU73*BF73,"")</f>
        <v/>
      </c>
      <c r="BT73" s="1411" t="str">
        <f aca="false">IF(ISNUMBER($AV73*BG73),$AV73*BG73,"")</f>
        <v/>
      </c>
      <c r="BU73" s="1411"/>
      <c r="BV73" s="1411"/>
      <c r="BW73" s="1411"/>
      <c r="BX73" s="1411"/>
      <c r="BZ73" s="1372"/>
      <c r="CA73" s="1372"/>
      <c r="CB73" s="1426" t="str">
        <f aca="false">IF(ISNUMBER($AW73*BB73),$AW73*BB73,"")</f>
        <v/>
      </c>
      <c r="CC73" s="1426" t="str">
        <f aca="false">IF(ISNUMBER($AX73*BC73),$AX73*BC73,"")</f>
        <v/>
      </c>
      <c r="CD73" s="1426" t="str">
        <f aca="false">IF(ISNUMBER($AW73*BD73),$AW73*BD73,"")</f>
        <v/>
      </c>
      <c r="CE73" s="1426" t="str">
        <f aca="false">IF(ISNUMBER($AX73*BE73),$AX73*BE73,"")</f>
        <v/>
      </c>
      <c r="CF73" s="1372" t="str">
        <f aca="false">IF(ISNUMBER($AW73*BF73),$AW73*BF73,"")</f>
        <v/>
      </c>
      <c r="CG73" s="1372" t="str">
        <f aca="false">IF(ISNUMBER($AX73*BG73),$AX73*BG73,"")</f>
        <v/>
      </c>
      <c r="CH73" s="1438"/>
      <c r="CI73" s="1438"/>
      <c r="CJ73" s="1438"/>
      <c r="CK73" s="1438"/>
      <c r="CU73" s="1411"/>
      <c r="CV73" s="1411"/>
      <c r="CW73" s="1425"/>
      <c r="CX73" s="1425"/>
      <c r="CY73" s="1425"/>
      <c r="CZ73" s="1425"/>
      <c r="DA73" s="1411"/>
      <c r="DB73" s="1411"/>
      <c r="DC73" s="1411"/>
      <c r="DD73" s="1411"/>
      <c r="DE73" s="1411"/>
      <c r="DF73" s="1411"/>
      <c r="DH73" s="1432"/>
      <c r="DI73" s="1432"/>
      <c r="DJ73" s="1437"/>
      <c r="DK73" s="1437"/>
      <c r="DL73" s="1437"/>
      <c r="DM73" s="1437"/>
      <c r="DN73" s="1432"/>
      <c r="DO73" s="1432"/>
      <c r="DP73" s="1432"/>
      <c r="DQ73" s="1432"/>
      <c r="DR73" s="1432"/>
      <c r="DS73" s="1432"/>
      <c r="DT73" s="1316"/>
      <c r="DU73" s="1433"/>
      <c r="DV73" s="1433"/>
      <c r="DW73" s="1433"/>
      <c r="DX73" s="1433"/>
      <c r="DY73" s="1433"/>
      <c r="DZ73" s="1433"/>
      <c r="EA73" s="1433"/>
      <c r="EB73" s="1433"/>
    </row>
    <row r="74" customFormat="false" ht="14.25" hidden="false" customHeight="false" outlineLevel="0" collapsed="false">
      <c r="A74" s="2" t="n">
        <f aca="false">'V_DATOS PAC_SGA'!R69</f>
        <v>0</v>
      </c>
      <c r="B74" s="2" t="n">
        <f aca="false">IF(I74="IV",CONCATENATE('V_DATOS PAC_SGA'!R69,"4")+0,CONCATENATE('V_DATOS PAC_SGA'!R69,"0")+0)</f>
        <v>0</v>
      </c>
      <c r="C74" s="2" t="n">
        <f aca="false">'V_DATOS PAC_SGA'!S69</f>
        <v>0</v>
      </c>
      <c r="D74" s="1409" t="n">
        <f aca="false">'V_DATOS PAC_SGA'!Y69</f>
        <v>0</v>
      </c>
      <c r="E74" s="1410" t="str">
        <f aca="false">IF('V_DATOS PAC_SGA'!AV69="","Regadio",'V_DATOS PAC_SGA'!AV69)</f>
        <v>Regadio</v>
      </c>
      <c r="F74" s="1411" t="n">
        <f aca="false">'V_DATOS PAC_SGA'!BK69</f>
        <v>0</v>
      </c>
      <c r="G74" s="1412" t="n">
        <f aca="false">'V_DATOS PAC_SGA'!AN69</f>
        <v>0</v>
      </c>
      <c r="H74" s="1413" t="str">
        <f aca="false">IF(B74&gt;0,VLOOKUP(B74,'O_MN, PE_UTA_UGM 2024'!E$3:O$419,10),"")</f>
        <v/>
      </c>
      <c r="I74" s="1359" t="n">
        <f aca="false">'V_DATOS PAC_SGA'!BV69</f>
        <v>0</v>
      </c>
      <c r="J74" s="2" t="str">
        <f aca="false">IF(AND(J$4=$G74,J$6=$F74),$D74*J$5,"")</f>
        <v/>
      </c>
      <c r="K74" s="2" t="str">
        <f aca="false">IF(AND(K$4=$G74,K$6=$F74),$D74*K$5,"")</f>
        <v/>
      </c>
      <c r="L74" s="2" t="str">
        <f aca="false">IF(AND(L$4=$G74,L$6=$F74),$D74*L$5,"")</f>
        <v/>
      </c>
      <c r="M74" s="2" t="str">
        <f aca="false">IF(AND(M$4=$G74,M$6=$F74),$D74*M$5,"")</f>
        <v/>
      </c>
      <c r="N74" s="1414" t="n">
        <f aca="false">VLOOKUP(B74,'O_MN, PE_UTA_UGM 2024'!$E$2:$K$419,IF(G74&gt;1,6,7))</f>
        <v>0</v>
      </c>
      <c r="O74" s="1434" t="str">
        <f aca="false">IF($H74=O$4,$D74*$N74,"")</f>
        <v/>
      </c>
      <c r="P74" s="1435" t="str">
        <f aca="false">IF($H74=P$4,$D74*$N74,"")</f>
        <v/>
      </c>
      <c r="Q74" s="1435" t="str">
        <f aca="false">IF($H74=Q$4,$D74*$N74,"")</f>
        <v/>
      </c>
      <c r="R74" s="1435" t="str">
        <f aca="false">IF($H74=R$4,$D74*$N74,"")</f>
        <v/>
      </c>
      <c r="S74" s="1435" t="str">
        <f aca="false">IF($H74=S$4,$D74*$N74,"")</f>
        <v/>
      </c>
      <c r="T74" s="1435" t="str">
        <f aca="false">IF($H74=T$4,$D74*$N74,"")</f>
        <v/>
      </c>
      <c r="U74" s="1436" t="str">
        <f aca="false">IF($H74=U$4,$D74*$N74,"")</f>
        <v/>
      </c>
      <c r="V74" s="1418"/>
      <c r="W74" s="1419"/>
      <c r="X74" s="1419"/>
      <c r="Y74" s="1419"/>
      <c r="Z74" s="1419"/>
      <c r="AA74" s="1419"/>
      <c r="AB74" s="1420"/>
      <c r="AC74" s="1319"/>
      <c r="AD74" s="2" t="str">
        <f aca="false">IF(AND(AD$4=$G74,AD$6=$F74),$B74,"")</f>
        <v/>
      </c>
      <c r="AE74" s="2" t="str">
        <f aca="false">IF(AND(AE$4=$G74,AE$6=$F74),$B74,"")</f>
        <v/>
      </c>
      <c r="AF74" s="2" t="str">
        <f aca="false">IF(AND(AF$4=$G74,AF$6=$F74),$B74,"")</f>
        <v/>
      </c>
      <c r="AG74" s="2" t="str">
        <f aca="false">IF(AND(AG$4=$G74,AG$6=$F74),$B74,"")</f>
        <v/>
      </c>
      <c r="AI74" s="366"/>
      <c r="AL74" s="367"/>
      <c r="AO74" s="367"/>
      <c r="AP74" s="2" t="str">
        <f aca="false">IF(AT74&gt;0,RANK(AT74,AT$7:AT$423),"")</f>
        <v/>
      </c>
      <c r="AQ74" s="2" t="n">
        <f aca="false">'O_MN, PE_UTA_UGM 2024'!C70</f>
        <v>120</v>
      </c>
      <c r="AR74" s="1421" t="n">
        <v>1126</v>
      </c>
      <c r="AS74" s="2" t="str">
        <f aca="false">IF(AY74&lt;&gt;"",AY74,"")</f>
        <v/>
      </c>
      <c r="AT74" s="1422" t="n">
        <f aca="false">IF(ISNUMBER($AR74),SUMIF(B$7:B$505,AR74,D$7:D$505),"")</f>
        <v>0</v>
      </c>
      <c r="AU74" s="1411" t="n">
        <f aca="false">IF(ISNUMBER($AR74),SUMIF(AD$7:AD$503,$AR74,J$7:J$503),"")</f>
        <v>0</v>
      </c>
      <c r="AV74" s="1411" t="n">
        <f aca="false">IF(ISNUMBER($AR74),SUMIF(AF$7:AF$503,$AR74,L$7:L$503),"")</f>
        <v>0</v>
      </c>
      <c r="AW74" s="1423" t="n">
        <f aca="false">IF(ISNUMBER($AR74),SUMIF(AE$7:AE$503,$AR74,K$7:K$503),"")</f>
        <v>0</v>
      </c>
      <c r="AX74" s="1423" t="n">
        <f aca="false">IF(ISNUMBER($AR74),SUMIF(AG$7:AG$503,$AR74,M$7:M$503),"")</f>
        <v>0</v>
      </c>
      <c r="AY74" s="2" t="str">
        <f aca="false">IF($AT74&gt;0,VLOOKUP($AR74,'O_MN, PE_UTA_UGM 2024'!E70:O486,2),"")</f>
        <v/>
      </c>
      <c r="AZ74" s="1424"/>
      <c r="BA74" s="1424"/>
      <c r="BB74" s="1424" t="str">
        <f aca="false">IF($AT74&gt;0,VLOOKUP($AR74,'O_MN, PE_UTA_UGM 2024'!$E$3:$O$419,BB$6),"")</f>
        <v/>
      </c>
      <c r="BC74" s="1424" t="str">
        <f aca="false">IF($AT74&gt;0,VLOOKUP($AR74,'O_MN, PE_UTA_UGM 2024'!$E$3:$O$419,BC$6),"")</f>
        <v/>
      </c>
      <c r="BD74" s="1424" t="str">
        <f aca="false">IF($AT74&gt;0,VLOOKUP($AR74,'O_MN, PE_UTA_UGM 2024'!$E$3:$O$419,BD$6),"")</f>
        <v/>
      </c>
      <c r="BE74" s="1424" t="str">
        <f aca="false">IF($AT74&gt;0,VLOOKUP($AR74,'O_MN, PE_UTA_UGM 2024'!$E$3:$O$419,BE$6),"")</f>
        <v/>
      </c>
      <c r="BF74" s="1424" t="str">
        <f aca="false">IF($AT74&gt;0,VLOOKUP($AR74,'O_MN, PE_UTA_UGM 2024'!$E$3:$O$419,BF$6),"")</f>
        <v/>
      </c>
      <c r="BG74" s="1424" t="str">
        <f aca="false">IF($AT74&gt;0,VLOOKUP($AR74,'O_MN, PE_UTA_UGM 2024'!$E$3:$O$419,BG$6),"")</f>
        <v/>
      </c>
      <c r="BH74" s="872"/>
      <c r="BI74" s="872"/>
      <c r="BJ74" s="872"/>
      <c r="BK74" s="872"/>
      <c r="BM74" s="1411"/>
      <c r="BN74" s="1411"/>
      <c r="BO74" s="1425" t="str">
        <f aca="false">IF(ISNUMBER($AU74*BB74*1),$AU74*BB74*1,"")</f>
        <v/>
      </c>
      <c r="BP74" s="1425" t="str">
        <f aca="false">IF(ISNUMBER($AV74*BC74*1),$AV74*BC74*1,"")</f>
        <v/>
      </c>
      <c r="BQ74" s="1425" t="str">
        <f aca="false">IF(ISNUMBER($AU74*BD74*1),$AU74*BD74*1,"")</f>
        <v/>
      </c>
      <c r="BR74" s="1425" t="str">
        <f aca="false">IF(ISNUMBER($AV74*BE74*1),$AV74*BE74*1,"")</f>
        <v/>
      </c>
      <c r="BS74" s="1411" t="str">
        <f aca="false">IF(ISNUMBER($AU74*BF74),$AU74*BF74,"")</f>
        <v/>
      </c>
      <c r="BT74" s="1411" t="str">
        <f aca="false">IF(ISNUMBER($AV74*BG74),$AV74*BG74,"")</f>
        <v/>
      </c>
      <c r="BU74" s="1411"/>
      <c r="BV74" s="1411"/>
      <c r="BW74" s="1411"/>
      <c r="BX74" s="1411"/>
      <c r="BZ74" s="1372"/>
      <c r="CA74" s="1372"/>
      <c r="CB74" s="1426" t="str">
        <f aca="false">IF(ISNUMBER($AW74*BB74),$AW74*BB74,"")</f>
        <v/>
      </c>
      <c r="CC74" s="1426" t="str">
        <f aca="false">IF(ISNUMBER($AX74*BC74),$AX74*BC74,"")</f>
        <v/>
      </c>
      <c r="CD74" s="1426" t="str">
        <f aca="false">IF(ISNUMBER($AW74*BD74),$AW74*BD74,"")</f>
        <v/>
      </c>
      <c r="CE74" s="1426" t="str">
        <f aca="false">IF(ISNUMBER($AX74*BE74),$AX74*BE74,"")</f>
        <v/>
      </c>
      <c r="CF74" s="1372" t="str">
        <f aca="false">IF(ISNUMBER($AW74*BF74),$AW74*BF74,"")</f>
        <v/>
      </c>
      <c r="CG74" s="1372" t="str">
        <f aca="false">IF(ISNUMBER($AX74*BG74),$AX74*BG74,"")</f>
        <v/>
      </c>
      <c r="CH74" s="1438"/>
      <c r="CI74" s="1438"/>
      <c r="CJ74" s="1438"/>
      <c r="CK74" s="1438"/>
      <c r="CU74" s="1411"/>
      <c r="CV74" s="1411"/>
      <c r="CW74" s="1425"/>
      <c r="CX74" s="1425"/>
      <c r="CY74" s="1425"/>
      <c r="CZ74" s="1425"/>
      <c r="DA74" s="1411"/>
      <c r="DB74" s="1411"/>
      <c r="DC74" s="1411"/>
      <c r="DD74" s="1411"/>
      <c r="DE74" s="1411"/>
      <c r="DF74" s="1411"/>
      <c r="DH74" s="1432"/>
      <c r="DI74" s="1432"/>
      <c r="DJ74" s="1437"/>
      <c r="DK74" s="1437"/>
      <c r="DL74" s="1437"/>
      <c r="DM74" s="1437"/>
      <c r="DN74" s="1432"/>
      <c r="DO74" s="1432"/>
      <c r="DP74" s="1432"/>
      <c r="DQ74" s="1432"/>
      <c r="DR74" s="1432"/>
      <c r="DS74" s="1432"/>
      <c r="DT74" s="1316"/>
      <c r="DU74" s="1433"/>
      <c r="DV74" s="1433"/>
      <c r="DW74" s="1433"/>
      <c r="DX74" s="1433"/>
      <c r="DY74" s="1433"/>
      <c r="DZ74" s="1433"/>
      <c r="EA74" s="1433"/>
      <c r="EB74" s="1433"/>
    </row>
    <row r="75" customFormat="false" ht="14.25" hidden="false" customHeight="false" outlineLevel="0" collapsed="false">
      <c r="A75" s="2" t="n">
        <f aca="false">'V_DATOS PAC_SGA'!R70</f>
        <v>0</v>
      </c>
      <c r="B75" s="2" t="n">
        <f aca="false">IF(I75="IV",CONCATENATE('V_DATOS PAC_SGA'!R70,"4")+0,CONCATENATE('V_DATOS PAC_SGA'!R70,"0")+0)</f>
        <v>0</v>
      </c>
      <c r="C75" s="2" t="n">
        <f aca="false">'V_DATOS PAC_SGA'!S70</f>
        <v>0</v>
      </c>
      <c r="D75" s="1409" t="n">
        <f aca="false">'V_DATOS PAC_SGA'!Y70</f>
        <v>0</v>
      </c>
      <c r="E75" s="1410" t="str">
        <f aca="false">IF('V_DATOS PAC_SGA'!AV70="","Regadio",'V_DATOS PAC_SGA'!AV70)</f>
        <v>Regadio</v>
      </c>
      <c r="F75" s="1411" t="n">
        <f aca="false">'V_DATOS PAC_SGA'!BK70</f>
        <v>0</v>
      </c>
      <c r="G75" s="1412" t="n">
        <f aca="false">'V_DATOS PAC_SGA'!AN70</f>
        <v>0</v>
      </c>
      <c r="H75" s="1413" t="str">
        <f aca="false">IF(B75&gt;0,VLOOKUP(B75,'O_MN, PE_UTA_UGM 2024'!E$3:O$419,10),"")</f>
        <v/>
      </c>
      <c r="I75" s="1359" t="n">
        <f aca="false">'V_DATOS PAC_SGA'!BV70</f>
        <v>0</v>
      </c>
      <c r="J75" s="2" t="str">
        <f aca="false">IF(AND(J$4=$G75,J$6=$F75),$D75*J$5,"")</f>
        <v/>
      </c>
      <c r="K75" s="2" t="str">
        <f aca="false">IF(AND(K$4=$G75,K$6=$F75),$D75*K$5,"")</f>
        <v/>
      </c>
      <c r="L75" s="2" t="str">
        <f aca="false">IF(AND(L$4=$G75,L$6=$F75),$D75*L$5,"")</f>
        <v/>
      </c>
      <c r="M75" s="2" t="str">
        <f aca="false">IF(AND(M$4=$G75,M$6=$F75),$D75*M$5,"")</f>
        <v/>
      </c>
      <c r="N75" s="1414" t="n">
        <f aca="false">VLOOKUP(B75,'O_MN, PE_UTA_UGM 2024'!$E$2:$K$419,IF(G75&gt;1,6,7))</f>
        <v>0</v>
      </c>
      <c r="O75" s="1434" t="str">
        <f aca="false">IF($H75=O$4,$D75*$N75,"")</f>
        <v/>
      </c>
      <c r="P75" s="1435" t="str">
        <f aca="false">IF($H75=P$4,$D75*$N75,"")</f>
        <v/>
      </c>
      <c r="Q75" s="1435" t="str">
        <f aca="false">IF($H75=Q$4,$D75*$N75,"")</f>
        <v/>
      </c>
      <c r="R75" s="1435" t="str">
        <f aca="false">IF($H75=R$4,$D75*$N75,"")</f>
        <v/>
      </c>
      <c r="S75" s="1435" t="str">
        <f aca="false">IF($H75=S$4,$D75*$N75,"")</f>
        <v/>
      </c>
      <c r="T75" s="1435" t="str">
        <f aca="false">IF($H75=T$4,$D75*$N75,"")</f>
        <v/>
      </c>
      <c r="U75" s="1436" t="str">
        <f aca="false">IF($H75=U$4,$D75*$N75,"")</f>
        <v/>
      </c>
      <c r="V75" s="1418"/>
      <c r="W75" s="1419"/>
      <c r="X75" s="1419"/>
      <c r="Y75" s="1419"/>
      <c r="Z75" s="1419"/>
      <c r="AA75" s="1419"/>
      <c r="AB75" s="1420"/>
      <c r="AC75" s="1319"/>
      <c r="AD75" s="2" t="str">
        <f aca="false">IF(AND(AD$4=$G75,AD$6=$F75),$B75,"")</f>
        <v/>
      </c>
      <c r="AE75" s="2" t="str">
        <f aca="false">IF(AND(AE$4=$G75,AE$6=$F75),$B75,"")</f>
        <v/>
      </c>
      <c r="AF75" s="2" t="str">
        <f aca="false">IF(AND(AF$4=$G75,AF$6=$F75),$B75,"")</f>
        <v/>
      </c>
      <c r="AG75" s="2" t="str">
        <f aca="false">IF(AND(AG$4=$G75,AG$6=$F75),$B75,"")</f>
        <v/>
      </c>
      <c r="AI75" s="366"/>
      <c r="AL75" s="367"/>
      <c r="AO75" s="367"/>
      <c r="AP75" s="2" t="str">
        <f aca="false">IF(AT75&gt;0,RANK(AT75,AT$7:AT$423),"")</f>
        <v/>
      </c>
      <c r="AQ75" s="2" t="n">
        <f aca="false">'O_MN, PE_UTA_UGM 2024'!C71</f>
        <v>121</v>
      </c>
      <c r="AR75" s="1421" t="n">
        <v>1130</v>
      </c>
      <c r="AS75" s="2" t="str">
        <f aca="false">IF(AY75&lt;&gt;"",AY75,"")</f>
        <v/>
      </c>
      <c r="AT75" s="1422" t="n">
        <f aca="false">IF(ISNUMBER($AR75),SUMIF(B$7:B$505,AR75,D$7:D$505),"")</f>
        <v>0</v>
      </c>
      <c r="AU75" s="1411" t="n">
        <f aca="false">IF(ISNUMBER($AR75),SUMIF(AD$7:AD$503,$AR75,J$7:J$503),"")</f>
        <v>0</v>
      </c>
      <c r="AV75" s="1411" t="n">
        <f aca="false">IF(ISNUMBER($AR75),SUMIF(AF$7:AF$503,$AR75,L$7:L$503),"")</f>
        <v>0</v>
      </c>
      <c r="AW75" s="1423" t="n">
        <f aca="false">IF(ISNUMBER($AR75),SUMIF(AE$7:AE$503,$AR75,K$7:K$503),"")</f>
        <v>0</v>
      </c>
      <c r="AX75" s="1423" t="n">
        <f aca="false">IF(ISNUMBER($AR75),SUMIF(AG$7:AG$503,$AR75,M$7:M$503),"")</f>
        <v>0</v>
      </c>
      <c r="AY75" s="2" t="str">
        <f aca="false">IF($AT75&gt;0,VLOOKUP($AR75,'O_MN, PE_UTA_UGM 2024'!E71:O487,2),"")</f>
        <v/>
      </c>
      <c r="AZ75" s="1424"/>
      <c r="BA75" s="1424"/>
      <c r="BB75" s="1424" t="str">
        <f aca="false">IF($AT75&gt;0,VLOOKUP($AR75,'O_MN, PE_UTA_UGM 2024'!$E$3:$O$419,BB$6),"")</f>
        <v/>
      </c>
      <c r="BC75" s="1424" t="str">
        <f aca="false">IF($AT75&gt;0,VLOOKUP($AR75,'O_MN, PE_UTA_UGM 2024'!$E$3:$O$419,BC$6),"")</f>
        <v/>
      </c>
      <c r="BD75" s="1424" t="str">
        <f aca="false">IF($AT75&gt;0,VLOOKUP($AR75,'O_MN, PE_UTA_UGM 2024'!$E$3:$O$419,BD$6),"")</f>
        <v/>
      </c>
      <c r="BE75" s="1424" t="str">
        <f aca="false">IF($AT75&gt;0,VLOOKUP($AR75,'O_MN, PE_UTA_UGM 2024'!$E$3:$O$419,BE$6),"")</f>
        <v/>
      </c>
      <c r="BF75" s="1424" t="str">
        <f aca="false">IF($AT75&gt;0,VLOOKUP($AR75,'O_MN, PE_UTA_UGM 2024'!$E$3:$O$419,BF$6),"")</f>
        <v/>
      </c>
      <c r="BG75" s="1424" t="str">
        <f aca="false">IF($AT75&gt;0,VLOOKUP($AR75,'O_MN, PE_UTA_UGM 2024'!$E$3:$O$419,BG$6),"")</f>
        <v/>
      </c>
      <c r="BH75" s="872"/>
      <c r="BI75" s="872"/>
      <c r="BJ75" s="872"/>
      <c r="BK75" s="872"/>
      <c r="BM75" s="1411"/>
      <c r="BN75" s="1411"/>
      <c r="BO75" s="1425" t="str">
        <f aca="false">IF(ISNUMBER($AU75*BB75*1),$AU75*BB75*1,"")</f>
        <v/>
      </c>
      <c r="BP75" s="1425" t="str">
        <f aca="false">IF(ISNUMBER($AV75*BC75*1),$AV75*BC75*1,"")</f>
        <v/>
      </c>
      <c r="BQ75" s="1425" t="str">
        <f aca="false">IF(ISNUMBER($AU75*BD75*1),$AU75*BD75*1,"")</f>
        <v/>
      </c>
      <c r="BR75" s="1425" t="str">
        <f aca="false">IF(ISNUMBER($AV75*BE75*1),$AV75*BE75*1,"")</f>
        <v/>
      </c>
      <c r="BS75" s="1411" t="str">
        <f aca="false">IF(ISNUMBER($AU75*BF75),$AU75*BF75,"")</f>
        <v/>
      </c>
      <c r="BT75" s="1411" t="str">
        <f aca="false">IF(ISNUMBER($AV75*BG75),$AV75*BG75,"")</f>
        <v/>
      </c>
      <c r="BU75" s="1411"/>
      <c r="BV75" s="1411"/>
      <c r="BW75" s="1411"/>
      <c r="BX75" s="1411"/>
      <c r="BZ75" s="1372"/>
      <c r="CA75" s="1372"/>
      <c r="CB75" s="1426" t="str">
        <f aca="false">IF(ISNUMBER($AW75*BB75),$AW75*BB75,"")</f>
        <v/>
      </c>
      <c r="CC75" s="1426" t="str">
        <f aca="false">IF(ISNUMBER($AX75*BC75),$AX75*BC75,"")</f>
        <v/>
      </c>
      <c r="CD75" s="1426" t="str">
        <f aca="false">IF(ISNUMBER($AW75*BD75),$AW75*BD75,"")</f>
        <v/>
      </c>
      <c r="CE75" s="1426" t="str">
        <f aca="false">IF(ISNUMBER($AX75*BE75),$AX75*BE75,"")</f>
        <v/>
      </c>
      <c r="CF75" s="1372" t="str">
        <f aca="false">IF(ISNUMBER($AW75*BF75),$AW75*BF75,"")</f>
        <v/>
      </c>
      <c r="CG75" s="1372" t="str">
        <f aca="false">IF(ISNUMBER($AX75*BG75),$AX75*BG75,"")</f>
        <v/>
      </c>
      <c r="CH75" s="1438"/>
      <c r="CI75" s="1438"/>
      <c r="CJ75" s="1438"/>
      <c r="CK75" s="1438"/>
      <c r="CU75" s="1411"/>
      <c r="CV75" s="1411"/>
      <c r="CW75" s="1425"/>
      <c r="CX75" s="1425"/>
      <c r="CY75" s="1425"/>
      <c r="CZ75" s="1425"/>
      <c r="DA75" s="1411"/>
      <c r="DB75" s="1411"/>
      <c r="DC75" s="1411"/>
      <c r="DD75" s="1411"/>
      <c r="DE75" s="1411"/>
      <c r="DF75" s="1411"/>
      <c r="DH75" s="1432"/>
      <c r="DI75" s="1432"/>
      <c r="DJ75" s="1437"/>
      <c r="DK75" s="1437"/>
      <c r="DL75" s="1437"/>
      <c r="DM75" s="1437"/>
      <c r="DN75" s="1432"/>
      <c r="DO75" s="1432"/>
      <c r="DP75" s="1432"/>
      <c r="DQ75" s="1432"/>
      <c r="DR75" s="1432"/>
      <c r="DS75" s="1432"/>
      <c r="DT75" s="1316"/>
      <c r="DU75" s="1433"/>
      <c r="DV75" s="1433"/>
      <c r="DW75" s="1433"/>
      <c r="DX75" s="1433"/>
      <c r="DY75" s="1433"/>
      <c r="DZ75" s="1433"/>
      <c r="EA75" s="1433"/>
      <c r="EB75" s="1433"/>
    </row>
    <row r="76" customFormat="false" ht="14.25" hidden="false" customHeight="false" outlineLevel="0" collapsed="false">
      <c r="A76" s="2" t="n">
        <f aca="false">'V_DATOS PAC_SGA'!R71</f>
        <v>0</v>
      </c>
      <c r="B76" s="2" t="n">
        <f aca="false">IF(I76="IV",CONCATENATE('V_DATOS PAC_SGA'!R71,"4")+0,CONCATENATE('V_DATOS PAC_SGA'!R71,"0")+0)</f>
        <v>0</v>
      </c>
      <c r="C76" s="2" t="n">
        <f aca="false">'V_DATOS PAC_SGA'!S71</f>
        <v>0</v>
      </c>
      <c r="D76" s="1409" t="n">
        <f aca="false">'V_DATOS PAC_SGA'!Y71</f>
        <v>0</v>
      </c>
      <c r="E76" s="1410" t="str">
        <f aca="false">IF('V_DATOS PAC_SGA'!AV71="","Regadio",'V_DATOS PAC_SGA'!AV71)</f>
        <v>Regadio</v>
      </c>
      <c r="F76" s="1411" t="n">
        <f aca="false">'V_DATOS PAC_SGA'!BK71</f>
        <v>0</v>
      </c>
      <c r="G76" s="1412" t="n">
        <f aca="false">'V_DATOS PAC_SGA'!AN71</f>
        <v>0</v>
      </c>
      <c r="H76" s="1413" t="str">
        <f aca="false">IF(B76&gt;0,VLOOKUP(B76,'O_MN, PE_UTA_UGM 2024'!E$3:O$419,10),"")</f>
        <v/>
      </c>
      <c r="I76" s="1359" t="n">
        <f aca="false">'V_DATOS PAC_SGA'!BV71</f>
        <v>0</v>
      </c>
      <c r="J76" s="2" t="str">
        <f aca="false">IF(AND(J$4=$G76,J$6=$F76),$D76*J$5,"")</f>
        <v/>
      </c>
      <c r="K76" s="2" t="str">
        <f aca="false">IF(AND(K$4=$G76,K$6=$F76),$D76*K$5,"")</f>
        <v/>
      </c>
      <c r="L76" s="2" t="str">
        <f aca="false">IF(AND(L$4=$G76,L$6=$F76),$D76*L$5,"")</f>
        <v/>
      </c>
      <c r="M76" s="2" t="str">
        <f aca="false">IF(AND(M$4=$G76,M$6=$F76),$D76*M$5,"")</f>
        <v/>
      </c>
      <c r="N76" s="1414" t="n">
        <f aca="false">VLOOKUP(B76,'O_MN, PE_UTA_UGM 2024'!$E$2:$K$419,IF(G76&gt;1,6,7))</f>
        <v>0</v>
      </c>
      <c r="O76" s="1434" t="str">
        <f aca="false">IF($H76=O$4,$D76*$N76,"")</f>
        <v/>
      </c>
      <c r="P76" s="1435" t="str">
        <f aca="false">IF($H76=P$4,$D76*$N76,"")</f>
        <v/>
      </c>
      <c r="Q76" s="1435" t="str">
        <f aca="false">IF($H76=Q$4,$D76*$N76,"")</f>
        <v/>
      </c>
      <c r="R76" s="1435" t="str">
        <f aca="false">IF($H76=R$4,$D76*$N76,"")</f>
        <v/>
      </c>
      <c r="S76" s="1435" t="str">
        <f aca="false">IF($H76=S$4,$D76*$N76,"")</f>
        <v/>
      </c>
      <c r="T76" s="1435" t="str">
        <f aca="false">IF($H76=T$4,$D76*$N76,"")</f>
        <v/>
      </c>
      <c r="U76" s="1436" t="str">
        <f aca="false">IF($H76=U$4,$D76*$N76,"")</f>
        <v/>
      </c>
      <c r="V76" s="1418"/>
      <c r="W76" s="1419"/>
      <c r="X76" s="1419"/>
      <c r="Y76" s="1419"/>
      <c r="Z76" s="1419"/>
      <c r="AA76" s="1419"/>
      <c r="AB76" s="1420"/>
      <c r="AC76" s="1319"/>
      <c r="AD76" s="2" t="str">
        <f aca="false">IF(AND(AD$4=$G76,AD$6=$F76),$B76,"")</f>
        <v/>
      </c>
      <c r="AE76" s="2" t="str">
        <f aca="false">IF(AND(AE$4=$G76,AE$6=$F76),$B76,"")</f>
        <v/>
      </c>
      <c r="AF76" s="2" t="str">
        <f aca="false">IF(AND(AF$4=$G76,AF$6=$F76),$B76,"")</f>
        <v/>
      </c>
      <c r="AG76" s="2" t="str">
        <f aca="false">IF(AND(AG$4=$G76,AG$6=$F76),$B76,"")</f>
        <v/>
      </c>
      <c r="AI76" s="366"/>
      <c r="AL76" s="367"/>
      <c r="AO76" s="367"/>
      <c r="AP76" s="2" t="str">
        <f aca="false">IF(AT76&gt;0,RANK(AT76,AT$7:AT$423),"")</f>
        <v/>
      </c>
      <c r="AQ76" s="2" t="n">
        <f aca="false">'O_MN, PE_UTA_UGM 2024'!C72</f>
        <v>121</v>
      </c>
      <c r="AR76" s="1421" t="n">
        <v>1170</v>
      </c>
      <c r="AS76" s="2" t="str">
        <f aca="false">IF(AY76&lt;&gt;"",AY76,"")</f>
        <v/>
      </c>
      <c r="AT76" s="1422" t="n">
        <f aca="false">IF(ISNUMBER($AR76),SUMIF(B$7:B$505,AR76,D$7:D$505),"")</f>
        <v>0</v>
      </c>
      <c r="AU76" s="1411" t="n">
        <f aca="false">IF(ISNUMBER($AR76),SUMIF(AD$7:AD$503,$AR76,J$7:J$503),"")</f>
        <v>0</v>
      </c>
      <c r="AV76" s="1411" t="n">
        <f aca="false">IF(ISNUMBER($AR76),SUMIF(AF$7:AF$503,$AR76,L$7:L$503),"")</f>
        <v>0</v>
      </c>
      <c r="AW76" s="1423" t="n">
        <f aca="false">IF(ISNUMBER($AR76),SUMIF(AE$7:AE$503,$AR76,K$7:K$503),"")</f>
        <v>0</v>
      </c>
      <c r="AX76" s="1423" t="n">
        <f aca="false">IF(ISNUMBER($AR76),SUMIF(AG$7:AG$503,$AR76,M$7:M$503),"")</f>
        <v>0</v>
      </c>
      <c r="AY76" s="2" t="str">
        <f aca="false">IF($AT76&gt;0,VLOOKUP($AR76,'O_MN, PE_UTA_UGM 2024'!E72:O488,2),"")</f>
        <v/>
      </c>
      <c r="AZ76" s="1424"/>
      <c r="BA76" s="1424"/>
      <c r="BB76" s="1424" t="str">
        <f aca="false">IF($AT76&gt;0,VLOOKUP($AR76,'O_MN, PE_UTA_UGM 2024'!$E$3:$O$419,BB$6),"")</f>
        <v/>
      </c>
      <c r="BC76" s="1424" t="str">
        <f aca="false">IF($AT76&gt;0,VLOOKUP($AR76,'O_MN, PE_UTA_UGM 2024'!$E$3:$O$419,BC$6),"")</f>
        <v/>
      </c>
      <c r="BD76" s="1424" t="str">
        <f aca="false">IF($AT76&gt;0,VLOOKUP($AR76,'O_MN, PE_UTA_UGM 2024'!$E$3:$O$419,BD$6),"")</f>
        <v/>
      </c>
      <c r="BE76" s="1424" t="str">
        <f aca="false">IF($AT76&gt;0,VLOOKUP($AR76,'O_MN, PE_UTA_UGM 2024'!$E$3:$O$419,BE$6),"")</f>
        <v/>
      </c>
      <c r="BF76" s="1424" t="str">
        <f aca="false">IF($AT76&gt;0,VLOOKUP($AR76,'O_MN, PE_UTA_UGM 2024'!$E$3:$O$419,BF$6),"")</f>
        <v/>
      </c>
      <c r="BG76" s="1424" t="str">
        <f aca="false">IF($AT76&gt;0,VLOOKUP($AR76,'O_MN, PE_UTA_UGM 2024'!$E$3:$O$419,BG$6),"")</f>
        <v/>
      </c>
      <c r="BH76" s="872"/>
      <c r="BI76" s="872"/>
      <c r="BJ76" s="872"/>
      <c r="BK76" s="872"/>
      <c r="BM76" s="1411"/>
      <c r="BN76" s="1411"/>
      <c r="BO76" s="1425" t="str">
        <f aca="false">IF(ISNUMBER($AU76*BB76*1),$AU76*BB76*1,"")</f>
        <v/>
      </c>
      <c r="BP76" s="1425" t="str">
        <f aca="false">IF(ISNUMBER($AV76*BC76*1),$AV76*BC76*1,"")</f>
        <v/>
      </c>
      <c r="BQ76" s="1425" t="str">
        <f aca="false">IF(ISNUMBER($AU76*BD76*1),$AU76*BD76*1,"")</f>
        <v/>
      </c>
      <c r="BR76" s="1425" t="str">
        <f aca="false">IF(ISNUMBER($AV76*BE76*1),$AV76*BE76*1,"")</f>
        <v/>
      </c>
      <c r="BS76" s="1411" t="str">
        <f aca="false">IF(ISNUMBER($AU76*BF76),$AU76*BF76,"")</f>
        <v/>
      </c>
      <c r="BT76" s="1411" t="str">
        <f aca="false">IF(ISNUMBER($AV76*BG76),$AV76*BG76,"")</f>
        <v/>
      </c>
      <c r="BU76" s="1411"/>
      <c r="BV76" s="1411"/>
      <c r="BW76" s="1411"/>
      <c r="BX76" s="1411"/>
      <c r="BZ76" s="1372"/>
      <c r="CA76" s="1372"/>
      <c r="CB76" s="1426" t="str">
        <f aca="false">IF(ISNUMBER($AW76*BB76),$AW76*BB76,"")</f>
        <v/>
      </c>
      <c r="CC76" s="1426" t="str">
        <f aca="false">IF(ISNUMBER($AX76*BC76),$AX76*BC76,"")</f>
        <v/>
      </c>
      <c r="CD76" s="1426" t="str">
        <f aca="false">IF(ISNUMBER($AW76*BD76),$AW76*BD76,"")</f>
        <v/>
      </c>
      <c r="CE76" s="1426" t="str">
        <f aca="false">IF(ISNUMBER($AX76*BE76),$AX76*BE76,"")</f>
        <v/>
      </c>
      <c r="CF76" s="1372" t="str">
        <f aca="false">IF(ISNUMBER($AW76*BF76),$AW76*BF76,"")</f>
        <v/>
      </c>
      <c r="CG76" s="1372" t="str">
        <f aca="false">IF(ISNUMBER($AX76*BG76),$AX76*BG76,"")</f>
        <v/>
      </c>
      <c r="CH76" s="1438"/>
      <c r="CI76" s="1438"/>
      <c r="CJ76" s="1438"/>
      <c r="CK76" s="1438"/>
      <c r="CU76" s="1411"/>
      <c r="CV76" s="1411"/>
      <c r="CW76" s="1425"/>
      <c r="CX76" s="1425"/>
      <c r="CY76" s="1425"/>
      <c r="CZ76" s="1425"/>
      <c r="DA76" s="1411"/>
      <c r="DB76" s="1411"/>
      <c r="DC76" s="1411"/>
      <c r="DD76" s="1411"/>
      <c r="DE76" s="1411"/>
      <c r="DF76" s="1411"/>
      <c r="DH76" s="1432"/>
      <c r="DI76" s="1432"/>
      <c r="DJ76" s="1437"/>
      <c r="DK76" s="1437"/>
      <c r="DL76" s="1437"/>
      <c r="DM76" s="1437"/>
      <c r="DN76" s="1432"/>
      <c r="DO76" s="1432"/>
      <c r="DP76" s="1432"/>
      <c r="DQ76" s="1432"/>
      <c r="DR76" s="1432"/>
      <c r="DS76" s="1432"/>
      <c r="DT76" s="1316"/>
      <c r="DU76" s="1433"/>
      <c r="DV76" s="1433"/>
      <c r="DW76" s="1433"/>
      <c r="DX76" s="1433"/>
      <c r="DY76" s="1433"/>
      <c r="DZ76" s="1433"/>
      <c r="EA76" s="1433"/>
      <c r="EB76" s="1433"/>
    </row>
    <row r="77" customFormat="false" ht="14.25" hidden="false" customHeight="false" outlineLevel="0" collapsed="false">
      <c r="A77" s="2" t="n">
        <f aca="false">'V_DATOS PAC_SGA'!R72</f>
        <v>0</v>
      </c>
      <c r="B77" s="2" t="n">
        <f aca="false">IF(I77="IV",CONCATENATE('V_DATOS PAC_SGA'!R72,"4")+0,CONCATENATE('V_DATOS PAC_SGA'!R72,"0")+0)</f>
        <v>0</v>
      </c>
      <c r="C77" s="2" t="n">
        <f aca="false">'V_DATOS PAC_SGA'!S72</f>
        <v>0</v>
      </c>
      <c r="D77" s="1409" t="n">
        <f aca="false">'V_DATOS PAC_SGA'!Y72</f>
        <v>0</v>
      </c>
      <c r="E77" s="1410" t="str">
        <f aca="false">IF('V_DATOS PAC_SGA'!AV72="","Regadio",'V_DATOS PAC_SGA'!AV72)</f>
        <v>Regadio</v>
      </c>
      <c r="F77" s="1411" t="n">
        <f aca="false">'V_DATOS PAC_SGA'!BK72</f>
        <v>0</v>
      </c>
      <c r="G77" s="1412" t="n">
        <f aca="false">'V_DATOS PAC_SGA'!AN72</f>
        <v>0</v>
      </c>
      <c r="H77" s="1413" t="str">
        <f aca="false">IF(B77&gt;0,VLOOKUP(B77,'O_MN, PE_UTA_UGM 2024'!E$3:O$419,10),"")</f>
        <v/>
      </c>
      <c r="I77" s="1359" t="n">
        <f aca="false">'V_DATOS PAC_SGA'!BV72</f>
        <v>0</v>
      </c>
      <c r="J77" s="2" t="str">
        <f aca="false">IF(AND(J$4=$G77,J$6=$F77),$D77*J$5,"")</f>
        <v/>
      </c>
      <c r="K77" s="2" t="str">
        <f aca="false">IF(AND(K$4=$G77,K$6=$F77),$D77*K$5,"")</f>
        <v/>
      </c>
      <c r="L77" s="2" t="str">
        <f aca="false">IF(AND(L$4=$G77,L$6=$F77),$D77*L$5,"")</f>
        <v/>
      </c>
      <c r="M77" s="2" t="str">
        <f aca="false">IF(AND(M$4=$G77,M$6=$F77),$D77*M$5,"")</f>
        <v/>
      </c>
      <c r="N77" s="1414" t="n">
        <f aca="false">VLOOKUP(B77,'O_MN, PE_UTA_UGM 2024'!$E$2:$K$419,IF(G77&gt;1,6,7))</f>
        <v>0</v>
      </c>
      <c r="O77" s="1434" t="str">
        <f aca="false">IF($H77=O$4,$D77*$N77,"")</f>
        <v/>
      </c>
      <c r="P77" s="1435" t="str">
        <f aca="false">IF($H77=P$4,$D77*$N77,"")</f>
        <v/>
      </c>
      <c r="Q77" s="1435" t="str">
        <f aca="false">IF($H77=Q$4,$D77*$N77,"")</f>
        <v/>
      </c>
      <c r="R77" s="1435" t="str">
        <f aca="false">IF($H77=R$4,$D77*$N77,"")</f>
        <v/>
      </c>
      <c r="S77" s="1435" t="str">
        <f aca="false">IF($H77=S$4,$D77*$N77,"")</f>
        <v/>
      </c>
      <c r="T77" s="1435" t="str">
        <f aca="false">IF($H77=T$4,$D77*$N77,"")</f>
        <v/>
      </c>
      <c r="U77" s="1436" t="str">
        <f aca="false">IF($H77=U$4,$D77*$N77,"")</f>
        <v/>
      </c>
      <c r="V77" s="1418"/>
      <c r="W77" s="1419"/>
      <c r="X77" s="1419"/>
      <c r="Y77" s="1419"/>
      <c r="Z77" s="1419"/>
      <c r="AA77" s="1419"/>
      <c r="AB77" s="1420"/>
      <c r="AC77" s="1319"/>
      <c r="AD77" s="2" t="str">
        <f aca="false">IF(AND(AD$4=$G77,AD$6=$F77),$B77,"")</f>
        <v/>
      </c>
      <c r="AE77" s="2" t="str">
        <f aca="false">IF(AND(AE$4=$G77,AE$6=$F77),$B77,"")</f>
        <v/>
      </c>
      <c r="AF77" s="2" t="str">
        <f aca="false">IF(AND(AF$4=$G77,AF$6=$F77),$B77,"")</f>
        <v/>
      </c>
      <c r="AG77" s="2" t="str">
        <f aca="false">IF(AND(AG$4=$G77,AG$6=$F77),$B77,"")</f>
        <v/>
      </c>
      <c r="AI77" s="366"/>
      <c r="AL77" s="367"/>
      <c r="AO77" s="367"/>
      <c r="AP77" s="2" t="str">
        <f aca="false">IF(AT77&gt;0,RANK(AT77,AT$7:AT$423),"")</f>
        <v/>
      </c>
      <c r="AQ77" s="2" t="n">
        <f aca="false">'O_MN, PE_UTA_UGM 2024'!C73</f>
        <v>121</v>
      </c>
      <c r="AR77" s="1421" t="n">
        <v>1180</v>
      </c>
      <c r="AS77" s="2" t="str">
        <f aca="false">IF(AY77&lt;&gt;"",AY77,"")</f>
        <v/>
      </c>
      <c r="AT77" s="1422" t="n">
        <f aca="false">IF(ISNUMBER($AR77),SUMIF(B$7:B$505,AR77,D$7:D$505),"")</f>
        <v>0</v>
      </c>
      <c r="AU77" s="1411" t="n">
        <f aca="false">IF(ISNUMBER($AR77),SUMIF(AD$7:AD$503,$AR77,J$7:J$503),"")</f>
        <v>0</v>
      </c>
      <c r="AV77" s="1411" t="n">
        <f aca="false">IF(ISNUMBER($AR77),SUMIF(AF$7:AF$503,$AR77,L$7:L$503),"")</f>
        <v>0</v>
      </c>
      <c r="AW77" s="1423" t="n">
        <f aca="false">IF(ISNUMBER($AR77),SUMIF(AE$7:AE$503,$AR77,K$7:K$503),"")</f>
        <v>0</v>
      </c>
      <c r="AX77" s="1423" t="n">
        <f aca="false">IF(ISNUMBER($AR77),SUMIF(AG$7:AG$503,$AR77,M$7:M$503),"")</f>
        <v>0</v>
      </c>
      <c r="AY77" s="2" t="str">
        <f aca="false">IF($AT77&gt;0,VLOOKUP($AR77,'O_MN, PE_UTA_UGM 2024'!E73:O489,2),"")</f>
        <v/>
      </c>
      <c r="AZ77" s="1424"/>
      <c r="BA77" s="1424"/>
      <c r="BB77" s="1424" t="str">
        <f aca="false">IF($AT77&gt;0,VLOOKUP($AR77,'O_MN, PE_UTA_UGM 2024'!$E$3:$O$419,BB$6),"")</f>
        <v/>
      </c>
      <c r="BC77" s="1424" t="str">
        <f aca="false">IF($AT77&gt;0,VLOOKUP($AR77,'O_MN, PE_UTA_UGM 2024'!$E$3:$O$419,BC$6),"")</f>
        <v/>
      </c>
      <c r="BD77" s="1424" t="str">
        <f aca="false">IF($AT77&gt;0,VLOOKUP($AR77,'O_MN, PE_UTA_UGM 2024'!$E$3:$O$419,BD$6),"")</f>
        <v/>
      </c>
      <c r="BE77" s="1424" t="str">
        <f aca="false">IF($AT77&gt;0,VLOOKUP($AR77,'O_MN, PE_UTA_UGM 2024'!$E$3:$O$419,BE$6),"")</f>
        <v/>
      </c>
      <c r="BF77" s="1424" t="str">
        <f aca="false">IF($AT77&gt;0,VLOOKUP($AR77,'O_MN, PE_UTA_UGM 2024'!$E$3:$O$419,BF$6),"")</f>
        <v/>
      </c>
      <c r="BG77" s="1424" t="str">
        <f aca="false">IF($AT77&gt;0,VLOOKUP($AR77,'O_MN, PE_UTA_UGM 2024'!$E$3:$O$419,BG$6),"")</f>
        <v/>
      </c>
      <c r="BH77" s="872"/>
      <c r="BI77" s="872"/>
      <c r="BJ77" s="872"/>
      <c r="BK77" s="872"/>
      <c r="BM77" s="1411"/>
      <c r="BN77" s="1411"/>
      <c r="BO77" s="1425" t="str">
        <f aca="false">IF(ISNUMBER($AU77*BB77*1),$AU77*BB77*1,"")</f>
        <v/>
      </c>
      <c r="BP77" s="1425" t="str">
        <f aca="false">IF(ISNUMBER($AV77*BC77*1),$AV77*BC77*1,"")</f>
        <v/>
      </c>
      <c r="BQ77" s="1425" t="str">
        <f aca="false">IF(ISNUMBER($AU77*BD77*1),$AU77*BD77*1,"")</f>
        <v/>
      </c>
      <c r="BR77" s="1425" t="str">
        <f aca="false">IF(ISNUMBER($AV77*BE77*1),$AV77*BE77*1,"")</f>
        <v/>
      </c>
      <c r="BS77" s="1411" t="str">
        <f aca="false">IF(ISNUMBER($AU77*BF77),$AU77*BF77,"")</f>
        <v/>
      </c>
      <c r="BT77" s="1411" t="str">
        <f aca="false">IF(ISNUMBER($AV77*BG77),$AV77*BG77,"")</f>
        <v/>
      </c>
      <c r="BU77" s="1411"/>
      <c r="BV77" s="1411"/>
      <c r="BW77" s="1411"/>
      <c r="BX77" s="1411"/>
      <c r="BZ77" s="1372"/>
      <c r="CA77" s="1372"/>
      <c r="CB77" s="1426" t="str">
        <f aca="false">IF(ISNUMBER($AW77*BB77),$AW77*BB77,"")</f>
        <v/>
      </c>
      <c r="CC77" s="1426" t="str">
        <f aca="false">IF(ISNUMBER($AX77*BC77),$AX77*BC77,"")</f>
        <v/>
      </c>
      <c r="CD77" s="1426" t="str">
        <f aca="false">IF(ISNUMBER($AW77*BD77),$AW77*BD77,"")</f>
        <v/>
      </c>
      <c r="CE77" s="1426" t="str">
        <f aca="false">IF(ISNUMBER($AX77*BE77),$AX77*BE77,"")</f>
        <v/>
      </c>
      <c r="CF77" s="1372" t="str">
        <f aca="false">IF(ISNUMBER($AW77*BF77),$AW77*BF77,"")</f>
        <v/>
      </c>
      <c r="CG77" s="1372" t="str">
        <f aca="false">IF(ISNUMBER($AX77*BG77),$AX77*BG77,"")</f>
        <v/>
      </c>
      <c r="CH77" s="1438"/>
      <c r="CI77" s="1438"/>
      <c r="CJ77" s="1438"/>
      <c r="CK77" s="1438"/>
      <c r="CU77" s="1411"/>
      <c r="CV77" s="1411"/>
      <c r="CW77" s="1425"/>
      <c r="CX77" s="1425"/>
      <c r="CY77" s="1425"/>
      <c r="CZ77" s="1425"/>
      <c r="DA77" s="1411"/>
      <c r="DB77" s="1411"/>
      <c r="DC77" s="1411"/>
      <c r="DD77" s="1411"/>
      <c r="DE77" s="1411"/>
      <c r="DF77" s="1411"/>
      <c r="DH77" s="1432"/>
      <c r="DI77" s="1432"/>
      <c r="DJ77" s="1437"/>
      <c r="DK77" s="1437"/>
      <c r="DL77" s="1437"/>
      <c r="DM77" s="1437"/>
      <c r="DN77" s="1432"/>
      <c r="DO77" s="1432"/>
      <c r="DP77" s="1432"/>
      <c r="DQ77" s="1432"/>
      <c r="DR77" s="1432"/>
      <c r="DS77" s="1432"/>
      <c r="DT77" s="1316"/>
      <c r="DU77" s="1433"/>
      <c r="DV77" s="1433"/>
      <c r="DW77" s="1433"/>
      <c r="DX77" s="1433"/>
      <c r="DY77" s="1433"/>
      <c r="DZ77" s="1433"/>
      <c r="EA77" s="1433"/>
      <c r="EB77" s="1433"/>
    </row>
    <row r="78" customFormat="false" ht="14.25" hidden="false" customHeight="false" outlineLevel="0" collapsed="false">
      <c r="A78" s="2" t="n">
        <f aca="false">'V_DATOS PAC_SGA'!R73</f>
        <v>0</v>
      </c>
      <c r="B78" s="2" t="n">
        <f aca="false">IF(I78="IV",CONCATENATE('V_DATOS PAC_SGA'!R73,"4")+0,CONCATENATE('V_DATOS PAC_SGA'!R73,"0")+0)</f>
        <v>0</v>
      </c>
      <c r="C78" s="2" t="n">
        <f aca="false">'V_DATOS PAC_SGA'!S73</f>
        <v>0</v>
      </c>
      <c r="D78" s="1409" t="n">
        <f aca="false">'V_DATOS PAC_SGA'!Y73</f>
        <v>0</v>
      </c>
      <c r="E78" s="1410" t="str">
        <f aca="false">IF('V_DATOS PAC_SGA'!AV73="","Regadio",'V_DATOS PAC_SGA'!AV73)</f>
        <v>Regadio</v>
      </c>
      <c r="F78" s="1411" t="n">
        <f aca="false">'V_DATOS PAC_SGA'!BK73</f>
        <v>0</v>
      </c>
      <c r="G78" s="1412" t="n">
        <f aca="false">'V_DATOS PAC_SGA'!AN73</f>
        <v>0</v>
      </c>
      <c r="H78" s="1413" t="str">
        <f aca="false">IF(B78&gt;0,VLOOKUP(B78,'O_MN, PE_UTA_UGM 2024'!E$3:O$419,10),"")</f>
        <v/>
      </c>
      <c r="I78" s="1359" t="n">
        <f aca="false">'V_DATOS PAC_SGA'!BV73</f>
        <v>0</v>
      </c>
      <c r="J78" s="2" t="str">
        <f aca="false">IF(AND(J$4=$G78,J$6=$F78),$D78*J$5,"")</f>
        <v/>
      </c>
      <c r="K78" s="2" t="str">
        <f aca="false">IF(AND(K$4=$G78,K$6=$F78),$D78*K$5,"")</f>
        <v/>
      </c>
      <c r="L78" s="2" t="str">
        <f aca="false">IF(AND(L$4=$G78,L$6=$F78),$D78*L$5,"")</f>
        <v/>
      </c>
      <c r="M78" s="2" t="str">
        <f aca="false">IF(AND(M$4=$G78,M$6=$F78),$D78*M$5,"")</f>
        <v/>
      </c>
      <c r="N78" s="1414" t="n">
        <f aca="false">VLOOKUP(B78,'O_MN, PE_UTA_UGM 2024'!$E$2:$K$419,IF(G78&gt;1,6,7))</f>
        <v>0</v>
      </c>
      <c r="O78" s="1434" t="str">
        <f aca="false">IF($H78=O$4,$D78*$N78,"")</f>
        <v/>
      </c>
      <c r="P78" s="1435" t="str">
        <f aca="false">IF($H78=P$4,$D78*$N78,"")</f>
        <v/>
      </c>
      <c r="Q78" s="1435" t="str">
        <f aca="false">IF($H78=Q$4,$D78*$N78,"")</f>
        <v/>
      </c>
      <c r="R78" s="1435" t="str">
        <f aca="false">IF($H78=R$4,$D78*$N78,"")</f>
        <v/>
      </c>
      <c r="S78" s="1435" t="str">
        <f aca="false">IF($H78=S$4,$D78*$N78,"")</f>
        <v/>
      </c>
      <c r="T78" s="1435" t="str">
        <f aca="false">IF($H78=T$4,$D78*$N78,"")</f>
        <v/>
      </c>
      <c r="U78" s="1436" t="str">
        <f aca="false">IF($H78=U$4,$D78*$N78,"")</f>
        <v/>
      </c>
      <c r="V78" s="1418"/>
      <c r="W78" s="1419"/>
      <c r="X78" s="1419"/>
      <c r="Y78" s="1419"/>
      <c r="Z78" s="1419"/>
      <c r="AA78" s="1419"/>
      <c r="AB78" s="1420"/>
      <c r="AC78" s="1319"/>
      <c r="AD78" s="2" t="str">
        <f aca="false">IF(AND(AD$4=$G78,AD$6=$F78),$B78,"")</f>
        <v/>
      </c>
      <c r="AE78" s="2" t="str">
        <f aca="false">IF(AND(AE$4=$G78,AE$6=$F78),$B78,"")</f>
        <v/>
      </c>
      <c r="AF78" s="2" t="str">
        <f aca="false">IF(AND(AF$4=$G78,AF$6=$F78),$B78,"")</f>
        <v/>
      </c>
      <c r="AG78" s="2" t="str">
        <f aca="false">IF(AND(AG$4=$G78,AG$6=$F78),$B78,"")</f>
        <v/>
      </c>
      <c r="AI78" s="366"/>
      <c r="AL78" s="367"/>
      <c r="AO78" s="367"/>
      <c r="AP78" s="2" t="str">
        <f aca="false">IF(AT78&gt;0,RANK(AT78,AT$7:AT$423),"")</f>
        <v/>
      </c>
      <c r="AQ78" s="2" t="n">
        <f aca="false">'O_MN, PE_UTA_UGM 2024'!C74</f>
        <v>122</v>
      </c>
      <c r="AR78" s="1421" t="n">
        <v>1200</v>
      </c>
      <c r="AS78" s="2" t="str">
        <f aca="false">IF(AY78&lt;&gt;"",AY78,"")</f>
        <v/>
      </c>
      <c r="AT78" s="1422" t="n">
        <f aca="false">IF(ISNUMBER($AR78),SUMIF(B$7:B$505,AR78,D$7:D$505),"")</f>
        <v>0</v>
      </c>
      <c r="AU78" s="1411" t="n">
        <f aca="false">IF(ISNUMBER($AR78),SUMIF(AD$7:AD$503,$AR78,J$7:J$503),"")</f>
        <v>0</v>
      </c>
      <c r="AV78" s="1411" t="n">
        <f aca="false">IF(ISNUMBER($AR78),SUMIF(AF$7:AF$503,$AR78,L$7:L$503),"")</f>
        <v>0</v>
      </c>
      <c r="AW78" s="1423" t="n">
        <f aca="false">IF(ISNUMBER($AR78),SUMIF(AE$7:AE$503,$AR78,K$7:K$503),"")</f>
        <v>0</v>
      </c>
      <c r="AX78" s="1423" t="n">
        <f aca="false">IF(ISNUMBER($AR78),SUMIF(AG$7:AG$503,$AR78,M$7:M$503),"")</f>
        <v>0</v>
      </c>
      <c r="AY78" s="2" t="str">
        <f aca="false">IF($AT78&gt;0,VLOOKUP($AR78,'O_MN, PE_UTA_UGM 2024'!E74:O490,2),"")</f>
        <v/>
      </c>
      <c r="AZ78" s="1424"/>
      <c r="BA78" s="1424"/>
      <c r="BB78" s="1424" t="str">
        <f aca="false">IF($AT78&gt;0,VLOOKUP($AR78,'O_MN, PE_UTA_UGM 2024'!$E$3:$O$419,BB$6),"")</f>
        <v/>
      </c>
      <c r="BC78" s="1424" t="str">
        <f aca="false">IF($AT78&gt;0,VLOOKUP($AR78,'O_MN, PE_UTA_UGM 2024'!$E$3:$O$419,BC$6),"")</f>
        <v/>
      </c>
      <c r="BD78" s="1424" t="str">
        <f aca="false">IF($AT78&gt;0,VLOOKUP($AR78,'O_MN, PE_UTA_UGM 2024'!$E$3:$O$419,BD$6),"")</f>
        <v/>
      </c>
      <c r="BE78" s="1424" t="str">
        <f aca="false">IF($AT78&gt;0,VLOOKUP($AR78,'O_MN, PE_UTA_UGM 2024'!$E$3:$O$419,BE$6),"")</f>
        <v/>
      </c>
      <c r="BF78" s="1424" t="str">
        <f aca="false">IF($AT78&gt;0,VLOOKUP($AR78,'O_MN, PE_UTA_UGM 2024'!$E$3:$O$419,BF$6),"")</f>
        <v/>
      </c>
      <c r="BG78" s="1424" t="str">
        <f aca="false">IF($AT78&gt;0,VLOOKUP($AR78,'O_MN, PE_UTA_UGM 2024'!$E$3:$O$419,BG$6),"")</f>
        <v/>
      </c>
      <c r="BH78" s="872"/>
      <c r="BI78" s="872"/>
      <c r="BJ78" s="872"/>
      <c r="BK78" s="872"/>
      <c r="BM78" s="1411"/>
      <c r="BN78" s="1411"/>
      <c r="BO78" s="1425" t="str">
        <f aca="false">IF(ISNUMBER($AU78*BB78*1),$AU78*BB78*1,"")</f>
        <v/>
      </c>
      <c r="BP78" s="1425" t="str">
        <f aca="false">IF(ISNUMBER($AV78*BC78*1),$AV78*BC78*1,"")</f>
        <v/>
      </c>
      <c r="BQ78" s="1425" t="str">
        <f aca="false">IF(ISNUMBER($AU78*BD78*1),$AU78*BD78*1,"")</f>
        <v/>
      </c>
      <c r="BR78" s="1425" t="str">
        <f aca="false">IF(ISNUMBER($AV78*BE78*1),$AV78*BE78*1,"")</f>
        <v/>
      </c>
      <c r="BS78" s="1411" t="str">
        <f aca="false">IF(ISNUMBER($AU78*BF78),$AU78*BF78,"")</f>
        <v/>
      </c>
      <c r="BT78" s="1411" t="str">
        <f aca="false">IF(ISNUMBER($AV78*BG78),$AV78*BG78,"")</f>
        <v/>
      </c>
      <c r="BU78" s="1411"/>
      <c r="BV78" s="1411"/>
      <c r="BW78" s="1411"/>
      <c r="BX78" s="1411"/>
      <c r="BZ78" s="1372"/>
      <c r="CA78" s="1372"/>
      <c r="CB78" s="1426" t="str">
        <f aca="false">IF(ISNUMBER($AW78*BB78),$AW78*BB78,"")</f>
        <v/>
      </c>
      <c r="CC78" s="1426" t="str">
        <f aca="false">IF(ISNUMBER($AX78*BC78),$AX78*BC78,"")</f>
        <v/>
      </c>
      <c r="CD78" s="1426" t="str">
        <f aca="false">IF(ISNUMBER($AW78*BD78),$AW78*BD78,"")</f>
        <v/>
      </c>
      <c r="CE78" s="1426" t="str">
        <f aca="false">IF(ISNUMBER($AX78*BE78),$AX78*BE78,"")</f>
        <v/>
      </c>
      <c r="CF78" s="1372" t="str">
        <f aca="false">IF(ISNUMBER($AW78*BF78),$AW78*BF78,"")</f>
        <v/>
      </c>
      <c r="CG78" s="1372" t="str">
        <f aca="false">IF(ISNUMBER($AX78*BG78),$AX78*BG78,"")</f>
        <v/>
      </c>
      <c r="CH78" s="1438"/>
      <c r="CI78" s="1438"/>
      <c r="CJ78" s="1438"/>
      <c r="CK78" s="1438"/>
      <c r="CU78" s="1411"/>
      <c r="CV78" s="1411"/>
      <c r="CW78" s="1425"/>
      <c r="CX78" s="1425"/>
      <c r="CY78" s="1425"/>
      <c r="CZ78" s="1425"/>
      <c r="DA78" s="1411"/>
      <c r="DB78" s="1411"/>
      <c r="DC78" s="1411"/>
      <c r="DD78" s="1411"/>
      <c r="DE78" s="1411"/>
      <c r="DF78" s="1411"/>
      <c r="DH78" s="1432"/>
      <c r="DI78" s="1432"/>
      <c r="DJ78" s="1437"/>
      <c r="DK78" s="1437"/>
      <c r="DL78" s="1437"/>
      <c r="DM78" s="1437"/>
      <c r="DN78" s="1432"/>
      <c r="DO78" s="1432"/>
      <c r="DP78" s="1432"/>
      <c r="DQ78" s="1432"/>
      <c r="DR78" s="1432"/>
      <c r="DS78" s="1432"/>
      <c r="DT78" s="1316"/>
      <c r="DU78" s="1433"/>
      <c r="DV78" s="1433"/>
      <c r="DW78" s="1433"/>
      <c r="DX78" s="1433"/>
      <c r="DY78" s="1433"/>
      <c r="DZ78" s="1433"/>
      <c r="EA78" s="1433"/>
      <c r="EB78" s="1433"/>
    </row>
    <row r="79" customFormat="false" ht="14.25" hidden="false" customHeight="false" outlineLevel="0" collapsed="false">
      <c r="A79" s="2" t="n">
        <f aca="false">'V_DATOS PAC_SGA'!R74</f>
        <v>0</v>
      </c>
      <c r="B79" s="2" t="n">
        <f aca="false">IF(I79="IV",CONCATENATE('V_DATOS PAC_SGA'!R74,"4")+0,CONCATENATE('V_DATOS PAC_SGA'!R74,"0")+0)</f>
        <v>0</v>
      </c>
      <c r="C79" s="2" t="n">
        <f aca="false">'V_DATOS PAC_SGA'!S74</f>
        <v>0</v>
      </c>
      <c r="D79" s="1409" t="n">
        <f aca="false">'V_DATOS PAC_SGA'!Y74</f>
        <v>0</v>
      </c>
      <c r="E79" s="1410" t="str">
        <f aca="false">IF('V_DATOS PAC_SGA'!AV74="","Regadio",'V_DATOS PAC_SGA'!AV74)</f>
        <v>Regadio</v>
      </c>
      <c r="F79" s="1411" t="n">
        <f aca="false">'V_DATOS PAC_SGA'!BK74</f>
        <v>0</v>
      </c>
      <c r="G79" s="1412" t="n">
        <f aca="false">'V_DATOS PAC_SGA'!AN74</f>
        <v>0</v>
      </c>
      <c r="H79" s="1413" t="str">
        <f aca="false">IF(B79&gt;0,VLOOKUP(B79,'O_MN, PE_UTA_UGM 2024'!E$3:O$419,10),"")</f>
        <v/>
      </c>
      <c r="I79" s="1359" t="n">
        <f aca="false">'V_DATOS PAC_SGA'!BV74</f>
        <v>0</v>
      </c>
      <c r="J79" s="2" t="str">
        <f aca="false">IF(AND(J$4=$G79,J$6=$F79),$D79*J$5,"")</f>
        <v/>
      </c>
      <c r="K79" s="2" t="str">
        <f aca="false">IF(AND(K$4=$G79,K$6=$F79),$D79*K$5,"")</f>
        <v/>
      </c>
      <c r="L79" s="2" t="str">
        <f aca="false">IF(AND(L$4=$G79,L$6=$F79),$D79*L$5,"")</f>
        <v/>
      </c>
      <c r="M79" s="2" t="str">
        <f aca="false">IF(AND(M$4=$G79,M$6=$F79),$D79*M$5,"")</f>
        <v/>
      </c>
      <c r="N79" s="1414" t="n">
        <f aca="false">VLOOKUP(B79,'O_MN, PE_UTA_UGM 2024'!$E$2:$K$419,IF(G79&gt;1,6,7))</f>
        <v>0</v>
      </c>
      <c r="O79" s="1434" t="str">
        <f aca="false">IF($H79=O$4,$D79*$N79,"")</f>
        <v/>
      </c>
      <c r="P79" s="1435" t="str">
        <f aca="false">IF($H79=P$4,$D79*$N79,"")</f>
        <v/>
      </c>
      <c r="Q79" s="1435" t="str">
        <f aca="false">IF($H79=Q$4,$D79*$N79,"")</f>
        <v/>
      </c>
      <c r="R79" s="1435" t="str">
        <f aca="false">IF($H79=R$4,$D79*$N79,"")</f>
        <v/>
      </c>
      <c r="S79" s="1435" t="str">
        <f aca="false">IF($H79=S$4,$D79*$N79,"")</f>
        <v/>
      </c>
      <c r="T79" s="1435" t="str">
        <f aca="false">IF($H79=T$4,$D79*$N79,"")</f>
        <v/>
      </c>
      <c r="U79" s="1436" t="str">
        <f aca="false">IF($H79=U$4,$D79*$N79,"")</f>
        <v/>
      </c>
      <c r="V79" s="1418"/>
      <c r="W79" s="1419"/>
      <c r="X79" s="1419"/>
      <c r="Y79" s="1419"/>
      <c r="Z79" s="1419"/>
      <c r="AA79" s="1419"/>
      <c r="AB79" s="1420"/>
      <c r="AC79" s="1319"/>
      <c r="AD79" s="2" t="str">
        <f aca="false">IF(AND(AD$4=$G79,AD$6=$F79),$B79,"")</f>
        <v/>
      </c>
      <c r="AE79" s="2" t="str">
        <f aca="false">IF(AND(AE$4=$G79,AE$6=$F79),$B79,"")</f>
        <v/>
      </c>
      <c r="AF79" s="2" t="str">
        <f aca="false">IF(AND(AF$4=$G79,AF$6=$F79),$B79,"")</f>
        <v/>
      </c>
      <c r="AG79" s="2" t="str">
        <f aca="false">IF(AND(AG$4=$G79,AG$6=$F79),$B79,"")</f>
        <v/>
      </c>
      <c r="AI79" s="366"/>
      <c r="AL79" s="367"/>
      <c r="AO79" s="367"/>
      <c r="AP79" s="2" t="str">
        <f aca="false">IF(AT79&gt;0,RANK(AT79,AT$7:AT$423),"")</f>
        <v/>
      </c>
      <c r="AQ79" s="2" t="n">
        <f aca="false">'O_MN, PE_UTA_UGM 2024'!C75</f>
        <v>123</v>
      </c>
      <c r="AR79" s="1421" t="n">
        <v>1210</v>
      </c>
      <c r="AS79" s="2" t="str">
        <f aca="false">IF(AY79&lt;&gt;"",AY79,"")</f>
        <v/>
      </c>
      <c r="AT79" s="1422" t="n">
        <f aca="false">IF(ISNUMBER($AR79),SUMIF(B$7:B$505,AR79,D$7:D$505),"")</f>
        <v>0</v>
      </c>
      <c r="AU79" s="1411" t="n">
        <f aca="false">IF(ISNUMBER($AR79),SUMIF(AD$7:AD$503,$AR79,J$7:J$503),"")</f>
        <v>0</v>
      </c>
      <c r="AV79" s="1411" t="n">
        <f aca="false">IF(ISNUMBER($AR79),SUMIF(AF$7:AF$503,$AR79,L$7:L$503),"")</f>
        <v>0</v>
      </c>
      <c r="AW79" s="1423" t="n">
        <f aca="false">IF(ISNUMBER($AR79),SUMIF(AE$7:AE$503,$AR79,K$7:K$503),"")</f>
        <v>0</v>
      </c>
      <c r="AX79" s="1423" t="n">
        <f aca="false">IF(ISNUMBER($AR79),SUMIF(AG$7:AG$503,$AR79,M$7:M$503),"")</f>
        <v>0</v>
      </c>
      <c r="AY79" s="2" t="str">
        <f aca="false">IF($AT79&gt;0,VLOOKUP($AR79,'O_MN, PE_UTA_UGM 2024'!E75:O491,2),"")</f>
        <v/>
      </c>
      <c r="AZ79" s="1424"/>
      <c r="BA79" s="1424"/>
      <c r="BB79" s="1424" t="str">
        <f aca="false">IF($AT79&gt;0,VLOOKUP($AR79,'O_MN, PE_UTA_UGM 2024'!$E$3:$O$419,BB$6),"")</f>
        <v/>
      </c>
      <c r="BC79" s="1424" t="str">
        <f aca="false">IF($AT79&gt;0,VLOOKUP($AR79,'O_MN, PE_UTA_UGM 2024'!$E$3:$O$419,BC$6),"")</f>
        <v/>
      </c>
      <c r="BD79" s="1424" t="str">
        <f aca="false">IF($AT79&gt;0,VLOOKUP($AR79,'O_MN, PE_UTA_UGM 2024'!$E$3:$O$419,BD$6),"")</f>
        <v/>
      </c>
      <c r="BE79" s="1424" t="str">
        <f aca="false">IF($AT79&gt;0,VLOOKUP($AR79,'O_MN, PE_UTA_UGM 2024'!$E$3:$O$419,BE$6),"")</f>
        <v/>
      </c>
      <c r="BF79" s="1424" t="str">
        <f aca="false">IF($AT79&gt;0,VLOOKUP($AR79,'O_MN, PE_UTA_UGM 2024'!$E$3:$O$419,BF$6),"")</f>
        <v/>
      </c>
      <c r="BG79" s="1424" t="str">
        <f aca="false">IF($AT79&gt;0,VLOOKUP($AR79,'O_MN, PE_UTA_UGM 2024'!$E$3:$O$419,BG$6),"")</f>
        <v/>
      </c>
      <c r="BH79" s="872"/>
      <c r="BI79" s="872"/>
      <c r="BJ79" s="872"/>
      <c r="BK79" s="872"/>
      <c r="BM79" s="1411"/>
      <c r="BN79" s="1411"/>
      <c r="BO79" s="1425" t="str">
        <f aca="false">IF(ISNUMBER($AU79*BB79*1),$AU79*BB79*1,"")</f>
        <v/>
      </c>
      <c r="BP79" s="1425" t="str">
        <f aca="false">IF(ISNUMBER($AV79*BC79*1),$AV79*BC79*1,"")</f>
        <v/>
      </c>
      <c r="BQ79" s="1425" t="str">
        <f aca="false">IF(ISNUMBER($AU79*BD79*1),$AU79*BD79*1,"")</f>
        <v/>
      </c>
      <c r="BR79" s="1425" t="str">
        <f aca="false">IF(ISNUMBER($AV79*BE79*1),$AV79*BE79*1,"")</f>
        <v/>
      </c>
      <c r="BS79" s="1411" t="str">
        <f aca="false">IF(ISNUMBER($AU79*BF79),$AU79*BF79,"")</f>
        <v/>
      </c>
      <c r="BT79" s="1411" t="str">
        <f aca="false">IF(ISNUMBER($AV79*BG79),$AV79*BG79,"")</f>
        <v/>
      </c>
      <c r="BU79" s="1411"/>
      <c r="BV79" s="1411"/>
      <c r="BW79" s="1411"/>
      <c r="BX79" s="1411"/>
      <c r="BZ79" s="1372"/>
      <c r="CA79" s="1372"/>
      <c r="CB79" s="1426" t="str">
        <f aca="false">IF(ISNUMBER($AW79*BB79),$AW79*BB79,"")</f>
        <v/>
      </c>
      <c r="CC79" s="1426" t="str">
        <f aca="false">IF(ISNUMBER($AX79*BC79),$AX79*BC79,"")</f>
        <v/>
      </c>
      <c r="CD79" s="1426" t="str">
        <f aca="false">IF(ISNUMBER($AW79*BD79),$AW79*BD79,"")</f>
        <v/>
      </c>
      <c r="CE79" s="1426" t="str">
        <f aca="false">IF(ISNUMBER($AX79*BE79),$AX79*BE79,"")</f>
        <v/>
      </c>
      <c r="CF79" s="1372" t="str">
        <f aca="false">IF(ISNUMBER($AW79*BF79),$AW79*BF79,"")</f>
        <v/>
      </c>
      <c r="CG79" s="1372" t="str">
        <f aca="false">IF(ISNUMBER($AX79*BG79),$AX79*BG79,"")</f>
        <v/>
      </c>
      <c r="CH79" s="1438"/>
      <c r="CI79" s="1438"/>
      <c r="CJ79" s="1438"/>
      <c r="CK79" s="1438"/>
      <c r="CU79" s="1411"/>
      <c r="CV79" s="1411"/>
      <c r="CW79" s="1425"/>
      <c r="CX79" s="1425"/>
      <c r="CY79" s="1425"/>
      <c r="CZ79" s="1425"/>
      <c r="DA79" s="1411"/>
      <c r="DB79" s="1411"/>
      <c r="DC79" s="1411"/>
      <c r="DD79" s="1411"/>
      <c r="DE79" s="1411"/>
      <c r="DF79" s="1411"/>
      <c r="DH79" s="1432"/>
      <c r="DI79" s="1432"/>
      <c r="DJ79" s="1437"/>
      <c r="DK79" s="1437"/>
      <c r="DL79" s="1437"/>
      <c r="DM79" s="1437"/>
      <c r="DN79" s="1432"/>
      <c r="DO79" s="1432"/>
      <c r="DP79" s="1432"/>
      <c r="DQ79" s="1432"/>
      <c r="DR79" s="1432"/>
      <c r="DS79" s="1432"/>
      <c r="DT79" s="1316"/>
      <c r="DU79" s="1433"/>
      <c r="DV79" s="1433"/>
      <c r="DW79" s="1433"/>
      <c r="DX79" s="1433"/>
      <c r="DY79" s="1433"/>
      <c r="DZ79" s="1433"/>
      <c r="EA79" s="1433"/>
      <c r="EB79" s="1433"/>
    </row>
    <row r="80" customFormat="false" ht="14.25" hidden="false" customHeight="false" outlineLevel="0" collapsed="false">
      <c r="A80" s="2" t="n">
        <f aca="false">'V_DATOS PAC_SGA'!R75</f>
        <v>0</v>
      </c>
      <c r="B80" s="2" t="n">
        <f aca="false">IF(I80="IV",CONCATENATE('V_DATOS PAC_SGA'!R75,"4")+0,CONCATENATE('V_DATOS PAC_SGA'!R75,"0")+0)</f>
        <v>0</v>
      </c>
      <c r="C80" s="2" t="n">
        <f aca="false">'V_DATOS PAC_SGA'!S75</f>
        <v>0</v>
      </c>
      <c r="D80" s="1409" t="n">
        <f aca="false">'V_DATOS PAC_SGA'!Y75</f>
        <v>0</v>
      </c>
      <c r="E80" s="1410" t="str">
        <f aca="false">IF('V_DATOS PAC_SGA'!AV75="","Regadio",'V_DATOS PAC_SGA'!AV75)</f>
        <v>Regadio</v>
      </c>
      <c r="F80" s="1411" t="n">
        <f aca="false">'V_DATOS PAC_SGA'!BK75</f>
        <v>0</v>
      </c>
      <c r="G80" s="1412" t="n">
        <f aca="false">'V_DATOS PAC_SGA'!AN75</f>
        <v>0</v>
      </c>
      <c r="H80" s="1413" t="str">
        <f aca="false">IF(B80&gt;0,VLOOKUP(B80,'O_MN, PE_UTA_UGM 2024'!E$3:O$419,10),"")</f>
        <v/>
      </c>
      <c r="I80" s="1359" t="n">
        <f aca="false">'V_DATOS PAC_SGA'!BV75</f>
        <v>0</v>
      </c>
      <c r="J80" s="2" t="str">
        <f aca="false">IF(AND(J$4=$G80,J$6=$F80),$D80*J$5,"")</f>
        <v/>
      </c>
      <c r="K80" s="2" t="str">
        <f aca="false">IF(AND(K$4=$G80,K$6=$F80),$D80*K$5,"")</f>
        <v/>
      </c>
      <c r="L80" s="2" t="str">
        <f aca="false">IF(AND(L$4=$G80,L$6=$F80),$D80*L$5,"")</f>
        <v/>
      </c>
      <c r="M80" s="2" t="str">
        <f aca="false">IF(AND(M$4=$G80,M$6=$F80),$D80*M$5,"")</f>
        <v/>
      </c>
      <c r="N80" s="1414" t="n">
        <f aca="false">VLOOKUP(B80,'O_MN, PE_UTA_UGM 2024'!$E$2:$K$419,IF(G80&gt;1,6,7))</f>
        <v>0</v>
      </c>
      <c r="O80" s="1434" t="str">
        <f aca="false">IF($H80=O$4,$D80*$N80,"")</f>
        <v/>
      </c>
      <c r="P80" s="1435" t="str">
        <f aca="false">IF($H80=P$4,$D80*$N80,"")</f>
        <v/>
      </c>
      <c r="Q80" s="1435" t="str">
        <f aca="false">IF($H80=Q$4,$D80*$N80,"")</f>
        <v/>
      </c>
      <c r="R80" s="1435" t="str">
        <f aca="false">IF($H80=R$4,$D80*$N80,"")</f>
        <v/>
      </c>
      <c r="S80" s="1435" t="str">
        <f aca="false">IF($H80=S$4,$D80*$N80,"")</f>
        <v/>
      </c>
      <c r="T80" s="1435" t="str">
        <f aca="false">IF($H80=T$4,$D80*$N80,"")</f>
        <v/>
      </c>
      <c r="U80" s="1436" t="str">
        <f aca="false">IF($H80=U$4,$D80*$N80,"")</f>
        <v/>
      </c>
      <c r="V80" s="1418"/>
      <c r="W80" s="1419"/>
      <c r="X80" s="1419"/>
      <c r="Y80" s="1419"/>
      <c r="Z80" s="1419"/>
      <c r="AA80" s="1419"/>
      <c r="AB80" s="1420"/>
      <c r="AC80" s="1319"/>
      <c r="AD80" s="2" t="str">
        <f aca="false">IF(AND(AD$4=$G80,AD$6=$F80),$B80,"")</f>
        <v/>
      </c>
      <c r="AE80" s="2" t="str">
        <f aca="false">IF(AND(AE$4=$G80,AE$6=$F80),$B80,"")</f>
        <v/>
      </c>
      <c r="AF80" s="2" t="str">
        <f aca="false">IF(AND(AF$4=$G80,AF$6=$F80),$B80,"")</f>
        <v/>
      </c>
      <c r="AG80" s="2" t="str">
        <f aca="false">IF(AND(AG$4=$G80,AG$6=$F80),$B80,"")</f>
        <v/>
      </c>
      <c r="AI80" s="366"/>
      <c r="AL80" s="367"/>
      <c r="AO80" s="367"/>
      <c r="AP80" s="2" t="str">
        <f aca="false">IF(AT80&gt;0,RANK(AT80,AT$7:AT$423),"")</f>
        <v/>
      </c>
      <c r="AQ80" s="2" t="n">
        <f aca="false">'O_MN, PE_UTA_UGM 2024'!C76</f>
        <v>124</v>
      </c>
      <c r="AR80" s="1421" t="n">
        <v>1214</v>
      </c>
      <c r="AS80" s="2" t="str">
        <f aca="false">IF(AY80&lt;&gt;"",AY80,"")</f>
        <v/>
      </c>
      <c r="AT80" s="1422" t="n">
        <f aca="false">IF(ISNUMBER($AR80),SUMIF(B$7:B$505,AR80,D$7:D$505),"")</f>
        <v>0</v>
      </c>
      <c r="AU80" s="1411" t="n">
        <f aca="false">IF(ISNUMBER($AR80),SUMIF(AD$7:AD$503,$AR80,J$7:J$503),"")</f>
        <v>0</v>
      </c>
      <c r="AV80" s="1411" t="n">
        <f aca="false">IF(ISNUMBER($AR80),SUMIF(AF$7:AF$503,$AR80,L$7:L$503),"")</f>
        <v>0</v>
      </c>
      <c r="AW80" s="1423" t="n">
        <f aca="false">IF(ISNUMBER($AR80),SUMIF(AE$7:AE$503,$AR80,K$7:K$503),"")</f>
        <v>0</v>
      </c>
      <c r="AX80" s="1423" t="n">
        <f aca="false">IF(ISNUMBER($AR80),SUMIF(AG$7:AG$503,$AR80,M$7:M$503),"")</f>
        <v>0</v>
      </c>
      <c r="AY80" s="2" t="str">
        <f aca="false">IF($AT80&gt;0,VLOOKUP($AR80,'O_MN, PE_UTA_UGM 2024'!E76:O492,2),"")</f>
        <v/>
      </c>
      <c r="AZ80" s="1424"/>
      <c r="BA80" s="1424"/>
      <c r="BB80" s="1424" t="str">
        <f aca="false">IF($AT80&gt;0,VLOOKUP($AR80,'O_MN, PE_UTA_UGM 2024'!$E$3:$O$419,BB$6),"")</f>
        <v/>
      </c>
      <c r="BC80" s="1424" t="str">
        <f aca="false">IF($AT80&gt;0,VLOOKUP($AR80,'O_MN, PE_UTA_UGM 2024'!$E$3:$O$419,BC$6),"")</f>
        <v/>
      </c>
      <c r="BD80" s="1424" t="str">
        <f aca="false">IF($AT80&gt;0,VLOOKUP($AR80,'O_MN, PE_UTA_UGM 2024'!$E$3:$O$419,BD$6),"")</f>
        <v/>
      </c>
      <c r="BE80" s="1424" t="str">
        <f aca="false">IF($AT80&gt;0,VLOOKUP($AR80,'O_MN, PE_UTA_UGM 2024'!$E$3:$O$419,BE$6),"")</f>
        <v/>
      </c>
      <c r="BF80" s="1424" t="str">
        <f aca="false">IF($AT80&gt;0,VLOOKUP($AR80,'O_MN, PE_UTA_UGM 2024'!$E$3:$O$419,BF$6),"")</f>
        <v/>
      </c>
      <c r="BG80" s="1424" t="str">
        <f aca="false">IF($AT80&gt;0,VLOOKUP($AR80,'O_MN, PE_UTA_UGM 2024'!$E$3:$O$419,BG$6),"")</f>
        <v/>
      </c>
      <c r="BH80" s="872"/>
      <c r="BI80" s="872"/>
      <c r="BJ80" s="872"/>
      <c r="BK80" s="872"/>
      <c r="BM80" s="1411"/>
      <c r="BN80" s="1411"/>
      <c r="BO80" s="1425" t="str">
        <f aca="false">IF(ISNUMBER($AU80*BB80*1),$AU80*BB80*1,"")</f>
        <v/>
      </c>
      <c r="BP80" s="1425" t="str">
        <f aca="false">IF(ISNUMBER($AV80*BC80*1),$AV80*BC80*1,"")</f>
        <v/>
      </c>
      <c r="BQ80" s="1425" t="str">
        <f aca="false">IF(ISNUMBER($AU80*BD80*1),$AU80*BD80*1,"")</f>
        <v/>
      </c>
      <c r="BR80" s="1425" t="str">
        <f aca="false">IF(ISNUMBER($AV80*BE80*1),$AV80*BE80*1,"")</f>
        <v/>
      </c>
      <c r="BS80" s="1411" t="str">
        <f aca="false">IF(ISNUMBER($AU80*BF80),$AU80*BF80,"")</f>
        <v/>
      </c>
      <c r="BT80" s="1411" t="str">
        <f aca="false">IF(ISNUMBER($AV80*BG80),$AV80*BG80,"")</f>
        <v/>
      </c>
      <c r="BU80" s="1411"/>
      <c r="BV80" s="1411"/>
      <c r="BW80" s="1411"/>
      <c r="BX80" s="1411"/>
      <c r="BZ80" s="1372"/>
      <c r="CA80" s="1372"/>
      <c r="CB80" s="1426" t="str">
        <f aca="false">IF(ISNUMBER($AW80*BB80),$AW80*BB80,"")</f>
        <v/>
      </c>
      <c r="CC80" s="1426" t="str">
        <f aca="false">IF(ISNUMBER($AX80*BC80),$AX80*BC80,"")</f>
        <v/>
      </c>
      <c r="CD80" s="1426" t="str">
        <f aca="false">IF(ISNUMBER($AW80*BD80),$AW80*BD80,"")</f>
        <v/>
      </c>
      <c r="CE80" s="1426" t="str">
        <f aca="false">IF(ISNUMBER($AX80*BE80),$AX80*BE80,"")</f>
        <v/>
      </c>
      <c r="CF80" s="1372" t="str">
        <f aca="false">IF(ISNUMBER($AW80*BF80),$AW80*BF80,"")</f>
        <v/>
      </c>
      <c r="CG80" s="1372" t="str">
        <f aca="false">IF(ISNUMBER($AX80*BG80),$AX80*BG80,"")</f>
        <v/>
      </c>
      <c r="CH80" s="1438"/>
      <c r="CI80" s="1438"/>
      <c r="CJ80" s="1438"/>
      <c r="CK80" s="1438"/>
      <c r="CU80" s="1411"/>
      <c r="CV80" s="1411"/>
      <c r="CW80" s="1425"/>
      <c r="CX80" s="1425"/>
      <c r="CY80" s="1425"/>
      <c r="CZ80" s="1425"/>
      <c r="DA80" s="1411"/>
      <c r="DB80" s="1411"/>
      <c r="DC80" s="1411"/>
      <c r="DD80" s="1411"/>
      <c r="DE80" s="1411"/>
      <c r="DF80" s="1411"/>
      <c r="DH80" s="1432"/>
      <c r="DI80" s="1432"/>
      <c r="DJ80" s="1437"/>
      <c r="DK80" s="1437"/>
      <c r="DL80" s="1437"/>
      <c r="DM80" s="1437"/>
      <c r="DN80" s="1432"/>
      <c r="DO80" s="1432"/>
      <c r="DP80" s="1432"/>
      <c r="DQ80" s="1432"/>
      <c r="DR80" s="1432"/>
      <c r="DS80" s="1432"/>
      <c r="DT80" s="1316"/>
      <c r="DU80" s="1433"/>
      <c r="DV80" s="1433"/>
      <c r="DW80" s="1433"/>
      <c r="DX80" s="1433"/>
      <c r="DY80" s="1433"/>
      <c r="DZ80" s="1433"/>
      <c r="EA80" s="1433"/>
      <c r="EB80" s="1433"/>
    </row>
    <row r="81" customFormat="false" ht="14.25" hidden="false" customHeight="false" outlineLevel="0" collapsed="false">
      <c r="A81" s="2" t="n">
        <f aca="false">'V_DATOS PAC_SGA'!R76</f>
        <v>0</v>
      </c>
      <c r="B81" s="2" t="n">
        <f aca="false">IF(I81="IV",CONCATENATE('V_DATOS PAC_SGA'!R76,"4")+0,CONCATENATE('V_DATOS PAC_SGA'!R76,"0")+0)</f>
        <v>0</v>
      </c>
      <c r="C81" s="2" t="n">
        <f aca="false">'V_DATOS PAC_SGA'!S76</f>
        <v>0</v>
      </c>
      <c r="D81" s="1409" t="n">
        <f aca="false">'V_DATOS PAC_SGA'!Y76</f>
        <v>0</v>
      </c>
      <c r="E81" s="1410" t="str">
        <f aca="false">IF('V_DATOS PAC_SGA'!AV76="","Regadio",'V_DATOS PAC_SGA'!AV76)</f>
        <v>Regadio</v>
      </c>
      <c r="F81" s="1411" t="n">
        <f aca="false">'V_DATOS PAC_SGA'!BK76</f>
        <v>0</v>
      </c>
      <c r="G81" s="1412" t="n">
        <f aca="false">'V_DATOS PAC_SGA'!AN76</f>
        <v>0</v>
      </c>
      <c r="H81" s="1413" t="str">
        <f aca="false">IF(B81&gt;0,VLOOKUP(B81,'O_MN, PE_UTA_UGM 2024'!E$3:O$419,10),"")</f>
        <v/>
      </c>
      <c r="I81" s="1359" t="n">
        <f aca="false">'V_DATOS PAC_SGA'!BV76</f>
        <v>0</v>
      </c>
      <c r="J81" s="2" t="str">
        <f aca="false">IF(AND(J$4=$G81,J$6=$F81),$D81*J$5,"")</f>
        <v/>
      </c>
      <c r="K81" s="2" t="str">
        <f aca="false">IF(AND(K$4=$G81,K$6=$F81),$D81*K$5,"")</f>
        <v/>
      </c>
      <c r="L81" s="2" t="str">
        <f aca="false">IF(AND(L$4=$G81,L$6=$F81),$D81*L$5,"")</f>
        <v/>
      </c>
      <c r="M81" s="2" t="str">
        <f aca="false">IF(AND(M$4=$G81,M$6=$F81),$D81*M$5,"")</f>
        <v/>
      </c>
      <c r="N81" s="1414" t="n">
        <f aca="false">VLOOKUP(B81,'O_MN, PE_UTA_UGM 2024'!$E$2:$K$419,IF(G81&gt;1,6,7))</f>
        <v>0</v>
      </c>
      <c r="O81" s="1434" t="str">
        <f aca="false">IF($H81=O$4,$D81*$N81,"")</f>
        <v/>
      </c>
      <c r="P81" s="1435" t="str">
        <f aca="false">IF($H81=P$4,$D81*$N81,"")</f>
        <v/>
      </c>
      <c r="Q81" s="1435" t="str">
        <f aca="false">IF($H81=Q$4,$D81*$N81,"")</f>
        <v/>
      </c>
      <c r="R81" s="1435" t="str">
        <f aca="false">IF($H81=R$4,$D81*$N81,"")</f>
        <v/>
      </c>
      <c r="S81" s="1435" t="str">
        <f aca="false">IF($H81=S$4,$D81*$N81,"")</f>
        <v/>
      </c>
      <c r="T81" s="1435" t="str">
        <f aca="false">IF($H81=T$4,$D81*$N81,"")</f>
        <v/>
      </c>
      <c r="U81" s="1436" t="str">
        <f aca="false">IF($H81=U$4,$D81*$N81,"")</f>
        <v/>
      </c>
      <c r="V81" s="1418"/>
      <c r="W81" s="1419"/>
      <c r="X81" s="1419"/>
      <c r="Y81" s="1419"/>
      <c r="Z81" s="1419"/>
      <c r="AA81" s="1419"/>
      <c r="AB81" s="1420"/>
      <c r="AC81" s="1319"/>
      <c r="AD81" s="2" t="str">
        <f aca="false">IF(AND(AD$4=$G81,AD$6=$F81),$B81,"")</f>
        <v/>
      </c>
      <c r="AE81" s="2" t="str">
        <f aca="false">IF(AND(AE$4=$G81,AE$6=$F81),$B81,"")</f>
        <v/>
      </c>
      <c r="AF81" s="2" t="str">
        <f aca="false">IF(AND(AF$4=$G81,AF$6=$F81),$B81,"")</f>
        <v/>
      </c>
      <c r="AG81" s="2" t="str">
        <f aca="false">IF(AND(AG$4=$G81,AG$6=$F81),$B81,"")</f>
        <v/>
      </c>
      <c r="AI81" s="366"/>
      <c r="AL81" s="367"/>
      <c r="AO81" s="367"/>
      <c r="AP81" s="2" t="str">
        <f aca="false">IF(AT81&gt;0,RANK(AT81,AT$7:AT$423),"")</f>
        <v/>
      </c>
      <c r="AQ81" s="2" t="n">
        <f aca="false">'O_MN, PE_UTA_UGM 2024'!C77</f>
        <v>125</v>
      </c>
      <c r="AR81" s="1421" t="n">
        <v>1219</v>
      </c>
      <c r="AS81" s="2" t="str">
        <f aca="false">IF(AY81&lt;&gt;"",AY81,"")</f>
        <v/>
      </c>
      <c r="AT81" s="1422" t="n">
        <f aca="false">IF(ISNUMBER($AR81),SUMIF(B$7:B$505,AR81,D$7:D$505),"")</f>
        <v>0</v>
      </c>
      <c r="AU81" s="1411" t="n">
        <f aca="false">IF(ISNUMBER($AR81),SUMIF(AD$7:AD$503,$AR81,J$7:J$503),"")</f>
        <v>0</v>
      </c>
      <c r="AV81" s="1411" t="n">
        <f aca="false">IF(ISNUMBER($AR81),SUMIF(AF$7:AF$503,$AR81,L$7:L$503),"")</f>
        <v>0</v>
      </c>
      <c r="AW81" s="1423" t="n">
        <f aca="false">IF(ISNUMBER($AR81),SUMIF(AE$7:AE$503,$AR81,K$7:K$503),"")</f>
        <v>0</v>
      </c>
      <c r="AX81" s="1423" t="n">
        <f aca="false">IF(ISNUMBER($AR81),SUMIF(AG$7:AG$503,$AR81,M$7:M$503),"")</f>
        <v>0</v>
      </c>
      <c r="AY81" s="2" t="str">
        <f aca="false">IF($AT81&gt;0,VLOOKUP($AR81,'O_MN, PE_UTA_UGM 2024'!E77:O493,2),"")</f>
        <v/>
      </c>
      <c r="AZ81" s="1424"/>
      <c r="BA81" s="1424"/>
      <c r="BB81" s="1424" t="str">
        <f aca="false">IF($AT81&gt;0,VLOOKUP($AR81,'O_MN, PE_UTA_UGM 2024'!$E$3:$O$419,BB$6),"")</f>
        <v/>
      </c>
      <c r="BC81" s="1424" t="str">
        <f aca="false">IF($AT81&gt;0,VLOOKUP($AR81,'O_MN, PE_UTA_UGM 2024'!$E$3:$O$419,BC$6),"")</f>
        <v/>
      </c>
      <c r="BD81" s="1424" t="str">
        <f aca="false">IF($AT81&gt;0,VLOOKUP($AR81,'O_MN, PE_UTA_UGM 2024'!$E$3:$O$419,BD$6),"")</f>
        <v/>
      </c>
      <c r="BE81" s="1424" t="str">
        <f aca="false">IF($AT81&gt;0,VLOOKUP($AR81,'O_MN, PE_UTA_UGM 2024'!$E$3:$O$419,BE$6),"")</f>
        <v/>
      </c>
      <c r="BF81" s="1424" t="str">
        <f aca="false">IF($AT81&gt;0,VLOOKUP($AR81,'O_MN, PE_UTA_UGM 2024'!$E$3:$O$419,BF$6),"")</f>
        <v/>
      </c>
      <c r="BG81" s="1424" t="str">
        <f aca="false">IF($AT81&gt;0,VLOOKUP($AR81,'O_MN, PE_UTA_UGM 2024'!$E$3:$O$419,BG$6),"")</f>
        <v/>
      </c>
      <c r="BH81" s="872"/>
      <c r="BI81" s="872"/>
      <c r="BJ81" s="872"/>
      <c r="BK81" s="872"/>
      <c r="BM81" s="1411"/>
      <c r="BN81" s="1411"/>
      <c r="BO81" s="1425" t="str">
        <f aca="false">IF(ISNUMBER($AU81*BB81*1),$AU81*BB81*1,"")</f>
        <v/>
      </c>
      <c r="BP81" s="1425" t="str">
        <f aca="false">IF(ISNUMBER($AV81*BC81*1),$AV81*BC81*1,"")</f>
        <v/>
      </c>
      <c r="BQ81" s="1425" t="str">
        <f aca="false">IF(ISNUMBER($AU81*BD81*1),$AU81*BD81*1,"")</f>
        <v/>
      </c>
      <c r="BR81" s="1425" t="str">
        <f aca="false">IF(ISNUMBER($AV81*BE81*1),$AV81*BE81*1,"")</f>
        <v/>
      </c>
      <c r="BS81" s="1411" t="str">
        <f aca="false">IF(ISNUMBER($AU81*BF81),$AU81*BF81,"")</f>
        <v/>
      </c>
      <c r="BT81" s="1411" t="str">
        <f aca="false">IF(ISNUMBER($AV81*BG81),$AV81*BG81,"")</f>
        <v/>
      </c>
      <c r="BU81" s="1411"/>
      <c r="BV81" s="1411"/>
      <c r="BW81" s="1411"/>
      <c r="BX81" s="1411"/>
      <c r="BZ81" s="1372"/>
      <c r="CA81" s="1372"/>
      <c r="CB81" s="1426" t="str">
        <f aca="false">IF(ISNUMBER($AW81*BB81),$AW81*BB81,"")</f>
        <v/>
      </c>
      <c r="CC81" s="1426" t="str">
        <f aca="false">IF(ISNUMBER($AX81*BC81),$AX81*BC81,"")</f>
        <v/>
      </c>
      <c r="CD81" s="1426" t="str">
        <f aca="false">IF(ISNUMBER($AW81*BD81),$AW81*BD81,"")</f>
        <v/>
      </c>
      <c r="CE81" s="1426" t="str">
        <f aca="false">IF(ISNUMBER($AX81*BE81),$AX81*BE81,"")</f>
        <v/>
      </c>
      <c r="CF81" s="1372" t="str">
        <f aca="false">IF(ISNUMBER($AW81*BF81),$AW81*BF81,"")</f>
        <v/>
      </c>
      <c r="CG81" s="1372" t="str">
        <f aca="false">IF(ISNUMBER($AX81*BG81),$AX81*BG81,"")</f>
        <v/>
      </c>
      <c r="CH81" s="1438"/>
      <c r="CI81" s="1438"/>
      <c r="CJ81" s="1438"/>
      <c r="CK81" s="1438"/>
      <c r="CU81" s="1411"/>
      <c r="CV81" s="1411"/>
      <c r="CW81" s="1425"/>
      <c r="CX81" s="1425"/>
      <c r="CY81" s="1425"/>
      <c r="CZ81" s="1425"/>
      <c r="DA81" s="1411"/>
      <c r="DB81" s="1411"/>
      <c r="DC81" s="1411"/>
      <c r="DD81" s="1411"/>
      <c r="DE81" s="1411"/>
      <c r="DF81" s="1411"/>
      <c r="DH81" s="1432"/>
      <c r="DI81" s="1432"/>
      <c r="DJ81" s="1437"/>
      <c r="DK81" s="1437"/>
      <c r="DL81" s="1437"/>
      <c r="DM81" s="1437"/>
      <c r="DN81" s="1432"/>
      <c r="DO81" s="1432"/>
      <c r="DP81" s="1432"/>
      <c r="DQ81" s="1432"/>
      <c r="DR81" s="1432"/>
      <c r="DS81" s="1432"/>
      <c r="DT81" s="1316"/>
      <c r="DU81" s="1433"/>
      <c r="DV81" s="1433"/>
      <c r="DW81" s="1433"/>
      <c r="DX81" s="1433"/>
      <c r="DY81" s="1433"/>
      <c r="DZ81" s="1433"/>
      <c r="EA81" s="1433"/>
      <c r="EB81" s="1433"/>
    </row>
    <row r="82" customFormat="false" ht="14.25" hidden="false" customHeight="false" outlineLevel="0" collapsed="false">
      <c r="A82" s="2" t="n">
        <f aca="false">'V_DATOS PAC_SGA'!R77</f>
        <v>0</v>
      </c>
      <c r="B82" s="2" t="n">
        <f aca="false">IF(I82="IV",CONCATENATE('V_DATOS PAC_SGA'!R77,"4")+0,CONCATENATE('V_DATOS PAC_SGA'!R77,"0")+0)</f>
        <v>0</v>
      </c>
      <c r="C82" s="2" t="n">
        <f aca="false">'V_DATOS PAC_SGA'!S77</f>
        <v>0</v>
      </c>
      <c r="D82" s="1409" t="n">
        <f aca="false">'V_DATOS PAC_SGA'!Y77</f>
        <v>0</v>
      </c>
      <c r="E82" s="1410" t="str">
        <f aca="false">IF('V_DATOS PAC_SGA'!AV77="","Regadio",'V_DATOS PAC_SGA'!AV77)</f>
        <v>Regadio</v>
      </c>
      <c r="F82" s="1411" t="n">
        <f aca="false">'V_DATOS PAC_SGA'!BK77</f>
        <v>0</v>
      </c>
      <c r="G82" s="1412" t="n">
        <f aca="false">'V_DATOS PAC_SGA'!AN77</f>
        <v>0</v>
      </c>
      <c r="H82" s="1413" t="str">
        <f aca="false">IF(B82&gt;0,VLOOKUP(B82,'O_MN, PE_UTA_UGM 2024'!E$3:O$419,10),"")</f>
        <v/>
      </c>
      <c r="I82" s="1359" t="n">
        <f aca="false">'V_DATOS PAC_SGA'!BV77</f>
        <v>0</v>
      </c>
      <c r="J82" s="2" t="str">
        <f aca="false">IF(AND(J$4=$G82,J$6=$F82),$D82*J$5,"")</f>
        <v/>
      </c>
      <c r="K82" s="2" t="str">
        <f aca="false">IF(AND(K$4=$G82,K$6=$F82),$D82*K$5,"")</f>
        <v/>
      </c>
      <c r="L82" s="2" t="str">
        <f aca="false">IF(AND(L$4=$G82,L$6=$F82),$D82*L$5,"")</f>
        <v/>
      </c>
      <c r="M82" s="2" t="str">
        <f aca="false">IF(AND(M$4=$G82,M$6=$F82),$D82*M$5,"")</f>
        <v/>
      </c>
      <c r="N82" s="1414" t="n">
        <f aca="false">VLOOKUP(B82,'O_MN, PE_UTA_UGM 2024'!$E$2:$K$419,IF(G82&gt;1,6,7))</f>
        <v>0</v>
      </c>
      <c r="O82" s="1434" t="str">
        <f aca="false">IF($H82=O$4,$D82*$N82,"")</f>
        <v/>
      </c>
      <c r="P82" s="1435" t="str">
        <f aca="false">IF($H82=P$4,$D82*$N82,"")</f>
        <v/>
      </c>
      <c r="Q82" s="1435" t="str">
        <f aca="false">IF($H82=Q$4,$D82*$N82,"")</f>
        <v/>
      </c>
      <c r="R82" s="1435" t="str">
        <f aca="false">IF($H82=R$4,$D82*$N82,"")</f>
        <v/>
      </c>
      <c r="S82" s="1435" t="str">
        <f aca="false">IF($H82=S$4,$D82*$N82,"")</f>
        <v/>
      </c>
      <c r="T82" s="1435" t="str">
        <f aca="false">IF($H82=T$4,$D82*$N82,"")</f>
        <v/>
      </c>
      <c r="U82" s="1436" t="str">
        <f aca="false">IF($H82=U$4,$D82*$N82,"")</f>
        <v/>
      </c>
      <c r="V82" s="1418"/>
      <c r="W82" s="1419"/>
      <c r="X82" s="1419"/>
      <c r="Y82" s="1419"/>
      <c r="Z82" s="1419"/>
      <c r="AA82" s="1419"/>
      <c r="AB82" s="1420"/>
      <c r="AC82" s="1319"/>
      <c r="AD82" s="2" t="str">
        <f aca="false">IF(AND(AD$4=$G82,AD$6=$F82),$B82,"")</f>
        <v/>
      </c>
      <c r="AE82" s="2" t="str">
        <f aca="false">IF(AND(AE$4=$G82,AE$6=$F82),$B82,"")</f>
        <v/>
      </c>
      <c r="AF82" s="2" t="str">
        <f aca="false">IF(AND(AF$4=$G82,AF$6=$F82),$B82,"")</f>
        <v/>
      </c>
      <c r="AG82" s="2" t="str">
        <f aca="false">IF(AND(AG$4=$G82,AG$6=$F82),$B82,"")</f>
        <v/>
      </c>
      <c r="AI82" s="366"/>
      <c r="AL82" s="367"/>
      <c r="AO82" s="367"/>
      <c r="AP82" s="2" t="str">
        <f aca="false">IF(AT82&gt;0,RANK(AT82,AT$7:AT$423),"")</f>
        <v/>
      </c>
      <c r="AQ82" s="2" t="n">
        <f aca="false">'O_MN, PE_UTA_UGM 2024'!C78</f>
        <v>138</v>
      </c>
      <c r="AR82" s="1421" t="n">
        <v>1220</v>
      </c>
      <c r="AS82" s="2" t="str">
        <f aca="false">IF(AY82&lt;&gt;"",AY82,"")</f>
        <v/>
      </c>
      <c r="AT82" s="1422" t="n">
        <f aca="false">IF(ISNUMBER($AR82),SUMIF(B$7:B$505,AR82,D$7:D$505),"")</f>
        <v>0</v>
      </c>
      <c r="AU82" s="1411" t="n">
        <f aca="false">IF(ISNUMBER($AR82),SUMIF(AD$7:AD$503,$AR82,J$7:J$503),"")</f>
        <v>0</v>
      </c>
      <c r="AV82" s="1411" t="n">
        <f aca="false">IF(ISNUMBER($AR82),SUMIF(AF$7:AF$503,$AR82,L$7:L$503),"")</f>
        <v>0</v>
      </c>
      <c r="AW82" s="1423" t="n">
        <f aca="false">IF(ISNUMBER($AR82),SUMIF(AE$7:AE$503,$AR82,K$7:K$503),"")</f>
        <v>0</v>
      </c>
      <c r="AX82" s="1423" t="n">
        <f aca="false">IF(ISNUMBER($AR82),SUMIF(AG$7:AG$503,$AR82,M$7:M$503),"")</f>
        <v>0</v>
      </c>
      <c r="AY82" s="2" t="str">
        <f aca="false">IF($AT82&gt;0,VLOOKUP($AR82,'O_MN, PE_UTA_UGM 2024'!E78:O494,2),"")</f>
        <v/>
      </c>
      <c r="AZ82" s="1424"/>
      <c r="BA82" s="1424"/>
      <c r="BB82" s="1424" t="str">
        <f aca="false">IF($AT82&gt;0,VLOOKUP($AR82,'O_MN, PE_UTA_UGM 2024'!$E$3:$O$419,BB$6),"")</f>
        <v/>
      </c>
      <c r="BC82" s="1424" t="str">
        <f aca="false">IF($AT82&gt;0,VLOOKUP($AR82,'O_MN, PE_UTA_UGM 2024'!$E$3:$O$419,BC$6),"")</f>
        <v/>
      </c>
      <c r="BD82" s="1424" t="str">
        <f aca="false">IF($AT82&gt;0,VLOOKUP($AR82,'O_MN, PE_UTA_UGM 2024'!$E$3:$O$419,BD$6),"")</f>
        <v/>
      </c>
      <c r="BE82" s="1424" t="str">
        <f aca="false">IF($AT82&gt;0,VLOOKUP($AR82,'O_MN, PE_UTA_UGM 2024'!$E$3:$O$419,BE$6),"")</f>
        <v/>
      </c>
      <c r="BF82" s="1424" t="str">
        <f aca="false">IF($AT82&gt;0,VLOOKUP($AR82,'O_MN, PE_UTA_UGM 2024'!$E$3:$O$419,BF$6),"")</f>
        <v/>
      </c>
      <c r="BG82" s="1424" t="str">
        <f aca="false">IF($AT82&gt;0,VLOOKUP($AR82,'O_MN, PE_UTA_UGM 2024'!$E$3:$O$419,BG$6),"")</f>
        <v/>
      </c>
      <c r="BH82" s="872"/>
      <c r="BI82" s="872"/>
      <c r="BJ82" s="872"/>
      <c r="BK82" s="872"/>
      <c r="BM82" s="1411"/>
      <c r="BN82" s="1411"/>
      <c r="BO82" s="1425" t="str">
        <f aca="false">IF(ISNUMBER($AU82*BB82*1),$AU82*BB82*1,"")</f>
        <v/>
      </c>
      <c r="BP82" s="1425" t="str">
        <f aca="false">IF(ISNUMBER($AV82*BC82*1),$AV82*BC82*1,"")</f>
        <v/>
      </c>
      <c r="BQ82" s="1425" t="str">
        <f aca="false">IF(ISNUMBER($AU82*BD82*1),$AU82*BD82*1,"")</f>
        <v/>
      </c>
      <c r="BR82" s="1425" t="str">
        <f aca="false">IF(ISNUMBER($AV82*BE82*1),$AV82*BE82*1,"")</f>
        <v/>
      </c>
      <c r="BS82" s="1411" t="str">
        <f aca="false">IF(ISNUMBER($AU82*BF82),$AU82*BF82,"")</f>
        <v/>
      </c>
      <c r="BT82" s="1411" t="str">
        <f aca="false">IF(ISNUMBER($AV82*BG82),$AV82*BG82,"")</f>
        <v/>
      </c>
      <c r="BU82" s="1411"/>
      <c r="BV82" s="1411"/>
      <c r="BW82" s="1411"/>
      <c r="BX82" s="1411"/>
      <c r="BZ82" s="1372"/>
      <c r="CA82" s="1372"/>
      <c r="CB82" s="1426" t="str">
        <f aca="false">IF(ISNUMBER($AW82*BB82),$AW82*BB82,"")</f>
        <v/>
      </c>
      <c r="CC82" s="1426" t="str">
        <f aca="false">IF(ISNUMBER($AX82*BC82),$AX82*BC82,"")</f>
        <v/>
      </c>
      <c r="CD82" s="1426" t="str">
        <f aca="false">IF(ISNUMBER($AW82*BD82),$AW82*BD82,"")</f>
        <v/>
      </c>
      <c r="CE82" s="1426" t="str">
        <f aca="false">IF(ISNUMBER($AX82*BE82),$AX82*BE82,"")</f>
        <v/>
      </c>
      <c r="CF82" s="1372" t="str">
        <f aca="false">IF(ISNUMBER($AW82*BF82),$AW82*BF82,"")</f>
        <v/>
      </c>
      <c r="CG82" s="1372" t="str">
        <f aca="false">IF(ISNUMBER($AX82*BG82),$AX82*BG82,"")</f>
        <v/>
      </c>
      <c r="CH82" s="1438"/>
      <c r="CI82" s="1438"/>
      <c r="CJ82" s="1438"/>
      <c r="CK82" s="1438"/>
      <c r="CU82" s="1411"/>
      <c r="CV82" s="1411"/>
      <c r="CW82" s="1425"/>
      <c r="CX82" s="1425"/>
      <c r="CY82" s="1425"/>
      <c r="CZ82" s="1425"/>
      <c r="DA82" s="1411"/>
      <c r="DB82" s="1411"/>
      <c r="DC82" s="1411"/>
      <c r="DD82" s="1411"/>
      <c r="DE82" s="1411"/>
      <c r="DF82" s="1411"/>
      <c r="DH82" s="1432"/>
      <c r="DI82" s="1432"/>
      <c r="DJ82" s="1437"/>
      <c r="DK82" s="1437"/>
      <c r="DL82" s="1437"/>
      <c r="DM82" s="1437"/>
      <c r="DN82" s="1432"/>
      <c r="DO82" s="1432"/>
      <c r="DP82" s="1432"/>
      <c r="DQ82" s="1432"/>
      <c r="DR82" s="1432"/>
      <c r="DS82" s="1432"/>
      <c r="DT82" s="1316"/>
      <c r="DU82" s="1433"/>
      <c r="DV82" s="1433"/>
      <c r="DW82" s="1433"/>
      <c r="DX82" s="1433"/>
      <c r="DY82" s="1433"/>
      <c r="DZ82" s="1433"/>
      <c r="EA82" s="1433"/>
      <c r="EB82" s="1433"/>
    </row>
    <row r="83" customFormat="false" ht="14.25" hidden="false" customHeight="false" outlineLevel="0" collapsed="false">
      <c r="A83" s="2" t="n">
        <f aca="false">'V_DATOS PAC_SGA'!R78</f>
        <v>0</v>
      </c>
      <c r="B83" s="2" t="n">
        <f aca="false">IF(I83="IV",CONCATENATE('V_DATOS PAC_SGA'!R78,"4")+0,CONCATENATE('V_DATOS PAC_SGA'!R78,"0")+0)</f>
        <v>0</v>
      </c>
      <c r="C83" s="2" t="n">
        <f aca="false">'V_DATOS PAC_SGA'!S78</f>
        <v>0</v>
      </c>
      <c r="D83" s="1409" t="n">
        <f aca="false">'V_DATOS PAC_SGA'!Y78</f>
        <v>0</v>
      </c>
      <c r="E83" s="1410" t="str">
        <f aca="false">IF('V_DATOS PAC_SGA'!AV78="","Regadio",'V_DATOS PAC_SGA'!AV78)</f>
        <v>Regadio</v>
      </c>
      <c r="F83" s="1411" t="n">
        <f aca="false">'V_DATOS PAC_SGA'!BK78</f>
        <v>0</v>
      </c>
      <c r="G83" s="1412" t="n">
        <f aca="false">'V_DATOS PAC_SGA'!AN78</f>
        <v>0</v>
      </c>
      <c r="H83" s="1413" t="str">
        <f aca="false">IF(B83&gt;0,VLOOKUP(B83,'O_MN, PE_UTA_UGM 2024'!E$3:O$419,10),"")</f>
        <v/>
      </c>
      <c r="I83" s="1359" t="n">
        <f aca="false">'V_DATOS PAC_SGA'!BV78</f>
        <v>0</v>
      </c>
      <c r="J83" s="2" t="str">
        <f aca="false">IF(AND(J$4=$G83,J$6=$F83),$D83*J$5,"")</f>
        <v/>
      </c>
      <c r="K83" s="2" t="str">
        <f aca="false">IF(AND(K$4=$G83,K$6=$F83),$D83*K$5,"")</f>
        <v/>
      </c>
      <c r="L83" s="2" t="str">
        <f aca="false">IF(AND(L$4=$G83,L$6=$F83),$D83*L$5,"")</f>
        <v/>
      </c>
      <c r="M83" s="2" t="str">
        <f aca="false">IF(AND(M$4=$G83,M$6=$F83),$D83*M$5,"")</f>
        <v/>
      </c>
      <c r="N83" s="1414" t="n">
        <f aca="false">VLOOKUP(B83,'O_MN, PE_UTA_UGM 2024'!$E$2:$K$419,IF(G83&gt;1,6,7))</f>
        <v>0</v>
      </c>
      <c r="O83" s="1434" t="str">
        <f aca="false">IF($H83=O$4,$D83*$N83,"")</f>
        <v/>
      </c>
      <c r="P83" s="1435" t="str">
        <f aca="false">IF($H83=P$4,$D83*$N83,"")</f>
        <v/>
      </c>
      <c r="Q83" s="1435" t="str">
        <f aca="false">IF($H83=Q$4,$D83*$N83,"")</f>
        <v/>
      </c>
      <c r="R83" s="1435" t="str">
        <f aca="false">IF($H83=R$4,$D83*$N83,"")</f>
        <v/>
      </c>
      <c r="S83" s="1435" t="str">
        <f aca="false">IF($H83=S$4,$D83*$N83,"")</f>
        <v/>
      </c>
      <c r="T83" s="1435" t="str">
        <f aca="false">IF($H83=T$4,$D83*$N83,"")</f>
        <v/>
      </c>
      <c r="U83" s="1436" t="str">
        <f aca="false">IF($H83=U$4,$D83*$N83,"")</f>
        <v/>
      </c>
      <c r="V83" s="1418"/>
      <c r="W83" s="1419"/>
      <c r="X83" s="1419"/>
      <c r="Y83" s="1419"/>
      <c r="Z83" s="1419"/>
      <c r="AA83" s="1419"/>
      <c r="AB83" s="1420"/>
      <c r="AC83" s="1319"/>
      <c r="AD83" s="2" t="str">
        <f aca="false">IF(AND(AD$4=$G83,AD$6=$F83),$B83,"")</f>
        <v/>
      </c>
      <c r="AE83" s="2" t="str">
        <f aca="false">IF(AND(AE$4=$G83,AE$6=$F83),$B83,"")</f>
        <v/>
      </c>
      <c r="AF83" s="2" t="str">
        <f aca="false">IF(AND(AF$4=$G83,AF$6=$F83),$B83,"")</f>
        <v/>
      </c>
      <c r="AG83" s="2" t="str">
        <f aca="false">IF(AND(AG$4=$G83,AG$6=$F83),$B83,"")</f>
        <v/>
      </c>
      <c r="AI83" s="366"/>
      <c r="AL83" s="367"/>
      <c r="AO83" s="367"/>
      <c r="AP83" s="2" t="str">
        <f aca="false">IF(AT83&gt;0,RANK(AT83,AT$7:AT$423),"")</f>
        <v/>
      </c>
      <c r="AQ83" s="2" t="n">
        <f aca="false">'O_MN, PE_UTA_UGM 2024'!C79</f>
        <v>139</v>
      </c>
      <c r="AR83" s="1421" t="n">
        <v>1236</v>
      </c>
      <c r="AS83" s="2" t="str">
        <f aca="false">IF(AY83&lt;&gt;"",AY83,"")</f>
        <v/>
      </c>
      <c r="AT83" s="1422" t="n">
        <f aca="false">IF(ISNUMBER($AR83),SUMIF(B$7:B$505,AR83,D$7:D$505),"")</f>
        <v>0</v>
      </c>
      <c r="AU83" s="1411" t="n">
        <f aca="false">IF(ISNUMBER($AR83),SUMIF(AD$7:AD$503,$AR83,J$7:J$503),"")</f>
        <v>0</v>
      </c>
      <c r="AV83" s="1411" t="n">
        <f aca="false">IF(ISNUMBER($AR83),SUMIF(AF$7:AF$503,$AR83,L$7:L$503),"")</f>
        <v>0</v>
      </c>
      <c r="AW83" s="1423" t="n">
        <f aca="false">IF(ISNUMBER($AR83),SUMIF(AE$7:AE$503,$AR83,K$7:K$503),"")</f>
        <v>0</v>
      </c>
      <c r="AX83" s="1423" t="n">
        <f aca="false">IF(ISNUMBER($AR83),SUMIF(AG$7:AG$503,$AR83,M$7:M$503),"")</f>
        <v>0</v>
      </c>
      <c r="AY83" s="2" t="str">
        <f aca="false">IF($AT83&gt;0,VLOOKUP($AR83,'O_MN, PE_UTA_UGM 2024'!E79:O495,2),"")</f>
        <v/>
      </c>
      <c r="AZ83" s="1424"/>
      <c r="BA83" s="1424"/>
      <c r="BB83" s="1424" t="str">
        <f aca="false">IF($AT83&gt;0,VLOOKUP($AR83,'O_MN, PE_UTA_UGM 2024'!$E$3:$O$419,BB$6),"")</f>
        <v/>
      </c>
      <c r="BC83" s="1424" t="str">
        <f aca="false">IF($AT83&gt;0,VLOOKUP($AR83,'O_MN, PE_UTA_UGM 2024'!$E$3:$O$419,BC$6),"")</f>
        <v/>
      </c>
      <c r="BD83" s="1424" t="str">
        <f aca="false">IF($AT83&gt;0,VLOOKUP($AR83,'O_MN, PE_UTA_UGM 2024'!$E$3:$O$419,BD$6),"")</f>
        <v/>
      </c>
      <c r="BE83" s="1424" t="str">
        <f aca="false">IF($AT83&gt;0,VLOOKUP($AR83,'O_MN, PE_UTA_UGM 2024'!$E$3:$O$419,BE$6),"")</f>
        <v/>
      </c>
      <c r="BF83" s="1424" t="str">
        <f aca="false">IF($AT83&gt;0,VLOOKUP($AR83,'O_MN, PE_UTA_UGM 2024'!$E$3:$O$419,BF$6),"")</f>
        <v/>
      </c>
      <c r="BG83" s="1424" t="str">
        <f aca="false">IF($AT83&gt;0,VLOOKUP($AR83,'O_MN, PE_UTA_UGM 2024'!$E$3:$O$419,BG$6),"")</f>
        <v/>
      </c>
      <c r="BH83" s="872"/>
      <c r="BI83" s="872"/>
      <c r="BJ83" s="872"/>
      <c r="BK83" s="872"/>
      <c r="BM83" s="1411"/>
      <c r="BN83" s="1411"/>
      <c r="BO83" s="1425" t="str">
        <f aca="false">IF(ISNUMBER($AU83*BB83*1),$AU83*BB83*1,"")</f>
        <v/>
      </c>
      <c r="BP83" s="1425" t="str">
        <f aca="false">IF(ISNUMBER($AV83*BC83*1),$AV83*BC83*1,"")</f>
        <v/>
      </c>
      <c r="BQ83" s="1425" t="str">
        <f aca="false">IF(ISNUMBER($AU83*BD83*1),$AU83*BD83*1,"")</f>
        <v/>
      </c>
      <c r="BR83" s="1425" t="str">
        <f aca="false">IF(ISNUMBER($AV83*BE83*1),$AV83*BE83*1,"")</f>
        <v/>
      </c>
      <c r="BS83" s="1411" t="str">
        <f aca="false">IF(ISNUMBER($AU83*BF83),$AU83*BF83,"")</f>
        <v/>
      </c>
      <c r="BT83" s="1411" t="str">
        <f aca="false">IF(ISNUMBER($AV83*BG83),$AV83*BG83,"")</f>
        <v/>
      </c>
      <c r="BU83" s="1411"/>
      <c r="BV83" s="1411"/>
      <c r="BW83" s="1411"/>
      <c r="BX83" s="1411"/>
      <c r="BZ83" s="1372"/>
      <c r="CA83" s="1372"/>
      <c r="CB83" s="1426" t="str">
        <f aca="false">IF(ISNUMBER($AW83*BB83),$AW83*BB83,"")</f>
        <v/>
      </c>
      <c r="CC83" s="1426" t="str">
        <f aca="false">IF(ISNUMBER($AX83*BC83),$AX83*BC83,"")</f>
        <v/>
      </c>
      <c r="CD83" s="1426" t="str">
        <f aca="false">IF(ISNUMBER($AW83*BD83),$AW83*BD83,"")</f>
        <v/>
      </c>
      <c r="CE83" s="1426" t="str">
        <f aca="false">IF(ISNUMBER($AX83*BE83),$AX83*BE83,"")</f>
        <v/>
      </c>
      <c r="CF83" s="1372" t="str">
        <f aca="false">IF(ISNUMBER($AW83*BF83),$AW83*BF83,"")</f>
        <v/>
      </c>
      <c r="CG83" s="1372" t="str">
        <f aca="false">IF(ISNUMBER($AX83*BG83),$AX83*BG83,"")</f>
        <v/>
      </c>
      <c r="CH83" s="1438"/>
      <c r="CI83" s="1438"/>
      <c r="CJ83" s="1438"/>
      <c r="CK83" s="1438"/>
      <c r="CU83" s="1411"/>
      <c r="CV83" s="1411"/>
      <c r="CW83" s="1425"/>
      <c r="CX83" s="1425"/>
      <c r="CY83" s="1425"/>
      <c r="CZ83" s="1425"/>
      <c r="DA83" s="1411"/>
      <c r="DB83" s="1411"/>
      <c r="DC83" s="1411"/>
      <c r="DD83" s="1411"/>
      <c r="DE83" s="1411"/>
      <c r="DF83" s="1411"/>
      <c r="DH83" s="1432"/>
      <c r="DI83" s="1432"/>
      <c r="DJ83" s="1437"/>
      <c r="DK83" s="1437"/>
      <c r="DL83" s="1437"/>
      <c r="DM83" s="1437"/>
      <c r="DN83" s="1432"/>
      <c r="DO83" s="1432"/>
      <c r="DP83" s="1432"/>
      <c r="DQ83" s="1432"/>
      <c r="DR83" s="1432"/>
      <c r="DS83" s="1432"/>
      <c r="DT83" s="1316"/>
      <c r="DU83" s="1433"/>
      <c r="DV83" s="1433"/>
      <c r="DW83" s="1433"/>
      <c r="DX83" s="1433"/>
      <c r="DY83" s="1433"/>
      <c r="DZ83" s="1433"/>
      <c r="EA83" s="1433"/>
      <c r="EB83" s="1433"/>
    </row>
    <row r="84" customFormat="false" ht="14.25" hidden="false" customHeight="false" outlineLevel="0" collapsed="false">
      <c r="A84" s="2" t="n">
        <f aca="false">'V_DATOS PAC_SGA'!R79</f>
        <v>0</v>
      </c>
      <c r="B84" s="2" t="n">
        <f aca="false">IF(I84="IV",CONCATENATE('V_DATOS PAC_SGA'!R79,"4")+0,CONCATENATE('V_DATOS PAC_SGA'!R79,"0")+0)</f>
        <v>0</v>
      </c>
      <c r="C84" s="2" t="n">
        <f aca="false">'V_DATOS PAC_SGA'!S79</f>
        <v>0</v>
      </c>
      <c r="D84" s="1409" t="n">
        <f aca="false">'V_DATOS PAC_SGA'!Y79</f>
        <v>0</v>
      </c>
      <c r="E84" s="1410" t="str">
        <f aca="false">IF('V_DATOS PAC_SGA'!AV79="","Regadio",'V_DATOS PAC_SGA'!AV79)</f>
        <v>Regadio</v>
      </c>
      <c r="F84" s="1411" t="n">
        <f aca="false">'V_DATOS PAC_SGA'!BK79</f>
        <v>0</v>
      </c>
      <c r="G84" s="1412" t="n">
        <f aca="false">'V_DATOS PAC_SGA'!AN79</f>
        <v>0</v>
      </c>
      <c r="H84" s="1413" t="str">
        <f aca="false">IF(B84&gt;0,VLOOKUP(B84,'O_MN, PE_UTA_UGM 2024'!E$3:O$419,10),"")</f>
        <v/>
      </c>
      <c r="I84" s="1359" t="n">
        <f aca="false">'V_DATOS PAC_SGA'!BV79</f>
        <v>0</v>
      </c>
      <c r="J84" s="2" t="str">
        <f aca="false">IF(AND(J$4=$G84,J$6=$F84),$D84*J$5,"")</f>
        <v/>
      </c>
      <c r="K84" s="2" t="str">
        <f aca="false">IF(AND(K$4=$G84,K$6=$F84),$D84*K$5,"")</f>
        <v/>
      </c>
      <c r="L84" s="2" t="str">
        <f aca="false">IF(AND(L$4=$G84,L$6=$F84),$D84*L$5,"")</f>
        <v/>
      </c>
      <c r="M84" s="2" t="str">
        <f aca="false">IF(AND(M$4=$G84,M$6=$F84),$D84*M$5,"")</f>
        <v/>
      </c>
      <c r="N84" s="1414" t="n">
        <f aca="false">VLOOKUP(B84,'O_MN, PE_UTA_UGM 2024'!$E$2:$K$419,IF(G84&gt;1,6,7))</f>
        <v>0</v>
      </c>
      <c r="O84" s="1434" t="str">
        <f aca="false">IF($H84=O$4,$D84*$N84,"")</f>
        <v/>
      </c>
      <c r="P84" s="1435" t="str">
        <f aca="false">IF($H84=P$4,$D84*$N84,"")</f>
        <v/>
      </c>
      <c r="Q84" s="1435" t="str">
        <f aca="false">IF($H84=Q$4,$D84*$N84,"")</f>
        <v/>
      </c>
      <c r="R84" s="1435" t="str">
        <f aca="false">IF($H84=R$4,$D84*$N84,"")</f>
        <v/>
      </c>
      <c r="S84" s="1435" t="str">
        <f aca="false">IF($H84=S$4,$D84*$N84,"")</f>
        <v/>
      </c>
      <c r="T84" s="1435" t="str">
        <f aca="false">IF($H84=T$4,$D84*$N84,"")</f>
        <v/>
      </c>
      <c r="U84" s="1436" t="str">
        <f aca="false">IF($H84=U$4,$D84*$N84,"")</f>
        <v/>
      </c>
      <c r="V84" s="1418"/>
      <c r="W84" s="1419"/>
      <c r="X84" s="1419"/>
      <c r="Y84" s="1419"/>
      <c r="Z84" s="1419"/>
      <c r="AA84" s="1419"/>
      <c r="AB84" s="1420"/>
      <c r="AC84" s="1319"/>
      <c r="AD84" s="2" t="str">
        <f aca="false">IF(AND(AD$4=$G84,AD$6=$F84),$B84,"")</f>
        <v/>
      </c>
      <c r="AE84" s="2" t="str">
        <f aca="false">IF(AND(AE$4=$G84,AE$6=$F84),$B84,"")</f>
        <v/>
      </c>
      <c r="AF84" s="2" t="str">
        <f aca="false">IF(AND(AF$4=$G84,AF$6=$F84),$B84,"")</f>
        <v/>
      </c>
      <c r="AG84" s="2" t="str">
        <f aca="false">IF(AND(AG$4=$G84,AG$6=$F84),$B84,"")</f>
        <v/>
      </c>
      <c r="AI84" s="366"/>
      <c r="AL84" s="367"/>
      <c r="AO84" s="367"/>
      <c r="AP84" s="2" t="str">
        <f aca="false">IF(AT84&gt;0,RANK(AT84,AT$7:AT$423),"")</f>
        <v/>
      </c>
      <c r="AQ84" s="2" t="n">
        <f aca="false">'O_MN, PE_UTA_UGM 2024'!C80</f>
        <v>140</v>
      </c>
      <c r="AR84" s="1421" t="n">
        <v>1240</v>
      </c>
      <c r="AS84" s="2" t="str">
        <f aca="false">IF(AY84&lt;&gt;"",AY84,"")</f>
        <v/>
      </c>
      <c r="AT84" s="1422" t="n">
        <f aca="false">IF(ISNUMBER($AR84),SUMIF(B$7:B$505,AR84,D$7:D$505),"")</f>
        <v>0</v>
      </c>
      <c r="AU84" s="1411" t="n">
        <f aca="false">IF(ISNUMBER($AR84),SUMIF(AD$7:AD$503,$AR84,J$7:J$503),"")</f>
        <v>0</v>
      </c>
      <c r="AV84" s="1411" t="n">
        <f aca="false">IF(ISNUMBER($AR84),SUMIF(AF$7:AF$503,$AR84,L$7:L$503),"")</f>
        <v>0</v>
      </c>
      <c r="AW84" s="1423" t="n">
        <f aca="false">IF(ISNUMBER($AR84),SUMIF(AE$7:AE$503,$AR84,K$7:K$503),"")</f>
        <v>0</v>
      </c>
      <c r="AX84" s="1423" t="n">
        <f aca="false">IF(ISNUMBER($AR84),SUMIF(AG$7:AG$503,$AR84,M$7:M$503),"")</f>
        <v>0</v>
      </c>
      <c r="AY84" s="2" t="str">
        <f aca="false">IF($AT84&gt;0,VLOOKUP($AR84,'O_MN, PE_UTA_UGM 2024'!E80:O496,2),"")</f>
        <v/>
      </c>
      <c r="AZ84" s="1424"/>
      <c r="BA84" s="1424"/>
      <c r="BB84" s="1424" t="str">
        <f aca="false">IF($AT84&gt;0,VLOOKUP($AR84,'O_MN, PE_UTA_UGM 2024'!$E$3:$O$419,BB$6),"")</f>
        <v/>
      </c>
      <c r="BC84" s="1424" t="str">
        <f aca="false">IF($AT84&gt;0,VLOOKUP($AR84,'O_MN, PE_UTA_UGM 2024'!$E$3:$O$419,BC$6),"")</f>
        <v/>
      </c>
      <c r="BD84" s="1424" t="str">
        <f aca="false">IF($AT84&gt;0,VLOOKUP($AR84,'O_MN, PE_UTA_UGM 2024'!$E$3:$O$419,BD$6),"")</f>
        <v/>
      </c>
      <c r="BE84" s="1424" t="str">
        <f aca="false">IF($AT84&gt;0,VLOOKUP($AR84,'O_MN, PE_UTA_UGM 2024'!$E$3:$O$419,BE$6),"")</f>
        <v/>
      </c>
      <c r="BF84" s="1424" t="str">
        <f aca="false">IF($AT84&gt;0,VLOOKUP($AR84,'O_MN, PE_UTA_UGM 2024'!$E$3:$O$419,BF$6),"")</f>
        <v/>
      </c>
      <c r="BG84" s="1424" t="str">
        <f aca="false">IF($AT84&gt;0,VLOOKUP($AR84,'O_MN, PE_UTA_UGM 2024'!$E$3:$O$419,BG$6),"")</f>
        <v/>
      </c>
      <c r="BH84" s="872"/>
      <c r="BI84" s="872"/>
      <c r="BJ84" s="872"/>
      <c r="BK84" s="872"/>
      <c r="BM84" s="1411"/>
      <c r="BN84" s="1411"/>
      <c r="BO84" s="1425" t="str">
        <f aca="false">IF(ISNUMBER($AU84*BB84*1),$AU84*BB84*1,"")</f>
        <v/>
      </c>
      <c r="BP84" s="1425" t="str">
        <f aca="false">IF(ISNUMBER($AV84*BC84*1),$AV84*BC84*1,"")</f>
        <v/>
      </c>
      <c r="BQ84" s="1425" t="str">
        <f aca="false">IF(ISNUMBER($AU84*BD84*1),$AU84*BD84*1,"")</f>
        <v/>
      </c>
      <c r="BR84" s="1425" t="str">
        <f aca="false">IF(ISNUMBER($AV84*BE84*1),$AV84*BE84*1,"")</f>
        <v/>
      </c>
      <c r="BS84" s="1411" t="str">
        <f aca="false">IF(ISNUMBER($AU84*BF84),$AU84*BF84,"")</f>
        <v/>
      </c>
      <c r="BT84" s="1411" t="str">
        <f aca="false">IF(ISNUMBER($AV84*BG84),$AV84*BG84,"")</f>
        <v/>
      </c>
      <c r="BU84" s="1411"/>
      <c r="BV84" s="1411"/>
      <c r="BW84" s="1411"/>
      <c r="BX84" s="1411"/>
      <c r="BZ84" s="1372"/>
      <c r="CA84" s="1372"/>
      <c r="CB84" s="1426" t="str">
        <f aca="false">IF(ISNUMBER($AW84*BB84),$AW84*BB84,"")</f>
        <v/>
      </c>
      <c r="CC84" s="1426" t="str">
        <f aca="false">IF(ISNUMBER($AX84*BC84),$AX84*BC84,"")</f>
        <v/>
      </c>
      <c r="CD84" s="1426" t="str">
        <f aca="false">IF(ISNUMBER($AW84*BD84),$AW84*BD84,"")</f>
        <v/>
      </c>
      <c r="CE84" s="1426" t="str">
        <f aca="false">IF(ISNUMBER($AX84*BE84),$AX84*BE84,"")</f>
        <v/>
      </c>
      <c r="CF84" s="1372" t="str">
        <f aca="false">IF(ISNUMBER($AW84*BF84),$AW84*BF84,"")</f>
        <v/>
      </c>
      <c r="CG84" s="1372" t="str">
        <f aca="false">IF(ISNUMBER($AX84*BG84),$AX84*BG84,"")</f>
        <v/>
      </c>
      <c r="CH84" s="1438"/>
      <c r="CI84" s="1438"/>
      <c r="CJ84" s="1438"/>
      <c r="CK84" s="1438"/>
      <c r="CU84" s="1411"/>
      <c r="CV84" s="1411"/>
      <c r="CW84" s="1425"/>
      <c r="CX84" s="1425"/>
      <c r="CY84" s="1425"/>
      <c r="CZ84" s="1425"/>
      <c r="DA84" s="1411"/>
      <c r="DB84" s="1411"/>
      <c r="DC84" s="1411"/>
      <c r="DD84" s="1411"/>
      <c r="DE84" s="1411"/>
      <c r="DF84" s="1411"/>
      <c r="DH84" s="1432"/>
      <c r="DI84" s="1432"/>
      <c r="DJ84" s="1437"/>
      <c r="DK84" s="1437"/>
      <c r="DL84" s="1437"/>
      <c r="DM84" s="1437"/>
      <c r="DN84" s="1432"/>
      <c r="DO84" s="1432"/>
      <c r="DP84" s="1432"/>
      <c r="DQ84" s="1432"/>
      <c r="DR84" s="1432"/>
      <c r="DS84" s="1432"/>
      <c r="DT84" s="1316"/>
      <c r="DU84" s="1433"/>
      <c r="DV84" s="1433"/>
      <c r="DW84" s="1433"/>
      <c r="DX84" s="1433"/>
      <c r="DY84" s="1433"/>
      <c r="DZ84" s="1433"/>
      <c r="EA84" s="1433"/>
      <c r="EB84" s="1433"/>
    </row>
    <row r="85" customFormat="false" ht="14.25" hidden="false" customHeight="false" outlineLevel="0" collapsed="false">
      <c r="A85" s="2" t="n">
        <f aca="false">'V_DATOS PAC_SGA'!R80</f>
        <v>0</v>
      </c>
      <c r="B85" s="2" t="n">
        <f aca="false">IF(I85="IV",CONCATENATE('V_DATOS PAC_SGA'!R80,"4")+0,CONCATENATE('V_DATOS PAC_SGA'!R80,"0")+0)</f>
        <v>0</v>
      </c>
      <c r="C85" s="2" t="n">
        <f aca="false">'V_DATOS PAC_SGA'!S80</f>
        <v>0</v>
      </c>
      <c r="D85" s="1409" t="n">
        <f aca="false">'V_DATOS PAC_SGA'!Y80</f>
        <v>0</v>
      </c>
      <c r="E85" s="1410" t="str">
        <f aca="false">IF('V_DATOS PAC_SGA'!AV80="","Regadio",'V_DATOS PAC_SGA'!AV80)</f>
        <v>Regadio</v>
      </c>
      <c r="F85" s="1411" t="n">
        <f aca="false">'V_DATOS PAC_SGA'!BK80</f>
        <v>0</v>
      </c>
      <c r="G85" s="1412" t="n">
        <f aca="false">'V_DATOS PAC_SGA'!AN80</f>
        <v>0</v>
      </c>
      <c r="H85" s="1413" t="str">
        <f aca="false">IF(B85&gt;0,VLOOKUP(B85,'O_MN, PE_UTA_UGM 2024'!E$3:O$419,10),"")</f>
        <v/>
      </c>
      <c r="I85" s="1359" t="n">
        <f aca="false">'V_DATOS PAC_SGA'!BV80</f>
        <v>0</v>
      </c>
      <c r="J85" s="2" t="str">
        <f aca="false">IF(AND(J$4=$G85,J$6=$F85),$D85*J$5,"")</f>
        <v/>
      </c>
      <c r="K85" s="2" t="str">
        <f aca="false">IF(AND(K$4=$G85,K$6=$F85),$D85*K$5,"")</f>
        <v/>
      </c>
      <c r="L85" s="2" t="str">
        <f aca="false">IF(AND(L$4=$G85,L$6=$F85),$D85*L$5,"")</f>
        <v/>
      </c>
      <c r="M85" s="2" t="str">
        <f aca="false">IF(AND(M$4=$G85,M$6=$F85),$D85*M$5,"")</f>
        <v/>
      </c>
      <c r="N85" s="1414" t="n">
        <f aca="false">VLOOKUP(B85,'O_MN, PE_UTA_UGM 2024'!$E$2:$K$419,IF(G85&gt;1,6,7))</f>
        <v>0</v>
      </c>
      <c r="O85" s="1434" t="str">
        <f aca="false">IF($H85=O$4,$D85*$N85,"")</f>
        <v/>
      </c>
      <c r="P85" s="1435" t="str">
        <f aca="false">IF($H85=P$4,$D85*$N85,"")</f>
        <v/>
      </c>
      <c r="Q85" s="1435" t="str">
        <f aca="false">IF($H85=Q$4,$D85*$N85,"")</f>
        <v/>
      </c>
      <c r="R85" s="1435" t="str">
        <f aca="false">IF($H85=R$4,$D85*$N85,"")</f>
        <v/>
      </c>
      <c r="S85" s="1435" t="str">
        <f aca="false">IF($H85=S$4,$D85*$N85,"")</f>
        <v/>
      </c>
      <c r="T85" s="1435" t="str">
        <f aca="false">IF($H85=T$4,$D85*$N85,"")</f>
        <v/>
      </c>
      <c r="U85" s="1436" t="str">
        <f aca="false">IF($H85=U$4,$D85*$N85,"")</f>
        <v/>
      </c>
      <c r="V85" s="1418"/>
      <c r="W85" s="1419"/>
      <c r="X85" s="1419"/>
      <c r="Y85" s="1419"/>
      <c r="Z85" s="1419"/>
      <c r="AA85" s="1419"/>
      <c r="AB85" s="1420"/>
      <c r="AC85" s="1319"/>
      <c r="AD85" s="2" t="str">
        <f aca="false">IF(AND(AD$4=$G85,AD$6=$F85),$B85,"")</f>
        <v/>
      </c>
      <c r="AE85" s="2" t="str">
        <f aca="false">IF(AND(AE$4=$G85,AE$6=$F85),$B85,"")</f>
        <v/>
      </c>
      <c r="AF85" s="2" t="str">
        <f aca="false">IF(AND(AF$4=$G85,AF$6=$F85),$B85,"")</f>
        <v/>
      </c>
      <c r="AG85" s="2" t="str">
        <f aca="false">IF(AND(AG$4=$G85,AG$6=$F85),$B85,"")</f>
        <v/>
      </c>
      <c r="AI85" s="366"/>
      <c r="AL85" s="367"/>
      <c r="AO85" s="367"/>
      <c r="AP85" s="2" t="str">
        <f aca="false">IF(AT85&gt;0,RANK(AT85,AT$7:AT$423),"")</f>
        <v/>
      </c>
      <c r="AQ85" s="2" t="n">
        <f aca="false">'O_MN, PE_UTA_UGM 2024'!C81</f>
        <v>141</v>
      </c>
      <c r="AR85" s="1421" t="n">
        <v>1250</v>
      </c>
      <c r="AS85" s="2" t="str">
        <f aca="false">IF(AY85&lt;&gt;"",AY85,"")</f>
        <v/>
      </c>
      <c r="AT85" s="1422" t="n">
        <f aca="false">IF(ISNUMBER($AR85),SUMIF(B$7:B$505,AR85,D$7:D$505),"")</f>
        <v>0</v>
      </c>
      <c r="AU85" s="1411" t="n">
        <f aca="false">IF(ISNUMBER($AR85),SUMIF(AD$7:AD$503,$AR85,J$7:J$503),"")</f>
        <v>0</v>
      </c>
      <c r="AV85" s="1411" t="n">
        <f aca="false">IF(ISNUMBER($AR85),SUMIF(AF$7:AF$503,$AR85,L$7:L$503),"")</f>
        <v>0</v>
      </c>
      <c r="AW85" s="1423" t="n">
        <f aca="false">IF(ISNUMBER($AR85),SUMIF(AE$7:AE$503,$AR85,K$7:K$503),"")</f>
        <v>0</v>
      </c>
      <c r="AX85" s="1423" t="n">
        <f aca="false">IF(ISNUMBER($AR85),SUMIF(AG$7:AG$503,$AR85,M$7:M$503),"")</f>
        <v>0</v>
      </c>
      <c r="AY85" s="2" t="str">
        <f aca="false">IF($AT85&gt;0,VLOOKUP($AR85,'O_MN, PE_UTA_UGM 2024'!E81:O497,2),"")</f>
        <v/>
      </c>
      <c r="AZ85" s="1424"/>
      <c r="BA85" s="1424"/>
      <c r="BB85" s="1424" t="str">
        <f aca="false">IF($AT85&gt;0,VLOOKUP($AR85,'O_MN, PE_UTA_UGM 2024'!$E$3:$O$419,BB$6),"")</f>
        <v/>
      </c>
      <c r="BC85" s="1424" t="str">
        <f aca="false">IF($AT85&gt;0,VLOOKUP($AR85,'O_MN, PE_UTA_UGM 2024'!$E$3:$O$419,BC$6),"")</f>
        <v/>
      </c>
      <c r="BD85" s="1424" t="str">
        <f aca="false">IF($AT85&gt;0,VLOOKUP($AR85,'O_MN, PE_UTA_UGM 2024'!$E$3:$O$419,BD$6),"")</f>
        <v/>
      </c>
      <c r="BE85" s="1424" t="str">
        <f aca="false">IF($AT85&gt;0,VLOOKUP($AR85,'O_MN, PE_UTA_UGM 2024'!$E$3:$O$419,BE$6),"")</f>
        <v/>
      </c>
      <c r="BF85" s="1424" t="str">
        <f aca="false">IF($AT85&gt;0,VLOOKUP($AR85,'O_MN, PE_UTA_UGM 2024'!$E$3:$O$419,BF$6),"")</f>
        <v/>
      </c>
      <c r="BG85" s="1424" t="str">
        <f aca="false">IF($AT85&gt;0,VLOOKUP($AR85,'O_MN, PE_UTA_UGM 2024'!$E$3:$O$419,BG$6),"")</f>
        <v/>
      </c>
      <c r="BH85" s="872"/>
      <c r="BI85" s="872"/>
      <c r="BJ85" s="872"/>
      <c r="BK85" s="872"/>
      <c r="BM85" s="1411"/>
      <c r="BN85" s="1411"/>
      <c r="BO85" s="1425" t="str">
        <f aca="false">IF(ISNUMBER($AU85*BB85*1),$AU85*BB85*1,"")</f>
        <v/>
      </c>
      <c r="BP85" s="1425" t="str">
        <f aca="false">IF(ISNUMBER($AV85*BC85*1),$AV85*BC85*1,"")</f>
        <v/>
      </c>
      <c r="BQ85" s="1425" t="str">
        <f aca="false">IF(ISNUMBER($AU85*BD85*1),$AU85*BD85*1,"")</f>
        <v/>
      </c>
      <c r="BR85" s="1425" t="str">
        <f aca="false">IF(ISNUMBER($AV85*BE85*1),$AV85*BE85*1,"")</f>
        <v/>
      </c>
      <c r="BS85" s="1411" t="str">
        <f aca="false">IF(ISNUMBER($AU85*BF85),$AU85*BF85,"")</f>
        <v/>
      </c>
      <c r="BT85" s="1411" t="str">
        <f aca="false">IF(ISNUMBER($AV85*BG85),$AV85*BG85,"")</f>
        <v/>
      </c>
      <c r="BU85" s="1411"/>
      <c r="BV85" s="1411"/>
      <c r="BW85" s="1411"/>
      <c r="BX85" s="1411"/>
      <c r="BZ85" s="1372"/>
      <c r="CA85" s="1372"/>
      <c r="CB85" s="1426" t="str">
        <f aca="false">IF(ISNUMBER($AW85*BB85),$AW85*BB85,"")</f>
        <v/>
      </c>
      <c r="CC85" s="1426" t="str">
        <f aca="false">IF(ISNUMBER($AX85*BC85),$AX85*BC85,"")</f>
        <v/>
      </c>
      <c r="CD85" s="1426" t="str">
        <f aca="false">IF(ISNUMBER($AW85*BD85),$AW85*BD85,"")</f>
        <v/>
      </c>
      <c r="CE85" s="1426" t="str">
        <f aca="false">IF(ISNUMBER($AX85*BE85),$AX85*BE85,"")</f>
        <v/>
      </c>
      <c r="CF85" s="1372" t="str">
        <f aca="false">IF(ISNUMBER($AW85*BF85),$AW85*BF85,"")</f>
        <v/>
      </c>
      <c r="CG85" s="1372" t="str">
        <f aca="false">IF(ISNUMBER($AX85*BG85),$AX85*BG85,"")</f>
        <v/>
      </c>
      <c r="CH85" s="1438"/>
      <c r="CI85" s="1438"/>
      <c r="CJ85" s="1438"/>
      <c r="CK85" s="1438"/>
      <c r="CU85" s="1411"/>
      <c r="CV85" s="1411"/>
      <c r="CW85" s="1425"/>
      <c r="CX85" s="1425"/>
      <c r="CY85" s="1425"/>
      <c r="CZ85" s="1425"/>
      <c r="DA85" s="1411"/>
      <c r="DB85" s="1411"/>
      <c r="DC85" s="1411"/>
      <c r="DD85" s="1411"/>
      <c r="DE85" s="1411"/>
      <c r="DF85" s="1411"/>
      <c r="DH85" s="1432"/>
      <c r="DI85" s="1432"/>
      <c r="DJ85" s="1437"/>
      <c r="DK85" s="1437"/>
      <c r="DL85" s="1437"/>
      <c r="DM85" s="1437"/>
      <c r="DN85" s="1432"/>
      <c r="DO85" s="1432"/>
      <c r="DP85" s="1432"/>
      <c r="DQ85" s="1432"/>
      <c r="DR85" s="1432"/>
      <c r="DS85" s="1432"/>
      <c r="DT85" s="1316"/>
      <c r="DU85" s="1433"/>
      <c r="DV85" s="1433"/>
      <c r="DW85" s="1433"/>
      <c r="DX85" s="1433"/>
      <c r="DY85" s="1433"/>
      <c r="DZ85" s="1433"/>
      <c r="EA85" s="1433"/>
      <c r="EB85" s="1433"/>
    </row>
    <row r="86" customFormat="false" ht="14.25" hidden="false" customHeight="false" outlineLevel="0" collapsed="false">
      <c r="A86" s="2" t="n">
        <f aca="false">'V_DATOS PAC_SGA'!R81</f>
        <v>0</v>
      </c>
      <c r="B86" s="2" t="n">
        <f aca="false">IF(I86="IV",CONCATENATE('V_DATOS PAC_SGA'!R81,"4")+0,CONCATENATE('V_DATOS PAC_SGA'!R81,"0")+0)</f>
        <v>0</v>
      </c>
      <c r="C86" s="2" t="n">
        <f aca="false">'V_DATOS PAC_SGA'!S81</f>
        <v>0</v>
      </c>
      <c r="D86" s="1409" t="n">
        <f aca="false">'V_DATOS PAC_SGA'!Y81</f>
        <v>0</v>
      </c>
      <c r="E86" s="1410" t="str">
        <f aca="false">IF('V_DATOS PAC_SGA'!AV81="","Regadio",'V_DATOS PAC_SGA'!AV81)</f>
        <v>Regadio</v>
      </c>
      <c r="F86" s="1411" t="n">
        <f aca="false">'V_DATOS PAC_SGA'!BK81</f>
        <v>0</v>
      </c>
      <c r="G86" s="1412" t="n">
        <f aca="false">'V_DATOS PAC_SGA'!AN81</f>
        <v>0</v>
      </c>
      <c r="H86" s="1413" t="str">
        <f aca="false">IF(B86&gt;0,VLOOKUP(B86,'O_MN, PE_UTA_UGM 2024'!E$3:O$419,10),"")</f>
        <v/>
      </c>
      <c r="I86" s="1359" t="n">
        <f aca="false">'V_DATOS PAC_SGA'!BV81</f>
        <v>0</v>
      </c>
      <c r="J86" s="2" t="str">
        <f aca="false">IF(AND(J$4=$G86,J$6=$F86),$D86*J$5,"")</f>
        <v/>
      </c>
      <c r="K86" s="2" t="str">
        <f aca="false">IF(AND(K$4=$G86,K$6=$F86),$D86*K$5,"")</f>
        <v/>
      </c>
      <c r="L86" s="2" t="str">
        <f aca="false">IF(AND(L$4=$G86,L$6=$F86),$D86*L$5,"")</f>
        <v/>
      </c>
      <c r="M86" s="2" t="str">
        <f aca="false">IF(AND(M$4=$G86,M$6=$F86),$D86*M$5,"")</f>
        <v/>
      </c>
      <c r="N86" s="1414" t="n">
        <f aca="false">VLOOKUP(B86,'O_MN, PE_UTA_UGM 2024'!$E$2:$K$419,IF(G86&gt;1,6,7))</f>
        <v>0</v>
      </c>
      <c r="O86" s="1434" t="str">
        <f aca="false">IF($H86=O$4,$D86*$N86,"")</f>
        <v/>
      </c>
      <c r="P86" s="1435" t="str">
        <f aca="false">IF($H86=P$4,$D86*$N86,"")</f>
        <v/>
      </c>
      <c r="Q86" s="1435" t="str">
        <f aca="false">IF($H86=Q$4,$D86*$N86,"")</f>
        <v/>
      </c>
      <c r="R86" s="1435" t="str">
        <f aca="false">IF($H86=R$4,$D86*$N86,"")</f>
        <v/>
      </c>
      <c r="S86" s="1435" t="str">
        <f aca="false">IF($H86=S$4,$D86*$N86,"")</f>
        <v/>
      </c>
      <c r="T86" s="1435" t="str">
        <f aca="false">IF($H86=T$4,$D86*$N86,"")</f>
        <v/>
      </c>
      <c r="U86" s="1436" t="str">
        <f aca="false">IF($H86=U$4,$D86*$N86,"")</f>
        <v/>
      </c>
      <c r="V86" s="1418"/>
      <c r="W86" s="1419"/>
      <c r="X86" s="1419"/>
      <c r="Y86" s="1419"/>
      <c r="Z86" s="1419"/>
      <c r="AA86" s="1419"/>
      <c r="AB86" s="1420"/>
      <c r="AC86" s="1319"/>
      <c r="AD86" s="2" t="str">
        <f aca="false">IF(AND(AD$4=$G86,AD$6=$F86),$B86,"")</f>
        <v/>
      </c>
      <c r="AE86" s="2" t="str">
        <f aca="false">IF(AND(AE$4=$G86,AE$6=$F86),$B86,"")</f>
        <v/>
      </c>
      <c r="AF86" s="2" t="str">
        <f aca="false">IF(AND(AF$4=$G86,AF$6=$F86),$B86,"")</f>
        <v/>
      </c>
      <c r="AG86" s="2" t="str">
        <f aca="false">IF(AND(AG$4=$G86,AG$6=$F86),$B86,"")</f>
        <v/>
      </c>
      <c r="AI86" s="366"/>
      <c r="AL86" s="367"/>
      <c r="AO86" s="367"/>
      <c r="AP86" s="2" t="str">
        <f aca="false">IF(AT86&gt;0,RANK(AT86,AT$7:AT$423),"")</f>
        <v/>
      </c>
      <c r="AQ86" s="2" t="n">
        <f aca="false">'O_MN, PE_UTA_UGM 2024'!C82</f>
        <v>142</v>
      </c>
      <c r="AR86" s="1421" t="n">
        <v>1380</v>
      </c>
      <c r="AS86" s="2" t="str">
        <f aca="false">IF(AY86&lt;&gt;"",AY86,"")</f>
        <v/>
      </c>
      <c r="AT86" s="1422" t="n">
        <f aca="false">IF(ISNUMBER($AR86),SUMIF(B$7:B$505,AR86,D$7:D$505),"")</f>
        <v>0</v>
      </c>
      <c r="AU86" s="1411" t="n">
        <f aca="false">IF(ISNUMBER($AR86),SUMIF(AD$7:AD$503,$AR86,J$7:J$503),"")</f>
        <v>0</v>
      </c>
      <c r="AV86" s="1411" t="n">
        <f aca="false">IF(ISNUMBER($AR86),SUMIF(AF$7:AF$503,$AR86,L$7:L$503),"")</f>
        <v>0</v>
      </c>
      <c r="AW86" s="1423" t="n">
        <f aca="false">IF(ISNUMBER($AR86),SUMIF(AE$7:AE$503,$AR86,K$7:K$503),"")</f>
        <v>0</v>
      </c>
      <c r="AX86" s="1423" t="n">
        <f aca="false">IF(ISNUMBER($AR86),SUMIF(AG$7:AG$503,$AR86,M$7:M$503),"")</f>
        <v>0</v>
      </c>
      <c r="AY86" s="2" t="str">
        <f aca="false">IF($AT86&gt;0,VLOOKUP($AR86,'O_MN, PE_UTA_UGM 2024'!E82:O498,2),"")</f>
        <v/>
      </c>
      <c r="AZ86" s="1424"/>
      <c r="BA86" s="1424"/>
      <c r="BB86" s="1424" t="str">
        <f aca="false">IF($AT86&gt;0,VLOOKUP($AR86,'O_MN, PE_UTA_UGM 2024'!$E$3:$O$419,BB$6),"")</f>
        <v/>
      </c>
      <c r="BC86" s="1424" t="str">
        <f aca="false">IF($AT86&gt;0,VLOOKUP($AR86,'O_MN, PE_UTA_UGM 2024'!$E$3:$O$419,BC$6),"")</f>
        <v/>
      </c>
      <c r="BD86" s="1424" t="str">
        <f aca="false">IF($AT86&gt;0,VLOOKUP($AR86,'O_MN, PE_UTA_UGM 2024'!$E$3:$O$419,BD$6),"")</f>
        <v/>
      </c>
      <c r="BE86" s="1424" t="str">
        <f aca="false">IF($AT86&gt;0,VLOOKUP($AR86,'O_MN, PE_UTA_UGM 2024'!$E$3:$O$419,BE$6),"")</f>
        <v/>
      </c>
      <c r="BF86" s="1424" t="str">
        <f aca="false">IF($AT86&gt;0,VLOOKUP($AR86,'O_MN, PE_UTA_UGM 2024'!$E$3:$O$419,BF$6),"")</f>
        <v/>
      </c>
      <c r="BG86" s="1424" t="str">
        <f aca="false">IF($AT86&gt;0,VLOOKUP($AR86,'O_MN, PE_UTA_UGM 2024'!$E$3:$O$419,BG$6),"")</f>
        <v/>
      </c>
      <c r="BH86" s="872"/>
      <c r="BI86" s="872"/>
      <c r="BJ86" s="872"/>
      <c r="BK86" s="872"/>
      <c r="BM86" s="1411"/>
      <c r="BN86" s="1411"/>
      <c r="BO86" s="1425" t="str">
        <f aca="false">IF(ISNUMBER($AU86*BB86*1),$AU86*BB86*1,"")</f>
        <v/>
      </c>
      <c r="BP86" s="1425" t="str">
        <f aca="false">IF(ISNUMBER($AV86*BC86*1),$AV86*BC86*1,"")</f>
        <v/>
      </c>
      <c r="BQ86" s="1425" t="str">
        <f aca="false">IF(ISNUMBER($AU86*BD86*1),$AU86*BD86*1,"")</f>
        <v/>
      </c>
      <c r="BR86" s="1425" t="str">
        <f aca="false">IF(ISNUMBER($AV86*BE86*1),$AV86*BE86*1,"")</f>
        <v/>
      </c>
      <c r="BS86" s="1411" t="str">
        <f aca="false">IF(ISNUMBER($AU86*BF86),$AU86*BF86,"")</f>
        <v/>
      </c>
      <c r="BT86" s="1411" t="str">
        <f aca="false">IF(ISNUMBER($AV86*BG86),$AV86*BG86,"")</f>
        <v/>
      </c>
      <c r="BU86" s="1411"/>
      <c r="BV86" s="1411"/>
      <c r="BW86" s="1411"/>
      <c r="BX86" s="1411"/>
      <c r="BZ86" s="1372"/>
      <c r="CA86" s="1372"/>
      <c r="CB86" s="1426" t="str">
        <f aca="false">IF(ISNUMBER($AW86*BB86),$AW86*BB86,"")</f>
        <v/>
      </c>
      <c r="CC86" s="1426" t="str">
        <f aca="false">IF(ISNUMBER($AX86*BC86),$AX86*BC86,"")</f>
        <v/>
      </c>
      <c r="CD86" s="1426" t="str">
        <f aca="false">IF(ISNUMBER($AW86*BD86),$AW86*BD86,"")</f>
        <v/>
      </c>
      <c r="CE86" s="1426" t="str">
        <f aca="false">IF(ISNUMBER($AX86*BE86),$AX86*BE86,"")</f>
        <v/>
      </c>
      <c r="CF86" s="1372" t="str">
        <f aca="false">IF(ISNUMBER($AW86*BF86),$AW86*BF86,"")</f>
        <v/>
      </c>
      <c r="CG86" s="1372" t="str">
        <f aca="false">IF(ISNUMBER($AX86*BG86),$AX86*BG86,"")</f>
        <v/>
      </c>
      <c r="CH86" s="1438"/>
      <c r="CI86" s="1438"/>
      <c r="CJ86" s="1438"/>
      <c r="CK86" s="1438"/>
      <c r="CU86" s="1411"/>
      <c r="CV86" s="1411"/>
      <c r="CW86" s="1425"/>
      <c r="CX86" s="1425"/>
      <c r="CY86" s="1425"/>
      <c r="CZ86" s="1425"/>
      <c r="DA86" s="1411"/>
      <c r="DB86" s="1411"/>
      <c r="DC86" s="1411"/>
      <c r="DD86" s="1411"/>
      <c r="DE86" s="1411"/>
      <c r="DF86" s="1411"/>
      <c r="DH86" s="1432"/>
      <c r="DI86" s="1432"/>
      <c r="DJ86" s="1437"/>
      <c r="DK86" s="1437"/>
      <c r="DL86" s="1437"/>
      <c r="DM86" s="1437"/>
      <c r="DN86" s="1432"/>
      <c r="DO86" s="1432"/>
      <c r="DP86" s="1432"/>
      <c r="DQ86" s="1432"/>
      <c r="DR86" s="1432"/>
      <c r="DS86" s="1432"/>
      <c r="DT86" s="1316"/>
      <c r="DU86" s="1433"/>
      <c r="DV86" s="1433"/>
      <c r="DW86" s="1433"/>
      <c r="DX86" s="1433"/>
      <c r="DY86" s="1433"/>
      <c r="DZ86" s="1433"/>
      <c r="EA86" s="1433"/>
      <c r="EB86" s="1433"/>
    </row>
    <row r="87" customFormat="false" ht="14.25" hidden="false" customHeight="false" outlineLevel="0" collapsed="false">
      <c r="A87" s="2" t="n">
        <f aca="false">'V_DATOS PAC_SGA'!R82</f>
        <v>0</v>
      </c>
      <c r="B87" s="2" t="n">
        <f aca="false">IF(I87="IV",CONCATENATE('V_DATOS PAC_SGA'!R82,"4")+0,CONCATENATE('V_DATOS PAC_SGA'!R82,"0")+0)</f>
        <v>0</v>
      </c>
      <c r="C87" s="2" t="n">
        <f aca="false">'V_DATOS PAC_SGA'!S82</f>
        <v>0</v>
      </c>
      <c r="D87" s="1409" t="n">
        <f aca="false">'V_DATOS PAC_SGA'!Y82</f>
        <v>0</v>
      </c>
      <c r="E87" s="1410" t="str">
        <f aca="false">IF('V_DATOS PAC_SGA'!AV82="","Regadio",'V_DATOS PAC_SGA'!AV82)</f>
        <v>Regadio</v>
      </c>
      <c r="F87" s="1411" t="n">
        <f aca="false">'V_DATOS PAC_SGA'!BK82</f>
        <v>0</v>
      </c>
      <c r="G87" s="1412" t="n">
        <f aca="false">'V_DATOS PAC_SGA'!AN82</f>
        <v>0</v>
      </c>
      <c r="H87" s="1413" t="str">
        <f aca="false">IF(B87&gt;0,VLOOKUP(B87,'O_MN, PE_UTA_UGM 2024'!E$3:O$419,10),"")</f>
        <v/>
      </c>
      <c r="I87" s="1359" t="n">
        <f aca="false">'V_DATOS PAC_SGA'!BV82</f>
        <v>0</v>
      </c>
      <c r="J87" s="2" t="str">
        <f aca="false">IF(AND(J$4=$G87,J$6=$F87),$D87*J$5,"")</f>
        <v/>
      </c>
      <c r="K87" s="2" t="str">
        <f aca="false">IF(AND(K$4=$G87,K$6=$F87),$D87*K$5,"")</f>
        <v/>
      </c>
      <c r="L87" s="2" t="str">
        <f aca="false">IF(AND(L$4=$G87,L$6=$F87),$D87*L$5,"")</f>
        <v/>
      </c>
      <c r="M87" s="2" t="str">
        <f aca="false">IF(AND(M$4=$G87,M$6=$F87),$D87*M$5,"")</f>
        <v/>
      </c>
      <c r="N87" s="1414" t="n">
        <f aca="false">VLOOKUP(B87,'O_MN, PE_UTA_UGM 2024'!$E$2:$K$419,IF(G87&gt;1,6,7))</f>
        <v>0</v>
      </c>
      <c r="O87" s="1434" t="str">
        <f aca="false">IF($H87=O$4,$D87*$N87,"")</f>
        <v/>
      </c>
      <c r="P87" s="1435" t="str">
        <f aca="false">IF($H87=P$4,$D87*$N87,"")</f>
        <v/>
      </c>
      <c r="Q87" s="1435" t="str">
        <f aca="false">IF($H87=Q$4,$D87*$N87,"")</f>
        <v/>
      </c>
      <c r="R87" s="1435" t="str">
        <f aca="false">IF($H87=R$4,$D87*$N87,"")</f>
        <v/>
      </c>
      <c r="S87" s="1435" t="str">
        <f aca="false">IF($H87=S$4,$D87*$N87,"")</f>
        <v/>
      </c>
      <c r="T87" s="1435" t="str">
        <f aca="false">IF($H87=T$4,$D87*$N87,"")</f>
        <v/>
      </c>
      <c r="U87" s="1436" t="str">
        <f aca="false">IF($H87=U$4,$D87*$N87,"")</f>
        <v/>
      </c>
      <c r="V87" s="1418"/>
      <c r="W87" s="1419"/>
      <c r="X87" s="1419"/>
      <c r="Y87" s="1419"/>
      <c r="Z87" s="1419"/>
      <c r="AA87" s="1419"/>
      <c r="AB87" s="1420"/>
      <c r="AC87" s="1319"/>
      <c r="AD87" s="2" t="str">
        <f aca="false">IF(AND(AD$4=$G87,AD$6=$F87),$B87,"")</f>
        <v/>
      </c>
      <c r="AE87" s="2" t="str">
        <f aca="false">IF(AND(AE$4=$G87,AE$6=$F87),$B87,"")</f>
        <v/>
      </c>
      <c r="AF87" s="2" t="str">
        <f aca="false">IF(AND(AF$4=$G87,AF$6=$F87),$B87,"")</f>
        <v/>
      </c>
      <c r="AG87" s="2" t="str">
        <f aca="false">IF(AND(AG$4=$G87,AG$6=$F87),$B87,"")</f>
        <v/>
      </c>
      <c r="AI87" s="366"/>
      <c r="AL87" s="367"/>
      <c r="AO87" s="367"/>
      <c r="AP87" s="2" t="str">
        <f aca="false">IF(AT87&gt;0,RANK(AT87,AT$7:AT$423),"")</f>
        <v/>
      </c>
      <c r="AQ87" s="2" t="n">
        <f aca="false">'O_MN, PE_UTA_UGM 2024'!C83</f>
        <v>143</v>
      </c>
      <c r="AR87" s="1421" t="n">
        <v>1390</v>
      </c>
      <c r="AS87" s="2" t="str">
        <f aca="false">IF(AY87&lt;&gt;"",AY87,"")</f>
        <v/>
      </c>
      <c r="AT87" s="1422" t="n">
        <f aca="false">IF(ISNUMBER($AR87),SUMIF(B$7:B$505,AR87,D$7:D$505),"")</f>
        <v>0</v>
      </c>
      <c r="AU87" s="1411" t="n">
        <f aca="false">IF(ISNUMBER($AR87),SUMIF(AD$7:AD$503,$AR87,J$7:J$503),"")</f>
        <v>0</v>
      </c>
      <c r="AV87" s="1411" t="n">
        <f aca="false">IF(ISNUMBER($AR87),SUMIF(AF$7:AF$503,$AR87,L$7:L$503),"")</f>
        <v>0</v>
      </c>
      <c r="AW87" s="1423" t="n">
        <f aca="false">IF(ISNUMBER($AR87),SUMIF(AE$7:AE$503,$AR87,K$7:K$503),"")</f>
        <v>0</v>
      </c>
      <c r="AX87" s="1423" t="n">
        <f aca="false">IF(ISNUMBER($AR87),SUMIF(AG$7:AG$503,$AR87,M$7:M$503),"")</f>
        <v>0</v>
      </c>
      <c r="AY87" s="2" t="str">
        <f aca="false">IF($AT87&gt;0,VLOOKUP($AR87,'O_MN, PE_UTA_UGM 2024'!E83:O499,2),"")</f>
        <v/>
      </c>
      <c r="AZ87" s="1424"/>
      <c r="BA87" s="1424"/>
      <c r="BB87" s="1424" t="str">
        <f aca="false">IF($AT87&gt;0,VLOOKUP($AR87,'O_MN, PE_UTA_UGM 2024'!$E$3:$O$419,BB$6),"")</f>
        <v/>
      </c>
      <c r="BC87" s="1424" t="str">
        <f aca="false">IF($AT87&gt;0,VLOOKUP($AR87,'O_MN, PE_UTA_UGM 2024'!$E$3:$O$419,BC$6),"")</f>
        <v/>
      </c>
      <c r="BD87" s="1424" t="str">
        <f aca="false">IF($AT87&gt;0,VLOOKUP($AR87,'O_MN, PE_UTA_UGM 2024'!$E$3:$O$419,BD$6),"")</f>
        <v/>
      </c>
      <c r="BE87" s="1424" t="str">
        <f aca="false">IF($AT87&gt;0,VLOOKUP($AR87,'O_MN, PE_UTA_UGM 2024'!$E$3:$O$419,BE$6),"")</f>
        <v/>
      </c>
      <c r="BF87" s="1424" t="str">
        <f aca="false">IF($AT87&gt;0,VLOOKUP($AR87,'O_MN, PE_UTA_UGM 2024'!$E$3:$O$419,BF$6),"")</f>
        <v/>
      </c>
      <c r="BG87" s="1424" t="str">
        <f aca="false">IF($AT87&gt;0,VLOOKUP($AR87,'O_MN, PE_UTA_UGM 2024'!$E$3:$O$419,BG$6),"")</f>
        <v/>
      </c>
      <c r="BH87" s="872"/>
      <c r="BI87" s="872"/>
      <c r="BJ87" s="872"/>
      <c r="BK87" s="872"/>
      <c r="BM87" s="1411"/>
      <c r="BN87" s="1411"/>
      <c r="BO87" s="1425" t="str">
        <f aca="false">IF(ISNUMBER($AU87*BB87*1),$AU87*BB87*1,"")</f>
        <v/>
      </c>
      <c r="BP87" s="1425" t="str">
        <f aca="false">IF(ISNUMBER($AV87*BC87*1),$AV87*BC87*1,"")</f>
        <v/>
      </c>
      <c r="BQ87" s="1425" t="str">
        <f aca="false">IF(ISNUMBER($AU87*BD87*1),$AU87*BD87*1,"")</f>
        <v/>
      </c>
      <c r="BR87" s="1425" t="str">
        <f aca="false">IF(ISNUMBER($AV87*BE87*1),$AV87*BE87*1,"")</f>
        <v/>
      </c>
      <c r="BS87" s="1411" t="str">
        <f aca="false">IF(ISNUMBER($AU87*BF87),$AU87*BF87,"")</f>
        <v/>
      </c>
      <c r="BT87" s="1411" t="str">
        <f aca="false">IF(ISNUMBER($AV87*BG87),$AV87*BG87,"")</f>
        <v/>
      </c>
      <c r="BU87" s="1411"/>
      <c r="BV87" s="1411"/>
      <c r="BW87" s="1411"/>
      <c r="BX87" s="1411"/>
      <c r="BZ87" s="1372"/>
      <c r="CA87" s="1372"/>
      <c r="CB87" s="1426" t="str">
        <f aca="false">IF(ISNUMBER($AW87*BB87),$AW87*BB87,"")</f>
        <v/>
      </c>
      <c r="CC87" s="1426" t="str">
        <f aca="false">IF(ISNUMBER($AX87*BC87),$AX87*BC87,"")</f>
        <v/>
      </c>
      <c r="CD87" s="1426" t="str">
        <f aca="false">IF(ISNUMBER($AW87*BD87),$AW87*BD87,"")</f>
        <v/>
      </c>
      <c r="CE87" s="1426" t="str">
        <f aca="false">IF(ISNUMBER($AX87*BE87),$AX87*BE87,"")</f>
        <v/>
      </c>
      <c r="CF87" s="1372" t="str">
        <f aca="false">IF(ISNUMBER($AW87*BF87),$AW87*BF87,"")</f>
        <v/>
      </c>
      <c r="CG87" s="1372" t="str">
        <f aca="false">IF(ISNUMBER($AX87*BG87),$AX87*BG87,"")</f>
        <v/>
      </c>
      <c r="CH87" s="1438"/>
      <c r="CI87" s="1438"/>
      <c r="CJ87" s="1438"/>
      <c r="CK87" s="1438"/>
      <c r="CU87" s="1411"/>
      <c r="CV87" s="1411"/>
      <c r="CW87" s="1425"/>
      <c r="CX87" s="1425"/>
      <c r="CY87" s="1425"/>
      <c r="CZ87" s="1425"/>
      <c r="DA87" s="1411"/>
      <c r="DB87" s="1411"/>
      <c r="DC87" s="1411"/>
      <c r="DD87" s="1411"/>
      <c r="DE87" s="1411"/>
      <c r="DF87" s="1411"/>
      <c r="DH87" s="1432"/>
      <c r="DI87" s="1432"/>
      <c r="DJ87" s="1437"/>
      <c r="DK87" s="1437"/>
      <c r="DL87" s="1437"/>
      <c r="DM87" s="1437"/>
      <c r="DN87" s="1432"/>
      <c r="DO87" s="1432"/>
      <c r="DP87" s="1432"/>
      <c r="DQ87" s="1432"/>
      <c r="DR87" s="1432"/>
      <c r="DS87" s="1432"/>
      <c r="DT87" s="1316"/>
      <c r="DU87" s="1433"/>
      <c r="DV87" s="1433"/>
      <c r="DW87" s="1433"/>
      <c r="DX87" s="1433"/>
      <c r="DY87" s="1433"/>
      <c r="DZ87" s="1433"/>
      <c r="EA87" s="1433"/>
      <c r="EB87" s="1433"/>
    </row>
    <row r="88" customFormat="false" ht="14.25" hidden="false" customHeight="false" outlineLevel="0" collapsed="false">
      <c r="A88" s="2" t="n">
        <f aca="false">'V_DATOS PAC_SGA'!R83</f>
        <v>0</v>
      </c>
      <c r="B88" s="2" t="n">
        <f aca="false">IF(I88="IV",CONCATENATE('V_DATOS PAC_SGA'!R83,"4")+0,CONCATENATE('V_DATOS PAC_SGA'!R83,"0")+0)</f>
        <v>0</v>
      </c>
      <c r="C88" s="2" t="n">
        <f aca="false">'V_DATOS PAC_SGA'!S83</f>
        <v>0</v>
      </c>
      <c r="D88" s="1409" t="n">
        <f aca="false">'V_DATOS PAC_SGA'!Y83</f>
        <v>0</v>
      </c>
      <c r="E88" s="1410" t="str">
        <f aca="false">IF('V_DATOS PAC_SGA'!AV83="","Regadio",'V_DATOS PAC_SGA'!AV83)</f>
        <v>Regadio</v>
      </c>
      <c r="F88" s="1411" t="n">
        <f aca="false">'V_DATOS PAC_SGA'!BK83</f>
        <v>0</v>
      </c>
      <c r="G88" s="1412" t="n">
        <f aca="false">'V_DATOS PAC_SGA'!AN83</f>
        <v>0</v>
      </c>
      <c r="H88" s="1413" t="str">
        <f aca="false">IF(B88&gt;0,VLOOKUP(B88,'O_MN, PE_UTA_UGM 2024'!E$3:O$419,10),"")</f>
        <v/>
      </c>
      <c r="I88" s="1359" t="n">
        <f aca="false">'V_DATOS PAC_SGA'!BV83</f>
        <v>0</v>
      </c>
      <c r="J88" s="2" t="str">
        <f aca="false">IF(AND(J$4=$G88,J$6=$F88),$D88*J$5,"")</f>
        <v/>
      </c>
      <c r="K88" s="2" t="str">
        <f aca="false">IF(AND(K$4=$G88,K$6=$F88),$D88*K$5,"")</f>
        <v/>
      </c>
      <c r="L88" s="2" t="str">
        <f aca="false">IF(AND(L$4=$G88,L$6=$F88),$D88*L$5,"")</f>
        <v/>
      </c>
      <c r="M88" s="2" t="str">
        <f aca="false">IF(AND(M$4=$G88,M$6=$F88),$D88*M$5,"")</f>
        <v/>
      </c>
      <c r="N88" s="1414" t="n">
        <f aca="false">VLOOKUP(B88,'O_MN, PE_UTA_UGM 2024'!$E$2:$K$419,IF(G88&gt;1,6,7))</f>
        <v>0</v>
      </c>
      <c r="O88" s="1434" t="str">
        <f aca="false">IF($H88=O$4,$D88*$N88,"")</f>
        <v/>
      </c>
      <c r="P88" s="1435" t="str">
        <f aca="false">IF($H88=P$4,$D88*$N88,"")</f>
        <v/>
      </c>
      <c r="Q88" s="1435" t="str">
        <f aca="false">IF($H88=Q$4,$D88*$N88,"")</f>
        <v/>
      </c>
      <c r="R88" s="1435" t="str">
        <f aca="false">IF($H88=R$4,$D88*$N88,"")</f>
        <v/>
      </c>
      <c r="S88" s="1435" t="str">
        <f aca="false">IF($H88=S$4,$D88*$N88,"")</f>
        <v/>
      </c>
      <c r="T88" s="1435" t="str">
        <f aca="false">IF($H88=T$4,$D88*$N88,"")</f>
        <v/>
      </c>
      <c r="U88" s="1436" t="str">
        <f aca="false">IF($H88=U$4,$D88*$N88,"")</f>
        <v/>
      </c>
      <c r="V88" s="1418"/>
      <c r="W88" s="1419"/>
      <c r="X88" s="1419"/>
      <c r="Y88" s="1419"/>
      <c r="Z88" s="1419"/>
      <c r="AA88" s="1419"/>
      <c r="AB88" s="1420"/>
      <c r="AC88" s="1319"/>
      <c r="AD88" s="2" t="str">
        <f aca="false">IF(AND(AD$4=$G88,AD$6=$F88),$B88,"")</f>
        <v/>
      </c>
      <c r="AE88" s="2" t="str">
        <f aca="false">IF(AND(AE$4=$G88,AE$6=$F88),$B88,"")</f>
        <v/>
      </c>
      <c r="AF88" s="2" t="str">
        <f aca="false">IF(AND(AF$4=$G88,AF$6=$F88),$B88,"")</f>
        <v/>
      </c>
      <c r="AG88" s="2" t="str">
        <f aca="false">IF(AND(AG$4=$G88,AG$6=$F88),$B88,"")</f>
        <v/>
      </c>
      <c r="AI88" s="366"/>
      <c r="AL88" s="367"/>
      <c r="AO88" s="367"/>
      <c r="AP88" s="2" t="str">
        <f aca="false">IF(AT88&gt;0,RANK(AT88,AT$7:AT$423),"")</f>
        <v/>
      </c>
      <c r="AQ88" s="2" t="n">
        <f aca="false">'O_MN, PE_UTA_UGM 2024'!C84</f>
        <v>147</v>
      </c>
      <c r="AR88" s="1421" t="n">
        <v>1400</v>
      </c>
      <c r="AS88" s="2" t="str">
        <f aca="false">IF(AY88&lt;&gt;"",AY88,"")</f>
        <v/>
      </c>
      <c r="AT88" s="1422" t="n">
        <f aca="false">IF(ISNUMBER($AR88),SUMIF(B$7:B$505,AR88,D$7:D$505),"")</f>
        <v>0</v>
      </c>
      <c r="AU88" s="1411" t="n">
        <f aca="false">IF(ISNUMBER($AR88),SUMIF(AD$7:AD$503,$AR88,J$7:J$503),"")</f>
        <v>0</v>
      </c>
      <c r="AV88" s="1411" t="n">
        <f aca="false">IF(ISNUMBER($AR88),SUMIF(AF$7:AF$503,$AR88,L$7:L$503),"")</f>
        <v>0</v>
      </c>
      <c r="AW88" s="1423" t="n">
        <f aca="false">IF(ISNUMBER($AR88),SUMIF(AE$7:AE$503,$AR88,K$7:K$503),"")</f>
        <v>0</v>
      </c>
      <c r="AX88" s="1423" t="n">
        <f aca="false">IF(ISNUMBER($AR88),SUMIF(AG$7:AG$503,$AR88,M$7:M$503),"")</f>
        <v>0</v>
      </c>
      <c r="AY88" s="2" t="str">
        <f aca="false">IF($AT88&gt;0,VLOOKUP($AR88,'O_MN, PE_UTA_UGM 2024'!E84:O500,2),"")</f>
        <v/>
      </c>
      <c r="AZ88" s="1424"/>
      <c r="BA88" s="1424"/>
      <c r="BB88" s="1424" t="str">
        <f aca="false">IF($AT88&gt;0,VLOOKUP($AR88,'O_MN, PE_UTA_UGM 2024'!$E$3:$O$419,BB$6),"")</f>
        <v/>
      </c>
      <c r="BC88" s="1424" t="str">
        <f aca="false">IF($AT88&gt;0,VLOOKUP($AR88,'O_MN, PE_UTA_UGM 2024'!$E$3:$O$419,BC$6),"")</f>
        <v/>
      </c>
      <c r="BD88" s="1424" t="str">
        <f aca="false">IF($AT88&gt;0,VLOOKUP($AR88,'O_MN, PE_UTA_UGM 2024'!$E$3:$O$419,BD$6),"")</f>
        <v/>
      </c>
      <c r="BE88" s="1424" t="str">
        <f aca="false">IF($AT88&gt;0,VLOOKUP($AR88,'O_MN, PE_UTA_UGM 2024'!$E$3:$O$419,BE$6),"")</f>
        <v/>
      </c>
      <c r="BF88" s="1424" t="str">
        <f aca="false">IF($AT88&gt;0,VLOOKUP($AR88,'O_MN, PE_UTA_UGM 2024'!$E$3:$O$419,BF$6),"")</f>
        <v/>
      </c>
      <c r="BG88" s="1424" t="str">
        <f aca="false">IF($AT88&gt;0,VLOOKUP($AR88,'O_MN, PE_UTA_UGM 2024'!$E$3:$O$419,BG$6),"")</f>
        <v/>
      </c>
      <c r="BH88" s="872"/>
      <c r="BI88" s="872"/>
      <c r="BJ88" s="872"/>
      <c r="BK88" s="872"/>
      <c r="BM88" s="1411"/>
      <c r="BN88" s="1411"/>
      <c r="BO88" s="1425" t="str">
        <f aca="false">IF(ISNUMBER($AU88*BB88*1),$AU88*BB88*1,"")</f>
        <v/>
      </c>
      <c r="BP88" s="1425" t="str">
        <f aca="false">IF(ISNUMBER($AV88*BC88*1),$AV88*BC88*1,"")</f>
        <v/>
      </c>
      <c r="BQ88" s="1425" t="str">
        <f aca="false">IF(ISNUMBER($AU88*BD88*1),$AU88*BD88*1,"")</f>
        <v/>
      </c>
      <c r="BR88" s="1425" t="str">
        <f aca="false">IF(ISNUMBER($AV88*BE88*1),$AV88*BE88*1,"")</f>
        <v/>
      </c>
      <c r="BS88" s="1411" t="str">
        <f aca="false">IF(ISNUMBER($AU88*BF88),$AU88*BF88,"")</f>
        <v/>
      </c>
      <c r="BT88" s="1411" t="str">
        <f aca="false">IF(ISNUMBER($AV88*BG88),$AV88*BG88,"")</f>
        <v/>
      </c>
      <c r="BU88" s="1411"/>
      <c r="BV88" s="1411"/>
      <c r="BW88" s="1411"/>
      <c r="BX88" s="1411"/>
      <c r="BZ88" s="1372"/>
      <c r="CA88" s="1372"/>
      <c r="CB88" s="1426" t="str">
        <f aca="false">IF(ISNUMBER($AW88*BB88),$AW88*BB88,"")</f>
        <v/>
      </c>
      <c r="CC88" s="1426" t="str">
        <f aca="false">IF(ISNUMBER($AX88*BC88),$AX88*BC88,"")</f>
        <v/>
      </c>
      <c r="CD88" s="1426" t="str">
        <f aca="false">IF(ISNUMBER($AW88*BD88),$AW88*BD88,"")</f>
        <v/>
      </c>
      <c r="CE88" s="1426" t="str">
        <f aca="false">IF(ISNUMBER($AX88*BE88),$AX88*BE88,"")</f>
        <v/>
      </c>
      <c r="CF88" s="1372" t="str">
        <f aca="false">IF(ISNUMBER($AW88*BF88),$AW88*BF88,"")</f>
        <v/>
      </c>
      <c r="CG88" s="1372" t="str">
        <f aca="false">IF(ISNUMBER($AX88*BG88),$AX88*BG88,"")</f>
        <v/>
      </c>
      <c r="CH88" s="1438"/>
      <c r="CI88" s="1438"/>
      <c r="CJ88" s="1438"/>
      <c r="CK88" s="1438"/>
      <c r="CU88" s="1411"/>
      <c r="CV88" s="1411"/>
      <c r="CW88" s="1425"/>
      <c r="CX88" s="1425"/>
      <c r="CY88" s="1425"/>
      <c r="CZ88" s="1425"/>
      <c r="DA88" s="1411"/>
      <c r="DB88" s="1411"/>
      <c r="DC88" s="1411"/>
      <c r="DD88" s="1411"/>
      <c r="DE88" s="1411"/>
      <c r="DF88" s="1411"/>
      <c r="DH88" s="1432"/>
      <c r="DI88" s="1432"/>
      <c r="DJ88" s="1437"/>
      <c r="DK88" s="1437"/>
      <c r="DL88" s="1437"/>
      <c r="DM88" s="1437"/>
      <c r="DN88" s="1432"/>
      <c r="DO88" s="1432"/>
      <c r="DP88" s="1432"/>
      <c r="DQ88" s="1432"/>
      <c r="DR88" s="1432"/>
      <c r="DS88" s="1432"/>
      <c r="DT88" s="1316"/>
      <c r="DU88" s="1433"/>
      <c r="DV88" s="1433"/>
      <c r="DW88" s="1433"/>
      <c r="DX88" s="1433"/>
      <c r="DY88" s="1433"/>
      <c r="DZ88" s="1433"/>
      <c r="EA88" s="1433"/>
      <c r="EB88" s="1433"/>
    </row>
    <row r="89" customFormat="false" ht="14.25" hidden="false" customHeight="false" outlineLevel="0" collapsed="false">
      <c r="A89" s="2" t="n">
        <f aca="false">'V_DATOS PAC_SGA'!R84</f>
        <v>0</v>
      </c>
      <c r="B89" s="2" t="n">
        <f aca="false">IF(I89="IV",CONCATENATE('V_DATOS PAC_SGA'!R84,"4")+0,CONCATENATE('V_DATOS PAC_SGA'!R84,"0")+0)</f>
        <v>0</v>
      </c>
      <c r="C89" s="2" t="n">
        <f aca="false">'V_DATOS PAC_SGA'!S84</f>
        <v>0</v>
      </c>
      <c r="D89" s="1409" t="n">
        <f aca="false">'V_DATOS PAC_SGA'!Y84</f>
        <v>0</v>
      </c>
      <c r="E89" s="1410" t="str">
        <f aca="false">IF('V_DATOS PAC_SGA'!AV84="","Regadio",'V_DATOS PAC_SGA'!AV84)</f>
        <v>Regadio</v>
      </c>
      <c r="F89" s="1411" t="n">
        <f aca="false">'V_DATOS PAC_SGA'!BK84</f>
        <v>0</v>
      </c>
      <c r="G89" s="1412" t="n">
        <f aca="false">'V_DATOS PAC_SGA'!AN84</f>
        <v>0</v>
      </c>
      <c r="H89" s="1413" t="str">
        <f aca="false">IF(B89&gt;0,VLOOKUP(B89,'O_MN, PE_UTA_UGM 2024'!E$3:O$419,10),"")</f>
        <v/>
      </c>
      <c r="I89" s="1359" t="n">
        <f aca="false">'V_DATOS PAC_SGA'!BV84</f>
        <v>0</v>
      </c>
      <c r="J89" s="2" t="str">
        <f aca="false">IF(AND(J$4=$G89,J$6=$F89),$D89*J$5,"")</f>
        <v/>
      </c>
      <c r="K89" s="2" t="str">
        <f aca="false">IF(AND(K$4=$G89,K$6=$F89),$D89*K$5,"")</f>
        <v/>
      </c>
      <c r="L89" s="2" t="str">
        <f aca="false">IF(AND(L$4=$G89,L$6=$F89),$D89*L$5,"")</f>
        <v/>
      </c>
      <c r="M89" s="2" t="str">
        <f aca="false">IF(AND(M$4=$G89,M$6=$F89),$D89*M$5,"")</f>
        <v/>
      </c>
      <c r="N89" s="1414" t="n">
        <f aca="false">VLOOKUP(B89,'O_MN, PE_UTA_UGM 2024'!$E$2:$K$419,IF(G89&gt;1,6,7))</f>
        <v>0</v>
      </c>
      <c r="O89" s="1434" t="str">
        <f aca="false">IF($H89=O$4,$D89*$N89,"")</f>
        <v/>
      </c>
      <c r="P89" s="1435" t="str">
        <f aca="false">IF($H89=P$4,$D89*$N89,"")</f>
        <v/>
      </c>
      <c r="Q89" s="1435" t="str">
        <f aca="false">IF($H89=Q$4,$D89*$N89,"")</f>
        <v/>
      </c>
      <c r="R89" s="1435" t="str">
        <f aca="false">IF($H89=R$4,$D89*$N89,"")</f>
        <v/>
      </c>
      <c r="S89" s="1435" t="str">
        <f aca="false">IF($H89=S$4,$D89*$N89,"")</f>
        <v/>
      </c>
      <c r="T89" s="1435" t="str">
        <f aca="false">IF($H89=T$4,$D89*$N89,"")</f>
        <v/>
      </c>
      <c r="U89" s="1436" t="str">
        <f aca="false">IF($H89=U$4,$D89*$N89,"")</f>
        <v/>
      </c>
      <c r="V89" s="1418"/>
      <c r="W89" s="1419"/>
      <c r="X89" s="1419"/>
      <c r="Y89" s="1419"/>
      <c r="Z89" s="1419"/>
      <c r="AA89" s="1419"/>
      <c r="AB89" s="1420"/>
      <c r="AC89" s="1319"/>
      <c r="AD89" s="2" t="str">
        <f aca="false">IF(AND(AD$4=$G89,AD$6=$F89),$B89,"")</f>
        <v/>
      </c>
      <c r="AE89" s="2" t="str">
        <f aca="false">IF(AND(AE$4=$G89,AE$6=$F89),$B89,"")</f>
        <v/>
      </c>
      <c r="AF89" s="2" t="str">
        <f aca="false">IF(AND(AF$4=$G89,AF$6=$F89),$B89,"")</f>
        <v/>
      </c>
      <c r="AG89" s="2" t="str">
        <f aca="false">IF(AND(AG$4=$G89,AG$6=$F89),$B89,"")</f>
        <v/>
      </c>
      <c r="AI89" s="366"/>
      <c r="AL89" s="367"/>
      <c r="AO89" s="367"/>
      <c r="AP89" s="2" t="str">
        <f aca="false">IF(AT89&gt;0,RANK(AT89,AT$7:AT$423),"")</f>
        <v/>
      </c>
      <c r="AQ89" s="2" t="n">
        <f aca="false">'O_MN, PE_UTA_UGM 2024'!C85</f>
        <v>151</v>
      </c>
      <c r="AR89" s="1421" t="n">
        <v>1410</v>
      </c>
      <c r="AS89" s="2" t="str">
        <f aca="false">IF(AY89&lt;&gt;"",AY89,"")</f>
        <v/>
      </c>
      <c r="AT89" s="1422" t="n">
        <f aca="false">IF(ISNUMBER($AR89),SUMIF(B$7:B$505,AR89,D$7:D$505),"")</f>
        <v>0</v>
      </c>
      <c r="AU89" s="1411" t="n">
        <f aca="false">IF(ISNUMBER($AR89),SUMIF(AD$7:AD$503,$AR89,J$7:J$503),"")</f>
        <v>0</v>
      </c>
      <c r="AV89" s="1411" t="n">
        <f aca="false">IF(ISNUMBER($AR89),SUMIF(AF$7:AF$503,$AR89,L$7:L$503),"")</f>
        <v>0</v>
      </c>
      <c r="AW89" s="1423" t="n">
        <f aca="false">IF(ISNUMBER($AR89),SUMIF(AE$7:AE$503,$AR89,K$7:K$503),"")</f>
        <v>0</v>
      </c>
      <c r="AX89" s="1423" t="n">
        <f aca="false">IF(ISNUMBER($AR89),SUMIF(AG$7:AG$503,$AR89,M$7:M$503),"")</f>
        <v>0</v>
      </c>
      <c r="AY89" s="2" t="str">
        <f aca="false">IF($AT89&gt;0,VLOOKUP($AR89,'O_MN, PE_UTA_UGM 2024'!E85:O501,2),"")</f>
        <v/>
      </c>
      <c r="AZ89" s="1424"/>
      <c r="BA89" s="1424"/>
      <c r="BB89" s="1424" t="str">
        <f aca="false">IF($AT89&gt;0,VLOOKUP($AR89,'O_MN, PE_UTA_UGM 2024'!$E$3:$O$419,BB$6),"")</f>
        <v/>
      </c>
      <c r="BC89" s="1424" t="str">
        <f aca="false">IF($AT89&gt;0,VLOOKUP($AR89,'O_MN, PE_UTA_UGM 2024'!$E$3:$O$419,BC$6),"")</f>
        <v/>
      </c>
      <c r="BD89" s="1424" t="str">
        <f aca="false">IF($AT89&gt;0,VLOOKUP($AR89,'O_MN, PE_UTA_UGM 2024'!$E$3:$O$419,BD$6),"")</f>
        <v/>
      </c>
      <c r="BE89" s="1424" t="str">
        <f aca="false">IF($AT89&gt;0,VLOOKUP($AR89,'O_MN, PE_UTA_UGM 2024'!$E$3:$O$419,BE$6),"")</f>
        <v/>
      </c>
      <c r="BF89" s="1424" t="str">
        <f aca="false">IF($AT89&gt;0,VLOOKUP($AR89,'O_MN, PE_UTA_UGM 2024'!$E$3:$O$419,BF$6),"")</f>
        <v/>
      </c>
      <c r="BG89" s="1424" t="str">
        <f aca="false">IF($AT89&gt;0,VLOOKUP($AR89,'O_MN, PE_UTA_UGM 2024'!$E$3:$O$419,BG$6),"")</f>
        <v/>
      </c>
      <c r="BH89" s="872"/>
      <c r="BI89" s="872"/>
      <c r="BJ89" s="872"/>
      <c r="BK89" s="872"/>
      <c r="BM89" s="1411"/>
      <c r="BN89" s="1411"/>
      <c r="BO89" s="1425" t="str">
        <f aca="false">IF(ISNUMBER($AU89*BB89*1),$AU89*BB89*1,"")</f>
        <v/>
      </c>
      <c r="BP89" s="1425" t="str">
        <f aca="false">IF(ISNUMBER($AV89*BC89*1),$AV89*BC89*1,"")</f>
        <v/>
      </c>
      <c r="BQ89" s="1425" t="str">
        <f aca="false">IF(ISNUMBER($AU89*BD89*1),$AU89*BD89*1,"")</f>
        <v/>
      </c>
      <c r="BR89" s="1425" t="str">
        <f aca="false">IF(ISNUMBER($AV89*BE89*1),$AV89*BE89*1,"")</f>
        <v/>
      </c>
      <c r="BS89" s="1411" t="str">
        <f aca="false">IF(ISNUMBER($AU89*BF89),$AU89*BF89,"")</f>
        <v/>
      </c>
      <c r="BT89" s="1411" t="str">
        <f aca="false">IF(ISNUMBER($AV89*BG89),$AV89*BG89,"")</f>
        <v/>
      </c>
      <c r="BU89" s="1411"/>
      <c r="BV89" s="1411"/>
      <c r="BW89" s="1411"/>
      <c r="BX89" s="1411"/>
      <c r="BZ89" s="1372"/>
      <c r="CA89" s="1372"/>
      <c r="CB89" s="1426" t="str">
        <f aca="false">IF(ISNUMBER($AW89*BB89),$AW89*BB89,"")</f>
        <v/>
      </c>
      <c r="CC89" s="1426" t="str">
        <f aca="false">IF(ISNUMBER($AX89*BC89),$AX89*BC89,"")</f>
        <v/>
      </c>
      <c r="CD89" s="1426" t="str">
        <f aca="false">IF(ISNUMBER($AW89*BD89),$AW89*BD89,"")</f>
        <v/>
      </c>
      <c r="CE89" s="1426" t="str">
        <f aca="false">IF(ISNUMBER($AX89*BE89),$AX89*BE89,"")</f>
        <v/>
      </c>
      <c r="CF89" s="1372" t="str">
        <f aca="false">IF(ISNUMBER($AW89*BF89),$AW89*BF89,"")</f>
        <v/>
      </c>
      <c r="CG89" s="1372" t="str">
        <f aca="false">IF(ISNUMBER($AX89*BG89),$AX89*BG89,"")</f>
        <v/>
      </c>
      <c r="CH89" s="1438"/>
      <c r="CI89" s="1438"/>
      <c r="CJ89" s="1438"/>
      <c r="CK89" s="1438"/>
      <c r="CU89" s="1411"/>
      <c r="CV89" s="1411"/>
      <c r="CW89" s="1425"/>
      <c r="CX89" s="1425"/>
      <c r="CY89" s="1425"/>
      <c r="CZ89" s="1425"/>
      <c r="DA89" s="1411"/>
      <c r="DB89" s="1411"/>
      <c r="DC89" s="1411"/>
      <c r="DD89" s="1411"/>
      <c r="DE89" s="1411"/>
      <c r="DF89" s="1411"/>
      <c r="DH89" s="1432"/>
      <c r="DI89" s="1432"/>
      <c r="DJ89" s="1437"/>
      <c r="DK89" s="1437"/>
      <c r="DL89" s="1437"/>
      <c r="DM89" s="1437"/>
      <c r="DN89" s="1432"/>
      <c r="DO89" s="1432"/>
      <c r="DP89" s="1432"/>
      <c r="DQ89" s="1432"/>
      <c r="DR89" s="1432"/>
      <c r="DS89" s="1432"/>
      <c r="DT89" s="1316"/>
      <c r="DU89" s="1433"/>
      <c r="DV89" s="1433"/>
      <c r="DW89" s="1433"/>
      <c r="DX89" s="1433"/>
      <c r="DY89" s="1433"/>
      <c r="DZ89" s="1433"/>
      <c r="EA89" s="1433"/>
      <c r="EB89" s="1433"/>
    </row>
    <row r="90" customFormat="false" ht="14.25" hidden="false" customHeight="false" outlineLevel="0" collapsed="false">
      <c r="A90" s="2" t="n">
        <f aca="false">'V_DATOS PAC_SGA'!R85</f>
        <v>0</v>
      </c>
      <c r="B90" s="2" t="n">
        <f aca="false">IF(I90="IV",CONCATENATE('V_DATOS PAC_SGA'!R85,"4")+0,CONCATENATE('V_DATOS PAC_SGA'!R85,"0")+0)</f>
        <v>0</v>
      </c>
      <c r="C90" s="2" t="n">
        <f aca="false">'V_DATOS PAC_SGA'!S85</f>
        <v>0</v>
      </c>
      <c r="D90" s="1409" t="n">
        <f aca="false">'V_DATOS PAC_SGA'!Y85</f>
        <v>0</v>
      </c>
      <c r="E90" s="1410" t="str">
        <f aca="false">IF('V_DATOS PAC_SGA'!AV85="","Regadio",'V_DATOS PAC_SGA'!AV85)</f>
        <v>Regadio</v>
      </c>
      <c r="F90" s="1411" t="n">
        <f aca="false">'V_DATOS PAC_SGA'!BK85</f>
        <v>0</v>
      </c>
      <c r="G90" s="1412" t="n">
        <f aca="false">'V_DATOS PAC_SGA'!AN85</f>
        <v>0</v>
      </c>
      <c r="H90" s="1413" t="str">
        <f aca="false">IF(B90&gt;0,VLOOKUP(B90,'O_MN, PE_UTA_UGM 2024'!E$3:O$419,10),"")</f>
        <v/>
      </c>
      <c r="I90" s="1359" t="n">
        <f aca="false">'V_DATOS PAC_SGA'!BV85</f>
        <v>0</v>
      </c>
      <c r="J90" s="2" t="str">
        <f aca="false">IF(AND(J$4=$G90,J$6=$F90),$D90*J$5,"")</f>
        <v/>
      </c>
      <c r="K90" s="2" t="str">
        <f aca="false">IF(AND(K$4=$G90,K$6=$F90),$D90*K$5,"")</f>
        <v/>
      </c>
      <c r="L90" s="2" t="str">
        <f aca="false">IF(AND(L$4=$G90,L$6=$F90),$D90*L$5,"")</f>
        <v/>
      </c>
      <c r="M90" s="2" t="str">
        <f aca="false">IF(AND(M$4=$G90,M$6=$F90),$D90*M$5,"")</f>
        <v/>
      </c>
      <c r="N90" s="1414" t="n">
        <f aca="false">VLOOKUP(B90,'O_MN, PE_UTA_UGM 2024'!$E$2:$K$419,IF(G90&gt;1,6,7))</f>
        <v>0</v>
      </c>
      <c r="O90" s="1434" t="str">
        <f aca="false">IF($H90=O$4,$D90*$N90,"")</f>
        <v/>
      </c>
      <c r="P90" s="1435" t="str">
        <f aca="false">IF($H90=P$4,$D90*$N90,"")</f>
        <v/>
      </c>
      <c r="Q90" s="1435" t="str">
        <f aca="false">IF($H90=Q$4,$D90*$N90,"")</f>
        <v/>
      </c>
      <c r="R90" s="1435" t="str">
        <f aca="false">IF($H90=R$4,$D90*$N90,"")</f>
        <v/>
      </c>
      <c r="S90" s="1435" t="str">
        <f aca="false">IF($H90=S$4,$D90*$N90,"")</f>
        <v/>
      </c>
      <c r="T90" s="1435" t="str">
        <f aca="false">IF($H90=T$4,$D90*$N90,"")</f>
        <v/>
      </c>
      <c r="U90" s="1436" t="str">
        <f aca="false">IF($H90=U$4,$D90*$N90,"")</f>
        <v/>
      </c>
      <c r="V90" s="1418"/>
      <c r="W90" s="1419"/>
      <c r="X90" s="1419"/>
      <c r="Y90" s="1419"/>
      <c r="Z90" s="1419"/>
      <c r="AA90" s="1419"/>
      <c r="AB90" s="1420"/>
      <c r="AC90" s="1319"/>
      <c r="AD90" s="2" t="str">
        <f aca="false">IF(AND(AD$4=$G90,AD$6=$F90),$B90,"")</f>
        <v/>
      </c>
      <c r="AE90" s="2" t="str">
        <f aca="false">IF(AND(AE$4=$G90,AE$6=$F90),$B90,"")</f>
        <v/>
      </c>
      <c r="AF90" s="2" t="str">
        <f aca="false">IF(AND(AF$4=$G90,AF$6=$F90),$B90,"")</f>
        <v/>
      </c>
      <c r="AG90" s="2" t="str">
        <f aca="false">IF(AND(AG$4=$G90,AG$6=$F90),$B90,"")</f>
        <v/>
      </c>
      <c r="AI90" s="366"/>
      <c r="AL90" s="367"/>
      <c r="AO90" s="367" t="str">
        <f aca="false">IF(MID(AR90,LEN(AR90),1)+0&gt;0,CONCATENATE(AY90," invernadero"),AY90)</f>
        <v/>
      </c>
      <c r="AP90" s="2" t="str">
        <f aca="false">IF(AT90&gt;0,RANK(AT90,AT$7:AT$423),"")</f>
        <v/>
      </c>
      <c r="AQ90" s="2" t="n">
        <f aca="false">'O_MN, PE_UTA_UGM 2024'!C86</f>
        <v>151</v>
      </c>
      <c r="AR90" s="1421" t="n">
        <v>1420</v>
      </c>
      <c r="AS90" s="2" t="str">
        <f aca="false">IF(AY90&lt;&gt;"",AY90,"")</f>
        <v/>
      </c>
      <c r="AT90" s="1422" t="n">
        <f aca="false">IF(ISNUMBER($AR90),SUMIF(B$7:B$505,AR90,D$7:D$505),"")</f>
        <v>0</v>
      </c>
      <c r="AU90" s="1411" t="n">
        <f aca="false">IF(ISNUMBER($AR90),SUMIF(AD$7:AD$503,$AR90,J$7:J$503),"")</f>
        <v>0</v>
      </c>
      <c r="AV90" s="1411" t="n">
        <f aca="false">IF(ISNUMBER($AR90),SUMIF(AF$7:AF$503,$AR90,L$7:L$503),"")</f>
        <v>0</v>
      </c>
      <c r="AW90" s="1423" t="n">
        <f aca="false">IF(ISNUMBER($AR90),SUMIF(AE$7:AE$503,$AR90,K$7:K$503),"")</f>
        <v>0</v>
      </c>
      <c r="AX90" s="1423" t="n">
        <f aca="false">IF(ISNUMBER($AR90),SUMIF(AG$7:AG$503,$AR90,M$7:M$503),"")</f>
        <v>0</v>
      </c>
      <c r="AY90" s="2" t="str">
        <f aca="false">IF($AT90&gt;0,VLOOKUP($AR90,'O_MN, PE_UTA_UGM 2024'!E86:O502,2),"")</f>
        <v/>
      </c>
      <c r="AZ90" s="1424"/>
      <c r="BA90" s="1424"/>
      <c r="BB90" s="1424" t="str">
        <f aca="false">IF($AT90&gt;0,VLOOKUP($AR90,'O_MN, PE_UTA_UGM 2024'!$E$3:$O$419,BB$6),"")</f>
        <v/>
      </c>
      <c r="BC90" s="1424" t="str">
        <f aca="false">IF($AT90&gt;0,VLOOKUP($AR90,'O_MN, PE_UTA_UGM 2024'!$E$3:$O$419,BC$6),"")</f>
        <v/>
      </c>
      <c r="BD90" s="1424" t="str">
        <f aca="false">IF($AT90&gt;0,VLOOKUP($AR90,'O_MN, PE_UTA_UGM 2024'!$E$3:$O$419,BD$6),"")</f>
        <v/>
      </c>
      <c r="BE90" s="1424" t="str">
        <f aca="false">IF($AT90&gt;0,VLOOKUP($AR90,'O_MN, PE_UTA_UGM 2024'!$E$3:$O$419,BE$6),"")</f>
        <v/>
      </c>
      <c r="BF90" s="1424" t="str">
        <f aca="false">IF($AT90&gt;0,VLOOKUP($AR90,'O_MN, PE_UTA_UGM 2024'!$E$3:$O$419,BF$6),"")</f>
        <v/>
      </c>
      <c r="BG90" s="1424" t="str">
        <f aca="false">IF($AT90&gt;0,VLOOKUP($AR90,'O_MN, PE_UTA_UGM 2024'!$E$3:$O$419,BG$6),"")</f>
        <v/>
      </c>
      <c r="BH90" s="872"/>
      <c r="BI90" s="872"/>
      <c r="BJ90" s="872"/>
      <c r="BK90" s="872"/>
      <c r="BM90" s="1411"/>
      <c r="BN90" s="1411"/>
      <c r="BO90" s="1425" t="str">
        <f aca="false">IF(ISNUMBER($AU90*BB90*1),$AU90*BB90*1,"")</f>
        <v/>
      </c>
      <c r="BP90" s="1425" t="str">
        <f aca="false">IF(ISNUMBER($AV90*BC90*1),$AV90*BC90*1,"")</f>
        <v/>
      </c>
      <c r="BQ90" s="1425" t="str">
        <f aca="false">IF(ISNUMBER($AU90*BD90*1),$AU90*BD90*1,"")</f>
        <v/>
      </c>
      <c r="BR90" s="1425" t="str">
        <f aca="false">IF(ISNUMBER($AV90*BE90*1),$AV90*BE90*1,"")</f>
        <v/>
      </c>
      <c r="BS90" s="1411" t="str">
        <f aca="false">IF(ISNUMBER($AU90*BF90),$AU90*BF90,"")</f>
        <v/>
      </c>
      <c r="BT90" s="1411" t="str">
        <f aca="false">IF(ISNUMBER($AV90*BG90),$AV90*BG90,"")</f>
        <v/>
      </c>
      <c r="BU90" s="1411"/>
      <c r="BV90" s="1411"/>
      <c r="BW90" s="1411"/>
      <c r="BX90" s="1411"/>
      <c r="BZ90" s="1372"/>
      <c r="CA90" s="1372"/>
      <c r="CB90" s="1426" t="str">
        <f aca="false">IF(ISNUMBER($AW90*BB90),$AW90*BB90,"")</f>
        <v/>
      </c>
      <c r="CC90" s="1426" t="str">
        <f aca="false">IF(ISNUMBER($AX90*BC90),$AX90*BC90,"")</f>
        <v/>
      </c>
      <c r="CD90" s="1426" t="str">
        <f aca="false">IF(ISNUMBER($AW90*BD90),$AW90*BD90,"")</f>
        <v/>
      </c>
      <c r="CE90" s="1426" t="str">
        <f aca="false">IF(ISNUMBER($AX90*BE90),$AX90*BE90,"")</f>
        <v/>
      </c>
      <c r="CF90" s="1372" t="str">
        <f aca="false">IF(ISNUMBER($AW90*BF90),$AW90*BF90,"")</f>
        <v/>
      </c>
      <c r="CG90" s="1372" t="str">
        <f aca="false">IF(ISNUMBER($AX90*BG90),$AX90*BG90,"")</f>
        <v/>
      </c>
      <c r="CH90" s="1438"/>
      <c r="CI90" s="1438"/>
      <c r="CJ90" s="1438"/>
      <c r="CK90" s="1438"/>
      <c r="CU90" s="1411"/>
      <c r="CV90" s="1411"/>
      <c r="CW90" s="1425"/>
      <c r="CX90" s="1425"/>
      <c r="CY90" s="1425"/>
      <c r="CZ90" s="1425"/>
      <c r="DA90" s="1411"/>
      <c r="DB90" s="1411"/>
      <c r="DC90" s="1411"/>
      <c r="DD90" s="1411"/>
      <c r="DE90" s="1411"/>
      <c r="DF90" s="1411"/>
      <c r="DH90" s="1432"/>
      <c r="DI90" s="1432"/>
      <c r="DJ90" s="1437"/>
      <c r="DK90" s="1437"/>
      <c r="DL90" s="1437"/>
      <c r="DM90" s="1437"/>
      <c r="DN90" s="1432"/>
      <c r="DO90" s="1432"/>
      <c r="DP90" s="1432"/>
      <c r="DQ90" s="1432"/>
      <c r="DR90" s="1432"/>
      <c r="DS90" s="1432"/>
      <c r="DT90" s="1316"/>
      <c r="DU90" s="1433"/>
      <c r="DV90" s="1433"/>
      <c r="DW90" s="1433"/>
      <c r="DX90" s="1433"/>
      <c r="DY90" s="1433"/>
      <c r="DZ90" s="1433"/>
      <c r="EA90" s="1433"/>
      <c r="EB90" s="1433"/>
    </row>
    <row r="91" customFormat="false" ht="14.25" hidden="false" customHeight="false" outlineLevel="0" collapsed="false">
      <c r="A91" s="2" t="n">
        <f aca="false">'V_DATOS PAC_SGA'!R86</f>
        <v>0</v>
      </c>
      <c r="B91" s="2" t="n">
        <f aca="false">IF(I91="IV",CONCATENATE('V_DATOS PAC_SGA'!R86,"4")+0,CONCATENATE('V_DATOS PAC_SGA'!R86,"0")+0)</f>
        <v>0</v>
      </c>
      <c r="C91" s="2" t="n">
        <f aca="false">'V_DATOS PAC_SGA'!S86</f>
        <v>0</v>
      </c>
      <c r="D91" s="1409" t="n">
        <f aca="false">'V_DATOS PAC_SGA'!Y86</f>
        <v>0</v>
      </c>
      <c r="E91" s="1410" t="str">
        <f aca="false">IF('V_DATOS PAC_SGA'!AV86="","Regadio",'V_DATOS PAC_SGA'!AV86)</f>
        <v>Regadio</v>
      </c>
      <c r="F91" s="1411" t="n">
        <f aca="false">'V_DATOS PAC_SGA'!BK86</f>
        <v>0</v>
      </c>
      <c r="G91" s="1412" t="n">
        <f aca="false">'V_DATOS PAC_SGA'!AN86</f>
        <v>0</v>
      </c>
      <c r="H91" s="1413" t="str">
        <f aca="false">IF(B91&gt;0,VLOOKUP(B91,'O_MN, PE_UTA_UGM 2024'!E$3:O$419,10),"")</f>
        <v/>
      </c>
      <c r="I91" s="1359" t="n">
        <f aca="false">'V_DATOS PAC_SGA'!BV86</f>
        <v>0</v>
      </c>
      <c r="J91" s="2" t="str">
        <f aca="false">IF(AND(J$4=$G91,J$6=$F91),$D91*J$5,"")</f>
        <v/>
      </c>
      <c r="K91" s="2" t="str">
        <f aca="false">IF(AND(K$4=$G91,K$6=$F91),$D91*K$5,"")</f>
        <v/>
      </c>
      <c r="L91" s="2" t="str">
        <f aca="false">IF(AND(L$4=$G91,L$6=$F91),$D91*L$5,"")</f>
        <v/>
      </c>
      <c r="M91" s="2" t="str">
        <f aca="false">IF(AND(M$4=$G91,M$6=$F91),$D91*M$5,"")</f>
        <v/>
      </c>
      <c r="N91" s="1414" t="n">
        <f aca="false">VLOOKUP(B91,'O_MN, PE_UTA_UGM 2024'!$E$2:$K$419,IF(G91&gt;1,6,7))</f>
        <v>0</v>
      </c>
      <c r="O91" s="1434" t="str">
        <f aca="false">IF($H91=O$4,$D91*$N91,"")</f>
        <v/>
      </c>
      <c r="P91" s="1435" t="str">
        <f aca="false">IF($H91=P$4,$D91*$N91,"")</f>
        <v/>
      </c>
      <c r="Q91" s="1435" t="str">
        <f aca="false">IF($H91=Q$4,$D91*$N91,"")</f>
        <v/>
      </c>
      <c r="R91" s="1435" t="str">
        <f aca="false">IF($H91=R$4,$D91*$N91,"")</f>
        <v/>
      </c>
      <c r="S91" s="1435" t="str">
        <f aca="false">IF($H91=S$4,$D91*$N91,"")</f>
        <v/>
      </c>
      <c r="T91" s="1435" t="str">
        <f aca="false">IF($H91=T$4,$D91*$N91,"")</f>
        <v/>
      </c>
      <c r="U91" s="1436" t="str">
        <f aca="false">IF($H91=U$4,$D91*$N91,"")</f>
        <v/>
      </c>
      <c r="V91" s="1418"/>
      <c r="W91" s="1419"/>
      <c r="X91" s="1419"/>
      <c r="Y91" s="1419"/>
      <c r="Z91" s="1419"/>
      <c r="AA91" s="1419"/>
      <c r="AB91" s="1420"/>
      <c r="AC91" s="1319"/>
      <c r="AD91" s="2" t="str">
        <f aca="false">IF(AND(AD$4=$G91,AD$6=$F91),$B91,"")</f>
        <v/>
      </c>
      <c r="AE91" s="2" t="str">
        <f aca="false">IF(AND(AE$4=$G91,AE$6=$F91),$B91,"")</f>
        <v/>
      </c>
      <c r="AF91" s="2" t="str">
        <f aca="false">IF(AND(AF$4=$G91,AF$6=$F91),$B91,"")</f>
        <v/>
      </c>
      <c r="AG91" s="2" t="str">
        <f aca="false">IF(AND(AG$4=$G91,AG$6=$F91),$B91,"")</f>
        <v/>
      </c>
      <c r="AI91" s="366"/>
      <c r="AL91" s="367"/>
      <c r="AO91" s="367" t="str">
        <f aca="false">IF(MID(AR91,LEN(AR91),1)+0&gt;0,CONCATENATE(AY91," invernadero"),AY91)</f>
        <v/>
      </c>
      <c r="AP91" s="2" t="str">
        <f aca="false">IF(AT91&gt;0,RANK(AT91,AT$7:AT$423),"")</f>
        <v/>
      </c>
      <c r="AQ91" s="2" t="n">
        <f aca="false">'O_MN, PE_UTA_UGM 2024'!C87</f>
        <v>151</v>
      </c>
      <c r="AR91" s="1421" t="n">
        <v>1430</v>
      </c>
      <c r="AS91" s="2" t="str">
        <f aca="false">IF(AY91&lt;&gt;"",AY91,"")</f>
        <v/>
      </c>
      <c r="AT91" s="1422" t="n">
        <f aca="false">IF(ISNUMBER($AR91),SUMIF(B$7:B$505,AR91,D$7:D$505),"")</f>
        <v>0</v>
      </c>
      <c r="AU91" s="1411" t="n">
        <f aca="false">IF(ISNUMBER($AR91),SUMIF(AD$7:AD$503,$AR91,J$7:J$503),"")</f>
        <v>0</v>
      </c>
      <c r="AV91" s="1411" t="n">
        <f aca="false">IF(ISNUMBER($AR91),SUMIF(AF$7:AF$503,$AR91,L$7:L$503),"")</f>
        <v>0</v>
      </c>
      <c r="AW91" s="1423" t="n">
        <f aca="false">IF(ISNUMBER($AR91),SUMIF(AE$7:AE$503,$AR91,K$7:K$503),"")</f>
        <v>0</v>
      </c>
      <c r="AX91" s="1423" t="n">
        <f aca="false">IF(ISNUMBER($AR91),SUMIF(AG$7:AG$503,$AR91,M$7:M$503),"")</f>
        <v>0</v>
      </c>
      <c r="AY91" s="2" t="str">
        <f aca="false">IF($AT91&gt;0,VLOOKUP($AR91,'O_MN, PE_UTA_UGM 2024'!E87:O503,2),"")</f>
        <v/>
      </c>
      <c r="AZ91" s="1424"/>
      <c r="BA91" s="1424"/>
      <c r="BB91" s="1424" t="str">
        <f aca="false">IF($AT91&gt;0,VLOOKUP($AR91,'O_MN, PE_UTA_UGM 2024'!$E$3:$O$419,BB$6),"")</f>
        <v/>
      </c>
      <c r="BC91" s="1424" t="str">
        <f aca="false">IF($AT91&gt;0,VLOOKUP($AR91,'O_MN, PE_UTA_UGM 2024'!$E$3:$O$419,BC$6),"")</f>
        <v/>
      </c>
      <c r="BD91" s="1424" t="str">
        <f aca="false">IF($AT91&gt;0,VLOOKUP($AR91,'O_MN, PE_UTA_UGM 2024'!$E$3:$O$419,BD$6),"")</f>
        <v/>
      </c>
      <c r="BE91" s="1424" t="str">
        <f aca="false">IF($AT91&gt;0,VLOOKUP($AR91,'O_MN, PE_UTA_UGM 2024'!$E$3:$O$419,BE$6),"")</f>
        <v/>
      </c>
      <c r="BF91" s="1424" t="str">
        <f aca="false">IF($AT91&gt;0,VLOOKUP($AR91,'O_MN, PE_UTA_UGM 2024'!$E$3:$O$419,BF$6),"")</f>
        <v/>
      </c>
      <c r="BG91" s="1424" t="str">
        <f aca="false">IF($AT91&gt;0,VLOOKUP($AR91,'O_MN, PE_UTA_UGM 2024'!$E$3:$O$419,BG$6),"")</f>
        <v/>
      </c>
      <c r="BH91" s="872"/>
      <c r="BI91" s="872"/>
      <c r="BJ91" s="872"/>
      <c r="BK91" s="872"/>
      <c r="BM91" s="1411"/>
      <c r="BN91" s="1411"/>
      <c r="BO91" s="1425" t="str">
        <f aca="false">IF(ISNUMBER($AU91*BB91*1),$AU91*BB91*1,"")</f>
        <v/>
      </c>
      <c r="BP91" s="1425" t="str">
        <f aca="false">IF(ISNUMBER($AV91*BC91*1),$AV91*BC91*1,"")</f>
        <v/>
      </c>
      <c r="BQ91" s="1425" t="str">
        <f aca="false">IF(ISNUMBER($AU91*BD91*1),$AU91*BD91*1,"")</f>
        <v/>
      </c>
      <c r="BR91" s="1425" t="str">
        <f aca="false">IF(ISNUMBER($AV91*BE91*1),$AV91*BE91*1,"")</f>
        <v/>
      </c>
      <c r="BS91" s="1411" t="str">
        <f aca="false">IF(ISNUMBER($AU91*BF91),$AU91*BF91,"")</f>
        <v/>
      </c>
      <c r="BT91" s="1411" t="str">
        <f aca="false">IF(ISNUMBER($AV91*BG91),$AV91*BG91,"")</f>
        <v/>
      </c>
      <c r="BU91" s="1411"/>
      <c r="BV91" s="1411"/>
      <c r="BW91" s="1411"/>
      <c r="BX91" s="1411"/>
      <c r="BZ91" s="1372"/>
      <c r="CA91" s="1372"/>
      <c r="CB91" s="1426" t="str">
        <f aca="false">IF(ISNUMBER($AW91*BB91),$AW91*BB91,"")</f>
        <v/>
      </c>
      <c r="CC91" s="1426" t="str">
        <f aca="false">IF(ISNUMBER($AX91*BC91),$AX91*BC91,"")</f>
        <v/>
      </c>
      <c r="CD91" s="1426" t="str">
        <f aca="false">IF(ISNUMBER($AW91*BD91),$AW91*BD91,"")</f>
        <v/>
      </c>
      <c r="CE91" s="1426" t="str">
        <f aca="false">IF(ISNUMBER($AX91*BE91),$AX91*BE91,"")</f>
        <v/>
      </c>
      <c r="CF91" s="1372" t="str">
        <f aca="false">IF(ISNUMBER($AW91*BF91),$AW91*BF91,"")</f>
        <v/>
      </c>
      <c r="CG91" s="1372" t="str">
        <f aca="false">IF(ISNUMBER($AX91*BG91),$AX91*BG91,"")</f>
        <v/>
      </c>
      <c r="CH91" s="1438"/>
      <c r="CI91" s="1438"/>
      <c r="CJ91" s="1438"/>
      <c r="CK91" s="1438"/>
      <c r="CU91" s="1411"/>
      <c r="CV91" s="1411"/>
      <c r="CW91" s="1425"/>
      <c r="CX91" s="1425"/>
      <c r="CY91" s="1425"/>
      <c r="CZ91" s="1425"/>
      <c r="DA91" s="1411"/>
      <c r="DB91" s="1411"/>
      <c r="DC91" s="1411"/>
      <c r="DD91" s="1411"/>
      <c r="DE91" s="1411"/>
      <c r="DF91" s="1411"/>
      <c r="DH91" s="1432"/>
      <c r="DI91" s="1432"/>
      <c r="DJ91" s="1437"/>
      <c r="DK91" s="1437"/>
      <c r="DL91" s="1437"/>
      <c r="DM91" s="1437"/>
      <c r="DN91" s="1432"/>
      <c r="DO91" s="1432"/>
      <c r="DP91" s="1432"/>
      <c r="DQ91" s="1432"/>
      <c r="DR91" s="1432"/>
      <c r="DS91" s="1432"/>
      <c r="DT91" s="1316"/>
      <c r="DU91" s="1433"/>
      <c r="DV91" s="1433"/>
      <c r="DW91" s="1433"/>
      <c r="DX91" s="1433"/>
      <c r="DY91" s="1433"/>
      <c r="DZ91" s="1433"/>
      <c r="EA91" s="1433"/>
      <c r="EB91" s="1433"/>
    </row>
    <row r="92" customFormat="false" ht="14.25" hidden="false" customHeight="false" outlineLevel="0" collapsed="false">
      <c r="A92" s="2" t="n">
        <f aca="false">'V_DATOS PAC_SGA'!R87</f>
        <v>0</v>
      </c>
      <c r="B92" s="2" t="n">
        <f aca="false">IF(I92="IV",CONCATENATE('V_DATOS PAC_SGA'!R87,"4")+0,CONCATENATE('V_DATOS PAC_SGA'!R87,"0")+0)</f>
        <v>0</v>
      </c>
      <c r="C92" s="2" t="n">
        <f aca="false">'V_DATOS PAC_SGA'!S87</f>
        <v>0</v>
      </c>
      <c r="D92" s="1409" t="n">
        <f aca="false">'V_DATOS PAC_SGA'!Y87</f>
        <v>0</v>
      </c>
      <c r="E92" s="1410" t="str">
        <f aca="false">IF('V_DATOS PAC_SGA'!AV87="","Regadio",'V_DATOS PAC_SGA'!AV87)</f>
        <v>Regadio</v>
      </c>
      <c r="F92" s="1411" t="n">
        <f aca="false">'V_DATOS PAC_SGA'!BK87</f>
        <v>0</v>
      </c>
      <c r="G92" s="1412" t="n">
        <f aca="false">'V_DATOS PAC_SGA'!AN87</f>
        <v>0</v>
      </c>
      <c r="H92" s="1413" t="str">
        <f aca="false">IF(B92&gt;0,VLOOKUP(B92,'O_MN, PE_UTA_UGM 2024'!E$3:O$419,10),"")</f>
        <v/>
      </c>
      <c r="I92" s="1359" t="n">
        <f aca="false">'V_DATOS PAC_SGA'!BV87</f>
        <v>0</v>
      </c>
      <c r="J92" s="2" t="str">
        <f aca="false">IF(AND(J$4=$G92,J$6=$F92),$D92*J$5,"")</f>
        <v/>
      </c>
      <c r="K92" s="2" t="str">
        <f aca="false">IF(AND(K$4=$G92,K$6=$F92),$D92*K$5,"")</f>
        <v/>
      </c>
      <c r="L92" s="2" t="str">
        <f aca="false">IF(AND(L$4=$G92,L$6=$F92),$D92*L$5,"")</f>
        <v/>
      </c>
      <c r="M92" s="2" t="str">
        <f aca="false">IF(AND(M$4=$G92,M$6=$F92),$D92*M$5,"")</f>
        <v/>
      </c>
      <c r="N92" s="1414" t="n">
        <f aca="false">VLOOKUP(B92,'O_MN, PE_UTA_UGM 2024'!$E$2:$K$419,IF(G92&gt;1,6,7))</f>
        <v>0</v>
      </c>
      <c r="O92" s="1434" t="str">
        <f aca="false">IF($H92=O$4,$D92*$N92,"")</f>
        <v/>
      </c>
      <c r="P92" s="1435" t="str">
        <f aca="false">IF($H92=P$4,$D92*$N92,"")</f>
        <v/>
      </c>
      <c r="Q92" s="1435" t="str">
        <f aca="false">IF($H92=Q$4,$D92*$N92,"")</f>
        <v/>
      </c>
      <c r="R92" s="1435" t="str">
        <f aca="false">IF($H92=R$4,$D92*$N92,"")</f>
        <v/>
      </c>
      <c r="S92" s="1435" t="str">
        <f aca="false">IF($H92=S$4,$D92*$N92,"")</f>
        <v/>
      </c>
      <c r="T92" s="1435" t="str">
        <f aca="false">IF($H92=T$4,$D92*$N92,"")</f>
        <v/>
      </c>
      <c r="U92" s="1436" t="str">
        <f aca="false">IF($H92=U$4,$D92*$N92,"")</f>
        <v/>
      </c>
      <c r="V92" s="1418"/>
      <c r="W92" s="1419"/>
      <c r="X92" s="1419"/>
      <c r="Y92" s="1419"/>
      <c r="Z92" s="1419"/>
      <c r="AA92" s="1419"/>
      <c r="AB92" s="1420"/>
      <c r="AC92" s="1319"/>
      <c r="AD92" s="2" t="str">
        <f aca="false">IF(AND(AD$4=$G92,AD$6=$F92),$B92,"")</f>
        <v/>
      </c>
      <c r="AE92" s="2" t="str">
        <f aca="false">IF(AND(AE$4=$G92,AE$6=$F92),$B92,"")</f>
        <v/>
      </c>
      <c r="AF92" s="2" t="str">
        <f aca="false">IF(AND(AF$4=$G92,AF$6=$F92),$B92,"")</f>
        <v/>
      </c>
      <c r="AG92" s="2" t="str">
        <f aca="false">IF(AND(AG$4=$G92,AG$6=$F92),$B92,"")</f>
        <v/>
      </c>
      <c r="AI92" s="366"/>
      <c r="AL92" s="367"/>
      <c r="AO92" s="367" t="str">
        <f aca="false">IF(MID(AR92,LEN(AR92),1)+0&gt;0,CONCATENATE(AY92," invernadero"),AY92)</f>
        <v> invernadero</v>
      </c>
      <c r="AP92" s="2" t="str">
        <f aca="false">IF(AT92&gt;0,RANK(AT92,AT$7:AT$423),"")</f>
        <v/>
      </c>
      <c r="AQ92" s="2" t="n">
        <f aca="false">'O_MN, PE_UTA_UGM 2024'!C88</f>
        <v>152</v>
      </c>
      <c r="AR92" s="1421" t="n">
        <v>1476</v>
      </c>
      <c r="AS92" s="2" t="str">
        <f aca="false">IF(AY92&lt;&gt;"",AY92,"")</f>
        <v/>
      </c>
      <c r="AT92" s="1422" t="n">
        <f aca="false">IF(ISNUMBER($AR92),SUMIF(B$7:B$505,AR92,D$7:D$505),"")</f>
        <v>0</v>
      </c>
      <c r="AU92" s="1411" t="n">
        <f aca="false">IF(ISNUMBER($AR92),SUMIF(AD$7:AD$503,$AR92,J$7:J$503),"")</f>
        <v>0</v>
      </c>
      <c r="AV92" s="1411" t="n">
        <f aca="false">IF(ISNUMBER($AR92),SUMIF(AF$7:AF$503,$AR92,L$7:L$503),"")</f>
        <v>0</v>
      </c>
      <c r="AW92" s="1423" t="n">
        <f aca="false">IF(ISNUMBER($AR92),SUMIF(AE$7:AE$503,$AR92,K$7:K$503),"")</f>
        <v>0</v>
      </c>
      <c r="AX92" s="1423" t="n">
        <f aca="false">IF(ISNUMBER($AR92),SUMIF(AG$7:AG$503,$AR92,M$7:M$503),"")</f>
        <v>0</v>
      </c>
      <c r="AY92" s="2" t="str">
        <f aca="false">IF($AT92&gt;0,VLOOKUP($AR92,'O_MN, PE_UTA_UGM 2024'!E88:O504,2),"")</f>
        <v/>
      </c>
      <c r="AZ92" s="1424"/>
      <c r="BA92" s="1424"/>
      <c r="BB92" s="1424" t="str">
        <f aca="false">IF($AT92&gt;0,VLOOKUP($AR92,'O_MN, PE_UTA_UGM 2024'!$E$3:$O$419,BB$6),"")</f>
        <v/>
      </c>
      <c r="BC92" s="1424" t="str">
        <f aca="false">IF($AT92&gt;0,VLOOKUP($AR92,'O_MN, PE_UTA_UGM 2024'!$E$3:$O$419,BC$6),"")</f>
        <v/>
      </c>
      <c r="BD92" s="1424" t="str">
        <f aca="false">IF($AT92&gt;0,VLOOKUP($AR92,'O_MN, PE_UTA_UGM 2024'!$E$3:$O$419,BD$6),"")</f>
        <v/>
      </c>
      <c r="BE92" s="1424" t="str">
        <f aca="false">IF($AT92&gt;0,VLOOKUP($AR92,'O_MN, PE_UTA_UGM 2024'!$E$3:$O$419,BE$6),"")</f>
        <v/>
      </c>
      <c r="BF92" s="1424" t="str">
        <f aca="false">IF($AT92&gt;0,VLOOKUP($AR92,'O_MN, PE_UTA_UGM 2024'!$E$3:$O$419,BF$6),"")</f>
        <v/>
      </c>
      <c r="BG92" s="1424" t="str">
        <f aca="false">IF($AT92&gt;0,VLOOKUP($AR92,'O_MN, PE_UTA_UGM 2024'!$E$3:$O$419,BG$6),"")</f>
        <v/>
      </c>
      <c r="BH92" s="872"/>
      <c r="BI92" s="872"/>
      <c r="BJ92" s="872"/>
      <c r="BK92" s="872"/>
      <c r="BM92" s="1411"/>
      <c r="BN92" s="1411"/>
      <c r="BO92" s="1425" t="str">
        <f aca="false">IF(ISNUMBER($AU92*BB92*1),$AU92*BB92*1,"")</f>
        <v/>
      </c>
      <c r="BP92" s="1425" t="str">
        <f aca="false">IF(ISNUMBER($AV92*BC92*1),$AV92*BC92*1,"")</f>
        <v/>
      </c>
      <c r="BQ92" s="1425" t="str">
        <f aca="false">IF(ISNUMBER($AU92*BD92*1),$AU92*BD92*1,"")</f>
        <v/>
      </c>
      <c r="BR92" s="1425" t="str">
        <f aca="false">IF(ISNUMBER($AV92*BE92*1),$AV92*BE92*1,"")</f>
        <v/>
      </c>
      <c r="BS92" s="1411" t="str">
        <f aca="false">IF(ISNUMBER($AU92*BF92),$AU92*BF92,"")</f>
        <v/>
      </c>
      <c r="BT92" s="1411" t="str">
        <f aca="false">IF(ISNUMBER($AV92*BG92),$AV92*BG92,"")</f>
        <v/>
      </c>
      <c r="BU92" s="1411"/>
      <c r="BV92" s="1411"/>
      <c r="BW92" s="1411"/>
      <c r="BX92" s="1411"/>
      <c r="BZ92" s="1372"/>
      <c r="CA92" s="1372"/>
      <c r="CB92" s="1426" t="str">
        <f aca="false">IF(ISNUMBER($AW92*BB92),$AW92*BB92,"")</f>
        <v/>
      </c>
      <c r="CC92" s="1426" t="str">
        <f aca="false">IF(ISNUMBER($AX92*BC92),$AX92*BC92,"")</f>
        <v/>
      </c>
      <c r="CD92" s="1426" t="str">
        <f aca="false">IF(ISNUMBER($AW92*BD92),$AW92*BD92,"")</f>
        <v/>
      </c>
      <c r="CE92" s="1426" t="str">
        <f aca="false">IF(ISNUMBER($AX92*BE92),$AX92*BE92,"")</f>
        <v/>
      </c>
      <c r="CF92" s="1372" t="str">
        <f aca="false">IF(ISNUMBER($AW92*BF92),$AW92*BF92,"")</f>
        <v/>
      </c>
      <c r="CG92" s="1372" t="str">
        <f aca="false">IF(ISNUMBER($AX92*BG92),$AX92*BG92,"")</f>
        <v/>
      </c>
      <c r="CH92" s="1438"/>
      <c r="CI92" s="1438"/>
      <c r="CJ92" s="1438"/>
      <c r="CK92" s="1438"/>
      <c r="CU92" s="1411"/>
      <c r="CV92" s="1411"/>
      <c r="CW92" s="1425"/>
      <c r="CX92" s="1425"/>
      <c r="CY92" s="1425"/>
      <c r="CZ92" s="1425"/>
      <c r="DA92" s="1411"/>
      <c r="DB92" s="1411"/>
      <c r="DC92" s="1411"/>
      <c r="DD92" s="1411"/>
      <c r="DE92" s="1411"/>
      <c r="DF92" s="1411"/>
      <c r="DH92" s="1432"/>
      <c r="DI92" s="1432"/>
      <c r="DJ92" s="1437"/>
      <c r="DK92" s="1437"/>
      <c r="DL92" s="1437"/>
      <c r="DM92" s="1437"/>
      <c r="DN92" s="1432"/>
      <c r="DO92" s="1432"/>
      <c r="DP92" s="1432"/>
      <c r="DQ92" s="1432"/>
      <c r="DR92" s="1432"/>
      <c r="DS92" s="1432"/>
      <c r="DT92" s="1316"/>
      <c r="DU92" s="1433"/>
      <c r="DV92" s="1433"/>
      <c r="DW92" s="1433"/>
      <c r="DX92" s="1433"/>
      <c r="DY92" s="1433"/>
      <c r="DZ92" s="1433"/>
      <c r="EA92" s="1433"/>
      <c r="EB92" s="1433"/>
    </row>
    <row r="93" customFormat="false" ht="14.25" hidden="false" customHeight="false" outlineLevel="0" collapsed="false">
      <c r="A93" s="2" t="n">
        <f aca="false">'V_DATOS PAC_SGA'!R88</f>
        <v>0</v>
      </c>
      <c r="B93" s="2" t="n">
        <f aca="false">IF(I93="IV",CONCATENATE('V_DATOS PAC_SGA'!R88,"4")+0,CONCATENATE('V_DATOS PAC_SGA'!R88,"0")+0)</f>
        <v>0</v>
      </c>
      <c r="C93" s="2" t="n">
        <f aca="false">'V_DATOS PAC_SGA'!S88</f>
        <v>0</v>
      </c>
      <c r="D93" s="1409" t="n">
        <f aca="false">'V_DATOS PAC_SGA'!Y88</f>
        <v>0</v>
      </c>
      <c r="E93" s="1410" t="str">
        <f aca="false">IF('V_DATOS PAC_SGA'!AV88="","Regadio",'V_DATOS PAC_SGA'!AV88)</f>
        <v>Regadio</v>
      </c>
      <c r="F93" s="1411" t="n">
        <f aca="false">'V_DATOS PAC_SGA'!BK88</f>
        <v>0</v>
      </c>
      <c r="G93" s="1412" t="n">
        <f aca="false">'V_DATOS PAC_SGA'!AN88</f>
        <v>0</v>
      </c>
      <c r="H93" s="1413" t="str">
        <f aca="false">IF(B93&gt;0,VLOOKUP(B93,'O_MN, PE_UTA_UGM 2024'!E$3:O$419,10),"")</f>
        <v/>
      </c>
      <c r="I93" s="1359" t="n">
        <f aca="false">'V_DATOS PAC_SGA'!BV88</f>
        <v>0</v>
      </c>
      <c r="J93" s="2" t="str">
        <f aca="false">IF(AND(J$4=$G93,J$6=$F93),$D93*J$5,"")</f>
        <v/>
      </c>
      <c r="K93" s="2" t="str">
        <f aca="false">IF(AND(K$4=$G93,K$6=$F93),$D93*K$5,"")</f>
        <v/>
      </c>
      <c r="L93" s="2" t="str">
        <f aca="false">IF(AND(L$4=$G93,L$6=$F93),$D93*L$5,"")</f>
        <v/>
      </c>
      <c r="M93" s="2" t="str">
        <f aca="false">IF(AND(M$4=$G93,M$6=$F93),$D93*M$5,"")</f>
        <v/>
      </c>
      <c r="N93" s="1414" t="n">
        <f aca="false">VLOOKUP(B93,'O_MN, PE_UTA_UGM 2024'!$E$2:$K$419,IF(G93&gt;1,6,7))</f>
        <v>0</v>
      </c>
      <c r="O93" s="1434" t="str">
        <f aca="false">IF($H93=O$4,$D93*$N93,"")</f>
        <v/>
      </c>
      <c r="P93" s="1435" t="str">
        <f aca="false">IF($H93=P$4,$D93*$N93,"")</f>
        <v/>
      </c>
      <c r="Q93" s="1435" t="str">
        <f aca="false">IF($H93=Q$4,$D93*$N93,"")</f>
        <v/>
      </c>
      <c r="R93" s="1435" t="str">
        <f aca="false">IF($H93=R$4,$D93*$N93,"")</f>
        <v/>
      </c>
      <c r="S93" s="1435" t="str">
        <f aca="false">IF($H93=S$4,$D93*$N93,"")</f>
        <v/>
      </c>
      <c r="T93" s="1435" t="str">
        <f aca="false">IF($H93=T$4,$D93*$N93,"")</f>
        <v/>
      </c>
      <c r="U93" s="1436" t="str">
        <f aca="false">IF($H93=U$4,$D93*$N93,"")</f>
        <v/>
      </c>
      <c r="V93" s="1418"/>
      <c r="W93" s="1419"/>
      <c r="X93" s="1419"/>
      <c r="Y93" s="1419"/>
      <c r="Z93" s="1419"/>
      <c r="AA93" s="1419"/>
      <c r="AB93" s="1420"/>
      <c r="AC93" s="1319"/>
      <c r="AD93" s="2" t="str">
        <f aca="false">IF(AND(AD$4=$G93,AD$6=$F93),$B93,"")</f>
        <v/>
      </c>
      <c r="AE93" s="2" t="str">
        <f aca="false">IF(AND(AE$4=$G93,AE$6=$F93),$B93,"")</f>
        <v/>
      </c>
      <c r="AF93" s="2" t="str">
        <f aca="false">IF(AND(AF$4=$G93,AF$6=$F93),$B93,"")</f>
        <v/>
      </c>
      <c r="AG93" s="2" t="str">
        <f aca="false">IF(AND(AG$4=$G93,AG$6=$F93),$B93,"")</f>
        <v/>
      </c>
      <c r="AI93" s="366"/>
      <c r="AL93" s="367"/>
      <c r="AO93" s="367" t="str">
        <f aca="false">IF(MID(AR93,LEN(AR93),1)+0&gt;0,CONCATENATE(AY93," invernadero"),AY93)</f>
        <v/>
      </c>
      <c r="AP93" s="2" t="str">
        <f aca="false">IF(AT93&gt;0,RANK(AT93,AT$7:AT$423),"")</f>
        <v/>
      </c>
      <c r="AQ93" s="2" t="n">
        <f aca="false">'O_MN, PE_UTA_UGM 2024'!C89</f>
        <v>152</v>
      </c>
      <c r="AR93" s="1421" t="n">
        <v>1510</v>
      </c>
      <c r="AS93" s="2" t="str">
        <f aca="false">IF(AY93&lt;&gt;"",AY93,"")</f>
        <v/>
      </c>
      <c r="AT93" s="1422" t="n">
        <f aca="false">IF(ISNUMBER($AR93),SUMIF(B$7:B$505,AR93,D$7:D$505),"")</f>
        <v>0</v>
      </c>
      <c r="AU93" s="1411" t="n">
        <f aca="false">IF(ISNUMBER($AR93),SUMIF(AD$7:AD$503,$AR93,J$7:J$503),"")</f>
        <v>0</v>
      </c>
      <c r="AV93" s="1411" t="n">
        <f aca="false">IF(ISNUMBER($AR93),SUMIF(AF$7:AF$503,$AR93,L$7:L$503),"")</f>
        <v>0</v>
      </c>
      <c r="AW93" s="1423" t="n">
        <f aca="false">IF(ISNUMBER($AR93),SUMIF(AE$7:AE$503,$AR93,K$7:K$503),"")</f>
        <v>0</v>
      </c>
      <c r="AX93" s="1423" t="n">
        <f aca="false">IF(ISNUMBER($AR93),SUMIF(AG$7:AG$503,$AR93,M$7:M$503),"")</f>
        <v>0</v>
      </c>
      <c r="AY93" s="2" t="str">
        <f aca="false">IF($AT93&gt;0,VLOOKUP($AR93,'O_MN, PE_UTA_UGM 2024'!E89:O505,2),"")</f>
        <v/>
      </c>
      <c r="AZ93" s="1424"/>
      <c r="BA93" s="1424"/>
      <c r="BB93" s="1424" t="str">
        <f aca="false">IF($AT93&gt;0,VLOOKUP($AR93,'O_MN, PE_UTA_UGM 2024'!$E$3:$O$419,BB$6),"")</f>
        <v/>
      </c>
      <c r="BC93" s="1424" t="str">
        <f aca="false">IF($AT93&gt;0,VLOOKUP($AR93,'O_MN, PE_UTA_UGM 2024'!$E$3:$O$419,BC$6),"")</f>
        <v/>
      </c>
      <c r="BD93" s="1424" t="str">
        <f aca="false">IF($AT93&gt;0,VLOOKUP($AR93,'O_MN, PE_UTA_UGM 2024'!$E$3:$O$419,BD$6),"")</f>
        <v/>
      </c>
      <c r="BE93" s="1424" t="str">
        <f aca="false">IF($AT93&gt;0,VLOOKUP($AR93,'O_MN, PE_UTA_UGM 2024'!$E$3:$O$419,BE$6),"")</f>
        <v/>
      </c>
      <c r="BF93" s="1424" t="str">
        <f aca="false">IF($AT93&gt;0,VLOOKUP($AR93,'O_MN, PE_UTA_UGM 2024'!$E$3:$O$419,BF$6),"")</f>
        <v/>
      </c>
      <c r="BG93" s="1424" t="str">
        <f aca="false">IF($AT93&gt;0,VLOOKUP($AR93,'O_MN, PE_UTA_UGM 2024'!$E$3:$O$419,BG$6),"")</f>
        <v/>
      </c>
      <c r="BH93" s="872"/>
      <c r="BI93" s="872"/>
      <c r="BJ93" s="872"/>
      <c r="BK93" s="872"/>
      <c r="BM93" s="1411"/>
      <c r="BN93" s="1411"/>
      <c r="BO93" s="1425" t="str">
        <f aca="false">IF(ISNUMBER($AU93*BB93*1),$AU93*BB93*1,"")</f>
        <v/>
      </c>
      <c r="BP93" s="1425" t="str">
        <f aca="false">IF(ISNUMBER($AV93*BC93*1),$AV93*BC93*1,"")</f>
        <v/>
      </c>
      <c r="BQ93" s="1425" t="str">
        <f aca="false">IF(ISNUMBER($AU93*BD93*1),$AU93*BD93*1,"")</f>
        <v/>
      </c>
      <c r="BR93" s="1425" t="str">
        <f aca="false">IF(ISNUMBER($AV93*BE93*1),$AV93*BE93*1,"")</f>
        <v/>
      </c>
      <c r="BS93" s="1411" t="str">
        <f aca="false">IF(ISNUMBER($AU93*BF93),$AU93*BF93,"")</f>
        <v/>
      </c>
      <c r="BT93" s="1411" t="str">
        <f aca="false">IF(ISNUMBER($AV93*BG93),$AV93*BG93,"")</f>
        <v/>
      </c>
      <c r="BU93" s="1411"/>
      <c r="BV93" s="1411"/>
      <c r="BW93" s="1411"/>
      <c r="BX93" s="1411"/>
      <c r="BZ93" s="1372"/>
      <c r="CA93" s="1372"/>
      <c r="CB93" s="1426" t="str">
        <f aca="false">IF(ISNUMBER($AW93*BB93),$AW93*BB93,"")</f>
        <v/>
      </c>
      <c r="CC93" s="1426" t="str">
        <f aca="false">IF(ISNUMBER($AX93*BC93),$AX93*BC93,"")</f>
        <v/>
      </c>
      <c r="CD93" s="1426" t="str">
        <f aca="false">IF(ISNUMBER($AW93*BD93),$AW93*BD93,"")</f>
        <v/>
      </c>
      <c r="CE93" s="1426" t="str">
        <f aca="false">IF(ISNUMBER($AX93*BE93),$AX93*BE93,"")</f>
        <v/>
      </c>
      <c r="CF93" s="1372" t="str">
        <f aca="false">IF(ISNUMBER($AW93*BF93),$AW93*BF93,"")</f>
        <v/>
      </c>
      <c r="CG93" s="1372" t="str">
        <f aca="false">IF(ISNUMBER($AX93*BG93),$AX93*BG93,"")</f>
        <v/>
      </c>
      <c r="CH93" s="1438"/>
      <c r="CI93" s="1438"/>
      <c r="CJ93" s="1438"/>
      <c r="CK93" s="1438"/>
      <c r="CU93" s="1411"/>
      <c r="CV93" s="1411"/>
      <c r="CW93" s="1425"/>
      <c r="CX93" s="1425"/>
      <c r="CY93" s="1425"/>
      <c r="CZ93" s="1425"/>
      <c r="DA93" s="1411"/>
      <c r="DB93" s="1411"/>
      <c r="DC93" s="1411"/>
      <c r="DD93" s="1411"/>
      <c r="DE93" s="1411"/>
      <c r="DF93" s="1411"/>
      <c r="DH93" s="1432"/>
      <c r="DI93" s="1432"/>
      <c r="DJ93" s="1437"/>
      <c r="DK93" s="1437"/>
      <c r="DL93" s="1437"/>
      <c r="DM93" s="1437"/>
      <c r="DN93" s="1432"/>
      <c r="DO93" s="1432"/>
      <c r="DP93" s="1432"/>
      <c r="DQ93" s="1432"/>
      <c r="DR93" s="1432"/>
      <c r="DS93" s="1432"/>
      <c r="DT93" s="1316"/>
      <c r="DU93" s="1433"/>
      <c r="DV93" s="1433"/>
      <c r="DW93" s="1433"/>
      <c r="DX93" s="1433"/>
      <c r="DY93" s="1433"/>
      <c r="DZ93" s="1433"/>
      <c r="EA93" s="1433"/>
      <c r="EB93" s="1433"/>
    </row>
    <row r="94" customFormat="false" ht="14.25" hidden="false" customHeight="false" outlineLevel="0" collapsed="false">
      <c r="A94" s="2" t="n">
        <f aca="false">'V_DATOS PAC_SGA'!R89</f>
        <v>0</v>
      </c>
      <c r="B94" s="2" t="n">
        <f aca="false">IF(I94="IV",CONCATENATE('V_DATOS PAC_SGA'!R89,"4")+0,CONCATENATE('V_DATOS PAC_SGA'!R89,"0")+0)</f>
        <v>0</v>
      </c>
      <c r="C94" s="2" t="n">
        <f aca="false">'V_DATOS PAC_SGA'!S89</f>
        <v>0</v>
      </c>
      <c r="D94" s="1409" t="n">
        <f aca="false">'V_DATOS PAC_SGA'!Y89</f>
        <v>0</v>
      </c>
      <c r="E94" s="1410" t="str">
        <f aca="false">IF('V_DATOS PAC_SGA'!AV89="","Regadio",'V_DATOS PAC_SGA'!AV89)</f>
        <v>Regadio</v>
      </c>
      <c r="F94" s="1411" t="n">
        <f aca="false">'V_DATOS PAC_SGA'!BK89</f>
        <v>0</v>
      </c>
      <c r="G94" s="1412" t="n">
        <f aca="false">'V_DATOS PAC_SGA'!AN89</f>
        <v>0</v>
      </c>
      <c r="H94" s="1413" t="str">
        <f aca="false">IF(B94&gt;0,VLOOKUP(B94,'O_MN, PE_UTA_UGM 2024'!E$3:O$419,10),"")</f>
        <v/>
      </c>
      <c r="I94" s="1359" t="n">
        <f aca="false">'V_DATOS PAC_SGA'!BV89</f>
        <v>0</v>
      </c>
      <c r="J94" s="2" t="str">
        <f aca="false">IF(AND(J$4=$G94,J$6=$F94),$D94*J$5,"")</f>
        <v/>
      </c>
      <c r="K94" s="2" t="str">
        <f aca="false">IF(AND(K$4=$G94,K$6=$F94),$D94*K$5,"")</f>
        <v/>
      </c>
      <c r="L94" s="2" t="str">
        <f aca="false">IF(AND(L$4=$G94,L$6=$F94),$D94*L$5,"")</f>
        <v/>
      </c>
      <c r="M94" s="2" t="str">
        <f aca="false">IF(AND(M$4=$G94,M$6=$F94),$D94*M$5,"")</f>
        <v/>
      </c>
      <c r="N94" s="1414" t="n">
        <f aca="false">VLOOKUP(B94,'O_MN, PE_UTA_UGM 2024'!$E$2:$K$419,IF(G94&gt;1,6,7))</f>
        <v>0</v>
      </c>
      <c r="O94" s="1434" t="str">
        <f aca="false">IF($H94=O$4,$D94*$N94,"")</f>
        <v/>
      </c>
      <c r="P94" s="1435" t="str">
        <f aca="false">IF($H94=P$4,$D94*$N94,"")</f>
        <v/>
      </c>
      <c r="Q94" s="1435" t="str">
        <f aca="false">IF($H94=Q$4,$D94*$N94,"")</f>
        <v/>
      </c>
      <c r="R94" s="1435" t="str">
        <f aca="false">IF($H94=R$4,$D94*$N94,"")</f>
        <v/>
      </c>
      <c r="S94" s="1435" t="str">
        <f aca="false">IF($H94=S$4,$D94*$N94,"")</f>
        <v/>
      </c>
      <c r="T94" s="1435" t="str">
        <f aca="false">IF($H94=T$4,$D94*$N94,"")</f>
        <v/>
      </c>
      <c r="U94" s="1436" t="str">
        <f aca="false">IF($H94=U$4,$D94*$N94,"")</f>
        <v/>
      </c>
      <c r="V94" s="1418"/>
      <c r="W94" s="1419"/>
      <c r="X94" s="1419"/>
      <c r="Y94" s="1419"/>
      <c r="Z94" s="1419"/>
      <c r="AA94" s="1419"/>
      <c r="AB94" s="1420"/>
      <c r="AC94" s="1319"/>
      <c r="AD94" s="2" t="str">
        <f aca="false">IF(AND(AD$4=$G94,AD$6=$F94),$B94,"")</f>
        <v/>
      </c>
      <c r="AE94" s="2" t="str">
        <f aca="false">IF(AND(AE$4=$G94,AE$6=$F94),$B94,"")</f>
        <v/>
      </c>
      <c r="AF94" s="2" t="str">
        <f aca="false">IF(AND(AF$4=$G94,AF$6=$F94),$B94,"")</f>
        <v/>
      </c>
      <c r="AG94" s="2" t="str">
        <f aca="false">IF(AND(AG$4=$G94,AG$6=$F94),$B94,"")</f>
        <v/>
      </c>
      <c r="AI94" s="366"/>
      <c r="AL94" s="367"/>
      <c r="AM94" s="2" t="n">
        <f aca="false">MID(AR94,LEN(AR94),1)+0</f>
        <v>4</v>
      </c>
      <c r="AO94" s="367" t="str">
        <f aca="false">IF(MID(AR94,LEN(AR94),1)+0&gt;0,CONCATENATE(AY94," invernadero"),AY94)</f>
        <v> invernadero</v>
      </c>
      <c r="AP94" s="2" t="str">
        <f aca="false">IF(AT94&gt;0,RANK(AT94,AT$7:AT$423),"")</f>
        <v/>
      </c>
      <c r="AQ94" s="2" t="n">
        <f aca="false">'O_MN, PE_UTA_UGM 2024'!C90</f>
        <v>152</v>
      </c>
      <c r="AR94" s="1421" t="n">
        <v>1514</v>
      </c>
      <c r="AS94" s="2" t="str">
        <f aca="false">IF(AY94&lt;&gt;"",AY94,"")</f>
        <v/>
      </c>
      <c r="AT94" s="1422" t="n">
        <f aca="false">IF(ISNUMBER($AR94),SUMIF(B$7:B$505,AR94,D$7:D$505),"")</f>
        <v>0</v>
      </c>
      <c r="AU94" s="1411" t="n">
        <f aca="false">IF(ISNUMBER($AR94),SUMIF(AD$7:AD$503,$AR94,J$7:J$503),"")</f>
        <v>0</v>
      </c>
      <c r="AV94" s="1411" t="n">
        <f aca="false">IF(ISNUMBER($AR94),SUMIF(AF$7:AF$503,$AR94,L$7:L$503),"")</f>
        <v>0</v>
      </c>
      <c r="AW94" s="1423" t="n">
        <f aca="false">IF(ISNUMBER($AR94),SUMIF(AE$7:AE$503,$AR94,K$7:K$503),"")</f>
        <v>0</v>
      </c>
      <c r="AX94" s="1423" t="n">
        <f aca="false">IF(ISNUMBER($AR94),SUMIF(AG$7:AG$503,$AR94,M$7:M$503),"")</f>
        <v>0</v>
      </c>
      <c r="AY94" s="2" t="str">
        <f aca="false">IF($AT94&gt;0,VLOOKUP($AR94,'O_MN, PE_UTA_UGM 2024'!E90:O506,2),"")</f>
        <v/>
      </c>
      <c r="AZ94" s="1424"/>
      <c r="BA94" s="1424"/>
      <c r="BB94" s="1424" t="str">
        <f aca="false">IF($AT94&gt;0,VLOOKUP($AR94,'O_MN, PE_UTA_UGM 2024'!$E$3:$O$419,BB$6),"")</f>
        <v/>
      </c>
      <c r="BC94" s="1424" t="str">
        <f aca="false">IF($AT94&gt;0,VLOOKUP($AR94,'O_MN, PE_UTA_UGM 2024'!$E$3:$O$419,BC$6),"")</f>
        <v/>
      </c>
      <c r="BD94" s="1424" t="str">
        <f aca="false">IF($AT94&gt;0,VLOOKUP($AR94,'O_MN, PE_UTA_UGM 2024'!$E$3:$O$419,BD$6),"")</f>
        <v/>
      </c>
      <c r="BE94" s="1424" t="str">
        <f aca="false">IF($AT94&gt;0,VLOOKUP($AR94,'O_MN, PE_UTA_UGM 2024'!$E$3:$O$419,BE$6),"")</f>
        <v/>
      </c>
      <c r="BF94" s="1424" t="str">
        <f aca="false">IF($AT94&gt;0,VLOOKUP($AR94,'O_MN, PE_UTA_UGM 2024'!$E$3:$O$419,BF$6),"")</f>
        <v/>
      </c>
      <c r="BG94" s="1424" t="str">
        <f aca="false">IF($AT94&gt;0,VLOOKUP($AR94,'O_MN, PE_UTA_UGM 2024'!$E$3:$O$419,BG$6),"")</f>
        <v/>
      </c>
      <c r="BH94" s="872"/>
      <c r="BI94" s="872"/>
      <c r="BJ94" s="872"/>
      <c r="BK94" s="872"/>
      <c r="BM94" s="1411"/>
      <c r="BN94" s="1411"/>
      <c r="BO94" s="1425" t="str">
        <f aca="false">IF(ISNUMBER($AU94*BB94*1),$AU94*BB94*1,"")</f>
        <v/>
      </c>
      <c r="BP94" s="1425" t="str">
        <f aca="false">IF(ISNUMBER($AV94*BC94*1),$AV94*BC94*1,"")</f>
        <v/>
      </c>
      <c r="BQ94" s="1425" t="str">
        <f aca="false">IF(ISNUMBER($AU94*BD94*1),$AU94*BD94*1,"")</f>
        <v/>
      </c>
      <c r="BR94" s="1425" t="str">
        <f aca="false">IF(ISNUMBER($AV94*BE94*1),$AV94*BE94*1,"")</f>
        <v/>
      </c>
      <c r="BS94" s="1411" t="str">
        <f aca="false">IF(ISNUMBER($AU94*BF94),$AU94*BF94,"")</f>
        <v/>
      </c>
      <c r="BT94" s="1411" t="str">
        <f aca="false">IF(ISNUMBER($AV94*BG94),$AV94*BG94,"")</f>
        <v/>
      </c>
      <c r="BU94" s="1411"/>
      <c r="BV94" s="1411"/>
      <c r="BW94" s="1411"/>
      <c r="BX94" s="1411"/>
      <c r="BZ94" s="1372"/>
      <c r="CA94" s="1372"/>
      <c r="CB94" s="1426" t="str">
        <f aca="false">IF(ISNUMBER($AW94*BB94),$AW94*BB94,"")</f>
        <v/>
      </c>
      <c r="CC94" s="1426" t="str">
        <f aca="false">IF(ISNUMBER($AX94*BC94),$AX94*BC94,"")</f>
        <v/>
      </c>
      <c r="CD94" s="1426" t="str">
        <f aca="false">IF(ISNUMBER($AW94*BD94),$AW94*BD94,"")</f>
        <v/>
      </c>
      <c r="CE94" s="1426" t="str">
        <f aca="false">IF(ISNUMBER($AX94*BE94),$AX94*BE94,"")</f>
        <v/>
      </c>
      <c r="CF94" s="1372" t="str">
        <f aca="false">IF(ISNUMBER($AW94*BF94),$AW94*BF94,"")</f>
        <v/>
      </c>
      <c r="CG94" s="1372" t="str">
        <f aca="false">IF(ISNUMBER($AX94*BG94),$AX94*BG94,"")</f>
        <v/>
      </c>
      <c r="CH94" s="1438"/>
      <c r="CI94" s="1438"/>
      <c r="CJ94" s="1438"/>
      <c r="CK94" s="1438"/>
      <c r="CU94" s="1411"/>
      <c r="CV94" s="1411"/>
      <c r="CW94" s="1425"/>
      <c r="CX94" s="1425"/>
      <c r="CY94" s="1425"/>
      <c r="CZ94" s="1425"/>
      <c r="DA94" s="1411"/>
      <c r="DB94" s="1411"/>
      <c r="DC94" s="1411"/>
      <c r="DD94" s="1411"/>
      <c r="DE94" s="1411"/>
      <c r="DF94" s="1411"/>
      <c r="DH94" s="1432"/>
      <c r="DI94" s="1432"/>
      <c r="DJ94" s="1437"/>
      <c r="DK94" s="1437"/>
      <c r="DL94" s="1437"/>
      <c r="DM94" s="1437"/>
      <c r="DN94" s="1432"/>
      <c r="DO94" s="1432"/>
      <c r="DP94" s="1432"/>
      <c r="DQ94" s="1432"/>
      <c r="DR94" s="1432"/>
      <c r="DS94" s="1432"/>
      <c r="DT94" s="1316"/>
      <c r="DU94" s="1433"/>
      <c r="DV94" s="1433"/>
      <c r="DW94" s="1433"/>
      <c r="DX94" s="1433"/>
      <c r="DY94" s="1433"/>
      <c r="DZ94" s="1433"/>
      <c r="EA94" s="1433"/>
      <c r="EB94" s="1433"/>
    </row>
    <row r="95" customFormat="false" ht="14.25" hidden="false" customHeight="false" outlineLevel="0" collapsed="false">
      <c r="A95" s="2" t="n">
        <f aca="false">'V_DATOS PAC_SGA'!R90</f>
        <v>0</v>
      </c>
      <c r="B95" s="2" t="n">
        <f aca="false">IF(I95="IV",CONCATENATE('V_DATOS PAC_SGA'!R90,"4")+0,CONCATENATE('V_DATOS PAC_SGA'!R90,"0")+0)</f>
        <v>0</v>
      </c>
      <c r="C95" s="2" t="n">
        <f aca="false">'V_DATOS PAC_SGA'!S90</f>
        <v>0</v>
      </c>
      <c r="D95" s="1409" t="n">
        <f aca="false">'V_DATOS PAC_SGA'!Y90</f>
        <v>0</v>
      </c>
      <c r="E95" s="1410" t="str">
        <f aca="false">IF('V_DATOS PAC_SGA'!AV90="","Regadio",'V_DATOS PAC_SGA'!AV90)</f>
        <v>Regadio</v>
      </c>
      <c r="F95" s="1411" t="n">
        <f aca="false">'V_DATOS PAC_SGA'!BK90</f>
        <v>0</v>
      </c>
      <c r="G95" s="1412" t="n">
        <f aca="false">'V_DATOS PAC_SGA'!AN90</f>
        <v>0</v>
      </c>
      <c r="H95" s="1413" t="str">
        <f aca="false">IF(B95&gt;0,VLOOKUP(B95,'O_MN, PE_UTA_UGM 2024'!E$3:O$419,10),"")</f>
        <v/>
      </c>
      <c r="I95" s="1359" t="n">
        <f aca="false">'V_DATOS PAC_SGA'!BV90</f>
        <v>0</v>
      </c>
      <c r="J95" s="2" t="str">
        <f aca="false">IF(AND(J$4=$G95,J$6=$F95),$D95*J$5,"")</f>
        <v/>
      </c>
      <c r="K95" s="2" t="str">
        <f aca="false">IF(AND(K$4=$G95,K$6=$F95),$D95*K$5,"")</f>
        <v/>
      </c>
      <c r="L95" s="2" t="str">
        <f aca="false">IF(AND(L$4=$G95,L$6=$F95),$D95*L$5,"")</f>
        <v/>
      </c>
      <c r="M95" s="2" t="str">
        <f aca="false">IF(AND(M$4=$G95,M$6=$F95),$D95*M$5,"")</f>
        <v/>
      </c>
      <c r="N95" s="1414" t="n">
        <f aca="false">VLOOKUP(B95,'O_MN, PE_UTA_UGM 2024'!$E$2:$K$419,IF(G95&gt;1,6,7))</f>
        <v>0</v>
      </c>
      <c r="O95" s="1434" t="str">
        <f aca="false">IF($H95=O$4,$D95*$N95,"")</f>
        <v/>
      </c>
      <c r="P95" s="1435" t="str">
        <f aca="false">IF($H95=P$4,$D95*$N95,"")</f>
        <v/>
      </c>
      <c r="Q95" s="1435" t="str">
        <f aca="false">IF($H95=Q$4,$D95*$N95,"")</f>
        <v/>
      </c>
      <c r="R95" s="1435" t="str">
        <f aca="false">IF($H95=R$4,$D95*$N95,"")</f>
        <v/>
      </c>
      <c r="S95" s="1435" t="str">
        <f aca="false">IF($H95=S$4,$D95*$N95,"")</f>
        <v/>
      </c>
      <c r="T95" s="1435" t="str">
        <f aca="false">IF($H95=T$4,$D95*$N95,"")</f>
        <v/>
      </c>
      <c r="U95" s="1436" t="str">
        <f aca="false">IF($H95=U$4,$D95*$N95,"")</f>
        <v/>
      </c>
      <c r="V95" s="1418"/>
      <c r="W95" s="1419"/>
      <c r="X95" s="1419"/>
      <c r="Y95" s="1419"/>
      <c r="Z95" s="1419"/>
      <c r="AA95" s="1419"/>
      <c r="AB95" s="1420"/>
      <c r="AC95" s="1319"/>
      <c r="AD95" s="2" t="str">
        <f aca="false">IF(AND(AD$4=$G95,AD$6=$F95),$B95,"")</f>
        <v/>
      </c>
      <c r="AE95" s="2" t="str">
        <f aca="false">IF(AND(AE$4=$G95,AE$6=$F95),$B95,"")</f>
        <v/>
      </c>
      <c r="AF95" s="2" t="str">
        <f aca="false">IF(AND(AF$4=$G95,AF$6=$F95),$B95,"")</f>
        <v/>
      </c>
      <c r="AG95" s="2" t="str">
        <f aca="false">IF(AND(AG$4=$G95,AG$6=$F95),$B95,"")</f>
        <v/>
      </c>
      <c r="AI95" s="366"/>
      <c r="AL95" s="367"/>
      <c r="AO95" s="367" t="str">
        <f aca="false">IF(MID(AR95,LEN(AR95),1)+0&gt;0,CONCATENATE(AY95," invernadero"),AY95)</f>
        <v> invernadero</v>
      </c>
      <c r="AP95" s="2" t="str">
        <f aca="false">IF(AT95&gt;0,RANK(AT95,AT$7:AT$423),"")</f>
        <v/>
      </c>
      <c r="AQ95" s="2" t="n">
        <f aca="false">'O_MN, PE_UTA_UGM 2024'!C91</f>
        <v>153</v>
      </c>
      <c r="AR95" s="1421" t="n">
        <v>1519</v>
      </c>
      <c r="AS95" s="2" t="str">
        <f aca="false">IF(AY95&lt;&gt;"",AY95,"")</f>
        <v/>
      </c>
      <c r="AT95" s="1422" t="n">
        <f aca="false">IF(ISNUMBER($AR95),SUMIF(B$7:B$505,AR95,D$7:D$505),"")</f>
        <v>0</v>
      </c>
      <c r="AU95" s="1411" t="n">
        <f aca="false">IF(ISNUMBER($AR95),SUMIF(AD$7:AD$503,$AR95,J$7:J$503),"")</f>
        <v>0</v>
      </c>
      <c r="AV95" s="1411" t="n">
        <f aca="false">IF(ISNUMBER($AR95),SUMIF(AF$7:AF$503,$AR95,L$7:L$503),"")</f>
        <v>0</v>
      </c>
      <c r="AW95" s="1423" t="n">
        <f aca="false">IF(ISNUMBER($AR95),SUMIF(AE$7:AE$503,$AR95,K$7:K$503),"")</f>
        <v>0</v>
      </c>
      <c r="AX95" s="1423" t="n">
        <f aca="false">IF(ISNUMBER($AR95),SUMIF(AG$7:AG$503,$AR95,M$7:M$503),"")</f>
        <v>0</v>
      </c>
      <c r="AY95" s="2" t="str">
        <f aca="false">IF($AT95&gt;0,VLOOKUP($AR95,'O_MN, PE_UTA_UGM 2024'!E91:O507,2),"")</f>
        <v/>
      </c>
      <c r="AZ95" s="1424"/>
      <c r="BA95" s="1424"/>
      <c r="BB95" s="1424" t="str">
        <f aca="false">IF($AT95&gt;0,VLOOKUP($AR95,'O_MN, PE_UTA_UGM 2024'!$E$3:$O$419,BB$6),"")</f>
        <v/>
      </c>
      <c r="BC95" s="1424" t="str">
        <f aca="false">IF($AT95&gt;0,VLOOKUP($AR95,'O_MN, PE_UTA_UGM 2024'!$E$3:$O$419,BC$6),"")</f>
        <v/>
      </c>
      <c r="BD95" s="1424" t="str">
        <f aca="false">IF($AT95&gt;0,VLOOKUP($AR95,'O_MN, PE_UTA_UGM 2024'!$E$3:$O$419,BD$6),"")</f>
        <v/>
      </c>
      <c r="BE95" s="1424" t="str">
        <f aca="false">IF($AT95&gt;0,VLOOKUP($AR95,'O_MN, PE_UTA_UGM 2024'!$E$3:$O$419,BE$6),"")</f>
        <v/>
      </c>
      <c r="BF95" s="1424" t="str">
        <f aca="false">IF($AT95&gt;0,VLOOKUP($AR95,'O_MN, PE_UTA_UGM 2024'!$E$3:$O$419,BF$6),"")</f>
        <v/>
      </c>
      <c r="BG95" s="1424" t="str">
        <f aca="false">IF($AT95&gt;0,VLOOKUP($AR95,'O_MN, PE_UTA_UGM 2024'!$E$3:$O$419,BG$6),"")</f>
        <v/>
      </c>
      <c r="BH95" s="872"/>
      <c r="BI95" s="872"/>
      <c r="BJ95" s="872"/>
      <c r="BK95" s="872"/>
      <c r="BM95" s="1411"/>
      <c r="BN95" s="1411"/>
      <c r="BO95" s="1425" t="str">
        <f aca="false">IF(ISNUMBER($AU95*BB95*1),$AU95*BB95*1,"")</f>
        <v/>
      </c>
      <c r="BP95" s="1425" t="str">
        <f aca="false">IF(ISNUMBER($AV95*BC95*1),$AV95*BC95*1,"")</f>
        <v/>
      </c>
      <c r="BQ95" s="1425" t="str">
        <f aca="false">IF(ISNUMBER($AU95*BD95*1),$AU95*BD95*1,"")</f>
        <v/>
      </c>
      <c r="BR95" s="1425" t="str">
        <f aca="false">IF(ISNUMBER($AV95*BE95*1),$AV95*BE95*1,"")</f>
        <v/>
      </c>
      <c r="BS95" s="1411" t="str">
        <f aca="false">IF(ISNUMBER($AU95*BF95),$AU95*BF95,"")</f>
        <v/>
      </c>
      <c r="BT95" s="1411" t="str">
        <f aca="false">IF(ISNUMBER($AV95*BG95),$AV95*BG95,"")</f>
        <v/>
      </c>
      <c r="BU95" s="1411"/>
      <c r="BV95" s="1411"/>
      <c r="BW95" s="1411"/>
      <c r="BX95" s="1411"/>
      <c r="BZ95" s="1372"/>
      <c r="CA95" s="1372"/>
      <c r="CB95" s="1426" t="str">
        <f aca="false">IF(ISNUMBER($AW95*BB95),$AW95*BB95,"")</f>
        <v/>
      </c>
      <c r="CC95" s="1426" t="str">
        <f aca="false">IF(ISNUMBER($AX95*BC95),$AX95*BC95,"")</f>
        <v/>
      </c>
      <c r="CD95" s="1426" t="str">
        <f aca="false">IF(ISNUMBER($AW95*BD95),$AW95*BD95,"")</f>
        <v/>
      </c>
      <c r="CE95" s="1426" t="str">
        <f aca="false">IF(ISNUMBER($AX95*BE95),$AX95*BE95,"")</f>
        <v/>
      </c>
      <c r="CF95" s="1372" t="str">
        <f aca="false">IF(ISNUMBER($AW95*BF95),$AW95*BF95,"")</f>
        <v/>
      </c>
      <c r="CG95" s="1372" t="str">
        <f aca="false">IF(ISNUMBER($AX95*BG95),$AX95*BG95,"")</f>
        <v/>
      </c>
      <c r="CH95" s="1438"/>
      <c r="CI95" s="1438"/>
      <c r="CJ95" s="1438"/>
      <c r="CK95" s="1438"/>
      <c r="CU95" s="1411"/>
      <c r="CV95" s="1411"/>
      <c r="CW95" s="1425"/>
      <c r="CX95" s="1425"/>
      <c r="CY95" s="1425"/>
      <c r="CZ95" s="1425"/>
      <c r="DA95" s="1411"/>
      <c r="DB95" s="1411"/>
      <c r="DC95" s="1411"/>
      <c r="DD95" s="1411"/>
      <c r="DE95" s="1411"/>
      <c r="DF95" s="1411"/>
      <c r="DH95" s="1432"/>
      <c r="DI95" s="1432"/>
      <c r="DJ95" s="1437"/>
      <c r="DK95" s="1437"/>
      <c r="DL95" s="1437"/>
      <c r="DM95" s="1437"/>
      <c r="DN95" s="1432"/>
      <c r="DO95" s="1432"/>
      <c r="DP95" s="1432"/>
      <c r="DQ95" s="1432"/>
      <c r="DR95" s="1432"/>
      <c r="DS95" s="1432"/>
      <c r="DT95" s="1316"/>
      <c r="DU95" s="1433"/>
      <c r="DV95" s="1433"/>
      <c r="DW95" s="1433"/>
      <c r="DX95" s="1433"/>
      <c r="DY95" s="1433"/>
      <c r="DZ95" s="1433"/>
      <c r="EA95" s="1433"/>
      <c r="EB95" s="1433"/>
    </row>
    <row r="96" customFormat="false" ht="14.25" hidden="false" customHeight="false" outlineLevel="0" collapsed="false">
      <c r="A96" s="2" t="n">
        <f aca="false">'V_DATOS PAC_SGA'!R91</f>
        <v>0</v>
      </c>
      <c r="B96" s="2" t="n">
        <f aca="false">IF(I96="IV",CONCATENATE('V_DATOS PAC_SGA'!R91,"4")+0,CONCATENATE('V_DATOS PAC_SGA'!R91,"0")+0)</f>
        <v>0</v>
      </c>
      <c r="C96" s="2" t="n">
        <f aca="false">'V_DATOS PAC_SGA'!S91</f>
        <v>0</v>
      </c>
      <c r="D96" s="1409" t="n">
        <f aca="false">'V_DATOS PAC_SGA'!Y91</f>
        <v>0</v>
      </c>
      <c r="E96" s="1410" t="str">
        <f aca="false">IF('V_DATOS PAC_SGA'!AV91="","Regadio",'V_DATOS PAC_SGA'!AV91)</f>
        <v>Regadio</v>
      </c>
      <c r="F96" s="1411" t="n">
        <f aca="false">'V_DATOS PAC_SGA'!BK91</f>
        <v>0</v>
      </c>
      <c r="G96" s="1412" t="n">
        <f aca="false">'V_DATOS PAC_SGA'!AN91</f>
        <v>0</v>
      </c>
      <c r="H96" s="1413" t="str">
        <f aca="false">IF(B96&gt;0,VLOOKUP(B96,'O_MN, PE_UTA_UGM 2024'!E$3:O$419,10),"")</f>
        <v/>
      </c>
      <c r="I96" s="1359" t="n">
        <f aca="false">'V_DATOS PAC_SGA'!BV91</f>
        <v>0</v>
      </c>
      <c r="J96" s="2" t="str">
        <f aca="false">IF(AND(J$4=$G96,J$6=$F96),$D96*J$5,"")</f>
        <v/>
      </c>
      <c r="K96" s="2" t="str">
        <f aca="false">IF(AND(K$4=$G96,K$6=$F96),$D96*K$5,"")</f>
        <v/>
      </c>
      <c r="L96" s="2" t="str">
        <f aca="false">IF(AND(L$4=$G96,L$6=$F96),$D96*L$5,"")</f>
        <v/>
      </c>
      <c r="M96" s="2" t="str">
        <f aca="false">IF(AND(M$4=$G96,M$6=$F96),$D96*M$5,"")</f>
        <v/>
      </c>
      <c r="N96" s="1414" t="n">
        <f aca="false">VLOOKUP(B96,'O_MN, PE_UTA_UGM 2024'!$E$2:$K$419,IF(G96&gt;1,6,7))</f>
        <v>0</v>
      </c>
      <c r="O96" s="1434" t="str">
        <f aca="false">IF($H96=O$4,$D96*$N96,"")</f>
        <v/>
      </c>
      <c r="P96" s="1435" t="str">
        <f aca="false">IF($H96=P$4,$D96*$N96,"")</f>
        <v/>
      </c>
      <c r="Q96" s="1435" t="str">
        <f aca="false">IF($H96=Q$4,$D96*$N96,"")</f>
        <v/>
      </c>
      <c r="R96" s="1435" t="str">
        <f aca="false">IF($H96=R$4,$D96*$N96,"")</f>
        <v/>
      </c>
      <c r="S96" s="1435" t="str">
        <f aca="false">IF($H96=S$4,$D96*$N96,"")</f>
        <v/>
      </c>
      <c r="T96" s="1435" t="str">
        <f aca="false">IF($H96=T$4,$D96*$N96,"")</f>
        <v/>
      </c>
      <c r="U96" s="1436" t="str">
        <f aca="false">IF($H96=U$4,$D96*$N96,"")</f>
        <v/>
      </c>
      <c r="V96" s="1418"/>
      <c r="W96" s="1419"/>
      <c r="X96" s="1419"/>
      <c r="Y96" s="1419"/>
      <c r="Z96" s="1419"/>
      <c r="AA96" s="1419"/>
      <c r="AB96" s="1420"/>
      <c r="AC96" s="1319"/>
      <c r="AD96" s="2" t="str">
        <f aca="false">IF(AND(AD$4=$G96,AD$6=$F96),$B96,"")</f>
        <v/>
      </c>
      <c r="AE96" s="2" t="str">
        <f aca="false">IF(AND(AE$4=$G96,AE$6=$F96),$B96,"")</f>
        <v/>
      </c>
      <c r="AF96" s="2" t="str">
        <f aca="false">IF(AND(AF$4=$G96,AF$6=$F96),$B96,"")</f>
        <v/>
      </c>
      <c r="AG96" s="2" t="str">
        <f aca="false">IF(AND(AG$4=$G96,AG$6=$F96),$B96,"")</f>
        <v/>
      </c>
      <c r="AI96" s="366"/>
      <c r="AL96" s="367"/>
      <c r="AO96" s="367" t="str">
        <f aca="false">IF(MID(AR96,LEN(AR96),1)+0&gt;0,CONCATENATE(AY96," invernadero"),AY96)</f>
        <v/>
      </c>
      <c r="AP96" s="2" t="str">
        <f aca="false">IF(AT96&gt;0,RANK(AT96,AT$7:AT$423),"")</f>
        <v/>
      </c>
      <c r="AQ96" s="2" t="n">
        <f aca="false">'O_MN, PE_UTA_UGM 2024'!C92</f>
        <v>153</v>
      </c>
      <c r="AR96" s="1421" t="n">
        <v>1520</v>
      </c>
      <c r="AS96" s="2" t="str">
        <f aca="false">IF(AY96&lt;&gt;"",AY96,"")</f>
        <v/>
      </c>
      <c r="AT96" s="1422" t="n">
        <f aca="false">IF(ISNUMBER($AR96),SUMIF(B$7:B$505,AR96,D$7:D$505),"")</f>
        <v>0</v>
      </c>
      <c r="AU96" s="1411" t="n">
        <f aca="false">IF(ISNUMBER($AR96),SUMIF(AD$7:AD$503,$AR96,J$7:J$503),"")</f>
        <v>0</v>
      </c>
      <c r="AV96" s="1411" t="n">
        <f aca="false">IF(ISNUMBER($AR96),SUMIF(AF$7:AF$503,$AR96,L$7:L$503),"")</f>
        <v>0</v>
      </c>
      <c r="AW96" s="1423" t="n">
        <f aca="false">IF(ISNUMBER($AR96),SUMIF(AE$7:AE$503,$AR96,K$7:K$503),"")</f>
        <v>0</v>
      </c>
      <c r="AX96" s="1423" t="n">
        <f aca="false">IF(ISNUMBER($AR96),SUMIF(AG$7:AG$503,$AR96,M$7:M$503),"")</f>
        <v>0</v>
      </c>
      <c r="AY96" s="2" t="str">
        <f aca="false">IF($AT96&gt;0,VLOOKUP($AR96,'O_MN, PE_UTA_UGM 2024'!E92:O508,2),"")</f>
        <v/>
      </c>
      <c r="AZ96" s="1424"/>
      <c r="BA96" s="1424"/>
      <c r="BB96" s="1424" t="str">
        <f aca="false">IF($AT96&gt;0,VLOOKUP($AR96,'O_MN, PE_UTA_UGM 2024'!$E$3:$O$419,BB$6),"")</f>
        <v/>
      </c>
      <c r="BC96" s="1424" t="str">
        <f aca="false">IF($AT96&gt;0,VLOOKUP($AR96,'O_MN, PE_UTA_UGM 2024'!$E$3:$O$419,BC$6),"")</f>
        <v/>
      </c>
      <c r="BD96" s="1424" t="str">
        <f aca="false">IF($AT96&gt;0,VLOOKUP($AR96,'O_MN, PE_UTA_UGM 2024'!$E$3:$O$419,BD$6),"")</f>
        <v/>
      </c>
      <c r="BE96" s="1424" t="str">
        <f aca="false">IF($AT96&gt;0,VLOOKUP($AR96,'O_MN, PE_UTA_UGM 2024'!$E$3:$O$419,BE$6),"")</f>
        <v/>
      </c>
      <c r="BF96" s="1424" t="str">
        <f aca="false">IF($AT96&gt;0,VLOOKUP($AR96,'O_MN, PE_UTA_UGM 2024'!$E$3:$O$419,BF$6),"")</f>
        <v/>
      </c>
      <c r="BG96" s="1424" t="str">
        <f aca="false">IF($AT96&gt;0,VLOOKUP($AR96,'O_MN, PE_UTA_UGM 2024'!$E$3:$O$419,BG$6),"")</f>
        <v/>
      </c>
      <c r="BH96" s="872"/>
      <c r="BI96" s="872"/>
      <c r="BJ96" s="872"/>
      <c r="BK96" s="872"/>
      <c r="BM96" s="1411"/>
      <c r="BN96" s="1411"/>
      <c r="BO96" s="1425" t="str">
        <f aca="false">IF(ISNUMBER($AU96*BB96*1),$AU96*BB96*1,"")</f>
        <v/>
      </c>
      <c r="BP96" s="1425" t="str">
        <f aca="false">IF(ISNUMBER($AV96*BC96*1),$AV96*BC96*1,"")</f>
        <v/>
      </c>
      <c r="BQ96" s="1425" t="str">
        <f aca="false">IF(ISNUMBER($AU96*BD96*1),$AU96*BD96*1,"")</f>
        <v/>
      </c>
      <c r="BR96" s="1425" t="str">
        <f aca="false">IF(ISNUMBER($AV96*BE96*1),$AV96*BE96*1,"")</f>
        <v/>
      </c>
      <c r="BS96" s="1411" t="str">
        <f aca="false">IF(ISNUMBER($AU96*BF96),$AU96*BF96,"")</f>
        <v/>
      </c>
      <c r="BT96" s="1411" t="str">
        <f aca="false">IF(ISNUMBER($AV96*BG96),$AV96*BG96,"")</f>
        <v/>
      </c>
      <c r="BU96" s="1411"/>
      <c r="BV96" s="1411"/>
      <c r="BW96" s="1411"/>
      <c r="BX96" s="1411"/>
      <c r="BZ96" s="1372"/>
      <c r="CA96" s="1372"/>
      <c r="CB96" s="1426" t="str">
        <f aca="false">IF(ISNUMBER($AW96*BB96),$AW96*BB96,"")</f>
        <v/>
      </c>
      <c r="CC96" s="1426" t="str">
        <f aca="false">IF(ISNUMBER($AX96*BC96),$AX96*BC96,"")</f>
        <v/>
      </c>
      <c r="CD96" s="1426" t="str">
        <f aca="false">IF(ISNUMBER($AW96*BD96),$AW96*BD96,"")</f>
        <v/>
      </c>
      <c r="CE96" s="1426" t="str">
        <f aca="false">IF(ISNUMBER($AX96*BE96),$AX96*BE96,"")</f>
        <v/>
      </c>
      <c r="CF96" s="1372" t="str">
        <f aca="false">IF(ISNUMBER($AW96*BF96),$AW96*BF96,"")</f>
        <v/>
      </c>
      <c r="CG96" s="1372" t="str">
        <f aca="false">IF(ISNUMBER($AX96*BG96),$AX96*BG96,"")</f>
        <v/>
      </c>
      <c r="CH96" s="1438"/>
      <c r="CI96" s="1438"/>
      <c r="CJ96" s="1438"/>
      <c r="CK96" s="1438"/>
      <c r="CU96" s="1411"/>
      <c r="CV96" s="1411"/>
      <c r="CW96" s="1425"/>
      <c r="CX96" s="1425"/>
      <c r="CY96" s="1425"/>
      <c r="CZ96" s="1425"/>
      <c r="DA96" s="1411"/>
      <c r="DB96" s="1411"/>
      <c r="DC96" s="1411"/>
      <c r="DD96" s="1411"/>
      <c r="DE96" s="1411"/>
      <c r="DF96" s="1411"/>
      <c r="DH96" s="1432"/>
      <c r="DI96" s="1432"/>
      <c r="DJ96" s="1437"/>
      <c r="DK96" s="1437"/>
      <c r="DL96" s="1437"/>
      <c r="DM96" s="1437"/>
      <c r="DN96" s="1432"/>
      <c r="DO96" s="1432"/>
      <c r="DP96" s="1432"/>
      <c r="DQ96" s="1432"/>
      <c r="DR96" s="1432"/>
      <c r="DS96" s="1432"/>
      <c r="DT96" s="1316"/>
      <c r="DU96" s="1433"/>
      <c r="DV96" s="1433"/>
      <c r="DW96" s="1433"/>
      <c r="DX96" s="1433"/>
      <c r="DY96" s="1433"/>
      <c r="DZ96" s="1433"/>
      <c r="EA96" s="1433"/>
      <c r="EB96" s="1433"/>
    </row>
    <row r="97" customFormat="false" ht="14.25" hidden="false" customHeight="false" outlineLevel="0" collapsed="false">
      <c r="A97" s="2" t="n">
        <f aca="false">'V_DATOS PAC_SGA'!R92</f>
        <v>0</v>
      </c>
      <c r="B97" s="2" t="n">
        <f aca="false">IF(I97="IV",CONCATENATE('V_DATOS PAC_SGA'!R92,"4")+0,CONCATENATE('V_DATOS PAC_SGA'!R92,"0")+0)</f>
        <v>0</v>
      </c>
      <c r="C97" s="2" t="n">
        <f aca="false">'V_DATOS PAC_SGA'!S92</f>
        <v>0</v>
      </c>
      <c r="D97" s="1409" t="n">
        <f aca="false">'V_DATOS PAC_SGA'!Y92</f>
        <v>0</v>
      </c>
      <c r="E97" s="1410" t="str">
        <f aca="false">IF('V_DATOS PAC_SGA'!AV92="","Regadio",'V_DATOS PAC_SGA'!AV92)</f>
        <v>Regadio</v>
      </c>
      <c r="F97" s="1411" t="n">
        <f aca="false">'V_DATOS PAC_SGA'!BK92</f>
        <v>0</v>
      </c>
      <c r="G97" s="1412" t="n">
        <f aca="false">'V_DATOS PAC_SGA'!AN92</f>
        <v>0</v>
      </c>
      <c r="H97" s="1413" t="str">
        <f aca="false">IF(B97&gt;0,VLOOKUP(B97,'O_MN, PE_UTA_UGM 2024'!E$3:O$419,10),"")</f>
        <v/>
      </c>
      <c r="I97" s="1359" t="n">
        <f aca="false">'V_DATOS PAC_SGA'!BV92</f>
        <v>0</v>
      </c>
      <c r="J97" s="2" t="str">
        <f aca="false">IF(AND(J$4=$G97,J$6=$F97),$D97*J$5,"")</f>
        <v/>
      </c>
      <c r="K97" s="2" t="str">
        <f aca="false">IF(AND(K$4=$G97,K$6=$F97),$D97*K$5,"")</f>
        <v/>
      </c>
      <c r="L97" s="2" t="str">
        <f aca="false">IF(AND(L$4=$G97,L$6=$F97),$D97*L$5,"")</f>
        <v/>
      </c>
      <c r="M97" s="2" t="str">
        <f aca="false">IF(AND(M$4=$G97,M$6=$F97),$D97*M$5,"")</f>
        <v/>
      </c>
      <c r="N97" s="1414" t="n">
        <f aca="false">VLOOKUP(B97,'O_MN, PE_UTA_UGM 2024'!$E$2:$K$419,IF(G97&gt;1,6,7))</f>
        <v>0</v>
      </c>
      <c r="O97" s="1434" t="str">
        <f aca="false">IF($H97=O$4,$D97*$N97,"")</f>
        <v/>
      </c>
      <c r="P97" s="1435" t="str">
        <f aca="false">IF($H97=P$4,$D97*$N97,"")</f>
        <v/>
      </c>
      <c r="Q97" s="1435" t="str">
        <f aca="false">IF($H97=Q$4,$D97*$N97,"")</f>
        <v/>
      </c>
      <c r="R97" s="1435" t="str">
        <f aca="false">IF($H97=R$4,$D97*$N97,"")</f>
        <v/>
      </c>
      <c r="S97" s="1435" t="str">
        <f aca="false">IF($H97=S$4,$D97*$N97,"")</f>
        <v/>
      </c>
      <c r="T97" s="1435" t="str">
        <f aca="false">IF($H97=T$4,$D97*$N97,"")</f>
        <v/>
      </c>
      <c r="U97" s="1436" t="str">
        <f aca="false">IF($H97=U$4,$D97*$N97,"")</f>
        <v/>
      </c>
      <c r="V97" s="1418"/>
      <c r="W97" s="1419"/>
      <c r="X97" s="1419"/>
      <c r="Y97" s="1419"/>
      <c r="Z97" s="1419"/>
      <c r="AA97" s="1419"/>
      <c r="AB97" s="1420"/>
      <c r="AC97" s="1319"/>
      <c r="AD97" s="2" t="str">
        <f aca="false">IF(AND(AD$4=$G97,AD$6=$F97),$B97,"")</f>
        <v/>
      </c>
      <c r="AE97" s="2" t="str">
        <f aca="false">IF(AND(AE$4=$G97,AE$6=$F97),$B97,"")</f>
        <v/>
      </c>
      <c r="AF97" s="2" t="str">
        <f aca="false">IF(AND(AF$4=$G97,AF$6=$F97),$B97,"")</f>
        <v/>
      </c>
      <c r="AG97" s="2" t="str">
        <f aca="false">IF(AND(AG$4=$G97,AG$6=$F97),$B97,"")</f>
        <v/>
      </c>
      <c r="AI97" s="366"/>
      <c r="AL97" s="367"/>
      <c r="AO97" s="367" t="str">
        <f aca="false">IF(MID(AR97,LEN(AR97),1)+0&gt;0,CONCATENATE(AY97," invernadero"),AY97)</f>
        <v> invernadero</v>
      </c>
      <c r="AP97" s="2" t="str">
        <f aca="false">IF(AT97&gt;0,RANK(AT97,AT$7:AT$423),"")</f>
        <v/>
      </c>
      <c r="AQ97" s="2" t="n">
        <f aca="false">'O_MN, PE_UTA_UGM 2024'!C93</f>
        <v>153</v>
      </c>
      <c r="AR97" s="1421" t="n">
        <v>1524</v>
      </c>
      <c r="AS97" s="2" t="str">
        <f aca="false">IF(AY97&lt;&gt;"",AY97,"")</f>
        <v/>
      </c>
      <c r="AT97" s="1422" t="n">
        <f aca="false">IF(ISNUMBER($AR97),SUMIF(B$7:B$505,AR97,D$7:D$505),"")</f>
        <v>0</v>
      </c>
      <c r="AU97" s="1411" t="n">
        <f aca="false">IF(ISNUMBER($AR97),SUMIF(AD$7:AD$503,$AR97,J$7:J$503),"")</f>
        <v>0</v>
      </c>
      <c r="AV97" s="1411" t="n">
        <f aca="false">IF(ISNUMBER($AR97),SUMIF(AF$7:AF$503,$AR97,L$7:L$503),"")</f>
        <v>0</v>
      </c>
      <c r="AW97" s="1423" t="n">
        <f aca="false">IF(ISNUMBER($AR97),SUMIF(AE$7:AE$503,$AR97,K$7:K$503),"")</f>
        <v>0</v>
      </c>
      <c r="AX97" s="1423" t="n">
        <f aca="false">IF(ISNUMBER($AR97),SUMIF(AG$7:AG$503,$AR97,M$7:M$503),"")</f>
        <v>0</v>
      </c>
      <c r="AY97" s="2" t="str">
        <f aca="false">IF($AT97&gt;0,VLOOKUP($AR97,'O_MN, PE_UTA_UGM 2024'!E93:O509,2),"")</f>
        <v/>
      </c>
      <c r="AZ97" s="1424"/>
      <c r="BA97" s="1424"/>
      <c r="BB97" s="1424" t="str">
        <f aca="false">IF($AT97&gt;0,VLOOKUP($AR97,'O_MN, PE_UTA_UGM 2024'!$E$3:$O$419,BB$6),"")</f>
        <v/>
      </c>
      <c r="BC97" s="1424" t="str">
        <f aca="false">IF($AT97&gt;0,VLOOKUP($AR97,'O_MN, PE_UTA_UGM 2024'!$E$3:$O$419,BC$6),"")</f>
        <v/>
      </c>
      <c r="BD97" s="1424" t="str">
        <f aca="false">IF($AT97&gt;0,VLOOKUP($AR97,'O_MN, PE_UTA_UGM 2024'!$E$3:$O$419,BD$6),"")</f>
        <v/>
      </c>
      <c r="BE97" s="1424" t="str">
        <f aca="false">IF($AT97&gt;0,VLOOKUP($AR97,'O_MN, PE_UTA_UGM 2024'!$E$3:$O$419,BE$6),"")</f>
        <v/>
      </c>
      <c r="BF97" s="1424" t="str">
        <f aca="false">IF($AT97&gt;0,VLOOKUP($AR97,'O_MN, PE_UTA_UGM 2024'!$E$3:$O$419,BF$6),"")</f>
        <v/>
      </c>
      <c r="BG97" s="1424" t="str">
        <f aca="false">IF($AT97&gt;0,VLOOKUP($AR97,'O_MN, PE_UTA_UGM 2024'!$E$3:$O$419,BG$6),"")</f>
        <v/>
      </c>
      <c r="BH97" s="872"/>
      <c r="BI97" s="872"/>
      <c r="BJ97" s="872"/>
      <c r="BK97" s="872"/>
      <c r="BM97" s="1411"/>
      <c r="BN97" s="1411"/>
      <c r="BO97" s="1425" t="str">
        <f aca="false">IF(ISNUMBER($AU97*BB97*1),$AU97*BB97*1,"")</f>
        <v/>
      </c>
      <c r="BP97" s="1425" t="str">
        <f aca="false">IF(ISNUMBER($AV97*BC97*1),$AV97*BC97*1,"")</f>
        <v/>
      </c>
      <c r="BQ97" s="1425" t="str">
        <f aca="false">IF(ISNUMBER($AU97*BD97*1),$AU97*BD97*1,"")</f>
        <v/>
      </c>
      <c r="BR97" s="1425" t="str">
        <f aca="false">IF(ISNUMBER($AV97*BE97*1),$AV97*BE97*1,"")</f>
        <v/>
      </c>
      <c r="BS97" s="1411" t="str">
        <f aca="false">IF(ISNUMBER($AU97*BF97),$AU97*BF97,"")</f>
        <v/>
      </c>
      <c r="BT97" s="1411" t="str">
        <f aca="false">IF(ISNUMBER($AV97*BG97),$AV97*BG97,"")</f>
        <v/>
      </c>
      <c r="BU97" s="1411"/>
      <c r="BV97" s="1411"/>
      <c r="BW97" s="1411"/>
      <c r="BX97" s="1411"/>
      <c r="BZ97" s="1372"/>
      <c r="CA97" s="1372"/>
      <c r="CB97" s="1426" t="str">
        <f aca="false">IF(ISNUMBER($AW97*BB97),$AW97*BB97,"")</f>
        <v/>
      </c>
      <c r="CC97" s="1426" t="str">
        <f aca="false">IF(ISNUMBER($AX97*BC97),$AX97*BC97,"")</f>
        <v/>
      </c>
      <c r="CD97" s="1426" t="str">
        <f aca="false">IF(ISNUMBER($AW97*BD97),$AW97*BD97,"")</f>
        <v/>
      </c>
      <c r="CE97" s="1426" t="str">
        <f aca="false">IF(ISNUMBER($AX97*BE97),$AX97*BE97,"")</f>
        <v/>
      </c>
      <c r="CF97" s="1372" t="str">
        <f aca="false">IF(ISNUMBER($AW97*BF97),$AW97*BF97,"")</f>
        <v/>
      </c>
      <c r="CG97" s="1372" t="str">
        <f aca="false">IF(ISNUMBER($AX97*BG97),$AX97*BG97,"")</f>
        <v/>
      </c>
      <c r="CH97" s="1438"/>
      <c r="CI97" s="1438"/>
      <c r="CJ97" s="1438"/>
      <c r="CK97" s="1438"/>
      <c r="CU97" s="1411"/>
      <c r="CV97" s="1411"/>
      <c r="CW97" s="1425"/>
      <c r="CX97" s="1425"/>
      <c r="CY97" s="1425"/>
      <c r="CZ97" s="1425"/>
      <c r="DA97" s="1411"/>
      <c r="DB97" s="1411"/>
      <c r="DC97" s="1411"/>
      <c r="DD97" s="1411"/>
      <c r="DE97" s="1411"/>
      <c r="DF97" s="1411"/>
      <c r="DH97" s="1432"/>
      <c r="DI97" s="1432"/>
      <c r="DJ97" s="1437"/>
      <c r="DK97" s="1437"/>
      <c r="DL97" s="1437"/>
      <c r="DM97" s="1437"/>
      <c r="DN97" s="1432"/>
      <c r="DO97" s="1432"/>
      <c r="DP97" s="1432"/>
      <c r="DQ97" s="1432"/>
      <c r="DR97" s="1432"/>
      <c r="DS97" s="1432"/>
      <c r="DT97" s="1316"/>
      <c r="DU97" s="1433"/>
      <c r="DV97" s="1433"/>
      <c r="DW97" s="1433"/>
      <c r="DX97" s="1433"/>
      <c r="DY97" s="1433"/>
      <c r="DZ97" s="1433"/>
      <c r="EA97" s="1433"/>
      <c r="EB97" s="1433"/>
    </row>
    <row r="98" customFormat="false" ht="14.25" hidden="false" customHeight="false" outlineLevel="0" collapsed="false">
      <c r="A98" s="2" t="n">
        <f aca="false">'V_DATOS PAC_SGA'!R93</f>
        <v>0</v>
      </c>
      <c r="B98" s="2" t="n">
        <f aca="false">IF(I98="IV",CONCATENATE('V_DATOS PAC_SGA'!R93,"4")+0,CONCATENATE('V_DATOS PAC_SGA'!R93,"0")+0)</f>
        <v>0</v>
      </c>
      <c r="C98" s="2" t="n">
        <f aca="false">'V_DATOS PAC_SGA'!S93</f>
        <v>0</v>
      </c>
      <c r="D98" s="1409" t="n">
        <f aca="false">'V_DATOS PAC_SGA'!Y93</f>
        <v>0</v>
      </c>
      <c r="E98" s="1410" t="str">
        <f aca="false">IF('V_DATOS PAC_SGA'!AV93="","Regadio",'V_DATOS PAC_SGA'!AV93)</f>
        <v>Regadio</v>
      </c>
      <c r="F98" s="1411" t="n">
        <f aca="false">'V_DATOS PAC_SGA'!BK93</f>
        <v>0</v>
      </c>
      <c r="G98" s="1412" t="n">
        <f aca="false">'V_DATOS PAC_SGA'!AN93</f>
        <v>0</v>
      </c>
      <c r="H98" s="1413" t="str">
        <f aca="false">IF(B98&gt;0,VLOOKUP(B98,'O_MN, PE_UTA_UGM 2024'!E$3:O$419,10),"")</f>
        <v/>
      </c>
      <c r="I98" s="1359" t="n">
        <f aca="false">'V_DATOS PAC_SGA'!BV93</f>
        <v>0</v>
      </c>
      <c r="J98" s="2" t="str">
        <f aca="false">IF(AND(J$4=$G98,J$6=$F98),$D98*J$5,"")</f>
        <v/>
      </c>
      <c r="K98" s="2" t="str">
        <f aca="false">IF(AND(K$4=$G98,K$6=$F98),$D98*K$5,"")</f>
        <v/>
      </c>
      <c r="L98" s="2" t="str">
        <f aca="false">IF(AND(L$4=$G98,L$6=$F98),$D98*L$5,"")</f>
        <v/>
      </c>
      <c r="M98" s="2" t="str">
        <f aca="false">IF(AND(M$4=$G98,M$6=$F98),$D98*M$5,"")</f>
        <v/>
      </c>
      <c r="N98" s="1414" t="n">
        <f aca="false">VLOOKUP(B98,'O_MN, PE_UTA_UGM 2024'!$E$2:$K$419,IF(G98&gt;1,6,7))</f>
        <v>0</v>
      </c>
      <c r="O98" s="1434" t="str">
        <f aca="false">IF($H98=O$4,$D98*$N98,"")</f>
        <v/>
      </c>
      <c r="P98" s="1435" t="str">
        <f aca="false">IF($H98=P$4,$D98*$N98,"")</f>
        <v/>
      </c>
      <c r="Q98" s="1435" t="str">
        <f aca="false">IF($H98=Q$4,$D98*$N98,"")</f>
        <v/>
      </c>
      <c r="R98" s="1435" t="str">
        <f aca="false">IF($H98=R$4,$D98*$N98,"")</f>
        <v/>
      </c>
      <c r="S98" s="1435" t="str">
        <f aca="false">IF($H98=S$4,$D98*$N98,"")</f>
        <v/>
      </c>
      <c r="T98" s="1435" t="str">
        <f aca="false">IF($H98=T$4,$D98*$N98,"")</f>
        <v/>
      </c>
      <c r="U98" s="1436" t="str">
        <f aca="false">IF($H98=U$4,$D98*$N98,"")</f>
        <v/>
      </c>
      <c r="V98" s="1418"/>
      <c r="W98" s="1419"/>
      <c r="X98" s="1419"/>
      <c r="Y98" s="1419"/>
      <c r="Z98" s="1419"/>
      <c r="AA98" s="1419"/>
      <c r="AB98" s="1420"/>
      <c r="AC98" s="1319"/>
      <c r="AD98" s="2" t="str">
        <f aca="false">IF(AND(AD$4=$G98,AD$6=$F98),$B98,"")</f>
        <v/>
      </c>
      <c r="AE98" s="2" t="str">
        <f aca="false">IF(AND(AE$4=$G98,AE$6=$F98),$B98,"")</f>
        <v/>
      </c>
      <c r="AF98" s="2" t="str">
        <f aca="false">IF(AND(AF$4=$G98,AF$6=$F98),$B98,"")</f>
        <v/>
      </c>
      <c r="AG98" s="2" t="str">
        <f aca="false">IF(AND(AG$4=$G98,AG$6=$F98),$B98,"")</f>
        <v/>
      </c>
      <c r="AI98" s="366"/>
      <c r="AL98" s="367"/>
      <c r="AO98" s="367" t="str">
        <f aca="false">IF(MID(AR98,LEN(AR98),1)+0&gt;0,CONCATENATE(AY98," invernadero"),AY98)</f>
        <v> invernadero</v>
      </c>
      <c r="AP98" s="2" t="str">
        <f aca="false">IF(AT98&gt;0,RANK(AT98,AT$7:AT$423),"")</f>
        <v/>
      </c>
      <c r="AQ98" s="2" t="n">
        <f aca="false">'O_MN, PE_UTA_UGM 2024'!C94</f>
        <v>154</v>
      </c>
      <c r="AR98" s="1421" t="n">
        <v>1529</v>
      </c>
      <c r="AS98" s="2" t="str">
        <f aca="false">IF(AY98&lt;&gt;"",AY98,"")</f>
        <v/>
      </c>
      <c r="AT98" s="1422" t="n">
        <f aca="false">IF(ISNUMBER($AR98),SUMIF(B$7:B$505,AR98,D$7:D$505),"")</f>
        <v>0</v>
      </c>
      <c r="AU98" s="1411" t="n">
        <f aca="false">IF(ISNUMBER($AR98),SUMIF(AD$7:AD$503,$AR98,J$7:J$503),"")</f>
        <v>0</v>
      </c>
      <c r="AV98" s="1411" t="n">
        <f aca="false">IF(ISNUMBER($AR98),SUMIF(AF$7:AF$503,$AR98,L$7:L$503),"")</f>
        <v>0</v>
      </c>
      <c r="AW98" s="1423" t="n">
        <f aca="false">IF(ISNUMBER($AR98),SUMIF(AE$7:AE$503,$AR98,K$7:K$503),"")</f>
        <v>0</v>
      </c>
      <c r="AX98" s="1423" t="n">
        <f aca="false">IF(ISNUMBER($AR98),SUMIF(AG$7:AG$503,$AR98,M$7:M$503),"")</f>
        <v>0</v>
      </c>
      <c r="AY98" s="2" t="str">
        <f aca="false">IF($AT98&gt;0,VLOOKUP($AR98,'O_MN, PE_UTA_UGM 2024'!E94:O510,2),"")</f>
        <v/>
      </c>
      <c r="AZ98" s="1424"/>
      <c r="BA98" s="1424"/>
      <c r="BB98" s="1424" t="str">
        <f aca="false">IF($AT98&gt;0,VLOOKUP($AR98,'O_MN, PE_UTA_UGM 2024'!$E$3:$O$419,BB$6),"")</f>
        <v/>
      </c>
      <c r="BC98" s="1424" t="str">
        <f aca="false">IF($AT98&gt;0,VLOOKUP($AR98,'O_MN, PE_UTA_UGM 2024'!$E$3:$O$419,BC$6),"")</f>
        <v/>
      </c>
      <c r="BD98" s="1424" t="str">
        <f aca="false">IF($AT98&gt;0,VLOOKUP($AR98,'O_MN, PE_UTA_UGM 2024'!$E$3:$O$419,BD$6),"")</f>
        <v/>
      </c>
      <c r="BE98" s="1424" t="str">
        <f aca="false">IF($AT98&gt;0,VLOOKUP($AR98,'O_MN, PE_UTA_UGM 2024'!$E$3:$O$419,BE$6),"")</f>
        <v/>
      </c>
      <c r="BF98" s="1424" t="str">
        <f aca="false">IF($AT98&gt;0,VLOOKUP($AR98,'O_MN, PE_UTA_UGM 2024'!$E$3:$O$419,BF$6),"")</f>
        <v/>
      </c>
      <c r="BG98" s="1424" t="str">
        <f aca="false">IF($AT98&gt;0,VLOOKUP($AR98,'O_MN, PE_UTA_UGM 2024'!$E$3:$O$419,BG$6),"")</f>
        <v/>
      </c>
      <c r="BH98" s="872"/>
      <c r="BI98" s="872"/>
      <c r="BJ98" s="872"/>
      <c r="BK98" s="872"/>
      <c r="BM98" s="1411"/>
      <c r="BN98" s="1411"/>
      <c r="BO98" s="1425" t="str">
        <f aca="false">IF(ISNUMBER($AU98*BB98*1),$AU98*BB98*1,"")</f>
        <v/>
      </c>
      <c r="BP98" s="1425" t="str">
        <f aca="false">IF(ISNUMBER($AV98*BC98*1),$AV98*BC98*1,"")</f>
        <v/>
      </c>
      <c r="BQ98" s="1425" t="str">
        <f aca="false">IF(ISNUMBER($AU98*BD98*1),$AU98*BD98*1,"")</f>
        <v/>
      </c>
      <c r="BR98" s="1425" t="str">
        <f aca="false">IF(ISNUMBER($AV98*BE98*1),$AV98*BE98*1,"")</f>
        <v/>
      </c>
      <c r="BS98" s="1411" t="str">
        <f aca="false">IF(ISNUMBER($AU98*BF98),$AU98*BF98,"")</f>
        <v/>
      </c>
      <c r="BT98" s="1411" t="str">
        <f aca="false">IF(ISNUMBER($AV98*BG98),$AV98*BG98,"")</f>
        <v/>
      </c>
      <c r="BU98" s="1411"/>
      <c r="BV98" s="1411"/>
      <c r="BW98" s="1411"/>
      <c r="BX98" s="1411"/>
      <c r="BZ98" s="1372"/>
      <c r="CA98" s="1372"/>
      <c r="CB98" s="1426" t="str">
        <f aca="false">IF(ISNUMBER($AW98*BB98),$AW98*BB98,"")</f>
        <v/>
      </c>
      <c r="CC98" s="1426" t="str">
        <f aca="false">IF(ISNUMBER($AX98*BC98),$AX98*BC98,"")</f>
        <v/>
      </c>
      <c r="CD98" s="1426" t="str">
        <f aca="false">IF(ISNUMBER($AW98*BD98),$AW98*BD98,"")</f>
        <v/>
      </c>
      <c r="CE98" s="1426" t="str">
        <f aca="false">IF(ISNUMBER($AX98*BE98),$AX98*BE98,"")</f>
        <v/>
      </c>
      <c r="CF98" s="1372" t="str">
        <f aca="false">IF(ISNUMBER($AW98*BF98),$AW98*BF98,"")</f>
        <v/>
      </c>
      <c r="CG98" s="1372" t="str">
        <f aca="false">IF(ISNUMBER($AX98*BG98),$AX98*BG98,"")</f>
        <v/>
      </c>
      <c r="CH98" s="1438"/>
      <c r="CI98" s="1438"/>
      <c r="CJ98" s="1438"/>
      <c r="CK98" s="1438"/>
      <c r="CU98" s="1411"/>
      <c r="CV98" s="1411"/>
      <c r="CW98" s="1425"/>
      <c r="CX98" s="1425"/>
      <c r="CY98" s="1425"/>
      <c r="CZ98" s="1425"/>
      <c r="DA98" s="1411"/>
      <c r="DB98" s="1411"/>
      <c r="DC98" s="1411"/>
      <c r="DD98" s="1411"/>
      <c r="DE98" s="1411"/>
      <c r="DF98" s="1411"/>
      <c r="DH98" s="1432"/>
      <c r="DI98" s="1432"/>
      <c r="DJ98" s="1437"/>
      <c r="DK98" s="1437"/>
      <c r="DL98" s="1437"/>
      <c r="DM98" s="1437"/>
      <c r="DN98" s="1432"/>
      <c r="DO98" s="1432"/>
      <c r="DP98" s="1432"/>
      <c r="DQ98" s="1432"/>
      <c r="DR98" s="1432"/>
      <c r="DS98" s="1432"/>
      <c r="DT98" s="1316"/>
      <c r="DU98" s="1433"/>
      <c r="DV98" s="1433"/>
      <c r="DW98" s="1433"/>
      <c r="DX98" s="1433"/>
      <c r="DY98" s="1433"/>
      <c r="DZ98" s="1433"/>
      <c r="EA98" s="1433"/>
      <c r="EB98" s="1433"/>
    </row>
    <row r="99" customFormat="false" ht="14.25" hidden="false" customHeight="false" outlineLevel="0" collapsed="false">
      <c r="A99" s="2" t="n">
        <f aca="false">'V_DATOS PAC_SGA'!R94</f>
        <v>0</v>
      </c>
      <c r="B99" s="2" t="n">
        <f aca="false">IF(I99="IV",CONCATENATE('V_DATOS PAC_SGA'!R94,"4")+0,CONCATENATE('V_DATOS PAC_SGA'!R94,"0")+0)</f>
        <v>0</v>
      </c>
      <c r="C99" s="2" t="n">
        <f aca="false">'V_DATOS PAC_SGA'!S94</f>
        <v>0</v>
      </c>
      <c r="D99" s="1409" t="n">
        <f aca="false">'V_DATOS PAC_SGA'!Y94</f>
        <v>0</v>
      </c>
      <c r="E99" s="1410" t="str">
        <f aca="false">IF('V_DATOS PAC_SGA'!AV94="","Regadio",'V_DATOS PAC_SGA'!AV94)</f>
        <v>Regadio</v>
      </c>
      <c r="F99" s="1411" t="n">
        <f aca="false">'V_DATOS PAC_SGA'!BK94</f>
        <v>0</v>
      </c>
      <c r="G99" s="1412" t="n">
        <f aca="false">'V_DATOS PAC_SGA'!AN94</f>
        <v>0</v>
      </c>
      <c r="H99" s="1413" t="str">
        <f aca="false">IF(B99&gt;0,VLOOKUP(B99,'O_MN, PE_UTA_UGM 2024'!E$3:O$419,10),"")</f>
        <v/>
      </c>
      <c r="I99" s="1359" t="n">
        <f aca="false">'V_DATOS PAC_SGA'!BV94</f>
        <v>0</v>
      </c>
      <c r="J99" s="2" t="str">
        <f aca="false">IF(AND(J$4=$G99,J$6=$F99),$D99*J$5,"")</f>
        <v/>
      </c>
      <c r="K99" s="2" t="str">
        <f aca="false">IF(AND(K$4=$G99,K$6=$F99),$D99*K$5,"")</f>
        <v/>
      </c>
      <c r="L99" s="2" t="str">
        <f aca="false">IF(AND(L$4=$G99,L$6=$F99),$D99*L$5,"")</f>
        <v/>
      </c>
      <c r="M99" s="2" t="str">
        <f aca="false">IF(AND(M$4=$G99,M$6=$F99),$D99*M$5,"")</f>
        <v/>
      </c>
      <c r="N99" s="1414" t="n">
        <f aca="false">VLOOKUP(B99,'O_MN, PE_UTA_UGM 2024'!$E$2:$K$419,IF(G99&gt;1,6,7))</f>
        <v>0</v>
      </c>
      <c r="O99" s="1434" t="str">
        <f aca="false">IF($H99=O$4,$D99*$N99,"")</f>
        <v/>
      </c>
      <c r="P99" s="1435" t="str">
        <f aca="false">IF($H99=P$4,$D99*$N99,"")</f>
        <v/>
      </c>
      <c r="Q99" s="1435" t="str">
        <f aca="false">IF($H99=Q$4,$D99*$N99,"")</f>
        <v/>
      </c>
      <c r="R99" s="1435" t="str">
        <f aca="false">IF($H99=R$4,$D99*$N99,"")</f>
        <v/>
      </c>
      <c r="S99" s="1435" t="str">
        <f aca="false">IF($H99=S$4,$D99*$N99,"")</f>
        <v/>
      </c>
      <c r="T99" s="1435" t="str">
        <f aca="false">IF($H99=T$4,$D99*$N99,"")</f>
        <v/>
      </c>
      <c r="U99" s="1436" t="str">
        <f aca="false">IF($H99=U$4,$D99*$N99,"")</f>
        <v/>
      </c>
      <c r="V99" s="1418"/>
      <c r="W99" s="1419"/>
      <c r="X99" s="1419"/>
      <c r="Y99" s="1419"/>
      <c r="Z99" s="1419"/>
      <c r="AA99" s="1419"/>
      <c r="AB99" s="1420"/>
      <c r="AC99" s="1319"/>
      <c r="AD99" s="2" t="str">
        <f aca="false">IF(AND(AD$4=$G99,AD$6=$F99),$B99,"")</f>
        <v/>
      </c>
      <c r="AE99" s="2" t="str">
        <f aca="false">IF(AND(AE$4=$G99,AE$6=$F99),$B99,"")</f>
        <v/>
      </c>
      <c r="AF99" s="2" t="str">
        <f aca="false">IF(AND(AF$4=$G99,AF$6=$F99),$B99,"")</f>
        <v/>
      </c>
      <c r="AG99" s="2" t="str">
        <f aca="false">IF(AND(AG$4=$G99,AG$6=$F99),$B99,"")</f>
        <v/>
      </c>
      <c r="AI99" s="366"/>
      <c r="AL99" s="367"/>
      <c r="AO99" s="367" t="str">
        <f aca="false">IF(MID(AR99,LEN(AR99),1)+0&gt;0,CONCATENATE(AY99," invernadero"),AY99)</f>
        <v/>
      </c>
      <c r="AP99" s="2" t="str">
        <f aca="false">IF(AT99&gt;0,RANK(AT99,AT$7:AT$423),"")</f>
        <v/>
      </c>
      <c r="AQ99" s="2" t="n">
        <f aca="false">'O_MN, PE_UTA_UGM 2024'!C95</f>
        <v>154</v>
      </c>
      <c r="AR99" s="1421" t="n">
        <v>1530</v>
      </c>
      <c r="AS99" s="2" t="str">
        <f aca="false">IF(AY99&lt;&gt;"",AY99,"")</f>
        <v/>
      </c>
      <c r="AT99" s="1422" t="n">
        <f aca="false">IF(ISNUMBER($AR99),SUMIF(B$7:B$505,AR99,D$7:D$505),"")</f>
        <v>0</v>
      </c>
      <c r="AU99" s="1411" t="n">
        <f aca="false">IF(ISNUMBER($AR99),SUMIF(AD$7:AD$503,$AR99,J$7:J$503),"")</f>
        <v>0</v>
      </c>
      <c r="AV99" s="1411" t="n">
        <f aca="false">IF(ISNUMBER($AR99),SUMIF(AF$7:AF$503,$AR99,L$7:L$503),"")</f>
        <v>0</v>
      </c>
      <c r="AW99" s="1423" t="n">
        <f aca="false">IF(ISNUMBER($AR99),SUMIF(AE$7:AE$503,$AR99,K$7:K$503),"")</f>
        <v>0</v>
      </c>
      <c r="AX99" s="1423" t="n">
        <f aca="false">IF(ISNUMBER($AR99),SUMIF(AG$7:AG$503,$AR99,M$7:M$503),"")</f>
        <v>0</v>
      </c>
      <c r="AY99" s="2" t="str">
        <f aca="false">IF($AT99&gt;0,VLOOKUP($AR99,'O_MN, PE_UTA_UGM 2024'!E95:O511,2),"")</f>
        <v/>
      </c>
      <c r="AZ99" s="1424"/>
      <c r="BA99" s="1424"/>
      <c r="BB99" s="1424" t="str">
        <f aca="false">IF($AT99&gt;0,VLOOKUP($AR99,'O_MN, PE_UTA_UGM 2024'!$E$3:$O$419,BB$6),"")</f>
        <v/>
      </c>
      <c r="BC99" s="1424" t="str">
        <f aca="false">IF($AT99&gt;0,VLOOKUP($AR99,'O_MN, PE_UTA_UGM 2024'!$E$3:$O$419,BC$6),"")</f>
        <v/>
      </c>
      <c r="BD99" s="1424" t="str">
        <f aca="false">IF($AT99&gt;0,VLOOKUP($AR99,'O_MN, PE_UTA_UGM 2024'!$E$3:$O$419,BD$6),"")</f>
        <v/>
      </c>
      <c r="BE99" s="1424" t="str">
        <f aca="false">IF($AT99&gt;0,VLOOKUP($AR99,'O_MN, PE_UTA_UGM 2024'!$E$3:$O$419,BE$6),"")</f>
        <v/>
      </c>
      <c r="BF99" s="1424" t="str">
        <f aca="false">IF($AT99&gt;0,VLOOKUP($AR99,'O_MN, PE_UTA_UGM 2024'!$E$3:$O$419,BF$6),"")</f>
        <v/>
      </c>
      <c r="BG99" s="1424" t="str">
        <f aca="false">IF($AT99&gt;0,VLOOKUP($AR99,'O_MN, PE_UTA_UGM 2024'!$E$3:$O$419,BG$6),"")</f>
        <v/>
      </c>
      <c r="BH99" s="872"/>
      <c r="BI99" s="872"/>
      <c r="BJ99" s="872"/>
      <c r="BK99" s="872"/>
      <c r="BM99" s="1411"/>
      <c r="BN99" s="1411"/>
      <c r="BO99" s="1425" t="str">
        <f aca="false">IF(ISNUMBER($AU99*BB99*1),$AU99*BB99*1,"")</f>
        <v/>
      </c>
      <c r="BP99" s="1425" t="str">
        <f aca="false">IF(ISNUMBER($AV99*BC99*1),$AV99*BC99*1,"")</f>
        <v/>
      </c>
      <c r="BQ99" s="1425" t="str">
        <f aca="false">IF(ISNUMBER($AU99*BD99*1),$AU99*BD99*1,"")</f>
        <v/>
      </c>
      <c r="BR99" s="1425" t="str">
        <f aca="false">IF(ISNUMBER($AV99*BE99*1),$AV99*BE99*1,"")</f>
        <v/>
      </c>
      <c r="BS99" s="1411" t="str">
        <f aca="false">IF(ISNUMBER($AU99*BF99),$AU99*BF99,"")</f>
        <v/>
      </c>
      <c r="BT99" s="1411" t="str">
        <f aca="false">IF(ISNUMBER($AV99*BG99),$AV99*BG99,"")</f>
        <v/>
      </c>
      <c r="BU99" s="1411"/>
      <c r="BV99" s="1411"/>
      <c r="BW99" s="1411"/>
      <c r="BX99" s="1411"/>
      <c r="BZ99" s="1372"/>
      <c r="CA99" s="1372"/>
      <c r="CB99" s="1426" t="str">
        <f aca="false">IF(ISNUMBER($AW99*BB99),$AW99*BB99,"")</f>
        <v/>
      </c>
      <c r="CC99" s="1426" t="str">
        <f aca="false">IF(ISNUMBER($AX99*BC99),$AX99*BC99,"")</f>
        <v/>
      </c>
      <c r="CD99" s="1426" t="str">
        <f aca="false">IF(ISNUMBER($AW99*BD99),$AW99*BD99,"")</f>
        <v/>
      </c>
      <c r="CE99" s="1426" t="str">
        <f aca="false">IF(ISNUMBER($AX99*BE99),$AX99*BE99,"")</f>
        <v/>
      </c>
      <c r="CF99" s="1372" t="str">
        <f aca="false">IF(ISNUMBER($AW99*BF99),$AW99*BF99,"")</f>
        <v/>
      </c>
      <c r="CG99" s="1372" t="str">
        <f aca="false">IF(ISNUMBER($AX99*BG99),$AX99*BG99,"")</f>
        <v/>
      </c>
      <c r="CH99" s="1438"/>
      <c r="CI99" s="1438"/>
      <c r="CJ99" s="1438"/>
      <c r="CK99" s="1438"/>
      <c r="CU99" s="1411"/>
      <c r="CV99" s="1411"/>
      <c r="CW99" s="1425"/>
      <c r="CX99" s="1425"/>
      <c r="CY99" s="1425"/>
      <c r="CZ99" s="1425"/>
      <c r="DA99" s="1411"/>
      <c r="DB99" s="1411"/>
      <c r="DC99" s="1411"/>
      <c r="DD99" s="1411"/>
      <c r="DE99" s="1411"/>
      <c r="DF99" s="1411"/>
      <c r="DH99" s="1432"/>
      <c r="DI99" s="1432"/>
      <c r="DJ99" s="1437"/>
      <c r="DK99" s="1437"/>
      <c r="DL99" s="1437"/>
      <c r="DM99" s="1437"/>
      <c r="DN99" s="1432"/>
      <c r="DO99" s="1432"/>
      <c r="DP99" s="1432"/>
      <c r="DQ99" s="1432"/>
      <c r="DR99" s="1432"/>
      <c r="DS99" s="1432"/>
      <c r="DT99" s="1316"/>
      <c r="DU99" s="1433"/>
      <c r="DV99" s="1433"/>
      <c r="DW99" s="1433"/>
      <c r="DX99" s="1433"/>
      <c r="DY99" s="1433"/>
      <c r="DZ99" s="1433"/>
      <c r="EA99" s="1433"/>
      <c r="EB99" s="1433"/>
    </row>
    <row r="100" customFormat="false" ht="14.25" hidden="false" customHeight="false" outlineLevel="0" collapsed="false">
      <c r="A100" s="2" t="n">
        <f aca="false">'V_DATOS PAC_SGA'!R95</f>
        <v>0</v>
      </c>
      <c r="B100" s="2" t="n">
        <f aca="false">IF(I100="IV",CONCATENATE('V_DATOS PAC_SGA'!R95,"4")+0,CONCATENATE('V_DATOS PAC_SGA'!R95,"0")+0)</f>
        <v>0</v>
      </c>
      <c r="C100" s="2" t="n">
        <f aca="false">'V_DATOS PAC_SGA'!S95</f>
        <v>0</v>
      </c>
      <c r="D100" s="1409" t="n">
        <f aca="false">'V_DATOS PAC_SGA'!Y95</f>
        <v>0</v>
      </c>
      <c r="E100" s="1410" t="str">
        <f aca="false">IF('V_DATOS PAC_SGA'!AV95="","Regadio",'V_DATOS PAC_SGA'!AV95)</f>
        <v>Regadio</v>
      </c>
      <c r="F100" s="1411" t="n">
        <f aca="false">'V_DATOS PAC_SGA'!BK95</f>
        <v>0</v>
      </c>
      <c r="G100" s="1412" t="n">
        <f aca="false">'V_DATOS PAC_SGA'!AN95</f>
        <v>0</v>
      </c>
      <c r="H100" s="1413" t="str">
        <f aca="false">IF(B100&gt;0,VLOOKUP(B100,'O_MN, PE_UTA_UGM 2024'!E$3:O$419,10),"")</f>
        <v/>
      </c>
      <c r="I100" s="1359" t="n">
        <f aca="false">'V_DATOS PAC_SGA'!BV95</f>
        <v>0</v>
      </c>
      <c r="J100" s="2" t="str">
        <f aca="false">IF(AND(J$4=$G100,J$6=$F100),$D100*J$5,"")</f>
        <v/>
      </c>
      <c r="K100" s="2" t="str">
        <f aca="false">IF(AND(K$4=$G100,K$6=$F100),$D100*K$5,"")</f>
        <v/>
      </c>
      <c r="L100" s="2" t="str">
        <f aca="false">IF(AND(L$4=$G100,L$6=$F100),$D100*L$5,"")</f>
        <v/>
      </c>
      <c r="M100" s="2" t="str">
        <f aca="false">IF(AND(M$4=$G100,M$6=$F100),$D100*M$5,"")</f>
        <v/>
      </c>
      <c r="N100" s="1414" t="n">
        <f aca="false">VLOOKUP(B100,'O_MN, PE_UTA_UGM 2024'!$E$2:$K$419,IF(G100&gt;1,6,7))</f>
        <v>0</v>
      </c>
      <c r="O100" s="1434" t="str">
        <f aca="false">IF($H100=O$4,$D100*$N100,"")</f>
        <v/>
      </c>
      <c r="P100" s="1435" t="str">
        <f aca="false">IF($H100=P$4,$D100*$N100,"")</f>
        <v/>
      </c>
      <c r="Q100" s="1435" t="str">
        <f aca="false">IF($H100=Q$4,$D100*$N100,"")</f>
        <v/>
      </c>
      <c r="R100" s="1435" t="str">
        <f aca="false">IF($H100=R$4,$D100*$N100,"")</f>
        <v/>
      </c>
      <c r="S100" s="1435" t="str">
        <f aca="false">IF($H100=S$4,$D100*$N100,"")</f>
        <v/>
      </c>
      <c r="T100" s="1435" t="str">
        <f aca="false">IF($H100=T$4,$D100*$N100,"")</f>
        <v/>
      </c>
      <c r="U100" s="1436" t="str">
        <f aca="false">IF($H100=U$4,$D100*$N100,"")</f>
        <v/>
      </c>
      <c r="V100" s="1418"/>
      <c r="W100" s="1419"/>
      <c r="X100" s="1419"/>
      <c r="Y100" s="1419"/>
      <c r="Z100" s="1419"/>
      <c r="AA100" s="1419"/>
      <c r="AB100" s="1420"/>
      <c r="AC100" s="1319"/>
      <c r="AD100" s="2" t="str">
        <f aca="false">IF(AND(AD$4=$G100,AD$6=$F100),$B100,"")</f>
        <v/>
      </c>
      <c r="AE100" s="2" t="str">
        <f aca="false">IF(AND(AE$4=$G100,AE$6=$F100),$B100,"")</f>
        <v/>
      </c>
      <c r="AF100" s="2" t="str">
        <f aca="false">IF(AND(AF$4=$G100,AF$6=$F100),$B100,"")</f>
        <v/>
      </c>
      <c r="AG100" s="2" t="str">
        <f aca="false">IF(AND(AG$4=$G100,AG$6=$F100),$B100,"")</f>
        <v/>
      </c>
      <c r="AI100" s="366"/>
      <c r="AL100" s="367"/>
      <c r="AO100" s="367" t="str">
        <f aca="false">IF(MID(AR100,LEN(AR100),1)+0&gt;0,CONCATENATE(AY100," invernadero"),AY100)</f>
        <v> invernadero</v>
      </c>
      <c r="AP100" s="2" t="str">
        <f aca="false">IF(AT100&gt;0,RANK(AT100,AT$7:AT$423),"")</f>
        <v/>
      </c>
      <c r="AQ100" s="2" t="n">
        <f aca="false">'O_MN, PE_UTA_UGM 2024'!C96</f>
        <v>154</v>
      </c>
      <c r="AR100" s="1421" t="n">
        <v>1534</v>
      </c>
      <c r="AS100" s="2" t="str">
        <f aca="false">IF(AY100&lt;&gt;"",AY100,"")</f>
        <v/>
      </c>
      <c r="AT100" s="1422" t="n">
        <f aca="false">IF(ISNUMBER($AR100),SUMIF(B$7:B$505,AR100,D$7:D$505),"")</f>
        <v>0</v>
      </c>
      <c r="AU100" s="1411" t="n">
        <f aca="false">IF(ISNUMBER($AR100),SUMIF(AD$7:AD$503,$AR100,J$7:J$503),"")</f>
        <v>0</v>
      </c>
      <c r="AV100" s="1411" t="n">
        <f aca="false">IF(ISNUMBER($AR100),SUMIF(AF$7:AF$503,$AR100,L$7:L$503),"")</f>
        <v>0</v>
      </c>
      <c r="AW100" s="1423" t="n">
        <f aca="false">IF(ISNUMBER($AR100),SUMIF(AE$7:AE$503,$AR100,K$7:K$503),"")</f>
        <v>0</v>
      </c>
      <c r="AX100" s="1423" t="n">
        <f aca="false">IF(ISNUMBER($AR100),SUMIF(AG$7:AG$503,$AR100,M$7:M$503),"")</f>
        <v>0</v>
      </c>
      <c r="AY100" s="2" t="str">
        <f aca="false">IF($AT100&gt;0,VLOOKUP($AR100,'O_MN, PE_UTA_UGM 2024'!E96:O512,2),"")</f>
        <v/>
      </c>
      <c r="AZ100" s="1424"/>
      <c r="BA100" s="1424"/>
      <c r="BB100" s="1424" t="str">
        <f aca="false">IF($AT100&gt;0,VLOOKUP($AR100,'O_MN, PE_UTA_UGM 2024'!$E$3:$O$419,BB$6),"")</f>
        <v/>
      </c>
      <c r="BC100" s="1424" t="str">
        <f aca="false">IF($AT100&gt;0,VLOOKUP($AR100,'O_MN, PE_UTA_UGM 2024'!$E$3:$O$419,BC$6),"")</f>
        <v/>
      </c>
      <c r="BD100" s="1424" t="str">
        <f aca="false">IF($AT100&gt;0,VLOOKUP($AR100,'O_MN, PE_UTA_UGM 2024'!$E$3:$O$419,BD$6),"")</f>
        <v/>
      </c>
      <c r="BE100" s="1424" t="str">
        <f aca="false">IF($AT100&gt;0,VLOOKUP($AR100,'O_MN, PE_UTA_UGM 2024'!$E$3:$O$419,BE$6),"")</f>
        <v/>
      </c>
      <c r="BF100" s="1424" t="str">
        <f aca="false">IF($AT100&gt;0,VLOOKUP($AR100,'O_MN, PE_UTA_UGM 2024'!$E$3:$O$419,BF$6),"")</f>
        <v/>
      </c>
      <c r="BG100" s="1424" t="str">
        <f aca="false">IF($AT100&gt;0,VLOOKUP($AR100,'O_MN, PE_UTA_UGM 2024'!$E$3:$O$419,BG$6),"")</f>
        <v/>
      </c>
      <c r="BH100" s="872"/>
      <c r="BI100" s="872"/>
      <c r="BJ100" s="872"/>
      <c r="BK100" s="872"/>
      <c r="BM100" s="1411"/>
      <c r="BN100" s="1411"/>
      <c r="BO100" s="1425" t="str">
        <f aca="false">IF(ISNUMBER($AU100*BB100*1),$AU100*BB100*1,"")</f>
        <v/>
      </c>
      <c r="BP100" s="1425" t="str">
        <f aca="false">IF(ISNUMBER($AV100*BC100*1),$AV100*BC100*1,"")</f>
        <v/>
      </c>
      <c r="BQ100" s="1425" t="str">
        <f aca="false">IF(ISNUMBER($AU100*BD100*1),$AU100*BD100*1,"")</f>
        <v/>
      </c>
      <c r="BR100" s="1425" t="str">
        <f aca="false">IF(ISNUMBER($AV100*BE100*1),$AV100*BE100*1,"")</f>
        <v/>
      </c>
      <c r="BS100" s="1411" t="str">
        <f aca="false">IF(ISNUMBER($AU100*BF100),$AU100*BF100,"")</f>
        <v/>
      </c>
      <c r="BT100" s="1411" t="str">
        <f aca="false">IF(ISNUMBER($AV100*BG100),$AV100*BG100,"")</f>
        <v/>
      </c>
      <c r="BU100" s="1411"/>
      <c r="BV100" s="1411"/>
      <c r="BW100" s="1411"/>
      <c r="BX100" s="1411"/>
      <c r="BZ100" s="1372"/>
      <c r="CA100" s="1372"/>
      <c r="CB100" s="1426" t="str">
        <f aca="false">IF(ISNUMBER($AW100*BB100),$AW100*BB100,"")</f>
        <v/>
      </c>
      <c r="CC100" s="1426" t="str">
        <f aca="false">IF(ISNUMBER($AX100*BC100),$AX100*BC100,"")</f>
        <v/>
      </c>
      <c r="CD100" s="1426" t="str">
        <f aca="false">IF(ISNUMBER($AW100*BD100),$AW100*BD100,"")</f>
        <v/>
      </c>
      <c r="CE100" s="1426" t="str">
        <f aca="false">IF(ISNUMBER($AX100*BE100),$AX100*BE100,"")</f>
        <v/>
      </c>
      <c r="CF100" s="1372" t="str">
        <f aca="false">IF(ISNUMBER($AW100*BF100),$AW100*BF100,"")</f>
        <v/>
      </c>
      <c r="CG100" s="1372" t="str">
        <f aca="false">IF(ISNUMBER($AX100*BG100),$AX100*BG100,"")</f>
        <v/>
      </c>
      <c r="CH100" s="1438"/>
      <c r="CI100" s="1438"/>
      <c r="CJ100" s="1438"/>
      <c r="CK100" s="1438"/>
      <c r="CU100" s="1411"/>
      <c r="CV100" s="1411"/>
      <c r="CW100" s="1425"/>
      <c r="CX100" s="1425"/>
      <c r="CY100" s="1425"/>
      <c r="CZ100" s="1425"/>
      <c r="DA100" s="1411"/>
      <c r="DB100" s="1411"/>
      <c r="DC100" s="1411"/>
      <c r="DD100" s="1411"/>
      <c r="DE100" s="1411"/>
      <c r="DF100" s="1411"/>
      <c r="DH100" s="1432"/>
      <c r="DI100" s="1432"/>
      <c r="DJ100" s="1437"/>
      <c r="DK100" s="1437"/>
      <c r="DL100" s="1437"/>
      <c r="DM100" s="1437"/>
      <c r="DN100" s="1432"/>
      <c r="DO100" s="1432"/>
      <c r="DP100" s="1432"/>
      <c r="DQ100" s="1432"/>
      <c r="DR100" s="1432"/>
      <c r="DS100" s="1432"/>
      <c r="DT100" s="1316"/>
      <c r="DU100" s="1433"/>
      <c r="DV100" s="1433"/>
      <c r="DW100" s="1433"/>
      <c r="DX100" s="1433"/>
      <c r="DY100" s="1433"/>
      <c r="DZ100" s="1433"/>
      <c r="EA100" s="1433"/>
      <c r="EB100" s="1433"/>
    </row>
    <row r="101" customFormat="false" ht="14.25" hidden="false" customHeight="false" outlineLevel="0" collapsed="false">
      <c r="A101" s="2" t="n">
        <f aca="false">'V_DATOS PAC_SGA'!R96</f>
        <v>0</v>
      </c>
      <c r="B101" s="2" t="n">
        <f aca="false">IF(I101="IV",CONCATENATE('V_DATOS PAC_SGA'!R96,"4")+0,CONCATENATE('V_DATOS PAC_SGA'!R96,"0")+0)</f>
        <v>0</v>
      </c>
      <c r="C101" s="2" t="n">
        <f aca="false">'V_DATOS PAC_SGA'!S96</f>
        <v>0</v>
      </c>
      <c r="D101" s="1409" t="n">
        <f aca="false">'V_DATOS PAC_SGA'!Y96</f>
        <v>0</v>
      </c>
      <c r="E101" s="1410" t="str">
        <f aca="false">IF('V_DATOS PAC_SGA'!AV96="","Regadio",'V_DATOS PAC_SGA'!AV96)</f>
        <v>Regadio</v>
      </c>
      <c r="F101" s="1411" t="n">
        <f aca="false">'V_DATOS PAC_SGA'!BK96</f>
        <v>0</v>
      </c>
      <c r="G101" s="1412" t="n">
        <f aca="false">'V_DATOS PAC_SGA'!AN96</f>
        <v>0</v>
      </c>
      <c r="H101" s="1413" t="str">
        <f aca="false">IF(B101&gt;0,VLOOKUP(B101,'O_MN, PE_UTA_UGM 2024'!E$3:O$419,10),"")</f>
        <v/>
      </c>
      <c r="I101" s="1359" t="n">
        <f aca="false">'V_DATOS PAC_SGA'!BV96</f>
        <v>0</v>
      </c>
      <c r="J101" s="2" t="str">
        <f aca="false">IF(AND(J$4=$G101,J$6=$F101),$D101*J$5,"")</f>
        <v/>
      </c>
      <c r="K101" s="2" t="str">
        <f aca="false">IF(AND(K$4=$G101,K$6=$F101),$D101*K$5,"")</f>
        <v/>
      </c>
      <c r="L101" s="2" t="str">
        <f aca="false">IF(AND(L$4=$G101,L$6=$F101),$D101*L$5,"")</f>
        <v/>
      </c>
      <c r="M101" s="2" t="str">
        <f aca="false">IF(AND(M$4=$G101,M$6=$F101),$D101*M$5,"")</f>
        <v/>
      </c>
      <c r="N101" s="1414" t="n">
        <f aca="false">VLOOKUP(B101,'O_MN, PE_UTA_UGM 2024'!$E$2:$K$419,IF(G101&gt;1,6,7))</f>
        <v>0</v>
      </c>
      <c r="O101" s="1434" t="str">
        <f aca="false">IF($H101=O$4,$D101*$N101,"")</f>
        <v/>
      </c>
      <c r="P101" s="1435" t="str">
        <f aca="false">IF($H101=P$4,$D101*$N101,"")</f>
        <v/>
      </c>
      <c r="Q101" s="1435" t="str">
        <f aca="false">IF($H101=Q$4,$D101*$N101,"")</f>
        <v/>
      </c>
      <c r="R101" s="1435" t="str">
        <f aca="false">IF($H101=R$4,$D101*$N101,"")</f>
        <v/>
      </c>
      <c r="S101" s="1435" t="str">
        <f aca="false">IF($H101=S$4,$D101*$N101,"")</f>
        <v/>
      </c>
      <c r="T101" s="1435" t="str">
        <f aca="false">IF($H101=T$4,$D101*$N101,"")</f>
        <v/>
      </c>
      <c r="U101" s="1436" t="str">
        <f aca="false">IF($H101=U$4,$D101*$N101,"")</f>
        <v/>
      </c>
      <c r="V101" s="1418"/>
      <c r="W101" s="1419"/>
      <c r="X101" s="1419"/>
      <c r="Y101" s="1419"/>
      <c r="Z101" s="1419"/>
      <c r="AA101" s="1419"/>
      <c r="AB101" s="1420"/>
      <c r="AC101" s="1319"/>
      <c r="AD101" s="2" t="str">
        <f aca="false">IF(AND(AD$4=$G101,AD$6=$F101),$B101,"")</f>
        <v/>
      </c>
      <c r="AE101" s="2" t="str">
        <f aca="false">IF(AND(AE$4=$G101,AE$6=$F101),$B101,"")</f>
        <v/>
      </c>
      <c r="AF101" s="2" t="str">
        <f aca="false">IF(AND(AF$4=$G101,AF$6=$F101),$B101,"")</f>
        <v/>
      </c>
      <c r="AG101" s="2" t="str">
        <f aca="false">IF(AND(AG$4=$G101,AG$6=$F101),$B101,"")</f>
        <v/>
      </c>
      <c r="AI101" s="366"/>
      <c r="AL101" s="367"/>
      <c r="AO101" s="367" t="str">
        <f aca="false">IF(MID(AR101,LEN(AR101),1)+0&gt;0,CONCATENATE(AY101," invernadero"),AY101)</f>
        <v> invernadero</v>
      </c>
      <c r="AP101" s="2" t="str">
        <f aca="false">IF(AT101&gt;0,RANK(AT101,AT$7:AT$423),"")</f>
        <v/>
      </c>
      <c r="AQ101" s="2" t="n">
        <f aca="false">'O_MN, PE_UTA_UGM 2024'!C97</f>
        <v>155</v>
      </c>
      <c r="AR101" s="1421" t="n">
        <v>1539</v>
      </c>
      <c r="AS101" s="2" t="str">
        <f aca="false">IF(AY101&lt;&gt;"",AY101,"")</f>
        <v/>
      </c>
      <c r="AT101" s="1422" t="n">
        <f aca="false">IF(ISNUMBER($AR101),SUMIF(B$7:B$505,AR101,D$7:D$505),"")</f>
        <v>0</v>
      </c>
      <c r="AU101" s="1411" t="n">
        <f aca="false">IF(ISNUMBER($AR101),SUMIF(AD$7:AD$503,$AR101,J$7:J$503),"")</f>
        <v>0</v>
      </c>
      <c r="AV101" s="1411" t="n">
        <f aca="false">IF(ISNUMBER($AR101),SUMIF(AF$7:AF$503,$AR101,L$7:L$503),"")</f>
        <v>0</v>
      </c>
      <c r="AW101" s="1423" t="n">
        <f aca="false">IF(ISNUMBER($AR101),SUMIF(AE$7:AE$503,$AR101,K$7:K$503),"")</f>
        <v>0</v>
      </c>
      <c r="AX101" s="1423" t="n">
        <f aca="false">IF(ISNUMBER($AR101),SUMIF(AG$7:AG$503,$AR101,M$7:M$503),"")</f>
        <v>0</v>
      </c>
      <c r="AY101" s="2" t="str">
        <f aca="false">IF($AT101&gt;0,VLOOKUP($AR101,'O_MN, PE_UTA_UGM 2024'!E97:O513,2),"")</f>
        <v/>
      </c>
      <c r="AZ101" s="1424"/>
      <c r="BA101" s="1424"/>
      <c r="BB101" s="1424" t="str">
        <f aca="false">IF($AT101&gt;0,VLOOKUP($AR101,'O_MN, PE_UTA_UGM 2024'!$E$3:$O$419,BB$6),"")</f>
        <v/>
      </c>
      <c r="BC101" s="1424" t="str">
        <f aca="false">IF($AT101&gt;0,VLOOKUP($AR101,'O_MN, PE_UTA_UGM 2024'!$E$3:$O$419,BC$6),"")</f>
        <v/>
      </c>
      <c r="BD101" s="1424" t="str">
        <f aca="false">IF($AT101&gt;0,VLOOKUP($AR101,'O_MN, PE_UTA_UGM 2024'!$E$3:$O$419,BD$6),"")</f>
        <v/>
      </c>
      <c r="BE101" s="1424" t="str">
        <f aca="false">IF($AT101&gt;0,VLOOKUP($AR101,'O_MN, PE_UTA_UGM 2024'!$E$3:$O$419,BE$6),"")</f>
        <v/>
      </c>
      <c r="BF101" s="1424" t="str">
        <f aca="false">IF($AT101&gt;0,VLOOKUP($AR101,'O_MN, PE_UTA_UGM 2024'!$E$3:$O$419,BF$6),"")</f>
        <v/>
      </c>
      <c r="BG101" s="1424" t="str">
        <f aca="false">IF($AT101&gt;0,VLOOKUP($AR101,'O_MN, PE_UTA_UGM 2024'!$E$3:$O$419,BG$6),"")</f>
        <v/>
      </c>
      <c r="BH101" s="872"/>
      <c r="BI101" s="872"/>
      <c r="BJ101" s="872"/>
      <c r="BK101" s="872"/>
      <c r="BM101" s="1411"/>
      <c r="BN101" s="1411"/>
      <c r="BO101" s="1425" t="str">
        <f aca="false">IF(ISNUMBER($AU101*BB101*1),$AU101*BB101*1,"")</f>
        <v/>
      </c>
      <c r="BP101" s="1425" t="str">
        <f aca="false">IF(ISNUMBER($AV101*BC101*1),$AV101*BC101*1,"")</f>
        <v/>
      </c>
      <c r="BQ101" s="1425" t="str">
        <f aca="false">IF(ISNUMBER($AU101*BD101*1),$AU101*BD101*1,"")</f>
        <v/>
      </c>
      <c r="BR101" s="1425" t="str">
        <f aca="false">IF(ISNUMBER($AV101*BE101*1),$AV101*BE101*1,"")</f>
        <v/>
      </c>
      <c r="BS101" s="1411" t="str">
        <f aca="false">IF(ISNUMBER($AU101*BF101),$AU101*BF101,"")</f>
        <v/>
      </c>
      <c r="BT101" s="1411" t="str">
        <f aca="false">IF(ISNUMBER($AV101*BG101),$AV101*BG101,"")</f>
        <v/>
      </c>
      <c r="BU101" s="1411"/>
      <c r="BV101" s="1411"/>
      <c r="BW101" s="1411"/>
      <c r="BX101" s="1411"/>
      <c r="BZ101" s="1372"/>
      <c r="CA101" s="1372"/>
      <c r="CB101" s="1426" t="str">
        <f aca="false">IF(ISNUMBER($AW101*BB101),$AW101*BB101,"")</f>
        <v/>
      </c>
      <c r="CC101" s="1426" t="str">
        <f aca="false">IF(ISNUMBER($AX101*BC101),$AX101*BC101,"")</f>
        <v/>
      </c>
      <c r="CD101" s="1426" t="str">
        <f aca="false">IF(ISNUMBER($AW101*BD101),$AW101*BD101,"")</f>
        <v/>
      </c>
      <c r="CE101" s="1426" t="str">
        <f aca="false">IF(ISNUMBER($AX101*BE101),$AX101*BE101,"")</f>
        <v/>
      </c>
      <c r="CF101" s="1372" t="str">
        <f aca="false">IF(ISNUMBER($AW101*BF101),$AW101*BF101,"")</f>
        <v/>
      </c>
      <c r="CG101" s="1372" t="str">
        <f aca="false">IF(ISNUMBER($AX101*BG101),$AX101*BG101,"")</f>
        <v/>
      </c>
      <c r="CH101" s="1438"/>
      <c r="CI101" s="1438"/>
      <c r="CJ101" s="1438"/>
      <c r="CK101" s="1438"/>
      <c r="CU101" s="1411"/>
      <c r="CV101" s="1411"/>
      <c r="CW101" s="1425"/>
      <c r="CX101" s="1425"/>
      <c r="CY101" s="1425"/>
      <c r="CZ101" s="1425"/>
      <c r="DA101" s="1411"/>
      <c r="DB101" s="1411"/>
      <c r="DC101" s="1411"/>
      <c r="DD101" s="1411"/>
      <c r="DE101" s="1411"/>
      <c r="DF101" s="1411"/>
      <c r="DH101" s="1432"/>
      <c r="DI101" s="1432"/>
      <c r="DJ101" s="1437"/>
      <c r="DK101" s="1437"/>
      <c r="DL101" s="1437"/>
      <c r="DM101" s="1437"/>
      <c r="DN101" s="1432"/>
      <c r="DO101" s="1432"/>
      <c r="DP101" s="1432"/>
      <c r="DQ101" s="1432"/>
      <c r="DR101" s="1432"/>
      <c r="DS101" s="1432"/>
      <c r="DT101" s="1316"/>
      <c r="DU101" s="1433"/>
      <c r="DV101" s="1433"/>
      <c r="DW101" s="1433"/>
      <c r="DX101" s="1433"/>
      <c r="DY101" s="1433"/>
      <c r="DZ101" s="1433"/>
      <c r="EA101" s="1433"/>
      <c r="EB101" s="1433"/>
    </row>
    <row r="102" customFormat="false" ht="14.25" hidden="false" customHeight="false" outlineLevel="0" collapsed="false">
      <c r="A102" s="2" t="n">
        <f aca="false">'V_DATOS PAC_SGA'!R97</f>
        <v>0</v>
      </c>
      <c r="B102" s="2" t="n">
        <f aca="false">IF(I102="IV",CONCATENATE('V_DATOS PAC_SGA'!R97,"4")+0,CONCATENATE('V_DATOS PAC_SGA'!R97,"0")+0)</f>
        <v>0</v>
      </c>
      <c r="C102" s="2" t="n">
        <f aca="false">'V_DATOS PAC_SGA'!S97</f>
        <v>0</v>
      </c>
      <c r="D102" s="1409" t="n">
        <f aca="false">'V_DATOS PAC_SGA'!Y97</f>
        <v>0</v>
      </c>
      <c r="E102" s="1410" t="str">
        <f aca="false">IF('V_DATOS PAC_SGA'!AV97="","Regadio",'V_DATOS PAC_SGA'!AV97)</f>
        <v>Regadio</v>
      </c>
      <c r="F102" s="1411" t="n">
        <f aca="false">'V_DATOS PAC_SGA'!BK97</f>
        <v>0</v>
      </c>
      <c r="G102" s="1412" t="n">
        <f aca="false">'V_DATOS PAC_SGA'!AN97</f>
        <v>0</v>
      </c>
      <c r="H102" s="1413" t="str">
        <f aca="false">IF(B102&gt;0,VLOOKUP(B102,'O_MN, PE_UTA_UGM 2024'!E$3:O$419,10),"")</f>
        <v/>
      </c>
      <c r="I102" s="1359" t="n">
        <f aca="false">'V_DATOS PAC_SGA'!BV97</f>
        <v>0</v>
      </c>
      <c r="J102" s="2" t="str">
        <f aca="false">IF(AND(J$4=$G102,J$6=$F102),$D102*J$5,"")</f>
        <v/>
      </c>
      <c r="K102" s="2" t="str">
        <f aca="false">IF(AND(K$4=$G102,K$6=$F102),$D102*K$5,"")</f>
        <v/>
      </c>
      <c r="L102" s="2" t="str">
        <f aca="false">IF(AND(L$4=$G102,L$6=$F102),$D102*L$5,"")</f>
        <v/>
      </c>
      <c r="M102" s="2" t="str">
        <f aca="false">IF(AND(M$4=$G102,M$6=$F102),$D102*M$5,"")</f>
        <v/>
      </c>
      <c r="N102" s="1414" t="n">
        <f aca="false">VLOOKUP(B102,'O_MN, PE_UTA_UGM 2024'!$E$2:$K$419,IF(G102&gt;1,6,7))</f>
        <v>0</v>
      </c>
      <c r="O102" s="1434" t="str">
        <f aca="false">IF($H102=O$4,$D102*$N102,"")</f>
        <v/>
      </c>
      <c r="P102" s="1435" t="str">
        <f aca="false">IF($H102=P$4,$D102*$N102,"")</f>
        <v/>
      </c>
      <c r="Q102" s="1435" t="str">
        <f aca="false">IF($H102=Q$4,$D102*$N102,"")</f>
        <v/>
      </c>
      <c r="R102" s="1435" t="str">
        <f aca="false">IF($H102=R$4,$D102*$N102,"")</f>
        <v/>
      </c>
      <c r="S102" s="1435" t="str">
        <f aca="false">IF($H102=S$4,$D102*$N102,"")</f>
        <v/>
      </c>
      <c r="T102" s="1435" t="str">
        <f aca="false">IF($H102=T$4,$D102*$N102,"")</f>
        <v/>
      </c>
      <c r="U102" s="1436" t="str">
        <f aca="false">IF($H102=U$4,$D102*$N102,"")</f>
        <v/>
      </c>
      <c r="V102" s="1418"/>
      <c r="W102" s="1419"/>
      <c r="X102" s="1419"/>
      <c r="Y102" s="1419"/>
      <c r="Z102" s="1419"/>
      <c r="AA102" s="1419"/>
      <c r="AB102" s="1420"/>
      <c r="AC102" s="1319"/>
      <c r="AD102" s="2" t="str">
        <f aca="false">IF(AND(AD$4=$G102,AD$6=$F102),$B102,"")</f>
        <v/>
      </c>
      <c r="AE102" s="2" t="str">
        <f aca="false">IF(AND(AE$4=$G102,AE$6=$F102),$B102,"")</f>
        <v/>
      </c>
      <c r="AF102" s="2" t="str">
        <f aca="false">IF(AND(AF$4=$G102,AF$6=$F102),$B102,"")</f>
        <v/>
      </c>
      <c r="AG102" s="2" t="str">
        <f aca="false">IF(AND(AG$4=$G102,AG$6=$F102),$B102,"")</f>
        <v/>
      </c>
      <c r="AI102" s="366"/>
      <c r="AL102" s="367"/>
      <c r="AO102" s="367" t="str">
        <f aca="false">IF(MID(AR102,LEN(AR102),1)+0&gt;0,CONCATENATE(AY102," invernadero"),AY102)</f>
        <v/>
      </c>
      <c r="AP102" s="2" t="str">
        <f aca="false">IF(AT102&gt;0,RANK(AT102,AT$7:AT$423),"")</f>
        <v/>
      </c>
      <c r="AQ102" s="2" t="n">
        <f aca="false">'O_MN, PE_UTA_UGM 2024'!C98</f>
        <v>155</v>
      </c>
      <c r="AR102" s="1421" t="n">
        <v>1540</v>
      </c>
      <c r="AS102" s="2" t="str">
        <f aca="false">IF(AY102&lt;&gt;"",AY102,"")</f>
        <v/>
      </c>
      <c r="AT102" s="1422" t="n">
        <f aca="false">IF(ISNUMBER($AR102),SUMIF(B$7:B$505,AR102,D$7:D$505),"")</f>
        <v>0</v>
      </c>
      <c r="AU102" s="1411" t="n">
        <f aca="false">IF(ISNUMBER($AR102),SUMIF(AD$7:AD$503,$AR102,J$7:J$503),"")</f>
        <v>0</v>
      </c>
      <c r="AV102" s="1411" t="n">
        <f aca="false">IF(ISNUMBER($AR102),SUMIF(AF$7:AF$503,$AR102,L$7:L$503),"")</f>
        <v>0</v>
      </c>
      <c r="AW102" s="1423" t="n">
        <f aca="false">IF(ISNUMBER($AR102),SUMIF(AE$7:AE$503,$AR102,K$7:K$503),"")</f>
        <v>0</v>
      </c>
      <c r="AX102" s="1423" t="n">
        <f aca="false">IF(ISNUMBER($AR102),SUMIF(AG$7:AG$503,$AR102,M$7:M$503),"")</f>
        <v>0</v>
      </c>
      <c r="AY102" s="2" t="str">
        <f aca="false">IF($AT102&gt;0,VLOOKUP($AR102,'O_MN, PE_UTA_UGM 2024'!E98:O514,2),"")</f>
        <v/>
      </c>
      <c r="AZ102" s="1424"/>
      <c r="BA102" s="1424"/>
      <c r="BB102" s="1424" t="str">
        <f aca="false">IF($AT102&gt;0,VLOOKUP($AR102,'O_MN, PE_UTA_UGM 2024'!$E$3:$O$419,BB$6),"")</f>
        <v/>
      </c>
      <c r="BC102" s="1424" t="str">
        <f aca="false">IF($AT102&gt;0,VLOOKUP($AR102,'O_MN, PE_UTA_UGM 2024'!$E$3:$O$419,BC$6),"")</f>
        <v/>
      </c>
      <c r="BD102" s="1424" t="str">
        <f aca="false">IF($AT102&gt;0,VLOOKUP($AR102,'O_MN, PE_UTA_UGM 2024'!$E$3:$O$419,BD$6),"")</f>
        <v/>
      </c>
      <c r="BE102" s="1424" t="str">
        <f aca="false">IF($AT102&gt;0,VLOOKUP($AR102,'O_MN, PE_UTA_UGM 2024'!$E$3:$O$419,BE$6),"")</f>
        <v/>
      </c>
      <c r="BF102" s="1424" t="str">
        <f aca="false">IF($AT102&gt;0,VLOOKUP($AR102,'O_MN, PE_UTA_UGM 2024'!$E$3:$O$419,BF$6),"")</f>
        <v/>
      </c>
      <c r="BG102" s="1424" t="str">
        <f aca="false">IF($AT102&gt;0,VLOOKUP($AR102,'O_MN, PE_UTA_UGM 2024'!$E$3:$O$419,BG$6),"")</f>
        <v/>
      </c>
      <c r="BH102" s="872"/>
      <c r="BI102" s="872"/>
      <c r="BJ102" s="872"/>
      <c r="BK102" s="872"/>
      <c r="BM102" s="1411"/>
      <c r="BN102" s="1411"/>
      <c r="BO102" s="1425" t="str">
        <f aca="false">IF(ISNUMBER($AU102*BB102*1),$AU102*BB102*1,"")</f>
        <v/>
      </c>
      <c r="BP102" s="1425" t="str">
        <f aca="false">IF(ISNUMBER($AV102*BC102*1),$AV102*BC102*1,"")</f>
        <v/>
      </c>
      <c r="BQ102" s="1425" t="str">
        <f aca="false">IF(ISNUMBER($AU102*BD102*1),$AU102*BD102*1,"")</f>
        <v/>
      </c>
      <c r="BR102" s="1425" t="str">
        <f aca="false">IF(ISNUMBER($AV102*BE102*1),$AV102*BE102*1,"")</f>
        <v/>
      </c>
      <c r="BS102" s="1411" t="str">
        <f aca="false">IF(ISNUMBER($AU102*BF102),$AU102*BF102,"")</f>
        <v/>
      </c>
      <c r="BT102" s="1411" t="str">
        <f aca="false">IF(ISNUMBER($AV102*BG102),$AV102*BG102,"")</f>
        <v/>
      </c>
      <c r="BU102" s="1411"/>
      <c r="BV102" s="1411"/>
      <c r="BW102" s="1411"/>
      <c r="BX102" s="1411"/>
      <c r="BZ102" s="1372"/>
      <c r="CA102" s="1372"/>
      <c r="CB102" s="1426" t="str">
        <f aca="false">IF(ISNUMBER($AW102*BB102),$AW102*BB102,"")</f>
        <v/>
      </c>
      <c r="CC102" s="1426" t="str">
        <f aca="false">IF(ISNUMBER($AX102*BC102),$AX102*BC102,"")</f>
        <v/>
      </c>
      <c r="CD102" s="1426" t="str">
        <f aca="false">IF(ISNUMBER($AW102*BD102),$AW102*BD102,"")</f>
        <v/>
      </c>
      <c r="CE102" s="1426" t="str">
        <f aca="false">IF(ISNUMBER($AX102*BE102),$AX102*BE102,"")</f>
        <v/>
      </c>
      <c r="CF102" s="1372" t="str">
        <f aca="false">IF(ISNUMBER($AW102*BF102),$AW102*BF102,"")</f>
        <v/>
      </c>
      <c r="CG102" s="1372" t="str">
        <f aca="false">IF(ISNUMBER($AX102*BG102),$AX102*BG102,"")</f>
        <v/>
      </c>
      <c r="CH102" s="1438"/>
      <c r="CI102" s="1438"/>
      <c r="CJ102" s="1438"/>
      <c r="CK102" s="1438"/>
      <c r="CU102" s="1411"/>
      <c r="CV102" s="1411"/>
      <c r="CW102" s="1425"/>
      <c r="CX102" s="1425"/>
      <c r="CY102" s="1425"/>
      <c r="CZ102" s="1425"/>
      <c r="DA102" s="1411"/>
      <c r="DB102" s="1411"/>
      <c r="DC102" s="1411"/>
      <c r="DD102" s="1411"/>
      <c r="DE102" s="1411"/>
      <c r="DF102" s="1411"/>
      <c r="DH102" s="1432"/>
      <c r="DI102" s="1432"/>
      <c r="DJ102" s="1437"/>
      <c r="DK102" s="1437"/>
      <c r="DL102" s="1437"/>
      <c r="DM102" s="1437"/>
      <c r="DN102" s="1432"/>
      <c r="DO102" s="1432"/>
      <c r="DP102" s="1432"/>
      <c r="DQ102" s="1432"/>
      <c r="DR102" s="1432"/>
      <c r="DS102" s="1432"/>
      <c r="DT102" s="1316"/>
      <c r="DU102" s="1433"/>
      <c r="DV102" s="1433"/>
      <c r="DW102" s="1433"/>
      <c r="DX102" s="1433"/>
      <c r="DY102" s="1433"/>
      <c r="DZ102" s="1433"/>
      <c r="EA102" s="1433"/>
      <c r="EB102" s="1433"/>
    </row>
    <row r="103" customFormat="false" ht="14.25" hidden="false" customHeight="false" outlineLevel="0" collapsed="false">
      <c r="A103" s="2" t="n">
        <f aca="false">'V_DATOS PAC_SGA'!R98</f>
        <v>0</v>
      </c>
      <c r="B103" s="2" t="n">
        <f aca="false">IF(I103="IV",CONCATENATE('V_DATOS PAC_SGA'!R98,"4")+0,CONCATENATE('V_DATOS PAC_SGA'!R98,"0")+0)</f>
        <v>0</v>
      </c>
      <c r="C103" s="2" t="n">
        <f aca="false">'V_DATOS PAC_SGA'!S98</f>
        <v>0</v>
      </c>
      <c r="D103" s="1409" t="n">
        <f aca="false">'V_DATOS PAC_SGA'!Y98</f>
        <v>0</v>
      </c>
      <c r="E103" s="1410" t="str">
        <f aca="false">IF('V_DATOS PAC_SGA'!AV98="","Regadio",'V_DATOS PAC_SGA'!AV98)</f>
        <v>Regadio</v>
      </c>
      <c r="F103" s="1411" t="n">
        <f aca="false">'V_DATOS PAC_SGA'!BK98</f>
        <v>0</v>
      </c>
      <c r="G103" s="1412" t="n">
        <f aca="false">'V_DATOS PAC_SGA'!AN98</f>
        <v>0</v>
      </c>
      <c r="H103" s="1413" t="str">
        <f aca="false">IF(B103&gt;0,VLOOKUP(B103,'O_MN, PE_UTA_UGM 2024'!E$3:O$419,10),"")</f>
        <v/>
      </c>
      <c r="I103" s="1359" t="n">
        <f aca="false">'V_DATOS PAC_SGA'!BV98</f>
        <v>0</v>
      </c>
      <c r="J103" s="2" t="str">
        <f aca="false">IF(AND(J$4=$G103,J$6=$F103),$D103*J$5,"")</f>
        <v/>
      </c>
      <c r="K103" s="2" t="str">
        <f aca="false">IF(AND(K$4=$G103,K$6=$F103),$D103*K$5,"")</f>
        <v/>
      </c>
      <c r="L103" s="2" t="str">
        <f aca="false">IF(AND(L$4=$G103,L$6=$F103),$D103*L$5,"")</f>
        <v/>
      </c>
      <c r="M103" s="2" t="str">
        <f aca="false">IF(AND(M$4=$G103,M$6=$F103),$D103*M$5,"")</f>
        <v/>
      </c>
      <c r="N103" s="1414" t="n">
        <f aca="false">VLOOKUP(B103,'O_MN, PE_UTA_UGM 2024'!$E$2:$K$419,IF(G103&gt;1,6,7))</f>
        <v>0</v>
      </c>
      <c r="O103" s="1434" t="str">
        <f aca="false">IF($H103=O$4,$D103*$N103,"")</f>
        <v/>
      </c>
      <c r="P103" s="1435" t="str">
        <f aca="false">IF($H103=P$4,$D103*$N103,"")</f>
        <v/>
      </c>
      <c r="Q103" s="1435" t="str">
        <f aca="false">IF($H103=Q$4,$D103*$N103,"")</f>
        <v/>
      </c>
      <c r="R103" s="1435" t="str">
        <f aca="false">IF($H103=R$4,$D103*$N103,"")</f>
        <v/>
      </c>
      <c r="S103" s="1435" t="str">
        <f aca="false">IF($H103=S$4,$D103*$N103,"")</f>
        <v/>
      </c>
      <c r="T103" s="1435" t="str">
        <f aca="false">IF($H103=T$4,$D103*$N103,"")</f>
        <v/>
      </c>
      <c r="U103" s="1436" t="str">
        <f aca="false">IF($H103=U$4,$D103*$N103,"")</f>
        <v/>
      </c>
      <c r="V103" s="1418"/>
      <c r="W103" s="1419"/>
      <c r="X103" s="1419"/>
      <c r="Y103" s="1419"/>
      <c r="Z103" s="1419"/>
      <c r="AA103" s="1419"/>
      <c r="AB103" s="1420"/>
      <c r="AC103" s="1319"/>
      <c r="AD103" s="2" t="str">
        <f aca="false">IF(AND(AD$4=$G103,AD$6=$F103),$B103,"")</f>
        <v/>
      </c>
      <c r="AE103" s="2" t="str">
        <f aca="false">IF(AND(AE$4=$G103,AE$6=$F103),$B103,"")</f>
        <v/>
      </c>
      <c r="AF103" s="2" t="str">
        <f aca="false">IF(AND(AF$4=$G103,AF$6=$F103),$B103,"")</f>
        <v/>
      </c>
      <c r="AG103" s="2" t="str">
        <f aca="false">IF(AND(AG$4=$G103,AG$6=$F103),$B103,"")</f>
        <v/>
      </c>
      <c r="AI103" s="366"/>
      <c r="AL103" s="367"/>
      <c r="AO103" s="367" t="str">
        <f aca="false">IF(MID(AR103,LEN(AR103),1)+0&gt;0,CONCATENATE(AY103," invernadero"),AY103)</f>
        <v> invernadero</v>
      </c>
      <c r="AP103" s="2" t="str">
        <f aca="false">IF(AT103&gt;0,RANK(AT103,AT$7:AT$423),"")</f>
        <v/>
      </c>
      <c r="AQ103" s="2" t="n">
        <f aca="false">'O_MN, PE_UTA_UGM 2024'!C99</f>
        <v>155</v>
      </c>
      <c r="AR103" s="1421" t="n">
        <v>1544</v>
      </c>
      <c r="AS103" s="2" t="str">
        <f aca="false">IF(AY103&lt;&gt;"",AY103,"")</f>
        <v/>
      </c>
      <c r="AT103" s="1422" t="n">
        <f aca="false">IF(ISNUMBER($AR103),SUMIF(B$7:B$505,AR103,D$7:D$505),"")</f>
        <v>0</v>
      </c>
      <c r="AU103" s="1411" t="n">
        <f aca="false">IF(ISNUMBER($AR103),SUMIF(AD$7:AD$503,$AR103,J$7:J$503),"")</f>
        <v>0</v>
      </c>
      <c r="AV103" s="1411" t="n">
        <f aca="false">IF(ISNUMBER($AR103),SUMIF(AF$7:AF$503,$AR103,L$7:L$503),"")</f>
        <v>0</v>
      </c>
      <c r="AW103" s="1423" t="n">
        <f aca="false">IF(ISNUMBER($AR103),SUMIF(AE$7:AE$503,$AR103,K$7:K$503),"")</f>
        <v>0</v>
      </c>
      <c r="AX103" s="1423" t="n">
        <f aca="false">IF(ISNUMBER($AR103),SUMIF(AG$7:AG$503,$AR103,M$7:M$503),"")</f>
        <v>0</v>
      </c>
      <c r="AY103" s="2" t="str">
        <f aca="false">IF($AT103&gt;0,VLOOKUP($AR103,'O_MN, PE_UTA_UGM 2024'!E99:O515,2),"")</f>
        <v/>
      </c>
      <c r="AZ103" s="1424"/>
      <c r="BA103" s="1424"/>
      <c r="BB103" s="1424" t="str">
        <f aca="false">IF($AT103&gt;0,VLOOKUP($AR103,'O_MN, PE_UTA_UGM 2024'!$E$3:$O$419,BB$6),"")</f>
        <v/>
      </c>
      <c r="BC103" s="1424" t="str">
        <f aca="false">IF($AT103&gt;0,VLOOKUP($AR103,'O_MN, PE_UTA_UGM 2024'!$E$3:$O$419,BC$6),"")</f>
        <v/>
      </c>
      <c r="BD103" s="1424" t="str">
        <f aca="false">IF($AT103&gt;0,VLOOKUP($AR103,'O_MN, PE_UTA_UGM 2024'!$E$3:$O$419,BD$6),"")</f>
        <v/>
      </c>
      <c r="BE103" s="1424" t="str">
        <f aca="false">IF($AT103&gt;0,VLOOKUP($AR103,'O_MN, PE_UTA_UGM 2024'!$E$3:$O$419,BE$6),"")</f>
        <v/>
      </c>
      <c r="BF103" s="1424" t="str">
        <f aca="false">IF($AT103&gt;0,VLOOKUP($AR103,'O_MN, PE_UTA_UGM 2024'!$E$3:$O$419,BF$6),"")</f>
        <v/>
      </c>
      <c r="BG103" s="1424" t="str">
        <f aca="false">IF($AT103&gt;0,VLOOKUP($AR103,'O_MN, PE_UTA_UGM 2024'!$E$3:$O$419,BG$6),"")</f>
        <v/>
      </c>
      <c r="BH103" s="872"/>
      <c r="BI103" s="872"/>
      <c r="BJ103" s="872"/>
      <c r="BK103" s="872"/>
      <c r="BM103" s="1411"/>
      <c r="BN103" s="1411"/>
      <c r="BO103" s="1425" t="str">
        <f aca="false">IF(ISNUMBER($AU103*BB103*1),$AU103*BB103*1,"")</f>
        <v/>
      </c>
      <c r="BP103" s="1425" t="str">
        <f aca="false">IF(ISNUMBER($AV103*BC103*1),$AV103*BC103*1,"")</f>
        <v/>
      </c>
      <c r="BQ103" s="1425" t="str">
        <f aca="false">IF(ISNUMBER($AU103*BD103*1),$AU103*BD103*1,"")</f>
        <v/>
      </c>
      <c r="BR103" s="1425" t="str">
        <f aca="false">IF(ISNUMBER($AV103*BE103*1),$AV103*BE103*1,"")</f>
        <v/>
      </c>
      <c r="BS103" s="1411" t="str">
        <f aca="false">IF(ISNUMBER($AU103*BF103),$AU103*BF103,"")</f>
        <v/>
      </c>
      <c r="BT103" s="1411" t="str">
        <f aca="false">IF(ISNUMBER($AV103*BG103),$AV103*BG103,"")</f>
        <v/>
      </c>
      <c r="BU103" s="1411"/>
      <c r="BV103" s="1411"/>
      <c r="BW103" s="1411"/>
      <c r="BX103" s="1411"/>
      <c r="BZ103" s="1372"/>
      <c r="CA103" s="1372"/>
      <c r="CB103" s="1426" t="str">
        <f aca="false">IF(ISNUMBER($AW103*BB103),$AW103*BB103,"")</f>
        <v/>
      </c>
      <c r="CC103" s="1426" t="str">
        <f aca="false">IF(ISNUMBER($AX103*BC103),$AX103*BC103,"")</f>
        <v/>
      </c>
      <c r="CD103" s="1426" t="str">
        <f aca="false">IF(ISNUMBER($AW103*BD103),$AW103*BD103,"")</f>
        <v/>
      </c>
      <c r="CE103" s="1426" t="str">
        <f aca="false">IF(ISNUMBER($AX103*BE103),$AX103*BE103,"")</f>
        <v/>
      </c>
      <c r="CF103" s="1372" t="str">
        <f aca="false">IF(ISNUMBER($AW103*BF103),$AW103*BF103,"")</f>
        <v/>
      </c>
      <c r="CG103" s="1372" t="str">
        <f aca="false">IF(ISNUMBER($AX103*BG103),$AX103*BG103,"")</f>
        <v/>
      </c>
      <c r="CH103" s="1438"/>
      <c r="CI103" s="1438"/>
      <c r="CJ103" s="1438"/>
      <c r="CK103" s="1438"/>
      <c r="CU103" s="1411"/>
      <c r="CV103" s="1411"/>
      <c r="CW103" s="1425"/>
      <c r="CX103" s="1425"/>
      <c r="CY103" s="1425"/>
      <c r="CZ103" s="1425"/>
      <c r="DA103" s="1411"/>
      <c r="DB103" s="1411"/>
      <c r="DC103" s="1411"/>
      <c r="DD103" s="1411"/>
      <c r="DE103" s="1411"/>
      <c r="DF103" s="1411"/>
      <c r="DH103" s="1432"/>
      <c r="DI103" s="1432"/>
      <c r="DJ103" s="1437"/>
      <c r="DK103" s="1437"/>
      <c r="DL103" s="1437"/>
      <c r="DM103" s="1437"/>
      <c r="DN103" s="1432"/>
      <c r="DO103" s="1432"/>
      <c r="DP103" s="1432"/>
      <c r="DQ103" s="1432"/>
      <c r="DR103" s="1432"/>
      <c r="DS103" s="1432"/>
      <c r="DT103" s="1316"/>
      <c r="DU103" s="1433"/>
      <c r="DV103" s="1433"/>
      <c r="DW103" s="1433"/>
      <c r="DX103" s="1433"/>
      <c r="DY103" s="1433"/>
      <c r="DZ103" s="1433"/>
      <c r="EA103" s="1433"/>
      <c r="EB103" s="1433"/>
    </row>
    <row r="104" customFormat="false" ht="14.25" hidden="false" customHeight="false" outlineLevel="0" collapsed="false">
      <c r="A104" s="2" t="n">
        <f aca="false">'V_DATOS PAC_SGA'!R99</f>
        <v>0</v>
      </c>
      <c r="B104" s="2" t="n">
        <f aca="false">IF(I104="IV",CONCATENATE('V_DATOS PAC_SGA'!R99,"4")+0,CONCATENATE('V_DATOS PAC_SGA'!R99,"0")+0)</f>
        <v>0</v>
      </c>
      <c r="C104" s="2" t="n">
        <f aca="false">'V_DATOS PAC_SGA'!S99</f>
        <v>0</v>
      </c>
      <c r="D104" s="1409" t="n">
        <f aca="false">'V_DATOS PAC_SGA'!Y99</f>
        <v>0</v>
      </c>
      <c r="E104" s="1410" t="str">
        <f aca="false">IF('V_DATOS PAC_SGA'!AV99="","Regadio",'V_DATOS PAC_SGA'!AV99)</f>
        <v>Regadio</v>
      </c>
      <c r="F104" s="1411" t="n">
        <f aca="false">'V_DATOS PAC_SGA'!BK99</f>
        <v>0</v>
      </c>
      <c r="G104" s="1412" t="n">
        <f aca="false">'V_DATOS PAC_SGA'!AN99</f>
        <v>0</v>
      </c>
      <c r="H104" s="1413" t="str">
        <f aca="false">IF(B104&gt;0,VLOOKUP(B104,'O_MN, PE_UTA_UGM 2024'!E$3:O$419,10),"")</f>
        <v/>
      </c>
      <c r="I104" s="1359" t="n">
        <f aca="false">'V_DATOS PAC_SGA'!BV99</f>
        <v>0</v>
      </c>
      <c r="J104" s="2" t="str">
        <f aca="false">IF(AND(J$4=$G104,J$6=$F104),$D104*J$5,"")</f>
        <v/>
      </c>
      <c r="K104" s="2" t="str">
        <f aca="false">IF(AND(K$4=$G104,K$6=$F104),$D104*K$5,"")</f>
        <v/>
      </c>
      <c r="L104" s="2" t="str">
        <f aca="false">IF(AND(L$4=$G104,L$6=$F104),$D104*L$5,"")</f>
        <v/>
      </c>
      <c r="M104" s="2" t="str">
        <f aca="false">IF(AND(M$4=$G104,M$6=$F104),$D104*M$5,"")</f>
        <v/>
      </c>
      <c r="N104" s="1414" t="n">
        <f aca="false">VLOOKUP(B104,'O_MN, PE_UTA_UGM 2024'!$E$2:$K$419,IF(G104&gt;1,6,7))</f>
        <v>0</v>
      </c>
      <c r="O104" s="1434" t="str">
        <f aca="false">IF($H104=O$4,$D104*$N104,"")</f>
        <v/>
      </c>
      <c r="P104" s="1435" t="str">
        <f aca="false">IF($H104=P$4,$D104*$N104,"")</f>
        <v/>
      </c>
      <c r="Q104" s="1435" t="str">
        <f aca="false">IF($H104=Q$4,$D104*$N104,"")</f>
        <v/>
      </c>
      <c r="R104" s="1435" t="str">
        <f aca="false">IF($H104=R$4,$D104*$N104,"")</f>
        <v/>
      </c>
      <c r="S104" s="1435" t="str">
        <f aca="false">IF($H104=S$4,$D104*$N104,"")</f>
        <v/>
      </c>
      <c r="T104" s="1435" t="str">
        <f aca="false">IF($H104=T$4,$D104*$N104,"")</f>
        <v/>
      </c>
      <c r="U104" s="1436" t="str">
        <f aca="false">IF($H104=U$4,$D104*$N104,"")</f>
        <v/>
      </c>
      <c r="V104" s="1418"/>
      <c r="W104" s="1419"/>
      <c r="X104" s="1419"/>
      <c r="Y104" s="1419"/>
      <c r="Z104" s="1419"/>
      <c r="AA104" s="1419"/>
      <c r="AB104" s="1420"/>
      <c r="AC104" s="1319"/>
      <c r="AD104" s="2" t="str">
        <f aca="false">IF(AND(AD$4=$G104,AD$6=$F104),$B104,"")</f>
        <v/>
      </c>
      <c r="AE104" s="2" t="str">
        <f aca="false">IF(AND(AE$4=$G104,AE$6=$F104),$B104,"")</f>
        <v/>
      </c>
      <c r="AF104" s="2" t="str">
        <f aca="false">IF(AND(AF$4=$G104,AF$6=$F104),$B104,"")</f>
        <v/>
      </c>
      <c r="AG104" s="2" t="str">
        <f aca="false">IF(AND(AG$4=$G104,AG$6=$F104),$B104,"")</f>
        <v/>
      </c>
      <c r="AI104" s="366"/>
      <c r="AL104" s="367"/>
      <c r="AO104" s="367" t="str">
        <f aca="false">IF(MID(AR104,LEN(AR104),1)+0&gt;0,CONCATENATE(AY104," invernadero"),AY104)</f>
        <v> invernadero</v>
      </c>
      <c r="AP104" s="2" t="str">
        <f aca="false">IF(AT104&gt;0,RANK(AT104,AT$7:AT$423),"")</f>
        <v/>
      </c>
      <c r="AQ104" s="2" t="n">
        <f aca="false">'O_MN, PE_UTA_UGM 2024'!C100</f>
        <v>156</v>
      </c>
      <c r="AR104" s="1421" t="n">
        <v>1549</v>
      </c>
      <c r="AS104" s="2" t="str">
        <f aca="false">IF(AY104&lt;&gt;"",AY104,"")</f>
        <v/>
      </c>
      <c r="AT104" s="1422" t="n">
        <f aca="false">IF(ISNUMBER($AR104),SUMIF(B$7:B$505,AR104,D$7:D$505),"")</f>
        <v>0</v>
      </c>
      <c r="AU104" s="1411" t="n">
        <f aca="false">IF(ISNUMBER($AR104),SUMIF(AD$7:AD$503,$AR104,J$7:J$503),"")</f>
        <v>0</v>
      </c>
      <c r="AV104" s="1411" t="n">
        <f aca="false">IF(ISNUMBER($AR104),SUMIF(AF$7:AF$503,$AR104,L$7:L$503),"")</f>
        <v>0</v>
      </c>
      <c r="AW104" s="1423" t="n">
        <f aca="false">IF(ISNUMBER($AR104),SUMIF(AE$7:AE$503,$AR104,K$7:K$503),"")</f>
        <v>0</v>
      </c>
      <c r="AX104" s="1423" t="n">
        <f aca="false">IF(ISNUMBER($AR104),SUMIF(AG$7:AG$503,$AR104,M$7:M$503),"")</f>
        <v>0</v>
      </c>
      <c r="AY104" s="2" t="str">
        <f aca="false">IF($AT104&gt;0,VLOOKUP($AR104,'O_MN, PE_UTA_UGM 2024'!E100:O516,2),"")</f>
        <v/>
      </c>
      <c r="AZ104" s="1424"/>
      <c r="BA104" s="1424"/>
      <c r="BB104" s="1424" t="str">
        <f aca="false">IF($AT104&gt;0,VLOOKUP($AR104,'O_MN, PE_UTA_UGM 2024'!$E$3:$O$419,BB$6),"")</f>
        <v/>
      </c>
      <c r="BC104" s="1424" t="str">
        <f aca="false">IF($AT104&gt;0,VLOOKUP($AR104,'O_MN, PE_UTA_UGM 2024'!$E$3:$O$419,BC$6),"")</f>
        <v/>
      </c>
      <c r="BD104" s="1424" t="str">
        <f aca="false">IF($AT104&gt;0,VLOOKUP($AR104,'O_MN, PE_UTA_UGM 2024'!$E$3:$O$419,BD$6),"")</f>
        <v/>
      </c>
      <c r="BE104" s="1424" t="str">
        <f aca="false">IF($AT104&gt;0,VLOOKUP($AR104,'O_MN, PE_UTA_UGM 2024'!$E$3:$O$419,BE$6),"")</f>
        <v/>
      </c>
      <c r="BF104" s="1424" t="str">
        <f aca="false">IF($AT104&gt;0,VLOOKUP($AR104,'O_MN, PE_UTA_UGM 2024'!$E$3:$O$419,BF$6),"")</f>
        <v/>
      </c>
      <c r="BG104" s="1424" t="str">
        <f aca="false">IF($AT104&gt;0,VLOOKUP($AR104,'O_MN, PE_UTA_UGM 2024'!$E$3:$O$419,BG$6),"")</f>
        <v/>
      </c>
      <c r="BH104" s="872"/>
      <c r="BI104" s="872"/>
      <c r="BJ104" s="872"/>
      <c r="BK104" s="872"/>
      <c r="BM104" s="1411"/>
      <c r="BN104" s="1411"/>
      <c r="BO104" s="1425" t="str">
        <f aca="false">IF(ISNUMBER($AU104*BB104*1),$AU104*BB104*1,"")</f>
        <v/>
      </c>
      <c r="BP104" s="1425" t="str">
        <f aca="false">IF(ISNUMBER($AV104*BC104*1),$AV104*BC104*1,"")</f>
        <v/>
      </c>
      <c r="BQ104" s="1425" t="str">
        <f aca="false">IF(ISNUMBER($AU104*BD104*1),$AU104*BD104*1,"")</f>
        <v/>
      </c>
      <c r="BR104" s="1425" t="str">
        <f aca="false">IF(ISNUMBER($AV104*BE104*1),$AV104*BE104*1,"")</f>
        <v/>
      </c>
      <c r="BS104" s="1411" t="str">
        <f aca="false">IF(ISNUMBER($AU104*BF104),$AU104*BF104,"")</f>
        <v/>
      </c>
      <c r="BT104" s="1411" t="str">
        <f aca="false">IF(ISNUMBER($AV104*BG104),$AV104*BG104,"")</f>
        <v/>
      </c>
      <c r="BU104" s="1411"/>
      <c r="BV104" s="1411"/>
      <c r="BW104" s="1411"/>
      <c r="BX104" s="1411"/>
      <c r="BZ104" s="1372"/>
      <c r="CA104" s="1372"/>
      <c r="CB104" s="1426" t="str">
        <f aca="false">IF(ISNUMBER($AW104*BB104),$AW104*BB104,"")</f>
        <v/>
      </c>
      <c r="CC104" s="1426" t="str">
        <f aca="false">IF(ISNUMBER($AX104*BC104),$AX104*BC104,"")</f>
        <v/>
      </c>
      <c r="CD104" s="1426" t="str">
        <f aca="false">IF(ISNUMBER($AW104*BD104),$AW104*BD104,"")</f>
        <v/>
      </c>
      <c r="CE104" s="1426" t="str">
        <f aca="false">IF(ISNUMBER($AX104*BE104),$AX104*BE104,"")</f>
        <v/>
      </c>
      <c r="CF104" s="1372" t="str">
        <f aca="false">IF(ISNUMBER($AW104*BF104),$AW104*BF104,"")</f>
        <v/>
      </c>
      <c r="CG104" s="1372" t="str">
        <f aca="false">IF(ISNUMBER($AX104*BG104),$AX104*BG104,"")</f>
        <v/>
      </c>
      <c r="CH104" s="1438"/>
      <c r="CI104" s="1438"/>
      <c r="CJ104" s="1438"/>
      <c r="CK104" s="1438"/>
      <c r="CU104" s="1411"/>
      <c r="CV104" s="1411"/>
      <c r="CW104" s="1425"/>
      <c r="CX104" s="1425"/>
      <c r="CY104" s="1425"/>
      <c r="CZ104" s="1425"/>
      <c r="DA104" s="1411"/>
      <c r="DB104" s="1411"/>
      <c r="DC104" s="1411"/>
      <c r="DD104" s="1411"/>
      <c r="DE104" s="1411"/>
      <c r="DF104" s="1411"/>
      <c r="DH104" s="1432"/>
      <c r="DI104" s="1432"/>
      <c r="DJ104" s="1437"/>
      <c r="DK104" s="1437"/>
      <c r="DL104" s="1437"/>
      <c r="DM104" s="1437"/>
      <c r="DN104" s="1432"/>
      <c r="DO104" s="1432"/>
      <c r="DP104" s="1432"/>
      <c r="DQ104" s="1432"/>
      <c r="DR104" s="1432"/>
      <c r="DS104" s="1432"/>
      <c r="DT104" s="1316"/>
      <c r="DU104" s="1433"/>
      <c r="DV104" s="1433"/>
      <c r="DW104" s="1433"/>
      <c r="DX104" s="1433"/>
      <c r="DY104" s="1433"/>
      <c r="DZ104" s="1433"/>
      <c r="EA104" s="1433"/>
      <c r="EB104" s="1433"/>
    </row>
    <row r="105" customFormat="false" ht="14.25" hidden="false" customHeight="false" outlineLevel="0" collapsed="false">
      <c r="A105" s="2" t="n">
        <f aca="false">'V_DATOS PAC_SGA'!R100</f>
        <v>0</v>
      </c>
      <c r="B105" s="2" t="n">
        <f aca="false">IF(I105="IV",CONCATENATE('V_DATOS PAC_SGA'!R100,"4")+0,CONCATENATE('V_DATOS PAC_SGA'!R100,"0")+0)</f>
        <v>0</v>
      </c>
      <c r="C105" s="2" t="n">
        <f aca="false">'V_DATOS PAC_SGA'!S100</f>
        <v>0</v>
      </c>
      <c r="D105" s="1409" t="n">
        <f aca="false">'V_DATOS PAC_SGA'!Y100</f>
        <v>0</v>
      </c>
      <c r="E105" s="1410" t="str">
        <f aca="false">IF('V_DATOS PAC_SGA'!AV100="","Regadio",'V_DATOS PAC_SGA'!AV100)</f>
        <v>Regadio</v>
      </c>
      <c r="F105" s="1411" t="n">
        <f aca="false">'V_DATOS PAC_SGA'!BK100</f>
        <v>0</v>
      </c>
      <c r="G105" s="1412" t="n">
        <f aca="false">'V_DATOS PAC_SGA'!AN100</f>
        <v>0</v>
      </c>
      <c r="H105" s="1413" t="str">
        <f aca="false">IF(B105&gt;0,VLOOKUP(B105,'O_MN, PE_UTA_UGM 2024'!E$3:O$419,10),"")</f>
        <v/>
      </c>
      <c r="I105" s="1359" t="n">
        <f aca="false">'V_DATOS PAC_SGA'!BV100</f>
        <v>0</v>
      </c>
      <c r="J105" s="2" t="str">
        <f aca="false">IF(AND(J$4=$G105,J$6=$F105),$D105*J$5,"")</f>
        <v/>
      </c>
      <c r="K105" s="2" t="str">
        <f aca="false">IF(AND(K$4=$G105,K$6=$F105),$D105*K$5,"")</f>
        <v/>
      </c>
      <c r="L105" s="2" t="str">
        <f aca="false">IF(AND(L$4=$G105,L$6=$F105),$D105*L$5,"")</f>
        <v/>
      </c>
      <c r="M105" s="2" t="str">
        <f aca="false">IF(AND(M$4=$G105,M$6=$F105),$D105*M$5,"")</f>
        <v/>
      </c>
      <c r="N105" s="1414" t="n">
        <f aca="false">VLOOKUP(B105,'O_MN, PE_UTA_UGM 2024'!$E$2:$K$419,IF(G105&gt;1,6,7))</f>
        <v>0</v>
      </c>
      <c r="O105" s="1434" t="str">
        <f aca="false">IF($H105=O$4,$D105*$N105,"")</f>
        <v/>
      </c>
      <c r="P105" s="1435" t="str">
        <f aca="false">IF($H105=P$4,$D105*$N105,"")</f>
        <v/>
      </c>
      <c r="Q105" s="1435" t="str">
        <f aca="false">IF($H105=Q$4,$D105*$N105,"")</f>
        <v/>
      </c>
      <c r="R105" s="1435" t="str">
        <f aca="false">IF($H105=R$4,$D105*$N105,"")</f>
        <v/>
      </c>
      <c r="S105" s="1435" t="str">
        <f aca="false">IF($H105=S$4,$D105*$N105,"")</f>
        <v/>
      </c>
      <c r="T105" s="1435" t="str">
        <f aca="false">IF($H105=T$4,$D105*$N105,"")</f>
        <v/>
      </c>
      <c r="U105" s="1436" t="str">
        <f aca="false">IF($H105=U$4,$D105*$N105,"")</f>
        <v/>
      </c>
      <c r="V105" s="1418"/>
      <c r="W105" s="1419"/>
      <c r="X105" s="1419"/>
      <c r="Y105" s="1419"/>
      <c r="Z105" s="1419"/>
      <c r="AA105" s="1419"/>
      <c r="AB105" s="1420"/>
      <c r="AC105" s="1319"/>
      <c r="AD105" s="2" t="str">
        <f aca="false">IF(AND(AD$4=$G105,AD$6=$F105),$B105,"")</f>
        <v/>
      </c>
      <c r="AE105" s="2" t="str">
        <f aca="false">IF(AND(AE$4=$G105,AE$6=$F105),$B105,"")</f>
        <v/>
      </c>
      <c r="AF105" s="2" t="str">
        <f aca="false">IF(AND(AF$4=$G105,AF$6=$F105),$B105,"")</f>
        <v/>
      </c>
      <c r="AG105" s="2" t="str">
        <f aca="false">IF(AND(AG$4=$G105,AG$6=$F105),$B105,"")</f>
        <v/>
      </c>
      <c r="AI105" s="366"/>
      <c r="AL105" s="367"/>
      <c r="AO105" s="367" t="str">
        <f aca="false">IF(MID(AR105,LEN(AR105),1)+0&gt;0,CONCATENATE(AY105," invernadero"),AY105)</f>
        <v/>
      </c>
      <c r="AP105" s="2" t="str">
        <f aca="false">IF(AT105&gt;0,RANK(AT105,AT$7:AT$423),"")</f>
        <v/>
      </c>
      <c r="AQ105" s="2" t="n">
        <f aca="false">'O_MN, PE_UTA_UGM 2024'!C101</f>
        <v>156</v>
      </c>
      <c r="AR105" s="1421" t="n">
        <v>1550</v>
      </c>
      <c r="AS105" s="2" t="str">
        <f aca="false">IF(AY105&lt;&gt;"",AY105,"")</f>
        <v/>
      </c>
      <c r="AT105" s="1422" t="n">
        <f aca="false">IF(ISNUMBER($AR105),SUMIF(B$7:B$505,AR105,D$7:D$505),"")</f>
        <v>0</v>
      </c>
      <c r="AU105" s="1411" t="n">
        <f aca="false">IF(ISNUMBER($AR105),SUMIF(AD$7:AD$503,$AR105,J$7:J$503),"")</f>
        <v>0</v>
      </c>
      <c r="AV105" s="1411" t="n">
        <f aca="false">IF(ISNUMBER($AR105),SUMIF(AF$7:AF$503,$AR105,L$7:L$503),"")</f>
        <v>0</v>
      </c>
      <c r="AW105" s="1423" t="n">
        <f aca="false">IF(ISNUMBER($AR105),SUMIF(AE$7:AE$503,$AR105,K$7:K$503),"")</f>
        <v>0</v>
      </c>
      <c r="AX105" s="1423" t="n">
        <f aca="false">IF(ISNUMBER($AR105),SUMIF(AG$7:AG$503,$AR105,M$7:M$503),"")</f>
        <v>0</v>
      </c>
      <c r="AY105" s="2" t="str">
        <f aca="false">IF($AT105&gt;0,VLOOKUP($AR105,'O_MN, PE_UTA_UGM 2024'!E101:O517,2),"")</f>
        <v/>
      </c>
      <c r="AZ105" s="1424"/>
      <c r="BA105" s="1424"/>
      <c r="BB105" s="1424" t="str">
        <f aca="false">IF($AT105&gt;0,VLOOKUP($AR105,'O_MN, PE_UTA_UGM 2024'!$E$3:$O$419,BB$6),"")</f>
        <v/>
      </c>
      <c r="BC105" s="1424" t="str">
        <f aca="false">IF($AT105&gt;0,VLOOKUP($AR105,'O_MN, PE_UTA_UGM 2024'!$E$3:$O$419,BC$6),"")</f>
        <v/>
      </c>
      <c r="BD105" s="1424" t="str">
        <f aca="false">IF($AT105&gt;0,VLOOKUP($AR105,'O_MN, PE_UTA_UGM 2024'!$E$3:$O$419,BD$6),"")</f>
        <v/>
      </c>
      <c r="BE105" s="1424" t="str">
        <f aca="false">IF($AT105&gt;0,VLOOKUP($AR105,'O_MN, PE_UTA_UGM 2024'!$E$3:$O$419,BE$6),"")</f>
        <v/>
      </c>
      <c r="BF105" s="1424" t="str">
        <f aca="false">IF($AT105&gt;0,VLOOKUP($AR105,'O_MN, PE_UTA_UGM 2024'!$E$3:$O$419,BF$6),"")</f>
        <v/>
      </c>
      <c r="BG105" s="1424" t="str">
        <f aca="false">IF($AT105&gt;0,VLOOKUP($AR105,'O_MN, PE_UTA_UGM 2024'!$E$3:$O$419,BG$6),"")</f>
        <v/>
      </c>
      <c r="BH105" s="872"/>
      <c r="BI105" s="872"/>
      <c r="BJ105" s="872"/>
      <c r="BK105" s="872"/>
      <c r="BM105" s="1411"/>
      <c r="BN105" s="1411"/>
      <c r="BO105" s="1425" t="str">
        <f aca="false">IF(ISNUMBER($AU105*BB105*1),$AU105*BB105*1,"")</f>
        <v/>
      </c>
      <c r="BP105" s="1425" t="str">
        <f aca="false">IF(ISNUMBER($AV105*BC105*1),$AV105*BC105*1,"")</f>
        <v/>
      </c>
      <c r="BQ105" s="1425" t="str">
        <f aca="false">IF(ISNUMBER($AU105*BD105*1),$AU105*BD105*1,"")</f>
        <v/>
      </c>
      <c r="BR105" s="1425" t="str">
        <f aca="false">IF(ISNUMBER($AV105*BE105*1),$AV105*BE105*1,"")</f>
        <v/>
      </c>
      <c r="BS105" s="1411" t="str">
        <f aca="false">IF(ISNUMBER($AU105*BF105),$AU105*BF105,"")</f>
        <v/>
      </c>
      <c r="BT105" s="1411" t="str">
        <f aca="false">IF(ISNUMBER($AV105*BG105),$AV105*BG105,"")</f>
        <v/>
      </c>
      <c r="BU105" s="1411"/>
      <c r="BV105" s="1411"/>
      <c r="BW105" s="1411"/>
      <c r="BX105" s="1411"/>
      <c r="BZ105" s="1372"/>
      <c r="CA105" s="1372"/>
      <c r="CB105" s="1426" t="str">
        <f aca="false">IF(ISNUMBER($AW105*BB105),$AW105*BB105,"")</f>
        <v/>
      </c>
      <c r="CC105" s="1426" t="str">
        <f aca="false">IF(ISNUMBER($AX105*BC105),$AX105*BC105,"")</f>
        <v/>
      </c>
      <c r="CD105" s="1426" t="str">
        <f aca="false">IF(ISNUMBER($AW105*BD105),$AW105*BD105,"")</f>
        <v/>
      </c>
      <c r="CE105" s="1426" t="str">
        <f aca="false">IF(ISNUMBER($AX105*BE105),$AX105*BE105,"")</f>
        <v/>
      </c>
      <c r="CF105" s="1372" t="str">
        <f aca="false">IF(ISNUMBER($AW105*BF105),$AW105*BF105,"")</f>
        <v/>
      </c>
      <c r="CG105" s="1372" t="str">
        <f aca="false">IF(ISNUMBER($AX105*BG105),$AX105*BG105,"")</f>
        <v/>
      </c>
      <c r="CH105" s="1438"/>
      <c r="CI105" s="1438"/>
      <c r="CJ105" s="1438"/>
      <c r="CK105" s="1438"/>
      <c r="CU105" s="1411"/>
      <c r="CV105" s="1411"/>
      <c r="CW105" s="1425"/>
      <c r="CX105" s="1425"/>
      <c r="CY105" s="1425"/>
      <c r="CZ105" s="1425"/>
      <c r="DA105" s="1411"/>
      <c r="DB105" s="1411"/>
      <c r="DC105" s="1411"/>
      <c r="DD105" s="1411"/>
      <c r="DE105" s="1411"/>
      <c r="DF105" s="1411"/>
      <c r="DH105" s="1432"/>
      <c r="DI105" s="1432"/>
      <c r="DJ105" s="1437"/>
      <c r="DK105" s="1437"/>
      <c r="DL105" s="1437"/>
      <c r="DM105" s="1437"/>
      <c r="DN105" s="1432"/>
      <c r="DO105" s="1432"/>
      <c r="DP105" s="1432"/>
      <c r="DQ105" s="1432"/>
      <c r="DR105" s="1432"/>
      <c r="DS105" s="1432"/>
      <c r="DT105" s="1316"/>
      <c r="DU105" s="1433"/>
      <c r="DV105" s="1433"/>
      <c r="DW105" s="1433"/>
      <c r="DX105" s="1433"/>
      <c r="DY105" s="1433"/>
      <c r="DZ105" s="1433"/>
      <c r="EA105" s="1433"/>
      <c r="EB105" s="1433"/>
    </row>
    <row r="106" customFormat="false" ht="14.25" hidden="false" customHeight="false" outlineLevel="0" collapsed="false">
      <c r="A106" s="2" t="n">
        <f aca="false">'V_DATOS PAC_SGA'!R101</f>
        <v>0</v>
      </c>
      <c r="B106" s="2" t="n">
        <f aca="false">IF(I106="IV",CONCATENATE('V_DATOS PAC_SGA'!R101,"4")+0,CONCATENATE('V_DATOS PAC_SGA'!R101,"0")+0)</f>
        <v>0</v>
      </c>
      <c r="C106" s="2" t="n">
        <f aca="false">'V_DATOS PAC_SGA'!S101</f>
        <v>0</v>
      </c>
      <c r="D106" s="1409" t="n">
        <f aca="false">'V_DATOS PAC_SGA'!Y101</f>
        <v>0</v>
      </c>
      <c r="E106" s="1410" t="str">
        <f aca="false">IF('V_DATOS PAC_SGA'!AV101="","Regadio",'V_DATOS PAC_SGA'!AV101)</f>
        <v>Regadio</v>
      </c>
      <c r="F106" s="1411" t="n">
        <f aca="false">'V_DATOS PAC_SGA'!BK101</f>
        <v>0</v>
      </c>
      <c r="G106" s="1412" t="n">
        <f aca="false">'V_DATOS PAC_SGA'!AN101</f>
        <v>0</v>
      </c>
      <c r="H106" s="1413" t="str">
        <f aca="false">IF(B106&gt;0,VLOOKUP(B106,'O_MN, PE_UTA_UGM 2024'!E$3:O$419,10),"")</f>
        <v/>
      </c>
      <c r="I106" s="1359" t="n">
        <f aca="false">'V_DATOS PAC_SGA'!BV101</f>
        <v>0</v>
      </c>
      <c r="J106" s="2" t="str">
        <f aca="false">IF(AND(J$4=$G106,J$6=$F106),$D106*J$5,"")</f>
        <v/>
      </c>
      <c r="K106" s="2" t="str">
        <f aca="false">IF(AND(K$4=$G106,K$6=$F106),$D106*K$5,"")</f>
        <v/>
      </c>
      <c r="L106" s="2" t="str">
        <f aca="false">IF(AND(L$4=$G106,L$6=$F106),$D106*L$5,"")</f>
        <v/>
      </c>
      <c r="M106" s="2" t="str">
        <f aca="false">IF(AND(M$4=$G106,M$6=$F106),$D106*M$5,"")</f>
        <v/>
      </c>
      <c r="N106" s="1414" t="n">
        <f aca="false">VLOOKUP(B106,'O_MN, PE_UTA_UGM 2024'!$E$2:$K$419,IF(G106&gt;1,6,7))</f>
        <v>0</v>
      </c>
      <c r="O106" s="1434" t="str">
        <f aca="false">IF($H106=O$4,$D106*$N106,"")</f>
        <v/>
      </c>
      <c r="P106" s="1435" t="str">
        <f aca="false">IF($H106=P$4,$D106*$N106,"")</f>
        <v/>
      </c>
      <c r="Q106" s="1435" t="str">
        <f aca="false">IF($H106=Q$4,$D106*$N106,"")</f>
        <v/>
      </c>
      <c r="R106" s="1435" t="str">
        <f aca="false">IF($H106=R$4,$D106*$N106,"")</f>
        <v/>
      </c>
      <c r="S106" s="1435" t="str">
        <f aca="false">IF($H106=S$4,$D106*$N106,"")</f>
        <v/>
      </c>
      <c r="T106" s="1435" t="str">
        <f aca="false">IF($H106=T$4,$D106*$N106,"")</f>
        <v/>
      </c>
      <c r="U106" s="1436" t="str">
        <f aca="false">IF($H106=U$4,$D106*$N106,"")</f>
        <v/>
      </c>
      <c r="V106" s="1418"/>
      <c r="W106" s="1419"/>
      <c r="X106" s="1419"/>
      <c r="Y106" s="1419"/>
      <c r="Z106" s="1419"/>
      <c r="AA106" s="1419"/>
      <c r="AB106" s="1420"/>
      <c r="AC106" s="1319"/>
      <c r="AD106" s="2" t="str">
        <f aca="false">IF(AND(AD$4=$G106,AD$6=$F106),$B106,"")</f>
        <v/>
      </c>
      <c r="AE106" s="2" t="str">
        <f aca="false">IF(AND(AE$4=$G106,AE$6=$F106),$B106,"")</f>
        <v/>
      </c>
      <c r="AF106" s="2" t="str">
        <f aca="false">IF(AND(AF$4=$G106,AF$6=$F106),$B106,"")</f>
        <v/>
      </c>
      <c r="AG106" s="2" t="str">
        <f aca="false">IF(AND(AG$4=$G106,AG$6=$F106),$B106,"")</f>
        <v/>
      </c>
      <c r="AI106" s="366"/>
      <c r="AL106" s="367"/>
      <c r="AO106" s="367" t="str">
        <f aca="false">IF(MID(AR106,LEN(AR106),1)+0&gt;0,CONCATENATE(AY106," invernadero"),AY106)</f>
        <v> invernadero</v>
      </c>
      <c r="AP106" s="2" t="str">
        <f aca="false">IF(AT106&gt;0,RANK(AT106,AT$7:AT$423),"")</f>
        <v/>
      </c>
      <c r="AQ106" s="2" t="n">
        <f aca="false">'O_MN, PE_UTA_UGM 2024'!C102</f>
        <v>156</v>
      </c>
      <c r="AR106" s="1421" t="n">
        <v>1554</v>
      </c>
      <c r="AS106" s="2" t="str">
        <f aca="false">IF(AY106&lt;&gt;"",AY106,"")</f>
        <v/>
      </c>
      <c r="AT106" s="1422" t="n">
        <f aca="false">IF(ISNUMBER($AR106),SUMIF(B$7:B$505,AR106,D$7:D$505),"")</f>
        <v>0</v>
      </c>
      <c r="AU106" s="1411" t="n">
        <f aca="false">IF(ISNUMBER($AR106),SUMIF(AD$7:AD$503,$AR106,J$7:J$503),"")</f>
        <v>0</v>
      </c>
      <c r="AV106" s="1411" t="n">
        <f aca="false">IF(ISNUMBER($AR106),SUMIF(AF$7:AF$503,$AR106,L$7:L$503),"")</f>
        <v>0</v>
      </c>
      <c r="AW106" s="1423" t="n">
        <f aca="false">IF(ISNUMBER($AR106),SUMIF(AE$7:AE$503,$AR106,K$7:K$503),"")</f>
        <v>0</v>
      </c>
      <c r="AX106" s="1423" t="n">
        <f aca="false">IF(ISNUMBER($AR106),SUMIF(AG$7:AG$503,$AR106,M$7:M$503),"")</f>
        <v>0</v>
      </c>
      <c r="AY106" s="2" t="str">
        <f aca="false">IF($AT106&gt;0,VLOOKUP($AR106,'O_MN, PE_UTA_UGM 2024'!E102:O518,2),"")</f>
        <v/>
      </c>
      <c r="AZ106" s="1424"/>
      <c r="BA106" s="1424"/>
      <c r="BB106" s="1424" t="str">
        <f aca="false">IF($AT106&gt;0,VLOOKUP($AR106,'O_MN, PE_UTA_UGM 2024'!$E$3:$O$419,BB$6),"")</f>
        <v/>
      </c>
      <c r="BC106" s="1424" t="str">
        <f aca="false">IF($AT106&gt;0,VLOOKUP($AR106,'O_MN, PE_UTA_UGM 2024'!$E$3:$O$419,BC$6),"")</f>
        <v/>
      </c>
      <c r="BD106" s="1424" t="str">
        <f aca="false">IF($AT106&gt;0,VLOOKUP($AR106,'O_MN, PE_UTA_UGM 2024'!$E$3:$O$419,BD$6),"")</f>
        <v/>
      </c>
      <c r="BE106" s="1424" t="str">
        <f aca="false">IF($AT106&gt;0,VLOOKUP($AR106,'O_MN, PE_UTA_UGM 2024'!$E$3:$O$419,BE$6),"")</f>
        <v/>
      </c>
      <c r="BF106" s="1424" t="str">
        <f aca="false">IF($AT106&gt;0,VLOOKUP($AR106,'O_MN, PE_UTA_UGM 2024'!$E$3:$O$419,BF$6),"")</f>
        <v/>
      </c>
      <c r="BG106" s="1424" t="str">
        <f aca="false">IF($AT106&gt;0,VLOOKUP($AR106,'O_MN, PE_UTA_UGM 2024'!$E$3:$O$419,BG$6),"")</f>
        <v/>
      </c>
      <c r="BH106" s="872"/>
      <c r="BI106" s="872"/>
      <c r="BJ106" s="872"/>
      <c r="BK106" s="872"/>
      <c r="BM106" s="1411"/>
      <c r="BN106" s="1411"/>
      <c r="BO106" s="1425" t="str">
        <f aca="false">IF(ISNUMBER($AU106*BB106*1),$AU106*BB106*1,"")</f>
        <v/>
      </c>
      <c r="BP106" s="1425" t="str">
        <f aca="false">IF(ISNUMBER($AV106*BC106*1),$AV106*BC106*1,"")</f>
        <v/>
      </c>
      <c r="BQ106" s="1425" t="str">
        <f aca="false">IF(ISNUMBER($AU106*BD106*1),$AU106*BD106*1,"")</f>
        <v/>
      </c>
      <c r="BR106" s="1425" t="str">
        <f aca="false">IF(ISNUMBER($AV106*BE106*1),$AV106*BE106*1,"")</f>
        <v/>
      </c>
      <c r="BS106" s="1411" t="str">
        <f aca="false">IF(ISNUMBER($AU106*BF106),$AU106*BF106,"")</f>
        <v/>
      </c>
      <c r="BT106" s="1411" t="str">
        <f aca="false">IF(ISNUMBER($AV106*BG106),$AV106*BG106,"")</f>
        <v/>
      </c>
      <c r="BU106" s="1411"/>
      <c r="BV106" s="1411"/>
      <c r="BW106" s="1411"/>
      <c r="BX106" s="1411"/>
      <c r="BZ106" s="1372"/>
      <c r="CA106" s="1372"/>
      <c r="CB106" s="1426" t="str">
        <f aca="false">IF(ISNUMBER($AW106*BB106),$AW106*BB106,"")</f>
        <v/>
      </c>
      <c r="CC106" s="1426" t="str">
        <f aca="false">IF(ISNUMBER($AX106*BC106),$AX106*BC106,"")</f>
        <v/>
      </c>
      <c r="CD106" s="1426" t="str">
        <f aca="false">IF(ISNUMBER($AW106*BD106),$AW106*BD106,"")</f>
        <v/>
      </c>
      <c r="CE106" s="1426" t="str">
        <f aca="false">IF(ISNUMBER($AX106*BE106),$AX106*BE106,"")</f>
        <v/>
      </c>
      <c r="CF106" s="1372" t="str">
        <f aca="false">IF(ISNUMBER($AW106*BF106),$AW106*BF106,"")</f>
        <v/>
      </c>
      <c r="CG106" s="1372" t="str">
        <f aca="false">IF(ISNUMBER($AX106*BG106),$AX106*BG106,"")</f>
        <v/>
      </c>
      <c r="CH106" s="1438"/>
      <c r="CI106" s="1438"/>
      <c r="CJ106" s="1438"/>
      <c r="CK106" s="1438"/>
      <c r="CU106" s="1411"/>
      <c r="CV106" s="1411"/>
      <c r="CW106" s="1425"/>
      <c r="CX106" s="1425"/>
      <c r="CY106" s="1425"/>
      <c r="CZ106" s="1425"/>
      <c r="DA106" s="1411"/>
      <c r="DB106" s="1411"/>
      <c r="DC106" s="1411"/>
      <c r="DD106" s="1411"/>
      <c r="DE106" s="1411"/>
      <c r="DF106" s="1411"/>
      <c r="DH106" s="1432"/>
      <c r="DI106" s="1432"/>
      <c r="DJ106" s="1437"/>
      <c r="DK106" s="1437"/>
      <c r="DL106" s="1437"/>
      <c r="DM106" s="1437"/>
      <c r="DN106" s="1432"/>
      <c r="DO106" s="1432"/>
      <c r="DP106" s="1432"/>
      <c r="DQ106" s="1432"/>
      <c r="DR106" s="1432"/>
      <c r="DS106" s="1432"/>
      <c r="DT106" s="1316"/>
      <c r="DU106" s="1433"/>
      <c r="DV106" s="1433"/>
      <c r="DW106" s="1433"/>
      <c r="DX106" s="1433"/>
      <c r="DY106" s="1433"/>
      <c r="DZ106" s="1433"/>
      <c r="EA106" s="1433"/>
      <c r="EB106" s="1433"/>
    </row>
    <row r="107" customFormat="false" ht="14.25" hidden="false" customHeight="false" outlineLevel="0" collapsed="false">
      <c r="A107" s="2" t="n">
        <f aca="false">'V_DATOS PAC_SGA'!R102</f>
        <v>0</v>
      </c>
      <c r="B107" s="2" t="n">
        <f aca="false">IF(I107="IV",CONCATENATE('V_DATOS PAC_SGA'!R102,"4")+0,CONCATENATE('V_DATOS PAC_SGA'!R102,"0")+0)</f>
        <v>0</v>
      </c>
      <c r="C107" s="2" t="n">
        <f aca="false">'V_DATOS PAC_SGA'!S102</f>
        <v>0</v>
      </c>
      <c r="D107" s="1409" t="n">
        <f aca="false">'V_DATOS PAC_SGA'!Y102</f>
        <v>0</v>
      </c>
      <c r="E107" s="1410" t="str">
        <f aca="false">IF('V_DATOS PAC_SGA'!AV102="","Regadio",'V_DATOS PAC_SGA'!AV102)</f>
        <v>Regadio</v>
      </c>
      <c r="F107" s="1411" t="n">
        <f aca="false">'V_DATOS PAC_SGA'!BK102</f>
        <v>0</v>
      </c>
      <c r="G107" s="1412" t="n">
        <f aca="false">'V_DATOS PAC_SGA'!AN102</f>
        <v>0</v>
      </c>
      <c r="H107" s="1413" t="str">
        <f aca="false">IF(B107&gt;0,VLOOKUP(B107,'O_MN, PE_UTA_UGM 2024'!E$3:O$419,10),"")</f>
        <v/>
      </c>
      <c r="I107" s="1359" t="n">
        <f aca="false">'V_DATOS PAC_SGA'!BV102</f>
        <v>0</v>
      </c>
      <c r="J107" s="2" t="str">
        <f aca="false">IF(AND(J$4=$G107,J$6=$F107),$D107*J$5,"")</f>
        <v/>
      </c>
      <c r="K107" s="2" t="str">
        <f aca="false">IF(AND(K$4=$G107,K$6=$F107),$D107*K$5,"")</f>
        <v/>
      </c>
      <c r="L107" s="2" t="str">
        <f aca="false">IF(AND(L$4=$G107,L$6=$F107),$D107*L$5,"")</f>
        <v/>
      </c>
      <c r="M107" s="2" t="str">
        <f aca="false">IF(AND(M$4=$G107,M$6=$F107),$D107*M$5,"")</f>
        <v/>
      </c>
      <c r="N107" s="1414" t="n">
        <f aca="false">VLOOKUP(B107,'O_MN, PE_UTA_UGM 2024'!$E$2:$K$419,IF(G107&gt;1,6,7))</f>
        <v>0</v>
      </c>
      <c r="O107" s="1434" t="str">
        <f aca="false">IF($H107=O$4,$D107*$N107,"")</f>
        <v/>
      </c>
      <c r="P107" s="1435" t="str">
        <f aca="false">IF($H107=P$4,$D107*$N107,"")</f>
        <v/>
      </c>
      <c r="Q107" s="1435" t="str">
        <f aca="false">IF($H107=Q$4,$D107*$N107,"")</f>
        <v/>
      </c>
      <c r="R107" s="1435" t="str">
        <f aca="false">IF($H107=R$4,$D107*$N107,"")</f>
        <v/>
      </c>
      <c r="S107" s="1435" t="str">
        <f aca="false">IF($H107=S$4,$D107*$N107,"")</f>
        <v/>
      </c>
      <c r="T107" s="1435" t="str">
        <f aca="false">IF($H107=T$4,$D107*$N107,"")</f>
        <v/>
      </c>
      <c r="U107" s="1436" t="str">
        <f aca="false">IF($H107=U$4,$D107*$N107,"")</f>
        <v/>
      </c>
      <c r="V107" s="1418"/>
      <c r="W107" s="1419"/>
      <c r="X107" s="1419"/>
      <c r="Y107" s="1419"/>
      <c r="Z107" s="1419"/>
      <c r="AA107" s="1419"/>
      <c r="AB107" s="1420"/>
      <c r="AC107" s="1319"/>
      <c r="AD107" s="2" t="str">
        <f aca="false">IF(AND(AD$4=$G107,AD$6=$F107),$B107,"")</f>
        <v/>
      </c>
      <c r="AE107" s="2" t="str">
        <f aca="false">IF(AND(AE$4=$G107,AE$6=$F107),$B107,"")</f>
        <v/>
      </c>
      <c r="AF107" s="2" t="str">
        <f aca="false">IF(AND(AF$4=$G107,AF$6=$F107),$B107,"")</f>
        <v/>
      </c>
      <c r="AG107" s="2" t="str">
        <f aca="false">IF(AND(AG$4=$G107,AG$6=$F107),$B107,"")</f>
        <v/>
      </c>
      <c r="AI107" s="366"/>
      <c r="AL107" s="367"/>
      <c r="AO107" s="367" t="str">
        <f aca="false">IF(MID(AR107,LEN(AR107),1)+0&gt;0,CONCATENATE(AY107," invernadero"),AY107)</f>
        <v> invernadero</v>
      </c>
      <c r="AP107" s="2" t="str">
        <f aca="false">IF(AT107&gt;0,RANK(AT107,AT$7:AT$423),"")</f>
        <v/>
      </c>
      <c r="AQ107" s="2" t="n">
        <f aca="false">'O_MN, PE_UTA_UGM 2024'!C103</f>
        <v>157</v>
      </c>
      <c r="AR107" s="1421" t="n">
        <v>1559</v>
      </c>
      <c r="AS107" s="2" t="str">
        <f aca="false">IF(AY107&lt;&gt;"",AY107,"")</f>
        <v/>
      </c>
      <c r="AT107" s="1422" t="n">
        <f aca="false">IF(ISNUMBER($AR107),SUMIF(B$7:B$505,AR107,D$7:D$505),"")</f>
        <v>0</v>
      </c>
      <c r="AU107" s="1411" t="n">
        <f aca="false">IF(ISNUMBER($AR107),SUMIF(AD$7:AD$503,$AR107,J$7:J$503),"")</f>
        <v>0</v>
      </c>
      <c r="AV107" s="1411" t="n">
        <f aca="false">IF(ISNUMBER($AR107),SUMIF(AF$7:AF$503,$AR107,L$7:L$503),"")</f>
        <v>0</v>
      </c>
      <c r="AW107" s="1423" t="n">
        <f aca="false">IF(ISNUMBER($AR107),SUMIF(AE$7:AE$503,$AR107,K$7:K$503),"")</f>
        <v>0</v>
      </c>
      <c r="AX107" s="1423" t="n">
        <f aca="false">IF(ISNUMBER($AR107),SUMIF(AG$7:AG$503,$AR107,M$7:M$503),"")</f>
        <v>0</v>
      </c>
      <c r="AY107" s="2" t="str">
        <f aca="false">IF($AT107&gt;0,VLOOKUP($AR107,'O_MN, PE_UTA_UGM 2024'!E103:O519,2),"")</f>
        <v/>
      </c>
      <c r="AZ107" s="1424"/>
      <c r="BA107" s="1424"/>
      <c r="BB107" s="1424" t="str">
        <f aca="false">IF($AT107&gt;0,VLOOKUP($AR107,'O_MN, PE_UTA_UGM 2024'!$E$3:$O$419,BB$6),"")</f>
        <v/>
      </c>
      <c r="BC107" s="1424" t="str">
        <f aca="false">IF($AT107&gt;0,VLOOKUP($AR107,'O_MN, PE_UTA_UGM 2024'!$E$3:$O$419,BC$6),"")</f>
        <v/>
      </c>
      <c r="BD107" s="1424" t="str">
        <f aca="false">IF($AT107&gt;0,VLOOKUP($AR107,'O_MN, PE_UTA_UGM 2024'!$E$3:$O$419,BD$6),"")</f>
        <v/>
      </c>
      <c r="BE107" s="1424" t="str">
        <f aca="false">IF($AT107&gt;0,VLOOKUP($AR107,'O_MN, PE_UTA_UGM 2024'!$E$3:$O$419,BE$6),"")</f>
        <v/>
      </c>
      <c r="BF107" s="1424" t="str">
        <f aca="false">IF($AT107&gt;0,VLOOKUP($AR107,'O_MN, PE_UTA_UGM 2024'!$E$3:$O$419,BF$6),"")</f>
        <v/>
      </c>
      <c r="BG107" s="1424" t="str">
        <f aca="false">IF($AT107&gt;0,VLOOKUP($AR107,'O_MN, PE_UTA_UGM 2024'!$E$3:$O$419,BG$6),"")</f>
        <v/>
      </c>
      <c r="BH107" s="872"/>
      <c r="BI107" s="872"/>
      <c r="BJ107" s="872"/>
      <c r="BK107" s="872"/>
      <c r="BM107" s="1411"/>
      <c r="BN107" s="1411"/>
      <c r="BO107" s="1425" t="str">
        <f aca="false">IF(ISNUMBER($AU107*BB107*1),$AU107*BB107*1,"")</f>
        <v/>
      </c>
      <c r="BP107" s="1425" t="str">
        <f aca="false">IF(ISNUMBER($AV107*BC107*1),$AV107*BC107*1,"")</f>
        <v/>
      </c>
      <c r="BQ107" s="1425" t="str">
        <f aca="false">IF(ISNUMBER($AU107*BD107*1),$AU107*BD107*1,"")</f>
        <v/>
      </c>
      <c r="BR107" s="1425" t="str">
        <f aca="false">IF(ISNUMBER($AV107*BE107*1),$AV107*BE107*1,"")</f>
        <v/>
      </c>
      <c r="BS107" s="1411" t="str">
        <f aca="false">IF(ISNUMBER($AU107*BF107),$AU107*BF107,"")</f>
        <v/>
      </c>
      <c r="BT107" s="1411" t="str">
        <f aca="false">IF(ISNUMBER($AV107*BG107),$AV107*BG107,"")</f>
        <v/>
      </c>
      <c r="BU107" s="1411"/>
      <c r="BV107" s="1411"/>
      <c r="BW107" s="1411"/>
      <c r="BX107" s="1411"/>
      <c r="BZ107" s="1372"/>
      <c r="CA107" s="1372"/>
      <c r="CB107" s="1426" t="str">
        <f aca="false">IF(ISNUMBER($AW107*BB107),$AW107*BB107,"")</f>
        <v/>
      </c>
      <c r="CC107" s="1426" t="str">
        <f aca="false">IF(ISNUMBER($AX107*BC107),$AX107*BC107,"")</f>
        <v/>
      </c>
      <c r="CD107" s="1426" t="str">
        <f aca="false">IF(ISNUMBER($AW107*BD107),$AW107*BD107,"")</f>
        <v/>
      </c>
      <c r="CE107" s="1426" t="str">
        <f aca="false">IF(ISNUMBER($AX107*BE107),$AX107*BE107,"")</f>
        <v/>
      </c>
      <c r="CF107" s="1372" t="str">
        <f aca="false">IF(ISNUMBER($AW107*BF107),$AW107*BF107,"")</f>
        <v/>
      </c>
      <c r="CG107" s="1372" t="str">
        <f aca="false">IF(ISNUMBER($AX107*BG107),$AX107*BG107,"")</f>
        <v/>
      </c>
      <c r="CH107" s="1438"/>
      <c r="CI107" s="1438"/>
      <c r="CJ107" s="1438"/>
      <c r="CK107" s="1438"/>
      <c r="CU107" s="1411"/>
      <c r="CV107" s="1411"/>
      <c r="CW107" s="1425"/>
      <c r="CX107" s="1425"/>
      <c r="CY107" s="1425"/>
      <c r="CZ107" s="1425"/>
      <c r="DA107" s="1411"/>
      <c r="DB107" s="1411"/>
      <c r="DC107" s="1411"/>
      <c r="DD107" s="1411"/>
      <c r="DE107" s="1411"/>
      <c r="DF107" s="1411"/>
      <c r="DH107" s="1432"/>
      <c r="DI107" s="1432"/>
      <c r="DJ107" s="1437"/>
      <c r="DK107" s="1437"/>
      <c r="DL107" s="1437"/>
      <c r="DM107" s="1437"/>
      <c r="DN107" s="1432"/>
      <c r="DO107" s="1432"/>
      <c r="DP107" s="1432"/>
      <c r="DQ107" s="1432"/>
      <c r="DR107" s="1432"/>
      <c r="DS107" s="1432"/>
      <c r="DT107" s="1316"/>
      <c r="DU107" s="1433"/>
      <c r="DV107" s="1433"/>
      <c r="DW107" s="1433"/>
      <c r="DX107" s="1433"/>
      <c r="DY107" s="1433"/>
      <c r="DZ107" s="1433"/>
      <c r="EA107" s="1433"/>
      <c r="EB107" s="1433"/>
    </row>
    <row r="108" customFormat="false" ht="14.25" hidden="false" customHeight="false" outlineLevel="0" collapsed="false">
      <c r="A108" s="2" t="n">
        <f aca="false">'V_DATOS PAC_SGA'!R103</f>
        <v>0</v>
      </c>
      <c r="B108" s="2" t="n">
        <f aca="false">IF(I108="IV",CONCATENATE('V_DATOS PAC_SGA'!R103,"4")+0,CONCATENATE('V_DATOS PAC_SGA'!R103,"0")+0)</f>
        <v>0</v>
      </c>
      <c r="C108" s="2" t="n">
        <f aca="false">'V_DATOS PAC_SGA'!S103</f>
        <v>0</v>
      </c>
      <c r="D108" s="1409" t="n">
        <f aca="false">'V_DATOS PAC_SGA'!Y103</f>
        <v>0</v>
      </c>
      <c r="E108" s="1410" t="str">
        <f aca="false">IF('V_DATOS PAC_SGA'!AV103="","Regadio",'V_DATOS PAC_SGA'!AV103)</f>
        <v>Regadio</v>
      </c>
      <c r="F108" s="1411" t="n">
        <f aca="false">'V_DATOS PAC_SGA'!BK103</f>
        <v>0</v>
      </c>
      <c r="G108" s="1412" t="n">
        <f aca="false">'V_DATOS PAC_SGA'!AN103</f>
        <v>0</v>
      </c>
      <c r="H108" s="1413" t="str">
        <f aca="false">IF(B108&gt;0,VLOOKUP(B108,'O_MN, PE_UTA_UGM 2024'!E$3:O$419,10),"")</f>
        <v/>
      </c>
      <c r="I108" s="1359" t="n">
        <f aca="false">'V_DATOS PAC_SGA'!BV103</f>
        <v>0</v>
      </c>
      <c r="J108" s="2" t="str">
        <f aca="false">IF(AND(J$4=$G108,J$6=$F108),$D108*J$5,"")</f>
        <v/>
      </c>
      <c r="K108" s="2" t="str">
        <f aca="false">IF(AND(K$4=$G108,K$6=$F108),$D108*K$5,"")</f>
        <v/>
      </c>
      <c r="L108" s="2" t="str">
        <f aca="false">IF(AND(L$4=$G108,L$6=$F108),$D108*L$5,"")</f>
        <v/>
      </c>
      <c r="M108" s="2" t="str">
        <f aca="false">IF(AND(M$4=$G108,M$6=$F108),$D108*M$5,"")</f>
        <v/>
      </c>
      <c r="N108" s="1414" t="n">
        <f aca="false">VLOOKUP(B108,'O_MN, PE_UTA_UGM 2024'!$E$2:$K$419,IF(G108&gt;1,6,7))</f>
        <v>0</v>
      </c>
      <c r="O108" s="1434" t="str">
        <f aca="false">IF($H108=O$4,$D108*$N108,"")</f>
        <v/>
      </c>
      <c r="P108" s="1435" t="str">
        <f aca="false">IF($H108=P$4,$D108*$N108,"")</f>
        <v/>
      </c>
      <c r="Q108" s="1435" t="str">
        <f aca="false">IF($H108=Q$4,$D108*$N108,"")</f>
        <v/>
      </c>
      <c r="R108" s="1435" t="str">
        <f aca="false">IF($H108=R$4,$D108*$N108,"")</f>
        <v/>
      </c>
      <c r="S108" s="1435" t="str">
        <f aca="false">IF($H108=S$4,$D108*$N108,"")</f>
        <v/>
      </c>
      <c r="T108" s="1435" t="str">
        <f aca="false">IF($H108=T$4,$D108*$N108,"")</f>
        <v/>
      </c>
      <c r="U108" s="1436" t="str">
        <f aca="false">IF($H108=U$4,$D108*$N108,"")</f>
        <v/>
      </c>
      <c r="V108" s="1418"/>
      <c r="W108" s="1419"/>
      <c r="X108" s="1419"/>
      <c r="Y108" s="1419"/>
      <c r="Z108" s="1419"/>
      <c r="AA108" s="1419"/>
      <c r="AB108" s="1420"/>
      <c r="AC108" s="1319"/>
      <c r="AD108" s="2" t="str">
        <f aca="false">IF(AND(AD$4=$G108,AD$6=$F108),$B108,"")</f>
        <v/>
      </c>
      <c r="AE108" s="2" t="str">
        <f aca="false">IF(AND(AE$4=$G108,AE$6=$F108),$B108,"")</f>
        <v/>
      </c>
      <c r="AF108" s="2" t="str">
        <f aca="false">IF(AND(AF$4=$G108,AF$6=$F108),$B108,"")</f>
        <v/>
      </c>
      <c r="AG108" s="2" t="str">
        <f aca="false">IF(AND(AG$4=$G108,AG$6=$F108),$B108,"")</f>
        <v/>
      </c>
      <c r="AI108" s="366"/>
      <c r="AL108" s="367"/>
      <c r="AO108" s="367" t="str">
        <f aca="false">IF(MID(AR108,LEN(AR108),1)+0&gt;0,CONCATENATE(AY108," invernadero"),AY108)</f>
        <v/>
      </c>
      <c r="AP108" s="2" t="str">
        <f aca="false">IF(AT108&gt;0,RANK(AT108,AT$7:AT$423),"")</f>
        <v/>
      </c>
      <c r="AQ108" s="2" t="n">
        <f aca="false">'O_MN, PE_UTA_UGM 2024'!C104</f>
        <v>157</v>
      </c>
      <c r="AR108" s="1421" t="n">
        <v>1560</v>
      </c>
      <c r="AS108" s="2" t="str">
        <f aca="false">IF(AY108&lt;&gt;"",AY108,"")</f>
        <v/>
      </c>
      <c r="AT108" s="1422" t="n">
        <f aca="false">IF(ISNUMBER($AR108),SUMIF(B$7:B$505,AR108,D$7:D$505),"")</f>
        <v>0</v>
      </c>
      <c r="AU108" s="1411" t="n">
        <f aca="false">IF(ISNUMBER($AR108),SUMIF(AD$7:AD$503,$AR108,J$7:J$503),"")</f>
        <v>0</v>
      </c>
      <c r="AV108" s="1411" t="n">
        <f aca="false">IF(ISNUMBER($AR108),SUMIF(AF$7:AF$503,$AR108,L$7:L$503),"")</f>
        <v>0</v>
      </c>
      <c r="AW108" s="1423" t="n">
        <f aca="false">IF(ISNUMBER($AR108),SUMIF(AE$7:AE$503,$AR108,K$7:K$503),"")</f>
        <v>0</v>
      </c>
      <c r="AX108" s="1423" t="n">
        <f aca="false">IF(ISNUMBER($AR108),SUMIF(AG$7:AG$503,$AR108,M$7:M$503),"")</f>
        <v>0</v>
      </c>
      <c r="AY108" s="2" t="str">
        <f aca="false">IF($AT108&gt;0,VLOOKUP($AR108,'O_MN, PE_UTA_UGM 2024'!E104:O520,2),"")</f>
        <v/>
      </c>
      <c r="AZ108" s="1424"/>
      <c r="BA108" s="1424"/>
      <c r="BB108" s="1424" t="str">
        <f aca="false">IF($AT108&gt;0,VLOOKUP($AR108,'O_MN, PE_UTA_UGM 2024'!$E$3:$O$419,BB$6),"")</f>
        <v/>
      </c>
      <c r="BC108" s="1424" t="str">
        <f aca="false">IF($AT108&gt;0,VLOOKUP($AR108,'O_MN, PE_UTA_UGM 2024'!$E$3:$O$419,BC$6),"")</f>
        <v/>
      </c>
      <c r="BD108" s="1424" t="str">
        <f aca="false">IF($AT108&gt;0,VLOOKUP($AR108,'O_MN, PE_UTA_UGM 2024'!$E$3:$O$419,BD$6),"")</f>
        <v/>
      </c>
      <c r="BE108" s="1424" t="str">
        <f aca="false">IF($AT108&gt;0,VLOOKUP($AR108,'O_MN, PE_UTA_UGM 2024'!$E$3:$O$419,BE$6),"")</f>
        <v/>
      </c>
      <c r="BF108" s="1424" t="str">
        <f aca="false">IF($AT108&gt;0,VLOOKUP($AR108,'O_MN, PE_UTA_UGM 2024'!$E$3:$O$419,BF$6),"")</f>
        <v/>
      </c>
      <c r="BG108" s="1424" t="str">
        <f aca="false">IF($AT108&gt;0,VLOOKUP($AR108,'O_MN, PE_UTA_UGM 2024'!$E$3:$O$419,BG$6),"")</f>
        <v/>
      </c>
      <c r="BH108" s="872"/>
      <c r="BI108" s="872"/>
      <c r="BJ108" s="872"/>
      <c r="BK108" s="872"/>
      <c r="BM108" s="1411"/>
      <c r="BN108" s="1411"/>
      <c r="BO108" s="1425" t="str">
        <f aca="false">IF(ISNUMBER($AU108*BB108*1),$AU108*BB108*1,"")</f>
        <v/>
      </c>
      <c r="BP108" s="1425" t="str">
        <f aca="false">IF(ISNUMBER($AV108*BC108*1),$AV108*BC108*1,"")</f>
        <v/>
      </c>
      <c r="BQ108" s="1425" t="str">
        <f aca="false">IF(ISNUMBER($AU108*BD108*1),$AU108*BD108*1,"")</f>
        <v/>
      </c>
      <c r="BR108" s="1425" t="str">
        <f aca="false">IF(ISNUMBER($AV108*BE108*1),$AV108*BE108*1,"")</f>
        <v/>
      </c>
      <c r="BS108" s="1411" t="str">
        <f aca="false">IF(ISNUMBER($AU108*BF108),$AU108*BF108,"")</f>
        <v/>
      </c>
      <c r="BT108" s="1411" t="str">
        <f aca="false">IF(ISNUMBER($AV108*BG108),$AV108*BG108,"")</f>
        <v/>
      </c>
      <c r="BU108" s="1411"/>
      <c r="BV108" s="1411"/>
      <c r="BW108" s="1411"/>
      <c r="BX108" s="1411"/>
      <c r="BZ108" s="1372"/>
      <c r="CA108" s="1372"/>
      <c r="CB108" s="1426" t="str">
        <f aca="false">IF(ISNUMBER($AW108*BB108),$AW108*BB108,"")</f>
        <v/>
      </c>
      <c r="CC108" s="1426" t="str">
        <f aca="false">IF(ISNUMBER($AX108*BC108),$AX108*BC108,"")</f>
        <v/>
      </c>
      <c r="CD108" s="1426" t="str">
        <f aca="false">IF(ISNUMBER($AW108*BD108),$AW108*BD108,"")</f>
        <v/>
      </c>
      <c r="CE108" s="1426" t="str">
        <f aca="false">IF(ISNUMBER($AX108*BE108),$AX108*BE108,"")</f>
        <v/>
      </c>
      <c r="CF108" s="1372" t="str">
        <f aca="false">IF(ISNUMBER($AW108*BF108),$AW108*BF108,"")</f>
        <v/>
      </c>
      <c r="CG108" s="1372" t="str">
        <f aca="false">IF(ISNUMBER($AX108*BG108),$AX108*BG108,"")</f>
        <v/>
      </c>
      <c r="CH108" s="1438"/>
      <c r="CI108" s="1438"/>
      <c r="CJ108" s="1438"/>
      <c r="CK108" s="1438"/>
      <c r="CU108" s="1411"/>
      <c r="CV108" s="1411"/>
      <c r="CW108" s="1425"/>
      <c r="CX108" s="1425"/>
      <c r="CY108" s="1425"/>
      <c r="CZ108" s="1425"/>
      <c r="DA108" s="1411"/>
      <c r="DB108" s="1411"/>
      <c r="DC108" s="1411"/>
      <c r="DD108" s="1411"/>
      <c r="DE108" s="1411"/>
      <c r="DF108" s="1411"/>
      <c r="DH108" s="1432"/>
      <c r="DI108" s="1432"/>
      <c r="DJ108" s="1437"/>
      <c r="DK108" s="1437"/>
      <c r="DL108" s="1437"/>
      <c r="DM108" s="1437"/>
      <c r="DN108" s="1432"/>
      <c r="DO108" s="1432"/>
      <c r="DP108" s="1432"/>
      <c r="DQ108" s="1432"/>
      <c r="DR108" s="1432"/>
      <c r="DS108" s="1432"/>
      <c r="DT108" s="1316"/>
      <c r="DU108" s="1433"/>
      <c r="DV108" s="1433"/>
      <c r="DW108" s="1433"/>
      <c r="DX108" s="1433"/>
      <c r="DY108" s="1433"/>
      <c r="DZ108" s="1433"/>
      <c r="EA108" s="1433"/>
      <c r="EB108" s="1433"/>
    </row>
    <row r="109" customFormat="false" ht="14.25" hidden="false" customHeight="false" outlineLevel="0" collapsed="false">
      <c r="A109" s="2" t="n">
        <f aca="false">'V_DATOS PAC_SGA'!R104</f>
        <v>0</v>
      </c>
      <c r="B109" s="2" t="n">
        <f aca="false">IF(I109="IV",CONCATENATE('V_DATOS PAC_SGA'!R104,"4")+0,CONCATENATE('V_DATOS PAC_SGA'!R104,"0")+0)</f>
        <v>0</v>
      </c>
      <c r="C109" s="2" t="n">
        <f aca="false">'V_DATOS PAC_SGA'!S104</f>
        <v>0</v>
      </c>
      <c r="D109" s="1409" t="n">
        <f aca="false">'V_DATOS PAC_SGA'!Y104</f>
        <v>0</v>
      </c>
      <c r="E109" s="1410" t="str">
        <f aca="false">IF('V_DATOS PAC_SGA'!AV104="","Regadio",'V_DATOS PAC_SGA'!AV104)</f>
        <v>Regadio</v>
      </c>
      <c r="F109" s="1411" t="n">
        <f aca="false">'V_DATOS PAC_SGA'!BK104</f>
        <v>0</v>
      </c>
      <c r="G109" s="1412" t="n">
        <f aca="false">'V_DATOS PAC_SGA'!AN104</f>
        <v>0</v>
      </c>
      <c r="H109" s="1413" t="str">
        <f aca="false">IF(B109&gt;0,VLOOKUP(B109,'O_MN, PE_UTA_UGM 2024'!E$3:O$419,10),"")</f>
        <v/>
      </c>
      <c r="I109" s="1359" t="n">
        <f aca="false">'V_DATOS PAC_SGA'!BV104</f>
        <v>0</v>
      </c>
      <c r="J109" s="2" t="str">
        <f aca="false">IF(AND(J$4=$G109,J$6=$F109),$D109*J$5,"")</f>
        <v/>
      </c>
      <c r="K109" s="2" t="str">
        <f aca="false">IF(AND(K$4=$G109,K$6=$F109),$D109*K$5,"")</f>
        <v/>
      </c>
      <c r="L109" s="2" t="str">
        <f aca="false">IF(AND(L$4=$G109,L$6=$F109),$D109*L$5,"")</f>
        <v/>
      </c>
      <c r="M109" s="2" t="str">
        <f aca="false">IF(AND(M$4=$G109,M$6=$F109),$D109*M$5,"")</f>
        <v/>
      </c>
      <c r="N109" s="1414" t="n">
        <f aca="false">VLOOKUP(B109,'O_MN, PE_UTA_UGM 2024'!$E$2:$K$419,IF(G109&gt;1,6,7))</f>
        <v>0</v>
      </c>
      <c r="O109" s="1434" t="str">
        <f aca="false">IF($H109=O$4,$D109*$N109,"")</f>
        <v/>
      </c>
      <c r="P109" s="1435" t="str">
        <f aca="false">IF($H109=P$4,$D109*$N109,"")</f>
        <v/>
      </c>
      <c r="Q109" s="1435" t="str">
        <f aca="false">IF($H109=Q$4,$D109*$N109,"")</f>
        <v/>
      </c>
      <c r="R109" s="1435" t="str">
        <f aca="false">IF($H109=R$4,$D109*$N109,"")</f>
        <v/>
      </c>
      <c r="S109" s="1435" t="str">
        <f aca="false">IF($H109=S$4,$D109*$N109,"")</f>
        <v/>
      </c>
      <c r="T109" s="1435" t="str">
        <f aca="false">IF($H109=T$4,$D109*$N109,"")</f>
        <v/>
      </c>
      <c r="U109" s="1436" t="str">
        <f aca="false">IF($H109=U$4,$D109*$N109,"")</f>
        <v/>
      </c>
      <c r="V109" s="1418"/>
      <c r="W109" s="1419"/>
      <c r="X109" s="1419"/>
      <c r="Y109" s="1419"/>
      <c r="Z109" s="1419"/>
      <c r="AA109" s="1419"/>
      <c r="AB109" s="1420"/>
      <c r="AC109" s="1319"/>
      <c r="AD109" s="2" t="str">
        <f aca="false">IF(AND(AD$4=$G109,AD$6=$F109),$B109,"")</f>
        <v/>
      </c>
      <c r="AE109" s="2" t="str">
        <f aca="false">IF(AND(AE$4=$G109,AE$6=$F109),$B109,"")</f>
        <v/>
      </c>
      <c r="AF109" s="2" t="str">
        <f aca="false">IF(AND(AF$4=$G109,AF$6=$F109),$B109,"")</f>
        <v/>
      </c>
      <c r="AG109" s="2" t="str">
        <f aca="false">IF(AND(AG$4=$G109,AG$6=$F109),$B109,"")</f>
        <v/>
      </c>
      <c r="AI109" s="366"/>
      <c r="AL109" s="367"/>
      <c r="AO109" s="367" t="str">
        <f aca="false">IF(MID(AR109,LEN(AR109),1)+0&gt;0,CONCATENATE(AY109," invernadero"),AY109)</f>
        <v> invernadero</v>
      </c>
      <c r="AP109" s="2" t="str">
        <f aca="false">IF(AT109&gt;0,RANK(AT109,AT$7:AT$423),"")</f>
        <v/>
      </c>
      <c r="AQ109" s="2" t="n">
        <f aca="false">'O_MN, PE_UTA_UGM 2024'!C105</f>
        <v>157</v>
      </c>
      <c r="AR109" s="1421" t="n">
        <v>1564</v>
      </c>
      <c r="AS109" s="2" t="str">
        <f aca="false">IF(AY109&lt;&gt;"",AY109,"")</f>
        <v/>
      </c>
      <c r="AT109" s="1422" t="n">
        <f aca="false">IF(ISNUMBER($AR109),SUMIF(B$7:B$505,AR109,D$7:D$505),"")</f>
        <v>0</v>
      </c>
      <c r="AU109" s="1411" t="n">
        <f aca="false">IF(ISNUMBER($AR109),SUMIF(AD$7:AD$503,$AR109,J$7:J$503),"")</f>
        <v>0</v>
      </c>
      <c r="AV109" s="1411" t="n">
        <f aca="false">IF(ISNUMBER($AR109),SUMIF(AF$7:AF$503,$AR109,L$7:L$503),"")</f>
        <v>0</v>
      </c>
      <c r="AW109" s="1423" t="n">
        <f aca="false">IF(ISNUMBER($AR109),SUMIF(AE$7:AE$503,$AR109,K$7:K$503),"")</f>
        <v>0</v>
      </c>
      <c r="AX109" s="1423" t="n">
        <f aca="false">IF(ISNUMBER($AR109),SUMIF(AG$7:AG$503,$AR109,M$7:M$503),"")</f>
        <v>0</v>
      </c>
      <c r="AY109" s="2" t="str">
        <f aca="false">IF($AT109&gt;0,VLOOKUP($AR109,'O_MN, PE_UTA_UGM 2024'!E105:O521,2),"")</f>
        <v/>
      </c>
      <c r="AZ109" s="1424"/>
      <c r="BA109" s="1424"/>
      <c r="BB109" s="1424" t="str">
        <f aca="false">IF($AT109&gt;0,VLOOKUP($AR109,'O_MN, PE_UTA_UGM 2024'!$E$3:$O$419,BB$6),"")</f>
        <v/>
      </c>
      <c r="BC109" s="1424" t="str">
        <f aca="false">IF($AT109&gt;0,VLOOKUP($AR109,'O_MN, PE_UTA_UGM 2024'!$E$3:$O$419,BC$6),"")</f>
        <v/>
      </c>
      <c r="BD109" s="1424" t="str">
        <f aca="false">IF($AT109&gt;0,VLOOKUP($AR109,'O_MN, PE_UTA_UGM 2024'!$E$3:$O$419,BD$6),"")</f>
        <v/>
      </c>
      <c r="BE109" s="1424" t="str">
        <f aca="false">IF($AT109&gt;0,VLOOKUP($AR109,'O_MN, PE_UTA_UGM 2024'!$E$3:$O$419,BE$6),"")</f>
        <v/>
      </c>
      <c r="BF109" s="1424" t="str">
        <f aca="false">IF($AT109&gt;0,VLOOKUP($AR109,'O_MN, PE_UTA_UGM 2024'!$E$3:$O$419,BF$6),"")</f>
        <v/>
      </c>
      <c r="BG109" s="1424" t="str">
        <f aca="false">IF($AT109&gt;0,VLOOKUP($AR109,'O_MN, PE_UTA_UGM 2024'!$E$3:$O$419,BG$6),"")</f>
        <v/>
      </c>
      <c r="BH109" s="872"/>
      <c r="BI109" s="872"/>
      <c r="BJ109" s="872"/>
      <c r="BK109" s="872"/>
      <c r="BM109" s="1411"/>
      <c r="BN109" s="1411"/>
      <c r="BO109" s="1425" t="str">
        <f aca="false">IF(ISNUMBER($AU109*BB109*1),$AU109*BB109*1,"")</f>
        <v/>
      </c>
      <c r="BP109" s="1425" t="str">
        <f aca="false">IF(ISNUMBER($AV109*BC109*1),$AV109*BC109*1,"")</f>
        <v/>
      </c>
      <c r="BQ109" s="1425" t="str">
        <f aca="false">IF(ISNUMBER($AU109*BD109*1),$AU109*BD109*1,"")</f>
        <v/>
      </c>
      <c r="BR109" s="1425" t="str">
        <f aca="false">IF(ISNUMBER($AV109*BE109*1),$AV109*BE109*1,"")</f>
        <v/>
      </c>
      <c r="BS109" s="1411" t="str">
        <f aca="false">IF(ISNUMBER($AU109*BF109),$AU109*BF109,"")</f>
        <v/>
      </c>
      <c r="BT109" s="1411" t="str">
        <f aca="false">IF(ISNUMBER($AV109*BG109),$AV109*BG109,"")</f>
        <v/>
      </c>
      <c r="BU109" s="1411"/>
      <c r="BV109" s="1411"/>
      <c r="BW109" s="1411"/>
      <c r="BX109" s="1411"/>
      <c r="BZ109" s="1372"/>
      <c r="CA109" s="1372"/>
      <c r="CB109" s="1426" t="str">
        <f aca="false">IF(ISNUMBER($AW109*BB109),$AW109*BB109,"")</f>
        <v/>
      </c>
      <c r="CC109" s="1426" t="str">
        <f aca="false">IF(ISNUMBER($AX109*BC109),$AX109*BC109,"")</f>
        <v/>
      </c>
      <c r="CD109" s="1426" t="str">
        <f aca="false">IF(ISNUMBER($AW109*BD109),$AW109*BD109,"")</f>
        <v/>
      </c>
      <c r="CE109" s="1426" t="str">
        <f aca="false">IF(ISNUMBER($AX109*BE109),$AX109*BE109,"")</f>
        <v/>
      </c>
      <c r="CF109" s="1372" t="str">
        <f aca="false">IF(ISNUMBER($AW109*BF109),$AW109*BF109,"")</f>
        <v/>
      </c>
      <c r="CG109" s="1372" t="str">
        <f aca="false">IF(ISNUMBER($AX109*BG109),$AX109*BG109,"")</f>
        <v/>
      </c>
      <c r="CH109" s="1438"/>
      <c r="CI109" s="1438"/>
      <c r="CJ109" s="1438"/>
      <c r="CK109" s="1438"/>
      <c r="CU109" s="1411"/>
      <c r="CV109" s="1411"/>
      <c r="CW109" s="1425"/>
      <c r="CX109" s="1425"/>
      <c r="CY109" s="1425"/>
      <c r="CZ109" s="1425"/>
      <c r="DA109" s="1411"/>
      <c r="DB109" s="1411"/>
      <c r="DC109" s="1411"/>
      <c r="DD109" s="1411"/>
      <c r="DE109" s="1411"/>
      <c r="DF109" s="1411"/>
      <c r="DH109" s="1432"/>
      <c r="DI109" s="1432"/>
      <c r="DJ109" s="1437"/>
      <c r="DK109" s="1437"/>
      <c r="DL109" s="1437"/>
      <c r="DM109" s="1437"/>
      <c r="DN109" s="1432"/>
      <c r="DO109" s="1432"/>
      <c r="DP109" s="1432"/>
      <c r="DQ109" s="1432"/>
      <c r="DR109" s="1432"/>
      <c r="DS109" s="1432"/>
      <c r="DT109" s="1316"/>
      <c r="DU109" s="1433"/>
      <c r="DV109" s="1433"/>
      <c r="DW109" s="1433"/>
      <c r="DX109" s="1433"/>
      <c r="DY109" s="1433"/>
      <c r="DZ109" s="1433"/>
      <c r="EA109" s="1433"/>
      <c r="EB109" s="1433"/>
    </row>
    <row r="110" customFormat="false" ht="14.25" hidden="false" customHeight="false" outlineLevel="0" collapsed="false">
      <c r="A110" s="2" t="n">
        <f aca="false">'V_DATOS PAC_SGA'!R105</f>
        <v>0</v>
      </c>
      <c r="B110" s="2" t="n">
        <f aca="false">IF(I110="IV",CONCATENATE('V_DATOS PAC_SGA'!R105,"4")+0,CONCATENATE('V_DATOS PAC_SGA'!R105,"0")+0)</f>
        <v>0</v>
      </c>
      <c r="C110" s="2" t="n">
        <f aca="false">'V_DATOS PAC_SGA'!S105</f>
        <v>0</v>
      </c>
      <c r="D110" s="1409" t="n">
        <f aca="false">'V_DATOS PAC_SGA'!Y105</f>
        <v>0</v>
      </c>
      <c r="E110" s="1410" t="str">
        <f aca="false">IF('V_DATOS PAC_SGA'!AV105="","Regadio",'V_DATOS PAC_SGA'!AV105)</f>
        <v>Regadio</v>
      </c>
      <c r="F110" s="1411" t="n">
        <f aca="false">'V_DATOS PAC_SGA'!BK105</f>
        <v>0</v>
      </c>
      <c r="G110" s="1412" t="n">
        <f aca="false">'V_DATOS PAC_SGA'!AN105</f>
        <v>0</v>
      </c>
      <c r="H110" s="1413" t="str">
        <f aca="false">IF(B110&gt;0,VLOOKUP(B110,'O_MN, PE_UTA_UGM 2024'!E$3:O$419,10),"")</f>
        <v/>
      </c>
      <c r="I110" s="1359" t="n">
        <f aca="false">'V_DATOS PAC_SGA'!BV105</f>
        <v>0</v>
      </c>
      <c r="J110" s="2" t="str">
        <f aca="false">IF(AND(J$4=$G110,J$6=$F110),$D110*J$5,"")</f>
        <v/>
      </c>
      <c r="K110" s="2" t="str">
        <f aca="false">IF(AND(K$4=$G110,K$6=$F110),$D110*K$5,"")</f>
        <v/>
      </c>
      <c r="L110" s="2" t="str">
        <f aca="false">IF(AND(L$4=$G110,L$6=$F110),$D110*L$5,"")</f>
        <v/>
      </c>
      <c r="M110" s="2" t="str">
        <f aca="false">IF(AND(M$4=$G110,M$6=$F110),$D110*M$5,"")</f>
        <v/>
      </c>
      <c r="N110" s="1414" t="n">
        <f aca="false">VLOOKUP(B110,'O_MN, PE_UTA_UGM 2024'!$E$2:$K$419,IF(G110&gt;1,6,7))</f>
        <v>0</v>
      </c>
      <c r="O110" s="1434" t="str">
        <f aca="false">IF($H110=O$4,$D110*$N110,"")</f>
        <v/>
      </c>
      <c r="P110" s="1435" t="str">
        <f aca="false">IF($H110=P$4,$D110*$N110,"")</f>
        <v/>
      </c>
      <c r="Q110" s="1435" t="str">
        <f aca="false">IF($H110=Q$4,$D110*$N110,"")</f>
        <v/>
      </c>
      <c r="R110" s="1435" t="str">
        <f aca="false">IF($H110=R$4,$D110*$N110,"")</f>
        <v/>
      </c>
      <c r="S110" s="1435" t="str">
        <f aca="false">IF($H110=S$4,$D110*$N110,"")</f>
        <v/>
      </c>
      <c r="T110" s="1435" t="str">
        <f aca="false">IF($H110=T$4,$D110*$N110,"")</f>
        <v/>
      </c>
      <c r="U110" s="1436" t="str">
        <f aca="false">IF($H110=U$4,$D110*$N110,"")</f>
        <v/>
      </c>
      <c r="V110" s="1418"/>
      <c r="W110" s="1419"/>
      <c r="X110" s="1419"/>
      <c r="Y110" s="1419"/>
      <c r="Z110" s="1419"/>
      <c r="AA110" s="1419"/>
      <c r="AB110" s="1420"/>
      <c r="AC110" s="1319"/>
      <c r="AD110" s="2" t="str">
        <f aca="false">IF(AND(AD$4=$G110,AD$6=$F110),$B110,"")</f>
        <v/>
      </c>
      <c r="AE110" s="2" t="str">
        <f aca="false">IF(AND(AE$4=$G110,AE$6=$F110),$B110,"")</f>
        <v/>
      </c>
      <c r="AF110" s="2" t="str">
        <f aca="false">IF(AND(AF$4=$G110,AF$6=$F110),$B110,"")</f>
        <v/>
      </c>
      <c r="AG110" s="2" t="str">
        <f aca="false">IF(AND(AG$4=$G110,AG$6=$F110),$B110,"")</f>
        <v/>
      </c>
      <c r="AI110" s="366"/>
      <c r="AL110" s="367"/>
      <c r="AO110" s="367" t="str">
        <f aca="false">IF(MID(AR110,LEN(AR110),1)+0&gt;0,CONCATENATE(AY110," invernadero"),AY110)</f>
        <v> invernadero</v>
      </c>
      <c r="AP110" s="2" t="str">
        <f aca="false">IF(AT110&gt;0,RANK(AT110,AT$7:AT$423),"")</f>
        <v/>
      </c>
      <c r="AQ110" s="2" t="n">
        <f aca="false">'O_MN, PE_UTA_UGM 2024'!C106</f>
        <v>158</v>
      </c>
      <c r="AR110" s="1421" t="n">
        <v>1569</v>
      </c>
      <c r="AS110" s="2" t="str">
        <f aca="false">IF(AY110&lt;&gt;"",AY110,"")</f>
        <v/>
      </c>
      <c r="AT110" s="1422" t="n">
        <f aca="false">IF(ISNUMBER($AR110),SUMIF(B$7:B$505,AR110,D$7:D$505),"")</f>
        <v>0</v>
      </c>
      <c r="AU110" s="1411" t="n">
        <f aca="false">IF(ISNUMBER($AR110),SUMIF(AD$7:AD$503,$AR110,J$7:J$503),"")</f>
        <v>0</v>
      </c>
      <c r="AV110" s="1411" t="n">
        <f aca="false">IF(ISNUMBER($AR110),SUMIF(AF$7:AF$503,$AR110,L$7:L$503),"")</f>
        <v>0</v>
      </c>
      <c r="AW110" s="1423" t="n">
        <f aca="false">IF(ISNUMBER($AR110),SUMIF(AE$7:AE$503,$AR110,K$7:K$503),"")</f>
        <v>0</v>
      </c>
      <c r="AX110" s="1423" t="n">
        <f aca="false">IF(ISNUMBER($AR110),SUMIF(AG$7:AG$503,$AR110,M$7:M$503),"")</f>
        <v>0</v>
      </c>
      <c r="AY110" s="2" t="str">
        <f aca="false">IF($AT110&gt;0,VLOOKUP($AR110,'O_MN, PE_UTA_UGM 2024'!E106:O522,2),"")</f>
        <v/>
      </c>
      <c r="AZ110" s="1424"/>
      <c r="BA110" s="1424"/>
      <c r="BB110" s="1424" t="str">
        <f aca="false">IF($AT110&gt;0,VLOOKUP($AR110,'O_MN, PE_UTA_UGM 2024'!$E$3:$O$419,BB$6),"")</f>
        <v/>
      </c>
      <c r="BC110" s="1424" t="str">
        <f aca="false">IF($AT110&gt;0,VLOOKUP($AR110,'O_MN, PE_UTA_UGM 2024'!$E$3:$O$419,BC$6),"")</f>
        <v/>
      </c>
      <c r="BD110" s="1424" t="str">
        <f aca="false">IF($AT110&gt;0,VLOOKUP($AR110,'O_MN, PE_UTA_UGM 2024'!$E$3:$O$419,BD$6),"")</f>
        <v/>
      </c>
      <c r="BE110" s="1424" t="str">
        <f aca="false">IF($AT110&gt;0,VLOOKUP($AR110,'O_MN, PE_UTA_UGM 2024'!$E$3:$O$419,BE$6),"")</f>
        <v/>
      </c>
      <c r="BF110" s="1424" t="str">
        <f aca="false">IF($AT110&gt;0,VLOOKUP($AR110,'O_MN, PE_UTA_UGM 2024'!$E$3:$O$419,BF$6),"")</f>
        <v/>
      </c>
      <c r="BG110" s="1424" t="str">
        <f aca="false">IF($AT110&gt;0,VLOOKUP($AR110,'O_MN, PE_UTA_UGM 2024'!$E$3:$O$419,BG$6),"")</f>
        <v/>
      </c>
      <c r="BH110" s="872"/>
      <c r="BI110" s="872"/>
      <c r="BJ110" s="872"/>
      <c r="BK110" s="872"/>
      <c r="BM110" s="1411"/>
      <c r="BN110" s="1411"/>
      <c r="BO110" s="1425" t="str">
        <f aca="false">IF(ISNUMBER($AU110*BB110*1),$AU110*BB110*1,"")</f>
        <v/>
      </c>
      <c r="BP110" s="1425" t="str">
        <f aca="false">IF(ISNUMBER($AV110*BC110*1),$AV110*BC110*1,"")</f>
        <v/>
      </c>
      <c r="BQ110" s="1425" t="str">
        <f aca="false">IF(ISNUMBER($AU110*BD110*1),$AU110*BD110*1,"")</f>
        <v/>
      </c>
      <c r="BR110" s="1425" t="str">
        <f aca="false">IF(ISNUMBER($AV110*BE110*1),$AV110*BE110*1,"")</f>
        <v/>
      </c>
      <c r="BS110" s="1411" t="str">
        <f aca="false">IF(ISNUMBER($AU110*BF110),$AU110*BF110,"")</f>
        <v/>
      </c>
      <c r="BT110" s="1411" t="str">
        <f aca="false">IF(ISNUMBER($AV110*BG110),$AV110*BG110,"")</f>
        <v/>
      </c>
      <c r="BU110" s="1411"/>
      <c r="BV110" s="1411"/>
      <c r="BW110" s="1411"/>
      <c r="BX110" s="1411"/>
      <c r="BZ110" s="1372"/>
      <c r="CA110" s="1372"/>
      <c r="CB110" s="1426" t="str">
        <f aca="false">IF(ISNUMBER($AW110*BB110),$AW110*BB110,"")</f>
        <v/>
      </c>
      <c r="CC110" s="1426" t="str">
        <f aca="false">IF(ISNUMBER($AX110*BC110),$AX110*BC110,"")</f>
        <v/>
      </c>
      <c r="CD110" s="1426" t="str">
        <f aca="false">IF(ISNUMBER($AW110*BD110),$AW110*BD110,"")</f>
        <v/>
      </c>
      <c r="CE110" s="1426" t="str">
        <f aca="false">IF(ISNUMBER($AX110*BE110),$AX110*BE110,"")</f>
        <v/>
      </c>
      <c r="CF110" s="1372" t="str">
        <f aca="false">IF(ISNUMBER($AW110*BF110),$AW110*BF110,"")</f>
        <v/>
      </c>
      <c r="CG110" s="1372" t="str">
        <f aca="false">IF(ISNUMBER($AX110*BG110),$AX110*BG110,"")</f>
        <v/>
      </c>
      <c r="CH110" s="1438"/>
      <c r="CI110" s="1438"/>
      <c r="CJ110" s="1438"/>
      <c r="CK110" s="1438"/>
      <c r="CU110" s="1411"/>
      <c r="CV110" s="1411"/>
      <c r="CW110" s="1425"/>
      <c r="CX110" s="1425"/>
      <c r="CY110" s="1425"/>
      <c r="CZ110" s="1425"/>
      <c r="DA110" s="1411"/>
      <c r="DB110" s="1411"/>
      <c r="DC110" s="1411"/>
      <c r="DD110" s="1411"/>
      <c r="DE110" s="1411"/>
      <c r="DF110" s="1411"/>
      <c r="DH110" s="1432"/>
      <c r="DI110" s="1432"/>
      <c r="DJ110" s="1437"/>
      <c r="DK110" s="1437"/>
      <c r="DL110" s="1437"/>
      <c r="DM110" s="1437"/>
      <c r="DN110" s="1432"/>
      <c r="DO110" s="1432"/>
      <c r="DP110" s="1432"/>
      <c r="DQ110" s="1432"/>
      <c r="DR110" s="1432"/>
      <c r="DS110" s="1432"/>
      <c r="DT110" s="1316"/>
      <c r="DU110" s="1433"/>
      <c r="DV110" s="1433"/>
      <c r="DW110" s="1433"/>
      <c r="DX110" s="1433"/>
      <c r="DY110" s="1433"/>
      <c r="DZ110" s="1433"/>
      <c r="EA110" s="1433"/>
      <c r="EB110" s="1433"/>
    </row>
    <row r="111" customFormat="false" ht="14.25" hidden="false" customHeight="false" outlineLevel="0" collapsed="false">
      <c r="A111" s="2" t="n">
        <f aca="false">'V_DATOS PAC_SGA'!R106</f>
        <v>0</v>
      </c>
      <c r="B111" s="2" t="n">
        <f aca="false">IF(I111="IV",CONCATENATE('V_DATOS PAC_SGA'!R106,"4")+0,CONCATENATE('V_DATOS PAC_SGA'!R106,"0")+0)</f>
        <v>0</v>
      </c>
      <c r="C111" s="2" t="n">
        <f aca="false">'V_DATOS PAC_SGA'!S106</f>
        <v>0</v>
      </c>
      <c r="D111" s="1409" t="n">
        <f aca="false">'V_DATOS PAC_SGA'!Y106</f>
        <v>0</v>
      </c>
      <c r="E111" s="1410" t="str">
        <f aca="false">IF('V_DATOS PAC_SGA'!AV106="","Regadio",'V_DATOS PAC_SGA'!AV106)</f>
        <v>Regadio</v>
      </c>
      <c r="F111" s="1411" t="n">
        <f aca="false">'V_DATOS PAC_SGA'!BK106</f>
        <v>0</v>
      </c>
      <c r="G111" s="1412" t="n">
        <f aca="false">'V_DATOS PAC_SGA'!AN106</f>
        <v>0</v>
      </c>
      <c r="H111" s="1413" t="str">
        <f aca="false">IF(B111&gt;0,VLOOKUP(B111,'O_MN, PE_UTA_UGM 2024'!E$3:O$419,10),"")</f>
        <v/>
      </c>
      <c r="I111" s="1359" t="n">
        <f aca="false">'V_DATOS PAC_SGA'!BV106</f>
        <v>0</v>
      </c>
      <c r="J111" s="2" t="str">
        <f aca="false">IF(AND(J$4=$G111,J$6=$F111),$D111*J$5,"")</f>
        <v/>
      </c>
      <c r="K111" s="2" t="str">
        <f aca="false">IF(AND(K$4=$G111,K$6=$F111),$D111*K$5,"")</f>
        <v/>
      </c>
      <c r="L111" s="2" t="str">
        <f aca="false">IF(AND(L$4=$G111,L$6=$F111),$D111*L$5,"")</f>
        <v/>
      </c>
      <c r="M111" s="2" t="str">
        <f aca="false">IF(AND(M$4=$G111,M$6=$F111),$D111*M$5,"")</f>
        <v/>
      </c>
      <c r="N111" s="1414" t="n">
        <f aca="false">VLOOKUP(B111,'O_MN, PE_UTA_UGM 2024'!$E$2:$K$419,IF(G111&gt;1,6,7))</f>
        <v>0</v>
      </c>
      <c r="O111" s="1434" t="str">
        <f aca="false">IF($H111=O$4,$D111*$N111,"")</f>
        <v/>
      </c>
      <c r="P111" s="1435" t="str">
        <f aca="false">IF($H111=P$4,$D111*$N111,"")</f>
        <v/>
      </c>
      <c r="Q111" s="1435" t="str">
        <f aca="false">IF($H111=Q$4,$D111*$N111,"")</f>
        <v/>
      </c>
      <c r="R111" s="1435" t="str">
        <f aca="false">IF($H111=R$4,$D111*$N111,"")</f>
        <v/>
      </c>
      <c r="S111" s="1435" t="str">
        <f aca="false">IF($H111=S$4,$D111*$N111,"")</f>
        <v/>
      </c>
      <c r="T111" s="1435" t="str">
        <f aca="false">IF($H111=T$4,$D111*$N111,"")</f>
        <v/>
      </c>
      <c r="U111" s="1436" t="str">
        <f aca="false">IF($H111=U$4,$D111*$N111,"")</f>
        <v/>
      </c>
      <c r="V111" s="1418"/>
      <c r="W111" s="1419"/>
      <c r="X111" s="1419"/>
      <c r="Y111" s="1419"/>
      <c r="Z111" s="1419"/>
      <c r="AA111" s="1419"/>
      <c r="AB111" s="1420"/>
      <c r="AC111" s="1319"/>
      <c r="AD111" s="2" t="str">
        <f aca="false">IF(AND(AD$4=$G111,AD$6=$F111),$B111,"")</f>
        <v/>
      </c>
      <c r="AE111" s="2" t="str">
        <f aca="false">IF(AND(AE$4=$G111,AE$6=$F111),$B111,"")</f>
        <v/>
      </c>
      <c r="AF111" s="2" t="str">
        <f aca="false">IF(AND(AF$4=$G111,AF$6=$F111),$B111,"")</f>
        <v/>
      </c>
      <c r="AG111" s="2" t="str">
        <f aca="false">IF(AND(AG$4=$G111,AG$6=$F111),$B111,"")</f>
        <v/>
      </c>
      <c r="AI111" s="366"/>
      <c r="AL111" s="367"/>
      <c r="AO111" s="367" t="str">
        <f aca="false">IF(MID(AR111,LEN(AR111),1)+0&gt;0,CONCATENATE(AY111," invernadero"),AY111)</f>
        <v/>
      </c>
      <c r="AP111" s="2" t="str">
        <f aca="false">IF(AT111&gt;0,RANK(AT111,AT$7:AT$423),"")</f>
        <v/>
      </c>
      <c r="AQ111" s="2" t="n">
        <f aca="false">'O_MN, PE_UTA_UGM 2024'!C107</f>
        <v>158</v>
      </c>
      <c r="AR111" s="1421" t="n">
        <v>1570</v>
      </c>
      <c r="AS111" s="2" t="str">
        <f aca="false">IF(AY111&lt;&gt;"",AY111,"")</f>
        <v/>
      </c>
      <c r="AT111" s="1422" t="n">
        <f aca="false">IF(ISNUMBER($AR111),SUMIF(B$7:B$505,AR111,D$7:D$505),"")</f>
        <v>0</v>
      </c>
      <c r="AU111" s="1411" t="n">
        <f aca="false">IF(ISNUMBER($AR111),SUMIF(AD$7:AD$503,$AR111,J$7:J$503),"")</f>
        <v>0</v>
      </c>
      <c r="AV111" s="1411" t="n">
        <f aca="false">IF(ISNUMBER($AR111),SUMIF(AF$7:AF$503,$AR111,L$7:L$503),"")</f>
        <v>0</v>
      </c>
      <c r="AW111" s="1423" t="n">
        <f aca="false">IF(ISNUMBER($AR111),SUMIF(AE$7:AE$503,$AR111,K$7:K$503),"")</f>
        <v>0</v>
      </c>
      <c r="AX111" s="1423" t="n">
        <f aca="false">IF(ISNUMBER($AR111),SUMIF(AG$7:AG$503,$AR111,M$7:M$503),"")</f>
        <v>0</v>
      </c>
      <c r="AY111" s="2" t="str">
        <f aca="false">IF($AT111&gt;0,VLOOKUP($AR111,'O_MN, PE_UTA_UGM 2024'!E107:O523,2),"")</f>
        <v/>
      </c>
      <c r="AZ111" s="1424"/>
      <c r="BA111" s="1424"/>
      <c r="BB111" s="1424" t="str">
        <f aca="false">IF($AT111&gt;0,VLOOKUP($AR111,'O_MN, PE_UTA_UGM 2024'!$E$3:$O$419,BB$6),"")</f>
        <v/>
      </c>
      <c r="BC111" s="1424" t="str">
        <f aca="false">IF($AT111&gt;0,VLOOKUP($AR111,'O_MN, PE_UTA_UGM 2024'!$E$3:$O$419,BC$6),"")</f>
        <v/>
      </c>
      <c r="BD111" s="1424" t="str">
        <f aca="false">IF($AT111&gt;0,VLOOKUP($AR111,'O_MN, PE_UTA_UGM 2024'!$E$3:$O$419,BD$6),"")</f>
        <v/>
      </c>
      <c r="BE111" s="1424" t="str">
        <f aca="false">IF($AT111&gt;0,VLOOKUP($AR111,'O_MN, PE_UTA_UGM 2024'!$E$3:$O$419,BE$6),"")</f>
        <v/>
      </c>
      <c r="BF111" s="1424" t="str">
        <f aca="false">IF($AT111&gt;0,VLOOKUP($AR111,'O_MN, PE_UTA_UGM 2024'!$E$3:$O$419,BF$6),"")</f>
        <v/>
      </c>
      <c r="BG111" s="1424" t="str">
        <f aca="false">IF($AT111&gt;0,VLOOKUP($AR111,'O_MN, PE_UTA_UGM 2024'!$E$3:$O$419,BG$6),"")</f>
        <v/>
      </c>
      <c r="BH111" s="872"/>
      <c r="BI111" s="872"/>
      <c r="BJ111" s="872"/>
      <c r="BK111" s="872"/>
      <c r="BM111" s="1411"/>
      <c r="BN111" s="1411"/>
      <c r="BO111" s="1425" t="str">
        <f aca="false">IF(ISNUMBER($AU111*BB111*1),$AU111*BB111*1,"")</f>
        <v/>
      </c>
      <c r="BP111" s="1425" t="str">
        <f aca="false">IF(ISNUMBER($AV111*BC111*1),$AV111*BC111*1,"")</f>
        <v/>
      </c>
      <c r="BQ111" s="1425" t="str">
        <f aca="false">IF(ISNUMBER($AU111*BD111*1),$AU111*BD111*1,"")</f>
        <v/>
      </c>
      <c r="BR111" s="1425" t="str">
        <f aca="false">IF(ISNUMBER($AV111*BE111*1),$AV111*BE111*1,"")</f>
        <v/>
      </c>
      <c r="BS111" s="1411" t="str">
        <f aca="false">IF(ISNUMBER($AU111*BF111),$AU111*BF111,"")</f>
        <v/>
      </c>
      <c r="BT111" s="1411" t="str">
        <f aca="false">IF(ISNUMBER($AV111*BG111),$AV111*BG111,"")</f>
        <v/>
      </c>
      <c r="BU111" s="1411"/>
      <c r="BV111" s="1411"/>
      <c r="BW111" s="1411"/>
      <c r="BX111" s="1411"/>
      <c r="BZ111" s="1372"/>
      <c r="CA111" s="1372"/>
      <c r="CB111" s="1426" t="str">
        <f aca="false">IF(ISNUMBER($AW111*BB111),$AW111*BB111,"")</f>
        <v/>
      </c>
      <c r="CC111" s="1426" t="str">
        <f aca="false">IF(ISNUMBER($AX111*BC111),$AX111*BC111,"")</f>
        <v/>
      </c>
      <c r="CD111" s="1426" t="str">
        <f aca="false">IF(ISNUMBER($AW111*BD111),$AW111*BD111,"")</f>
        <v/>
      </c>
      <c r="CE111" s="1426" t="str">
        <f aca="false">IF(ISNUMBER($AX111*BE111),$AX111*BE111,"")</f>
        <v/>
      </c>
      <c r="CF111" s="1372" t="str">
        <f aca="false">IF(ISNUMBER($AW111*BF111),$AW111*BF111,"")</f>
        <v/>
      </c>
      <c r="CG111" s="1372" t="str">
        <f aca="false">IF(ISNUMBER($AX111*BG111),$AX111*BG111,"")</f>
        <v/>
      </c>
      <c r="CH111" s="1438"/>
      <c r="CI111" s="1438"/>
      <c r="CJ111" s="1438"/>
      <c r="CK111" s="1438"/>
      <c r="CU111" s="1411"/>
      <c r="CV111" s="1411"/>
      <c r="CW111" s="1425"/>
      <c r="CX111" s="1425"/>
      <c r="CY111" s="1425"/>
      <c r="CZ111" s="1425"/>
      <c r="DA111" s="1411"/>
      <c r="DB111" s="1411"/>
      <c r="DC111" s="1411"/>
      <c r="DD111" s="1411"/>
      <c r="DE111" s="1411"/>
      <c r="DF111" s="1411"/>
      <c r="DH111" s="1432"/>
      <c r="DI111" s="1432"/>
      <c r="DJ111" s="1437"/>
      <c r="DK111" s="1437"/>
      <c r="DL111" s="1437"/>
      <c r="DM111" s="1437"/>
      <c r="DN111" s="1432"/>
      <c r="DO111" s="1432"/>
      <c r="DP111" s="1432"/>
      <c r="DQ111" s="1432"/>
      <c r="DR111" s="1432"/>
      <c r="DS111" s="1432"/>
      <c r="DT111" s="1316"/>
      <c r="DU111" s="1433"/>
      <c r="DV111" s="1433"/>
      <c r="DW111" s="1433"/>
      <c r="DX111" s="1433"/>
      <c r="DY111" s="1433"/>
      <c r="DZ111" s="1433"/>
      <c r="EA111" s="1433"/>
      <c r="EB111" s="1433"/>
    </row>
    <row r="112" customFormat="false" ht="14.25" hidden="false" customHeight="false" outlineLevel="0" collapsed="false">
      <c r="A112" s="2" t="n">
        <f aca="false">'V_DATOS PAC_SGA'!R107</f>
        <v>0</v>
      </c>
      <c r="B112" s="2" t="n">
        <f aca="false">IF(I112="IV",CONCATENATE('V_DATOS PAC_SGA'!R107,"4")+0,CONCATENATE('V_DATOS PAC_SGA'!R107,"0")+0)</f>
        <v>0</v>
      </c>
      <c r="C112" s="2" t="n">
        <f aca="false">'V_DATOS PAC_SGA'!S107</f>
        <v>0</v>
      </c>
      <c r="D112" s="1409" t="n">
        <f aca="false">'V_DATOS PAC_SGA'!Y107</f>
        <v>0</v>
      </c>
      <c r="E112" s="1410" t="str">
        <f aca="false">IF('V_DATOS PAC_SGA'!AV107="","Regadio",'V_DATOS PAC_SGA'!AV107)</f>
        <v>Regadio</v>
      </c>
      <c r="F112" s="1411" t="n">
        <f aca="false">'V_DATOS PAC_SGA'!BK107</f>
        <v>0</v>
      </c>
      <c r="G112" s="1412" t="n">
        <f aca="false">'V_DATOS PAC_SGA'!AN107</f>
        <v>0</v>
      </c>
      <c r="H112" s="1413" t="str">
        <f aca="false">IF(B112&gt;0,VLOOKUP(B112,'O_MN, PE_UTA_UGM 2024'!E$3:O$419,10),"")</f>
        <v/>
      </c>
      <c r="I112" s="1359" t="n">
        <f aca="false">'V_DATOS PAC_SGA'!BV107</f>
        <v>0</v>
      </c>
      <c r="J112" s="2" t="str">
        <f aca="false">IF(AND(J$4=$G112,J$6=$F112),$D112*J$5,"")</f>
        <v/>
      </c>
      <c r="K112" s="2" t="str">
        <f aca="false">IF(AND(K$4=$G112,K$6=$F112),$D112*K$5,"")</f>
        <v/>
      </c>
      <c r="L112" s="2" t="str">
        <f aca="false">IF(AND(L$4=$G112,L$6=$F112),$D112*L$5,"")</f>
        <v/>
      </c>
      <c r="M112" s="2" t="str">
        <f aca="false">IF(AND(M$4=$G112,M$6=$F112),$D112*M$5,"")</f>
        <v/>
      </c>
      <c r="N112" s="1414" t="n">
        <f aca="false">VLOOKUP(B112,'O_MN, PE_UTA_UGM 2024'!$E$2:$K$419,IF(G112&gt;1,6,7))</f>
        <v>0</v>
      </c>
      <c r="O112" s="1434" t="str">
        <f aca="false">IF($H112=O$4,$D112*$N112,"")</f>
        <v/>
      </c>
      <c r="P112" s="1435" t="str">
        <f aca="false">IF($H112=P$4,$D112*$N112,"")</f>
        <v/>
      </c>
      <c r="Q112" s="1435" t="str">
        <f aca="false">IF($H112=Q$4,$D112*$N112,"")</f>
        <v/>
      </c>
      <c r="R112" s="1435" t="str">
        <f aca="false">IF($H112=R$4,$D112*$N112,"")</f>
        <v/>
      </c>
      <c r="S112" s="1435" t="str">
        <f aca="false">IF($H112=S$4,$D112*$N112,"")</f>
        <v/>
      </c>
      <c r="T112" s="1435" t="str">
        <f aca="false">IF($H112=T$4,$D112*$N112,"")</f>
        <v/>
      </c>
      <c r="U112" s="1436" t="str">
        <f aca="false">IF($H112=U$4,$D112*$N112,"")</f>
        <v/>
      </c>
      <c r="V112" s="1418"/>
      <c r="W112" s="1419"/>
      <c r="X112" s="1419"/>
      <c r="Y112" s="1419"/>
      <c r="Z112" s="1419"/>
      <c r="AA112" s="1419"/>
      <c r="AB112" s="1420"/>
      <c r="AC112" s="1319"/>
      <c r="AD112" s="2" t="str">
        <f aca="false">IF(AND(AD$4=$G112,AD$6=$F112),$B112,"")</f>
        <v/>
      </c>
      <c r="AE112" s="2" t="str">
        <f aca="false">IF(AND(AE$4=$G112,AE$6=$F112),$B112,"")</f>
        <v/>
      </c>
      <c r="AF112" s="2" t="str">
        <f aca="false">IF(AND(AF$4=$G112,AF$6=$F112),$B112,"")</f>
        <v/>
      </c>
      <c r="AG112" s="2" t="str">
        <f aca="false">IF(AND(AG$4=$G112,AG$6=$F112),$B112,"")</f>
        <v/>
      </c>
      <c r="AI112" s="366"/>
      <c r="AL112" s="367"/>
      <c r="AO112" s="367" t="str">
        <f aca="false">IF(MID(AR112,LEN(AR112),1)+0&gt;0,CONCATENATE(AY112," invernadero"),AY112)</f>
        <v> invernadero</v>
      </c>
      <c r="AP112" s="2" t="str">
        <f aca="false">IF(AT112&gt;0,RANK(AT112,AT$7:AT$423),"")</f>
        <v/>
      </c>
      <c r="AQ112" s="2" t="n">
        <f aca="false">'O_MN, PE_UTA_UGM 2024'!C108</f>
        <v>158</v>
      </c>
      <c r="AR112" s="1421" t="n">
        <v>1574</v>
      </c>
      <c r="AS112" s="2" t="str">
        <f aca="false">IF(AY112&lt;&gt;"",AY112,"")</f>
        <v/>
      </c>
      <c r="AT112" s="1422" t="n">
        <f aca="false">IF(ISNUMBER($AR112),SUMIF(B$7:B$505,AR112,D$7:D$505),"")</f>
        <v>0</v>
      </c>
      <c r="AU112" s="1411" t="n">
        <f aca="false">IF(ISNUMBER($AR112),SUMIF(AD$7:AD$503,$AR112,J$7:J$503),"")</f>
        <v>0</v>
      </c>
      <c r="AV112" s="1411" t="n">
        <f aca="false">IF(ISNUMBER($AR112),SUMIF(AF$7:AF$503,$AR112,L$7:L$503),"")</f>
        <v>0</v>
      </c>
      <c r="AW112" s="1423" t="n">
        <f aca="false">IF(ISNUMBER($AR112),SUMIF(AE$7:AE$503,$AR112,K$7:K$503),"")</f>
        <v>0</v>
      </c>
      <c r="AX112" s="1423" t="n">
        <f aca="false">IF(ISNUMBER($AR112),SUMIF(AG$7:AG$503,$AR112,M$7:M$503),"")</f>
        <v>0</v>
      </c>
      <c r="AY112" s="2" t="str">
        <f aca="false">IF($AT112&gt;0,VLOOKUP($AR112,'O_MN, PE_UTA_UGM 2024'!E108:O524,2),"")</f>
        <v/>
      </c>
      <c r="AZ112" s="1424"/>
      <c r="BA112" s="1424"/>
      <c r="BB112" s="1424" t="str">
        <f aca="false">IF($AT112&gt;0,VLOOKUP($AR112,'O_MN, PE_UTA_UGM 2024'!$E$3:$O$419,BB$6),"")</f>
        <v/>
      </c>
      <c r="BC112" s="1424" t="str">
        <f aca="false">IF($AT112&gt;0,VLOOKUP($AR112,'O_MN, PE_UTA_UGM 2024'!$E$3:$O$419,BC$6),"")</f>
        <v/>
      </c>
      <c r="BD112" s="1424" t="str">
        <f aca="false">IF($AT112&gt;0,VLOOKUP($AR112,'O_MN, PE_UTA_UGM 2024'!$E$3:$O$419,BD$6),"")</f>
        <v/>
      </c>
      <c r="BE112" s="1424" t="str">
        <f aca="false">IF($AT112&gt;0,VLOOKUP($AR112,'O_MN, PE_UTA_UGM 2024'!$E$3:$O$419,BE$6),"")</f>
        <v/>
      </c>
      <c r="BF112" s="1424" t="str">
        <f aca="false">IF($AT112&gt;0,VLOOKUP($AR112,'O_MN, PE_UTA_UGM 2024'!$E$3:$O$419,BF$6),"")</f>
        <v/>
      </c>
      <c r="BG112" s="1424" t="str">
        <f aca="false">IF($AT112&gt;0,VLOOKUP($AR112,'O_MN, PE_UTA_UGM 2024'!$E$3:$O$419,BG$6),"")</f>
        <v/>
      </c>
      <c r="BH112" s="872"/>
      <c r="BI112" s="872"/>
      <c r="BJ112" s="872"/>
      <c r="BK112" s="872"/>
      <c r="BM112" s="1411"/>
      <c r="BN112" s="1411"/>
      <c r="BO112" s="1425" t="str">
        <f aca="false">IF(ISNUMBER($AU112*BB112*1),$AU112*BB112*1,"")</f>
        <v/>
      </c>
      <c r="BP112" s="1425" t="str">
        <f aca="false">IF(ISNUMBER($AV112*BC112*1),$AV112*BC112*1,"")</f>
        <v/>
      </c>
      <c r="BQ112" s="1425" t="str">
        <f aca="false">IF(ISNUMBER($AU112*BD112*1),$AU112*BD112*1,"")</f>
        <v/>
      </c>
      <c r="BR112" s="1425" t="str">
        <f aca="false">IF(ISNUMBER($AV112*BE112*1),$AV112*BE112*1,"")</f>
        <v/>
      </c>
      <c r="BS112" s="1411" t="str">
        <f aca="false">IF(ISNUMBER($AU112*BF112),$AU112*BF112,"")</f>
        <v/>
      </c>
      <c r="BT112" s="1411" t="str">
        <f aca="false">IF(ISNUMBER($AV112*BG112),$AV112*BG112,"")</f>
        <v/>
      </c>
      <c r="BU112" s="1411"/>
      <c r="BV112" s="1411"/>
      <c r="BW112" s="1411"/>
      <c r="BX112" s="1411"/>
      <c r="BZ112" s="1372"/>
      <c r="CA112" s="1372"/>
      <c r="CB112" s="1426" t="str">
        <f aca="false">IF(ISNUMBER($AW112*BB112),$AW112*BB112,"")</f>
        <v/>
      </c>
      <c r="CC112" s="1426" t="str">
        <f aca="false">IF(ISNUMBER($AX112*BC112),$AX112*BC112,"")</f>
        <v/>
      </c>
      <c r="CD112" s="1426" t="str">
        <f aca="false">IF(ISNUMBER($AW112*BD112),$AW112*BD112,"")</f>
        <v/>
      </c>
      <c r="CE112" s="1426" t="str">
        <f aca="false">IF(ISNUMBER($AX112*BE112),$AX112*BE112,"")</f>
        <v/>
      </c>
      <c r="CF112" s="1372" t="str">
        <f aca="false">IF(ISNUMBER($AW112*BF112),$AW112*BF112,"")</f>
        <v/>
      </c>
      <c r="CG112" s="1372" t="str">
        <f aca="false">IF(ISNUMBER($AX112*BG112),$AX112*BG112,"")</f>
        <v/>
      </c>
      <c r="CH112" s="1438"/>
      <c r="CI112" s="1438"/>
      <c r="CJ112" s="1438"/>
      <c r="CK112" s="1438"/>
      <c r="CU112" s="1411"/>
      <c r="CV112" s="1411"/>
      <c r="CW112" s="1425"/>
      <c r="CX112" s="1425"/>
      <c r="CY112" s="1425"/>
      <c r="CZ112" s="1425"/>
      <c r="DA112" s="1411"/>
      <c r="DB112" s="1411"/>
      <c r="DC112" s="1411"/>
      <c r="DD112" s="1411"/>
      <c r="DE112" s="1411"/>
      <c r="DF112" s="1411"/>
      <c r="DH112" s="1432"/>
      <c r="DI112" s="1432"/>
      <c r="DJ112" s="1437"/>
      <c r="DK112" s="1437"/>
      <c r="DL112" s="1437"/>
      <c r="DM112" s="1437"/>
      <c r="DN112" s="1432"/>
      <c r="DO112" s="1432"/>
      <c r="DP112" s="1432"/>
      <c r="DQ112" s="1432"/>
      <c r="DR112" s="1432"/>
      <c r="DS112" s="1432"/>
      <c r="DT112" s="1316"/>
      <c r="DU112" s="1433"/>
      <c r="DV112" s="1433"/>
      <c r="DW112" s="1433"/>
      <c r="DX112" s="1433"/>
      <c r="DY112" s="1433"/>
      <c r="DZ112" s="1433"/>
      <c r="EA112" s="1433"/>
      <c r="EB112" s="1433"/>
    </row>
    <row r="113" customFormat="false" ht="14.25" hidden="false" customHeight="false" outlineLevel="0" collapsed="false">
      <c r="A113" s="2" t="n">
        <f aca="false">'V_DATOS PAC_SGA'!R108</f>
        <v>0</v>
      </c>
      <c r="B113" s="2" t="n">
        <f aca="false">IF(I113="IV",CONCATENATE('V_DATOS PAC_SGA'!R108,"4")+0,CONCATENATE('V_DATOS PAC_SGA'!R108,"0")+0)</f>
        <v>0</v>
      </c>
      <c r="C113" s="2" t="n">
        <f aca="false">'V_DATOS PAC_SGA'!S108</f>
        <v>0</v>
      </c>
      <c r="D113" s="1409" t="n">
        <f aca="false">'V_DATOS PAC_SGA'!Y108</f>
        <v>0</v>
      </c>
      <c r="E113" s="1410" t="str">
        <f aca="false">IF('V_DATOS PAC_SGA'!AV108="","Regadio",'V_DATOS PAC_SGA'!AV108)</f>
        <v>Regadio</v>
      </c>
      <c r="F113" s="1411" t="n">
        <f aca="false">'V_DATOS PAC_SGA'!BK108</f>
        <v>0</v>
      </c>
      <c r="G113" s="1412" t="n">
        <f aca="false">'V_DATOS PAC_SGA'!AN108</f>
        <v>0</v>
      </c>
      <c r="H113" s="1413" t="str">
        <f aca="false">IF(B113&gt;0,VLOOKUP(B113,'O_MN, PE_UTA_UGM 2024'!E$3:O$419,10),"")</f>
        <v/>
      </c>
      <c r="I113" s="1359" t="n">
        <f aca="false">'V_DATOS PAC_SGA'!BV108</f>
        <v>0</v>
      </c>
      <c r="J113" s="2" t="str">
        <f aca="false">IF(AND(J$4=$G113,J$6=$F113),$D113*J$5,"")</f>
        <v/>
      </c>
      <c r="K113" s="2" t="str">
        <f aca="false">IF(AND(K$4=$G113,K$6=$F113),$D113*K$5,"")</f>
        <v/>
      </c>
      <c r="L113" s="2" t="str">
        <f aca="false">IF(AND(L$4=$G113,L$6=$F113),$D113*L$5,"")</f>
        <v/>
      </c>
      <c r="M113" s="2" t="str">
        <f aca="false">IF(AND(M$4=$G113,M$6=$F113),$D113*M$5,"")</f>
        <v/>
      </c>
      <c r="N113" s="1414" t="n">
        <f aca="false">VLOOKUP(B113,'O_MN, PE_UTA_UGM 2024'!$E$2:$K$419,IF(G113&gt;1,6,7))</f>
        <v>0</v>
      </c>
      <c r="O113" s="1434" t="str">
        <f aca="false">IF($H113=O$4,$D113*$N113,"")</f>
        <v/>
      </c>
      <c r="P113" s="1435" t="str">
        <f aca="false">IF($H113=P$4,$D113*$N113,"")</f>
        <v/>
      </c>
      <c r="Q113" s="1435" t="str">
        <f aca="false">IF($H113=Q$4,$D113*$N113,"")</f>
        <v/>
      </c>
      <c r="R113" s="1435" t="str">
        <f aca="false">IF($H113=R$4,$D113*$N113,"")</f>
        <v/>
      </c>
      <c r="S113" s="1435" t="str">
        <f aca="false">IF($H113=S$4,$D113*$N113,"")</f>
        <v/>
      </c>
      <c r="T113" s="1435" t="str">
        <f aca="false">IF($H113=T$4,$D113*$N113,"")</f>
        <v/>
      </c>
      <c r="U113" s="1436" t="str">
        <f aca="false">IF($H113=U$4,$D113*$N113,"")</f>
        <v/>
      </c>
      <c r="V113" s="1418"/>
      <c r="W113" s="1419"/>
      <c r="X113" s="1419"/>
      <c r="Y113" s="1419"/>
      <c r="Z113" s="1419"/>
      <c r="AA113" s="1419"/>
      <c r="AB113" s="1420"/>
      <c r="AC113" s="1319"/>
      <c r="AD113" s="2" t="str">
        <f aca="false">IF(AND(AD$4=$G113,AD$6=$F113),$B113,"")</f>
        <v/>
      </c>
      <c r="AE113" s="2" t="str">
        <f aca="false">IF(AND(AE$4=$G113,AE$6=$F113),$B113,"")</f>
        <v/>
      </c>
      <c r="AF113" s="2" t="str">
        <f aca="false">IF(AND(AF$4=$G113,AF$6=$F113),$B113,"")</f>
        <v/>
      </c>
      <c r="AG113" s="2" t="str">
        <f aca="false">IF(AND(AG$4=$G113,AG$6=$F113),$B113,"")</f>
        <v/>
      </c>
      <c r="AI113" s="366"/>
      <c r="AL113" s="367"/>
      <c r="AO113" s="367" t="str">
        <f aca="false">IF(MID(AR113,LEN(AR113),1)+0&gt;0,CONCATENATE(AY113," invernadero"),AY113)</f>
        <v> invernadero</v>
      </c>
      <c r="AP113" s="2" t="str">
        <f aca="false">IF(AT113&gt;0,RANK(AT113,AT$7:AT$423),"")</f>
        <v/>
      </c>
      <c r="AQ113" s="2" t="n">
        <f aca="false">'O_MN, PE_UTA_UGM 2024'!C109</f>
        <v>159</v>
      </c>
      <c r="AR113" s="1421" t="n">
        <v>1579</v>
      </c>
      <c r="AS113" s="2" t="str">
        <f aca="false">IF(AY113&lt;&gt;"",AY113,"")</f>
        <v/>
      </c>
      <c r="AT113" s="1422" t="n">
        <f aca="false">IF(ISNUMBER($AR113),SUMIF(B$7:B$505,AR113,D$7:D$505),"")</f>
        <v>0</v>
      </c>
      <c r="AU113" s="1411" t="n">
        <f aca="false">IF(ISNUMBER($AR113),SUMIF(AD$7:AD$503,$AR113,J$7:J$503),"")</f>
        <v>0</v>
      </c>
      <c r="AV113" s="1411" t="n">
        <f aca="false">IF(ISNUMBER($AR113),SUMIF(AF$7:AF$503,$AR113,L$7:L$503),"")</f>
        <v>0</v>
      </c>
      <c r="AW113" s="1423" t="n">
        <f aca="false">IF(ISNUMBER($AR113),SUMIF(AE$7:AE$503,$AR113,K$7:K$503),"")</f>
        <v>0</v>
      </c>
      <c r="AX113" s="1423" t="n">
        <f aca="false">IF(ISNUMBER($AR113),SUMIF(AG$7:AG$503,$AR113,M$7:M$503),"")</f>
        <v>0</v>
      </c>
      <c r="AY113" s="2" t="str">
        <f aca="false">IF($AT113&gt;0,VLOOKUP($AR113,'O_MN, PE_UTA_UGM 2024'!E109:O525,2),"")</f>
        <v/>
      </c>
      <c r="AZ113" s="1424"/>
      <c r="BA113" s="1424"/>
      <c r="BB113" s="1424" t="str">
        <f aca="false">IF($AT113&gt;0,VLOOKUP($AR113,'O_MN, PE_UTA_UGM 2024'!$E$3:$O$419,BB$6),"")</f>
        <v/>
      </c>
      <c r="BC113" s="1424" t="str">
        <f aca="false">IF($AT113&gt;0,VLOOKUP($AR113,'O_MN, PE_UTA_UGM 2024'!$E$3:$O$419,BC$6),"")</f>
        <v/>
      </c>
      <c r="BD113" s="1424" t="str">
        <f aca="false">IF($AT113&gt;0,VLOOKUP($AR113,'O_MN, PE_UTA_UGM 2024'!$E$3:$O$419,BD$6),"")</f>
        <v/>
      </c>
      <c r="BE113" s="1424" t="str">
        <f aca="false">IF($AT113&gt;0,VLOOKUP($AR113,'O_MN, PE_UTA_UGM 2024'!$E$3:$O$419,BE$6),"")</f>
        <v/>
      </c>
      <c r="BF113" s="1424" t="str">
        <f aca="false">IF($AT113&gt;0,VLOOKUP($AR113,'O_MN, PE_UTA_UGM 2024'!$E$3:$O$419,BF$6),"")</f>
        <v/>
      </c>
      <c r="BG113" s="1424" t="str">
        <f aca="false">IF($AT113&gt;0,VLOOKUP($AR113,'O_MN, PE_UTA_UGM 2024'!$E$3:$O$419,BG$6),"")</f>
        <v/>
      </c>
      <c r="BH113" s="872"/>
      <c r="BI113" s="872"/>
      <c r="BJ113" s="872"/>
      <c r="BK113" s="872"/>
      <c r="BM113" s="1411"/>
      <c r="BN113" s="1411"/>
      <c r="BO113" s="1425" t="str">
        <f aca="false">IF(ISNUMBER($AU113*BB113*1),$AU113*BB113*1,"")</f>
        <v/>
      </c>
      <c r="BP113" s="1425" t="str">
        <f aca="false">IF(ISNUMBER($AV113*BC113*1),$AV113*BC113*1,"")</f>
        <v/>
      </c>
      <c r="BQ113" s="1425" t="str">
        <f aca="false">IF(ISNUMBER($AU113*BD113*1),$AU113*BD113*1,"")</f>
        <v/>
      </c>
      <c r="BR113" s="1425" t="str">
        <f aca="false">IF(ISNUMBER($AV113*BE113*1),$AV113*BE113*1,"")</f>
        <v/>
      </c>
      <c r="BS113" s="1411" t="str">
        <f aca="false">IF(ISNUMBER($AU113*BF113),$AU113*BF113,"")</f>
        <v/>
      </c>
      <c r="BT113" s="1411" t="str">
        <f aca="false">IF(ISNUMBER($AV113*BG113),$AV113*BG113,"")</f>
        <v/>
      </c>
      <c r="BU113" s="1411"/>
      <c r="BV113" s="1411"/>
      <c r="BW113" s="1411"/>
      <c r="BX113" s="1411"/>
      <c r="BZ113" s="1372"/>
      <c r="CA113" s="1372"/>
      <c r="CB113" s="1426" t="str">
        <f aca="false">IF(ISNUMBER($AW113*BB113),$AW113*BB113,"")</f>
        <v/>
      </c>
      <c r="CC113" s="1426" t="str">
        <f aca="false">IF(ISNUMBER($AX113*BC113),$AX113*BC113,"")</f>
        <v/>
      </c>
      <c r="CD113" s="1426" t="str">
        <f aca="false">IF(ISNUMBER($AW113*BD113),$AW113*BD113,"")</f>
        <v/>
      </c>
      <c r="CE113" s="1426" t="str">
        <f aca="false">IF(ISNUMBER($AX113*BE113),$AX113*BE113,"")</f>
        <v/>
      </c>
      <c r="CF113" s="1372" t="str">
        <f aca="false">IF(ISNUMBER($AW113*BF113),$AW113*BF113,"")</f>
        <v/>
      </c>
      <c r="CG113" s="1372" t="str">
        <f aca="false">IF(ISNUMBER($AX113*BG113),$AX113*BG113,"")</f>
        <v/>
      </c>
      <c r="CH113" s="1438"/>
      <c r="CI113" s="1438"/>
      <c r="CJ113" s="1438"/>
      <c r="CK113" s="1438"/>
      <c r="CU113" s="1411"/>
      <c r="CV113" s="1411"/>
      <c r="CW113" s="1425"/>
      <c r="CX113" s="1425"/>
      <c r="CY113" s="1425"/>
      <c r="CZ113" s="1425"/>
      <c r="DA113" s="1411"/>
      <c r="DB113" s="1411"/>
      <c r="DC113" s="1411"/>
      <c r="DD113" s="1411"/>
      <c r="DE113" s="1411"/>
      <c r="DF113" s="1411"/>
      <c r="DH113" s="1432"/>
      <c r="DI113" s="1432"/>
      <c r="DJ113" s="1437"/>
      <c r="DK113" s="1437"/>
      <c r="DL113" s="1437"/>
      <c r="DM113" s="1437"/>
      <c r="DN113" s="1432"/>
      <c r="DO113" s="1432"/>
      <c r="DP113" s="1432"/>
      <c r="DQ113" s="1432"/>
      <c r="DR113" s="1432"/>
      <c r="DS113" s="1432"/>
      <c r="DT113" s="1316"/>
      <c r="DU113" s="1433"/>
      <c r="DV113" s="1433"/>
      <c r="DW113" s="1433"/>
      <c r="DX113" s="1433"/>
      <c r="DY113" s="1433"/>
      <c r="DZ113" s="1433"/>
      <c r="EA113" s="1433"/>
      <c r="EB113" s="1433"/>
    </row>
    <row r="114" customFormat="false" ht="14.25" hidden="false" customHeight="false" outlineLevel="0" collapsed="false">
      <c r="A114" s="2" t="n">
        <f aca="false">'V_DATOS PAC_SGA'!R109</f>
        <v>0</v>
      </c>
      <c r="B114" s="2" t="n">
        <f aca="false">IF(I114="IV",CONCATENATE('V_DATOS PAC_SGA'!R109,"4")+0,CONCATENATE('V_DATOS PAC_SGA'!R109,"0")+0)</f>
        <v>0</v>
      </c>
      <c r="C114" s="2" t="n">
        <f aca="false">'V_DATOS PAC_SGA'!S109</f>
        <v>0</v>
      </c>
      <c r="D114" s="1409" t="n">
        <f aca="false">'V_DATOS PAC_SGA'!Y109</f>
        <v>0</v>
      </c>
      <c r="E114" s="1410" t="str">
        <f aca="false">IF('V_DATOS PAC_SGA'!AV109="","Regadio",'V_DATOS PAC_SGA'!AV109)</f>
        <v>Regadio</v>
      </c>
      <c r="F114" s="1411" t="n">
        <f aca="false">'V_DATOS PAC_SGA'!BK109</f>
        <v>0</v>
      </c>
      <c r="G114" s="1412" t="n">
        <f aca="false">'V_DATOS PAC_SGA'!AN109</f>
        <v>0</v>
      </c>
      <c r="H114" s="1413" t="str">
        <f aca="false">IF(B114&gt;0,VLOOKUP(B114,'O_MN, PE_UTA_UGM 2024'!E$3:O$419,10),"")</f>
        <v/>
      </c>
      <c r="I114" s="1359" t="n">
        <f aca="false">'V_DATOS PAC_SGA'!BV109</f>
        <v>0</v>
      </c>
      <c r="J114" s="2" t="str">
        <f aca="false">IF(AND(J$4=$G114,J$6=$F114),$D114*J$5,"")</f>
        <v/>
      </c>
      <c r="K114" s="2" t="str">
        <f aca="false">IF(AND(K$4=$G114,K$6=$F114),$D114*K$5,"")</f>
        <v/>
      </c>
      <c r="L114" s="2" t="str">
        <f aca="false">IF(AND(L$4=$G114,L$6=$F114),$D114*L$5,"")</f>
        <v/>
      </c>
      <c r="M114" s="2" t="str">
        <f aca="false">IF(AND(M$4=$G114,M$6=$F114),$D114*M$5,"")</f>
        <v/>
      </c>
      <c r="N114" s="1414" t="n">
        <f aca="false">VLOOKUP(B114,'O_MN, PE_UTA_UGM 2024'!$E$2:$K$419,IF(G114&gt;1,6,7))</f>
        <v>0</v>
      </c>
      <c r="O114" s="1434" t="str">
        <f aca="false">IF($H114=O$4,$D114*$N114,"")</f>
        <v/>
      </c>
      <c r="P114" s="1435" t="str">
        <f aca="false">IF($H114=P$4,$D114*$N114,"")</f>
        <v/>
      </c>
      <c r="Q114" s="1435" t="str">
        <f aca="false">IF($H114=Q$4,$D114*$N114,"")</f>
        <v/>
      </c>
      <c r="R114" s="1435" t="str">
        <f aca="false">IF($H114=R$4,$D114*$N114,"")</f>
        <v/>
      </c>
      <c r="S114" s="1435" t="str">
        <f aca="false">IF($H114=S$4,$D114*$N114,"")</f>
        <v/>
      </c>
      <c r="T114" s="1435" t="str">
        <f aca="false">IF($H114=T$4,$D114*$N114,"")</f>
        <v/>
      </c>
      <c r="U114" s="1436" t="str">
        <f aca="false">IF($H114=U$4,$D114*$N114,"")</f>
        <v/>
      </c>
      <c r="V114" s="1418"/>
      <c r="W114" s="1419"/>
      <c r="X114" s="1419"/>
      <c r="Y114" s="1419"/>
      <c r="Z114" s="1419"/>
      <c r="AA114" s="1419"/>
      <c r="AB114" s="1420"/>
      <c r="AC114" s="1319"/>
      <c r="AD114" s="2" t="str">
        <f aca="false">IF(AND(AD$4=$G114,AD$6=$F114),$B114,"")</f>
        <v/>
      </c>
      <c r="AE114" s="2" t="str">
        <f aca="false">IF(AND(AE$4=$G114,AE$6=$F114),$B114,"")</f>
        <v/>
      </c>
      <c r="AF114" s="2" t="str">
        <f aca="false">IF(AND(AF$4=$G114,AF$6=$F114),$B114,"")</f>
        <v/>
      </c>
      <c r="AG114" s="2" t="str">
        <f aca="false">IF(AND(AG$4=$G114,AG$6=$F114),$B114,"")</f>
        <v/>
      </c>
      <c r="AI114" s="366"/>
      <c r="AL114" s="367"/>
      <c r="AO114" s="367" t="str">
        <f aca="false">IF(MID(AR114,LEN(AR114),1)+0&gt;0,CONCATENATE(AY114," invernadero"),AY114)</f>
        <v/>
      </c>
      <c r="AP114" s="2" t="str">
        <f aca="false">IF(AT114&gt;0,RANK(AT114,AT$7:AT$423),"")</f>
        <v/>
      </c>
      <c r="AQ114" s="2" t="n">
        <f aca="false">'O_MN, PE_UTA_UGM 2024'!C110</f>
        <v>159</v>
      </c>
      <c r="AR114" s="1421" t="n">
        <v>1580</v>
      </c>
      <c r="AS114" s="2" t="str">
        <f aca="false">IF(AY114&lt;&gt;"",AY114,"")</f>
        <v/>
      </c>
      <c r="AT114" s="1422" t="n">
        <f aca="false">IF(ISNUMBER($AR114),SUMIF(B$7:B$505,AR114,D$7:D$505),"")</f>
        <v>0</v>
      </c>
      <c r="AU114" s="1411" t="n">
        <f aca="false">IF(ISNUMBER($AR114),SUMIF(AD$7:AD$503,$AR114,J$7:J$503),"")</f>
        <v>0</v>
      </c>
      <c r="AV114" s="1411" t="n">
        <f aca="false">IF(ISNUMBER($AR114),SUMIF(AF$7:AF$503,$AR114,L$7:L$503),"")</f>
        <v>0</v>
      </c>
      <c r="AW114" s="1423" t="n">
        <f aca="false">IF(ISNUMBER($AR114),SUMIF(AE$7:AE$503,$AR114,K$7:K$503),"")</f>
        <v>0</v>
      </c>
      <c r="AX114" s="1423" t="n">
        <f aca="false">IF(ISNUMBER($AR114),SUMIF(AG$7:AG$503,$AR114,M$7:M$503),"")</f>
        <v>0</v>
      </c>
      <c r="AY114" s="2" t="str">
        <f aca="false">IF($AT114&gt;0,VLOOKUP($AR114,'O_MN, PE_UTA_UGM 2024'!E110:O526,2),"")</f>
        <v/>
      </c>
      <c r="AZ114" s="1424"/>
      <c r="BA114" s="1424"/>
      <c r="BB114" s="1424" t="str">
        <f aca="false">IF($AT114&gt;0,VLOOKUP($AR114,'O_MN, PE_UTA_UGM 2024'!$E$3:$O$419,BB$6),"")</f>
        <v/>
      </c>
      <c r="BC114" s="1424" t="str">
        <f aca="false">IF($AT114&gt;0,VLOOKUP($AR114,'O_MN, PE_UTA_UGM 2024'!$E$3:$O$419,BC$6),"")</f>
        <v/>
      </c>
      <c r="BD114" s="1424" t="str">
        <f aca="false">IF($AT114&gt;0,VLOOKUP($AR114,'O_MN, PE_UTA_UGM 2024'!$E$3:$O$419,BD$6),"")</f>
        <v/>
      </c>
      <c r="BE114" s="1424" t="str">
        <f aca="false">IF($AT114&gt;0,VLOOKUP($AR114,'O_MN, PE_UTA_UGM 2024'!$E$3:$O$419,BE$6),"")</f>
        <v/>
      </c>
      <c r="BF114" s="1424" t="str">
        <f aca="false">IF($AT114&gt;0,VLOOKUP($AR114,'O_MN, PE_UTA_UGM 2024'!$E$3:$O$419,BF$6),"")</f>
        <v/>
      </c>
      <c r="BG114" s="1424" t="str">
        <f aca="false">IF($AT114&gt;0,VLOOKUP($AR114,'O_MN, PE_UTA_UGM 2024'!$E$3:$O$419,BG$6),"")</f>
        <v/>
      </c>
      <c r="BH114" s="872"/>
      <c r="BI114" s="872"/>
      <c r="BJ114" s="872"/>
      <c r="BK114" s="872"/>
      <c r="BM114" s="1411"/>
      <c r="BN114" s="1411"/>
      <c r="BO114" s="1425" t="str">
        <f aca="false">IF(ISNUMBER($AU114*BB114*1),$AU114*BB114*1,"")</f>
        <v/>
      </c>
      <c r="BP114" s="1425" t="str">
        <f aca="false">IF(ISNUMBER($AV114*BC114*1),$AV114*BC114*1,"")</f>
        <v/>
      </c>
      <c r="BQ114" s="1425" t="str">
        <f aca="false">IF(ISNUMBER($AU114*BD114*1),$AU114*BD114*1,"")</f>
        <v/>
      </c>
      <c r="BR114" s="1425" t="str">
        <f aca="false">IF(ISNUMBER($AV114*BE114*1),$AV114*BE114*1,"")</f>
        <v/>
      </c>
      <c r="BS114" s="1411" t="str">
        <f aca="false">IF(ISNUMBER($AU114*BF114),$AU114*BF114,"")</f>
        <v/>
      </c>
      <c r="BT114" s="1411" t="str">
        <f aca="false">IF(ISNUMBER($AV114*BG114),$AV114*BG114,"")</f>
        <v/>
      </c>
      <c r="BU114" s="1411"/>
      <c r="BV114" s="1411"/>
      <c r="BW114" s="1411"/>
      <c r="BX114" s="1411"/>
      <c r="BZ114" s="1372"/>
      <c r="CA114" s="1372"/>
      <c r="CB114" s="1426" t="str">
        <f aca="false">IF(ISNUMBER($AW114*BB114),$AW114*BB114,"")</f>
        <v/>
      </c>
      <c r="CC114" s="1426" t="str">
        <f aca="false">IF(ISNUMBER($AX114*BC114),$AX114*BC114,"")</f>
        <v/>
      </c>
      <c r="CD114" s="1426" t="str">
        <f aca="false">IF(ISNUMBER($AW114*BD114),$AW114*BD114,"")</f>
        <v/>
      </c>
      <c r="CE114" s="1426" t="str">
        <f aca="false">IF(ISNUMBER($AX114*BE114),$AX114*BE114,"")</f>
        <v/>
      </c>
      <c r="CF114" s="1372" t="str">
        <f aca="false">IF(ISNUMBER($AW114*BF114),$AW114*BF114,"")</f>
        <v/>
      </c>
      <c r="CG114" s="1372" t="str">
        <f aca="false">IF(ISNUMBER($AX114*BG114),$AX114*BG114,"")</f>
        <v/>
      </c>
      <c r="CH114" s="1438"/>
      <c r="CI114" s="1438"/>
      <c r="CJ114" s="1438"/>
      <c r="CK114" s="1438"/>
      <c r="CU114" s="1411"/>
      <c r="CV114" s="1411"/>
      <c r="CW114" s="1425"/>
      <c r="CX114" s="1425"/>
      <c r="CY114" s="1425"/>
      <c r="CZ114" s="1425"/>
      <c r="DA114" s="1411"/>
      <c r="DB114" s="1411"/>
      <c r="DC114" s="1411"/>
      <c r="DD114" s="1411"/>
      <c r="DE114" s="1411"/>
      <c r="DF114" s="1411"/>
      <c r="DH114" s="1432"/>
      <c r="DI114" s="1432"/>
      <c r="DJ114" s="1437"/>
      <c r="DK114" s="1437"/>
      <c r="DL114" s="1437"/>
      <c r="DM114" s="1437"/>
      <c r="DN114" s="1432"/>
      <c r="DO114" s="1432"/>
      <c r="DP114" s="1432"/>
      <c r="DQ114" s="1432"/>
      <c r="DR114" s="1432"/>
      <c r="DS114" s="1432"/>
      <c r="DT114" s="1316"/>
      <c r="DU114" s="1433"/>
      <c r="DV114" s="1433"/>
      <c r="DW114" s="1433"/>
      <c r="DX114" s="1433"/>
      <c r="DY114" s="1433"/>
      <c r="DZ114" s="1433"/>
      <c r="EA114" s="1433"/>
      <c r="EB114" s="1433"/>
    </row>
    <row r="115" customFormat="false" ht="14.25" hidden="false" customHeight="false" outlineLevel="0" collapsed="false">
      <c r="A115" s="2" t="n">
        <f aca="false">'V_DATOS PAC_SGA'!R110</f>
        <v>0</v>
      </c>
      <c r="B115" s="2" t="n">
        <f aca="false">IF(I115="IV",CONCATENATE('V_DATOS PAC_SGA'!R110,"4")+0,CONCATENATE('V_DATOS PAC_SGA'!R110,"0")+0)</f>
        <v>0</v>
      </c>
      <c r="C115" s="2" t="n">
        <f aca="false">'V_DATOS PAC_SGA'!S110</f>
        <v>0</v>
      </c>
      <c r="D115" s="1409" t="n">
        <f aca="false">'V_DATOS PAC_SGA'!Y110</f>
        <v>0</v>
      </c>
      <c r="E115" s="1410" t="str">
        <f aca="false">IF('V_DATOS PAC_SGA'!AV110="","Regadio",'V_DATOS PAC_SGA'!AV110)</f>
        <v>Regadio</v>
      </c>
      <c r="F115" s="1411" t="n">
        <f aca="false">'V_DATOS PAC_SGA'!BK110</f>
        <v>0</v>
      </c>
      <c r="G115" s="1412" t="n">
        <f aca="false">'V_DATOS PAC_SGA'!AN110</f>
        <v>0</v>
      </c>
      <c r="H115" s="1413" t="str">
        <f aca="false">IF(B115&gt;0,VLOOKUP(B115,'O_MN, PE_UTA_UGM 2024'!E$3:O$419,10),"")</f>
        <v/>
      </c>
      <c r="I115" s="1359" t="n">
        <f aca="false">'V_DATOS PAC_SGA'!BV110</f>
        <v>0</v>
      </c>
      <c r="J115" s="2" t="str">
        <f aca="false">IF(AND(J$4=$G115,J$6=$F115),$D115*J$5,"")</f>
        <v/>
      </c>
      <c r="K115" s="2" t="str">
        <f aca="false">IF(AND(K$4=$G115,K$6=$F115),$D115*K$5,"")</f>
        <v/>
      </c>
      <c r="L115" s="2" t="str">
        <f aca="false">IF(AND(L$4=$G115,L$6=$F115),$D115*L$5,"")</f>
        <v/>
      </c>
      <c r="M115" s="2" t="str">
        <f aca="false">IF(AND(M$4=$G115,M$6=$F115),$D115*M$5,"")</f>
        <v/>
      </c>
      <c r="N115" s="1414" t="n">
        <f aca="false">VLOOKUP(B115,'O_MN, PE_UTA_UGM 2024'!$E$2:$K$419,IF(G115&gt;1,6,7))</f>
        <v>0</v>
      </c>
      <c r="O115" s="1434" t="str">
        <f aca="false">IF($H115=O$4,$D115*$N115,"")</f>
        <v/>
      </c>
      <c r="P115" s="1435" t="str">
        <f aca="false">IF($H115=P$4,$D115*$N115,"")</f>
        <v/>
      </c>
      <c r="Q115" s="1435" t="str">
        <f aca="false">IF($H115=Q$4,$D115*$N115,"")</f>
        <v/>
      </c>
      <c r="R115" s="1435" t="str">
        <f aca="false">IF($H115=R$4,$D115*$N115,"")</f>
        <v/>
      </c>
      <c r="S115" s="1435" t="str">
        <f aca="false">IF($H115=S$4,$D115*$N115,"")</f>
        <v/>
      </c>
      <c r="T115" s="1435" t="str">
        <f aca="false">IF($H115=T$4,$D115*$N115,"")</f>
        <v/>
      </c>
      <c r="U115" s="1436" t="str">
        <f aca="false">IF($H115=U$4,$D115*$N115,"")</f>
        <v/>
      </c>
      <c r="V115" s="1418"/>
      <c r="W115" s="1419"/>
      <c r="X115" s="1419"/>
      <c r="Y115" s="1419"/>
      <c r="Z115" s="1419"/>
      <c r="AA115" s="1419"/>
      <c r="AB115" s="1420"/>
      <c r="AC115" s="1319"/>
      <c r="AD115" s="2" t="str">
        <f aca="false">IF(AND(AD$4=$G115,AD$6=$F115),$B115,"")</f>
        <v/>
      </c>
      <c r="AE115" s="2" t="str">
        <f aca="false">IF(AND(AE$4=$G115,AE$6=$F115),$B115,"")</f>
        <v/>
      </c>
      <c r="AF115" s="2" t="str">
        <f aca="false">IF(AND(AF$4=$G115,AF$6=$F115),$B115,"")</f>
        <v/>
      </c>
      <c r="AG115" s="2" t="str">
        <f aca="false">IF(AND(AG$4=$G115,AG$6=$F115),$B115,"")</f>
        <v/>
      </c>
      <c r="AI115" s="366"/>
      <c r="AL115" s="367"/>
      <c r="AO115" s="367"/>
      <c r="AP115" s="2" t="str">
        <f aca="false">IF(AT115&gt;0,RANK(AT115,AT$7:AT$423),"")</f>
        <v/>
      </c>
      <c r="AQ115" s="2" t="n">
        <f aca="false">'O_MN, PE_UTA_UGM 2024'!C111</f>
        <v>159</v>
      </c>
      <c r="AR115" s="1421" t="n">
        <v>1584</v>
      </c>
      <c r="AS115" s="2" t="str">
        <f aca="false">IF(AY115&lt;&gt;"",AY115,"")</f>
        <v/>
      </c>
      <c r="AT115" s="1422" t="n">
        <f aca="false">IF(ISNUMBER($AR115),SUMIF(B$7:B$505,AR115,D$7:D$505),"")</f>
        <v>0</v>
      </c>
      <c r="AU115" s="1411" t="n">
        <f aca="false">IF(ISNUMBER($AR115),SUMIF(AD$7:AD$503,$AR115,J$7:J$503),"")</f>
        <v>0</v>
      </c>
      <c r="AV115" s="1411" t="n">
        <f aca="false">IF(ISNUMBER($AR115),SUMIF(AF$7:AF$503,$AR115,L$7:L$503),"")</f>
        <v>0</v>
      </c>
      <c r="AW115" s="1423" t="n">
        <f aca="false">IF(ISNUMBER($AR115),SUMIF(AE$7:AE$503,$AR115,K$7:K$503),"")</f>
        <v>0</v>
      </c>
      <c r="AX115" s="1423" t="n">
        <f aca="false">IF(ISNUMBER($AR115),SUMIF(AG$7:AG$503,$AR115,M$7:M$503),"")</f>
        <v>0</v>
      </c>
      <c r="AY115" s="2" t="str">
        <f aca="false">IF($AT115&gt;0,VLOOKUP($AR115,'O_MN, PE_UTA_UGM 2024'!E111:O527,2),"")</f>
        <v/>
      </c>
      <c r="AZ115" s="1424"/>
      <c r="BA115" s="1424"/>
      <c r="BB115" s="1424" t="str">
        <f aca="false">IF($AT115&gt;0,VLOOKUP($AR115,'O_MN, PE_UTA_UGM 2024'!$E$3:$O$419,BB$6),"")</f>
        <v/>
      </c>
      <c r="BC115" s="1424" t="str">
        <f aca="false">IF($AT115&gt;0,VLOOKUP($AR115,'O_MN, PE_UTA_UGM 2024'!$E$3:$O$419,BC$6),"")</f>
        <v/>
      </c>
      <c r="BD115" s="1424" t="str">
        <f aca="false">IF($AT115&gt;0,VLOOKUP($AR115,'O_MN, PE_UTA_UGM 2024'!$E$3:$O$419,BD$6),"")</f>
        <v/>
      </c>
      <c r="BE115" s="1424" t="str">
        <f aca="false">IF($AT115&gt;0,VLOOKUP($AR115,'O_MN, PE_UTA_UGM 2024'!$E$3:$O$419,BE$6),"")</f>
        <v/>
      </c>
      <c r="BF115" s="1424" t="str">
        <f aca="false">IF($AT115&gt;0,VLOOKUP($AR115,'O_MN, PE_UTA_UGM 2024'!$E$3:$O$419,BF$6),"")</f>
        <v/>
      </c>
      <c r="BG115" s="1424" t="str">
        <f aca="false">IF($AT115&gt;0,VLOOKUP($AR115,'O_MN, PE_UTA_UGM 2024'!$E$3:$O$419,BG$6),"")</f>
        <v/>
      </c>
      <c r="BH115" s="872"/>
      <c r="BI115" s="872"/>
      <c r="BJ115" s="872"/>
      <c r="BK115" s="872"/>
      <c r="BM115" s="1411"/>
      <c r="BN115" s="1411"/>
      <c r="BO115" s="1425" t="str">
        <f aca="false">IF(ISNUMBER($AU115*BB115*1),$AU115*BB115*1,"")</f>
        <v/>
      </c>
      <c r="BP115" s="1425" t="str">
        <f aca="false">IF(ISNUMBER($AV115*BC115*1),$AV115*BC115*1,"")</f>
        <v/>
      </c>
      <c r="BQ115" s="1425" t="str">
        <f aca="false">IF(ISNUMBER($AU115*BD115*1),$AU115*BD115*1,"")</f>
        <v/>
      </c>
      <c r="BR115" s="1425" t="str">
        <f aca="false">IF(ISNUMBER($AV115*BE115*1),$AV115*BE115*1,"")</f>
        <v/>
      </c>
      <c r="BS115" s="1411" t="str">
        <f aca="false">IF(ISNUMBER($AU115*BF115),$AU115*BF115,"")</f>
        <v/>
      </c>
      <c r="BT115" s="1411" t="str">
        <f aca="false">IF(ISNUMBER($AV115*BG115),$AV115*BG115,"")</f>
        <v/>
      </c>
      <c r="BU115" s="1411"/>
      <c r="BV115" s="1411"/>
      <c r="BW115" s="1411"/>
      <c r="BX115" s="1411"/>
      <c r="BZ115" s="1372"/>
      <c r="CA115" s="1372"/>
      <c r="CB115" s="1426" t="str">
        <f aca="false">IF(ISNUMBER($AW115*BB115),$AW115*BB115,"")</f>
        <v/>
      </c>
      <c r="CC115" s="1426" t="str">
        <f aca="false">IF(ISNUMBER($AX115*BC115),$AX115*BC115,"")</f>
        <v/>
      </c>
      <c r="CD115" s="1426" t="str">
        <f aca="false">IF(ISNUMBER($AW115*BD115),$AW115*BD115,"")</f>
        <v/>
      </c>
      <c r="CE115" s="1426" t="str">
        <f aca="false">IF(ISNUMBER($AX115*BE115),$AX115*BE115,"")</f>
        <v/>
      </c>
      <c r="CF115" s="1372" t="str">
        <f aca="false">IF(ISNUMBER($AW115*BF115),$AW115*BF115,"")</f>
        <v/>
      </c>
      <c r="CG115" s="1372" t="str">
        <f aca="false">IF(ISNUMBER($AX115*BG115),$AX115*BG115,"")</f>
        <v/>
      </c>
      <c r="CH115" s="1438"/>
      <c r="CI115" s="1438"/>
      <c r="CJ115" s="1438"/>
      <c r="CK115" s="1438"/>
      <c r="CU115" s="1411"/>
      <c r="CV115" s="1411"/>
      <c r="CW115" s="1425"/>
      <c r="CX115" s="1425"/>
      <c r="CY115" s="1425"/>
      <c r="CZ115" s="1425"/>
      <c r="DA115" s="1411"/>
      <c r="DB115" s="1411"/>
      <c r="DC115" s="1411"/>
      <c r="DD115" s="1411"/>
      <c r="DE115" s="1411"/>
      <c r="DF115" s="1411"/>
      <c r="DH115" s="1432"/>
      <c r="DI115" s="1432"/>
      <c r="DJ115" s="1437"/>
      <c r="DK115" s="1437"/>
      <c r="DL115" s="1437"/>
      <c r="DM115" s="1437"/>
      <c r="DN115" s="1432"/>
      <c r="DO115" s="1432"/>
      <c r="DP115" s="1432"/>
      <c r="DQ115" s="1432"/>
      <c r="DR115" s="1432"/>
      <c r="DS115" s="1432"/>
      <c r="DT115" s="1316"/>
      <c r="DU115" s="1433"/>
      <c r="DV115" s="1433"/>
      <c r="DW115" s="1433"/>
      <c r="DX115" s="1433"/>
      <c r="DY115" s="1433"/>
      <c r="DZ115" s="1433"/>
      <c r="EA115" s="1433"/>
      <c r="EB115" s="1433"/>
    </row>
    <row r="116" customFormat="false" ht="14.25" hidden="false" customHeight="false" outlineLevel="0" collapsed="false">
      <c r="A116" s="2" t="n">
        <f aca="false">'V_DATOS PAC_SGA'!R111</f>
        <v>0</v>
      </c>
      <c r="B116" s="2" t="n">
        <f aca="false">IF(I116="IV",CONCATENATE('V_DATOS PAC_SGA'!R111,"4")+0,CONCATENATE('V_DATOS PAC_SGA'!R111,"0")+0)</f>
        <v>0</v>
      </c>
      <c r="C116" s="2" t="n">
        <f aca="false">'V_DATOS PAC_SGA'!S111</f>
        <v>0</v>
      </c>
      <c r="D116" s="1409" t="n">
        <f aca="false">'V_DATOS PAC_SGA'!Y111</f>
        <v>0</v>
      </c>
      <c r="E116" s="1410" t="str">
        <f aca="false">IF('V_DATOS PAC_SGA'!AV111="","Regadio",'V_DATOS PAC_SGA'!AV111)</f>
        <v>Regadio</v>
      </c>
      <c r="F116" s="1411" t="n">
        <f aca="false">'V_DATOS PAC_SGA'!BK111</f>
        <v>0</v>
      </c>
      <c r="G116" s="1412" t="n">
        <f aca="false">'V_DATOS PAC_SGA'!AN111</f>
        <v>0</v>
      </c>
      <c r="H116" s="1413" t="str">
        <f aca="false">IF(B116&gt;0,VLOOKUP(B116,'O_MN, PE_UTA_UGM 2024'!E$3:O$419,10),"")</f>
        <v/>
      </c>
      <c r="I116" s="1359" t="n">
        <f aca="false">'V_DATOS PAC_SGA'!BV111</f>
        <v>0</v>
      </c>
      <c r="J116" s="2" t="str">
        <f aca="false">IF(AND(J$4=$G116,J$6=$F116),$D116*J$5,"")</f>
        <v/>
      </c>
      <c r="K116" s="2" t="str">
        <f aca="false">IF(AND(K$4=$G116,K$6=$F116),$D116*K$5,"")</f>
        <v/>
      </c>
      <c r="L116" s="2" t="str">
        <f aca="false">IF(AND(L$4=$G116,L$6=$F116),$D116*L$5,"")</f>
        <v/>
      </c>
      <c r="M116" s="2" t="str">
        <f aca="false">IF(AND(M$4=$G116,M$6=$F116),$D116*M$5,"")</f>
        <v/>
      </c>
      <c r="N116" s="1414" t="n">
        <f aca="false">VLOOKUP(B116,'O_MN, PE_UTA_UGM 2024'!$E$2:$K$419,IF(G116&gt;1,6,7))</f>
        <v>0</v>
      </c>
      <c r="O116" s="1434" t="str">
        <f aca="false">IF($H116=O$4,$D116*$N116,"")</f>
        <v/>
      </c>
      <c r="P116" s="1435" t="str">
        <f aca="false">IF($H116=P$4,$D116*$N116,"")</f>
        <v/>
      </c>
      <c r="Q116" s="1435" t="str">
        <f aca="false">IF($H116=Q$4,$D116*$N116,"")</f>
        <v/>
      </c>
      <c r="R116" s="1435" t="str">
        <f aca="false">IF($H116=R$4,$D116*$N116,"")</f>
        <v/>
      </c>
      <c r="S116" s="1435" t="str">
        <f aca="false">IF($H116=S$4,$D116*$N116,"")</f>
        <v/>
      </c>
      <c r="T116" s="1435" t="str">
        <f aca="false">IF($H116=T$4,$D116*$N116,"")</f>
        <v/>
      </c>
      <c r="U116" s="1436" t="str">
        <f aca="false">IF($H116=U$4,$D116*$N116,"")</f>
        <v/>
      </c>
      <c r="V116" s="1418"/>
      <c r="W116" s="1419"/>
      <c r="X116" s="1419"/>
      <c r="Y116" s="1419"/>
      <c r="Z116" s="1419"/>
      <c r="AA116" s="1419"/>
      <c r="AB116" s="1420"/>
      <c r="AC116" s="1319"/>
      <c r="AD116" s="2" t="str">
        <f aca="false">IF(AND(AD$4=$G116,AD$6=$F116),$B116,"")</f>
        <v/>
      </c>
      <c r="AE116" s="2" t="str">
        <f aca="false">IF(AND(AE$4=$G116,AE$6=$F116),$B116,"")</f>
        <v/>
      </c>
      <c r="AF116" s="2" t="str">
        <f aca="false">IF(AND(AF$4=$G116,AF$6=$F116),$B116,"")</f>
        <v/>
      </c>
      <c r="AG116" s="2" t="str">
        <f aca="false">IF(AND(AG$4=$G116,AG$6=$F116),$B116,"")</f>
        <v/>
      </c>
      <c r="AI116" s="366"/>
      <c r="AL116" s="367"/>
      <c r="AO116" s="367"/>
      <c r="AP116" s="2" t="str">
        <f aca="false">IF(AT116&gt;0,RANK(AT116,AT$7:AT$423),"")</f>
        <v/>
      </c>
      <c r="AQ116" s="2" t="n">
        <f aca="false">'O_MN, PE_UTA_UGM 2024'!C112</f>
        <v>160</v>
      </c>
      <c r="AR116" s="1421" t="n">
        <v>1589</v>
      </c>
      <c r="AS116" s="2" t="str">
        <f aca="false">IF(AY116&lt;&gt;"",AY116,"")</f>
        <v/>
      </c>
      <c r="AT116" s="1422" t="n">
        <f aca="false">IF(ISNUMBER($AR116),SUMIF(B$7:B$505,AR116,D$7:D$505),"")</f>
        <v>0</v>
      </c>
      <c r="AU116" s="1411" t="n">
        <f aca="false">IF(ISNUMBER($AR116),SUMIF(AD$7:AD$503,$AR116,J$7:J$503),"")</f>
        <v>0</v>
      </c>
      <c r="AV116" s="1411" t="n">
        <f aca="false">IF(ISNUMBER($AR116),SUMIF(AF$7:AF$503,$AR116,L$7:L$503),"")</f>
        <v>0</v>
      </c>
      <c r="AW116" s="1423" t="n">
        <f aca="false">IF(ISNUMBER($AR116),SUMIF(AE$7:AE$503,$AR116,K$7:K$503),"")</f>
        <v>0</v>
      </c>
      <c r="AX116" s="1423" t="n">
        <f aca="false">IF(ISNUMBER($AR116),SUMIF(AG$7:AG$503,$AR116,M$7:M$503),"")</f>
        <v>0</v>
      </c>
      <c r="AY116" s="2" t="str">
        <f aca="false">IF($AT116&gt;0,VLOOKUP($AR116,'O_MN, PE_UTA_UGM 2024'!E112:O528,2),"")</f>
        <v/>
      </c>
      <c r="AZ116" s="1424"/>
      <c r="BA116" s="1424"/>
      <c r="BB116" s="1424" t="str">
        <f aca="false">IF($AT116&gt;0,VLOOKUP($AR116,'O_MN, PE_UTA_UGM 2024'!$E$3:$O$419,BB$6),"")</f>
        <v/>
      </c>
      <c r="BC116" s="1424" t="str">
        <f aca="false">IF($AT116&gt;0,VLOOKUP($AR116,'O_MN, PE_UTA_UGM 2024'!$E$3:$O$419,BC$6),"")</f>
        <v/>
      </c>
      <c r="BD116" s="1424" t="str">
        <f aca="false">IF($AT116&gt;0,VLOOKUP($AR116,'O_MN, PE_UTA_UGM 2024'!$E$3:$O$419,BD$6),"")</f>
        <v/>
      </c>
      <c r="BE116" s="1424" t="str">
        <f aca="false">IF($AT116&gt;0,VLOOKUP($AR116,'O_MN, PE_UTA_UGM 2024'!$E$3:$O$419,BE$6),"")</f>
        <v/>
      </c>
      <c r="BF116" s="1424" t="str">
        <f aca="false">IF($AT116&gt;0,VLOOKUP($AR116,'O_MN, PE_UTA_UGM 2024'!$E$3:$O$419,BF$6),"")</f>
        <v/>
      </c>
      <c r="BG116" s="1424" t="str">
        <f aca="false">IF($AT116&gt;0,VLOOKUP($AR116,'O_MN, PE_UTA_UGM 2024'!$E$3:$O$419,BG$6),"")</f>
        <v/>
      </c>
      <c r="BH116" s="872"/>
      <c r="BI116" s="872"/>
      <c r="BJ116" s="872"/>
      <c r="BK116" s="872"/>
      <c r="BM116" s="1411"/>
      <c r="BN116" s="1411"/>
      <c r="BO116" s="1425" t="str">
        <f aca="false">IF(ISNUMBER($AU116*BB116*1),$AU116*BB116*1,"")</f>
        <v/>
      </c>
      <c r="BP116" s="1425" t="str">
        <f aca="false">IF(ISNUMBER($AV116*BC116*1),$AV116*BC116*1,"")</f>
        <v/>
      </c>
      <c r="BQ116" s="1425" t="str">
        <f aca="false">IF(ISNUMBER($AU116*BD116*1),$AU116*BD116*1,"")</f>
        <v/>
      </c>
      <c r="BR116" s="1425" t="str">
        <f aca="false">IF(ISNUMBER($AV116*BE116*1),$AV116*BE116*1,"")</f>
        <v/>
      </c>
      <c r="BS116" s="1411" t="str">
        <f aca="false">IF(ISNUMBER($AU116*BF116),$AU116*BF116,"")</f>
        <v/>
      </c>
      <c r="BT116" s="1411" t="str">
        <f aca="false">IF(ISNUMBER($AV116*BG116),$AV116*BG116,"")</f>
        <v/>
      </c>
      <c r="BU116" s="1411"/>
      <c r="BV116" s="1411"/>
      <c r="BW116" s="1411"/>
      <c r="BX116" s="1411"/>
      <c r="BZ116" s="1372"/>
      <c r="CA116" s="1372"/>
      <c r="CB116" s="1426" t="str">
        <f aca="false">IF(ISNUMBER($AW116*BB116),$AW116*BB116,"")</f>
        <v/>
      </c>
      <c r="CC116" s="1426" t="str">
        <f aca="false">IF(ISNUMBER($AX116*BC116),$AX116*BC116,"")</f>
        <v/>
      </c>
      <c r="CD116" s="1426" t="str">
        <f aca="false">IF(ISNUMBER($AW116*BD116),$AW116*BD116,"")</f>
        <v/>
      </c>
      <c r="CE116" s="1426" t="str">
        <f aca="false">IF(ISNUMBER($AX116*BE116),$AX116*BE116,"")</f>
        <v/>
      </c>
      <c r="CF116" s="1372" t="str">
        <f aca="false">IF(ISNUMBER($AW116*BF116),$AW116*BF116,"")</f>
        <v/>
      </c>
      <c r="CG116" s="1372" t="str">
        <f aca="false">IF(ISNUMBER($AX116*BG116),$AX116*BG116,"")</f>
        <v/>
      </c>
      <c r="CH116" s="1438"/>
      <c r="CI116" s="1438"/>
      <c r="CJ116" s="1438"/>
      <c r="CK116" s="1438"/>
      <c r="CU116" s="1411"/>
      <c r="CV116" s="1411"/>
      <c r="CW116" s="1425"/>
      <c r="CX116" s="1425"/>
      <c r="CY116" s="1425"/>
      <c r="CZ116" s="1425"/>
      <c r="DA116" s="1411"/>
      <c r="DB116" s="1411"/>
      <c r="DC116" s="1411"/>
      <c r="DD116" s="1411"/>
      <c r="DE116" s="1411"/>
      <c r="DF116" s="1411"/>
      <c r="DH116" s="1432"/>
      <c r="DI116" s="1432"/>
      <c r="DJ116" s="1437"/>
      <c r="DK116" s="1437"/>
      <c r="DL116" s="1437"/>
      <c r="DM116" s="1437"/>
      <c r="DN116" s="1432"/>
      <c r="DO116" s="1432"/>
      <c r="DP116" s="1432"/>
      <c r="DQ116" s="1432"/>
      <c r="DR116" s="1432"/>
      <c r="DS116" s="1432"/>
      <c r="DT116" s="1316"/>
      <c r="DU116" s="1433"/>
      <c r="DV116" s="1433"/>
      <c r="DW116" s="1433"/>
      <c r="DX116" s="1433"/>
      <c r="DY116" s="1433"/>
      <c r="DZ116" s="1433"/>
      <c r="EA116" s="1433"/>
      <c r="EB116" s="1433"/>
    </row>
    <row r="117" customFormat="false" ht="14.25" hidden="false" customHeight="false" outlineLevel="0" collapsed="false">
      <c r="A117" s="2" t="n">
        <f aca="false">'V_DATOS PAC_SGA'!R112</f>
        <v>0</v>
      </c>
      <c r="B117" s="2" t="n">
        <f aca="false">IF(I117="IV",CONCATENATE('V_DATOS PAC_SGA'!R112,"4")+0,CONCATENATE('V_DATOS PAC_SGA'!R112,"0")+0)</f>
        <v>0</v>
      </c>
      <c r="C117" s="2" t="n">
        <f aca="false">'V_DATOS PAC_SGA'!S112</f>
        <v>0</v>
      </c>
      <c r="D117" s="1409" t="n">
        <f aca="false">'V_DATOS PAC_SGA'!Y112</f>
        <v>0</v>
      </c>
      <c r="E117" s="1410" t="str">
        <f aca="false">IF('V_DATOS PAC_SGA'!AV112="","Regadio",'V_DATOS PAC_SGA'!AV112)</f>
        <v>Regadio</v>
      </c>
      <c r="F117" s="1411" t="n">
        <f aca="false">'V_DATOS PAC_SGA'!BK112</f>
        <v>0</v>
      </c>
      <c r="G117" s="1412" t="n">
        <f aca="false">'V_DATOS PAC_SGA'!AN112</f>
        <v>0</v>
      </c>
      <c r="H117" s="1413" t="str">
        <f aca="false">IF(B117&gt;0,VLOOKUP(B117,'O_MN, PE_UTA_UGM 2024'!E$3:O$419,10),"")</f>
        <v/>
      </c>
      <c r="I117" s="1359" t="n">
        <f aca="false">'V_DATOS PAC_SGA'!BV112</f>
        <v>0</v>
      </c>
      <c r="J117" s="2" t="str">
        <f aca="false">IF(AND(J$4=$G117,J$6=$F117),$D117*J$5,"")</f>
        <v/>
      </c>
      <c r="K117" s="2" t="str">
        <f aca="false">IF(AND(K$4=$G117,K$6=$F117),$D117*K$5,"")</f>
        <v/>
      </c>
      <c r="L117" s="2" t="str">
        <f aca="false">IF(AND(L$4=$G117,L$6=$F117),$D117*L$5,"")</f>
        <v/>
      </c>
      <c r="M117" s="2" t="str">
        <f aca="false">IF(AND(M$4=$G117,M$6=$F117),$D117*M$5,"")</f>
        <v/>
      </c>
      <c r="N117" s="1414" t="n">
        <f aca="false">VLOOKUP(B117,'O_MN, PE_UTA_UGM 2024'!$E$2:$K$419,IF(G117&gt;1,6,7))</f>
        <v>0</v>
      </c>
      <c r="O117" s="1434" t="str">
        <f aca="false">IF($H117=O$4,$D117*$N117,"")</f>
        <v/>
      </c>
      <c r="P117" s="1435" t="str">
        <f aca="false">IF($H117=P$4,$D117*$N117,"")</f>
        <v/>
      </c>
      <c r="Q117" s="1435" t="str">
        <f aca="false">IF($H117=Q$4,$D117*$N117,"")</f>
        <v/>
      </c>
      <c r="R117" s="1435" t="str">
        <f aca="false">IF($H117=R$4,$D117*$N117,"")</f>
        <v/>
      </c>
      <c r="S117" s="1435" t="str">
        <f aca="false">IF($H117=S$4,$D117*$N117,"")</f>
        <v/>
      </c>
      <c r="T117" s="1435" t="str">
        <f aca="false">IF($H117=T$4,$D117*$N117,"")</f>
        <v/>
      </c>
      <c r="U117" s="1436" t="str">
        <f aca="false">IF($H117=U$4,$D117*$N117,"")</f>
        <v/>
      </c>
      <c r="V117" s="1418"/>
      <c r="W117" s="1419"/>
      <c r="X117" s="1419"/>
      <c r="Y117" s="1419"/>
      <c r="Z117" s="1419"/>
      <c r="AA117" s="1419"/>
      <c r="AB117" s="1420"/>
      <c r="AC117" s="1319"/>
      <c r="AD117" s="2" t="str">
        <f aca="false">IF(AND(AD$4=$G117,AD$6=$F117),$B117,"")</f>
        <v/>
      </c>
      <c r="AE117" s="2" t="str">
        <f aca="false">IF(AND(AE$4=$G117,AE$6=$F117),$B117,"")</f>
        <v/>
      </c>
      <c r="AF117" s="2" t="str">
        <f aca="false">IF(AND(AF$4=$G117,AF$6=$F117),$B117,"")</f>
        <v/>
      </c>
      <c r="AG117" s="2" t="str">
        <f aca="false">IF(AND(AG$4=$G117,AG$6=$F117),$B117,"")</f>
        <v/>
      </c>
      <c r="AI117" s="366"/>
      <c r="AL117" s="367"/>
      <c r="AO117" s="367"/>
      <c r="AP117" s="2" t="str">
        <f aca="false">IF(AT117&gt;0,RANK(AT117,AT$7:AT$423),"")</f>
        <v/>
      </c>
      <c r="AQ117" s="2" t="n">
        <f aca="false">'O_MN, PE_UTA_UGM 2024'!C113</f>
        <v>160</v>
      </c>
      <c r="AR117" s="1421" t="n">
        <v>1590</v>
      </c>
      <c r="AS117" s="2" t="str">
        <f aca="false">IF(AY117&lt;&gt;"",AY117,"")</f>
        <v/>
      </c>
      <c r="AT117" s="1422" t="n">
        <f aca="false">IF(ISNUMBER($AR117),SUMIF(B$7:B$505,AR117,D$7:D$505),"")</f>
        <v>0</v>
      </c>
      <c r="AU117" s="1411" t="n">
        <f aca="false">IF(ISNUMBER($AR117),SUMIF(AD$7:AD$503,$AR117,J$7:J$503),"")</f>
        <v>0</v>
      </c>
      <c r="AV117" s="1411" t="n">
        <f aca="false">IF(ISNUMBER($AR117),SUMIF(AF$7:AF$503,$AR117,L$7:L$503),"")</f>
        <v>0</v>
      </c>
      <c r="AW117" s="1423" t="n">
        <f aca="false">IF(ISNUMBER($AR117),SUMIF(AE$7:AE$503,$AR117,K$7:K$503),"")</f>
        <v>0</v>
      </c>
      <c r="AX117" s="1423" t="n">
        <f aca="false">IF(ISNUMBER($AR117),SUMIF(AG$7:AG$503,$AR117,M$7:M$503),"")</f>
        <v>0</v>
      </c>
      <c r="AY117" s="2" t="str">
        <f aca="false">IF($AT117&gt;0,VLOOKUP($AR117,'O_MN, PE_UTA_UGM 2024'!E113:O529,2),"")</f>
        <v/>
      </c>
      <c r="AZ117" s="1424"/>
      <c r="BA117" s="1424"/>
      <c r="BB117" s="1424" t="str">
        <f aca="false">IF($AT117&gt;0,VLOOKUP($AR117,'O_MN, PE_UTA_UGM 2024'!$E$3:$O$419,BB$6),"")</f>
        <v/>
      </c>
      <c r="BC117" s="1424" t="str">
        <f aca="false">IF($AT117&gt;0,VLOOKUP($AR117,'O_MN, PE_UTA_UGM 2024'!$E$3:$O$419,BC$6),"")</f>
        <v/>
      </c>
      <c r="BD117" s="1424" t="str">
        <f aca="false">IF($AT117&gt;0,VLOOKUP($AR117,'O_MN, PE_UTA_UGM 2024'!$E$3:$O$419,BD$6),"")</f>
        <v/>
      </c>
      <c r="BE117" s="1424" t="str">
        <f aca="false">IF($AT117&gt;0,VLOOKUP($AR117,'O_MN, PE_UTA_UGM 2024'!$E$3:$O$419,BE$6),"")</f>
        <v/>
      </c>
      <c r="BF117" s="1424" t="str">
        <f aca="false">IF($AT117&gt;0,VLOOKUP($AR117,'O_MN, PE_UTA_UGM 2024'!$E$3:$O$419,BF$6),"")</f>
        <v/>
      </c>
      <c r="BG117" s="1424" t="str">
        <f aca="false">IF($AT117&gt;0,VLOOKUP($AR117,'O_MN, PE_UTA_UGM 2024'!$E$3:$O$419,BG$6),"")</f>
        <v/>
      </c>
      <c r="BH117" s="872"/>
      <c r="BI117" s="872"/>
      <c r="BJ117" s="872"/>
      <c r="BK117" s="872"/>
      <c r="BM117" s="1411"/>
      <c r="BN117" s="1411"/>
      <c r="BO117" s="1425" t="str">
        <f aca="false">IF(ISNUMBER($AU117*BB117*1),$AU117*BB117*1,"")</f>
        <v/>
      </c>
      <c r="BP117" s="1425" t="str">
        <f aca="false">IF(ISNUMBER($AV117*BC117*1),$AV117*BC117*1,"")</f>
        <v/>
      </c>
      <c r="BQ117" s="1425" t="str">
        <f aca="false">IF(ISNUMBER($AU117*BD117*1),$AU117*BD117*1,"")</f>
        <v/>
      </c>
      <c r="BR117" s="1425" t="str">
        <f aca="false">IF(ISNUMBER($AV117*BE117*1),$AV117*BE117*1,"")</f>
        <v/>
      </c>
      <c r="BS117" s="1411" t="str">
        <f aca="false">IF(ISNUMBER($AU117*BF117),$AU117*BF117,"")</f>
        <v/>
      </c>
      <c r="BT117" s="1411" t="str">
        <f aca="false">IF(ISNUMBER($AV117*BG117),$AV117*BG117,"")</f>
        <v/>
      </c>
      <c r="BU117" s="1411"/>
      <c r="BV117" s="1411"/>
      <c r="BW117" s="1411"/>
      <c r="BX117" s="1411"/>
      <c r="BZ117" s="1372"/>
      <c r="CA117" s="1372"/>
      <c r="CB117" s="1426" t="str">
        <f aca="false">IF(ISNUMBER($AW117*BB117),$AW117*BB117,"")</f>
        <v/>
      </c>
      <c r="CC117" s="1426" t="str">
        <f aca="false">IF(ISNUMBER($AX117*BC117),$AX117*BC117,"")</f>
        <v/>
      </c>
      <c r="CD117" s="1426" t="str">
        <f aca="false">IF(ISNUMBER($AW117*BD117),$AW117*BD117,"")</f>
        <v/>
      </c>
      <c r="CE117" s="1426" t="str">
        <f aca="false">IF(ISNUMBER($AX117*BE117),$AX117*BE117,"")</f>
        <v/>
      </c>
      <c r="CF117" s="1372" t="str">
        <f aca="false">IF(ISNUMBER($AW117*BF117),$AW117*BF117,"")</f>
        <v/>
      </c>
      <c r="CG117" s="1372" t="str">
        <f aca="false">IF(ISNUMBER($AX117*BG117),$AX117*BG117,"")</f>
        <v/>
      </c>
      <c r="CH117" s="1438"/>
      <c r="CI117" s="1438"/>
      <c r="CJ117" s="1438"/>
      <c r="CK117" s="1438"/>
      <c r="CU117" s="1411"/>
      <c r="CV117" s="1411"/>
      <c r="CW117" s="1425"/>
      <c r="CX117" s="1425"/>
      <c r="CY117" s="1425"/>
      <c r="CZ117" s="1425"/>
      <c r="DA117" s="1411"/>
      <c r="DB117" s="1411"/>
      <c r="DC117" s="1411"/>
      <c r="DD117" s="1411"/>
      <c r="DE117" s="1411"/>
      <c r="DF117" s="1411"/>
      <c r="DH117" s="1432"/>
      <c r="DI117" s="1432"/>
      <c r="DJ117" s="1437"/>
      <c r="DK117" s="1437"/>
      <c r="DL117" s="1437"/>
      <c r="DM117" s="1437"/>
      <c r="DN117" s="1432"/>
      <c r="DO117" s="1432"/>
      <c r="DP117" s="1432"/>
      <c r="DQ117" s="1432"/>
      <c r="DR117" s="1432"/>
      <c r="DS117" s="1432"/>
      <c r="DT117" s="1316"/>
      <c r="DU117" s="1433"/>
      <c r="DV117" s="1433"/>
      <c r="DW117" s="1433"/>
      <c r="DX117" s="1433"/>
      <c r="DY117" s="1433"/>
      <c r="DZ117" s="1433"/>
      <c r="EA117" s="1433"/>
      <c r="EB117" s="1433"/>
    </row>
    <row r="118" customFormat="false" ht="14.25" hidden="false" customHeight="false" outlineLevel="0" collapsed="false">
      <c r="A118" s="2" t="n">
        <f aca="false">'V_DATOS PAC_SGA'!R113</f>
        <v>0</v>
      </c>
      <c r="B118" s="2" t="n">
        <f aca="false">IF(I118="IV",CONCATENATE('V_DATOS PAC_SGA'!R113,"4")+0,CONCATENATE('V_DATOS PAC_SGA'!R113,"0")+0)</f>
        <v>0</v>
      </c>
      <c r="C118" s="2" t="n">
        <f aca="false">'V_DATOS PAC_SGA'!S113</f>
        <v>0</v>
      </c>
      <c r="D118" s="1409" t="n">
        <f aca="false">'V_DATOS PAC_SGA'!Y113</f>
        <v>0</v>
      </c>
      <c r="E118" s="1410" t="str">
        <f aca="false">IF('V_DATOS PAC_SGA'!AV113="","Regadio",'V_DATOS PAC_SGA'!AV113)</f>
        <v>Regadio</v>
      </c>
      <c r="F118" s="1411" t="n">
        <f aca="false">'V_DATOS PAC_SGA'!BK113</f>
        <v>0</v>
      </c>
      <c r="G118" s="1412" t="n">
        <f aca="false">'V_DATOS PAC_SGA'!AN113</f>
        <v>0</v>
      </c>
      <c r="H118" s="1413" t="str">
        <f aca="false">IF(B118&gt;0,VLOOKUP(B118,'O_MN, PE_UTA_UGM 2024'!E$3:O$419,10),"")</f>
        <v/>
      </c>
      <c r="I118" s="1359" t="n">
        <f aca="false">'V_DATOS PAC_SGA'!BV113</f>
        <v>0</v>
      </c>
      <c r="J118" s="2" t="str">
        <f aca="false">IF(AND(J$4=$G118,J$6=$F118),$D118*J$5,"")</f>
        <v/>
      </c>
      <c r="K118" s="2" t="str">
        <f aca="false">IF(AND(K$4=$G118,K$6=$F118),$D118*K$5,"")</f>
        <v/>
      </c>
      <c r="L118" s="2" t="str">
        <f aca="false">IF(AND(L$4=$G118,L$6=$F118),$D118*L$5,"")</f>
        <v/>
      </c>
      <c r="M118" s="2" t="str">
        <f aca="false">IF(AND(M$4=$G118,M$6=$F118),$D118*M$5,"")</f>
        <v/>
      </c>
      <c r="N118" s="1414" t="n">
        <f aca="false">VLOOKUP(B118,'O_MN, PE_UTA_UGM 2024'!$E$2:$K$419,IF(G118&gt;1,6,7))</f>
        <v>0</v>
      </c>
      <c r="O118" s="1434" t="str">
        <f aca="false">IF($H118=O$4,$D118*$N118,"")</f>
        <v/>
      </c>
      <c r="P118" s="1435" t="str">
        <f aca="false">IF($H118=P$4,$D118*$N118,"")</f>
        <v/>
      </c>
      <c r="Q118" s="1435" t="str">
        <f aca="false">IF($H118=Q$4,$D118*$N118,"")</f>
        <v/>
      </c>
      <c r="R118" s="1435" t="str">
        <f aca="false">IF($H118=R$4,$D118*$N118,"")</f>
        <v/>
      </c>
      <c r="S118" s="1435" t="str">
        <f aca="false">IF($H118=S$4,$D118*$N118,"")</f>
        <v/>
      </c>
      <c r="T118" s="1435" t="str">
        <f aca="false">IF($H118=T$4,$D118*$N118,"")</f>
        <v/>
      </c>
      <c r="U118" s="1436" t="str">
        <f aca="false">IF($H118=U$4,$D118*$N118,"")</f>
        <v/>
      </c>
      <c r="V118" s="1418"/>
      <c r="W118" s="1419"/>
      <c r="X118" s="1419"/>
      <c r="Y118" s="1419"/>
      <c r="Z118" s="1419"/>
      <c r="AA118" s="1419"/>
      <c r="AB118" s="1420"/>
      <c r="AC118" s="1319"/>
      <c r="AD118" s="2" t="str">
        <f aca="false">IF(AND(AD$4=$G118,AD$6=$F118),$B118,"")</f>
        <v/>
      </c>
      <c r="AE118" s="2" t="str">
        <f aca="false">IF(AND(AE$4=$G118,AE$6=$F118),$B118,"")</f>
        <v/>
      </c>
      <c r="AF118" s="2" t="str">
        <f aca="false">IF(AND(AF$4=$G118,AF$6=$F118),$B118,"")</f>
        <v/>
      </c>
      <c r="AG118" s="2" t="str">
        <f aca="false">IF(AND(AG$4=$G118,AG$6=$F118),$B118,"")</f>
        <v/>
      </c>
      <c r="AI118" s="366"/>
      <c r="AL118" s="367"/>
      <c r="AO118" s="367"/>
      <c r="AP118" s="2" t="str">
        <f aca="false">IF(AT118&gt;0,RANK(AT118,AT$7:AT$423),"")</f>
        <v/>
      </c>
      <c r="AQ118" s="2" t="n">
        <f aca="false">'O_MN, PE_UTA_UGM 2024'!C114</f>
        <v>160</v>
      </c>
      <c r="AR118" s="1421" t="n">
        <v>1594</v>
      </c>
      <c r="AS118" s="2" t="str">
        <f aca="false">IF(AY118&lt;&gt;"",AY118,"")</f>
        <v/>
      </c>
      <c r="AT118" s="1422" t="n">
        <f aca="false">IF(ISNUMBER($AR118),SUMIF(B$7:B$505,AR118,D$7:D$505),"")</f>
        <v>0</v>
      </c>
      <c r="AU118" s="1411" t="n">
        <f aca="false">IF(ISNUMBER($AR118),SUMIF(AD$7:AD$503,$AR118,J$7:J$503),"")</f>
        <v>0</v>
      </c>
      <c r="AV118" s="1411" t="n">
        <f aca="false">IF(ISNUMBER($AR118),SUMIF(AF$7:AF$503,$AR118,L$7:L$503),"")</f>
        <v>0</v>
      </c>
      <c r="AW118" s="1423" t="n">
        <f aca="false">IF(ISNUMBER($AR118),SUMIF(AE$7:AE$503,$AR118,K$7:K$503),"")</f>
        <v>0</v>
      </c>
      <c r="AX118" s="1423" t="n">
        <f aca="false">IF(ISNUMBER($AR118),SUMIF(AG$7:AG$503,$AR118,M$7:M$503),"")</f>
        <v>0</v>
      </c>
      <c r="AY118" s="2" t="str">
        <f aca="false">IF($AT118&gt;0,VLOOKUP($AR118,'O_MN, PE_UTA_UGM 2024'!E114:O530,2),"")</f>
        <v/>
      </c>
      <c r="AZ118" s="1424"/>
      <c r="BA118" s="1424"/>
      <c r="BB118" s="1424" t="str">
        <f aca="false">IF($AT118&gt;0,VLOOKUP($AR118,'O_MN, PE_UTA_UGM 2024'!$E$3:$O$419,BB$6),"")</f>
        <v/>
      </c>
      <c r="BC118" s="1424" t="str">
        <f aca="false">IF($AT118&gt;0,VLOOKUP($AR118,'O_MN, PE_UTA_UGM 2024'!$E$3:$O$419,BC$6),"")</f>
        <v/>
      </c>
      <c r="BD118" s="1424" t="str">
        <f aca="false">IF($AT118&gt;0,VLOOKUP($AR118,'O_MN, PE_UTA_UGM 2024'!$E$3:$O$419,BD$6),"")</f>
        <v/>
      </c>
      <c r="BE118" s="1424" t="str">
        <f aca="false">IF($AT118&gt;0,VLOOKUP($AR118,'O_MN, PE_UTA_UGM 2024'!$E$3:$O$419,BE$6),"")</f>
        <v/>
      </c>
      <c r="BF118" s="1424" t="str">
        <f aca="false">IF($AT118&gt;0,VLOOKUP($AR118,'O_MN, PE_UTA_UGM 2024'!$E$3:$O$419,BF$6),"")</f>
        <v/>
      </c>
      <c r="BG118" s="1424" t="str">
        <f aca="false">IF($AT118&gt;0,VLOOKUP($AR118,'O_MN, PE_UTA_UGM 2024'!$E$3:$O$419,BG$6),"")</f>
        <v/>
      </c>
      <c r="BH118" s="872"/>
      <c r="BI118" s="872"/>
      <c r="BJ118" s="872"/>
      <c r="BK118" s="872"/>
      <c r="BM118" s="1411"/>
      <c r="BN118" s="1411"/>
      <c r="BO118" s="1425" t="str">
        <f aca="false">IF(ISNUMBER($AU118*BB118*1),$AU118*BB118*1,"")</f>
        <v/>
      </c>
      <c r="BP118" s="1425" t="str">
        <f aca="false">IF(ISNUMBER($AV118*BC118*1),$AV118*BC118*1,"")</f>
        <v/>
      </c>
      <c r="BQ118" s="1425" t="str">
        <f aca="false">IF(ISNUMBER($AU118*BD118*1),$AU118*BD118*1,"")</f>
        <v/>
      </c>
      <c r="BR118" s="1425" t="str">
        <f aca="false">IF(ISNUMBER($AV118*BE118*1),$AV118*BE118*1,"")</f>
        <v/>
      </c>
      <c r="BS118" s="1411" t="str">
        <f aca="false">IF(ISNUMBER($AU118*BF118),$AU118*BF118,"")</f>
        <v/>
      </c>
      <c r="BT118" s="1411" t="str">
        <f aca="false">IF(ISNUMBER($AV118*BG118),$AV118*BG118,"")</f>
        <v/>
      </c>
      <c r="BU118" s="1411"/>
      <c r="BV118" s="1411"/>
      <c r="BW118" s="1411"/>
      <c r="BX118" s="1411"/>
      <c r="BZ118" s="1372"/>
      <c r="CA118" s="1372"/>
      <c r="CB118" s="1426" t="str">
        <f aca="false">IF(ISNUMBER($AW118*BB118),$AW118*BB118,"")</f>
        <v/>
      </c>
      <c r="CC118" s="1426" t="str">
        <f aca="false">IF(ISNUMBER($AX118*BC118),$AX118*BC118,"")</f>
        <v/>
      </c>
      <c r="CD118" s="1426" t="str">
        <f aca="false">IF(ISNUMBER($AW118*BD118),$AW118*BD118,"")</f>
        <v/>
      </c>
      <c r="CE118" s="1426" t="str">
        <f aca="false">IF(ISNUMBER($AX118*BE118),$AX118*BE118,"")</f>
        <v/>
      </c>
      <c r="CF118" s="1372" t="str">
        <f aca="false">IF(ISNUMBER($AW118*BF118),$AW118*BF118,"")</f>
        <v/>
      </c>
      <c r="CG118" s="1372" t="str">
        <f aca="false">IF(ISNUMBER($AX118*BG118),$AX118*BG118,"")</f>
        <v/>
      </c>
      <c r="CH118" s="1438"/>
      <c r="CI118" s="1438"/>
      <c r="CJ118" s="1438"/>
      <c r="CK118" s="1438"/>
      <c r="CU118" s="1411"/>
      <c r="CV118" s="1411"/>
      <c r="CW118" s="1425"/>
      <c r="CX118" s="1425"/>
      <c r="CY118" s="1425"/>
      <c r="CZ118" s="1425"/>
      <c r="DA118" s="1411"/>
      <c r="DB118" s="1411"/>
      <c r="DC118" s="1411"/>
      <c r="DD118" s="1411"/>
      <c r="DE118" s="1411"/>
      <c r="DF118" s="1411"/>
      <c r="DH118" s="1432"/>
      <c r="DI118" s="1432"/>
      <c r="DJ118" s="1437"/>
      <c r="DK118" s="1437"/>
      <c r="DL118" s="1437"/>
      <c r="DM118" s="1437"/>
      <c r="DN118" s="1432"/>
      <c r="DO118" s="1432"/>
      <c r="DP118" s="1432"/>
      <c r="DQ118" s="1432"/>
      <c r="DR118" s="1432"/>
      <c r="DS118" s="1432"/>
      <c r="DT118" s="1316"/>
      <c r="DU118" s="1433"/>
      <c r="DV118" s="1433"/>
      <c r="DW118" s="1433"/>
      <c r="DX118" s="1433"/>
      <c r="DY118" s="1433"/>
      <c r="DZ118" s="1433"/>
      <c r="EA118" s="1433"/>
      <c r="EB118" s="1433"/>
    </row>
    <row r="119" customFormat="false" ht="14.25" hidden="false" customHeight="false" outlineLevel="0" collapsed="false">
      <c r="A119" s="2" t="n">
        <f aca="false">'V_DATOS PAC_SGA'!R114</f>
        <v>0</v>
      </c>
      <c r="B119" s="2" t="n">
        <f aca="false">IF(I119="IV",CONCATENATE('V_DATOS PAC_SGA'!R114,"4")+0,CONCATENATE('V_DATOS PAC_SGA'!R114,"0")+0)</f>
        <v>0</v>
      </c>
      <c r="C119" s="2" t="n">
        <f aca="false">'V_DATOS PAC_SGA'!S114</f>
        <v>0</v>
      </c>
      <c r="D119" s="1409" t="n">
        <f aca="false">'V_DATOS PAC_SGA'!Y114</f>
        <v>0</v>
      </c>
      <c r="E119" s="1410" t="str">
        <f aca="false">IF('V_DATOS PAC_SGA'!AV114="","Regadio",'V_DATOS PAC_SGA'!AV114)</f>
        <v>Regadio</v>
      </c>
      <c r="F119" s="1411" t="n">
        <f aca="false">'V_DATOS PAC_SGA'!BK114</f>
        <v>0</v>
      </c>
      <c r="G119" s="1412" t="n">
        <f aca="false">'V_DATOS PAC_SGA'!AN114</f>
        <v>0</v>
      </c>
      <c r="H119" s="1413" t="str">
        <f aca="false">IF(B119&gt;0,VLOOKUP(B119,'O_MN, PE_UTA_UGM 2024'!E$3:O$419,10),"")</f>
        <v/>
      </c>
      <c r="I119" s="1359" t="n">
        <f aca="false">'V_DATOS PAC_SGA'!BV114</f>
        <v>0</v>
      </c>
      <c r="J119" s="2" t="str">
        <f aca="false">IF(AND(J$4=$G119,J$6=$F119),$D119*J$5,"")</f>
        <v/>
      </c>
      <c r="K119" s="2" t="str">
        <f aca="false">IF(AND(K$4=$G119,K$6=$F119),$D119*K$5,"")</f>
        <v/>
      </c>
      <c r="L119" s="2" t="str">
        <f aca="false">IF(AND(L$4=$G119,L$6=$F119),$D119*L$5,"")</f>
        <v/>
      </c>
      <c r="M119" s="2" t="str">
        <f aca="false">IF(AND(M$4=$G119,M$6=$F119),$D119*M$5,"")</f>
        <v/>
      </c>
      <c r="N119" s="1414" t="n">
        <f aca="false">VLOOKUP(B119,'O_MN, PE_UTA_UGM 2024'!$E$2:$K$419,IF(G119&gt;1,6,7))</f>
        <v>0</v>
      </c>
      <c r="O119" s="1434" t="str">
        <f aca="false">IF($H119=O$4,$D119*$N119,"")</f>
        <v/>
      </c>
      <c r="P119" s="1435" t="str">
        <f aca="false">IF($H119=P$4,$D119*$N119,"")</f>
        <v/>
      </c>
      <c r="Q119" s="1435" t="str">
        <f aca="false">IF($H119=Q$4,$D119*$N119,"")</f>
        <v/>
      </c>
      <c r="R119" s="1435" t="str">
        <f aca="false">IF($H119=R$4,$D119*$N119,"")</f>
        <v/>
      </c>
      <c r="S119" s="1435" t="str">
        <f aca="false">IF($H119=S$4,$D119*$N119,"")</f>
        <v/>
      </c>
      <c r="T119" s="1435" t="str">
        <f aca="false">IF($H119=T$4,$D119*$N119,"")</f>
        <v/>
      </c>
      <c r="U119" s="1436" t="str">
        <f aca="false">IF($H119=U$4,$D119*$N119,"")</f>
        <v/>
      </c>
      <c r="V119" s="1418"/>
      <c r="W119" s="1419"/>
      <c r="X119" s="1419"/>
      <c r="Y119" s="1419"/>
      <c r="Z119" s="1419"/>
      <c r="AA119" s="1419"/>
      <c r="AB119" s="1420"/>
      <c r="AC119" s="1319"/>
      <c r="AD119" s="2" t="str">
        <f aca="false">IF(AND(AD$4=$G119,AD$6=$F119),$B119,"")</f>
        <v/>
      </c>
      <c r="AE119" s="2" t="str">
        <f aca="false">IF(AND(AE$4=$G119,AE$6=$F119),$B119,"")</f>
        <v/>
      </c>
      <c r="AF119" s="2" t="str">
        <f aca="false">IF(AND(AF$4=$G119,AF$6=$F119),$B119,"")</f>
        <v/>
      </c>
      <c r="AG119" s="2" t="str">
        <f aca="false">IF(AND(AG$4=$G119,AG$6=$F119),$B119,"")</f>
        <v/>
      </c>
      <c r="AI119" s="366"/>
      <c r="AL119" s="367"/>
      <c r="AO119" s="367"/>
      <c r="AP119" s="2" t="str">
        <f aca="false">IF(AT119&gt;0,RANK(AT119,AT$7:AT$423),"")</f>
        <v/>
      </c>
      <c r="AQ119" s="2" t="n">
        <f aca="false">'O_MN, PE_UTA_UGM 2024'!C115</f>
        <v>162</v>
      </c>
      <c r="AR119" s="1421" t="n">
        <v>1599</v>
      </c>
      <c r="AS119" s="2" t="str">
        <f aca="false">IF(AY119&lt;&gt;"",AY119,"")</f>
        <v/>
      </c>
      <c r="AT119" s="1422" t="n">
        <f aca="false">IF(ISNUMBER($AR119),SUMIF(B$7:B$505,AR119,D$7:D$505),"")</f>
        <v>0</v>
      </c>
      <c r="AU119" s="1411" t="n">
        <f aca="false">IF(ISNUMBER($AR119),SUMIF(AD$7:AD$503,$AR119,J$7:J$503),"")</f>
        <v>0</v>
      </c>
      <c r="AV119" s="1411" t="n">
        <f aca="false">IF(ISNUMBER($AR119),SUMIF(AF$7:AF$503,$AR119,L$7:L$503),"")</f>
        <v>0</v>
      </c>
      <c r="AW119" s="1423" t="n">
        <f aca="false">IF(ISNUMBER($AR119),SUMIF(AE$7:AE$503,$AR119,K$7:K$503),"")</f>
        <v>0</v>
      </c>
      <c r="AX119" s="1423" t="n">
        <f aca="false">IF(ISNUMBER($AR119),SUMIF(AG$7:AG$503,$AR119,M$7:M$503),"")</f>
        <v>0</v>
      </c>
      <c r="AY119" s="2" t="str">
        <f aca="false">IF($AT119&gt;0,VLOOKUP($AR119,'O_MN, PE_UTA_UGM 2024'!E115:O531,2),"")</f>
        <v/>
      </c>
      <c r="AZ119" s="1424"/>
      <c r="BA119" s="1424"/>
      <c r="BB119" s="1424" t="str">
        <f aca="false">IF($AT119&gt;0,VLOOKUP($AR119,'O_MN, PE_UTA_UGM 2024'!$E$3:$O$419,BB$6),"")</f>
        <v/>
      </c>
      <c r="BC119" s="1424" t="str">
        <f aca="false">IF($AT119&gt;0,VLOOKUP($AR119,'O_MN, PE_UTA_UGM 2024'!$E$3:$O$419,BC$6),"")</f>
        <v/>
      </c>
      <c r="BD119" s="1424" t="str">
        <f aca="false">IF($AT119&gt;0,VLOOKUP($AR119,'O_MN, PE_UTA_UGM 2024'!$E$3:$O$419,BD$6),"")</f>
        <v/>
      </c>
      <c r="BE119" s="1424" t="str">
        <f aca="false">IF($AT119&gt;0,VLOOKUP($AR119,'O_MN, PE_UTA_UGM 2024'!$E$3:$O$419,BE$6),"")</f>
        <v/>
      </c>
      <c r="BF119" s="1424" t="str">
        <f aca="false">IF($AT119&gt;0,VLOOKUP($AR119,'O_MN, PE_UTA_UGM 2024'!$E$3:$O$419,BF$6),"")</f>
        <v/>
      </c>
      <c r="BG119" s="1424" t="str">
        <f aca="false">IF($AT119&gt;0,VLOOKUP($AR119,'O_MN, PE_UTA_UGM 2024'!$E$3:$O$419,BG$6),"")</f>
        <v/>
      </c>
      <c r="BH119" s="872"/>
      <c r="BI119" s="872"/>
      <c r="BJ119" s="872"/>
      <c r="BK119" s="872"/>
      <c r="BM119" s="1411"/>
      <c r="BN119" s="1411"/>
      <c r="BO119" s="1425" t="str">
        <f aca="false">IF(ISNUMBER($AU119*BB119*1),$AU119*BB119*1,"")</f>
        <v/>
      </c>
      <c r="BP119" s="1425" t="str">
        <f aca="false">IF(ISNUMBER($AV119*BC119*1),$AV119*BC119*1,"")</f>
        <v/>
      </c>
      <c r="BQ119" s="1425" t="str">
        <f aca="false">IF(ISNUMBER($AU119*BD119*1),$AU119*BD119*1,"")</f>
        <v/>
      </c>
      <c r="BR119" s="1425" t="str">
        <f aca="false">IF(ISNUMBER($AV119*BE119*1),$AV119*BE119*1,"")</f>
        <v/>
      </c>
      <c r="BS119" s="1411" t="str">
        <f aca="false">IF(ISNUMBER($AU119*BF119),$AU119*BF119,"")</f>
        <v/>
      </c>
      <c r="BT119" s="1411" t="str">
        <f aca="false">IF(ISNUMBER($AV119*BG119),$AV119*BG119,"")</f>
        <v/>
      </c>
      <c r="BU119" s="1411"/>
      <c r="BV119" s="1411"/>
      <c r="BW119" s="1411"/>
      <c r="BX119" s="1411"/>
      <c r="BZ119" s="1372"/>
      <c r="CA119" s="1372"/>
      <c r="CB119" s="1426" t="str">
        <f aca="false">IF(ISNUMBER($AW119*BB119),$AW119*BB119,"")</f>
        <v/>
      </c>
      <c r="CC119" s="1426" t="str">
        <f aca="false">IF(ISNUMBER($AX119*BC119),$AX119*BC119,"")</f>
        <v/>
      </c>
      <c r="CD119" s="1426" t="str">
        <f aca="false">IF(ISNUMBER($AW119*BD119),$AW119*BD119,"")</f>
        <v/>
      </c>
      <c r="CE119" s="1426" t="str">
        <f aca="false">IF(ISNUMBER($AX119*BE119),$AX119*BE119,"")</f>
        <v/>
      </c>
      <c r="CF119" s="1372" t="str">
        <f aca="false">IF(ISNUMBER($AW119*BF119),$AW119*BF119,"")</f>
        <v/>
      </c>
      <c r="CG119" s="1372" t="str">
        <f aca="false">IF(ISNUMBER($AX119*BG119),$AX119*BG119,"")</f>
        <v/>
      </c>
      <c r="CH119" s="1438"/>
      <c r="CI119" s="1438"/>
      <c r="CJ119" s="1438"/>
      <c r="CK119" s="1438"/>
      <c r="CU119" s="1411"/>
      <c r="CV119" s="1411"/>
      <c r="CW119" s="1425"/>
      <c r="CX119" s="1425"/>
      <c r="CY119" s="1425"/>
      <c r="CZ119" s="1425"/>
      <c r="DA119" s="1411"/>
      <c r="DB119" s="1411"/>
      <c r="DC119" s="1411"/>
      <c r="DD119" s="1411"/>
      <c r="DE119" s="1411"/>
      <c r="DF119" s="1411"/>
      <c r="DH119" s="1432"/>
      <c r="DI119" s="1432"/>
      <c r="DJ119" s="1437"/>
      <c r="DK119" s="1437"/>
      <c r="DL119" s="1437"/>
      <c r="DM119" s="1437"/>
      <c r="DN119" s="1432"/>
      <c r="DO119" s="1432"/>
      <c r="DP119" s="1432"/>
      <c r="DQ119" s="1432"/>
      <c r="DR119" s="1432"/>
      <c r="DS119" s="1432"/>
      <c r="DT119" s="1316"/>
      <c r="DU119" s="1433"/>
      <c r="DV119" s="1433"/>
      <c r="DW119" s="1433"/>
      <c r="DX119" s="1433"/>
      <c r="DY119" s="1433"/>
      <c r="DZ119" s="1433"/>
      <c r="EA119" s="1433"/>
      <c r="EB119" s="1433"/>
    </row>
    <row r="120" customFormat="false" ht="14.25" hidden="false" customHeight="false" outlineLevel="0" collapsed="false">
      <c r="A120" s="2" t="n">
        <f aca="false">'V_DATOS PAC_SGA'!R115</f>
        <v>0</v>
      </c>
      <c r="B120" s="2" t="n">
        <f aca="false">IF(I120="IV",CONCATENATE('V_DATOS PAC_SGA'!R115,"4")+0,CONCATENATE('V_DATOS PAC_SGA'!R115,"0")+0)</f>
        <v>0</v>
      </c>
      <c r="C120" s="2" t="n">
        <f aca="false">'V_DATOS PAC_SGA'!S115</f>
        <v>0</v>
      </c>
      <c r="D120" s="1409" t="n">
        <f aca="false">'V_DATOS PAC_SGA'!Y115</f>
        <v>0</v>
      </c>
      <c r="E120" s="1410" t="str">
        <f aca="false">IF('V_DATOS PAC_SGA'!AV115="","Regadio",'V_DATOS PAC_SGA'!AV115)</f>
        <v>Regadio</v>
      </c>
      <c r="F120" s="1411" t="n">
        <f aca="false">'V_DATOS PAC_SGA'!BK115</f>
        <v>0</v>
      </c>
      <c r="G120" s="1412" t="n">
        <f aca="false">'V_DATOS PAC_SGA'!AN115</f>
        <v>0</v>
      </c>
      <c r="H120" s="1413" t="str">
        <f aca="false">IF(B120&gt;0,VLOOKUP(B120,'O_MN, PE_UTA_UGM 2024'!E$3:O$419,10),"")</f>
        <v/>
      </c>
      <c r="I120" s="1359" t="n">
        <f aca="false">'V_DATOS PAC_SGA'!BV115</f>
        <v>0</v>
      </c>
      <c r="J120" s="2" t="str">
        <f aca="false">IF(AND(J$4=$G120,J$6=$F120),$D120*J$5,"")</f>
        <v/>
      </c>
      <c r="K120" s="2" t="str">
        <f aca="false">IF(AND(K$4=$G120,K$6=$F120),$D120*K$5,"")</f>
        <v/>
      </c>
      <c r="L120" s="2" t="str">
        <f aca="false">IF(AND(L$4=$G120,L$6=$F120),$D120*L$5,"")</f>
        <v/>
      </c>
      <c r="M120" s="2" t="str">
        <f aca="false">IF(AND(M$4=$G120,M$6=$F120),$D120*M$5,"")</f>
        <v/>
      </c>
      <c r="N120" s="1414" t="n">
        <f aca="false">VLOOKUP(B120,'O_MN, PE_UTA_UGM 2024'!$E$2:$K$419,IF(G120&gt;1,6,7))</f>
        <v>0</v>
      </c>
      <c r="O120" s="1434" t="str">
        <f aca="false">IF($H120=O$4,$D120*$N120,"")</f>
        <v/>
      </c>
      <c r="P120" s="1435" t="str">
        <f aca="false">IF($H120=P$4,$D120*$N120,"")</f>
        <v/>
      </c>
      <c r="Q120" s="1435" t="str">
        <f aca="false">IF($H120=Q$4,$D120*$N120,"")</f>
        <v/>
      </c>
      <c r="R120" s="1435" t="str">
        <f aca="false">IF($H120=R$4,$D120*$N120,"")</f>
        <v/>
      </c>
      <c r="S120" s="1435" t="str">
        <f aca="false">IF($H120=S$4,$D120*$N120,"")</f>
        <v/>
      </c>
      <c r="T120" s="1435" t="str">
        <f aca="false">IF($H120=T$4,$D120*$N120,"")</f>
        <v/>
      </c>
      <c r="U120" s="1436" t="str">
        <f aca="false">IF($H120=U$4,$D120*$N120,"")</f>
        <v/>
      </c>
      <c r="V120" s="1418"/>
      <c r="W120" s="1419"/>
      <c r="X120" s="1419"/>
      <c r="Y120" s="1419"/>
      <c r="Z120" s="1419"/>
      <c r="AA120" s="1419"/>
      <c r="AB120" s="1420"/>
      <c r="AC120" s="1319"/>
      <c r="AD120" s="2" t="str">
        <f aca="false">IF(AND(AD$4=$G120,AD$6=$F120),$B120,"")</f>
        <v/>
      </c>
      <c r="AE120" s="2" t="str">
        <f aca="false">IF(AND(AE$4=$G120,AE$6=$F120),$B120,"")</f>
        <v/>
      </c>
      <c r="AF120" s="2" t="str">
        <f aca="false">IF(AND(AF$4=$G120,AF$6=$F120),$B120,"")</f>
        <v/>
      </c>
      <c r="AG120" s="2" t="str">
        <f aca="false">IF(AND(AG$4=$G120,AG$6=$F120),$B120,"")</f>
        <v/>
      </c>
      <c r="AI120" s="366"/>
      <c r="AL120" s="367"/>
      <c r="AO120" s="367"/>
      <c r="AP120" s="2" t="str">
        <f aca="false">IF(AT120&gt;0,RANK(AT120,AT$7:AT$423),"")</f>
        <v/>
      </c>
      <c r="AQ120" s="2" t="n">
        <f aca="false">'O_MN, PE_UTA_UGM 2024'!C116</f>
        <v>162</v>
      </c>
      <c r="AR120" s="1421" t="n">
        <v>1600</v>
      </c>
      <c r="AS120" s="2" t="str">
        <f aca="false">IF(AY120&lt;&gt;"",AY120,"")</f>
        <v/>
      </c>
      <c r="AT120" s="1422" t="n">
        <f aca="false">IF(ISNUMBER($AR120),SUMIF(B$7:B$505,AR120,D$7:D$505),"")</f>
        <v>0</v>
      </c>
      <c r="AU120" s="1411" t="n">
        <f aca="false">IF(ISNUMBER($AR120),SUMIF(AD$7:AD$503,$AR120,J$7:J$503),"")</f>
        <v>0</v>
      </c>
      <c r="AV120" s="1411" t="n">
        <f aca="false">IF(ISNUMBER($AR120),SUMIF(AF$7:AF$503,$AR120,L$7:L$503),"")</f>
        <v>0</v>
      </c>
      <c r="AW120" s="1423" t="n">
        <f aca="false">IF(ISNUMBER($AR120),SUMIF(AE$7:AE$503,$AR120,K$7:K$503),"")</f>
        <v>0</v>
      </c>
      <c r="AX120" s="1423" t="n">
        <f aca="false">IF(ISNUMBER($AR120),SUMIF(AG$7:AG$503,$AR120,M$7:M$503),"")</f>
        <v>0</v>
      </c>
      <c r="AY120" s="2" t="str">
        <f aca="false">IF($AT120&gt;0,VLOOKUP($AR120,'O_MN, PE_UTA_UGM 2024'!E116:O532,2),"")</f>
        <v/>
      </c>
      <c r="AZ120" s="1424"/>
      <c r="BA120" s="1424"/>
      <c r="BB120" s="1424" t="str">
        <f aca="false">IF($AT120&gt;0,VLOOKUP($AR120,'O_MN, PE_UTA_UGM 2024'!$E$3:$O$419,BB$6),"")</f>
        <v/>
      </c>
      <c r="BC120" s="1424" t="str">
        <f aca="false">IF($AT120&gt;0,VLOOKUP($AR120,'O_MN, PE_UTA_UGM 2024'!$E$3:$O$419,BC$6),"")</f>
        <v/>
      </c>
      <c r="BD120" s="1424" t="str">
        <f aca="false">IF($AT120&gt;0,VLOOKUP($AR120,'O_MN, PE_UTA_UGM 2024'!$E$3:$O$419,BD$6),"")</f>
        <v/>
      </c>
      <c r="BE120" s="1424" t="str">
        <f aca="false">IF($AT120&gt;0,VLOOKUP($AR120,'O_MN, PE_UTA_UGM 2024'!$E$3:$O$419,BE$6),"")</f>
        <v/>
      </c>
      <c r="BF120" s="1424" t="str">
        <f aca="false">IF($AT120&gt;0,VLOOKUP($AR120,'O_MN, PE_UTA_UGM 2024'!$E$3:$O$419,BF$6),"")</f>
        <v/>
      </c>
      <c r="BG120" s="1424" t="str">
        <f aca="false">IF($AT120&gt;0,VLOOKUP($AR120,'O_MN, PE_UTA_UGM 2024'!$E$3:$O$419,BG$6),"")</f>
        <v/>
      </c>
      <c r="BH120" s="872"/>
      <c r="BI120" s="872"/>
      <c r="BJ120" s="872"/>
      <c r="BK120" s="872"/>
      <c r="BM120" s="1411"/>
      <c r="BN120" s="1411"/>
      <c r="BO120" s="1425" t="str">
        <f aca="false">IF(ISNUMBER($AU120*BB120*1),$AU120*BB120*1,"")</f>
        <v/>
      </c>
      <c r="BP120" s="1425" t="str">
        <f aca="false">IF(ISNUMBER($AV120*BC120*1),$AV120*BC120*1,"")</f>
        <v/>
      </c>
      <c r="BQ120" s="1425" t="str">
        <f aca="false">IF(ISNUMBER($AU120*BD120*1),$AU120*BD120*1,"")</f>
        <v/>
      </c>
      <c r="BR120" s="1425" t="str">
        <f aca="false">IF(ISNUMBER($AV120*BE120*1),$AV120*BE120*1,"")</f>
        <v/>
      </c>
      <c r="BS120" s="1411" t="str">
        <f aca="false">IF(ISNUMBER($AU120*BF120),$AU120*BF120,"")</f>
        <v/>
      </c>
      <c r="BT120" s="1411" t="str">
        <f aca="false">IF(ISNUMBER($AV120*BG120),$AV120*BG120,"")</f>
        <v/>
      </c>
      <c r="BU120" s="1411"/>
      <c r="BV120" s="1411"/>
      <c r="BW120" s="1411"/>
      <c r="BX120" s="1411"/>
      <c r="BZ120" s="1372"/>
      <c r="CA120" s="1372"/>
      <c r="CB120" s="1426" t="str">
        <f aca="false">IF(ISNUMBER($AW120*BB120),$AW120*BB120,"")</f>
        <v/>
      </c>
      <c r="CC120" s="1426" t="str">
        <f aca="false">IF(ISNUMBER($AX120*BC120),$AX120*BC120,"")</f>
        <v/>
      </c>
      <c r="CD120" s="1426" t="str">
        <f aca="false">IF(ISNUMBER($AW120*BD120),$AW120*BD120,"")</f>
        <v/>
      </c>
      <c r="CE120" s="1426" t="str">
        <f aca="false">IF(ISNUMBER($AX120*BE120),$AX120*BE120,"")</f>
        <v/>
      </c>
      <c r="CF120" s="1372" t="str">
        <f aca="false">IF(ISNUMBER($AW120*BF120),$AW120*BF120,"")</f>
        <v/>
      </c>
      <c r="CG120" s="1372" t="str">
        <f aca="false">IF(ISNUMBER($AX120*BG120),$AX120*BG120,"")</f>
        <v/>
      </c>
      <c r="CH120" s="1438"/>
      <c r="CI120" s="1438"/>
      <c r="CJ120" s="1438"/>
      <c r="CK120" s="1438"/>
      <c r="CU120" s="1411"/>
      <c r="CV120" s="1411"/>
      <c r="CW120" s="1425"/>
      <c r="CX120" s="1425"/>
      <c r="CY120" s="1425"/>
      <c r="CZ120" s="1425"/>
      <c r="DA120" s="1411"/>
      <c r="DB120" s="1411"/>
      <c r="DC120" s="1411"/>
      <c r="DD120" s="1411"/>
      <c r="DE120" s="1411"/>
      <c r="DF120" s="1411"/>
      <c r="DH120" s="1432"/>
      <c r="DI120" s="1432"/>
      <c r="DJ120" s="1437"/>
      <c r="DK120" s="1437"/>
      <c r="DL120" s="1437"/>
      <c r="DM120" s="1437"/>
      <c r="DN120" s="1432"/>
      <c r="DO120" s="1432"/>
      <c r="DP120" s="1432"/>
      <c r="DQ120" s="1432"/>
      <c r="DR120" s="1432"/>
      <c r="DS120" s="1432"/>
      <c r="DT120" s="1316"/>
      <c r="DU120" s="1433"/>
      <c r="DV120" s="1433"/>
      <c r="DW120" s="1433"/>
      <c r="DX120" s="1433"/>
      <c r="DY120" s="1433"/>
      <c r="DZ120" s="1433"/>
      <c r="EA120" s="1433"/>
      <c r="EB120" s="1433"/>
    </row>
    <row r="121" customFormat="false" ht="14.25" hidden="false" customHeight="false" outlineLevel="0" collapsed="false">
      <c r="A121" s="2" t="n">
        <f aca="false">'V_DATOS PAC_SGA'!R116</f>
        <v>0</v>
      </c>
      <c r="B121" s="2" t="n">
        <f aca="false">IF(I121="IV",CONCATENATE('V_DATOS PAC_SGA'!R116,"4")+0,CONCATENATE('V_DATOS PAC_SGA'!R116,"0")+0)</f>
        <v>0</v>
      </c>
      <c r="C121" s="2" t="n">
        <f aca="false">'V_DATOS PAC_SGA'!S116</f>
        <v>0</v>
      </c>
      <c r="D121" s="1409" t="n">
        <f aca="false">'V_DATOS PAC_SGA'!Y116</f>
        <v>0</v>
      </c>
      <c r="E121" s="1410" t="str">
        <f aca="false">IF('V_DATOS PAC_SGA'!AV116="","Regadio",'V_DATOS PAC_SGA'!AV116)</f>
        <v>Regadio</v>
      </c>
      <c r="F121" s="1411" t="n">
        <f aca="false">'V_DATOS PAC_SGA'!BK116</f>
        <v>0</v>
      </c>
      <c r="G121" s="1412" t="n">
        <f aca="false">'V_DATOS PAC_SGA'!AN116</f>
        <v>0</v>
      </c>
      <c r="H121" s="1413" t="str">
        <f aca="false">IF(B121&gt;0,VLOOKUP(B121,'O_MN, PE_UTA_UGM 2024'!E$3:O$419,10),"")</f>
        <v/>
      </c>
      <c r="I121" s="1359" t="n">
        <f aca="false">'V_DATOS PAC_SGA'!BV116</f>
        <v>0</v>
      </c>
      <c r="J121" s="2" t="str">
        <f aca="false">IF(AND(J$4=$G121,J$6=$F121),$D121*J$5,"")</f>
        <v/>
      </c>
      <c r="K121" s="2" t="str">
        <f aca="false">IF(AND(K$4=$G121,K$6=$F121),$D121*K$5,"")</f>
        <v/>
      </c>
      <c r="L121" s="2" t="str">
        <f aca="false">IF(AND(L$4=$G121,L$6=$F121),$D121*L$5,"")</f>
        <v/>
      </c>
      <c r="M121" s="2" t="str">
        <f aca="false">IF(AND(M$4=$G121,M$6=$F121),$D121*M$5,"")</f>
        <v/>
      </c>
      <c r="N121" s="1414" t="n">
        <f aca="false">VLOOKUP(B121,'O_MN, PE_UTA_UGM 2024'!$E$2:$K$419,IF(G121&gt;1,6,7))</f>
        <v>0</v>
      </c>
      <c r="O121" s="1434" t="str">
        <f aca="false">IF($H121=O$4,$D121*$N121,"")</f>
        <v/>
      </c>
      <c r="P121" s="1435" t="str">
        <f aca="false">IF($H121=P$4,$D121*$N121,"")</f>
        <v/>
      </c>
      <c r="Q121" s="1435" t="str">
        <f aca="false">IF($H121=Q$4,$D121*$N121,"")</f>
        <v/>
      </c>
      <c r="R121" s="1435" t="str">
        <f aca="false">IF($H121=R$4,$D121*$N121,"")</f>
        <v/>
      </c>
      <c r="S121" s="1435" t="str">
        <f aca="false">IF($H121=S$4,$D121*$N121,"")</f>
        <v/>
      </c>
      <c r="T121" s="1435" t="str">
        <f aca="false">IF($H121=T$4,$D121*$N121,"")</f>
        <v/>
      </c>
      <c r="U121" s="1436" t="str">
        <f aca="false">IF($H121=U$4,$D121*$N121,"")</f>
        <v/>
      </c>
      <c r="V121" s="1418"/>
      <c r="W121" s="1419"/>
      <c r="X121" s="1419"/>
      <c r="Y121" s="1419"/>
      <c r="Z121" s="1419"/>
      <c r="AA121" s="1419"/>
      <c r="AB121" s="1420"/>
      <c r="AC121" s="1319"/>
      <c r="AD121" s="2" t="str">
        <f aca="false">IF(AND(AD$4=$G121,AD$6=$F121),$B121,"")</f>
        <v/>
      </c>
      <c r="AE121" s="2" t="str">
        <f aca="false">IF(AND(AE$4=$G121,AE$6=$F121),$B121,"")</f>
        <v/>
      </c>
      <c r="AF121" s="2" t="str">
        <f aca="false">IF(AND(AF$4=$G121,AF$6=$F121),$B121,"")</f>
        <v/>
      </c>
      <c r="AG121" s="2" t="str">
        <f aca="false">IF(AND(AG$4=$G121,AG$6=$F121),$B121,"")</f>
        <v/>
      </c>
      <c r="AI121" s="366"/>
      <c r="AL121" s="367"/>
      <c r="AO121" s="367"/>
      <c r="AP121" s="2" t="str">
        <f aca="false">IF(AT121&gt;0,RANK(AT121,AT$7:AT$423),"")</f>
        <v/>
      </c>
      <c r="AQ121" s="2" t="n">
        <f aca="false">'O_MN, PE_UTA_UGM 2024'!C117</f>
        <v>162</v>
      </c>
      <c r="AR121" s="1421" t="n">
        <v>1604</v>
      </c>
      <c r="AS121" s="2" t="str">
        <f aca="false">IF(AY121&lt;&gt;"",AY121,"")</f>
        <v/>
      </c>
      <c r="AT121" s="1422" t="n">
        <f aca="false">IF(ISNUMBER($AR121),SUMIF(B$7:B$505,AR121,D$7:D$505),"")</f>
        <v>0</v>
      </c>
      <c r="AU121" s="1411" t="n">
        <f aca="false">IF(ISNUMBER($AR121),SUMIF(AD$7:AD$503,$AR121,J$7:J$503),"")</f>
        <v>0</v>
      </c>
      <c r="AV121" s="1411" t="n">
        <f aca="false">IF(ISNUMBER($AR121),SUMIF(AF$7:AF$503,$AR121,L$7:L$503),"")</f>
        <v>0</v>
      </c>
      <c r="AW121" s="1423" t="n">
        <f aca="false">IF(ISNUMBER($AR121),SUMIF(AE$7:AE$503,$AR121,K$7:K$503),"")</f>
        <v>0</v>
      </c>
      <c r="AX121" s="1423" t="n">
        <f aca="false">IF(ISNUMBER($AR121),SUMIF(AG$7:AG$503,$AR121,M$7:M$503),"")</f>
        <v>0</v>
      </c>
      <c r="AY121" s="2" t="str">
        <f aca="false">IF($AT121&gt;0,VLOOKUP($AR121,'O_MN, PE_UTA_UGM 2024'!E117:O533,2),"")</f>
        <v/>
      </c>
      <c r="AZ121" s="1424"/>
      <c r="BA121" s="1424"/>
      <c r="BB121" s="1424" t="str">
        <f aca="false">IF($AT121&gt;0,VLOOKUP($AR121,'O_MN, PE_UTA_UGM 2024'!$E$3:$O$419,BB$6),"")</f>
        <v/>
      </c>
      <c r="BC121" s="1424" t="str">
        <f aca="false">IF($AT121&gt;0,VLOOKUP($AR121,'O_MN, PE_UTA_UGM 2024'!$E$3:$O$419,BC$6),"")</f>
        <v/>
      </c>
      <c r="BD121" s="1424" t="str">
        <f aca="false">IF($AT121&gt;0,VLOOKUP($AR121,'O_MN, PE_UTA_UGM 2024'!$E$3:$O$419,BD$6),"")</f>
        <v/>
      </c>
      <c r="BE121" s="1424" t="str">
        <f aca="false">IF($AT121&gt;0,VLOOKUP($AR121,'O_MN, PE_UTA_UGM 2024'!$E$3:$O$419,BE$6),"")</f>
        <v/>
      </c>
      <c r="BF121" s="1424" t="str">
        <f aca="false">IF($AT121&gt;0,VLOOKUP($AR121,'O_MN, PE_UTA_UGM 2024'!$E$3:$O$419,BF$6),"")</f>
        <v/>
      </c>
      <c r="BG121" s="1424" t="str">
        <f aca="false">IF($AT121&gt;0,VLOOKUP($AR121,'O_MN, PE_UTA_UGM 2024'!$E$3:$O$419,BG$6),"")</f>
        <v/>
      </c>
      <c r="BH121" s="872"/>
      <c r="BI121" s="872"/>
      <c r="BJ121" s="872"/>
      <c r="BK121" s="872"/>
      <c r="BM121" s="1411"/>
      <c r="BN121" s="1411"/>
      <c r="BO121" s="1425" t="str">
        <f aca="false">IF(ISNUMBER($AU121*BB121*1),$AU121*BB121*1,"")</f>
        <v/>
      </c>
      <c r="BP121" s="1425" t="str">
        <f aca="false">IF(ISNUMBER($AV121*BC121*1),$AV121*BC121*1,"")</f>
        <v/>
      </c>
      <c r="BQ121" s="1425" t="str">
        <f aca="false">IF(ISNUMBER($AU121*BD121*1),$AU121*BD121*1,"")</f>
        <v/>
      </c>
      <c r="BR121" s="1425" t="str">
        <f aca="false">IF(ISNUMBER($AV121*BE121*1),$AV121*BE121*1,"")</f>
        <v/>
      </c>
      <c r="BS121" s="1411" t="str">
        <f aca="false">IF(ISNUMBER($AU121*BF121),$AU121*BF121,"")</f>
        <v/>
      </c>
      <c r="BT121" s="1411" t="str">
        <f aca="false">IF(ISNUMBER($AV121*BG121),$AV121*BG121,"")</f>
        <v/>
      </c>
      <c r="BU121" s="1411"/>
      <c r="BV121" s="1411"/>
      <c r="BW121" s="1411"/>
      <c r="BX121" s="1411"/>
      <c r="BZ121" s="1372"/>
      <c r="CA121" s="1372"/>
      <c r="CB121" s="1426" t="str">
        <f aca="false">IF(ISNUMBER($AW121*BB121),$AW121*BB121,"")</f>
        <v/>
      </c>
      <c r="CC121" s="1426" t="str">
        <f aca="false">IF(ISNUMBER($AX121*BC121),$AX121*BC121,"")</f>
        <v/>
      </c>
      <c r="CD121" s="1426" t="str">
        <f aca="false">IF(ISNUMBER($AW121*BD121),$AW121*BD121,"")</f>
        <v/>
      </c>
      <c r="CE121" s="1426" t="str">
        <f aca="false">IF(ISNUMBER($AX121*BE121),$AX121*BE121,"")</f>
        <v/>
      </c>
      <c r="CF121" s="1372" t="str">
        <f aca="false">IF(ISNUMBER($AW121*BF121),$AW121*BF121,"")</f>
        <v/>
      </c>
      <c r="CG121" s="1372" t="str">
        <f aca="false">IF(ISNUMBER($AX121*BG121),$AX121*BG121,"")</f>
        <v/>
      </c>
      <c r="CH121" s="1438"/>
      <c r="CI121" s="1438"/>
      <c r="CJ121" s="1438"/>
      <c r="CK121" s="1438"/>
      <c r="CU121" s="1411"/>
      <c r="CV121" s="1411"/>
      <c r="CW121" s="1425"/>
      <c r="CX121" s="1425"/>
      <c r="CY121" s="1425"/>
      <c r="CZ121" s="1425"/>
      <c r="DA121" s="1411"/>
      <c r="DB121" s="1411"/>
      <c r="DC121" s="1411"/>
      <c r="DD121" s="1411"/>
      <c r="DE121" s="1411"/>
      <c r="DF121" s="1411"/>
      <c r="DH121" s="1432"/>
      <c r="DI121" s="1432"/>
      <c r="DJ121" s="1437"/>
      <c r="DK121" s="1437"/>
      <c r="DL121" s="1437"/>
      <c r="DM121" s="1437"/>
      <c r="DN121" s="1432"/>
      <c r="DO121" s="1432"/>
      <c r="DP121" s="1432"/>
      <c r="DQ121" s="1432"/>
      <c r="DR121" s="1432"/>
      <c r="DS121" s="1432"/>
      <c r="DT121" s="1316"/>
      <c r="DU121" s="1433"/>
      <c r="DV121" s="1433"/>
      <c r="DW121" s="1433"/>
      <c r="DX121" s="1433"/>
      <c r="DY121" s="1433"/>
      <c r="DZ121" s="1433"/>
      <c r="EA121" s="1433"/>
      <c r="EB121" s="1433"/>
    </row>
    <row r="122" customFormat="false" ht="14.25" hidden="false" customHeight="false" outlineLevel="0" collapsed="false">
      <c r="A122" s="2" t="n">
        <f aca="false">'V_DATOS PAC_SGA'!R117</f>
        <v>0</v>
      </c>
      <c r="B122" s="2" t="n">
        <f aca="false">IF(I122="IV",CONCATENATE('V_DATOS PAC_SGA'!R117,"4")+0,CONCATENATE('V_DATOS PAC_SGA'!R117,"0")+0)</f>
        <v>0</v>
      </c>
      <c r="C122" s="2" t="n">
        <f aca="false">'V_DATOS PAC_SGA'!S117</f>
        <v>0</v>
      </c>
      <c r="D122" s="1409" t="n">
        <f aca="false">'V_DATOS PAC_SGA'!Y117</f>
        <v>0</v>
      </c>
      <c r="E122" s="1410" t="str">
        <f aca="false">IF('V_DATOS PAC_SGA'!AV117="","Regadio",'V_DATOS PAC_SGA'!AV117)</f>
        <v>Regadio</v>
      </c>
      <c r="F122" s="1411" t="n">
        <f aca="false">'V_DATOS PAC_SGA'!BK117</f>
        <v>0</v>
      </c>
      <c r="G122" s="1412" t="n">
        <f aca="false">'V_DATOS PAC_SGA'!AN117</f>
        <v>0</v>
      </c>
      <c r="H122" s="1413" t="str">
        <f aca="false">IF(B122&gt;0,VLOOKUP(B122,'O_MN, PE_UTA_UGM 2024'!E$3:O$419,10),"")</f>
        <v/>
      </c>
      <c r="I122" s="1359" t="n">
        <f aca="false">'V_DATOS PAC_SGA'!BV117</f>
        <v>0</v>
      </c>
      <c r="J122" s="2" t="str">
        <f aca="false">IF(AND(J$4=$G122,J$6=$F122),$D122*J$5,"")</f>
        <v/>
      </c>
      <c r="K122" s="2" t="str">
        <f aca="false">IF(AND(K$4=$G122,K$6=$F122),$D122*K$5,"")</f>
        <v/>
      </c>
      <c r="L122" s="2" t="str">
        <f aca="false">IF(AND(L$4=$G122,L$6=$F122),$D122*L$5,"")</f>
        <v/>
      </c>
      <c r="M122" s="2" t="str">
        <f aca="false">IF(AND(M$4=$G122,M$6=$F122),$D122*M$5,"")</f>
        <v/>
      </c>
      <c r="N122" s="1414" t="n">
        <f aca="false">VLOOKUP(B122,'O_MN, PE_UTA_UGM 2024'!$E$2:$K$419,IF(G122&gt;1,6,7))</f>
        <v>0</v>
      </c>
      <c r="O122" s="1434" t="str">
        <f aca="false">IF($H122=O$4,$D122*$N122,"")</f>
        <v/>
      </c>
      <c r="P122" s="1435" t="str">
        <f aca="false">IF($H122=P$4,$D122*$N122,"")</f>
        <v/>
      </c>
      <c r="Q122" s="1435" t="str">
        <f aca="false">IF($H122=Q$4,$D122*$N122,"")</f>
        <v/>
      </c>
      <c r="R122" s="1435" t="str">
        <f aca="false">IF($H122=R$4,$D122*$N122,"")</f>
        <v/>
      </c>
      <c r="S122" s="1435" t="str">
        <f aca="false">IF($H122=S$4,$D122*$N122,"")</f>
        <v/>
      </c>
      <c r="T122" s="1435" t="str">
        <f aca="false">IF($H122=T$4,$D122*$N122,"")</f>
        <v/>
      </c>
      <c r="U122" s="1436" t="str">
        <f aca="false">IF($H122=U$4,$D122*$N122,"")</f>
        <v/>
      </c>
      <c r="V122" s="1418"/>
      <c r="W122" s="1419"/>
      <c r="X122" s="1419"/>
      <c r="Y122" s="1419"/>
      <c r="Z122" s="1419"/>
      <c r="AA122" s="1419"/>
      <c r="AB122" s="1420"/>
      <c r="AC122" s="1319"/>
      <c r="AD122" s="2" t="str">
        <f aca="false">IF(AND(AD$4=$G122,AD$6=$F122),$B122,"")</f>
        <v/>
      </c>
      <c r="AE122" s="2" t="str">
        <f aca="false">IF(AND(AE$4=$G122,AE$6=$F122),$B122,"")</f>
        <v/>
      </c>
      <c r="AF122" s="2" t="str">
        <f aca="false">IF(AND(AF$4=$G122,AF$6=$F122),$B122,"")</f>
        <v/>
      </c>
      <c r="AG122" s="2" t="str">
        <f aca="false">IF(AND(AG$4=$G122,AG$6=$F122),$B122,"")</f>
        <v/>
      </c>
      <c r="AI122" s="366"/>
      <c r="AL122" s="367"/>
      <c r="AO122" s="367"/>
      <c r="AP122" s="2" t="str">
        <f aca="false">IF(AT122&gt;0,RANK(AT122,AT$7:AT$423),"")</f>
        <v/>
      </c>
      <c r="AQ122" s="2" t="n">
        <f aca="false">'O_MN, PE_UTA_UGM 2024'!C118</f>
        <v>163</v>
      </c>
      <c r="AR122" s="1421" t="n">
        <v>1609</v>
      </c>
      <c r="AS122" s="2" t="str">
        <f aca="false">IF(AY122&lt;&gt;"",AY122,"")</f>
        <v/>
      </c>
      <c r="AT122" s="1422" t="n">
        <f aca="false">IF(ISNUMBER($AR122),SUMIF(B$7:B$505,AR122,D$7:D$505),"")</f>
        <v>0</v>
      </c>
      <c r="AU122" s="1411" t="n">
        <f aca="false">IF(ISNUMBER($AR122),SUMIF(AD$7:AD$503,$AR122,J$7:J$503),"")</f>
        <v>0</v>
      </c>
      <c r="AV122" s="1411" t="n">
        <f aca="false">IF(ISNUMBER($AR122),SUMIF(AF$7:AF$503,$AR122,L$7:L$503),"")</f>
        <v>0</v>
      </c>
      <c r="AW122" s="1423" t="n">
        <f aca="false">IF(ISNUMBER($AR122),SUMIF(AE$7:AE$503,$AR122,K$7:K$503),"")</f>
        <v>0</v>
      </c>
      <c r="AX122" s="1423" t="n">
        <f aca="false">IF(ISNUMBER($AR122),SUMIF(AG$7:AG$503,$AR122,M$7:M$503),"")</f>
        <v>0</v>
      </c>
      <c r="AY122" s="2" t="str">
        <f aca="false">IF($AT122&gt;0,VLOOKUP($AR122,'O_MN, PE_UTA_UGM 2024'!E118:O534,2),"")</f>
        <v/>
      </c>
      <c r="AZ122" s="1424"/>
      <c r="BA122" s="1424"/>
      <c r="BB122" s="1424" t="str">
        <f aca="false">IF($AT122&gt;0,VLOOKUP($AR122,'O_MN, PE_UTA_UGM 2024'!$E$3:$O$419,BB$6),"")</f>
        <v/>
      </c>
      <c r="BC122" s="1424" t="str">
        <f aca="false">IF($AT122&gt;0,VLOOKUP($AR122,'O_MN, PE_UTA_UGM 2024'!$E$3:$O$419,BC$6),"")</f>
        <v/>
      </c>
      <c r="BD122" s="1424" t="str">
        <f aca="false">IF($AT122&gt;0,VLOOKUP($AR122,'O_MN, PE_UTA_UGM 2024'!$E$3:$O$419,BD$6),"")</f>
        <v/>
      </c>
      <c r="BE122" s="1424" t="str">
        <f aca="false">IF($AT122&gt;0,VLOOKUP($AR122,'O_MN, PE_UTA_UGM 2024'!$E$3:$O$419,BE$6),"")</f>
        <v/>
      </c>
      <c r="BF122" s="1424" t="str">
        <f aca="false">IF($AT122&gt;0,VLOOKUP($AR122,'O_MN, PE_UTA_UGM 2024'!$E$3:$O$419,BF$6),"")</f>
        <v/>
      </c>
      <c r="BG122" s="1424" t="str">
        <f aca="false">IF($AT122&gt;0,VLOOKUP($AR122,'O_MN, PE_UTA_UGM 2024'!$E$3:$O$419,BG$6),"")</f>
        <v/>
      </c>
      <c r="BH122" s="872"/>
      <c r="BI122" s="872"/>
      <c r="BJ122" s="872"/>
      <c r="BK122" s="872"/>
      <c r="BM122" s="1411"/>
      <c r="BN122" s="1411"/>
      <c r="BO122" s="1425" t="str">
        <f aca="false">IF(ISNUMBER($AU122*BB122*1),$AU122*BB122*1,"")</f>
        <v/>
      </c>
      <c r="BP122" s="1425" t="str">
        <f aca="false">IF(ISNUMBER($AV122*BC122*1),$AV122*BC122*1,"")</f>
        <v/>
      </c>
      <c r="BQ122" s="1425" t="str">
        <f aca="false">IF(ISNUMBER($AU122*BD122*1),$AU122*BD122*1,"")</f>
        <v/>
      </c>
      <c r="BR122" s="1425" t="str">
        <f aca="false">IF(ISNUMBER($AV122*BE122*1),$AV122*BE122*1,"")</f>
        <v/>
      </c>
      <c r="BS122" s="1411" t="str">
        <f aca="false">IF(ISNUMBER($AU122*BF122),$AU122*BF122,"")</f>
        <v/>
      </c>
      <c r="BT122" s="1411" t="str">
        <f aca="false">IF(ISNUMBER($AV122*BG122),$AV122*BG122,"")</f>
        <v/>
      </c>
      <c r="BU122" s="1411"/>
      <c r="BV122" s="1411"/>
      <c r="BW122" s="1411"/>
      <c r="BX122" s="1411"/>
      <c r="BZ122" s="1372"/>
      <c r="CA122" s="1372"/>
      <c r="CB122" s="1426" t="str">
        <f aca="false">IF(ISNUMBER($AW122*BB122),$AW122*BB122,"")</f>
        <v/>
      </c>
      <c r="CC122" s="1426" t="str">
        <f aca="false">IF(ISNUMBER($AX122*BC122),$AX122*BC122,"")</f>
        <v/>
      </c>
      <c r="CD122" s="1426" t="str">
        <f aca="false">IF(ISNUMBER($AW122*BD122),$AW122*BD122,"")</f>
        <v/>
      </c>
      <c r="CE122" s="1426" t="str">
        <f aca="false">IF(ISNUMBER($AX122*BE122),$AX122*BE122,"")</f>
        <v/>
      </c>
      <c r="CF122" s="1372" t="str">
        <f aca="false">IF(ISNUMBER($AW122*BF122),$AW122*BF122,"")</f>
        <v/>
      </c>
      <c r="CG122" s="1372" t="str">
        <f aca="false">IF(ISNUMBER($AX122*BG122),$AX122*BG122,"")</f>
        <v/>
      </c>
      <c r="CH122" s="1438"/>
      <c r="CI122" s="1438"/>
      <c r="CJ122" s="1438"/>
      <c r="CK122" s="1438"/>
      <c r="CU122" s="1411"/>
      <c r="CV122" s="1411"/>
      <c r="CW122" s="1425"/>
      <c r="CX122" s="1425"/>
      <c r="CY122" s="1425"/>
      <c r="CZ122" s="1425"/>
      <c r="DA122" s="1411"/>
      <c r="DB122" s="1411"/>
      <c r="DC122" s="1411"/>
      <c r="DD122" s="1411"/>
      <c r="DE122" s="1411"/>
      <c r="DF122" s="1411"/>
      <c r="DH122" s="1432"/>
      <c r="DI122" s="1432"/>
      <c r="DJ122" s="1437"/>
      <c r="DK122" s="1437"/>
      <c r="DL122" s="1437"/>
      <c r="DM122" s="1437"/>
      <c r="DN122" s="1432"/>
      <c r="DO122" s="1432"/>
      <c r="DP122" s="1432"/>
      <c r="DQ122" s="1432"/>
      <c r="DR122" s="1432"/>
      <c r="DS122" s="1432"/>
      <c r="DT122" s="1316"/>
      <c r="DU122" s="1433"/>
      <c r="DV122" s="1433"/>
      <c r="DW122" s="1433"/>
      <c r="DX122" s="1433"/>
      <c r="DY122" s="1433"/>
      <c r="DZ122" s="1433"/>
      <c r="EA122" s="1433"/>
      <c r="EB122" s="1433"/>
    </row>
    <row r="123" customFormat="false" ht="14.25" hidden="false" customHeight="false" outlineLevel="0" collapsed="false">
      <c r="A123" s="2" t="n">
        <f aca="false">'V_DATOS PAC_SGA'!R118</f>
        <v>0</v>
      </c>
      <c r="B123" s="2" t="n">
        <f aca="false">IF(I123="IV",CONCATENATE('V_DATOS PAC_SGA'!R118,"4")+0,CONCATENATE('V_DATOS PAC_SGA'!R118,"0")+0)</f>
        <v>0</v>
      </c>
      <c r="C123" s="2" t="n">
        <f aca="false">'V_DATOS PAC_SGA'!S118</f>
        <v>0</v>
      </c>
      <c r="D123" s="1409" t="n">
        <f aca="false">'V_DATOS PAC_SGA'!Y118</f>
        <v>0</v>
      </c>
      <c r="E123" s="1410" t="str">
        <f aca="false">IF('V_DATOS PAC_SGA'!AV118="","Regadio",'V_DATOS PAC_SGA'!AV118)</f>
        <v>Regadio</v>
      </c>
      <c r="F123" s="1411" t="n">
        <f aca="false">'V_DATOS PAC_SGA'!BK118</f>
        <v>0</v>
      </c>
      <c r="G123" s="1412" t="n">
        <f aca="false">'V_DATOS PAC_SGA'!AN118</f>
        <v>0</v>
      </c>
      <c r="H123" s="1413" t="str">
        <f aca="false">IF(B123&gt;0,VLOOKUP(B123,'O_MN, PE_UTA_UGM 2024'!E$3:O$419,10),"")</f>
        <v/>
      </c>
      <c r="I123" s="1359" t="n">
        <f aca="false">'V_DATOS PAC_SGA'!BV118</f>
        <v>0</v>
      </c>
      <c r="J123" s="2" t="str">
        <f aca="false">IF(AND(J$4=$G123,J$6=$F123),$D123*J$5,"")</f>
        <v/>
      </c>
      <c r="K123" s="2" t="str">
        <f aca="false">IF(AND(K$4=$G123,K$6=$F123),$D123*K$5,"")</f>
        <v/>
      </c>
      <c r="L123" s="2" t="str">
        <f aca="false">IF(AND(L$4=$G123,L$6=$F123),$D123*L$5,"")</f>
        <v/>
      </c>
      <c r="M123" s="2" t="str">
        <f aca="false">IF(AND(M$4=$G123,M$6=$F123),$D123*M$5,"")</f>
        <v/>
      </c>
      <c r="N123" s="1414" t="n">
        <f aca="false">VLOOKUP(B123,'O_MN, PE_UTA_UGM 2024'!$E$2:$K$419,IF(G123&gt;1,6,7))</f>
        <v>0</v>
      </c>
      <c r="O123" s="1434" t="str">
        <f aca="false">IF($H123=O$4,$D123*$N123,"")</f>
        <v/>
      </c>
      <c r="P123" s="1435" t="str">
        <f aca="false">IF($H123=P$4,$D123*$N123,"")</f>
        <v/>
      </c>
      <c r="Q123" s="1435" t="str">
        <f aca="false">IF($H123=Q$4,$D123*$N123,"")</f>
        <v/>
      </c>
      <c r="R123" s="1435" t="str">
        <f aca="false">IF($H123=R$4,$D123*$N123,"")</f>
        <v/>
      </c>
      <c r="S123" s="1435" t="str">
        <f aca="false">IF($H123=S$4,$D123*$N123,"")</f>
        <v/>
      </c>
      <c r="T123" s="1435" t="str">
        <f aca="false">IF($H123=T$4,$D123*$N123,"")</f>
        <v/>
      </c>
      <c r="U123" s="1436" t="str">
        <f aca="false">IF($H123=U$4,$D123*$N123,"")</f>
        <v/>
      </c>
      <c r="V123" s="1418"/>
      <c r="W123" s="1419"/>
      <c r="X123" s="1419"/>
      <c r="Y123" s="1419"/>
      <c r="Z123" s="1419"/>
      <c r="AA123" s="1419"/>
      <c r="AB123" s="1420"/>
      <c r="AC123" s="1319"/>
      <c r="AD123" s="2" t="str">
        <f aca="false">IF(AND(AD$4=$G123,AD$6=$F123),$B123,"")</f>
        <v/>
      </c>
      <c r="AE123" s="2" t="str">
        <f aca="false">IF(AND(AE$4=$G123,AE$6=$F123),$B123,"")</f>
        <v/>
      </c>
      <c r="AF123" s="2" t="str">
        <f aca="false">IF(AND(AF$4=$G123,AF$6=$F123),$B123,"")</f>
        <v/>
      </c>
      <c r="AG123" s="2" t="str">
        <f aca="false">IF(AND(AG$4=$G123,AG$6=$F123),$B123,"")</f>
        <v/>
      </c>
      <c r="AI123" s="366"/>
      <c r="AL123" s="367"/>
      <c r="AO123" s="367"/>
      <c r="AP123" s="2" t="str">
        <f aca="false">IF(AT123&gt;0,RANK(AT123,AT$7:AT$423),"")</f>
        <v/>
      </c>
      <c r="AQ123" s="2" t="n">
        <f aca="false">'O_MN, PE_UTA_UGM 2024'!C119</f>
        <v>163</v>
      </c>
      <c r="AR123" s="1421" t="n">
        <v>1620</v>
      </c>
      <c r="AS123" s="2" t="str">
        <f aca="false">IF(AY123&lt;&gt;"",AY123,"")</f>
        <v/>
      </c>
      <c r="AT123" s="1422" t="n">
        <f aca="false">IF(ISNUMBER($AR123),SUMIF(B$7:B$505,AR123,D$7:D$505),"")</f>
        <v>0</v>
      </c>
      <c r="AU123" s="1411" t="n">
        <f aca="false">IF(ISNUMBER($AR123),SUMIF(AD$7:AD$503,$AR123,J$7:J$503),"")</f>
        <v>0</v>
      </c>
      <c r="AV123" s="1411" t="n">
        <f aca="false">IF(ISNUMBER($AR123),SUMIF(AF$7:AF$503,$AR123,L$7:L$503),"")</f>
        <v>0</v>
      </c>
      <c r="AW123" s="1423" t="n">
        <f aca="false">IF(ISNUMBER($AR123),SUMIF(AE$7:AE$503,$AR123,K$7:K$503),"")</f>
        <v>0</v>
      </c>
      <c r="AX123" s="1423" t="n">
        <f aca="false">IF(ISNUMBER($AR123),SUMIF(AG$7:AG$503,$AR123,M$7:M$503),"")</f>
        <v>0</v>
      </c>
      <c r="AY123" s="2" t="str">
        <f aca="false">IF($AT123&gt;0,VLOOKUP($AR123,'O_MN, PE_UTA_UGM 2024'!E119:O535,2),"")</f>
        <v/>
      </c>
      <c r="AZ123" s="1424"/>
      <c r="BA123" s="1424"/>
      <c r="BB123" s="1424" t="str">
        <f aca="false">IF($AT123&gt;0,VLOOKUP($AR123,'O_MN, PE_UTA_UGM 2024'!$E$3:$O$419,BB$6),"")</f>
        <v/>
      </c>
      <c r="BC123" s="1424" t="str">
        <f aca="false">IF($AT123&gt;0,VLOOKUP($AR123,'O_MN, PE_UTA_UGM 2024'!$E$3:$O$419,BC$6),"")</f>
        <v/>
      </c>
      <c r="BD123" s="1424" t="str">
        <f aca="false">IF($AT123&gt;0,VLOOKUP($AR123,'O_MN, PE_UTA_UGM 2024'!$E$3:$O$419,BD$6),"")</f>
        <v/>
      </c>
      <c r="BE123" s="1424" t="str">
        <f aca="false">IF($AT123&gt;0,VLOOKUP($AR123,'O_MN, PE_UTA_UGM 2024'!$E$3:$O$419,BE$6),"")</f>
        <v/>
      </c>
      <c r="BF123" s="1424" t="str">
        <f aca="false">IF($AT123&gt;0,VLOOKUP($AR123,'O_MN, PE_UTA_UGM 2024'!$E$3:$O$419,BF$6),"")</f>
        <v/>
      </c>
      <c r="BG123" s="1424" t="str">
        <f aca="false">IF($AT123&gt;0,VLOOKUP($AR123,'O_MN, PE_UTA_UGM 2024'!$E$3:$O$419,BG$6),"")</f>
        <v/>
      </c>
      <c r="BH123" s="872"/>
      <c r="BI123" s="872"/>
      <c r="BJ123" s="872"/>
      <c r="BK123" s="872"/>
      <c r="BM123" s="1411"/>
      <c r="BN123" s="1411"/>
      <c r="BO123" s="1425" t="str">
        <f aca="false">IF(ISNUMBER($AU123*BB123*1),$AU123*BB123*1,"")</f>
        <v/>
      </c>
      <c r="BP123" s="1425" t="str">
        <f aca="false">IF(ISNUMBER($AV123*BC123*1),$AV123*BC123*1,"")</f>
        <v/>
      </c>
      <c r="BQ123" s="1425" t="str">
        <f aca="false">IF(ISNUMBER($AU123*BD123*1),$AU123*BD123*1,"")</f>
        <v/>
      </c>
      <c r="BR123" s="1425" t="str">
        <f aca="false">IF(ISNUMBER($AV123*BE123*1),$AV123*BE123*1,"")</f>
        <v/>
      </c>
      <c r="BS123" s="1411" t="str">
        <f aca="false">IF(ISNUMBER($AU123*BF123),$AU123*BF123,"")</f>
        <v/>
      </c>
      <c r="BT123" s="1411" t="str">
        <f aca="false">IF(ISNUMBER($AV123*BG123),$AV123*BG123,"")</f>
        <v/>
      </c>
      <c r="BU123" s="1411"/>
      <c r="BV123" s="1411"/>
      <c r="BW123" s="1411"/>
      <c r="BX123" s="1411"/>
      <c r="BZ123" s="1372"/>
      <c r="CA123" s="1372"/>
      <c r="CB123" s="1426" t="str">
        <f aca="false">IF(ISNUMBER($AW123*BB123),$AW123*BB123,"")</f>
        <v/>
      </c>
      <c r="CC123" s="1426" t="str">
        <f aca="false">IF(ISNUMBER($AX123*BC123),$AX123*BC123,"")</f>
        <v/>
      </c>
      <c r="CD123" s="1426" t="str">
        <f aca="false">IF(ISNUMBER($AW123*BD123),$AW123*BD123,"")</f>
        <v/>
      </c>
      <c r="CE123" s="1426" t="str">
        <f aca="false">IF(ISNUMBER($AX123*BE123),$AX123*BE123,"")</f>
        <v/>
      </c>
      <c r="CF123" s="1372" t="str">
        <f aca="false">IF(ISNUMBER($AW123*BF123),$AW123*BF123,"")</f>
        <v/>
      </c>
      <c r="CG123" s="1372" t="str">
        <f aca="false">IF(ISNUMBER($AX123*BG123),$AX123*BG123,"")</f>
        <v/>
      </c>
      <c r="CH123" s="1438"/>
      <c r="CI123" s="1438"/>
      <c r="CJ123" s="1438"/>
      <c r="CK123" s="1438"/>
      <c r="CU123" s="1411"/>
      <c r="CV123" s="1411"/>
      <c r="CW123" s="1425"/>
      <c r="CX123" s="1425"/>
      <c r="CY123" s="1425"/>
      <c r="CZ123" s="1425"/>
      <c r="DA123" s="1411"/>
      <c r="DB123" s="1411"/>
      <c r="DC123" s="1411"/>
      <c r="DD123" s="1411"/>
      <c r="DE123" s="1411"/>
      <c r="DF123" s="1411"/>
      <c r="DH123" s="1432"/>
      <c r="DI123" s="1432"/>
      <c r="DJ123" s="1437"/>
      <c r="DK123" s="1437"/>
      <c r="DL123" s="1437"/>
      <c r="DM123" s="1437"/>
      <c r="DN123" s="1432"/>
      <c r="DO123" s="1432"/>
      <c r="DP123" s="1432"/>
      <c r="DQ123" s="1432"/>
      <c r="DR123" s="1432"/>
      <c r="DS123" s="1432"/>
      <c r="DT123" s="1316"/>
      <c r="DU123" s="1433"/>
      <c r="DV123" s="1433"/>
      <c r="DW123" s="1433"/>
      <c r="DX123" s="1433"/>
      <c r="DY123" s="1433"/>
      <c r="DZ123" s="1433"/>
      <c r="EA123" s="1433"/>
      <c r="EB123" s="1433"/>
    </row>
    <row r="124" customFormat="false" ht="14.25" hidden="false" customHeight="false" outlineLevel="0" collapsed="false">
      <c r="A124" s="2" t="n">
        <f aca="false">'V_DATOS PAC_SGA'!R119</f>
        <v>0</v>
      </c>
      <c r="B124" s="2" t="n">
        <f aca="false">IF(I124="IV",CONCATENATE('V_DATOS PAC_SGA'!R119,"4")+0,CONCATENATE('V_DATOS PAC_SGA'!R119,"0")+0)</f>
        <v>0</v>
      </c>
      <c r="C124" s="2" t="n">
        <f aca="false">'V_DATOS PAC_SGA'!S119</f>
        <v>0</v>
      </c>
      <c r="D124" s="1409" t="n">
        <f aca="false">'V_DATOS PAC_SGA'!Y119</f>
        <v>0</v>
      </c>
      <c r="E124" s="1410" t="str">
        <f aca="false">IF('V_DATOS PAC_SGA'!AV119="","Regadio",'V_DATOS PAC_SGA'!AV119)</f>
        <v>Regadio</v>
      </c>
      <c r="F124" s="1411" t="n">
        <f aca="false">'V_DATOS PAC_SGA'!BK119</f>
        <v>0</v>
      </c>
      <c r="G124" s="1412" t="n">
        <f aca="false">'V_DATOS PAC_SGA'!AN119</f>
        <v>0</v>
      </c>
      <c r="H124" s="1413" t="str">
        <f aca="false">IF(B124&gt;0,VLOOKUP(B124,'O_MN, PE_UTA_UGM 2024'!E$3:O$419,10),"")</f>
        <v/>
      </c>
      <c r="I124" s="1359" t="n">
        <f aca="false">'V_DATOS PAC_SGA'!BV119</f>
        <v>0</v>
      </c>
      <c r="J124" s="2" t="str">
        <f aca="false">IF(AND(J$4=$G124,J$6=$F124),$D124*J$5,"")</f>
        <v/>
      </c>
      <c r="K124" s="2" t="str">
        <f aca="false">IF(AND(K$4=$G124,K$6=$F124),$D124*K$5,"")</f>
        <v/>
      </c>
      <c r="L124" s="2" t="str">
        <f aca="false">IF(AND(L$4=$G124,L$6=$F124),$D124*L$5,"")</f>
        <v/>
      </c>
      <c r="M124" s="2" t="str">
        <f aca="false">IF(AND(M$4=$G124,M$6=$F124),$D124*M$5,"")</f>
        <v/>
      </c>
      <c r="N124" s="1414" t="n">
        <f aca="false">VLOOKUP(B124,'O_MN, PE_UTA_UGM 2024'!$E$2:$K$419,IF(G124&gt;1,6,7))</f>
        <v>0</v>
      </c>
      <c r="O124" s="1434" t="str">
        <f aca="false">IF($H124=O$4,$D124*$N124,"")</f>
        <v/>
      </c>
      <c r="P124" s="1435" t="str">
        <f aca="false">IF($H124=P$4,$D124*$N124,"")</f>
        <v/>
      </c>
      <c r="Q124" s="1435" t="str">
        <f aca="false">IF($H124=Q$4,$D124*$N124,"")</f>
        <v/>
      </c>
      <c r="R124" s="1435" t="str">
        <f aca="false">IF($H124=R$4,$D124*$N124,"")</f>
        <v/>
      </c>
      <c r="S124" s="1435" t="str">
        <f aca="false">IF($H124=S$4,$D124*$N124,"")</f>
        <v/>
      </c>
      <c r="T124" s="1435" t="str">
        <f aca="false">IF($H124=T$4,$D124*$N124,"")</f>
        <v/>
      </c>
      <c r="U124" s="1436" t="str">
        <f aca="false">IF($H124=U$4,$D124*$N124,"")</f>
        <v/>
      </c>
      <c r="V124" s="1418"/>
      <c r="W124" s="1419"/>
      <c r="X124" s="1419"/>
      <c r="Y124" s="1419"/>
      <c r="Z124" s="1419"/>
      <c r="AA124" s="1419"/>
      <c r="AB124" s="1420"/>
      <c r="AC124" s="1319"/>
      <c r="AD124" s="2" t="str">
        <f aca="false">IF(AND(AD$4=$G124,AD$6=$F124),$B124,"")</f>
        <v/>
      </c>
      <c r="AE124" s="2" t="str">
        <f aca="false">IF(AND(AE$4=$G124,AE$6=$F124),$B124,"")</f>
        <v/>
      </c>
      <c r="AF124" s="2" t="str">
        <f aca="false">IF(AND(AF$4=$G124,AF$6=$F124),$B124,"")</f>
        <v/>
      </c>
      <c r="AG124" s="2" t="str">
        <f aca="false">IF(AND(AG$4=$G124,AG$6=$F124),$B124,"")</f>
        <v/>
      </c>
      <c r="AI124" s="366"/>
      <c r="AL124" s="367"/>
      <c r="AO124" s="367"/>
      <c r="AP124" s="2" t="str">
        <f aca="false">IF(AT124&gt;0,RANK(AT124,AT$7:AT$423),"")</f>
        <v/>
      </c>
      <c r="AQ124" s="2" t="n">
        <f aca="false">'O_MN, PE_UTA_UGM 2024'!C120</f>
        <v>163</v>
      </c>
      <c r="AR124" s="1421" t="n">
        <v>1624</v>
      </c>
      <c r="AS124" s="2" t="str">
        <f aca="false">IF(AY124&lt;&gt;"",AY124,"")</f>
        <v/>
      </c>
      <c r="AT124" s="1422" t="n">
        <f aca="false">IF(ISNUMBER($AR124),SUMIF(B$7:B$505,AR124,D$7:D$505),"")</f>
        <v>0</v>
      </c>
      <c r="AU124" s="1411" t="n">
        <f aca="false">IF(ISNUMBER($AR124),SUMIF(AD$7:AD$503,$AR124,J$7:J$503),"")</f>
        <v>0</v>
      </c>
      <c r="AV124" s="1411" t="n">
        <f aca="false">IF(ISNUMBER($AR124),SUMIF(AF$7:AF$503,$AR124,L$7:L$503),"")</f>
        <v>0</v>
      </c>
      <c r="AW124" s="1423" t="n">
        <f aca="false">IF(ISNUMBER($AR124),SUMIF(AE$7:AE$503,$AR124,K$7:K$503),"")</f>
        <v>0</v>
      </c>
      <c r="AX124" s="1423" t="n">
        <f aca="false">IF(ISNUMBER($AR124),SUMIF(AG$7:AG$503,$AR124,M$7:M$503),"")</f>
        <v>0</v>
      </c>
      <c r="AY124" s="2" t="str">
        <f aca="false">IF($AT124&gt;0,VLOOKUP($AR124,'O_MN, PE_UTA_UGM 2024'!E120:O536,2),"")</f>
        <v/>
      </c>
      <c r="AZ124" s="1424"/>
      <c r="BA124" s="1424"/>
      <c r="BB124" s="1424" t="str">
        <f aca="false">IF($AT124&gt;0,VLOOKUP($AR124,'O_MN, PE_UTA_UGM 2024'!$E$3:$O$419,BB$6),"")</f>
        <v/>
      </c>
      <c r="BC124" s="1424" t="str">
        <f aca="false">IF($AT124&gt;0,VLOOKUP($AR124,'O_MN, PE_UTA_UGM 2024'!$E$3:$O$419,BC$6),"")</f>
        <v/>
      </c>
      <c r="BD124" s="1424" t="str">
        <f aca="false">IF($AT124&gt;0,VLOOKUP($AR124,'O_MN, PE_UTA_UGM 2024'!$E$3:$O$419,BD$6),"")</f>
        <v/>
      </c>
      <c r="BE124" s="1424" t="str">
        <f aca="false">IF($AT124&gt;0,VLOOKUP($AR124,'O_MN, PE_UTA_UGM 2024'!$E$3:$O$419,BE$6),"")</f>
        <v/>
      </c>
      <c r="BF124" s="1424" t="str">
        <f aca="false">IF($AT124&gt;0,VLOOKUP($AR124,'O_MN, PE_UTA_UGM 2024'!$E$3:$O$419,BF$6),"")</f>
        <v/>
      </c>
      <c r="BG124" s="1424" t="str">
        <f aca="false">IF($AT124&gt;0,VLOOKUP($AR124,'O_MN, PE_UTA_UGM 2024'!$E$3:$O$419,BG$6),"")</f>
        <v/>
      </c>
      <c r="BH124" s="872"/>
      <c r="BI124" s="872"/>
      <c r="BJ124" s="872"/>
      <c r="BK124" s="872"/>
      <c r="BM124" s="1411"/>
      <c r="BN124" s="1411"/>
      <c r="BO124" s="1425" t="str">
        <f aca="false">IF(ISNUMBER($AU124*BB124*1),$AU124*BB124*1,"")</f>
        <v/>
      </c>
      <c r="BP124" s="1425" t="str">
        <f aca="false">IF(ISNUMBER($AV124*BC124*1),$AV124*BC124*1,"")</f>
        <v/>
      </c>
      <c r="BQ124" s="1425" t="str">
        <f aca="false">IF(ISNUMBER($AU124*BD124*1),$AU124*BD124*1,"")</f>
        <v/>
      </c>
      <c r="BR124" s="1425" t="str">
        <f aca="false">IF(ISNUMBER($AV124*BE124*1),$AV124*BE124*1,"")</f>
        <v/>
      </c>
      <c r="BS124" s="1411" t="str">
        <f aca="false">IF(ISNUMBER($AU124*BF124),$AU124*BF124,"")</f>
        <v/>
      </c>
      <c r="BT124" s="1411" t="str">
        <f aca="false">IF(ISNUMBER($AV124*BG124),$AV124*BG124,"")</f>
        <v/>
      </c>
      <c r="BU124" s="1411"/>
      <c r="BV124" s="1411"/>
      <c r="BW124" s="1411"/>
      <c r="BX124" s="1411"/>
      <c r="BZ124" s="1372"/>
      <c r="CA124" s="1372"/>
      <c r="CB124" s="1426" t="str">
        <f aca="false">IF(ISNUMBER($AW124*BB124),$AW124*BB124,"")</f>
        <v/>
      </c>
      <c r="CC124" s="1426" t="str">
        <f aca="false">IF(ISNUMBER($AX124*BC124),$AX124*BC124,"")</f>
        <v/>
      </c>
      <c r="CD124" s="1426" t="str">
        <f aca="false">IF(ISNUMBER($AW124*BD124),$AW124*BD124,"")</f>
        <v/>
      </c>
      <c r="CE124" s="1426" t="str">
        <f aca="false">IF(ISNUMBER($AX124*BE124),$AX124*BE124,"")</f>
        <v/>
      </c>
      <c r="CF124" s="1372" t="str">
        <f aca="false">IF(ISNUMBER($AW124*BF124),$AW124*BF124,"")</f>
        <v/>
      </c>
      <c r="CG124" s="1372" t="str">
        <f aca="false">IF(ISNUMBER($AX124*BG124),$AX124*BG124,"")</f>
        <v/>
      </c>
      <c r="CH124" s="1438"/>
      <c r="CI124" s="1438"/>
      <c r="CJ124" s="1438"/>
      <c r="CK124" s="1438"/>
      <c r="CU124" s="1411"/>
      <c r="CV124" s="1411"/>
      <c r="CW124" s="1425"/>
      <c r="CX124" s="1425"/>
      <c r="CY124" s="1425"/>
      <c r="CZ124" s="1425"/>
      <c r="DA124" s="1411"/>
      <c r="DB124" s="1411"/>
      <c r="DC124" s="1411"/>
      <c r="DD124" s="1411"/>
      <c r="DE124" s="1411"/>
      <c r="DF124" s="1411"/>
      <c r="DH124" s="1432"/>
      <c r="DI124" s="1432"/>
      <c r="DJ124" s="1437"/>
      <c r="DK124" s="1437"/>
      <c r="DL124" s="1437"/>
      <c r="DM124" s="1437"/>
      <c r="DN124" s="1432"/>
      <c r="DO124" s="1432"/>
      <c r="DP124" s="1432"/>
      <c r="DQ124" s="1432"/>
      <c r="DR124" s="1432"/>
      <c r="DS124" s="1432"/>
      <c r="DT124" s="1316"/>
      <c r="DU124" s="1433"/>
      <c r="DV124" s="1433"/>
      <c r="DW124" s="1433"/>
      <c r="DX124" s="1433"/>
      <c r="DY124" s="1433"/>
      <c r="DZ124" s="1433"/>
      <c r="EA124" s="1433"/>
      <c r="EB124" s="1433"/>
    </row>
    <row r="125" customFormat="false" ht="14.25" hidden="false" customHeight="false" outlineLevel="0" collapsed="false">
      <c r="A125" s="2" t="n">
        <f aca="false">'V_DATOS PAC_SGA'!R120</f>
        <v>0</v>
      </c>
      <c r="B125" s="2" t="n">
        <f aca="false">IF(I125="IV",CONCATENATE('V_DATOS PAC_SGA'!R120,"4")+0,CONCATENATE('V_DATOS PAC_SGA'!R120,"0")+0)</f>
        <v>0</v>
      </c>
      <c r="C125" s="2" t="n">
        <f aca="false">'V_DATOS PAC_SGA'!S120</f>
        <v>0</v>
      </c>
      <c r="D125" s="1409" t="n">
        <f aca="false">'V_DATOS PAC_SGA'!Y120</f>
        <v>0</v>
      </c>
      <c r="E125" s="1410" t="str">
        <f aca="false">IF('V_DATOS PAC_SGA'!AV120="","Regadio",'V_DATOS PAC_SGA'!AV120)</f>
        <v>Regadio</v>
      </c>
      <c r="F125" s="1411" t="n">
        <f aca="false">'V_DATOS PAC_SGA'!BK120</f>
        <v>0</v>
      </c>
      <c r="G125" s="1412" t="n">
        <f aca="false">'V_DATOS PAC_SGA'!AN120</f>
        <v>0</v>
      </c>
      <c r="H125" s="1413" t="str">
        <f aca="false">IF(B125&gt;0,VLOOKUP(B125,'O_MN, PE_UTA_UGM 2024'!E$3:O$419,10),"")</f>
        <v/>
      </c>
      <c r="I125" s="1359" t="n">
        <f aca="false">'V_DATOS PAC_SGA'!BV120</f>
        <v>0</v>
      </c>
      <c r="J125" s="2" t="str">
        <f aca="false">IF(AND(J$4=$G125,J$6=$F125),$D125*J$5,"")</f>
        <v/>
      </c>
      <c r="K125" s="2" t="str">
        <f aca="false">IF(AND(K$4=$G125,K$6=$F125),$D125*K$5,"")</f>
        <v/>
      </c>
      <c r="L125" s="2" t="str">
        <f aca="false">IF(AND(L$4=$G125,L$6=$F125),$D125*L$5,"")</f>
        <v/>
      </c>
      <c r="M125" s="2" t="str">
        <f aca="false">IF(AND(M$4=$G125,M$6=$F125),$D125*M$5,"")</f>
        <v/>
      </c>
      <c r="N125" s="1414" t="n">
        <f aca="false">VLOOKUP(B125,'O_MN, PE_UTA_UGM 2024'!$E$2:$K$419,IF(G125&gt;1,6,7))</f>
        <v>0</v>
      </c>
      <c r="O125" s="1434" t="str">
        <f aca="false">IF($H125=O$4,$D125*$N125,"")</f>
        <v/>
      </c>
      <c r="P125" s="1435" t="str">
        <f aca="false">IF($H125=P$4,$D125*$N125,"")</f>
        <v/>
      </c>
      <c r="Q125" s="1435" t="str">
        <f aca="false">IF($H125=Q$4,$D125*$N125,"")</f>
        <v/>
      </c>
      <c r="R125" s="1435" t="str">
        <f aca="false">IF($H125=R$4,$D125*$N125,"")</f>
        <v/>
      </c>
      <c r="S125" s="1435" t="str">
        <f aca="false">IF($H125=S$4,$D125*$N125,"")</f>
        <v/>
      </c>
      <c r="T125" s="1435" t="str">
        <f aca="false">IF($H125=T$4,$D125*$N125,"")</f>
        <v/>
      </c>
      <c r="U125" s="1436" t="str">
        <f aca="false">IF($H125=U$4,$D125*$N125,"")</f>
        <v/>
      </c>
      <c r="V125" s="1418"/>
      <c r="W125" s="1419"/>
      <c r="X125" s="1419"/>
      <c r="Y125" s="1419"/>
      <c r="Z125" s="1419"/>
      <c r="AA125" s="1419"/>
      <c r="AB125" s="1420"/>
      <c r="AC125" s="1319"/>
      <c r="AD125" s="2" t="str">
        <f aca="false">IF(AND(AD$4=$G125,AD$6=$F125),$B125,"")</f>
        <v/>
      </c>
      <c r="AE125" s="2" t="str">
        <f aca="false">IF(AND(AE$4=$G125,AE$6=$F125),$B125,"")</f>
        <v/>
      </c>
      <c r="AF125" s="2" t="str">
        <f aca="false">IF(AND(AF$4=$G125,AF$6=$F125),$B125,"")</f>
        <v/>
      </c>
      <c r="AG125" s="2" t="str">
        <f aca="false">IF(AND(AG$4=$G125,AG$6=$F125),$B125,"")</f>
        <v/>
      </c>
      <c r="AI125" s="366"/>
      <c r="AL125" s="367"/>
      <c r="AO125" s="367"/>
      <c r="AP125" s="2" t="str">
        <f aca="false">IF(AT125&gt;0,RANK(AT125,AT$7:AT$423),"")</f>
        <v/>
      </c>
      <c r="AQ125" s="2" t="n">
        <f aca="false">'O_MN, PE_UTA_UGM 2024'!C121</f>
        <v>164</v>
      </c>
      <c r="AR125" s="1421" t="n">
        <v>1629</v>
      </c>
      <c r="AS125" s="2" t="str">
        <f aca="false">IF(AY125&lt;&gt;"",AY125,"")</f>
        <v/>
      </c>
      <c r="AT125" s="1422" t="n">
        <f aca="false">IF(ISNUMBER($AR125),SUMIF(B$7:B$505,AR125,D$7:D$505),"")</f>
        <v>0</v>
      </c>
      <c r="AU125" s="1411" t="n">
        <f aca="false">IF(ISNUMBER($AR125),SUMIF(AD$7:AD$503,$AR125,J$7:J$503),"")</f>
        <v>0</v>
      </c>
      <c r="AV125" s="1411" t="n">
        <f aca="false">IF(ISNUMBER($AR125),SUMIF(AF$7:AF$503,$AR125,L$7:L$503),"")</f>
        <v>0</v>
      </c>
      <c r="AW125" s="1423" t="n">
        <f aca="false">IF(ISNUMBER($AR125),SUMIF(AE$7:AE$503,$AR125,K$7:K$503),"")</f>
        <v>0</v>
      </c>
      <c r="AX125" s="1423" t="n">
        <f aca="false">IF(ISNUMBER($AR125),SUMIF(AG$7:AG$503,$AR125,M$7:M$503),"")</f>
        <v>0</v>
      </c>
      <c r="AY125" s="2" t="str">
        <f aca="false">IF($AT125&gt;0,VLOOKUP($AR125,'O_MN, PE_UTA_UGM 2024'!E121:O537,2),"")</f>
        <v/>
      </c>
      <c r="AZ125" s="1424"/>
      <c r="BA125" s="1424"/>
      <c r="BB125" s="1424" t="str">
        <f aca="false">IF($AT125&gt;0,VLOOKUP($AR125,'O_MN, PE_UTA_UGM 2024'!$E$3:$O$419,BB$6),"")</f>
        <v/>
      </c>
      <c r="BC125" s="1424" t="str">
        <f aca="false">IF($AT125&gt;0,VLOOKUP($AR125,'O_MN, PE_UTA_UGM 2024'!$E$3:$O$419,BC$6),"")</f>
        <v/>
      </c>
      <c r="BD125" s="1424" t="str">
        <f aca="false">IF($AT125&gt;0,VLOOKUP($AR125,'O_MN, PE_UTA_UGM 2024'!$E$3:$O$419,BD$6),"")</f>
        <v/>
      </c>
      <c r="BE125" s="1424" t="str">
        <f aca="false">IF($AT125&gt;0,VLOOKUP($AR125,'O_MN, PE_UTA_UGM 2024'!$E$3:$O$419,BE$6),"")</f>
        <v/>
      </c>
      <c r="BF125" s="1424" t="str">
        <f aca="false">IF($AT125&gt;0,VLOOKUP($AR125,'O_MN, PE_UTA_UGM 2024'!$E$3:$O$419,BF$6),"")</f>
        <v/>
      </c>
      <c r="BG125" s="1424" t="str">
        <f aca="false">IF($AT125&gt;0,VLOOKUP($AR125,'O_MN, PE_UTA_UGM 2024'!$E$3:$O$419,BG$6),"")</f>
        <v/>
      </c>
      <c r="BH125" s="872"/>
      <c r="BI125" s="872"/>
      <c r="BJ125" s="872"/>
      <c r="BK125" s="872"/>
      <c r="BM125" s="1411"/>
      <c r="BN125" s="1411"/>
      <c r="BO125" s="1425" t="str">
        <f aca="false">IF(ISNUMBER($AU125*BB125*1),$AU125*BB125*1,"")</f>
        <v/>
      </c>
      <c r="BP125" s="1425" t="str">
        <f aca="false">IF(ISNUMBER($AV125*BC125*1),$AV125*BC125*1,"")</f>
        <v/>
      </c>
      <c r="BQ125" s="1425" t="str">
        <f aca="false">IF(ISNUMBER($AU125*BD125*1),$AU125*BD125*1,"")</f>
        <v/>
      </c>
      <c r="BR125" s="1425" t="str">
        <f aca="false">IF(ISNUMBER($AV125*BE125*1),$AV125*BE125*1,"")</f>
        <v/>
      </c>
      <c r="BS125" s="1411" t="str">
        <f aca="false">IF(ISNUMBER($AU125*BF125),$AU125*BF125,"")</f>
        <v/>
      </c>
      <c r="BT125" s="1411" t="str">
        <f aca="false">IF(ISNUMBER($AV125*BG125),$AV125*BG125,"")</f>
        <v/>
      </c>
      <c r="BU125" s="1411"/>
      <c r="BV125" s="1411"/>
      <c r="BW125" s="1411"/>
      <c r="BX125" s="1411"/>
      <c r="BZ125" s="1372"/>
      <c r="CA125" s="1372"/>
      <c r="CB125" s="1426" t="str">
        <f aca="false">IF(ISNUMBER($AW125*BB125),$AW125*BB125,"")</f>
        <v/>
      </c>
      <c r="CC125" s="1426" t="str">
        <f aca="false">IF(ISNUMBER($AX125*BC125),$AX125*BC125,"")</f>
        <v/>
      </c>
      <c r="CD125" s="1426" t="str">
        <f aca="false">IF(ISNUMBER($AW125*BD125),$AW125*BD125,"")</f>
        <v/>
      </c>
      <c r="CE125" s="1426" t="str">
        <f aca="false">IF(ISNUMBER($AX125*BE125),$AX125*BE125,"")</f>
        <v/>
      </c>
      <c r="CF125" s="1372" t="str">
        <f aca="false">IF(ISNUMBER($AW125*BF125),$AW125*BF125,"")</f>
        <v/>
      </c>
      <c r="CG125" s="1372" t="str">
        <f aca="false">IF(ISNUMBER($AX125*BG125),$AX125*BG125,"")</f>
        <v/>
      </c>
      <c r="CH125" s="1438"/>
      <c r="CI125" s="1438"/>
      <c r="CJ125" s="1438"/>
      <c r="CK125" s="1438"/>
      <c r="CU125" s="1411"/>
      <c r="CV125" s="1411"/>
      <c r="CW125" s="1425"/>
      <c r="CX125" s="1425"/>
      <c r="CY125" s="1425"/>
      <c r="CZ125" s="1425"/>
      <c r="DA125" s="1411"/>
      <c r="DB125" s="1411"/>
      <c r="DC125" s="1411"/>
      <c r="DD125" s="1411"/>
      <c r="DE125" s="1411"/>
      <c r="DF125" s="1411"/>
      <c r="DH125" s="1432"/>
      <c r="DI125" s="1432"/>
      <c r="DJ125" s="1437"/>
      <c r="DK125" s="1437"/>
      <c r="DL125" s="1437"/>
      <c r="DM125" s="1437"/>
      <c r="DN125" s="1432"/>
      <c r="DO125" s="1432"/>
      <c r="DP125" s="1432"/>
      <c r="DQ125" s="1432"/>
      <c r="DR125" s="1432"/>
      <c r="DS125" s="1432"/>
      <c r="DT125" s="1316"/>
      <c r="DU125" s="1433"/>
      <c r="DV125" s="1433"/>
      <c r="DW125" s="1433"/>
      <c r="DX125" s="1433"/>
      <c r="DY125" s="1433"/>
      <c r="DZ125" s="1433"/>
      <c r="EA125" s="1433"/>
      <c r="EB125" s="1433"/>
    </row>
    <row r="126" customFormat="false" ht="14.25" hidden="false" customHeight="false" outlineLevel="0" collapsed="false">
      <c r="A126" s="2" t="n">
        <f aca="false">'V_DATOS PAC_SGA'!R121</f>
        <v>0</v>
      </c>
      <c r="B126" s="2" t="n">
        <f aca="false">IF(I126="IV",CONCATENATE('V_DATOS PAC_SGA'!R121,"4")+0,CONCATENATE('V_DATOS PAC_SGA'!R121,"0")+0)</f>
        <v>0</v>
      </c>
      <c r="C126" s="2" t="n">
        <f aca="false">'V_DATOS PAC_SGA'!S121</f>
        <v>0</v>
      </c>
      <c r="D126" s="1409" t="n">
        <f aca="false">'V_DATOS PAC_SGA'!Y121</f>
        <v>0</v>
      </c>
      <c r="E126" s="1410" t="str">
        <f aca="false">IF('V_DATOS PAC_SGA'!AV121="","Regadio",'V_DATOS PAC_SGA'!AV121)</f>
        <v>Regadio</v>
      </c>
      <c r="F126" s="1411" t="n">
        <f aca="false">'V_DATOS PAC_SGA'!BK121</f>
        <v>0</v>
      </c>
      <c r="G126" s="1412" t="n">
        <f aca="false">'V_DATOS PAC_SGA'!AN121</f>
        <v>0</v>
      </c>
      <c r="H126" s="1413" t="str">
        <f aca="false">IF(B126&gt;0,VLOOKUP(B126,'O_MN, PE_UTA_UGM 2024'!E$3:O$419,10),"")</f>
        <v/>
      </c>
      <c r="I126" s="1359" t="n">
        <f aca="false">'V_DATOS PAC_SGA'!BV121</f>
        <v>0</v>
      </c>
      <c r="J126" s="2" t="str">
        <f aca="false">IF(AND(J$4=$G126,J$6=$F126),$D126*J$5,"")</f>
        <v/>
      </c>
      <c r="K126" s="2" t="str">
        <f aca="false">IF(AND(K$4=$G126,K$6=$F126),$D126*K$5,"")</f>
        <v/>
      </c>
      <c r="L126" s="2" t="str">
        <f aca="false">IF(AND(L$4=$G126,L$6=$F126),$D126*L$5,"")</f>
        <v/>
      </c>
      <c r="M126" s="2" t="str">
        <f aca="false">IF(AND(M$4=$G126,M$6=$F126),$D126*M$5,"")</f>
        <v/>
      </c>
      <c r="N126" s="1414" t="n">
        <f aca="false">VLOOKUP(B126,'O_MN, PE_UTA_UGM 2024'!$E$2:$K$419,IF(G126&gt;1,6,7))</f>
        <v>0</v>
      </c>
      <c r="O126" s="1434" t="str">
        <f aca="false">IF($H126=O$4,$D126*$N126,"")</f>
        <v/>
      </c>
      <c r="P126" s="1435" t="str">
        <f aca="false">IF($H126=P$4,$D126*$N126,"")</f>
        <v/>
      </c>
      <c r="Q126" s="1435" t="str">
        <f aca="false">IF($H126=Q$4,$D126*$N126,"")</f>
        <v/>
      </c>
      <c r="R126" s="1435" t="str">
        <f aca="false">IF($H126=R$4,$D126*$N126,"")</f>
        <v/>
      </c>
      <c r="S126" s="1435" t="str">
        <f aca="false">IF($H126=S$4,$D126*$N126,"")</f>
        <v/>
      </c>
      <c r="T126" s="1435" t="str">
        <f aca="false">IF($H126=T$4,$D126*$N126,"")</f>
        <v/>
      </c>
      <c r="U126" s="1436" t="str">
        <f aca="false">IF($H126=U$4,$D126*$N126,"")</f>
        <v/>
      </c>
      <c r="V126" s="1418"/>
      <c r="W126" s="1419"/>
      <c r="X126" s="1419"/>
      <c r="Y126" s="1419"/>
      <c r="Z126" s="1419"/>
      <c r="AA126" s="1419"/>
      <c r="AB126" s="1420"/>
      <c r="AC126" s="1319"/>
      <c r="AD126" s="2" t="str">
        <f aca="false">IF(AND(AD$4=$G126,AD$6=$F126),$B126,"")</f>
        <v/>
      </c>
      <c r="AE126" s="2" t="str">
        <f aca="false">IF(AND(AE$4=$G126,AE$6=$F126),$B126,"")</f>
        <v/>
      </c>
      <c r="AF126" s="2" t="str">
        <f aca="false">IF(AND(AF$4=$G126,AF$6=$F126),$B126,"")</f>
        <v/>
      </c>
      <c r="AG126" s="2" t="str">
        <f aca="false">IF(AND(AG$4=$G126,AG$6=$F126),$B126,"")</f>
        <v/>
      </c>
      <c r="AI126" s="366"/>
      <c r="AL126" s="367"/>
      <c r="AO126" s="367"/>
      <c r="AP126" s="2" t="str">
        <f aca="false">IF(AT126&gt;0,RANK(AT126,AT$7:AT$423),"")</f>
        <v/>
      </c>
      <c r="AQ126" s="2" t="n">
        <f aca="false">'O_MN, PE_UTA_UGM 2024'!C122</f>
        <v>164</v>
      </c>
      <c r="AR126" s="1421" t="n">
        <v>1630</v>
      </c>
      <c r="AS126" s="2" t="str">
        <f aca="false">IF(AY126&lt;&gt;"",AY126,"")</f>
        <v/>
      </c>
      <c r="AT126" s="1422" t="n">
        <f aca="false">IF(ISNUMBER($AR126),SUMIF(B$7:B$505,AR126,D$7:D$505),"")</f>
        <v>0</v>
      </c>
      <c r="AU126" s="1411" t="n">
        <f aca="false">IF(ISNUMBER($AR126),SUMIF(AD$7:AD$503,$AR126,J$7:J$503),"")</f>
        <v>0</v>
      </c>
      <c r="AV126" s="1411" t="n">
        <f aca="false">IF(ISNUMBER($AR126),SUMIF(AF$7:AF$503,$AR126,L$7:L$503),"")</f>
        <v>0</v>
      </c>
      <c r="AW126" s="1423" t="n">
        <f aca="false">IF(ISNUMBER($AR126),SUMIF(AE$7:AE$503,$AR126,K$7:K$503),"")</f>
        <v>0</v>
      </c>
      <c r="AX126" s="1423" t="n">
        <f aca="false">IF(ISNUMBER($AR126),SUMIF(AG$7:AG$503,$AR126,M$7:M$503),"")</f>
        <v>0</v>
      </c>
      <c r="AY126" s="2" t="str">
        <f aca="false">IF($AT126&gt;0,VLOOKUP($AR126,'O_MN, PE_UTA_UGM 2024'!E122:O538,2),"")</f>
        <v/>
      </c>
      <c r="AZ126" s="1424"/>
      <c r="BA126" s="1424"/>
      <c r="BB126" s="1424" t="str">
        <f aca="false">IF($AT126&gt;0,VLOOKUP($AR126,'O_MN, PE_UTA_UGM 2024'!$E$3:$O$419,BB$6),"")</f>
        <v/>
      </c>
      <c r="BC126" s="1424" t="str">
        <f aca="false">IF($AT126&gt;0,VLOOKUP($AR126,'O_MN, PE_UTA_UGM 2024'!$E$3:$O$419,BC$6),"")</f>
        <v/>
      </c>
      <c r="BD126" s="1424" t="str">
        <f aca="false">IF($AT126&gt;0,VLOOKUP($AR126,'O_MN, PE_UTA_UGM 2024'!$E$3:$O$419,BD$6),"")</f>
        <v/>
      </c>
      <c r="BE126" s="1424" t="str">
        <f aca="false">IF($AT126&gt;0,VLOOKUP($AR126,'O_MN, PE_UTA_UGM 2024'!$E$3:$O$419,BE$6),"")</f>
        <v/>
      </c>
      <c r="BF126" s="1424" t="str">
        <f aca="false">IF($AT126&gt;0,VLOOKUP($AR126,'O_MN, PE_UTA_UGM 2024'!$E$3:$O$419,BF$6),"")</f>
        <v/>
      </c>
      <c r="BG126" s="1424" t="str">
        <f aca="false">IF($AT126&gt;0,VLOOKUP($AR126,'O_MN, PE_UTA_UGM 2024'!$E$3:$O$419,BG$6),"")</f>
        <v/>
      </c>
      <c r="BH126" s="872"/>
      <c r="BI126" s="872"/>
      <c r="BJ126" s="872"/>
      <c r="BK126" s="872"/>
      <c r="BM126" s="1411"/>
      <c r="BN126" s="1411"/>
      <c r="BO126" s="1425" t="str">
        <f aca="false">IF(ISNUMBER($AU126*BB126*1),$AU126*BB126*1,"")</f>
        <v/>
      </c>
      <c r="BP126" s="1425" t="str">
        <f aca="false">IF(ISNUMBER($AV126*BC126*1),$AV126*BC126*1,"")</f>
        <v/>
      </c>
      <c r="BQ126" s="1425" t="str">
        <f aca="false">IF(ISNUMBER($AU126*BD126*1),$AU126*BD126*1,"")</f>
        <v/>
      </c>
      <c r="BR126" s="1425" t="str">
        <f aca="false">IF(ISNUMBER($AV126*BE126*1),$AV126*BE126*1,"")</f>
        <v/>
      </c>
      <c r="BS126" s="1411" t="str">
        <f aca="false">IF(ISNUMBER($AU126*BF126),$AU126*BF126,"")</f>
        <v/>
      </c>
      <c r="BT126" s="1411" t="str">
        <f aca="false">IF(ISNUMBER($AV126*BG126),$AV126*BG126,"")</f>
        <v/>
      </c>
      <c r="BU126" s="1411"/>
      <c r="BV126" s="1411"/>
      <c r="BW126" s="1411"/>
      <c r="BX126" s="1411"/>
      <c r="BZ126" s="1372"/>
      <c r="CA126" s="1372"/>
      <c r="CB126" s="1426" t="str">
        <f aca="false">IF(ISNUMBER($AW126*BB126),$AW126*BB126,"")</f>
        <v/>
      </c>
      <c r="CC126" s="1426" t="str">
        <f aca="false">IF(ISNUMBER($AX126*BC126),$AX126*BC126,"")</f>
        <v/>
      </c>
      <c r="CD126" s="1426" t="str">
        <f aca="false">IF(ISNUMBER($AW126*BD126),$AW126*BD126,"")</f>
        <v/>
      </c>
      <c r="CE126" s="1426" t="str">
        <f aca="false">IF(ISNUMBER($AX126*BE126),$AX126*BE126,"")</f>
        <v/>
      </c>
      <c r="CF126" s="1372" t="str">
        <f aca="false">IF(ISNUMBER($AW126*BF126),$AW126*BF126,"")</f>
        <v/>
      </c>
      <c r="CG126" s="1372" t="str">
        <f aca="false">IF(ISNUMBER($AX126*BG126),$AX126*BG126,"")</f>
        <v/>
      </c>
      <c r="CH126" s="1438"/>
      <c r="CI126" s="1438"/>
      <c r="CJ126" s="1438"/>
      <c r="CK126" s="1438"/>
      <c r="CU126" s="1411"/>
      <c r="CV126" s="1411"/>
      <c r="CW126" s="1425"/>
      <c r="CX126" s="1425"/>
      <c r="CY126" s="1425"/>
      <c r="CZ126" s="1425"/>
      <c r="DA126" s="1411"/>
      <c r="DB126" s="1411"/>
      <c r="DC126" s="1411"/>
      <c r="DD126" s="1411"/>
      <c r="DE126" s="1411"/>
      <c r="DF126" s="1411"/>
      <c r="DH126" s="1432"/>
      <c r="DI126" s="1432"/>
      <c r="DJ126" s="1437"/>
      <c r="DK126" s="1437"/>
      <c r="DL126" s="1437"/>
      <c r="DM126" s="1437"/>
      <c r="DN126" s="1432"/>
      <c r="DO126" s="1432"/>
      <c r="DP126" s="1432"/>
      <c r="DQ126" s="1432"/>
      <c r="DR126" s="1432"/>
      <c r="DS126" s="1432"/>
      <c r="DT126" s="1316"/>
      <c r="DU126" s="1433"/>
      <c r="DV126" s="1433"/>
      <c r="DW126" s="1433"/>
      <c r="DX126" s="1433"/>
      <c r="DY126" s="1433"/>
      <c r="DZ126" s="1433"/>
      <c r="EA126" s="1433"/>
      <c r="EB126" s="1433"/>
    </row>
    <row r="127" customFormat="false" ht="14.25" hidden="false" customHeight="false" outlineLevel="0" collapsed="false">
      <c r="A127" s="2" t="n">
        <f aca="false">'V_DATOS PAC_SGA'!R122</f>
        <v>0</v>
      </c>
      <c r="B127" s="2" t="n">
        <f aca="false">IF(I127="IV",CONCATENATE('V_DATOS PAC_SGA'!R122,"4")+0,CONCATENATE('V_DATOS PAC_SGA'!R122,"0")+0)</f>
        <v>0</v>
      </c>
      <c r="C127" s="2" t="n">
        <f aca="false">'V_DATOS PAC_SGA'!S122</f>
        <v>0</v>
      </c>
      <c r="D127" s="1409" t="n">
        <f aca="false">'V_DATOS PAC_SGA'!Y122</f>
        <v>0</v>
      </c>
      <c r="E127" s="1410" t="str">
        <f aca="false">IF('V_DATOS PAC_SGA'!AV122="","Regadio",'V_DATOS PAC_SGA'!AV122)</f>
        <v>Regadio</v>
      </c>
      <c r="F127" s="1411" t="n">
        <f aca="false">'V_DATOS PAC_SGA'!BK122</f>
        <v>0</v>
      </c>
      <c r="G127" s="1412" t="n">
        <f aca="false">'V_DATOS PAC_SGA'!AN122</f>
        <v>0</v>
      </c>
      <c r="H127" s="1413" t="str">
        <f aca="false">IF(B127&gt;0,VLOOKUP(B127,'O_MN, PE_UTA_UGM 2024'!E$3:O$419,10),"")</f>
        <v/>
      </c>
      <c r="I127" s="1359" t="n">
        <f aca="false">'V_DATOS PAC_SGA'!BV122</f>
        <v>0</v>
      </c>
      <c r="J127" s="2" t="str">
        <f aca="false">IF(AND(J$4=$G127,J$6=$F127),$D127*J$5,"")</f>
        <v/>
      </c>
      <c r="K127" s="2" t="str">
        <f aca="false">IF(AND(K$4=$G127,K$6=$F127),$D127*K$5,"")</f>
        <v/>
      </c>
      <c r="L127" s="2" t="str">
        <f aca="false">IF(AND(L$4=$G127,L$6=$F127),$D127*L$5,"")</f>
        <v/>
      </c>
      <c r="M127" s="2" t="str">
        <f aca="false">IF(AND(M$4=$G127,M$6=$F127),$D127*M$5,"")</f>
        <v/>
      </c>
      <c r="N127" s="1414" t="n">
        <f aca="false">VLOOKUP(B127,'O_MN, PE_UTA_UGM 2024'!$E$2:$K$419,IF(G127&gt;1,6,7))</f>
        <v>0</v>
      </c>
      <c r="O127" s="1434" t="str">
        <f aca="false">IF($H127=O$4,$D127*$N127,"")</f>
        <v/>
      </c>
      <c r="P127" s="1435" t="str">
        <f aca="false">IF($H127=P$4,$D127*$N127,"")</f>
        <v/>
      </c>
      <c r="Q127" s="1435" t="str">
        <f aca="false">IF($H127=Q$4,$D127*$N127,"")</f>
        <v/>
      </c>
      <c r="R127" s="1435" t="str">
        <f aca="false">IF($H127=R$4,$D127*$N127,"")</f>
        <v/>
      </c>
      <c r="S127" s="1435" t="str">
        <f aca="false">IF($H127=S$4,$D127*$N127,"")</f>
        <v/>
      </c>
      <c r="T127" s="1435" t="str">
        <f aca="false">IF($H127=T$4,$D127*$N127,"")</f>
        <v/>
      </c>
      <c r="U127" s="1436" t="str">
        <f aca="false">IF($H127=U$4,$D127*$N127,"")</f>
        <v/>
      </c>
      <c r="V127" s="1418"/>
      <c r="W127" s="1419"/>
      <c r="X127" s="1419"/>
      <c r="Y127" s="1419"/>
      <c r="Z127" s="1419"/>
      <c r="AA127" s="1419"/>
      <c r="AB127" s="1420"/>
      <c r="AC127" s="1319"/>
      <c r="AD127" s="2" t="str">
        <f aca="false">IF(AND(AD$4=$G127,AD$6=$F127),$B127,"")</f>
        <v/>
      </c>
      <c r="AE127" s="2" t="str">
        <f aca="false">IF(AND(AE$4=$G127,AE$6=$F127),$B127,"")</f>
        <v/>
      </c>
      <c r="AF127" s="2" t="str">
        <f aca="false">IF(AND(AF$4=$G127,AF$6=$F127),$B127,"")</f>
        <v/>
      </c>
      <c r="AG127" s="2" t="str">
        <f aca="false">IF(AND(AG$4=$G127,AG$6=$F127),$B127,"")</f>
        <v/>
      </c>
      <c r="AI127" s="366"/>
      <c r="AL127" s="367"/>
      <c r="AO127" s="367"/>
      <c r="AP127" s="2" t="str">
        <f aca="false">IF(AT127&gt;0,RANK(AT127,AT$7:AT$423),"")</f>
        <v/>
      </c>
      <c r="AQ127" s="2" t="n">
        <f aca="false">'O_MN, PE_UTA_UGM 2024'!C123</f>
        <v>164</v>
      </c>
      <c r="AR127" s="1421" t="n">
        <v>1634</v>
      </c>
      <c r="AS127" s="2" t="str">
        <f aca="false">IF(AY127&lt;&gt;"",AY127,"")</f>
        <v/>
      </c>
      <c r="AT127" s="1422" t="n">
        <f aca="false">IF(ISNUMBER($AR127),SUMIF(B$7:B$505,AR127,D$7:D$505),"")</f>
        <v>0</v>
      </c>
      <c r="AU127" s="1411" t="n">
        <f aca="false">IF(ISNUMBER($AR127),SUMIF(AD$7:AD$503,$AR127,J$7:J$503),"")</f>
        <v>0</v>
      </c>
      <c r="AV127" s="1411" t="n">
        <f aca="false">IF(ISNUMBER($AR127),SUMIF(AF$7:AF$503,$AR127,L$7:L$503),"")</f>
        <v>0</v>
      </c>
      <c r="AW127" s="1423" t="n">
        <f aca="false">IF(ISNUMBER($AR127),SUMIF(AE$7:AE$503,$AR127,K$7:K$503),"")</f>
        <v>0</v>
      </c>
      <c r="AX127" s="1423" t="n">
        <f aca="false">IF(ISNUMBER($AR127),SUMIF(AG$7:AG$503,$AR127,M$7:M$503),"")</f>
        <v>0</v>
      </c>
      <c r="AY127" s="2" t="str">
        <f aca="false">IF($AT127&gt;0,VLOOKUP($AR127,'O_MN, PE_UTA_UGM 2024'!E123:O539,2),"")</f>
        <v/>
      </c>
      <c r="AZ127" s="1424"/>
      <c r="BA127" s="1424"/>
      <c r="BB127" s="1424" t="str">
        <f aca="false">IF($AT127&gt;0,VLOOKUP($AR127,'O_MN, PE_UTA_UGM 2024'!$E$3:$O$419,BB$6),"")</f>
        <v/>
      </c>
      <c r="BC127" s="1424" t="str">
        <f aca="false">IF($AT127&gt;0,VLOOKUP($AR127,'O_MN, PE_UTA_UGM 2024'!$E$3:$O$419,BC$6),"")</f>
        <v/>
      </c>
      <c r="BD127" s="1424" t="str">
        <f aca="false">IF($AT127&gt;0,VLOOKUP($AR127,'O_MN, PE_UTA_UGM 2024'!$E$3:$O$419,BD$6),"")</f>
        <v/>
      </c>
      <c r="BE127" s="1424" t="str">
        <f aca="false">IF($AT127&gt;0,VLOOKUP($AR127,'O_MN, PE_UTA_UGM 2024'!$E$3:$O$419,BE$6),"")</f>
        <v/>
      </c>
      <c r="BF127" s="1424" t="str">
        <f aca="false">IF($AT127&gt;0,VLOOKUP($AR127,'O_MN, PE_UTA_UGM 2024'!$E$3:$O$419,BF$6),"")</f>
        <v/>
      </c>
      <c r="BG127" s="1424" t="str">
        <f aca="false">IF($AT127&gt;0,VLOOKUP($AR127,'O_MN, PE_UTA_UGM 2024'!$E$3:$O$419,BG$6),"")</f>
        <v/>
      </c>
      <c r="BH127" s="872"/>
      <c r="BI127" s="872"/>
      <c r="BJ127" s="872"/>
      <c r="BK127" s="872"/>
      <c r="BM127" s="1411"/>
      <c r="BN127" s="1411"/>
      <c r="BO127" s="1425" t="str">
        <f aca="false">IF(ISNUMBER($AU127*BB127*1),$AU127*BB127*1,"")</f>
        <v/>
      </c>
      <c r="BP127" s="1425" t="str">
        <f aca="false">IF(ISNUMBER($AV127*BC127*1),$AV127*BC127*1,"")</f>
        <v/>
      </c>
      <c r="BQ127" s="1425" t="str">
        <f aca="false">IF(ISNUMBER($AU127*BD127*1),$AU127*BD127*1,"")</f>
        <v/>
      </c>
      <c r="BR127" s="1425" t="str">
        <f aca="false">IF(ISNUMBER($AV127*BE127*1),$AV127*BE127*1,"")</f>
        <v/>
      </c>
      <c r="BS127" s="1411" t="str">
        <f aca="false">IF(ISNUMBER($AU127*BF127),$AU127*BF127,"")</f>
        <v/>
      </c>
      <c r="BT127" s="1411" t="str">
        <f aca="false">IF(ISNUMBER($AV127*BG127),$AV127*BG127,"")</f>
        <v/>
      </c>
      <c r="BU127" s="1411"/>
      <c r="BV127" s="1411"/>
      <c r="BW127" s="1411"/>
      <c r="BX127" s="1411"/>
      <c r="BZ127" s="1372"/>
      <c r="CA127" s="1372"/>
      <c r="CB127" s="1426" t="str">
        <f aca="false">IF(ISNUMBER($AW127*BB127),$AW127*BB127,"")</f>
        <v/>
      </c>
      <c r="CC127" s="1426" t="str">
        <f aca="false">IF(ISNUMBER($AX127*BC127),$AX127*BC127,"")</f>
        <v/>
      </c>
      <c r="CD127" s="1426" t="str">
        <f aca="false">IF(ISNUMBER($AW127*BD127),$AW127*BD127,"")</f>
        <v/>
      </c>
      <c r="CE127" s="1426" t="str">
        <f aca="false">IF(ISNUMBER($AX127*BE127),$AX127*BE127,"")</f>
        <v/>
      </c>
      <c r="CF127" s="1372" t="str">
        <f aca="false">IF(ISNUMBER($AW127*BF127),$AW127*BF127,"")</f>
        <v/>
      </c>
      <c r="CG127" s="1372" t="str">
        <f aca="false">IF(ISNUMBER($AX127*BG127),$AX127*BG127,"")</f>
        <v/>
      </c>
      <c r="CH127" s="1438"/>
      <c r="CI127" s="1438"/>
      <c r="CJ127" s="1438"/>
      <c r="CK127" s="1438"/>
      <c r="CU127" s="1411"/>
      <c r="CV127" s="1411"/>
      <c r="CW127" s="1425"/>
      <c r="CX127" s="1425"/>
      <c r="CY127" s="1425"/>
      <c r="CZ127" s="1425"/>
      <c r="DA127" s="1411"/>
      <c r="DB127" s="1411"/>
      <c r="DC127" s="1411"/>
      <c r="DD127" s="1411"/>
      <c r="DE127" s="1411"/>
      <c r="DF127" s="1411"/>
      <c r="DH127" s="1432"/>
      <c r="DI127" s="1432"/>
      <c r="DJ127" s="1437"/>
      <c r="DK127" s="1437"/>
      <c r="DL127" s="1437"/>
      <c r="DM127" s="1437"/>
      <c r="DN127" s="1432"/>
      <c r="DO127" s="1432"/>
      <c r="DP127" s="1432"/>
      <c r="DQ127" s="1432"/>
      <c r="DR127" s="1432"/>
      <c r="DS127" s="1432"/>
      <c r="DT127" s="1316"/>
      <c r="DU127" s="1433"/>
      <c r="DV127" s="1433"/>
      <c r="DW127" s="1433"/>
      <c r="DX127" s="1433"/>
      <c r="DY127" s="1433"/>
      <c r="DZ127" s="1433"/>
      <c r="EA127" s="1433"/>
      <c r="EB127" s="1433"/>
    </row>
    <row r="128" customFormat="false" ht="14.25" hidden="false" customHeight="false" outlineLevel="0" collapsed="false">
      <c r="A128" s="2" t="n">
        <f aca="false">'V_DATOS PAC_SGA'!R123</f>
        <v>0</v>
      </c>
      <c r="B128" s="2" t="n">
        <f aca="false">IF(I128="IV",CONCATENATE('V_DATOS PAC_SGA'!R123,"4")+0,CONCATENATE('V_DATOS PAC_SGA'!R123,"0")+0)</f>
        <v>0</v>
      </c>
      <c r="C128" s="2" t="n">
        <f aca="false">'V_DATOS PAC_SGA'!S123</f>
        <v>0</v>
      </c>
      <c r="D128" s="1409" t="n">
        <f aca="false">'V_DATOS PAC_SGA'!Y123</f>
        <v>0</v>
      </c>
      <c r="E128" s="1410" t="str">
        <f aca="false">IF('V_DATOS PAC_SGA'!AV123="","Regadio",'V_DATOS PAC_SGA'!AV123)</f>
        <v>Regadio</v>
      </c>
      <c r="F128" s="1411" t="n">
        <f aca="false">'V_DATOS PAC_SGA'!BK123</f>
        <v>0</v>
      </c>
      <c r="G128" s="1412" t="n">
        <f aca="false">'V_DATOS PAC_SGA'!AN123</f>
        <v>0</v>
      </c>
      <c r="H128" s="1413" t="str">
        <f aca="false">IF(B128&gt;0,VLOOKUP(B128,'O_MN, PE_UTA_UGM 2024'!E$3:O$419,10),"")</f>
        <v/>
      </c>
      <c r="I128" s="1359" t="n">
        <f aca="false">'V_DATOS PAC_SGA'!BV123</f>
        <v>0</v>
      </c>
      <c r="J128" s="2" t="str">
        <f aca="false">IF(AND(J$4=$G128,J$6=$F128),$D128*J$5,"")</f>
        <v/>
      </c>
      <c r="K128" s="2" t="str">
        <f aca="false">IF(AND(K$4=$G128,K$6=$F128),$D128*K$5,"")</f>
        <v/>
      </c>
      <c r="L128" s="2" t="str">
        <f aca="false">IF(AND(L$4=$G128,L$6=$F128),$D128*L$5,"")</f>
        <v/>
      </c>
      <c r="M128" s="2" t="str">
        <f aca="false">IF(AND(M$4=$G128,M$6=$F128),$D128*M$5,"")</f>
        <v/>
      </c>
      <c r="N128" s="1414" t="n">
        <f aca="false">VLOOKUP(B128,'O_MN, PE_UTA_UGM 2024'!$E$2:$K$419,IF(G128&gt;1,6,7))</f>
        <v>0</v>
      </c>
      <c r="O128" s="1434" t="str">
        <f aca="false">IF($H128=O$4,$D128*$N128,"")</f>
        <v/>
      </c>
      <c r="P128" s="1435" t="str">
        <f aca="false">IF($H128=P$4,$D128*$N128,"")</f>
        <v/>
      </c>
      <c r="Q128" s="1435" t="str">
        <f aca="false">IF($H128=Q$4,$D128*$N128,"")</f>
        <v/>
      </c>
      <c r="R128" s="1435" t="str">
        <f aca="false">IF($H128=R$4,$D128*$N128,"")</f>
        <v/>
      </c>
      <c r="S128" s="1435" t="str">
        <f aca="false">IF($H128=S$4,$D128*$N128,"")</f>
        <v/>
      </c>
      <c r="T128" s="1435" t="str">
        <f aca="false">IF($H128=T$4,$D128*$N128,"")</f>
        <v/>
      </c>
      <c r="U128" s="1436" t="str">
        <f aca="false">IF($H128=U$4,$D128*$N128,"")</f>
        <v/>
      </c>
      <c r="V128" s="1418"/>
      <c r="W128" s="1419"/>
      <c r="X128" s="1419"/>
      <c r="Y128" s="1419"/>
      <c r="Z128" s="1419"/>
      <c r="AA128" s="1419"/>
      <c r="AB128" s="1420"/>
      <c r="AC128" s="1319"/>
      <c r="AD128" s="2" t="str">
        <f aca="false">IF(AND(AD$4=$G128,AD$6=$F128),$B128,"")</f>
        <v/>
      </c>
      <c r="AE128" s="2" t="str">
        <f aca="false">IF(AND(AE$4=$G128,AE$6=$F128),$B128,"")</f>
        <v/>
      </c>
      <c r="AF128" s="2" t="str">
        <f aca="false">IF(AND(AF$4=$G128,AF$6=$F128),$B128,"")</f>
        <v/>
      </c>
      <c r="AG128" s="2" t="str">
        <f aca="false">IF(AND(AG$4=$G128,AG$6=$F128),$B128,"")</f>
        <v/>
      </c>
      <c r="AI128" s="366"/>
      <c r="AL128" s="367"/>
      <c r="AO128" s="367"/>
      <c r="AP128" s="2" t="str">
        <f aca="false">IF(AT128&gt;0,RANK(AT128,AT$7:AT$423),"")</f>
        <v/>
      </c>
      <c r="AQ128" s="2" t="n">
        <f aca="false">'O_MN, PE_UTA_UGM 2024'!C124</f>
        <v>165</v>
      </c>
      <c r="AR128" s="1421" t="n">
        <v>1639</v>
      </c>
      <c r="AS128" s="2" t="str">
        <f aca="false">IF(AY128&lt;&gt;"",AY128,"")</f>
        <v/>
      </c>
      <c r="AT128" s="1422" t="n">
        <f aca="false">IF(ISNUMBER($AR128),SUMIF(B$7:B$505,AR128,D$7:D$505),"")</f>
        <v>0</v>
      </c>
      <c r="AU128" s="1411" t="n">
        <f aca="false">IF(ISNUMBER($AR128),SUMIF(AD$7:AD$503,$AR128,J$7:J$503),"")</f>
        <v>0</v>
      </c>
      <c r="AV128" s="1411" t="n">
        <f aca="false">IF(ISNUMBER($AR128),SUMIF(AF$7:AF$503,$AR128,L$7:L$503),"")</f>
        <v>0</v>
      </c>
      <c r="AW128" s="1423" t="n">
        <f aca="false">IF(ISNUMBER($AR128),SUMIF(AE$7:AE$503,$AR128,K$7:K$503),"")</f>
        <v>0</v>
      </c>
      <c r="AX128" s="1423" t="n">
        <f aca="false">IF(ISNUMBER($AR128),SUMIF(AG$7:AG$503,$AR128,M$7:M$503),"")</f>
        <v>0</v>
      </c>
      <c r="AY128" s="2" t="str">
        <f aca="false">IF($AT128&gt;0,VLOOKUP($AR128,'O_MN, PE_UTA_UGM 2024'!E124:O540,2),"")</f>
        <v/>
      </c>
      <c r="AZ128" s="1424"/>
      <c r="BA128" s="1424"/>
      <c r="BB128" s="1424" t="str">
        <f aca="false">IF($AT128&gt;0,VLOOKUP($AR128,'O_MN, PE_UTA_UGM 2024'!$E$3:$O$419,BB$6),"")</f>
        <v/>
      </c>
      <c r="BC128" s="1424" t="str">
        <f aca="false">IF($AT128&gt;0,VLOOKUP($AR128,'O_MN, PE_UTA_UGM 2024'!$E$3:$O$419,BC$6),"")</f>
        <v/>
      </c>
      <c r="BD128" s="1424" t="str">
        <f aca="false">IF($AT128&gt;0,VLOOKUP($AR128,'O_MN, PE_UTA_UGM 2024'!$E$3:$O$419,BD$6),"")</f>
        <v/>
      </c>
      <c r="BE128" s="1424" t="str">
        <f aca="false">IF($AT128&gt;0,VLOOKUP($AR128,'O_MN, PE_UTA_UGM 2024'!$E$3:$O$419,BE$6),"")</f>
        <v/>
      </c>
      <c r="BF128" s="1424" t="str">
        <f aca="false">IF($AT128&gt;0,VLOOKUP($AR128,'O_MN, PE_UTA_UGM 2024'!$E$3:$O$419,BF$6),"")</f>
        <v/>
      </c>
      <c r="BG128" s="1424" t="str">
        <f aca="false">IF($AT128&gt;0,VLOOKUP($AR128,'O_MN, PE_UTA_UGM 2024'!$E$3:$O$419,BG$6),"")</f>
        <v/>
      </c>
      <c r="BH128" s="872"/>
      <c r="BI128" s="872"/>
      <c r="BJ128" s="872"/>
      <c r="BK128" s="872"/>
      <c r="BM128" s="1411"/>
      <c r="BN128" s="1411"/>
      <c r="BO128" s="1425" t="str">
        <f aca="false">IF(ISNUMBER($AU128*BB128*1),$AU128*BB128*1,"")</f>
        <v/>
      </c>
      <c r="BP128" s="1425" t="str">
        <f aca="false">IF(ISNUMBER($AV128*BC128*1),$AV128*BC128*1,"")</f>
        <v/>
      </c>
      <c r="BQ128" s="1425" t="str">
        <f aca="false">IF(ISNUMBER($AU128*BD128*1),$AU128*BD128*1,"")</f>
        <v/>
      </c>
      <c r="BR128" s="1425" t="str">
        <f aca="false">IF(ISNUMBER($AV128*BE128*1),$AV128*BE128*1,"")</f>
        <v/>
      </c>
      <c r="BS128" s="1411" t="str">
        <f aca="false">IF(ISNUMBER($AU128*BF128),$AU128*BF128,"")</f>
        <v/>
      </c>
      <c r="BT128" s="1411" t="str">
        <f aca="false">IF(ISNUMBER($AV128*BG128),$AV128*BG128,"")</f>
        <v/>
      </c>
      <c r="BU128" s="1411"/>
      <c r="BV128" s="1411"/>
      <c r="BW128" s="1411"/>
      <c r="BX128" s="1411"/>
      <c r="BZ128" s="1372"/>
      <c r="CA128" s="1372"/>
      <c r="CB128" s="1426" t="str">
        <f aca="false">IF(ISNUMBER($AW128*BB128),$AW128*BB128,"")</f>
        <v/>
      </c>
      <c r="CC128" s="1426" t="str">
        <f aca="false">IF(ISNUMBER($AX128*BC128),$AX128*BC128,"")</f>
        <v/>
      </c>
      <c r="CD128" s="1426" t="str">
        <f aca="false">IF(ISNUMBER($AW128*BD128),$AW128*BD128,"")</f>
        <v/>
      </c>
      <c r="CE128" s="1426" t="str">
        <f aca="false">IF(ISNUMBER($AX128*BE128),$AX128*BE128,"")</f>
        <v/>
      </c>
      <c r="CF128" s="1372" t="str">
        <f aca="false">IF(ISNUMBER($AW128*BF128),$AW128*BF128,"")</f>
        <v/>
      </c>
      <c r="CG128" s="1372" t="str">
        <f aca="false">IF(ISNUMBER($AX128*BG128),$AX128*BG128,"")</f>
        <v/>
      </c>
      <c r="CH128" s="1438"/>
      <c r="CI128" s="1438"/>
      <c r="CJ128" s="1438"/>
      <c r="CK128" s="1438"/>
      <c r="CU128" s="1411"/>
      <c r="CV128" s="1411"/>
      <c r="CW128" s="1425"/>
      <c r="CX128" s="1425"/>
      <c r="CY128" s="1425"/>
      <c r="CZ128" s="1425"/>
      <c r="DA128" s="1411"/>
      <c r="DB128" s="1411"/>
      <c r="DC128" s="1411"/>
      <c r="DD128" s="1411"/>
      <c r="DE128" s="1411"/>
      <c r="DF128" s="1411"/>
      <c r="DH128" s="1432"/>
      <c r="DI128" s="1432"/>
      <c r="DJ128" s="1437"/>
      <c r="DK128" s="1437"/>
      <c r="DL128" s="1437"/>
      <c r="DM128" s="1437"/>
      <c r="DN128" s="1432"/>
      <c r="DO128" s="1432"/>
      <c r="DP128" s="1432"/>
      <c r="DQ128" s="1432"/>
      <c r="DR128" s="1432"/>
      <c r="DS128" s="1432"/>
      <c r="DT128" s="1316"/>
      <c r="DU128" s="1433"/>
      <c r="DV128" s="1433"/>
      <c r="DW128" s="1433"/>
      <c r="DX128" s="1433"/>
      <c r="DY128" s="1433"/>
      <c r="DZ128" s="1433"/>
      <c r="EA128" s="1433"/>
      <c r="EB128" s="1433"/>
    </row>
    <row r="129" customFormat="false" ht="14.25" hidden="false" customHeight="false" outlineLevel="0" collapsed="false">
      <c r="A129" s="2" t="n">
        <f aca="false">'V_DATOS PAC_SGA'!R124</f>
        <v>0</v>
      </c>
      <c r="B129" s="2" t="n">
        <f aca="false">IF(I129="IV",CONCATENATE('V_DATOS PAC_SGA'!R124,"4")+0,CONCATENATE('V_DATOS PAC_SGA'!R124,0)+0)</f>
        <v>0</v>
      </c>
      <c r="C129" s="2" t="n">
        <f aca="false">'V_DATOS PAC_SGA'!S124</f>
        <v>0</v>
      </c>
      <c r="D129" s="1409" t="n">
        <f aca="false">'V_DATOS PAC_SGA'!Y124</f>
        <v>0</v>
      </c>
      <c r="E129" s="1410" t="str">
        <f aca="false">IF('V_DATOS PAC_SGA'!AV124="","Regadio",'V_DATOS PAC_SGA'!AV124)</f>
        <v>Regadio</v>
      </c>
      <c r="F129" s="1411" t="n">
        <f aca="false">'V_DATOS PAC_SGA'!BK124</f>
        <v>0</v>
      </c>
      <c r="G129" s="1412" t="n">
        <f aca="false">'V_DATOS PAC_SGA'!AN124</f>
        <v>0</v>
      </c>
      <c r="H129" s="1413" t="str">
        <f aca="false">IF(B129&gt;0,VLOOKUP(B129,'O_MN, PE_UTA_UGM 2024'!E$3:O$419,10),"")</f>
        <v/>
      </c>
      <c r="I129" s="1359" t="n">
        <f aca="false">'V_DATOS PAC_SGA'!BV124</f>
        <v>0</v>
      </c>
      <c r="J129" s="2" t="str">
        <f aca="false">IF(AND(J$4=$G129,J$6=$F129),$D129*J$5,"")</f>
        <v/>
      </c>
      <c r="K129" s="2" t="str">
        <f aca="false">IF(AND(K$4=$G129,K$6=$F129),$D129*K$5,"")</f>
        <v/>
      </c>
      <c r="L129" s="2" t="str">
        <f aca="false">IF(AND(L$4=$G129,L$6=$F129),$D129*L$5,"")</f>
        <v/>
      </c>
      <c r="M129" s="2" t="str">
        <f aca="false">IF(AND(M$4=$G129,M$6=$F129),$D129*M$5,"")</f>
        <v/>
      </c>
      <c r="N129" s="1414" t="n">
        <f aca="false">VLOOKUP(B129,'O_MN, PE_UTA_UGM 2024'!$E$2:$K$419,IF(G129&gt;1,6,7))</f>
        <v>0</v>
      </c>
      <c r="O129" s="1434" t="str">
        <f aca="false">IF($H129=O$4,$D129*$N129,"")</f>
        <v/>
      </c>
      <c r="P129" s="1435" t="str">
        <f aca="false">IF($H129=P$4,$D129*$N129,"")</f>
        <v/>
      </c>
      <c r="Q129" s="1435" t="str">
        <f aca="false">IF($H129=Q$4,$D129*$N129,"")</f>
        <v/>
      </c>
      <c r="R129" s="1435" t="str">
        <f aca="false">IF($H129=R$4,$D129*$N129,"")</f>
        <v/>
      </c>
      <c r="S129" s="1435" t="str">
        <f aca="false">IF($H129=S$4,$D129*$N129,"")</f>
        <v/>
      </c>
      <c r="T129" s="1435" t="str">
        <f aca="false">IF($H129=T$4,$D129*$N129,"")</f>
        <v/>
      </c>
      <c r="U129" s="1436" t="str">
        <f aca="false">IF($H129=U$4,$D129*$N129,"")</f>
        <v/>
      </c>
      <c r="V129" s="1418"/>
      <c r="W129" s="1419"/>
      <c r="X129" s="1419"/>
      <c r="Y129" s="1419"/>
      <c r="Z129" s="1419"/>
      <c r="AA129" s="1419"/>
      <c r="AB129" s="1420"/>
      <c r="AC129" s="1319"/>
      <c r="AD129" s="2" t="str">
        <f aca="false">IF(AND(AD$4=$G129,AD$6=$F129),$B129,"")</f>
        <v/>
      </c>
      <c r="AE129" s="2" t="str">
        <f aca="false">IF(AND(AE$4=$G129,AE$6=$F129),$B129,"")</f>
        <v/>
      </c>
      <c r="AF129" s="2" t="str">
        <f aca="false">IF(AND(AF$4=$G129,AF$6=$F129),$B129,"")</f>
        <v/>
      </c>
      <c r="AG129" s="2" t="str">
        <f aca="false">IF(AND(AG$4=$G129,AG$6=$F129),$B129,"")</f>
        <v/>
      </c>
      <c r="AI129" s="366"/>
      <c r="AL129" s="367"/>
      <c r="AO129" s="367"/>
      <c r="AP129" s="2" t="str">
        <f aca="false">IF(AT129&gt;0,RANK(AT129,AT$7:AT$423),"")</f>
        <v/>
      </c>
      <c r="AQ129" s="2" t="n">
        <f aca="false">'O_MN, PE_UTA_UGM 2024'!C125</f>
        <v>165</v>
      </c>
      <c r="AR129" s="1421" t="n">
        <v>1640</v>
      </c>
      <c r="AS129" s="2" t="str">
        <f aca="false">IF(AY129&lt;&gt;"",AY129,"")</f>
        <v/>
      </c>
      <c r="AT129" s="1422" t="n">
        <f aca="false">IF(ISNUMBER($AR129),SUMIF(B$7:B$505,AR129,D$7:D$505),"")</f>
        <v>0</v>
      </c>
      <c r="AU129" s="1411" t="n">
        <f aca="false">IF(ISNUMBER($AR129),SUMIF(AD$7:AD$503,$AR129,J$7:J$503),"")</f>
        <v>0</v>
      </c>
      <c r="AV129" s="1411" t="n">
        <f aca="false">IF(ISNUMBER($AR129),SUMIF(AF$7:AF$503,$AR129,L$7:L$503),"")</f>
        <v>0</v>
      </c>
      <c r="AW129" s="1423" t="n">
        <f aca="false">IF(ISNUMBER($AR129),SUMIF(AE$7:AE$503,$AR129,K$7:K$503),"")</f>
        <v>0</v>
      </c>
      <c r="AX129" s="1423" t="n">
        <f aca="false">IF(ISNUMBER($AR129),SUMIF(AG$7:AG$503,$AR129,M$7:M$503),"")</f>
        <v>0</v>
      </c>
      <c r="AY129" s="2" t="str">
        <f aca="false">IF($AT129&gt;0,VLOOKUP($AR129,'O_MN, PE_UTA_UGM 2024'!E125:O541,2),"")</f>
        <v/>
      </c>
      <c r="AZ129" s="1424"/>
      <c r="BA129" s="1424"/>
      <c r="BB129" s="1424" t="str">
        <f aca="false">IF($AT129&gt;0,VLOOKUP($AR129,'O_MN, PE_UTA_UGM 2024'!$E$3:$O$419,BB$6),"")</f>
        <v/>
      </c>
      <c r="BC129" s="1424" t="str">
        <f aca="false">IF($AT129&gt;0,VLOOKUP($AR129,'O_MN, PE_UTA_UGM 2024'!$E$3:$O$419,BC$6),"")</f>
        <v/>
      </c>
      <c r="BD129" s="1424" t="str">
        <f aca="false">IF($AT129&gt;0,VLOOKUP($AR129,'O_MN, PE_UTA_UGM 2024'!$E$3:$O$419,BD$6),"")</f>
        <v/>
      </c>
      <c r="BE129" s="1424" t="str">
        <f aca="false">IF($AT129&gt;0,VLOOKUP($AR129,'O_MN, PE_UTA_UGM 2024'!$E$3:$O$419,BE$6),"")</f>
        <v/>
      </c>
      <c r="BF129" s="1424" t="str">
        <f aca="false">IF($AT129&gt;0,VLOOKUP($AR129,'O_MN, PE_UTA_UGM 2024'!$E$3:$O$419,BF$6),"")</f>
        <v/>
      </c>
      <c r="BG129" s="1424" t="str">
        <f aca="false">IF($AT129&gt;0,VLOOKUP($AR129,'O_MN, PE_UTA_UGM 2024'!$E$3:$O$419,BG$6),"")</f>
        <v/>
      </c>
      <c r="BH129" s="872"/>
      <c r="BI129" s="872"/>
      <c r="BJ129" s="872"/>
      <c r="BK129" s="872"/>
      <c r="BM129" s="1411"/>
      <c r="BN129" s="1411"/>
      <c r="BO129" s="1425" t="str">
        <f aca="false">IF(ISNUMBER($AU129*BB129*1),$AU129*BB129*1,"")</f>
        <v/>
      </c>
      <c r="BP129" s="1425" t="str">
        <f aca="false">IF(ISNUMBER($AV129*BC129*1),$AV129*BC129*1,"")</f>
        <v/>
      </c>
      <c r="BQ129" s="1425" t="str">
        <f aca="false">IF(ISNUMBER($AU129*BD129*1),$AU129*BD129*1,"")</f>
        <v/>
      </c>
      <c r="BR129" s="1425" t="str">
        <f aca="false">IF(ISNUMBER($AV129*BE129*1),$AV129*BE129*1,"")</f>
        <v/>
      </c>
      <c r="BS129" s="1411" t="str">
        <f aca="false">IF(ISNUMBER($AU129*BF129),$AU129*BF129,"")</f>
        <v/>
      </c>
      <c r="BT129" s="1411" t="str">
        <f aca="false">IF(ISNUMBER($AV129*BG129),$AV129*BG129,"")</f>
        <v/>
      </c>
      <c r="BU129" s="1411"/>
      <c r="BV129" s="1411"/>
      <c r="BW129" s="1411"/>
      <c r="BX129" s="1411"/>
      <c r="BZ129" s="1372"/>
      <c r="CA129" s="1372"/>
      <c r="CB129" s="1426" t="str">
        <f aca="false">IF(ISNUMBER($AW129*BB129),$AW129*BB129,"")</f>
        <v/>
      </c>
      <c r="CC129" s="1426" t="str">
        <f aca="false">IF(ISNUMBER($AX129*BC129),$AX129*BC129,"")</f>
        <v/>
      </c>
      <c r="CD129" s="1426" t="str">
        <f aca="false">IF(ISNUMBER($AW129*BD129),$AW129*BD129,"")</f>
        <v/>
      </c>
      <c r="CE129" s="1426" t="str">
        <f aca="false">IF(ISNUMBER($AX129*BE129),$AX129*BE129,"")</f>
        <v/>
      </c>
      <c r="CF129" s="1372" t="str">
        <f aca="false">IF(ISNUMBER($AW129*BF129),$AW129*BF129,"")</f>
        <v/>
      </c>
      <c r="CG129" s="1372" t="str">
        <f aca="false">IF(ISNUMBER($AX129*BG129),$AX129*BG129,"")</f>
        <v/>
      </c>
      <c r="CH129" s="1438"/>
      <c r="CI129" s="1438"/>
      <c r="CJ129" s="1438"/>
      <c r="CK129" s="1438"/>
      <c r="CU129" s="1411"/>
      <c r="CV129" s="1411"/>
      <c r="CW129" s="1425"/>
      <c r="CX129" s="1425"/>
      <c r="CY129" s="1425"/>
      <c r="CZ129" s="1425"/>
      <c r="DA129" s="1411"/>
      <c r="DB129" s="1411"/>
      <c r="DC129" s="1411"/>
      <c r="DD129" s="1411"/>
      <c r="DE129" s="1411"/>
      <c r="DF129" s="1411"/>
      <c r="DH129" s="1432"/>
      <c r="DI129" s="1432"/>
      <c r="DJ129" s="1437"/>
      <c r="DK129" s="1437"/>
      <c r="DL129" s="1437"/>
      <c r="DM129" s="1437"/>
      <c r="DN129" s="1432"/>
      <c r="DO129" s="1432"/>
      <c r="DP129" s="1432"/>
      <c r="DQ129" s="1432"/>
      <c r="DR129" s="1432"/>
      <c r="DS129" s="1432"/>
      <c r="DT129" s="1316"/>
      <c r="DU129" s="1433"/>
      <c r="DV129" s="1433"/>
      <c r="DW129" s="1433"/>
      <c r="DX129" s="1433"/>
      <c r="DY129" s="1433"/>
      <c r="DZ129" s="1433"/>
      <c r="EA129" s="1433"/>
      <c r="EB129" s="1433"/>
    </row>
    <row r="130" customFormat="false" ht="14.25" hidden="false" customHeight="false" outlineLevel="0" collapsed="false">
      <c r="A130" s="2" t="n">
        <f aca="false">'V_DATOS PAC_SGA'!R125</f>
        <v>0</v>
      </c>
      <c r="B130" s="2" t="n">
        <f aca="false">IF(I130="IV",CONCATENATE('V_DATOS PAC_SGA'!R125,"4")+0,CONCATENATE('V_DATOS PAC_SGA'!R125,0)+0)</f>
        <v>0</v>
      </c>
      <c r="C130" s="2" t="n">
        <f aca="false">'V_DATOS PAC_SGA'!S125</f>
        <v>0</v>
      </c>
      <c r="D130" s="1409" t="n">
        <f aca="false">'V_DATOS PAC_SGA'!Y125</f>
        <v>0</v>
      </c>
      <c r="E130" s="1410" t="str">
        <f aca="false">IF('V_DATOS PAC_SGA'!AV125="","Regadio",'V_DATOS PAC_SGA'!AV125)</f>
        <v>Regadio</v>
      </c>
      <c r="F130" s="1411" t="n">
        <f aca="false">'V_DATOS PAC_SGA'!BK125</f>
        <v>0</v>
      </c>
      <c r="G130" s="1412" t="n">
        <f aca="false">'V_DATOS PAC_SGA'!AN125</f>
        <v>0</v>
      </c>
      <c r="H130" s="1413" t="str">
        <f aca="false">IF(B130&gt;0,VLOOKUP(B130,'O_MN, PE_UTA_UGM 2024'!E$3:O$419,10),"")</f>
        <v/>
      </c>
      <c r="I130" s="1359" t="n">
        <f aca="false">'V_DATOS PAC_SGA'!BV125</f>
        <v>0</v>
      </c>
      <c r="J130" s="2" t="str">
        <f aca="false">IF(AND(J$4=$G130,J$6=$F130),$D130*J$5,"")</f>
        <v/>
      </c>
      <c r="K130" s="2" t="str">
        <f aca="false">IF(AND(K$4=$G130,K$6=$F130),$D130*K$5,"")</f>
        <v/>
      </c>
      <c r="L130" s="2" t="str">
        <f aca="false">IF(AND(L$4=$G130,L$6=$F130),$D130*L$5,"")</f>
        <v/>
      </c>
      <c r="M130" s="2" t="str">
        <f aca="false">IF(AND(M$4=$G130,M$6=$F130),$D130*M$5,"")</f>
        <v/>
      </c>
      <c r="N130" s="1414" t="n">
        <f aca="false">VLOOKUP(B130,'O_MN, PE_UTA_UGM 2024'!$E$2:$K$419,IF(G130&gt;1,6,7))</f>
        <v>0</v>
      </c>
      <c r="O130" s="1434" t="str">
        <f aca="false">IF($H130=O$4,$D130*$N130,"")</f>
        <v/>
      </c>
      <c r="P130" s="1435" t="str">
        <f aca="false">IF($H130=P$4,$D130*$N130,"")</f>
        <v/>
      </c>
      <c r="Q130" s="1435" t="str">
        <f aca="false">IF($H130=Q$4,$D130*$N130,"")</f>
        <v/>
      </c>
      <c r="R130" s="1435" t="str">
        <f aca="false">IF($H130=R$4,$D130*$N130,"")</f>
        <v/>
      </c>
      <c r="S130" s="1435" t="str">
        <f aca="false">IF($H130=S$4,$D130*$N130,"")</f>
        <v/>
      </c>
      <c r="T130" s="1435" t="str">
        <f aca="false">IF($H130=T$4,$D130*$N130,"")</f>
        <v/>
      </c>
      <c r="U130" s="1436" t="str">
        <f aca="false">IF($H130=U$4,$D130*$N130,"")</f>
        <v/>
      </c>
      <c r="V130" s="1418"/>
      <c r="W130" s="1419"/>
      <c r="X130" s="1419"/>
      <c r="Y130" s="1419"/>
      <c r="Z130" s="1419"/>
      <c r="AA130" s="1419"/>
      <c r="AB130" s="1420"/>
      <c r="AC130" s="1319"/>
      <c r="AD130" s="2" t="str">
        <f aca="false">IF(AND(AD$4=$G130,AD$6=$F130),$B130,"")</f>
        <v/>
      </c>
      <c r="AE130" s="2" t="str">
        <f aca="false">IF(AND(AE$4=$G130,AE$6=$F130),$B130,"")</f>
        <v/>
      </c>
      <c r="AF130" s="2" t="str">
        <f aca="false">IF(AND(AF$4=$G130,AF$6=$F130),$B130,"")</f>
        <v/>
      </c>
      <c r="AG130" s="2" t="str">
        <f aca="false">IF(AND(AG$4=$G130,AG$6=$F130),$B130,"")</f>
        <v/>
      </c>
      <c r="AI130" s="366"/>
      <c r="AL130" s="367"/>
      <c r="AO130" s="367"/>
      <c r="AP130" s="2" t="str">
        <f aca="false">IF(AT130&gt;0,RANK(AT130,AT$7:AT$423),"")</f>
        <v/>
      </c>
      <c r="AQ130" s="2" t="n">
        <f aca="false">'O_MN, PE_UTA_UGM 2024'!C126</f>
        <v>165</v>
      </c>
      <c r="AR130" s="1421" t="n">
        <v>1644</v>
      </c>
      <c r="AS130" s="2" t="str">
        <f aca="false">IF(AY130&lt;&gt;"",AY130,"")</f>
        <v/>
      </c>
      <c r="AT130" s="1422" t="n">
        <f aca="false">IF(ISNUMBER($AR130),SUMIF(B$7:B$505,AR130,D$7:D$505),"")</f>
        <v>0</v>
      </c>
      <c r="AU130" s="1411" t="n">
        <f aca="false">IF(ISNUMBER($AR130),SUMIF(AD$7:AD$503,$AR130,J$7:J$503),"")</f>
        <v>0</v>
      </c>
      <c r="AV130" s="1411" t="n">
        <f aca="false">IF(ISNUMBER($AR130),SUMIF(AF$7:AF$503,$AR130,L$7:L$503),"")</f>
        <v>0</v>
      </c>
      <c r="AW130" s="1423" t="n">
        <f aca="false">IF(ISNUMBER($AR130),SUMIF(AE$7:AE$503,$AR130,K$7:K$503),"")</f>
        <v>0</v>
      </c>
      <c r="AX130" s="1423" t="n">
        <f aca="false">IF(ISNUMBER($AR130),SUMIF(AG$7:AG$503,$AR130,M$7:M$503),"")</f>
        <v>0</v>
      </c>
      <c r="AY130" s="2" t="str">
        <f aca="false">IF($AT130&gt;0,VLOOKUP($AR130,'O_MN, PE_UTA_UGM 2024'!E126:O542,2),"")</f>
        <v/>
      </c>
      <c r="AZ130" s="1424"/>
      <c r="BA130" s="1424"/>
      <c r="BB130" s="1424" t="str">
        <f aca="false">IF($AT130&gt;0,VLOOKUP($AR130,'O_MN, PE_UTA_UGM 2024'!$E$3:$O$419,BB$6),"")</f>
        <v/>
      </c>
      <c r="BC130" s="1424" t="str">
        <f aca="false">IF($AT130&gt;0,VLOOKUP($AR130,'O_MN, PE_UTA_UGM 2024'!$E$3:$O$419,BC$6),"")</f>
        <v/>
      </c>
      <c r="BD130" s="1424" t="str">
        <f aca="false">IF($AT130&gt;0,VLOOKUP($AR130,'O_MN, PE_UTA_UGM 2024'!$E$3:$O$419,BD$6),"")</f>
        <v/>
      </c>
      <c r="BE130" s="1424" t="str">
        <f aca="false">IF($AT130&gt;0,VLOOKUP($AR130,'O_MN, PE_UTA_UGM 2024'!$E$3:$O$419,BE$6),"")</f>
        <v/>
      </c>
      <c r="BF130" s="1424" t="str">
        <f aca="false">IF($AT130&gt;0,VLOOKUP($AR130,'O_MN, PE_UTA_UGM 2024'!$E$3:$O$419,BF$6),"")</f>
        <v/>
      </c>
      <c r="BG130" s="1424" t="str">
        <f aca="false">IF($AT130&gt;0,VLOOKUP($AR130,'O_MN, PE_UTA_UGM 2024'!$E$3:$O$419,BG$6),"")</f>
        <v/>
      </c>
      <c r="BH130" s="872"/>
      <c r="BI130" s="872"/>
      <c r="BJ130" s="872"/>
      <c r="BK130" s="872"/>
      <c r="BM130" s="1411"/>
      <c r="BN130" s="1411"/>
      <c r="BO130" s="1425" t="str">
        <f aca="false">IF(ISNUMBER($AU130*BB130*1),$AU130*BB130*1,"")</f>
        <v/>
      </c>
      <c r="BP130" s="1425" t="str">
        <f aca="false">IF(ISNUMBER($AV130*BC130*1),$AV130*BC130*1,"")</f>
        <v/>
      </c>
      <c r="BQ130" s="1425" t="str">
        <f aca="false">IF(ISNUMBER($AU130*BD130*1),$AU130*BD130*1,"")</f>
        <v/>
      </c>
      <c r="BR130" s="1425" t="str">
        <f aca="false">IF(ISNUMBER($AV130*BE130*1),$AV130*BE130*1,"")</f>
        <v/>
      </c>
      <c r="BS130" s="1411" t="str">
        <f aca="false">IF(ISNUMBER($AU130*BF130),$AU130*BF130,"")</f>
        <v/>
      </c>
      <c r="BT130" s="1411" t="str">
        <f aca="false">IF(ISNUMBER($AV130*BG130),$AV130*BG130,"")</f>
        <v/>
      </c>
      <c r="BU130" s="1411"/>
      <c r="BV130" s="1411"/>
      <c r="BW130" s="1411"/>
      <c r="BX130" s="1411"/>
      <c r="BZ130" s="1372"/>
      <c r="CA130" s="1372"/>
      <c r="CB130" s="1426" t="str">
        <f aca="false">IF(ISNUMBER($AW130*BB130),$AW130*BB130,"")</f>
        <v/>
      </c>
      <c r="CC130" s="1426" t="str">
        <f aca="false">IF(ISNUMBER($AX130*BC130),$AX130*BC130,"")</f>
        <v/>
      </c>
      <c r="CD130" s="1426" t="str">
        <f aca="false">IF(ISNUMBER($AW130*BD130),$AW130*BD130,"")</f>
        <v/>
      </c>
      <c r="CE130" s="1426" t="str">
        <f aca="false">IF(ISNUMBER($AX130*BE130),$AX130*BE130,"")</f>
        <v/>
      </c>
      <c r="CF130" s="1372" t="str">
        <f aca="false">IF(ISNUMBER($AW130*BF130),$AW130*BF130,"")</f>
        <v/>
      </c>
      <c r="CG130" s="1372" t="str">
        <f aca="false">IF(ISNUMBER($AX130*BG130),$AX130*BG130,"")</f>
        <v/>
      </c>
      <c r="CH130" s="1438"/>
      <c r="CI130" s="1438"/>
      <c r="CJ130" s="1438"/>
      <c r="CK130" s="1438"/>
      <c r="CU130" s="1411"/>
      <c r="CV130" s="1411"/>
      <c r="CW130" s="1425"/>
      <c r="CX130" s="1425"/>
      <c r="CY130" s="1425"/>
      <c r="CZ130" s="1425"/>
      <c r="DA130" s="1411"/>
      <c r="DB130" s="1411"/>
      <c r="DC130" s="1411"/>
      <c r="DD130" s="1411"/>
      <c r="DE130" s="1411"/>
      <c r="DF130" s="1411"/>
      <c r="DH130" s="1432"/>
      <c r="DI130" s="1432"/>
      <c r="DJ130" s="1437"/>
      <c r="DK130" s="1437"/>
      <c r="DL130" s="1437"/>
      <c r="DM130" s="1437"/>
      <c r="DN130" s="1432"/>
      <c r="DO130" s="1432"/>
      <c r="DP130" s="1432"/>
      <c r="DQ130" s="1432"/>
      <c r="DR130" s="1432"/>
      <c r="DS130" s="1432"/>
      <c r="DT130" s="1316"/>
      <c r="DU130" s="1433"/>
      <c r="DV130" s="1433"/>
      <c r="DW130" s="1433"/>
      <c r="DX130" s="1433"/>
      <c r="DY130" s="1433"/>
      <c r="DZ130" s="1433"/>
      <c r="EA130" s="1433"/>
      <c r="EB130" s="1433"/>
    </row>
    <row r="131" customFormat="false" ht="14.25" hidden="false" customHeight="false" outlineLevel="0" collapsed="false">
      <c r="A131" s="2" t="n">
        <f aca="false">'V_DATOS PAC_SGA'!R126</f>
        <v>0</v>
      </c>
      <c r="B131" s="2" t="n">
        <f aca="false">IF(I131="IV",CONCATENATE('V_DATOS PAC_SGA'!R126,"4")+0,CONCATENATE('V_DATOS PAC_SGA'!R126,"0")+0)</f>
        <v>0</v>
      </c>
      <c r="C131" s="2" t="n">
        <f aca="false">'V_DATOS PAC_SGA'!S126</f>
        <v>0</v>
      </c>
      <c r="D131" s="1409" t="n">
        <f aca="false">'V_DATOS PAC_SGA'!Y126</f>
        <v>0</v>
      </c>
      <c r="E131" s="1410" t="str">
        <f aca="false">IF('V_DATOS PAC_SGA'!AV126="","Regadio",'V_DATOS PAC_SGA'!AV126)</f>
        <v>Regadio</v>
      </c>
      <c r="F131" s="1411" t="n">
        <f aca="false">'V_DATOS PAC_SGA'!BK126</f>
        <v>0</v>
      </c>
      <c r="G131" s="1412" t="n">
        <f aca="false">'V_DATOS PAC_SGA'!AN126</f>
        <v>0</v>
      </c>
      <c r="H131" s="1413" t="str">
        <f aca="false">IF(B131&gt;0,VLOOKUP(B131,'O_MN, PE_UTA_UGM 2024'!E$3:O$419,10),"")</f>
        <v/>
      </c>
      <c r="I131" s="1359" t="n">
        <f aca="false">'V_DATOS PAC_SGA'!BV126</f>
        <v>0</v>
      </c>
      <c r="J131" s="2" t="str">
        <f aca="false">IF(AND(J$4=$G131,J$6=$F131),$D131*J$5,"")</f>
        <v/>
      </c>
      <c r="K131" s="2" t="str">
        <f aca="false">IF(AND(K$4=$G131,K$6=$F131),$D131*K$5,"")</f>
        <v/>
      </c>
      <c r="L131" s="2" t="str">
        <f aca="false">IF(AND(L$4=$G131,L$6=$F131),$D131*L$5,"")</f>
        <v/>
      </c>
      <c r="M131" s="2" t="str">
        <f aca="false">IF(AND(M$4=$G131,M$6=$F131),$D131*M$5,"")</f>
        <v/>
      </c>
      <c r="N131" s="1414" t="n">
        <f aca="false">VLOOKUP(B131,'O_MN, PE_UTA_UGM 2024'!$E$2:$K$419,IF(G131&gt;1,6,7))</f>
        <v>0</v>
      </c>
      <c r="O131" s="1434" t="str">
        <f aca="false">IF($H131=O$4,$D131*$N131,"")</f>
        <v/>
      </c>
      <c r="P131" s="1435" t="str">
        <f aca="false">IF($H131=P$4,$D131*$N131,"")</f>
        <v/>
      </c>
      <c r="Q131" s="1435" t="str">
        <f aca="false">IF($H131=Q$4,$D131*$N131,"")</f>
        <v/>
      </c>
      <c r="R131" s="1435" t="str">
        <f aca="false">IF($H131=R$4,$D131*$N131,"")</f>
        <v/>
      </c>
      <c r="S131" s="1435" t="str">
        <f aca="false">IF($H131=S$4,$D131*$N131,"")</f>
        <v/>
      </c>
      <c r="T131" s="1435" t="str">
        <f aca="false">IF($H131=T$4,$D131*$N131,"")</f>
        <v/>
      </c>
      <c r="U131" s="1436" t="str">
        <f aca="false">IF($H131=U$4,$D131*$N131,"")</f>
        <v/>
      </c>
      <c r="V131" s="1418"/>
      <c r="W131" s="1419"/>
      <c r="X131" s="1419"/>
      <c r="Y131" s="1419"/>
      <c r="Z131" s="1419"/>
      <c r="AA131" s="1419"/>
      <c r="AB131" s="1420"/>
      <c r="AC131" s="1319"/>
      <c r="AD131" s="2" t="str">
        <f aca="false">IF(AND(AD$4=$G131,AD$6=$F131),$B131,"")</f>
        <v/>
      </c>
      <c r="AE131" s="2" t="str">
        <f aca="false">IF(AND(AE$4=$G131,AE$6=$F131),$B131,"")</f>
        <v/>
      </c>
      <c r="AF131" s="2" t="str">
        <f aca="false">IF(AND(AF$4=$G131,AF$6=$F131),$B131,"")</f>
        <v/>
      </c>
      <c r="AG131" s="2" t="str">
        <f aca="false">IF(AND(AG$4=$G131,AG$6=$F131),$B131,"")</f>
        <v/>
      </c>
      <c r="AI131" s="366"/>
      <c r="AL131" s="367"/>
      <c r="AO131" s="367"/>
      <c r="AP131" s="2" t="str">
        <f aca="false">IF(AT131&gt;0,RANK(AT131,AT$7:AT$423),"")</f>
        <v/>
      </c>
      <c r="AQ131" s="2" t="n">
        <f aca="false">'O_MN, PE_UTA_UGM 2024'!C127</f>
        <v>166</v>
      </c>
      <c r="AR131" s="1421" t="n">
        <v>1649</v>
      </c>
      <c r="AS131" s="2" t="str">
        <f aca="false">IF(AY131&lt;&gt;"",AY131,"")</f>
        <v/>
      </c>
      <c r="AT131" s="1422" t="n">
        <f aca="false">IF(ISNUMBER($AR131),SUMIF(B$7:B$505,AR131,D$7:D$505),"")</f>
        <v>0</v>
      </c>
      <c r="AU131" s="1411" t="n">
        <f aca="false">IF(ISNUMBER($AR131),SUMIF(AD$7:AD$503,$AR131,J$7:J$503),"")</f>
        <v>0</v>
      </c>
      <c r="AV131" s="1411" t="n">
        <f aca="false">IF(ISNUMBER($AR131),SUMIF(AF$7:AF$503,$AR131,L$7:L$503),"")</f>
        <v>0</v>
      </c>
      <c r="AW131" s="1423" t="n">
        <f aca="false">IF(ISNUMBER($AR131),SUMIF(AE$7:AE$503,$AR131,K$7:K$503),"")</f>
        <v>0</v>
      </c>
      <c r="AX131" s="1423" t="n">
        <f aca="false">IF(ISNUMBER($AR131),SUMIF(AG$7:AG$503,$AR131,M$7:M$503),"")</f>
        <v>0</v>
      </c>
      <c r="AY131" s="2" t="str">
        <f aca="false">IF($AT131&gt;0,VLOOKUP($AR131,'O_MN, PE_UTA_UGM 2024'!E127:O543,2),"")</f>
        <v/>
      </c>
      <c r="AZ131" s="1424"/>
      <c r="BA131" s="1424"/>
      <c r="BB131" s="1424" t="str">
        <f aca="false">IF($AT131&gt;0,VLOOKUP($AR131,'O_MN, PE_UTA_UGM 2024'!$E$3:$O$419,BB$6),"")</f>
        <v/>
      </c>
      <c r="BC131" s="1424" t="str">
        <f aca="false">IF($AT131&gt;0,VLOOKUP($AR131,'O_MN, PE_UTA_UGM 2024'!$E$3:$O$419,BC$6),"")</f>
        <v/>
      </c>
      <c r="BD131" s="1424" t="str">
        <f aca="false">IF($AT131&gt;0,VLOOKUP($AR131,'O_MN, PE_UTA_UGM 2024'!$E$3:$O$419,BD$6),"")</f>
        <v/>
      </c>
      <c r="BE131" s="1424" t="str">
        <f aca="false">IF($AT131&gt;0,VLOOKUP($AR131,'O_MN, PE_UTA_UGM 2024'!$E$3:$O$419,BE$6),"")</f>
        <v/>
      </c>
      <c r="BF131" s="1424" t="str">
        <f aca="false">IF($AT131&gt;0,VLOOKUP($AR131,'O_MN, PE_UTA_UGM 2024'!$E$3:$O$419,BF$6),"")</f>
        <v/>
      </c>
      <c r="BG131" s="1424" t="str">
        <f aca="false">IF($AT131&gt;0,VLOOKUP($AR131,'O_MN, PE_UTA_UGM 2024'!$E$3:$O$419,BG$6),"")</f>
        <v/>
      </c>
      <c r="BH131" s="872"/>
      <c r="BI131" s="872"/>
      <c r="BJ131" s="872"/>
      <c r="BK131" s="872"/>
      <c r="BM131" s="1411"/>
      <c r="BN131" s="1411"/>
      <c r="BO131" s="1425" t="str">
        <f aca="false">IF(ISNUMBER($AU131*BB131*1),$AU131*BB131*1,"")</f>
        <v/>
      </c>
      <c r="BP131" s="1425" t="str">
        <f aca="false">IF(ISNUMBER($AV131*BC131*1),$AV131*BC131*1,"")</f>
        <v/>
      </c>
      <c r="BQ131" s="1425" t="str">
        <f aca="false">IF(ISNUMBER($AU131*BD131*1),$AU131*BD131*1,"")</f>
        <v/>
      </c>
      <c r="BR131" s="1425" t="str">
        <f aca="false">IF(ISNUMBER($AV131*BE131*1),$AV131*BE131*1,"")</f>
        <v/>
      </c>
      <c r="BS131" s="1411" t="str">
        <f aca="false">IF(ISNUMBER($AU131*BF131),$AU131*BF131,"")</f>
        <v/>
      </c>
      <c r="BT131" s="1411" t="str">
        <f aca="false">IF(ISNUMBER($AV131*BG131),$AV131*BG131,"")</f>
        <v/>
      </c>
      <c r="BU131" s="1411"/>
      <c r="BV131" s="1411"/>
      <c r="BW131" s="1411"/>
      <c r="BX131" s="1411"/>
      <c r="BZ131" s="1372"/>
      <c r="CA131" s="1372"/>
      <c r="CB131" s="1426" t="str">
        <f aca="false">IF(ISNUMBER($AW131*BB131),$AW131*BB131,"")</f>
        <v/>
      </c>
      <c r="CC131" s="1426" t="str">
        <f aca="false">IF(ISNUMBER($AX131*BC131),$AX131*BC131,"")</f>
        <v/>
      </c>
      <c r="CD131" s="1426" t="str">
        <f aca="false">IF(ISNUMBER($AW131*BD131),$AW131*BD131,"")</f>
        <v/>
      </c>
      <c r="CE131" s="1426" t="str">
        <f aca="false">IF(ISNUMBER($AX131*BE131),$AX131*BE131,"")</f>
        <v/>
      </c>
      <c r="CF131" s="1372" t="str">
        <f aca="false">IF(ISNUMBER($AW131*BF131),$AW131*BF131,"")</f>
        <v/>
      </c>
      <c r="CG131" s="1372" t="str">
        <f aca="false">IF(ISNUMBER($AX131*BG131),$AX131*BG131,"")</f>
        <v/>
      </c>
      <c r="CH131" s="1438"/>
      <c r="CI131" s="1438"/>
      <c r="CJ131" s="1438"/>
      <c r="CK131" s="1438"/>
      <c r="CU131" s="1411"/>
      <c r="CV131" s="1411"/>
      <c r="CW131" s="1425"/>
      <c r="CX131" s="1425"/>
      <c r="CY131" s="1425"/>
      <c r="CZ131" s="1425"/>
      <c r="DA131" s="1411"/>
      <c r="DB131" s="1411"/>
      <c r="DC131" s="1411"/>
      <c r="DD131" s="1411"/>
      <c r="DE131" s="1411"/>
      <c r="DF131" s="1411"/>
      <c r="DH131" s="1432"/>
      <c r="DI131" s="1432"/>
      <c r="DJ131" s="1437"/>
      <c r="DK131" s="1437"/>
      <c r="DL131" s="1437"/>
      <c r="DM131" s="1437"/>
      <c r="DN131" s="1432"/>
      <c r="DO131" s="1432"/>
      <c r="DP131" s="1432"/>
      <c r="DQ131" s="1432"/>
      <c r="DR131" s="1432"/>
      <c r="DS131" s="1432"/>
      <c r="DT131" s="1316"/>
      <c r="DU131" s="1433"/>
      <c r="DV131" s="1433"/>
      <c r="DW131" s="1433"/>
      <c r="DX131" s="1433"/>
      <c r="DY131" s="1433"/>
      <c r="DZ131" s="1433"/>
      <c r="EA131" s="1433"/>
      <c r="EB131" s="1433"/>
    </row>
    <row r="132" customFormat="false" ht="14.25" hidden="false" customHeight="false" outlineLevel="0" collapsed="false">
      <c r="A132" s="2" t="n">
        <f aca="false">'V_DATOS PAC_SGA'!R127</f>
        <v>0</v>
      </c>
      <c r="B132" s="2" t="n">
        <f aca="false">IF(I132="IV",CONCATENATE('V_DATOS PAC_SGA'!R127,"4")+0,CONCATENATE('V_DATOS PAC_SGA'!R127,"0")+0)</f>
        <v>0</v>
      </c>
      <c r="C132" s="2" t="n">
        <f aca="false">'V_DATOS PAC_SGA'!S127</f>
        <v>0</v>
      </c>
      <c r="D132" s="1409" t="n">
        <f aca="false">'V_DATOS PAC_SGA'!Y127</f>
        <v>0</v>
      </c>
      <c r="E132" s="1410" t="str">
        <f aca="false">IF('V_DATOS PAC_SGA'!AV127="","Regadio",'V_DATOS PAC_SGA'!AV127)</f>
        <v>Regadio</v>
      </c>
      <c r="F132" s="1411" t="n">
        <f aca="false">'V_DATOS PAC_SGA'!BK127</f>
        <v>0</v>
      </c>
      <c r="G132" s="1412" t="n">
        <f aca="false">'V_DATOS PAC_SGA'!AN127</f>
        <v>0</v>
      </c>
      <c r="H132" s="1413" t="str">
        <f aca="false">IF(B132&gt;0,VLOOKUP(B132,'O_MN, PE_UTA_UGM 2024'!E$3:O$419,10),"")</f>
        <v/>
      </c>
      <c r="I132" s="1359" t="n">
        <f aca="false">'V_DATOS PAC_SGA'!BV127</f>
        <v>0</v>
      </c>
      <c r="J132" s="2" t="str">
        <f aca="false">IF(AND(J$4=$G132,J$6=$F132),$D132*J$5,"")</f>
        <v/>
      </c>
      <c r="K132" s="2" t="str">
        <f aca="false">IF(AND(K$4=$G132,K$6=$F132),$D132*K$5,"")</f>
        <v/>
      </c>
      <c r="L132" s="2" t="str">
        <f aca="false">IF(AND(L$4=$G132,L$6=$F132),$D132*L$5,"")</f>
        <v/>
      </c>
      <c r="M132" s="2" t="str">
        <f aca="false">IF(AND(M$4=$G132,M$6=$F132),$D132*M$5,"")</f>
        <v/>
      </c>
      <c r="N132" s="1414" t="n">
        <f aca="false">VLOOKUP(B132,'O_MN, PE_UTA_UGM 2024'!$E$2:$K$419,IF(G132&gt;1,6,7))</f>
        <v>0</v>
      </c>
      <c r="O132" s="1434" t="str">
        <f aca="false">IF($H132=O$4,$D132*$N132,"")</f>
        <v/>
      </c>
      <c r="P132" s="1435" t="str">
        <f aca="false">IF($H132=P$4,$D132*$N132,"")</f>
        <v/>
      </c>
      <c r="Q132" s="1435" t="str">
        <f aca="false">IF($H132=Q$4,$D132*$N132,"")</f>
        <v/>
      </c>
      <c r="R132" s="1435" t="str">
        <f aca="false">IF($H132=R$4,$D132*$N132,"")</f>
        <v/>
      </c>
      <c r="S132" s="1435" t="str">
        <f aca="false">IF($H132=S$4,$D132*$N132,"")</f>
        <v/>
      </c>
      <c r="T132" s="1435" t="str">
        <f aca="false">IF($H132=T$4,$D132*$N132,"")</f>
        <v/>
      </c>
      <c r="U132" s="1436" t="str">
        <f aca="false">IF($H132=U$4,$D132*$N132,"")</f>
        <v/>
      </c>
      <c r="V132" s="1418"/>
      <c r="W132" s="1419"/>
      <c r="X132" s="1419"/>
      <c r="Y132" s="1419"/>
      <c r="Z132" s="1419"/>
      <c r="AA132" s="1419"/>
      <c r="AB132" s="1420"/>
      <c r="AC132" s="1319"/>
      <c r="AD132" s="2" t="str">
        <f aca="false">IF(AND(AD$4=$G132,AD$6=$F132),$B132,"")</f>
        <v/>
      </c>
      <c r="AE132" s="2" t="str">
        <f aca="false">IF(AND(AE$4=$G132,AE$6=$F132),$B132,"")</f>
        <v/>
      </c>
      <c r="AF132" s="2" t="str">
        <f aca="false">IF(AND(AF$4=$G132,AF$6=$F132),$B132,"")</f>
        <v/>
      </c>
      <c r="AG132" s="2" t="str">
        <f aca="false">IF(AND(AG$4=$G132,AG$6=$F132),$B132,"")</f>
        <v/>
      </c>
      <c r="AI132" s="366"/>
      <c r="AL132" s="367"/>
      <c r="AO132" s="367"/>
      <c r="AP132" s="2" t="str">
        <f aca="false">IF(AT132&gt;0,RANK(AT132,AT$7:AT$423),"")</f>
        <v/>
      </c>
      <c r="AQ132" s="2" t="n">
        <f aca="false">'O_MN, PE_UTA_UGM 2024'!C128</f>
        <v>166</v>
      </c>
      <c r="AR132" s="1421" t="n">
        <v>1650</v>
      </c>
      <c r="AS132" s="2" t="str">
        <f aca="false">IF(AY132&lt;&gt;"",AY132,"")</f>
        <v/>
      </c>
      <c r="AT132" s="1422" t="n">
        <f aca="false">IF(ISNUMBER($AR132),SUMIF(B$7:B$505,AR132,D$7:D$505),"")</f>
        <v>0</v>
      </c>
      <c r="AU132" s="1411" t="n">
        <f aca="false">IF(ISNUMBER($AR132),SUMIF(AD$7:AD$503,$AR132,J$7:J$503),"")</f>
        <v>0</v>
      </c>
      <c r="AV132" s="1411" t="n">
        <f aca="false">IF(ISNUMBER($AR132),SUMIF(AF$7:AF$503,$AR132,L$7:L$503),"")</f>
        <v>0</v>
      </c>
      <c r="AW132" s="1423" t="n">
        <f aca="false">IF(ISNUMBER($AR132),SUMIF(AE$7:AE$503,$AR132,K$7:K$503),"")</f>
        <v>0</v>
      </c>
      <c r="AX132" s="1423" t="n">
        <f aca="false">IF(ISNUMBER($AR132),SUMIF(AG$7:AG$503,$AR132,M$7:M$503),"")</f>
        <v>0</v>
      </c>
      <c r="AY132" s="2" t="str">
        <f aca="false">IF($AT132&gt;0,VLOOKUP($AR132,'O_MN, PE_UTA_UGM 2024'!E128:O544,2),"")</f>
        <v/>
      </c>
      <c r="AZ132" s="1424"/>
      <c r="BA132" s="1424"/>
      <c r="BB132" s="1424" t="str">
        <f aca="false">IF($AT132&gt;0,VLOOKUP($AR132,'O_MN, PE_UTA_UGM 2024'!$E$3:$O$419,BB$6),"")</f>
        <v/>
      </c>
      <c r="BC132" s="1424" t="str">
        <f aca="false">IF($AT132&gt;0,VLOOKUP($AR132,'O_MN, PE_UTA_UGM 2024'!$E$3:$O$419,BC$6),"")</f>
        <v/>
      </c>
      <c r="BD132" s="1424" t="str">
        <f aca="false">IF($AT132&gt;0,VLOOKUP($AR132,'O_MN, PE_UTA_UGM 2024'!$E$3:$O$419,BD$6),"")</f>
        <v/>
      </c>
      <c r="BE132" s="1424" t="str">
        <f aca="false">IF($AT132&gt;0,VLOOKUP($AR132,'O_MN, PE_UTA_UGM 2024'!$E$3:$O$419,BE$6),"")</f>
        <v/>
      </c>
      <c r="BF132" s="1424" t="str">
        <f aca="false">IF($AT132&gt;0,VLOOKUP($AR132,'O_MN, PE_UTA_UGM 2024'!$E$3:$O$419,BF$6),"")</f>
        <v/>
      </c>
      <c r="BG132" s="1424" t="str">
        <f aca="false">IF($AT132&gt;0,VLOOKUP($AR132,'O_MN, PE_UTA_UGM 2024'!$E$3:$O$419,BG$6),"")</f>
        <v/>
      </c>
      <c r="BH132" s="872"/>
      <c r="BI132" s="872"/>
      <c r="BJ132" s="872"/>
      <c r="BK132" s="872"/>
      <c r="BM132" s="1411"/>
      <c r="BN132" s="1411"/>
      <c r="BO132" s="1425" t="str">
        <f aca="false">IF(ISNUMBER($AU132*BB132*1),$AU132*BB132*1,"")</f>
        <v/>
      </c>
      <c r="BP132" s="1425" t="str">
        <f aca="false">IF(ISNUMBER($AV132*BC132*1),$AV132*BC132*1,"")</f>
        <v/>
      </c>
      <c r="BQ132" s="1425" t="str">
        <f aca="false">IF(ISNUMBER($AU132*BD132*1),$AU132*BD132*1,"")</f>
        <v/>
      </c>
      <c r="BR132" s="1425" t="str">
        <f aca="false">IF(ISNUMBER($AV132*BE132*1),$AV132*BE132*1,"")</f>
        <v/>
      </c>
      <c r="BS132" s="1411" t="str">
        <f aca="false">IF(ISNUMBER($AU132*BF132),$AU132*BF132,"")</f>
        <v/>
      </c>
      <c r="BT132" s="1411" t="str">
        <f aca="false">IF(ISNUMBER($AV132*BG132),$AV132*BG132,"")</f>
        <v/>
      </c>
      <c r="BU132" s="1411"/>
      <c r="BV132" s="1411"/>
      <c r="BW132" s="1411"/>
      <c r="BX132" s="1411"/>
      <c r="BZ132" s="1372"/>
      <c r="CA132" s="1372"/>
      <c r="CB132" s="1426" t="str">
        <f aca="false">IF(ISNUMBER($AW132*BB132),$AW132*BB132,"")</f>
        <v/>
      </c>
      <c r="CC132" s="1426" t="str">
        <f aca="false">IF(ISNUMBER($AX132*BC132),$AX132*BC132,"")</f>
        <v/>
      </c>
      <c r="CD132" s="1426" t="str">
        <f aca="false">IF(ISNUMBER($AW132*BD132),$AW132*BD132,"")</f>
        <v/>
      </c>
      <c r="CE132" s="1426" t="str">
        <f aca="false">IF(ISNUMBER($AX132*BE132),$AX132*BE132,"")</f>
        <v/>
      </c>
      <c r="CF132" s="1372" t="str">
        <f aca="false">IF(ISNUMBER($AW132*BF132),$AW132*BF132,"")</f>
        <v/>
      </c>
      <c r="CG132" s="1372" t="str">
        <f aca="false">IF(ISNUMBER($AX132*BG132),$AX132*BG132,"")</f>
        <v/>
      </c>
      <c r="CH132" s="1438"/>
      <c r="CI132" s="1438"/>
      <c r="CJ132" s="1438"/>
      <c r="CK132" s="1438"/>
      <c r="CU132" s="1411"/>
      <c r="CV132" s="1411"/>
      <c r="CW132" s="1425"/>
      <c r="CX132" s="1425"/>
      <c r="CY132" s="1425"/>
      <c r="CZ132" s="1425"/>
      <c r="DA132" s="1411"/>
      <c r="DB132" s="1411"/>
      <c r="DC132" s="1411"/>
      <c r="DD132" s="1411"/>
      <c r="DE132" s="1411"/>
      <c r="DF132" s="1411"/>
      <c r="DH132" s="1432"/>
      <c r="DI132" s="1432"/>
      <c r="DJ132" s="1437"/>
      <c r="DK132" s="1437"/>
      <c r="DL132" s="1437"/>
      <c r="DM132" s="1437"/>
      <c r="DN132" s="1432"/>
      <c r="DO132" s="1432"/>
      <c r="DP132" s="1432"/>
      <c r="DQ132" s="1432"/>
      <c r="DR132" s="1432"/>
      <c r="DS132" s="1432"/>
      <c r="DT132" s="1316"/>
      <c r="DU132" s="1433"/>
      <c r="DV132" s="1433"/>
      <c r="DW132" s="1433"/>
      <c r="DX132" s="1433"/>
      <c r="DY132" s="1433"/>
      <c r="DZ132" s="1433"/>
      <c r="EA132" s="1433"/>
      <c r="EB132" s="1433"/>
    </row>
    <row r="133" customFormat="false" ht="14.25" hidden="false" customHeight="false" outlineLevel="0" collapsed="false">
      <c r="A133" s="2" t="n">
        <f aca="false">'V_DATOS PAC_SGA'!R128</f>
        <v>0</v>
      </c>
      <c r="B133" s="2" t="n">
        <f aca="false">IF(I133="IV",CONCATENATE('V_DATOS PAC_SGA'!R128,"4")+0,CONCATENATE('V_DATOS PAC_SGA'!R128,"0")+0)</f>
        <v>0</v>
      </c>
      <c r="C133" s="2" t="n">
        <f aca="false">'V_DATOS PAC_SGA'!S128</f>
        <v>0</v>
      </c>
      <c r="D133" s="1409" t="n">
        <f aca="false">'V_DATOS PAC_SGA'!Y128</f>
        <v>0</v>
      </c>
      <c r="E133" s="1410" t="str">
        <f aca="false">IF('V_DATOS PAC_SGA'!AV128="","Regadio",'V_DATOS PAC_SGA'!AV128)</f>
        <v>Regadio</v>
      </c>
      <c r="F133" s="1411" t="n">
        <f aca="false">'V_DATOS PAC_SGA'!BK128</f>
        <v>0</v>
      </c>
      <c r="G133" s="1412" t="n">
        <f aca="false">'V_DATOS PAC_SGA'!AN128</f>
        <v>0</v>
      </c>
      <c r="H133" s="1413" t="str">
        <f aca="false">IF(B133&gt;0,VLOOKUP(B133,'O_MN, PE_UTA_UGM 2024'!E$3:O$419,10),"")</f>
        <v/>
      </c>
      <c r="I133" s="1359" t="n">
        <f aca="false">'V_DATOS PAC_SGA'!BV128</f>
        <v>0</v>
      </c>
      <c r="J133" s="2" t="str">
        <f aca="false">IF(AND(J$4=$G133,J$6=$F133),$D133*J$5,"")</f>
        <v/>
      </c>
      <c r="K133" s="2" t="str">
        <f aca="false">IF(AND(K$4=$G133,K$6=$F133),$D133*K$5,"")</f>
        <v/>
      </c>
      <c r="L133" s="2" t="str">
        <f aca="false">IF(AND(L$4=$G133,L$6=$F133),$D133*L$5,"")</f>
        <v/>
      </c>
      <c r="M133" s="2" t="str">
        <f aca="false">IF(AND(M$4=$G133,M$6=$F133),$D133*M$5,"")</f>
        <v/>
      </c>
      <c r="N133" s="1414" t="n">
        <f aca="false">VLOOKUP(B133,'O_MN, PE_UTA_UGM 2024'!$E$2:$K$419,IF(G133&gt;1,6,7))</f>
        <v>0</v>
      </c>
      <c r="O133" s="1434" t="str">
        <f aca="false">IF($H133=O$4,$D133*$N133,"")</f>
        <v/>
      </c>
      <c r="P133" s="1435" t="str">
        <f aca="false">IF($H133=P$4,$D133*$N133,"")</f>
        <v/>
      </c>
      <c r="Q133" s="1435" t="str">
        <f aca="false">IF($H133=Q$4,$D133*$N133,"")</f>
        <v/>
      </c>
      <c r="R133" s="1435" t="str">
        <f aca="false">IF($H133=R$4,$D133*$N133,"")</f>
        <v/>
      </c>
      <c r="S133" s="1435" t="str">
        <f aca="false">IF($H133=S$4,$D133*$N133,"")</f>
        <v/>
      </c>
      <c r="T133" s="1435" t="str">
        <f aca="false">IF($H133=T$4,$D133*$N133,"")</f>
        <v/>
      </c>
      <c r="U133" s="1436" t="str">
        <f aca="false">IF($H133=U$4,$D133*$N133,"")</f>
        <v/>
      </c>
      <c r="V133" s="1418"/>
      <c r="W133" s="1419"/>
      <c r="X133" s="1419"/>
      <c r="Y133" s="1419"/>
      <c r="Z133" s="1419"/>
      <c r="AA133" s="1419"/>
      <c r="AB133" s="1420"/>
      <c r="AC133" s="1319"/>
      <c r="AD133" s="2" t="str">
        <f aca="false">IF(AND(AD$4=$G133,AD$6=$F133),$B133,"")</f>
        <v/>
      </c>
      <c r="AE133" s="2" t="str">
        <f aca="false">IF(AND(AE$4=$G133,AE$6=$F133),$B133,"")</f>
        <v/>
      </c>
      <c r="AF133" s="2" t="str">
        <f aca="false">IF(AND(AF$4=$G133,AF$6=$F133),$B133,"")</f>
        <v/>
      </c>
      <c r="AG133" s="2" t="str">
        <f aca="false">IF(AND(AG$4=$G133,AG$6=$F133),$B133,"")</f>
        <v/>
      </c>
      <c r="AI133" s="366"/>
      <c r="AL133" s="367"/>
      <c r="AO133" s="367"/>
      <c r="AP133" s="2" t="str">
        <f aca="false">IF(AT133&gt;0,RANK(AT133,AT$7:AT$423),"")</f>
        <v/>
      </c>
      <c r="AQ133" s="2" t="n">
        <f aca="false">'O_MN, PE_UTA_UGM 2024'!C129</f>
        <v>166</v>
      </c>
      <c r="AR133" s="1421" t="n">
        <v>1654</v>
      </c>
      <c r="AS133" s="2" t="str">
        <f aca="false">IF(AY133&lt;&gt;"",AY133,"")</f>
        <v/>
      </c>
      <c r="AT133" s="1422" t="n">
        <f aca="false">IF(ISNUMBER($AR133),SUMIF(B$7:B$505,AR133,D$7:D$505),"")</f>
        <v>0</v>
      </c>
      <c r="AU133" s="1411" t="n">
        <f aca="false">IF(ISNUMBER($AR133),SUMIF(AD$7:AD$503,$AR133,J$7:J$503),"")</f>
        <v>0</v>
      </c>
      <c r="AV133" s="1411" t="n">
        <f aca="false">IF(ISNUMBER($AR133),SUMIF(AF$7:AF$503,$AR133,L$7:L$503),"")</f>
        <v>0</v>
      </c>
      <c r="AW133" s="1423" t="n">
        <f aca="false">IF(ISNUMBER($AR133),SUMIF(AE$7:AE$503,$AR133,K$7:K$503),"")</f>
        <v>0</v>
      </c>
      <c r="AX133" s="1423" t="n">
        <f aca="false">IF(ISNUMBER($AR133),SUMIF(AG$7:AG$503,$AR133,M$7:M$503),"")</f>
        <v>0</v>
      </c>
      <c r="AY133" s="2" t="str">
        <f aca="false">IF($AT133&gt;0,VLOOKUP($AR133,'O_MN, PE_UTA_UGM 2024'!E129:O545,2),"")</f>
        <v/>
      </c>
      <c r="AZ133" s="1424"/>
      <c r="BA133" s="1424"/>
      <c r="BB133" s="1424" t="str">
        <f aca="false">IF($AT133&gt;0,VLOOKUP($AR133,'O_MN, PE_UTA_UGM 2024'!$E$3:$O$419,BB$6),"")</f>
        <v/>
      </c>
      <c r="BC133" s="1424" t="str">
        <f aca="false">IF($AT133&gt;0,VLOOKUP($AR133,'O_MN, PE_UTA_UGM 2024'!$E$3:$O$419,BC$6),"")</f>
        <v/>
      </c>
      <c r="BD133" s="1424" t="str">
        <f aca="false">IF($AT133&gt;0,VLOOKUP($AR133,'O_MN, PE_UTA_UGM 2024'!$E$3:$O$419,BD$6),"")</f>
        <v/>
      </c>
      <c r="BE133" s="1424" t="str">
        <f aca="false">IF($AT133&gt;0,VLOOKUP($AR133,'O_MN, PE_UTA_UGM 2024'!$E$3:$O$419,BE$6),"")</f>
        <v/>
      </c>
      <c r="BF133" s="1424" t="str">
        <f aca="false">IF($AT133&gt;0,VLOOKUP($AR133,'O_MN, PE_UTA_UGM 2024'!$E$3:$O$419,BF$6),"")</f>
        <v/>
      </c>
      <c r="BG133" s="1424" t="str">
        <f aca="false">IF($AT133&gt;0,VLOOKUP($AR133,'O_MN, PE_UTA_UGM 2024'!$E$3:$O$419,BG$6),"")</f>
        <v/>
      </c>
      <c r="BH133" s="872"/>
      <c r="BI133" s="872"/>
      <c r="BJ133" s="872"/>
      <c r="BK133" s="872"/>
      <c r="BM133" s="1411"/>
      <c r="BN133" s="1411"/>
      <c r="BO133" s="1425" t="str">
        <f aca="false">IF(ISNUMBER($AU133*BB133*1),$AU133*BB133*1,"")</f>
        <v/>
      </c>
      <c r="BP133" s="1425" t="str">
        <f aca="false">IF(ISNUMBER($AV133*BC133*1),$AV133*BC133*1,"")</f>
        <v/>
      </c>
      <c r="BQ133" s="1425" t="str">
        <f aca="false">IF(ISNUMBER($AU133*BD133*1),$AU133*BD133*1,"")</f>
        <v/>
      </c>
      <c r="BR133" s="1425" t="str">
        <f aca="false">IF(ISNUMBER($AV133*BE133*1),$AV133*BE133*1,"")</f>
        <v/>
      </c>
      <c r="BS133" s="1411" t="str">
        <f aca="false">IF(ISNUMBER($AU133*BF133),$AU133*BF133,"")</f>
        <v/>
      </c>
      <c r="BT133" s="1411" t="str">
        <f aca="false">IF(ISNUMBER($AV133*BG133),$AV133*BG133,"")</f>
        <v/>
      </c>
      <c r="BU133" s="1411"/>
      <c r="BV133" s="1411"/>
      <c r="BW133" s="1411"/>
      <c r="BX133" s="1411"/>
      <c r="BZ133" s="1372"/>
      <c r="CA133" s="1372"/>
      <c r="CB133" s="1426" t="str">
        <f aca="false">IF(ISNUMBER($AW133*BB133),$AW133*BB133,"")</f>
        <v/>
      </c>
      <c r="CC133" s="1426" t="str">
        <f aca="false">IF(ISNUMBER($AX133*BC133),$AX133*BC133,"")</f>
        <v/>
      </c>
      <c r="CD133" s="1426" t="str">
        <f aca="false">IF(ISNUMBER($AW133*BD133),$AW133*BD133,"")</f>
        <v/>
      </c>
      <c r="CE133" s="1426" t="str">
        <f aca="false">IF(ISNUMBER($AX133*BE133),$AX133*BE133,"")</f>
        <v/>
      </c>
      <c r="CF133" s="1372" t="str">
        <f aca="false">IF(ISNUMBER($AW133*BF133),$AW133*BF133,"")</f>
        <v/>
      </c>
      <c r="CG133" s="1372" t="str">
        <f aca="false">IF(ISNUMBER($AX133*BG133),$AX133*BG133,"")</f>
        <v/>
      </c>
      <c r="CH133" s="1438"/>
      <c r="CI133" s="1438"/>
      <c r="CJ133" s="1438"/>
      <c r="CK133" s="1438"/>
      <c r="CU133" s="1411"/>
      <c r="CV133" s="1411"/>
      <c r="CW133" s="1425"/>
      <c r="CX133" s="1425"/>
      <c r="CY133" s="1425"/>
      <c r="CZ133" s="1425"/>
      <c r="DA133" s="1411"/>
      <c r="DB133" s="1411"/>
      <c r="DC133" s="1411"/>
      <c r="DD133" s="1411"/>
      <c r="DE133" s="1411"/>
      <c r="DF133" s="1411"/>
      <c r="DH133" s="1432"/>
      <c r="DI133" s="1432"/>
      <c r="DJ133" s="1437"/>
      <c r="DK133" s="1437"/>
      <c r="DL133" s="1437"/>
      <c r="DM133" s="1437"/>
      <c r="DN133" s="1432"/>
      <c r="DO133" s="1432"/>
      <c r="DP133" s="1432"/>
      <c r="DQ133" s="1432"/>
      <c r="DR133" s="1432"/>
      <c r="DS133" s="1432"/>
      <c r="DT133" s="1316"/>
      <c r="DU133" s="1433"/>
      <c r="DV133" s="1433"/>
      <c r="DW133" s="1433"/>
      <c r="DX133" s="1433"/>
      <c r="DY133" s="1433"/>
      <c r="DZ133" s="1433"/>
      <c r="EA133" s="1433"/>
      <c r="EB133" s="1433"/>
    </row>
    <row r="134" customFormat="false" ht="14.25" hidden="false" customHeight="false" outlineLevel="0" collapsed="false">
      <c r="A134" s="2" t="n">
        <f aca="false">'V_DATOS PAC_SGA'!R129</f>
        <v>0</v>
      </c>
      <c r="B134" s="2" t="n">
        <f aca="false">IF(I134="IV",CONCATENATE('V_DATOS PAC_SGA'!R129,"4")+0,CONCATENATE('V_DATOS PAC_SGA'!R129,"0")+0)</f>
        <v>0</v>
      </c>
      <c r="C134" s="2" t="n">
        <f aca="false">'V_DATOS PAC_SGA'!S129</f>
        <v>0</v>
      </c>
      <c r="D134" s="1409" t="n">
        <f aca="false">'V_DATOS PAC_SGA'!Y129</f>
        <v>0</v>
      </c>
      <c r="E134" s="1410" t="str">
        <f aca="false">IF('V_DATOS PAC_SGA'!AV129="","Regadio",'V_DATOS PAC_SGA'!AV129)</f>
        <v>Regadio</v>
      </c>
      <c r="F134" s="1411" t="n">
        <f aca="false">'V_DATOS PAC_SGA'!BK129</f>
        <v>0</v>
      </c>
      <c r="G134" s="1412" t="n">
        <f aca="false">'V_DATOS PAC_SGA'!AN129</f>
        <v>0</v>
      </c>
      <c r="H134" s="1413" t="str">
        <f aca="false">IF(B134&gt;0,VLOOKUP(B134,'O_MN, PE_UTA_UGM 2024'!E$3:O$419,10),"")</f>
        <v/>
      </c>
      <c r="I134" s="1359" t="n">
        <f aca="false">'V_DATOS PAC_SGA'!BV129</f>
        <v>0</v>
      </c>
      <c r="J134" s="2" t="str">
        <f aca="false">IF(AND(J$4=$G134,J$6=$F134),$D134*J$5,"")</f>
        <v/>
      </c>
      <c r="K134" s="2" t="str">
        <f aca="false">IF(AND(K$4=$G134,K$6=$F134),$D134*K$5,"")</f>
        <v/>
      </c>
      <c r="L134" s="2" t="str">
        <f aca="false">IF(AND(L$4=$G134,L$6=$F134),$D134*L$5,"")</f>
        <v/>
      </c>
      <c r="M134" s="2" t="str">
        <f aca="false">IF(AND(M$4=$G134,M$6=$F134),$D134*M$5,"")</f>
        <v/>
      </c>
      <c r="N134" s="1414" t="n">
        <f aca="false">VLOOKUP(B134,'O_MN, PE_UTA_UGM 2024'!$E$2:$K$419,IF(G134&gt;1,6,7))</f>
        <v>0</v>
      </c>
      <c r="O134" s="1434" t="str">
        <f aca="false">IF($H134=O$4,$D134*$N134,"")</f>
        <v/>
      </c>
      <c r="P134" s="1435" t="str">
        <f aca="false">IF($H134=P$4,$D134*$N134,"")</f>
        <v/>
      </c>
      <c r="Q134" s="1435" t="str">
        <f aca="false">IF($H134=Q$4,$D134*$N134,"")</f>
        <v/>
      </c>
      <c r="R134" s="1435" t="str">
        <f aca="false">IF($H134=R$4,$D134*$N134,"")</f>
        <v/>
      </c>
      <c r="S134" s="1435" t="str">
        <f aca="false">IF($H134=S$4,$D134*$N134,"")</f>
        <v/>
      </c>
      <c r="T134" s="1435" t="str">
        <f aca="false">IF($H134=T$4,$D134*$N134,"")</f>
        <v/>
      </c>
      <c r="U134" s="1436" t="str">
        <f aca="false">IF($H134=U$4,$D134*$N134,"")</f>
        <v/>
      </c>
      <c r="V134" s="1418"/>
      <c r="W134" s="1419"/>
      <c r="X134" s="1419"/>
      <c r="Y134" s="1419"/>
      <c r="Z134" s="1419"/>
      <c r="AA134" s="1419"/>
      <c r="AB134" s="1420"/>
      <c r="AC134" s="1319"/>
      <c r="AD134" s="2" t="str">
        <f aca="false">IF(AND(AD$4=$G134,AD$6=$F134),$B134,"")</f>
        <v/>
      </c>
      <c r="AE134" s="2" t="str">
        <f aca="false">IF(AND(AE$4=$G134,AE$6=$F134),$B134,"")</f>
        <v/>
      </c>
      <c r="AF134" s="2" t="str">
        <f aca="false">IF(AND(AF$4=$G134,AF$6=$F134),$B134,"")</f>
        <v/>
      </c>
      <c r="AG134" s="2" t="str">
        <f aca="false">IF(AND(AG$4=$G134,AG$6=$F134),$B134,"")</f>
        <v/>
      </c>
      <c r="AI134" s="366"/>
      <c r="AL134" s="367"/>
      <c r="AO134" s="367"/>
      <c r="AP134" s="2" t="str">
        <f aca="false">IF(AT134&gt;0,RANK(AT134,AT$7:AT$423),"")</f>
        <v/>
      </c>
      <c r="AQ134" s="2" t="n">
        <f aca="false">'O_MN, PE_UTA_UGM 2024'!C130</f>
        <v>167</v>
      </c>
      <c r="AR134" s="1421" t="n">
        <v>1659</v>
      </c>
      <c r="AS134" s="2" t="str">
        <f aca="false">IF(AY134&lt;&gt;"",AY134,"")</f>
        <v/>
      </c>
      <c r="AT134" s="1422" t="n">
        <f aca="false">IF(ISNUMBER($AR134),SUMIF(B$7:B$505,AR134,D$7:D$505),"")</f>
        <v>0</v>
      </c>
      <c r="AU134" s="1411" t="n">
        <f aca="false">IF(ISNUMBER($AR134),SUMIF(AD$7:AD$503,$AR134,J$7:J$503),"")</f>
        <v>0</v>
      </c>
      <c r="AV134" s="1411" t="n">
        <f aca="false">IF(ISNUMBER($AR134),SUMIF(AF$7:AF$503,$AR134,L$7:L$503),"")</f>
        <v>0</v>
      </c>
      <c r="AW134" s="1423" t="n">
        <f aca="false">IF(ISNUMBER($AR134),SUMIF(AE$7:AE$503,$AR134,K$7:K$503),"")</f>
        <v>0</v>
      </c>
      <c r="AX134" s="1423" t="n">
        <f aca="false">IF(ISNUMBER($AR134),SUMIF(AG$7:AG$503,$AR134,M$7:M$503),"")</f>
        <v>0</v>
      </c>
      <c r="AY134" s="2" t="str">
        <f aca="false">IF($AT134&gt;0,VLOOKUP($AR134,'O_MN, PE_UTA_UGM 2024'!E130:O546,2),"")</f>
        <v/>
      </c>
      <c r="AZ134" s="1424"/>
      <c r="BA134" s="1424"/>
      <c r="BB134" s="1424" t="str">
        <f aca="false">IF($AT134&gt;0,VLOOKUP($AR134,'O_MN, PE_UTA_UGM 2024'!$E$3:$O$419,BB$6),"")</f>
        <v/>
      </c>
      <c r="BC134" s="1424" t="str">
        <f aca="false">IF($AT134&gt;0,VLOOKUP($AR134,'O_MN, PE_UTA_UGM 2024'!$E$3:$O$419,BC$6),"")</f>
        <v/>
      </c>
      <c r="BD134" s="1424" t="str">
        <f aca="false">IF($AT134&gt;0,VLOOKUP($AR134,'O_MN, PE_UTA_UGM 2024'!$E$3:$O$419,BD$6),"")</f>
        <v/>
      </c>
      <c r="BE134" s="1424" t="str">
        <f aca="false">IF($AT134&gt;0,VLOOKUP($AR134,'O_MN, PE_UTA_UGM 2024'!$E$3:$O$419,BE$6),"")</f>
        <v/>
      </c>
      <c r="BF134" s="1424" t="str">
        <f aca="false">IF($AT134&gt;0,VLOOKUP($AR134,'O_MN, PE_UTA_UGM 2024'!$E$3:$O$419,BF$6),"")</f>
        <v/>
      </c>
      <c r="BG134" s="1424" t="str">
        <f aca="false">IF($AT134&gt;0,VLOOKUP($AR134,'O_MN, PE_UTA_UGM 2024'!$E$3:$O$419,BG$6),"")</f>
        <v/>
      </c>
      <c r="BH134" s="872"/>
      <c r="BI134" s="872"/>
      <c r="BJ134" s="872"/>
      <c r="BK134" s="872"/>
      <c r="BM134" s="1411"/>
      <c r="BN134" s="1411"/>
      <c r="BO134" s="1425" t="str">
        <f aca="false">IF(ISNUMBER($AU134*BB134*1),$AU134*BB134*1,"")</f>
        <v/>
      </c>
      <c r="BP134" s="1425" t="str">
        <f aca="false">IF(ISNUMBER($AV134*BC134*1),$AV134*BC134*1,"")</f>
        <v/>
      </c>
      <c r="BQ134" s="1425" t="str">
        <f aca="false">IF(ISNUMBER($AU134*BD134*1),$AU134*BD134*1,"")</f>
        <v/>
      </c>
      <c r="BR134" s="1425" t="str">
        <f aca="false">IF(ISNUMBER($AV134*BE134*1),$AV134*BE134*1,"")</f>
        <v/>
      </c>
      <c r="BS134" s="1411" t="str">
        <f aca="false">IF(ISNUMBER($AU134*BF134),$AU134*BF134,"")</f>
        <v/>
      </c>
      <c r="BT134" s="1411" t="str">
        <f aca="false">IF(ISNUMBER($AV134*BG134),$AV134*BG134,"")</f>
        <v/>
      </c>
      <c r="BU134" s="1411"/>
      <c r="BV134" s="1411"/>
      <c r="BW134" s="1411"/>
      <c r="BX134" s="1411"/>
      <c r="BZ134" s="1372"/>
      <c r="CA134" s="1372"/>
      <c r="CB134" s="1426" t="str">
        <f aca="false">IF(ISNUMBER($AW134*BB134),$AW134*BB134,"")</f>
        <v/>
      </c>
      <c r="CC134" s="1426" t="str">
        <f aca="false">IF(ISNUMBER($AX134*BC134),$AX134*BC134,"")</f>
        <v/>
      </c>
      <c r="CD134" s="1426" t="str">
        <f aca="false">IF(ISNUMBER($AW134*BD134),$AW134*BD134,"")</f>
        <v/>
      </c>
      <c r="CE134" s="1426" t="str">
        <f aca="false">IF(ISNUMBER($AX134*BE134),$AX134*BE134,"")</f>
        <v/>
      </c>
      <c r="CF134" s="1372" t="str">
        <f aca="false">IF(ISNUMBER($AW134*BF134),$AW134*BF134,"")</f>
        <v/>
      </c>
      <c r="CG134" s="1372" t="str">
        <f aca="false">IF(ISNUMBER($AX134*BG134),$AX134*BG134,"")</f>
        <v/>
      </c>
      <c r="CH134" s="1438"/>
      <c r="CI134" s="1438"/>
      <c r="CJ134" s="1438"/>
      <c r="CK134" s="1438"/>
      <c r="CU134" s="1411"/>
      <c r="CV134" s="1411"/>
      <c r="CW134" s="1425"/>
      <c r="CX134" s="1425"/>
      <c r="CY134" s="1425"/>
      <c r="CZ134" s="1425"/>
      <c r="DA134" s="1411"/>
      <c r="DB134" s="1411"/>
      <c r="DC134" s="1411"/>
      <c r="DD134" s="1411"/>
      <c r="DE134" s="1411"/>
      <c r="DF134" s="1411"/>
      <c r="DH134" s="1432"/>
      <c r="DI134" s="1432"/>
      <c r="DJ134" s="1437"/>
      <c r="DK134" s="1437"/>
      <c r="DL134" s="1437"/>
      <c r="DM134" s="1437"/>
      <c r="DN134" s="1432"/>
      <c r="DO134" s="1432"/>
      <c r="DP134" s="1432"/>
      <c r="DQ134" s="1432"/>
      <c r="DR134" s="1432"/>
      <c r="DS134" s="1432"/>
      <c r="DT134" s="1316"/>
      <c r="DU134" s="1433"/>
      <c r="DV134" s="1433"/>
      <c r="DW134" s="1433"/>
      <c r="DX134" s="1433"/>
      <c r="DY134" s="1433"/>
      <c r="DZ134" s="1433"/>
      <c r="EA134" s="1433"/>
      <c r="EB134" s="1433"/>
    </row>
    <row r="135" customFormat="false" ht="14.25" hidden="false" customHeight="false" outlineLevel="0" collapsed="false">
      <c r="A135" s="1445" t="n">
        <f aca="false">'V_DATOS PAC_SGA'!R130</f>
        <v>0</v>
      </c>
      <c r="B135" s="1445" t="n">
        <f aca="false">IF(I135="IV",CONCATENATE('V_DATOS PAC_SGA'!R130,"4")+0,CONCATENATE('V_DATOS PAC_SGA'!R130,"0")+0)</f>
        <v>0</v>
      </c>
      <c r="C135" s="1445" t="n">
        <f aca="false">'V_DATOS PAC_SGA'!S130</f>
        <v>0</v>
      </c>
      <c r="D135" s="1446" t="n">
        <f aca="false">'V_DATOS PAC_SGA'!Y130</f>
        <v>0</v>
      </c>
      <c r="E135" s="1447" t="str">
        <f aca="false">IF('V_DATOS PAC_SGA'!AV130="","Regadio",'V_DATOS PAC_SGA'!AV130)</f>
        <v>Regadio</v>
      </c>
      <c r="F135" s="1448" t="n">
        <f aca="false">'V_DATOS PAC_SGA'!BK130</f>
        <v>0</v>
      </c>
      <c r="G135" s="1449" t="n">
        <f aca="false">'V_DATOS PAC_SGA'!AN130</f>
        <v>0</v>
      </c>
      <c r="H135" s="1450" t="str">
        <f aca="false">IF(B135&gt;0,VLOOKUP(B135,'O_MN, PE_UTA_UGM 2024'!E$3:O$419,10),"")</f>
        <v/>
      </c>
      <c r="I135" s="1451" t="n">
        <f aca="false">'V_DATOS PAC_SGA'!BV130</f>
        <v>0</v>
      </c>
      <c r="J135" s="1445" t="str">
        <f aca="false">IF(AND(J$4=$G135,J$6=$F135),$D135*J$5,"")</f>
        <v/>
      </c>
      <c r="K135" s="1445" t="str">
        <f aca="false">IF(AND(K$4=$G135,K$6=$F135),$D135*K$5,"")</f>
        <v/>
      </c>
      <c r="L135" s="1445" t="str">
        <f aca="false">IF(AND(L$4=$G135,L$6=$F135),$D135*L$5,"")</f>
        <v/>
      </c>
      <c r="M135" s="1445" t="str">
        <f aca="false">IF(AND(M$4=$G135,M$6=$F135),$D135*M$5,"")</f>
        <v/>
      </c>
      <c r="N135" s="1452" t="n">
        <f aca="false">VLOOKUP(B135,'O_MN, PE_UTA_UGM 2024'!$E$2:$K$419,IF(G135&gt;1,6,7))</f>
        <v>0</v>
      </c>
      <c r="O135" s="1453" t="str">
        <f aca="false">IF($H135=O$4,$D135*$N135,"")</f>
        <v/>
      </c>
      <c r="P135" s="1454" t="str">
        <f aca="false">IF($H135=P$4,$D135*$N135,"")</f>
        <v/>
      </c>
      <c r="Q135" s="1454" t="str">
        <f aca="false">IF($H135=Q$4,$D135*$N135,"")</f>
        <v/>
      </c>
      <c r="R135" s="1454" t="str">
        <f aca="false">IF($H135=R$4,$D135*$N135,"")</f>
        <v/>
      </c>
      <c r="S135" s="1454" t="str">
        <f aca="false">IF($H135=S$4,$D135*$N135,"")</f>
        <v/>
      </c>
      <c r="T135" s="1454" t="str">
        <f aca="false">IF($H135=T$4,$D135*$N135,"")</f>
        <v/>
      </c>
      <c r="U135" s="1455" t="str">
        <f aca="false">IF($H135=U$4,$D135*$N135,"")</f>
        <v/>
      </c>
      <c r="V135" s="1456"/>
      <c r="W135" s="1457"/>
      <c r="X135" s="1457"/>
      <c r="Y135" s="1457"/>
      <c r="Z135" s="1457"/>
      <c r="AA135" s="1457"/>
      <c r="AB135" s="1458"/>
      <c r="AC135" s="1459"/>
      <c r="AD135" s="1445" t="str">
        <f aca="false">IF(AND(AD$4=$G135,AD$6=$F135),$B135,"")</f>
        <v/>
      </c>
      <c r="AE135" s="1445" t="str">
        <f aca="false">IF(AND(AE$4=$G135,AE$6=$F135),$B135,"")</f>
        <v/>
      </c>
      <c r="AF135" s="1445" t="str">
        <f aca="false">IF(AND(AF$4=$G135,AF$6=$F135),$B135,"")</f>
        <v/>
      </c>
      <c r="AG135" s="1445" t="str">
        <f aca="false">IF(AND(AG$4=$G135,AG$6=$F135),$B135,"")</f>
        <v/>
      </c>
      <c r="AH135" s="1445"/>
      <c r="AI135" s="1460"/>
      <c r="AJ135" s="1445"/>
      <c r="AK135" s="1445"/>
      <c r="AL135" s="1461"/>
      <c r="AM135" s="1445"/>
      <c r="AN135" s="1445"/>
      <c r="AO135" s="1461"/>
      <c r="AP135" s="1445" t="str">
        <f aca="false">IF(AT135&gt;0,RANK(AT135,AT$7:AT$423),"")</f>
        <v/>
      </c>
      <c r="AQ135" s="1445" t="n">
        <f aca="false">'O_MN, PE_UTA_UGM 2024'!C131</f>
        <v>167</v>
      </c>
      <c r="AR135" s="1462" t="n">
        <v>1660</v>
      </c>
      <c r="AS135" s="1445" t="str">
        <f aca="false">IF(AY135&lt;&gt;"",AY135,"")</f>
        <v/>
      </c>
      <c r="AT135" s="1463" t="n">
        <f aca="false">IF(ISNUMBER($AR135),SUMIF(B$7:B$505,AR135,D$7:D$505),"")</f>
        <v>0</v>
      </c>
      <c r="AU135" s="1448" t="n">
        <f aca="false">IF(ISNUMBER($AR135),SUMIF(AD$7:AD$503,$AR135,J$7:J$503),"")</f>
        <v>0</v>
      </c>
      <c r="AV135" s="1448" t="n">
        <f aca="false">IF(ISNUMBER($AR135),SUMIF(AF$7:AF$503,$AR135,L$7:L$503),"")</f>
        <v>0</v>
      </c>
      <c r="AW135" s="1464" t="n">
        <f aca="false">IF(ISNUMBER($AR135),SUMIF(AE$7:AE$503,$AR135,K$7:K$503),"")</f>
        <v>0</v>
      </c>
      <c r="AX135" s="1464" t="n">
        <f aca="false">IF(ISNUMBER($AR135),SUMIF(AG$7:AG$503,$AR135,M$7:M$503),"")</f>
        <v>0</v>
      </c>
      <c r="AY135" s="1445" t="str">
        <f aca="false">IF($AT135&gt;0,VLOOKUP($AR135,'O_MN, PE_UTA_UGM 2024'!E131:O547,2),"")</f>
        <v/>
      </c>
      <c r="AZ135" s="1465"/>
      <c r="BA135" s="1465"/>
      <c r="BB135" s="1465" t="str">
        <f aca="false">IF($AT135&gt;0,VLOOKUP($AR135,'O_MN, PE_UTA_UGM 2024'!$E$3:$O$419,BB$6),"")</f>
        <v/>
      </c>
      <c r="BC135" s="1465" t="str">
        <f aca="false">IF($AT135&gt;0,VLOOKUP($AR135,'O_MN, PE_UTA_UGM 2024'!$E$3:$O$419,BC$6),"")</f>
        <v/>
      </c>
      <c r="BD135" s="1465" t="str">
        <f aca="false">IF($AT135&gt;0,VLOOKUP($AR135,'O_MN, PE_UTA_UGM 2024'!$E$3:$O$419,BD$6),"")</f>
        <v/>
      </c>
      <c r="BE135" s="1465" t="str">
        <f aca="false">IF($AT135&gt;0,VLOOKUP($AR135,'O_MN, PE_UTA_UGM 2024'!$E$3:$O$419,BE$6),"")</f>
        <v/>
      </c>
      <c r="BF135" s="1465" t="str">
        <f aca="false">IF($AT135&gt;0,VLOOKUP($AR135,'O_MN, PE_UTA_UGM 2024'!$E$3:$O$419,BF$6),"")</f>
        <v/>
      </c>
      <c r="BG135" s="1465" t="str">
        <f aca="false">IF($AT135&gt;0,VLOOKUP($AR135,'O_MN, PE_UTA_UGM 2024'!$E$3:$O$419,BG$6),"")</f>
        <v/>
      </c>
      <c r="BH135" s="1466"/>
      <c r="BI135" s="1466"/>
      <c r="BJ135" s="1466"/>
      <c r="BK135" s="1466"/>
      <c r="BL135" s="1445"/>
      <c r="BM135" s="1448"/>
      <c r="BN135" s="1448"/>
      <c r="BO135" s="1467" t="str">
        <f aca="false">IF(ISNUMBER($AU135*BB135*1),$AU135*BB135*1,"")</f>
        <v/>
      </c>
      <c r="BP135" s="1467" t="str">
        <f aca="false">IF(ISNUMBER($AV135*BC135*1),$AV135*BC135*1,"")</f>
        <v/>
      </c>
      <c r="BQ135" s="1467" t="str">
        <f aca="false">IF(ISNUMBER($AU135*BD135*1),$AU135*BD135*1,"")</f>
        <v/>
      </c>
      <c r="BR135" s="1467" t="str">
        <f aca="false">IF(ISNUMBER($AV135*BE135*1),$AV135*BE135*1,"")</f>
        <v/>
      </c>
      <c r="BS135" s="1448" t="str">
        <f aca="false">IF(ISNUMBER($AU135*BF135),$AU135*BF135,"")</f>
        <v/>
      </c>
      <c r="BT135" s="1448" t="str">
        <f aca="false">IF(ISNUMBER($AV135*BG135),$AV135*BG135,"")</f>
        <v/>
      </c>
      <c r="BU135" s="1448"/>
      <c r="BV135" s="1448"/>
      <c r="BW135" s="1448"/>
      <c r="BX135" s="1448"/>
      <c r="BY135" s="1445"/>
      <c r="BZ135" s="1468"/>
      <c r="CA135" s="1468"/>
      <c r="CB135" s="1469" t="str">
        <f aca="false">IF(ISNUMBER($AW135*BB135),$AW135*BB135,"")</f>
        <v/>
      </c>
      <c r="CC135" s="1469" t="str">
        <f aca="false">IF(ISNUMBER($AX135*BC135),$AX135*BC135,"")</f>
        <v/>
      </c>
      <c r="CD135" s="1469" t="str">
        <f aca="false">IF(ISNUMBER($AW135*BD135),$AW135*BD135,"")</f>
        <v/>
      </c>
      <c r="CE135" s="1469" t="str">
        <f aca="false">IF(ISNUMBER($AX135*BE135),$AX135*BE135,"")</f>
        <v/>
      </c>
      <c r="CF135" s="1468" t="str">
        <f aca="false">IF(ISNUMBER($AW135*BF135),$AW135*BF135,"")</f>
        <v/>
      </c>
      <c r="CG135" s="1468" t="str">
        <f aca="false">IF(ISNUMBER($AX135*BG135),$AX135*BG135,"")</f>
        <v/>
      </c>
      <c r="CH135" s="1438"/>
      <c r="CI135" s="1438"/>
      <c r="CJ135" s="1438"/>
      <c r="CK135" s="1438"/>
      <c r="CU135" s="1411"/>
      <c r="CV135" s="1411"/>
      <c r="CW135" s="1425"/>
      <c r="CX135" s="1425"/>
      <c r="CY135" s="1425"/>
      <c r="CZ135" s="1425"/>
      <c r="DA135" s="1411"/>
      <c r="DB135" s="1411"/>
      <c r="DC135" s="1411"/>
      <c r="DD135" s="1411"/>
      <c r="DE135" s="1411"/>
      <c r="DF135" s="1411"/>
      <c r="DH135" s="1432"/>
      <c r="DI135" s="1432"/>
      <c r="DJ135" s="1437"/>
      <c r="DK135" s="1437"/>
      <c r="DL135" s="1437"/>
      <c r="DM135" s="1437"/>
      <c r="DN135" s="1432"/>
      <c r="DO135" s="1432"/>
      <c r="DP135" s="1432"/>
      <c r="DQ135" s="1432"/>
      <c r="DR135" s="1432"/>
      <c r="DS135" s="1432"/>
      <c r="DT135" s="1316"/>
      <c r="DU135" s="1433"/>
      <c r="DV135" s="1433"/>
      <c r="DW135" s="1433"/>
      <c r="DX135" s="1433"/>
      <c r="DY135" s="1433"/>
      <c r="DZ135" s="1433"/>
      <c r="EA135" s="1433"/>
      <c r="EB135" s="1433"/>
    </row>
    <row r="136" customFormat="false" ht="14.25" hidden="false" customHeight="false" outlineLevel="0" collapsed="false">
      <c r="A136" s="2" t="n">
        <f aca="false">'V_DATOS PAC_SGA'!R131</f>
        <v>0</v>
      </c>
      <c r="B136" s="2" t="n">
        <f aca="false">IF(I136="IV",CONCATENATE('V_DATOS PAC_SGA'!R131,"4")+0,CONCATENATE('V_DATOS PAC_SGA'!R131,"0")+0)</f>
        <v>0</v>
      </c>
      <c r="C136" s="2" t="n">
        <f aca="false">'V_DATOS PAC_SGA'!S131</f>
        <v>0</v>
      </c>
      <c r="D136" s="1409" t="n">
        <f aca="false">'V_DATOS PAC_SGA'!Y131</f>
        <v>0</v>
      </c>
      <c r="E136" s="1410" t="str">
        <f aca="false">IF('V_DATOS PAC_SGA'!AV131="","Regadio",'V_DATOS PAC_SGA'!AV131)</f>
        <v>Regadio</v>
      </c>
      <c r="F136" s="1411" t="n">
        <f aca="false">'V_DATOS PAC_SGA'!BK131</f>
        <v>0</v>
      </c>
      <c r="G136" s="1412" t="n">
        <f aca="false">'V_DATOS PAC_SGA'!AN131</f>
        <v>0</v>
      </c>
      <c r="H136" s="1413" t="str">
        <f aca="false">IF(B136&gt;0,VLOOKUP(B136,'O_MN, PE_UTA_UGM 2024'!E$3:O$419,10),"")</f>
        <v/>
      </c>
      <c r="I136" s="1359" t="n">
        <f aca="false">'V_DATOS PAC_SGA'!BV131</f>
        <v>0</v>
      </c>
      <c r="J136" s="2" t="str">
        <f aca="false">IF(AND(J$4=$G136,J$6=$F136),$D136*J$5,"")</f>
        <v/>
      </c>
      <c r="K136" s="2" t="str">
        <f aca="false">IF(AND(K$4=$G136,K$6=$F136),$D136*K$5,"")</f>
        <v/>
      </c>
      <c r="L136" s="2" t="str">
        <f aca="false">IF(AND(L$4=$G136,L$6=$F136),$D136*L$5,"")</f>
        <v/>
      </c>
      <c r="M136" s="2" t="str">
        <f aca="false">IF(AND(M$4=$G136,M$6=$F136),$D136*M$5,"")</f>
        <v/>
      </c>
      <c r="N136" s="1414" t="n">
        <f aca="false">VLOOKUP(B136,'O_MN, PE_UTA_UGM 2024'!$E$2:$K$419,IF(G136&gt;1,6,7))</f>
        <v>0</v>
      </c>
      <c r="O136" s="1434" t="str">
        <f aca="false">IF($H136=O$4,$D136*$N136,"")</f>
        <v/>
      </c>
      <c r="P136" s="1435" t="str">
        <f aca="false">IF($H136=P$4,$D136*$N136,"")</f>
        <v/>
      </c>
      <c r="Q136" s="1435" t="str">
        <f aca="false">IF($H136=Q$4,$D136*$N136,"")</f>
        <v/>
      </c>
      <c r="R136" s="1435" t="str">
        <f aca="false">IF($H136=R$4,$D136*$N136,"")</f>
        <v/>
      </c>
      <c r="S136" s="1435" t="str">
        <f aca="false">IF($H136=S$4,$D136*$N136,"")</f>
        <v/>
      </c>
      <c r="T136" s="1435" t="str">
        <f aca="false">IF($H136=T$4,$D136*$N136,"")</f>
        <v/>
      </c>
      <c r="U136" s="1436" t="str">
        <f aca="false">IF($H136=U$4,$D136*$N136,"")</f>
        <v/>
      </c>
      <c r="V136" s="1418"/>
      <c r="W136" s="1419"/>
      <c r="X136" s="1419"/>
      <c r="Y136" s="1419"/>
      <c r="Z136" s="1419"/>
      <c r="AA136" s="1419"/>
      <c r="AB136" s="1420"/>
      <c r="AC136" s="1319"/>
      <c r="AD136" s="2" t="str">
        <f aca="false">IF(AND(AD$4=$G136,AD$6=$F136),$B136,"")</f>
        <v/>
      </c>
      <c r="AE136" s="2" t="str">
        <f aca="false">IF(AND(AE$4=$G136,AE$6=$F136),$B136,"")</f>
        <v/>
      </c>
      <c r="AF136" s="2" t="str">
        <f aca="false">IF(AND(AF$4=$G136,AF$6=$F136),$B136,"")</f>
        <v/>
      </c>
      <c r="AG136" s="2" t="str">
        <f aca="false">IF(AND(AG$4=$G136,AG$6=$F136),$B136,"")</f>
        <v/>
      </c>
      <c r="AI136" s="366"/>
      <c r="AL136" s="367"/>
      <c r="AO136" s="367"/>
      <c r="AP136" s="2" t="str">
        <f aca="false">IF(AT136&gt;0,RANK(AT136,AT$7:AT$423),"")</f>
        <v/>
      </c>
      <c r="AQ136" s="2" t="n">
        <f aca="false">'O_MN, PE_UTA_UGM 2024'!C132</f>
        <v>167</v>
      </c>
      <c r="AR136" s="1421" t="n">
        <v>1664</v>
      </c>
      <c r="AS136" s="2" t="str">
        <f aca="false">IF(AY136&lt;&gt;"",AY136,"")</f>
        <v/>
      </c>
      <c r="AT136" s="1422" t="n">
        <f aca="false">IF(ISNUMBER($AR136),SUMIF(B$7:B$505,AR136,D$7:D$505),"")</f>
        <v>0</v>
      </c>
      <c r="AU136" s="1411" t="n">
        <f aca="false">IF(ISNUMBER($AR136),SUMIF(AD$7:AD$503,$AR136,J$7:J$503),"")</f>
        <v>0</v>
      </c>
      <c r="AV136" s="1411" t="n">
        <f aca="false">IF(ISNUMBER($AR136),SUMIF(AF$7:AF$503,$AR136,L$7:L$503),"")</f>
        <v>0</v>
      </c>
      <c r="AW136" s="1423" t="n">
        <f aca="false">IF(ISNUMBER($AR136),SUMIF(AE$7:AE$503,$AR136,K$7:K$503),"")</f>
        <v>0</v>
      </c>
      <c r="AX136" s="1423" t="n">
        <f aca="false">IF(ISNUMBER($AR136),SUMIF(AG$7:AG$503,$AR136,M$7:M$503),"")</f>
        <v>0</v>
      </c>
      <c r="AY136" s="2" t="str">
        <f aca="false">IF($AT136&gt;0,VLOOKUP($AR136,'O_MN, PE_UTA_UGM 2024'!E132:O548,2),"")</f>
        <v/>
      </c>
      <c r="AZ136" s="1424"/>
      <c r="BA136" s="1424"/>
      <c r="BB136" s="1424" t="str">
        <f aca="false">IF($AT136&gt;0,VLOOKUP($AR136,'O_MN, PE_UTA_UGM 2024'!$E$3:$O$419,BB$6),"")</f>
        <v/>
      </c>
      <c r="BC136" s="1424" t="str">
        <f aca="false">IF($AT136&gt;0,VLOOKUP($AR136,'O_MN, PE_UTA_UGM 2024'!$E$3:$O$419,BC$6),"")</f>
        <v/>
      </c>
      <c r="BD136" s="1424" t="str">
        <f aca="false">IF($AT136&gt;0,VLOOKUP($AR136,'O_MN, PE_UTA_UGM 2024'!$E$3:$O$419,BD$6),"")</f>
        <v/>
      </c>
      <c r="BE136" s="1424" t="str">
        <f aca="false">IF($AT136&gt;0,VLOOKUP($AR136,'O_MN, PE_UTA_UGM 2024'!$E$3:$O$419,BE$6),"")</f>
        <v/>
      </c>
      <c r="BF136" s="1424" t="str">
        <f aca="false">IF($AT136&gt;0,VLOOKUP($AR136,'O_MN, PE_UTA_UGM 2024'!$E$3:$O$419,BF$6),"")</f>
        <v/>
      </c>
      <c r="BG136" s="1424" t="str">
        <f aca="false">IF($AT136&gt;0,VLOOKUP($AR136,'O_MN, PE_UTA_UGM 2024'!$E$3:$O$419,BG$6),"")</f>
        <v/>
      </c>
      <c r="BH136" s="872"/>
      <c r="BI136" s="872"/>
      <c r="BJ136" s="872"/>
      <c r="BK136" s="872"/>
      <c r="BM136" s="1411"/>
      <c r="BN136" s="1411"/>
      <c r="BO136" s="1425" t="str">
        <f aca="false">IF(ISNUMBER($AU136*BB136*1),$AU136*BB136*1,"")</f>
        <v/>
      </c>
      <c r="BP136" s="1425" t="str">
        <f aca="false">IF(ISNUMBER($AV136*BC136*1),$AV136*BC136*1,"")</f>
        <v/>
      </c>
      <c r="BQ136" s="1425" t="str">
        <f aca="false">IF(ISNUMBER($AU136*BD136*1),$AU136*BD136*1,"")</f>
        <v/>
      </c>
      <c r="BR136" s="1425" t="str">
        <f aca="false">IF(ISNUMBER($AV136*BE136*1),$AV136*BE136*1,"")</f>
        <v/>
      </c>
      <c r="BS136" s="1411" t="str">
        <f aca="false">IF(ISNUMBER($AU136*BF136),$AU136*BF136,"")</f>
        <v/>
      </c>
      <c r="BT136" s="1411" t="str">
        <f aca="false">IF(ISNUMBER($AV136*BG136),$AV136*BG136,"")</f>
        <v/>
      </c>
      <c r="BU136" s="1411"/>
      <c r="BV136" s="1411"/>
      <c r="BW136" s="1411"/>
      <c r="BX136" s="1411"/>
      <c r="BZ136" s="1372"/>
      <c r="CA136" s="1372"/>
      <c r="CB136" s="1426" t="str">
        <f aca="false">IF(ISNUMBER($AW136*BB136),$AW136*BB136,"")</f>
        <v/>
      </c>
      <c r="CC136" s="1426" t="str">
        <f aca="false">IF(ISNUMBER($AX136*BC136),$AX136*BC136,"")</f>
        <v/>
      </c>
      <c r="CD136" s="1426" t="str">
        <f aca="false">IF(ISNUMBER($AW136*BD136),$AW136*BD136,"")</f>
        <v/>
      </c>
      <c r="CE136" s="1426" t="str">
        <f aca="false">IF(ISNUMBER($AX136*BE136),$AX136*BE136,"")</f>
        <v/>
      </c>
      <c r="CF136" s="1372" t="str">
        <f aca="false">IF(ISNUMBER($AW136*BF136),$AW136*BF136,"")</f>
        <v/>
      </c>
      <c r="CG136" s="1372" t="str">
        <f aca="false">IF(ISNUMBER($AX136*BG136),$AX136*BG136,"")</f>
        <v/>
      </c>
      <c r="CH136" s="1438"/>
      <c r="CI136" s="1438"/>
      <c r="CJ136" s="1438"/>
      <c r="CK136" s="1438"/>
      <c r="CU136" s="1411"/>
      <c r="CV136" s="1411"/>
      <c r="CW136" s="1425"/>
      <c r="CX136" s="1425"/>
      <c r="CY136" s="1425"/>
      <c r="CZ136" s="1425"/>
      <c r="DA136" s="1411"/>
      <c r="DB136" s="1411"/>
      <c r="DC136" s="1411"/>
      <c r="DD136" s="1411"/>
      <c r="DE136" s="1411"/>
      <c r="DF136" s="1411"/>
      <c r="DH136" s="1432"/>
      <c r="DI136" s="1432"/>
      <c r="DJ136" s="1437"/>
      <c r="DK136" s="1437"/>
      <c r="DL136" s="1437"/>
      <c r="DM136" s="1437"/>
      <c r="DN136" s="1432"/>
      <c r="DO136" s="1432"/>
      <c r="DP136" s="1432"/>
      <c r="DQ136" s="1432"/>
      <c r="DR136" s="1432"/>
      <c r="DS136" s="1432"/>
      <c r="DT136" s="1316"/>
      <c r="DU136" s="1433"/>
      <c r="DV136" s="1433"/>
      <c r="DW136" s="1433"/>
      <c r="DX136" s="1433"/>
      <c r="DY136" s="1433"/>
      <c r="DZ136" s="1433"/>
      <c r="EA136" s="1433"/>
      <c r="EB136" s="1433"/>
    </row>
    <row r="137" customFormat="false" ht="14.25" hidden="false" customHeight="false" outlineLevel="0" collapsed="false">
      <c r="A137" s="2" t="n">
        <f aca="false">'V_DATOS PAC_SGA'!R132</f>
        <v>0</v>
      </c>
      <c r="B137" s="2" t="n">
        <f aca="false">IF(I137="IV",CONCATENATE('V_DATOS PAC_SGA'!R132,"4")+0,CONCATENATE('V_DATOS PAC_SGA'!R132,"0")+0)</f>
        <v>0</v>
      </c>
      <c r="C137" s="2" t="n">
        <f aca="false">'V_DATOS PAC_SGA'!S132</f>
        <v>0</v>
      </c>
      <c r="D137" s="1409" t="n">
        <f aca="false">'V_DATOS PAC_SGA'!Y132</f>
        <v>0</v>
      </c>
      <c r="E137" s="1410" t="str">
        <f aca="false">IF('V_DATOS PAC_SGA'!AV132="","Regadio",'V_DATOS PAC_SGA'!AV132)</f>
        <v>Regadio</v>
      </c>
      <c r="F137" s="1411" t="n">
        <f aca="false">'V_DATOS PAC_SGA'!BK132</f>
        <v>0</v>
      </c>
      <c r="G137" s="1412" t="n">
        <f aca="false">'V_DATOS PAC_SGA'!AN132</f>
        <v>0</v>
      </c>
      <c r="H137" s="1413" t="str">
        <f aca="false">IF(B137&gt;0,VLOOKUP(B137,'O_MN, PE_UTA_UGM 2024'!E$3:O$419,10),"")</f>
        <v/>
      </c>
      <c r="I137" s="1359" t="n">
        <f aca="false">'V_DATOS PAC_SGA'!BV132</f>
        <v>0</v>
      </c>
      <c r="J137" s="2" t="str">
        <f aca="false">IF(AND(J$4=$G137,J$6=$F137),$D137*J$5,"")</f>
        <v/>
      </c>
      <c r="K137" s="2" t="str">
        <f aca="false">IF(AND(K$4=$G137,K$6=$F137),$D137*K$5,"")</f>
        <v/>
      </c>
      <c r="L137" s="2" t="str">
        <f aca="false">IF(AND(L$4=$G137,L$6=$F137),$D137*L$5,"")</f>
        <v/>
      </c>
      <c r="M137" s="2" t="str">
        <f aca="false">IF(AND(M$4=$G137,M$6=$F137),$D137*M$5,"")</f>
        <v/>
      </c>
      <c r="N137" s="1414" t="n">
        <f aca="false">VLOOKUP(B137,'O_MN, PE_UTA_UGM 2024'!$E$2:$K$419,IF(G137&gt;1,6,7))</f>
        <v>0</v>
      </c>
      <c r="O137" s="1434" t="str">
        <f aca="false">IF($H137=O$4,$D137*$N137,"")</f>
        <v/>
      </c>
      <c r="P137" s="1435" t="str">
        <f aca="false">IF($H137=P$4,$D137*$N137,"")</f>
        <v/>
      </c>
      <c r="Q137" s="1435" t="str">
        <f aca="false">IF($H137=Q$4,$D137*$N137,"")</f>
        <v/>
      </c>
      <c r="R137" s="1435" t="str">
        <f aca="false">IF($H137=R$4,$D137*$N137,"")</f>
        <v/>
      </c>
      <c r="S137" s="1435" t="str">
        <f aca="false">IF($H137=S$4,$D137*$N137,"")</f>
        <v/>
      </c>
      <c r="T137" s="1435" t="str">
        <f aca="false">IF($H137=T$4,$D137*$N137,"")</f>
        <v/>
      </c>
      <c r="U137" s="1436" t="str">
        <f aca="false">IF($H137=U$4,$D137*$N137,"")</f>
        <v/>
      </c>
      <c r="V137" s="1418"/>
      <c r="W137" s="1419"/>
      <c r="X137" s="1419"/>
      <c r="Y137" s="1419"/>
      <c r="Z137" s="1419"/>
      <c r="AA137" s="1419"/>
      <c r="AB137" s="1420"/>
      <c r="AC137" s="1319"/>
      <c r="AD137" s="2" t="str">
        <f aca="false">IF(AND(AD$4=$G137,AD$6=$F137),$B137,"")</f>
        <v/>
      </c>
      <c r="AE137" s="2" t="str">
        <f aca="false">IF(AND(AE$4=$G137,AE$6=$F137),$B137,"")</f>
        <v/>
      </c>
      <c r="AF137" s="2" t="str">
        <f aca="false">IF(AND(AF$4=$G137,AF$6=$F137),$B137,"")</f>
        <v/>
      </c>
      <c r="AG137" s="2" t="str">
        <f aca="false">IF(AND(AG$4=$G137,AG$6=$F137),$B137,"")</f>
        <v/>
      </c>
      <c r="AI137" s="366"/>
      <c r="AL137" s="367"/>
      <c r="AO137" s="367"/>
      <c r="AP137" s="2" t="str">
        <f aca="false">IF(AT137&gt;0,RANK(AT137,AT$7:AT$423),"")</f>
        <v/>
      </c>
      <c r="AQ137" s="2" t="n">
        <f aca="false">'O_MN, PE_UTA_UGM 2024'!C133</f>
        <v>168</v>
      </c>
      <c r="AR137" s="1421" t="n">
        <v>1669</v>
      </c>
      <c r="AS137" s="2" t="str">
        <f aca="false">IF(AY137&lt;&gt;"",AY137,"")</f>
        <v/>
      </c>
      <c r="AT137" s="1422" t="n">
        <f aca="false">IF(ISNUMBER($AR137),SUMIF(B$7:B$505,AR137,D$7:D$505),"")</f>
        <v>0</v>
      </c>
      <c r="AU137" s="1411" t="n">
        <f aca="false">IF(ISNUMBER($AR137),SUMIF(AD$7:AD$503,$AR137,J$7:J$503),"")</f>
        <v>0</v>
      </c>
      <c r="AV137" s="1411" t="n">
        <f aca="false">IF(ISNUMBER($AR137),SUMIF(AF$7:AF$503,$AR137,L$7:L$503),"")</f>
        <v>0</v>
      </c>
      <c r="AW137" s="1423" t="n">
        <f aca="false">IF(ISNUMBER($AR137),SUMIF(AE$7:AE$503,$AR137,K$7:K$503),"")</f>
        <v>0</v>
      </c>
      <c r="AX137" s="1423" t="n">
        <f aca="false">IF(ISNUMBER($AR137),SUMIF(AG$7:AG$503,$AR137,M$7:M$503),"")</f>
        <v>0</v>
      </c>
      <c r="AY137" s="2" t="str">
        <f aca="false">IF($AT137&gt;0,VLOOKUP($AR137,'O_MN, PE_UTA_UGM 2024'!E133:O549,2),"")</f>
        <v/>
      </c>
      <c r="AZ137" s="1424"/>
      <c r="BA137" s="1424"/>
      <c r="BB137" s="1424" t="str">
        <f aca="false">IF($AT137&gt;0,VLOOKUP($AR137,'O_MN, PE_UTA_UGM 2024'!$E$3:$O$419,BB$6),"")</f>
        <v/>
      </c>
      <c r="BC137" s="1424" t="str">
        <f aca="false">IF($AT137&gt;0,VLOOKUP($AR137,'O_MN, PE_UTA_UGM 2024'!$E$3:$O$419,BC$6),"")</f>
        <v/>
      </c>
      <c r="BD137" s="1424" t="str">
        <f aca="false">IF($AT137&gt;0,VLOOKUP($AR137,'O_MN, PE_UTA_UGM 2024'!$E$3:$O$419,BD$6),"")</f>
        <v/>
      </c>
      <c r="BE137" s="1424" t="str">
        <f aca="false">IF($AT137&gt;0,VLOOKUP($AR137,'O_MN, PE_UTA_UGM 2024'!$E$3:$O$419,BE$6),"")</f>
        <v/>
      </c>
      <c r="BF137" s="1424" t="str">
        <f aca="false">IF($AT137&gt;0,VLOOKUP($AR137,'O_MN, PE_UTA_UGM 2024'!$E$3:$O$419,BF$6),"")</f>
        <v/>
      </c>
      <c r="BG137" s="1424" t="str">
        <f aca="false">IF($AT137&gt;0,VLOOKUP($AR137,'O_MN, PE_UTA_UGM 2024'!$E$3:$O$419,BG$6),"")</f>
        <v/>
      </c>
      <c r="BH137" s="872"/>
      <c r="BI137" s="872"/>
      <c r="BJ137" s="872"/>
      <c r="BK137" s="872"/>
      <c r="BM137" s="1411"/>
      <c r="BN137" s="1411"/>
      <c r="BO137" s="1425" t="str">
        <f aca="false">IF(ISNUMBER($AU137*BB137*1),$AU137*BB137*1,"")</f>
        <v/>
      </c>
      <c r="BP137" s="1425" t="str">
        <f aca="false">IF(ISNUMBER($AV137*BC137*1),$AV137*BC137*1,"")</f>
        <v/>
      </c>
      <c r="BQ137" s="1425" t="str">
        <f aca="false">IF(ISNUMBER($AU137*BD137*1),$AU137*BD137*1,"")</f>
        <v/>
      </c>
      <c r="BR137" s="1425" t="str">
        <f aca="false">IF(ISNUMBER($AV137*BE137*1),$AV137*BE137*1,"")</f>
        <v/>
      </c>
      <c r="BS137" s="1411" t="str">
        <f aca="false">IF(ISNUMBER($AU137*BF137),$AU137*BF137,"")</f>
        <v/>
      </c>
      <c r="BT137" s="1411" t="str">
        <f aca="false">IF(ISNUMBER($AV137*BG137),$AV137*BG137,"")</f>
        <v/>
      </c>
      <c r="BU137" s="1411"/>
      <c r="BV137" s="1411"/>
      <c r="BW137" s="1411"/>
      <c r="BX137" s="1411"/>
      <c r="BZ137" s="1372"/>
      <c r="CA137" s="1372"/>
      <c r="CB137" s="1426" t="str">
        <f aca="false">IF(ISNUMBER($AW137*BB137),$AW137*BB137,"")</f>
        <v/>
      </c>
      <c r="CC137" s="1426" t="str">
        <f aca="false">IF(ISNUMBER($AX137*BC137),$AX137*BC137,"")</f>
        <v/>
      </c>
      <c r="CD137" s="1426" t="str">
        <f aca="false">IF(ISNUMBER($AW137*BD137),$AW137*BD137,"")</f>
        <v/>
      </c>
      <c r="CE137" s="1426" t="str">
        <f aca="false">IF(ISNUMBER($AX137*BE137),$AX137*BE137,"")</f>
        <v/>
      </c>
      <c r="CF137" s="1372" t="str">
        <f aca="false">IF(ISNUMBER($AW137*BF137),$AW137*BF137,"")</f>
        <v/>
      </c>
      <c r="CG137" s="1372" t="str">
        <f aca="false">IF(ISNUMBER($AX137*BG137),$AX137*BG137,"")</f>
        <v/>
      </c>
      <c r="CH137" s="1438"/>
      <c r="CI137" s="1438"/>
      <c r="CJ137" s="1438"/>
      <c r="CK137" s="1438"/>
      <c r="CU137" s="1411"/>
      <c r="CV137" s="1411"/>
      <c r="CW137" s="1425"/>
      <c r="CX137" s="1425"/>
      <c r="CY137" s="1425"/>
      <c r="CZ137" s="1425"/>
      <c r="DA137" s="1411"/>
      <c r="DB137" s="1411"/>
      <c r="DC137" s="1411"/>
      <c r="DD137" s="1411"/>
      <c r="DE137" s="1411"/>
      <c r="DF137" s="1411"/>
      <c r="DH137" s="1432"/>
      <c r="DI137" s="1432"/>
      <c r="DJ137" s="1437"/>
      <c r="DK137" s="1437"/>
      <c r="DL137" s="1437"/>
      <c r="DM137" s="1437"/>
      <c r="DN137" s="1432"/>
      <c r="DO137" s="1432"/>
      <c r="DP137" s="1432"/>
      <c r="DQ137" s="1432"/>
      <c r="DR137" s="1432"/>
      <c r="DS137" s="1432"/>
      <c r="DT137" s="1316"/>
      <c r="DU137" s="1433"/>
      <c r="DV137" s="1433"/>
      <c r="DW137" s="1433"/>
      <c r="DX137" s="1433"/>
      <c r="DY137" s="1433"/>
      <c r="DZ137" s="1433"/>
      <c r="EA137" s="1433"/>
      <c r="EB137" s="1433"/>
    </row>
    <row r="138" customFormat="false" ht="14.25" hidden="false" customHeight="false" outlineLevel="0" collapsed="false">
      <c r="A138" s="2" t="n">
        <f aca="false">'V_DATOS PAC_SGA'!R133</f>
        <v>0</v>
      </c>
      <c r="B138" s="2" t="n">
        <f aca="false">IF(I138="IV",CONCATENATE('V_DATOS PAC_SGA'!R133,"4")+0,CONCATENATE('V_DATOS PAC_SGA'!R133,"0")+0)</f>
        <v>0</v>
      </c>
      <c r="C138" s="2" t="n">
        <f aca="false">'V_DATOS PAC_SGA'!S133</f>
        <v>0</v>
      </c>
      <c r="D138" s="1409" t="n">
        <f aca="false">'V_DATOS PAC_SGA'!Y133</f>
        <v>0</v>
      </c>
      <c r="E138" s="1410" t="str">
        <f aca="false">IF('V_DATOS PAC_SGA'!AV133="","Regadio",'V_DATOS PAC_SGA'!AV133)</f>
        <v>Regadio</v>
      </c>
      <c r="F138" s="1411" t="n">
        <f aca="false">'V_DATOS PAC_SGA'!BK133</f>
        <v>0</v>
      </c>
      <c r="G138" s="1412" t="n">
        <f aca="false">'V_DATOS PAC_SGA'!AN133</f>
        <v>0</v>
      </c>
      <c r="H138" s="1413" t="str">
        <f aca="false">IF(B138&gt;0,VLOOKUP(B138,'O_MN, PE_UTA_UGM 2024'!E$3:O$419,10),"")</f>
        <v/>
      </c>
      <c r="I138" s="1359" t="n">
        <f aca="false">'V_DATOS PAC_SGA'!BV133</f>
        <v>0</v>
      </c>
      <c r="J138" s="2" t="str">
        <f aca="false">IF(AND(J$4=$G138,J$6=$F138),$D138*J$5,"")</f>
        <v/>
      </c>
      <c r="K138" s="2" t="str">
        <f aca="false">IF(AND(K$4=$G138,K$6=$F138),$D138*K$5,"")</f>
        <v/>
      </c>
      <c r="L138" s="2" t="str">
        <f aca="false">IF(AND(L$4=$G138,L$6=$F138),$D138*L$5,"")</f>
        <v/>
      </c>
      <c r="M138" s="2" t="str">
        <f aca="false">IF(AND(M$4=$G138,M$6=$F138),$D138*M$5,"")</f>
        <v/>
      </c>
      <c r="N138" s="1414" t="n">
        <f aca="false">VLOOKUP(B138,'O_MN, PE_UTA_UGM 2024'!$E$2:$K$419,IF(G138&gt;1,6,7))</f>
        <v>0</v>
      </c>
      <c r="O138" s="1434" t="str">
        <f aca="false">IF($H138=O$4,$D138*$N138,"")</f>
        <v/>
      </c>
      <c r="P138" s="1435" t="str">
        <f aca="false">IF($H138=P$4,$D138*$N138,"")</f>
        <v/>
      </c>
      <c r="Q138" s="1435" t="str">
        <f aca="false">IF($H138=Q$4,$D138*$N138,"")</f>
        <v/>
      </c>
      <c r="R138" s="1435" t="str">
        <f aca="false">IF($H138=R$4,$D138*$N138,"")</f>
        <v/>
      </c>
      <c r="S138" s="1435" t="str">
        <f aca="false">IF($H138=S$4,$D138*$N138,"")</f>
        <v/>
      </c>
      <c r="T138" s="1435" t="str">
        <f aca="false">IF($H138=T$4,$D138*$N138,"")</f>
        <v/>
      </c>
      <c r="U138" s="1436" t="str">
        <f aca="false">IF($H138=U$4,$D138*$N138,"")</f>
        <v/>
      </c>
      <c r="V138" s="1418"/>
      <c r="W138" s="1419"/>
      <c r="X138" s="1419"/>
      <c r="Y138" s="1419"/>
      <c r="Z138" s="1419"/>
      <c r="AA138" s="1419"/>
      <c r="AB138" s="1420"/>
      <c r="AC138" s="1319"/>
      <c r="AD138" s="2" t="str">
        <f aca="false">IF(AND(AD$4=$G138,AD$6=$F138),$B138,"")</f>
        <v/>
      </c>
      <c r="AE138" s="2" t="str">
        <f aca="false">IF(AND(AE$4=$G138,AE$6=$F138),$B138,"")</f>
        <v/>
      </c>
      <c r="AF138" s="2" t="str">
        <f aca="false">IF(AND(AF$4=$G138,AF$6=$F138),$B138,"")</f>
        <v/>
      </c>
      <c r="AG138" s="2" t="str">
        <f aca="false">IF(AND(AG$4=$G138,AG$6=$F138),$B138,"")</f>
        <v/>
      </c>
      <c r="AI138" s="366"/>
      <c r="AL138" s="367"/>
      <c r="AO138" s="367"/>
      <c r="AP138" s="2" t="str">
        <f aca="false">IF(AT138&gt;0,RANK(AT138,AT$7:AT$423),"")</f>
        <v/>
      </c>
      <c r="AQ138" s="2" t="n">
        <f aca="false">'O_MN, PE_UTA_UGM 2024'!C134</f>
        <v>168</v>
      </c>
      <c r="AR138" s="1421" t="n">
        <v>1670</v>
      </c>
      <c r="AS138" s="2" t="str">
        <f aca="false">IF(AY138&lt;&gt;"",AY138,"")</f>
        <v/>
      </c>
      <c r="AT138" s="1422" t="n">
        <f aca="false">IF(ISNUMBER($AR138),SUMIF(B$7:B$505,AR138,D$7:D$505),"")</f>
        <v>0</v>
      </c>
      <c r="AU138" s="1411" t="n">
        <f aca="false">IF(ISNUMBER($AR138),SUMIF(AD$7:AD$503,$AR138,J$7:J$503),"")</f>
        <v>0</v>
      </c>
      <c r="AV138" s="1411" t="n">
        <f aca="false">IF(ISNUMBER($AR138),SUMIF(AF$7:AF$503,$AR138,L$7:L$503),"")</f>
        <v>0</v>
      </c>
      <c r="AW138" s="1423" t="n">
        <f aca="false">IF(ISNUMBER($AR138),SUMIF(AE$7:AE$503,$AR138,K$7:K$503),"")</f>
        <v>0</v>
      </c>
      <c r="AX138" s="1423" t="n">
        <f aca="false">IF(ISNUMBER($AR138),SUMIF(AG$7:AG$503,$AR138,M$7:M$503),"")</f>
        <v>0</v>
      </c>
      <c r="AY138" s="2" t="str">
        <f aca="false">IF($AT138&gt;0,VLOOKUP($AR138,'O_MN, PE_UTA_UGM 2024'!E134:O550,2),"")</f>
        <v/>
      </c>
      <c r="AZ138" s="1424"/>
      <c r="BA138" s="1424"/>
      <c r="BB138" s="1424" t="str">
        <f aca="false">IF($AT138&gt;0,VLOOKUP($AR138,'O_MN, PE_UTA_UGM 2024'!$E$3:$O$419,BB$6),"")</f>
        <v/>
      </c>
      <c r="BC138" s="1424" t="str">
        <f aca="false">IF($AT138&gt;0,VLOOKUP($AR138,'O_MN, PE_UTA_UGM 2024'!$E$3:$O$419,BC$6),"")</f>
        <v/>
      </c>
      <c r="BD138" s="1424" t="str">
        <f aca="false">IF($AT138&gt;0,VLOOKUP($AR138,'O_MN, PE_UTA_UGM 2024'!$E$3:$O$419,BD$6),"")</f>
        <v/>
      </c>
      <c r="BE138" s="1424" t="str">
        <f aca="false">IF($AT138&gt;0,VLOOKUP($AR138,'O_MN, PE_UTA_UGM 2024'!$E$3:$O$419,BE$6),"")</f>
        <v/>
      </c>
      <c r="BF138" s="1424" t="str">
        <f aca="false">IF($AT138&gt;0,VLOOKUP($AR138,'O_MN, PE_UTA_UGM 2024'!$E$3:$O$419,BF$6),"")</f>
        <v/>
      </c>
      <c r="BG138" s="1424" t="str">
        <f aca="false">IF($AT138&gt;0,VLOOKUP($AR138,'O_MN, PE_UTA_UGM 2024'!$E$3:$O$419,BG$6),"")</f>
        <v/>
      </c>
      <c r="BH138" s="872"/>
      <c r="BI138" s="872"/>
      <c r="BJ138" s="872"/>
      <c r="BK138" s="872"/>
      <c r="BM138" s="1411"/>
      <c r="BN138" s="1411"/>
      <c r="BO138" s="1425" t="str">
        <f aca="false">IF(ISNUMBER($AU138*BB138*1),$AU138*BB138*1,"")</f>
        <v/>
      </c>
      <c r="BP138" s="1425" t="str">
        <f aca="false">IF(ISNUMBER($AV138*BC138*1),$AV138*BC138*1,"")</f>
        <v/>
      </c>
      <c r="BQ138" s="1425" t="str">
        <f aca="false">IF(ISNUMBER($AU138*BD138*1),$AU138*BD138*1,"")</f>
        <v/>
      </c>
      <c r="BR138" s="1425" t="str">
        <f aca="false">IF(ISNUMBER($AV138*BE138*1),$AV138*BE138*1,"")</f>
        <v/>
      </c>
      <c r="BS138" s="1411" t="str">
        <f aca="false">IF(ISNUMBER($AU138*BF138),$AU138*BF138,"")</f>
        <v/>
      </c>
      <c r="BT138" s="1411" t="str">
        <f aca="false">IF(ISNUMBER($AV138*BG138),$AV138*BG138,"")</f>
        <v/>
      </c>
      <c r="BU138" s="1411"/>
      <c r="BV138" s="1411"/>
      <c r="BW138" s="1411"/>
      <c r="BX138" s="1411"/>
      <c r="BZ138" s="1372"/>
      <c r="CA138" s="1372"/>
      <c r="CB138" s="1426" t="str">
        <f aca="false">IF(ISNUMBER($AW138*BB138),$AW138*BB138,"")</f>
        <v/>
      </c>
      <c r="CC138" s="1426" t="str">
        <f aca="false">IF(ISNUMBER($AX138*BC138),$AX138*BC138,"")</f>
        <v/>
      </c>
      <c r="CD138" s="1426" t="str">
        <f aca="false">IF(ISNUMBER($AW138*BD138),$AW138*BD138,"")</f>
        <v/>
      </c>
      <c r="CE138" s="1426" t="str">
        <f aca="false">IF(ISNUMBER($AX138*BE138),$AX138*BE138,"")</f>
        <v/>
      </c>
      <c r="CF138" s="1372" t="str">
        <f aca="false">IF(ISNUMBER($AW138*BF138),$AW138*BF138,"")</f>
        <v/>
      </c>
      <c r="CG138" s="1372" t="str">
        <f aca="false">IF(ISNUMBER($AX138*BG138),$AX138*BG138,"")</f>
        <v/>
      </c>
      <c r="CH138" s="1438"/>
      <c r="CI138" s="1438"/>
      <c r="CJ138" s="1438"/>
      <c r="CK138" s="1438"/>
      <c r="CU138" s="1411"/>
      <c r="CV138" s="1411"/>
      <c r="CW138" s="1425"/>
      <c r="CX138" s="1425"/>
      <c r="CY138" s="1425"/>
      <c r="CZ138" s="1425"/>
      <c r="DA138" s="1411"/>
      <c r="DB138" s="1411"/>
      <c r="DC138" s="1411"/>
      <c r="DD138" s="1411"/>
      <c r="DE138" s="1411"/>
      <c r="DF138" s="1411"/>
      <c r="DH138" s="1432"/>
      <c r="DI138" s="1432"/>
      <c r="DJ138" s="1437"/>
      <c r="DK138" s="1437"/>
      <c r="DL138" s="1437"/>
      <c r="DM138" s="1437"/>
      <c r="DN138" s="1432"/>
      <c r="DO138" s="1432"/>
      <c r="DP138" s="1432"/>
      <c r="DQ138" s="1432"/>
      <c r="DR138" s="1432"/>
      <c r="DS138" s="1432"/>
      <c r="DT138" s="1316"/>
      <c r="DU138" s="1433"/>
      <c r="DV138" s="1433"/>
      <c r="DW138" s="1433"/>
      <c r="DX138" s="1433"/>
      <c r="DY138" s="1433"/>
      <c r="DZ138" s="1433"/>
      <c r="EA138" s="1433"/>
      <c r="EB138" s="1433"/>
    </row>
    <row r="139" customFormat="false" ht="14.25" hidden="false" customHeight="false" outlineLevel="0" collapsed="false">
      <c r="A139" s="2" t="n">
        <f aca="false">'V_DATOS PAC_SGA'!R134</f>
        <v>0</v>
      </c>
      <c r="B139" s="2" t="n">
        <f aca="false">IF(I139="IV",CONCATENATE('V_DATOS PAC_SGA'!R134,"4")+0,CONCATENATE('V_DATOS PAC_SGA'!R134,"0")+0)</f>
        <v>0</v>
      </c>
      <c r="C139" s="2" t="n">
        <f aca="false">'V_DATOS PAC_SGA'!S134</f>
        <v>0</v>
      </c>
      <c r="D139" s="1409" t="n">
        <f aca="false">'V_DATOS PAC_SGA'!Y134</f>
        <v>0</v>
      </c>
      <c r="E139" s="1410" t="str">
        <f aca="false">IF('V_DATOS PAC_SGA'!AV134="","Regadio",'V_DATOS PAC_SGA'!AV134)</f>
        <v>Regadio</v>
      </c>
      <c r="F139" s="1411" t="n">
        <f aca="false">'V_DATOS PAC_SGA'!BK134</f>
        <v>0</v>
      </c>
      <c r="G139" s="1412" t="n">
        <f aca="false">'V_DATOS PAC_SGA'!AN134</f>
        <v>0</v>
      </c>
      <c r="H139" s="1413" t="str">
        <f aca="false">IF(B139&gt;0,VLOOKUP(B139,'O_MN, PE_UTA_UGM 2024'!E$3:O$419,10),"")</f>
        <v/>
      </c>
      <c r="I139" s="1359" t="n">
        <f aca="false">'V_DATOS PAC_SGA'!BV134</f>
        <v>0</v>
      </c>
      <c r="J139" s="2" t="str">
        <f aca="false">IF(AND(J$4=$G139,J$6=$F139),$D139*J$5,"")</f>
        <v/>
      </c>
      <c r="K139" s="2" t="str">
        <f aca="false">IF(AND(K$4=$G139,K$6=$F139),$D139*K$5,"")</f>
        <v/>
      </c>
      <c r="L139" s="2" t="str">
        <f aca="false">IF(AND(L$4=$G139,L$6=$F139),$D139*L$5,"")</f>
        <v/>
      </c>
      <c r="M139" s="2" t="str">
        <f aca="false">IF(AND(M$4=$G139,M$6=$F139),$D139*M$5,"")</f>
        <v/>
      </c>
      <c r="N139" s="1414" t="n">
        <f aca="false">VLOOKUP(B139,'O_MN, PE_UTA_UGM 2024'!$E$2:$K$419,IF(G139&gt;1,6,7))</f>
        <v>0</v>
      </c>
      <c r="O139" s="1434" t="str">
        <f aca="false">IF($H139=O$4,$D139*$N139,"")</f>
        <v/>
      </c>
      <c r="P139" s="1435" t="str">
        <f aca="false">IF($H139=P$4,$D139*$N139,"")</f>
        <v/>
      </c>
      <c r="Q139" s="1435" t="str">
        <f aca="false">IF($H139=Q$4,$D139*$N139,"")</f>
        <v/>
      </c>
      <c r="R139" s="1435" t="str">
        <f aca="false">IF($H139=R$4,$D139*$N139,"")</f>
        <v/>
      </c>
      <c r="S139" s="1435" t="str">
        <f aca="false">IF($H139=S$4,$D139*$N139,"")</f>
        <v/>
      </c>
      <c r="T139" s="1435" t="str">
        <f aca="false">IF($H139=T$4,$D139*$N139,"")</f>
        <v/>
      </c>
      <c r="U139" s="1436" t="str">
        <f aca="false">IF($H139=U$4,$D139*$N139,"")</f>
        <v/>
      </c>
      <c r="V139" s="1418"/>
      <c r="W139" s="1419"/>
      <c r="X139" s="1419"/>
      <c r="Y139" s="1419"/>
      <c r="Z139" s="1419"/>
      <c r="AA139" s="1419"/>
      <c r="AB139" s="1420"/>
      <c r="AC139" s="1319"/>
      <c r="AD139" s="2" t="str">
        <f aca="false">IF(AND(AD$4=$G139,AD$6=$F139),$B139,"")</f>
        <v/>
      </c>
      <c r="AE139" s="2" t="str">
        <f aca="false">IF(AND(AE$4=$G139,AE$6=$F139),$B139,"")</f>
        <v/>
      </c>
      <c r="AF139" s="2" t="str">
        <f aca="false">IF(AND(AF$4=$G139,AF$6=$F139),$B139,"")</f>
        <v/>
      </c>
      <c r="AG139" s="2" t="str">
        <f aca="false">IF(AND(AG$4=$G139,AG$6=$F139),$B139,"")</f>
        <v/>
      </c>
      <c r="AI139" s="366"/>
      <c r="AL139" s="367"/>
      <c r="AO139" s="367"/>
      <c r="AP139" s="2" t="str">
        <f aca="false">IF(AT139&gt;0,RANK(AT139,AT$7:AT$423),"")</f>
        <v/>
      </c>
      <c r="AQ139" s="2" t="n">
        <f aca="false">'O_MN, PE_UTA_UGM 2024'!C135</f>
        <v>168</v>
      </c>
      <c r="AR139" s="1421" t="n">
        <v>1674</v>
      </c>
      <c r="AS139" s="2" t="str">
        <f aca="false">IF(AY139&lt;&gt;"",AY139,"")</f>
        <v/>
      </c>
      <c r="AT139" s="1422" t="n">
        <f aca="false">IF(ISNUMBER($AR139),SUMIF(B$7:B$505,AR139,D$7:D$505),"")</f>
        <v>0</v>
      </c>
      <c r="AU139" s="1411" t="n">
        <f aca="false">IF(ISNUMBER($AR139),SUMIF(AD$7:AD$503,$AR139,J$7:J$503),"")</f>
        <v>0</v>
      </c>
      <c r="AV139" s="1411" t="n">
        <f aca="false">IF(ISNUMBER($AR139),SUMIF(AF$7:AF$503,$AR139,L$7:L$503),"")</f>
        <v>0</v>
      </c>
      <c r="AW139" s="1423" t="n">
        <f aca="false">IF(ISNUMBER($AR139),SUMIF(AE$7:AE$503,$AR139,K$7:K$503),"")</f>
        <v>0</v>
      </c>
      <c r="AX139" s="1423" t="n">
        <f aca="false">IF(ISNUMBER($AR139),SUMIF(AG$7:AG$503,$AR139,M$7:M$503),"")</f>
        <v>0</v>
      </c>
      <c r="AY139" s="2" t="str">
        <f aca="false">IF($AT139&gt;0,VLOOKUP($AR139,'O_MN, PE_UTA_UGM 2024'!E135:O551,2),"")</f>
        <v/>
      </c>
      <c r="AZ139" s="1424"/>
      <c r="BA139" s="1424"/>
      <c r="BB139" s="1424" t="str">
        <f aca="false">IF($AT139&gt;0,VLOOKUP($AR139,'O_MN, PE_UTA_UGM 2024'!$E$3:$O$419,BB$6),"")</f>
        <v/>
      </c>
      <c r="BC139" s="1424" t="str">
        <f aca="false">IF($AT139&gt;0,VLOOKUP($AR139,'O_MN, PE_UTA_UGM 2024'!$E$3:$O$419,BC$6),"")</f>
        <v/>
      </c>
      <c r="BD139" s="1424" t="str">
        <f aca="false">IF($AT139&gt;0,VLOOKUP($AR139,'O_MN, PE_UTA_UGM 2024'!$E$3:$O$419,BD$6),"")</f>
        <v/>
      </c>
      <c r="BE139" s="1424" t="str">
        <f aca="false">IF($AT139&gt;0,VLOOKUP($AR139,'O_MN, PE_UTA_UGM 2024'!$E$3:$O$419,BE$6),"")</f>
        <v/>
      </c>
      <c r="BF139" s="1424" t="str">
        <f aca="false">IF($AT139&gt;0,VLOOKUP($AR139,'O_MN, PE_UTA_UGM 2024'!$E$3:$O$419,BF$6),"")</f>
        <v/>
      </c>
      <c r="BG139" s="1424" t="str">
        <f aca="false">IF($AT139&gt;0,VLOOKUP($AR139,'O_MN, PE_UTA_UGM 2024'!$E$3:$O$419,BG$6),"")</f>
        <v/>
      </c>
      <c r="BH139" s="872"/>
      <c r="BI139" s="872"/>
      <c r="BJ139" s="872"/>
      <c r="BK139" s="872"/>
      <c r="BM139" s="1411"/>
      <c r="BN139" s="1411"/>
      <c r="BO139" s="1425" t="str">
        <f aca="false">IF(ISNUMBER($AU139*BB139*1),$AU139*BB139*1,"")</f>
        <v/>
      </c>
      <c r="BP139" s="1425" t="str">
        <f aca="false">IF(ISNUMBER($AV139*BC139*1),$AV139*BC139*1,"")</f>
        <v/>
      </c>
      <c r="BQ139" s="1425" t="str">
        <f aca="false">IF(ISNUMBER($AU139*BD139*1),$AU139*BD139*1,"")</f>
        <v/>
      </c>
      <c r="BR139" s="1425" t="str">
        <f aca="false">IF(ISNUMBER($AV139*BE139*1),$AV139*BE139*1,"")</f>
        <v/>
      </c>
      <c r="BS139" s="1411" t="str">
        <f aca="false">IF(ISNUMBER($AU139*BF139),$AU139*BF139,"")</f>
        <v/>
      </c>
      <c r="BT139" s="1411" t="str">
        <f aca="false">IF(ISNUMBER($AV139*BG139),$AV139*BG139,"")</f>
        <v/>
      </c>
      <c r="BU139" s="1411"/>
      <c r="BV139" s="1411"/>
      <c r="BW139" s="1411"/>
      <c r="BX139" s="1411"/>
      <c r="BZ139" s="1372"/>
      <c r="CA139" s="1372"/>
      <c r="CB139" s="1426" t="str">
        <f aca="false">IF(ISNUMBER($AW139*BB139),$AW139*BB139,"")</f>
        <v/>
      </c>
      <c r="CC139" s="1426" t="str">
        <f aca="false">IF(ISNUMBER($AX139*BC139),$AX139*BC139,"")</f>
        <v/>
      </c>
      <c r="CD139" s="1426" t="str">
        <f aca="false">IF(ISNUMBER($AW139*BD139),$AW139*BD139,"")</f>
        <v/>
      </c>
      <c r="CE139" s="1426" t="str">
        <f aca="false">IF(ISNUMBER($AX139*BE139),$AX139*BE139,"")</f>
        <v/>
      </c>
      <c r="CF139" s="1372" t="str">
        <f aca="false">IF(ISNUMBER($AW139*BF139),$AW139*BF139,"")</f>
        <v/>
      </c>
      <c r="CG139" s="1372" t="str">
        <f aca="false">IF(ISNUMBER($AX139*BG139),$AX139*BG139,"")</f>
        <v/>
      </c>
      <c r="CH139" s="1438"/>
      <c r="CI139" s="1438"/>
      <c r="CJ139" s="1438"/>
      <c r="CK139" s="1438"/>
      <c r="CU139" s="1411"/>
      <c r="CV139" s="1411"/>
      <c r="CW139" s="1425"/>
      <c r="CX139" s="1425"/>
      <c r="CY139" s="1425"/>
      <c r="CZ139" s="1425"/>
      <c r="DA139" s="1411"/>
      <c r="DB139" s="1411"/>
      <c r="DC139" s="1411"/>
      <c r="DD139" s="1411"/>
      <c r="DE139" s="1411"/>
      <c r="DF139" s="1411"/>
      <c r="DH139" s="1432"/>
      <c r="DI139" s="1432"/>
      <c r="DJ139" s="1437"/>
      <c r="DK139" s="1437"/>
      <c r="DL139" s="1437"/>
      <c r="DM139" s="1437"/>
      <c r="DN139" s="1432"/>
      <c r="DO139" s="1432"/>
      <c r="DP139" s="1432"/>
      <c r="DQ139" s="1432"/>
      <c r="DR139" s="1432"/>
      <c r="DS139" s="1432"/>
      <c r="DT139" s="1316"/>
      <c r="DU139" s="1433"/>
      <c r="DV139" s="1433"/>
      <c r="DW139" s="1433"/>
      <c r="DX139" s="1433"/>
      <c r="DY139" s="1433"/>
      <c r="DZ139" s="1433"/>
      <c r="EA139" s="1433"/>
      <c r="EB139" s="1433"/>
    </row>
    <row r="140" customFormat="false" ht="14.25" hidden="false" customHeight="false" outlineLevel="0" collapsed="false">
      <c r="A140" s="2" t="n">
        <f aca="false">'V_DATOS PAC_SGA'!R135</f>
        <v>0</v>
      </c>
      <c r="B140" s="2" t="n">
        <f aca="false">IF(I140="IV",CONCATENATE('V_DATOS PAC_SGA'!R135,"4")+0,CONCATENATE('V_DATOS PAC_SGA'!R135,"0")+0)</f>
        <v>0</v>
      </c>
      <c r="C140" s="2" t="n">
        <f aca="false">'V_DATOS PAC_SGA'!S135</f>
        <v>0</v>
      </c>
      <c r="D140" s="1409" t="n">
        <f aca="false">'V_DATOS PAC_SGA'!Y135</f>
        <v>0</v>
      </c>
      <c r="E140" s="1410" t="str">
        <f aca="false">IF('V_DATOS PAC_SGA'!AV135="","Regadio",'V_DATOS PAC_SGA'!AV135)</f>
        <v>Regadio</v>
      </c>
      <c r="F140" s="1411" t="n">
        <f aca="false">'V_DATOS PAC_SGA'!BK135</f>
        <v>0</v>
      </c>
      <c r="G140" s="1412" t="n">
        <f aca="false">'V_DATOS PAC_SGA'!AN135</f>
        <v>0</v>
      </c>
      <c r="H140" s="1413" t="str">
        <f aca="false">IF(B140&gt;0,VLOOKUP(B140,'O_MN, PE_UTA_UGM 2024'!E$3:O$419,10),"")</f>
        <v/>
      </c>
      <c r="I140" s="1359" t="n">
        <f aca="false">'V_DATOS PAC_SGA'!BV135</f>
        <v>0</v>
      </c>
      <c r="J140" s="2" t="str">
        <f aca="false">IF(AND(J$4=$G140,J$6=$F140),$D140*J$5,"")</f>
        <v/>
      </c>
      <c r="K140" s="2" t="str">
        <f aca="false">IF(AND(K$4=$G140,K$6=$F140),$D140*K$5,"")</f>
        <v/>
      </c>
      <c r="L140" s="2" t="str">
        <f aca="false">IF(AND(L$4=$G140,L$6=$F140),$D140*L$5,"")</f>
        <v/>
      </c>
      <c r="M140" s="2" t="str">
        <f aca="false">IF(AND(M$4=$G140,M$6=$F140),$D140*M$5,"")</f>
        <v/>
      </c>
      <c r="N140" s="1414" t="n">
        <f aca="false">VLOOKUP(B140,'O_MN, PE_UTA_UGM 2024'!$E$2:$K$419,IF(G140&gt;1,6,7))</f>
        <v>0</v>
      </c>
      <c r="O140" s="1434" t="str">
        <f aca="false">IF($H140=O$4,$D140*$N140,"")</f>
        <v/>
      </c>
      <c r="P140" s="1435" t="str">
        <f aca="false">IF($H140=P$4,$D140*$N140,"")</f>
        <v/>
      </c>
      <c r="Q140" s="1435" t="str">
        <f aca="false">IF($H140=Q$4,$D140*$N140,"")</f>
        <v/>
      </c>
      <c r="R140" s="1435" t="str">
        <f aca="false">IF($H140=R$4,$D140*$N140,"")</f>
        <v/>
      </c>
      <c r="S140" s="1435" t="str">
        <f aca="false">IF($H140=S$4,$D140*$N140,"")</f>
        <v/>
      </c>
      <c r="T140" s="1435" t="str">
        <f aca="false">IF($H140=T$4,$D140*$N140,"")</f>
        <v/>
      </c>
      <c r="U140" s="1436" t="str">
        <f aca="false">IF($H140=U$4,$D140*$N140,"")</f>
        <v/>
      </c>
      <c r="V140" s="1418"/>
      <c r="W140" s="1419"/>
      <c r="X140" s="1419"/>
      <c r="Y140" s="1419"/>
      <c r="Z140" s="1419"/>
      <c r="AA140" s="1419"/>
      <c r="AB140" s="1420"/>
      <c r="AC140" s="1319"/>
      <c r="AD140" s="2" t="str">
        <f aca="false">IF(AND(AD$4=$G140,AD$6=$F140),$B140,"")</f>
        <v/>
      </c>
      <c r="AE140" s="2" t="str">
        <f aca="false">IF(AND(AE$4=$G140,AE$6=$F140),$B140,"")</f>
        <v/>
      </c>
      <c r="AF140" s="2" t="str">
        <f aca="false">IF(AND(AF$4=$G140,AF$6=$F140),$B140,"")</f>
        <v/>
      </c>
      <c r="AG140" s="2" t="str">
        <f aca="false">IF(AND(AG$4=$G140,AG$6=$F140),$B140,"")</f>
        <v/>
      </c>
      <c r="AI140" s="366"/>
      <c r="AL140" s="367"/>
      <c r="AO140" s="367"/>
      <c r="AP140" s="2" t="str">
        <f aca="false">IF(AT140&gt;0,RANK(AT140,AT$7:AT$423),"")</f>
        <v/>
      </c>
      <c r="AQ140" s="2" t="n">
        <f aca="false">'O_MN, PE_UTA_UGM 2024'!C136</f>
        <v>169</v>
      </c>
      <c r="AR140" s="1421" t="n">
        <v>1679</v>
      </c>
      <c r="AS140" s="2" t="str">
        <f aca="false">IF(AY140&lt;&gt;"",AY140,"")</f>
        <v/>
      </c>
      <c r="AT140" s="1422" t="n">
        <f aca="false">IF(ISNUMBER($AR140),SUMIF(B$7:B$505,AR140,D$7:D$505),"")</f>
        <v>0</v>
      </c>
      <c r="AU140" s="1411" t="n">
        <f aca="false">IF(ISNUMBER($AR140),SUMIF(AD$7:AD$503,$AR140,J$7:J$503),"")</f>
        <v>0</v>
      </c>
      <c r="AV140" s="1411" t="n">
        <f aca="false">IF(ISNUMBER($AR140),SUMIF(AF$7:AF$503,$AR140,L$7:L$503),"")</f>
        <v>0</v>
      </c>
      <c r="AW140" s="1423" t="n">
        <f aca="false">IF(ISNUMBER($AR140),SUMIF(AE$7:AE$503,$AR140,K$7:K$503),"")</f>
        <v>0</v>
      </c>
      <c r="AX140" s="1423" t="n">
        <f aca="false">IF(ISNUMBER($AR140),SUMIF(AG$7:AG$503,$AR140,M$7:M$503),"")</f>
        <v>0</v>
      </c>
      <c r="AY140" s="2" t="str">
        <f aca="false">IF($AT140&gt;0,VLOOKUP($AR140,'O_MN, PE_UTA_UGM 2024'!E136:O552,2),"")</f>
        <v/>
      </c>
      <c r="AZ140" s="1424"/>
      <c r="BA140" s="1424"/>
      <c r="BB140" s="1424" t="str">
        <f aca="false">IF($AT140&gt;0,VLOOKUP($AR140,'O_MN, PE_UTA_UGM 2024'!$E$3:$O$419,BB$6),"")</f>
        <v/>
      </c>
      <c r="BC140" s="1424" t="str">
        <f aca="false">IF($AT140&gt;0,VLOOKUP($AR140,'O_MN, PE_UTA_UGM 2024'!$E$3:$O$419,BC$6),"")</f>
        <v/>
      </c>
      <c r="BD140" s="1424" t="str">
        <f aca="false">IF($AT140&gt;0,VLOOKUP($AR140,'O_MN, PE_UTA_UGM 2024'!$E$3:$O$419,BD$6),"")</f>
        <v/>
      </c>
      <c r="BE140" s="1424" t="str">
        <f aca="false">IF($AT140&gt;0,VLOOKUP($AR140,'O_MN, PE_UTA_UGM 2024'!$E$3:$O$419,BE$6),"")</f>
        <v/>
      </c>
      <c r="BF140" s="1424" t="str">
        <f aca="false">IF($AT140&gt;0,VLOOKUP($AR140,'O_MN, PE_UTA_UGM 2024'!$E$3:$O$419,BF$6),"")</f>
        <v/>
      </c>
      <c r="BG140" s="1424" t="str">
        <f aca="false">IF($AT140&gt;0,VLOOKUP($AR140,'O_MN, PE_UTA_UGM 2024'!$E$3:$O$419,BG$6),"")</f>
        <v/>
      </c>
      <c r="BH140" s="872"/>
      <c r="BI140" s="872"/>
      <c r="BJ140" s="872"/>
      <c r="BK140" s="872"/>
      <c r="BM140" s="1411"/>
      <c r="BN140" s="1411"/>
      <c r="BO140" s="1425" t="str">
        <f aca="false">IF(ISNUMBER($AU140*BB140*1),$AU140*BB140*1,"")</f>
        <v/>
      </c>
      <c r="BP140" s="1425" t="str">
        <f aca="false">IF(ISNUMBER($AV140*BC140*1),$AV140*BC140*1,"")</f>
        <v/>
      </c>
      <c r="BQ140" s="1425" t="str">
        <f aca="false">IF(ISNUMBER($AU140*BD140*1),$AU140*BD140*1,"")</f>
        <v/>
      </c>
      <c r="BR140" s="1425" t="str">
        <f aca="false">IF(ISNUMBER($AV140*BE140*1),$AV140*BE140*1,"")</f>
        <v/>
      </c>
      <c r="BS140" s="1411" t="str">
        <f aca="false">IF(ISNUMBER($AU140*BF140),$AU140*BF140,"")</f>
        <v/>
      </c>
      <c r="BT140" s="1411" t="str">
        <f aca="false">IF(ISNUMBER($AV140*BG140),$AV140*BG140,"")</f>
        <v/>
      </c>
      <c r="BU140" s="1411"/>
      <c r="BV140" s="1411"/>
      <c r="BW140" s="1411"/>
      <c r="BX140" s="1411"/>
      <c r="BZ140" s="1372"/>
      <c r="CA140" s="1372"/>
      <c r="CB140" s="1426" t="str">
        <f aca="false">IF(ISNUMBER($AW140*BB140),$AW140*BB140,"")</f>
        <v/>
      </c>
      <c r="CC140" s="1426" t="str">
        <f aca="false">IF(ISNUMBER($AX140*BC140),$AX140*BC140,"")</f>
        <v/>
      </c>
      <c r="CD140" s="1426" t="str">
        <f aca="false">IF(ISNUMBER($AW140*BD140),$AW140*BD140,"")</f>
        <v/>
      </c>
      <c r="CE140" s="1426" t="str">
        <f aca="false">IF(ISNUMBER($AX140*BE140),$AX140*BE140,"")</f>
        <v/>
      </c>
      <c r="CF140" s="1372" t="str">
        <f aca="false">IF(ISNUMBER($AW140*BF140),$AW140*BF140,"")</f>
        <v/>
      </c>
      <c r="CG140" s="1372" t="str">
        <f aca="false">IF(ISNUMBER($AX140*BG140),$AX140*BG140,"")</f>
        <v/>
      </c>
      <c r="CH140" s="1438"/>
      <c r="CI140" s="1438"/>
      <c r="CJ140" s="1438"/>
      <c r="CK140" s="1438"/>
      <c r="CU140" s="1411"/>
      <c r="CV140" s="1411"/>
      <c r="CW140" s="1425"/>
      <c r="CX140" s="1425"/>
      <c r="CY140" s="1425"/>
      <c r="CZ140" s="1425"/>
      <c r="DA140" s="1411"/>
      <c r="DB140" s="1411"/>
      <c r="DC140" s="1411"/>
      <c r="DD140" s="1411"/>
      <c r="DE140" s="1411"/>
      <c r="DF140" s="1411"/>
      <c r="DH140" s="1432"/>
      <c r="DI140" s="1432"/>
      <c r="DJ140" s="1437"/>
      <c r="DK140" s="1437"/>
      <c r="DL140" s="1437"/>
      <c r="DM140" s="1437"/>
      <c r="DN140" s="1432"/>
      <c r="DO140" s="1432"/>
      <c r="DP140" s="1432"/>
      <c r="DQ140" s="1432"/>
      <c r="DR140" s="1432"/>
      <c r="DS140" s="1432"/>
      <c r="DT140" s="1316"/>
      <c r="DU140" s="1433"/>
      <c r="DV140" s="1433"/>
      <c r="DW140" s="1433"/>
      <c r="DX140" s="1433"/>
      <c r="DY140" s="1433"/>
      <c r="DZ140" s="1433"/>
      <c r="EA140" s="1433"/>
      <c r="EB140" s="1433"/>
    </row>
    <row r="141" customFormat="false" ht="14.25" hidden="false" customHeight="false" outlineLevel="0" collapsed="false">
      <c r="A141" s="2" t="n">
        <f aca="false">'V_DATOS PAC_SGA'!R136</f>
        <v>0</v>
      </c>
      <c r="B141" s="2" t="n">
        <f aca="false">IF(I141="IV",CONCATENATE('V_DATOS PAC_SGA'!R136,"4")+0,CONCATENATE('V_DATOS PAC_SGA'!R136,"0")+0)</f>
        <v>0</v>
      </c>
      <c r="C141" s="2" t="n">
        <f aca="false">'V_DATOS PAC_SGA'!S136</f>
        <v>0</v>
      </c>
      <c r="D141" s="1409" t="n">
        <f aca="false">'V_DATOS PAC_SGA'!Y136</f>
        <v>0</v>
      </c>
      <c r="E141" s="1410" t="str">
        <f aca="false">IF('V_DATOS PAC_SGA'!AV136="","Regadio",'V_DATOS PAC_SGA'!AV136)</f>
        <v>Regadio</v>
      </c>
      <c r="F141" s="1411" t="n">
        <f aca="false">'V_DATOS PAC_SGA'!BK136</f>
        <v>0</v>
      </c>
      <c r="G141" s="1412" t="n">
        <f aca="false">'V_DATOS PAC_SGA'!AN136</f>
        <v>0</v>
      </c>
      <c r="H141" s="1413" t="str">
        <f aca="false">IF(B141&gt;0,VLOOKUP(B141,'O_MN, PE_UTA_UGM 2024'!E$3:O$419,10),"")</f>
        <v/>
      </c>
      <c r="I141" s="1359" t="n">
        <f aca="false">'V_DATOS PAC_SGA'!BV136</f>
        <v>0</v>
      </c>
      <c r="J141" s="2" t="str">
        <f aca="false">IF(AND(J$4=$G141,J$6=$F141),$D141*J$5,"")</f>
        <v/>
      </c>
      <c r="K141" s="2" t="str">
        <f aca="false">IF(AND(K$4=$G141,K$6=$F141),$D141*K$5,"")</f>
        <v/>
      </c>
      <c r="L141" s="2" t="str">
        <f aca="false">IF(AND(L$4=$G141,L$6=$F141),$D141*L$5,"")</f>
        <v/>
      </c>
      <c r="M141" s="2" t="str">
        <f aca="false">IF(AND(M$4=$G141,M$6=$F141),$D141*M$5,"")</f>
        <v/>
      </c>
      <c r="N141" s="1414" t="n">
        <f aca="false">VLOOKUP(B141,'O_MN, PE_UTA_UGM 2024'!$E$2:$K$419,IF(G141&gt;1,6,7))</f>
        <v>0</v>
      </c>
      <c r="O141" s="1434" t="str">
        <f aca="false">IF($H141=O$4,$D141*$N141,"")</f>
        <v/>
      </c>
      <c r="P141" s="1435" t="str">
        <f aca="false">IF($H141=P$4,$D141*$N141,"")</f>
        <v/>
      </c>
      <c r="Q141" s="1435" t="str">
        <f aca="false">IF($H141=Q$4,$D141*$N141,"")</f>
        <v/>
      </c>
      <c r="R141" s="1435" t="str">
        <f aca="false">IF($H141=R$4,$D141*$N141,"")</f>
        <v/>
      </c>
      <c r="S141" s="1435" t="str">
        <f aca="false">IF($H141=S$4,$D141*$N141,"")</f>
        <v/>
      </c>
      <c r="T141" s="1435" t="str">
        <f aca="false">IF($H141=T$4,$D141*$N141,"")</f>
        <v/>
      </c>
      <c r="U141" s="1436" t="str">
        <f aca="false">IF($H141=U$4,$D141*$N141,"")</f>
        <v/>
      </c>
      <c r="V141" s="1418"/>
      <c r="W141" s="1419"/>
      <c r="X141" s="1419"/>
      <c r="Y141" s="1419"/>
      <c r="Z141" s="1419"/>
      <c r="AA141" s="1419"/>
      <c r="AB141" s="1420"/>
      <c r="AC141" s="1319"/>
      <c r="AD141" s="2" t="str">
        <f aca="false">IF(AND(AD$4=$G141,AD$6=$F141),$B141,"")</f>
        <v/>
      </c>
      <c r="AE141" s="2" t="str">
        <f aca="false">IF(AND(AE$4=$G141,AE$6=$F141),$B141,"")</f>
        <v/>
      </c>
      <c r="AF141" s="2" t="str">
        <f aca="false">IF(AND(AF$4=$G141,AF$6=$F141),$B141,"")</f>
        <v/>
      </c>
      <c r="AG141" s="2" t="str">
        <f aca="false">IF(AND(AG$4=$G141,AG$6=$F141),$B141,"")</f>
        <v/>
      </c>
      <c r="AI141" s="366"/>
      <c r="AL141" s="367"/>
      <c r="AO141" s="367"/>
      <c r="AP141" s="2" t="str">
        <f aca="false">IF(AT141&gt;0,RANK(AT141,AT$7:AT$423),"")</f>
        <v/>
      </c>
      <c r="AQ141" s="2" t="n">
        <f aca="false">'O_MN, PE_UTA_UGM 2024'!C137</f>
        <v>169</v>
      </c>
      <c r="AR141" s="1421" t="n">
        <v>1680</v>
      </c>
      <c r="AS141" s="2" t="str">
        <f aca="false">IF(AY141&lt;&gt;"",AY141,"")</f>
        <v/>
      </c>
      <c r="AT141" s="1422" t="n">
        <f aca="false">IF(ISNUMBER($AR141),SUMIF(B$7:B$505,AR141,D$7:D$505),"")</f>
        <v>0</v>
      </c>
      <c r="AU141" s="1411" t="n">
        <f aca="false">IF(ISNUMBER($AR141),SUMIF(AD$7:AD$503,$AR141,J$7:J$503),"")</f>
        <v>0</v>
      </c>
      <c r="AV141" s="1411" t="n">
        <f aca="false">IF(ISNUMBER($AR141),SUMIF(AF$7:AF$503,$AR141,L$7:L$503),"")</f>
        <v>0</v>
      </c>
      <c r="AW141" s="1423" t="n">
        <f aca="false">IF(ISNUMBER($AR141),SUMIF(AE$7:AE$503,$AR141,K$7:K$503),"")</f>
        <v>0</v>
      </c>
      <c r="AX141" s="1423" t="n">
        <f aca="false">IF(ISNUMBER($AR141),SUMIF(AG$7:AG$503,$AR141,M$7:M$503),"")</f>
        <v>0</v>
      </c>
      <c r="AY141" s="2" t="str">
        <f aca="false">IF($AT141&gt;0,VLOOKUP($AR141,'O_MN, PE_UTA_UGM 2024'!E137:O553,2),"")</f>
        <v/>
      </c>
      <c r="AZ141" s="1424"/>
      <c r="BA141" s="1424"/>
      <c r="BB141" s="1424" t="str">
        <f aca="false">IF($AT141&gt;0,VLOOKUP($AR141,'O_MN, PE_UTA_UGM 2024'!$E$3:$O$419,BB$6),"")</f>
        <v/>
      </c>
      <c r="BC141" s="1424" t="str">
        <f aca="false">IF($AT141&gt;0,VLOOKUP($AR141,'O_MN, PE_UTA_UGM 2024'!$E$3:$O$419,BC$6),"")</f>
        <v/>
      </c>
      <c r="BD141" s="1424" t="str">
        <f aca="false">IF($AT141&gt;0,VLOOKUP($AR141,'O_MN, PE_UTA_UGM 2024'!$E$3:$O$419,BD$6),"")</f>
        <v/>
      </c>
      <c r="BE141" s="1424" t="str">
        <f aca="false">IF($AT141&gt;0,VLOOKUP($AR141,'O_MN, PE_UTA_UGM 2024'!$E$3:$O$419,BE$6),"")</f>
        <v/>
      </c>
      <c r="BF141" s="1424" t="str">
        <f aca="false">IF($AT141&gt;0,VLOOKUP($AR141,'O_MN, PE_UTA_UGM 2024'!$E$3:$O$419,BF$6),"")</f>
        <v/>
      </c>
      <c r="BG141" s="1424" t="str">
        <f aca="false">IF($AT141&gt;0,VLOOKUP($AR141,'O_MN, PE_UTA_UGM 2024'!$E$3:$O$419,BG$6),"")</f>
        <v/>
      </c>
      <c r="BH141" s="872"/>
      <c r="BI141" s="872"/>
      <c r="BJ141" s="872"/>
      <c r="BK141" s="872"/>
      <c r="BM141" s="1411"/>
      <c r="BN141" s="1411"/>
      <c r="BO141" s="1425" t="str">
        <f aca="false">IF(ISNUMBER($AU141*BB141*1),$AU141*BB141*1,"")</f>
        <v/>
      </c>
      <c r="BP141" s="1425" t="str">
        <f aca="false">IF(ISNUMBER($AV141*BC141*1),$AV141*BC141*1,"")</f>
        <v/>
      </c>
      <c r="BQ141" s="1425" t="str">
        <f aca="false">IF(ISNUMBER($AU141*BD141*1),$AU141*BD141*1,"")</f>
        <v/>
      </c>
      <c r="BR141" s="1425" t="str">
        <f aca="false">IF(ISNUMBER($AV141*BE141*1),$AV141*BE141*1,"")</f>
        <v/>
      </c>
      <c r="BS141" s="1411" t="str">
        <f aca="false">IF(ISNUMBER($AU141*BF141),$AU141*BF141,"")</f>
        <v/>
      </c>
      <c r="BT141" s="1411" t="str">
        <f aca="false">IF(ISNUMBER($AV141*BG141),$AV141*BG141,"")</f>
        <v/>
      </c>
      <c r="BU141" s="1411"/>
      <c r="BV141" s="1411"/>
      <c r="BW141" s="1411"/>
      <c r="BX141" s="1411"/>
      <c r="BZ141" s="1372"/>
      <c r="CA141" s="1372"/>
      <c r="CB141" s="1426" t="str">
        <f aca="false">IF(ISNUMBER($AW141*BB141),$AW141*BB141,"")</f>
        <v/>
      </c>
      <c r="CC141" s="1426" t="str">
        <f aca="false">IF(ISNUMBER($AX141*BC141),$AX141*BC141,"")</f>
        <v/>
      </c>
      <c r="CD141" s="1426" t="str">
        <f aca="false">IF(ISNUMBER($AW141*BD141),$AW141*BD141,"")</f>
        <v/>
      </c>
      <c r="CE141" s="1426" t="str">
        <f aca="false">IF(ISNUMBER($AX141*BE141),$AX141*BE141,"")</f>
        <v/>
      </c>
      <c r="CF141" s="1372" t="str">
        <f aca="false">IF(ISNUMBER($AW141*BF141),$AW141*BF141,"")</f>
        <v/>
      </c>
      <c r="CG141" s="1372" t="str">
        <f aca="false">IF(ISNUMBER($AX141*BG141),$AX141*BG141,"")</f>
        <v/>
      </c>
      <c r="CH141" s="1438"/>
      <c r="CI141" s="1438"/>
      <c r="CJ141" s="1438"/>
      <c r="CK141" s="1438"/>
      <c r="CU141" s="1411"/>
      <c r="CV141" s="1411"/>
      <c r="CW141" s="1425"/>
      <c r="CX141" s="1425"/>
      <c r="CY141" s="1425"/>
      <c r="CZ141" s="1425"/>
      <c r="DA141" s="1411"/>
      <c r="DB141" s="1411"/>
      <c r="DC141" s="1411"/>
      <c r="DD141" s="1411"/>
      <c r="DE141" s="1411"/>
      <c r="DF141" s="1411"/>
      <c r="DH141" s="1432"/>
      <c r="DI141" s="1432"/>
      <c r="DJ141" s="1437"/>
      <c r="DK141" s="1437"/>
      <c r="DL141" s="1437"/>
      <c r="DM141" s="1437"/>
      <c r="DN141" s="1432"/>
      <c r="DO141" s="1432"/>
      <c r="DP141" s="1432"/>
      <c r="DQ141" s="1432"/>
      <c r="DR141" s="1432"/>
      <c r="DS141" s="1432"/>
      <c r="DT141" s="1316"/>
      <c r="DU141" s="1433"/>
      <c r="DV141" s="1433"/>
      <c r="DW141" s="1433"/>
      <c r="DX141" s="1433"/>
      <c r="DY141" s="1433"/>
      <c r="DZ141" s="1433"/>
      <c r="EA141" s="1433"/>
      <c r="EB141" s="1433"/>
    </row>
    <row r="142" customFormat="false" ht="14.25" hidden="false" customHeight="false" outlineLevel="0" collapsed="false">
      <c r="A142" s="2" t="n">
        <f aca="false">'V_DATOS PAC_SGA'!R137</f>
        <v>0</v>
      </c>
      <c r="B142" s="2" t="n">
        <f aca="false">IF(I142="IV",CONCATENATE('V_DATOS PAC_SGA'!R137,"4")+0,CONCATENATE('V_DATOS PAC_SGA'!R137,"0")+0)</f>
        <v>0</v>
      </c>
      <c r="C142" s="2" t="n">
        <f aca="false">'V_DATOS PAC_SGA'!S137</f>
        <v>0</v>
      </c>
      <c r="D142" s="1409" t="n">
        <f aca="false">'V_DATOS PAC_SGA'!Y137</f>
        <v>0</v>
      </c>
      <c r="E142" s="1410" t="str">
        <f aca="false">IF('V_DATOS PAC_SGA'!AV137="","Regadio",'V_DATOS PAC_SGA'!AV137)</f>
        <v>Regadio</v>
      </c>
      <c r="F142" s="1411" t="n">
        <f aca="false">'V_DATOS PAC_SGA'!BK137</f>
        <v>0</v>
      </c>
      <c r="G142" s="1412" t="n">
        <f aca="false">'V_DATOS PAC_SGA'!AN137</f>
        <v>0</v>
      </c>
      <c r="H142" s="1413" t="str">
        <f aca="false">IF(B142&gt;0,VLOOKUP(B142,'O_MN, PE_UTA_UGM 2024'!E$3:O$419,10),"")</f>
        <v/>
      </c>
      <c r="I142" s="1359" t="n">
        <f aca="false">'V_DATOS PAC_SGA'!BV137</f>
        <v>0</v>
      </c>
      <c r="J142" s="2" t="str">
        <f aca="false">IF(AND(J$4=$G142,J$6=$F142),$D142*J$5,"")</f>
        <v/>
      </c>
      <c r="K142" s="2" t="str">
        <f aca="false">IF(AND(K$4=$G142,K$6=$F142),$D142*K$5,"")</f>
        <v/>
      </c>
      <c r="L142" s="2" t="str">
        <f aca="false">IF(AND(L$4=$G142,L$6=$F142),$D142*L$5,"")</f>
        <v/>
      </c>
      <c r="M142" s="2" t="str">
        <f aca="false">IF(AND(M$4=$G142,M$6=$F142),$D142*M$5,"")</f>
        <v/>
      </c>
      <c r="N142" s="1414" t="n">
        <f aca="false">VLOOKUP(B142,'O_MN, PE_UTA_UGM 2024'!$E$2:$K$419,IF(G142&gt;1,6,7))</f>
        <v>0</v>
      </c>
      <c r="O142" s="1434" t="str">
        <f aca="false">IF($H142=O$4,$D142*$N142,"")</f>
        <v/>
      </c>
      <c r="P142" s="1435" t="str">
        <f aca="false">IF($H142=P$4,$D142*$N142,"")</f>
        <v/>
      </c>
      <c r="Q142" s="1435" t="str">
        <f aca="false">IF($H142=Q$4,$D142*$N142,"")</f>
        <v/>
      </c>
      <c r="R142" s="1435" t="str">
        <f aca="false">IF($H142=R$4,$D142*$N142,"")</f>
        <v/>
      </c>
      <c r="S142" s="1435" t="str">
        <f aca="false">IF($H142=S$4,$D142*$N142,"")</f>
        <v/>
      </c>
      <c r="T142" s="1435" t="str">
        <f aca="false">IF($H142=T$4,$D142*$N142,"")</f>
        <v/>
      </c>
      <c r="U142" s="1436" t="str">
        <f aca="false">IF($H142=U$4,$D142*$N142,"")</f>
        <v/>
      </c>
      <c r="V142" s="1418"/>
      <c r="W142" s="1419"/>
      <c r="X142" s="1419"/>
      <c r="Y142" s="1419"/>
      <c r="Z142" s="1419"/>
      <c r="AA142" s="1419"/>
      <c r="AB142" s="1420"/>
      <c r="AC142" s="1319"/>
      <c r="AD142" s="2" t="str">
        <f aca="false">IF(AND(AD$4=$G142,AD$6=$F142),$B142,"")</f>
        <v/>
      </c>
      <c r="AE142" s="2" t="str">
        <f aca="false">IF(AND(AE$4=$G142,AE$6=$F142),$B142,"")</f>
        <v/>
      </c>
      <c r="AF142" s="2" t="str">
        <f aca="false">IF(AND(AF$4=$G142,AF$6=$F142),$B142,"")</f>
        <v/>
      </c>
      <c r="AG142" s="2" t="str">
        <f aca="false">IF(AND(AG$4=$G142,AG$6=$F142),$B142,"")</f>
        <v/>
      </c>
      <c r="AI142" s="366"/>
      <c r="AL142" s="367"/>
      <c r="AO142" s="367"/>
      <c r="AP142" s="2" t="str">
        <f aca="false">IF(AT142&gt;0,RANK(AT142,AT$7:AT$423),"")</f>
        <v/>
      </c>
      <c r="AQ142" s="2" t="n">
        <f aca="false">'O_MN, PE_UTA_UGM 2024'!C138</f>
        <v>169</v>
      </c>
      <c r="AR142" s="1421" t="n">
        <v>1684</v>
      </c>
      <c r="AS142" s="2" t="str">
        <f aca="false">IF(AY142&lt;&gt;"",AY142,"")</f>
        <v/>
      </c>
      <c r="AT142" s="1422" t="n">
        <f aca="false">IF(ISNUMBER($AR142),SUMIF(B$7:B$505,AR142,D$7:D$505),"")</f>
        <v>0</v>
      </c>
      <c r="AU142" s="1411" t="n">
        <f aca="false">IF(ISNUMBER($AR142),SUMIF(AD$7:AD$503,$AR142,J$7:J$503),"")</f>
        <v>0</v>
      </c>
      <c r="AV142" s="1411" t="n">
        <f aca="false">IF(ISNUMBER($AR142),SUMIF(AF$7:AF$503,$AR142,L$7:L$503),"")</f>
        <v>0</v>
      </c>
      <c r="AW142" s="1423" t="n">
        <f aca="false">IF(ISNUMBER($AR142),SUMIF(AE$7:AE$503,$AR142,K$7:K$503),"")</f>
        <v>0</v>
      </c>
      <c r="AX142" s="1423" t="n">
        <f aca="false">IF(ISNUMBER($AR142),SUMIF(AG$7:AG$503,$AR142,M$7:M$503),"")</f>
        <v>0</v>
      </c>
      <c r="AY142" s="2" t="str">
        <f aca="false">IF($AT142&gt;0,VLOOKUP($AR142,'O_MN, PE_UTA_UGM 2024'!E138:O554,2),"")</f>
        <v/>
      </c>
      <c r="AZ142" s="1424"/>
      <c r="BA142" s="1424"/>
      <c r="BB142" s="1424" t="str">
        <f aca="false">IF($AT142&gt;0,VLOOKUP($AR142,'O_MN, PE_UTA_UGM 2024'!$E$3:$O$419,BB$6),"")</f>
        <v/>
      </c>
      <c r="BC142" s="1424" t="str">
        <f aca="false">IF($AT142&gt;0,VLOOKUP($AR142,'O_MN, PE_UTA_UGM 2024'!$E$3:$O$419,BC$6),"")</f>
        <v/>
      </c>
      <c r="BD142" s="1424" t="str">
        <f aca="false">IF($AT142&gt;0,VLOOKUP($AR142,'O_MN, PE_UTA_UGM 2024'!$E$3:$O$419,BD$6),"")</f>
        <v/>
      </c>
      <c r="BE142" s="1424" t="str">
        <f aca="false">IF($AT142&gt;0,VLOOKUP($AR142,'O_MN, PE_UTA_UGM 2024'!$E$3:$O$419,BE$6),"")</f>
        <v/>
      </c>
      <c r="BF142" s="1424" t="str">
        <f aca="false">IF($AT142&gt;0,VLOOKUP($AR142,'O_MN, PE_UTA_UGM 2024'!$E$3:$O$419,BF$6),"")</f>
        <v/>
      </c>
      <c r="BG142" s="1424" t="str">
        <f aca="false">IF($AT142&gt;0,VLOOKUP($AR142,'O_MN, PE_UTA_UGM 2024'!$E$3:$O$419,BG$6),"")</f>
        <v/>
      </c>
      <c r="BH142" s="872"/>
      <c r="BI142" s="872"/>
      <c r="BJ142" s="872"/>
      <c r="BK142" s="872"/>
      <c r="BM142" s="1411"/>
      <c r="BN142" s="1411"/>
      <c r="BO142" s="1425" t="str">
        <f aca="false">IF(ISNUMBER($AU142*BB142*1),$AU142*BB142*1,"")</f>
        <v/>
      </c>
      <c r="BP142" s="1425" t="str">
        <f aca="false">IF(ISNUMBER($AV142*BC142*1),$AV142*BC142*1,"")</f>
        <v/>
      </c>
      <c r="BQ142" s="1425" t="str">
        <f aca="false">IF(ISNUMBER($AU142*BD142*1),$AU142*BD142*1,"")</f>
        <v/>
      </c>
      <c r="BR142" s="1425" t="str">
        <f aca="false">IF(ISNUMBER($AV142*BE142*1),$AV142*BE142*1,"")</f>
        <v/>
      </c>
      <c r="BS142" s="1411" t="str">
        <f aca="false">IF(ISNUMBER($AU142*BF142),$AU142*BF142,"")</f>
        <v/>
      </c>
      <c r="BT142" s="1411" t="str">
        <f aca="false">IF(ISNUMBER($AV142*BG142),$AV142*BG142,"")</f>
        <v/>
      </c>
      <c r="BU142" s="1411"/>
      <c r="BV142" s="1411"/>
      <c r="BW142" s="1411"/>
      <c r="BX142" s="1411"/>
      <c r="BZ142" s="1372"/>
      <c r="CA142" s="1372"/>
      <c r="CB142" s="1426" t="str">
        <f aca="false">IF(ISNUMBER($AW142*BB142),$AW142*BB142,"")</f>
        <v/>
      </c>
      <c r="CC142" s="1426" t="str">
        <f aca="false">IF(ISNUMBER($AX142*BC142),$AX142*BC142,"")</f>
        <v/>
      </c>
      <c r="CD142" s="1426" t="str">
        <f aca="false">IF(ISNUMBER($AW142*BD142),$AW142*BD142,"")</f>
        <v/>
      </c>
      <c r="CE142" s="1426" t="str">
        <f aca="false">IF(ISNUMBER($AX142*BE142),$AX142*BE142,"")</f>
        <v/>
      </c>
      <c r="CF142" s="1372" t="str">
        <f aca="false">IF(ISNUMBER($AW142*BF142),$AW142*BF142,"")</f>
        <v/>
      </c>
      <c r="CG142" s="1372" t="str">
        <f aca="false">IF(ISNUMBER($AX142*BG142),$AX142*BG142,"")</f>
        <v/>
      </c>
      <c r="CH142" s="1438"/>
      <c r="CI142" s="1438"/>
      <c r="CJ142" s="1438"/>
      <c r="CK142" s="1438"/>
      <c r="CU142" s="1411"/>
      <c r="CV142" s="1411"/>
      <c r="CW142" s="1425"/>
      <c r="CX142" s="1425"/>
      <c r="CY142" s="1425"/>
      <c r="CZ142" s="1425"/>
      <c r="DA142" s="1411"/>
      <c r="DB142" s="1411"/>
      <c r="DC142" s="1411"/>
      <c r="DD142" s="1411"/>
      <c r="DE142" s="1411"/>
      <c r="DF142" s="1411"/>
      <c r="DH142" s="1432"/>
      <c r="DI142" s="1432"/>
      <c r="DJ142" s="1437"/>
      <c r="DK142" s="1437"/>
      <c r="DL142" s="1437"/>
      <c r="DM142" s="1437"/>
      <c r="DN142" s="1432"/>
      <c r="DO142" s="1432"/>
      <c r="DP142" s="1432"/>
      <c r="DQ142" s="1432"/>
      <c r="DR142" s="1432"/>
      <c r="DS142" s="1432"/>
      <c r="DT142" s="1316"/>
      <c r="DU142" s="1433"/>
      <c r="DV142" s="1433"/>
      <c r="DW142" s="1433"/>
      <c r="DX142" s="1433"/>
      <c r="DY142" s="1433"/>
      <c r="DZ142" s="1433"/>
      <c r="EA142" s="1433"/>
      <c r="EB142" s="1433"/>
    </row>
    <row r="143" customFormat="false" ht="14.25" hidden="false" customHeight="false" outlineLevel="0" collapsed="false">
      <c r="A143" s="2" t="n">
        <f aca="false">'V_DATOS PAC_SGA'!R138</f>
        <v>0</v>
      </c>
      <c r="B143" s="2" t="n">
        <f aca="false">IF(I143="IV",CONCATENATE('V_DATOS PAC_SGA'!R138,"4")+0,CONCATENATE('V_DATOS PAC_SGA'!R138,"0")+0)</f>
        <v>0</v>
      </c>
      <c r="C143" s="2" t="n">
        <f aca="false">'V_DATOS PAC_SGA'!S138</f>
        <v>0</v>
      </c>
      <c r="D143" s="1409" t="n">
        <f aca="false">'V_DATOS PAC_SGA'!Y138</f>
        <v>0</v>
      </c>
      <c r="E143" s="1410" t="str">
        <f aca="false">IF('V_DATOS PAC_SGA'!AV138="","Regadio",'V_DATOS PAC_SGA'!AV138)</f>
        <v>Regadio</v>
      </c>
      <c r="F143" s="1411" t="n">
        <f aca="false">'V_DATOS PAC_SGA'!BK138</f>
        <v>0</v>
      </c>
      <c r="G143" s="1412" t="n">
        <f aca="false">'V_DATOS PAC_SGA'!AN138</f>
        <v>0</v>
      </c>
      <c r="H143" s="1413" t="str">
        <f aca="false">IF(B143&gt;0,VLOOKUP(B143,'O_MN, PE_UTA_UGM 2024'!E$3:O$419,10),"")</f>
        <v/>
      </c>
      <c r="I143" s="1359" t="n">
        <f aca="false">'V_DATOS PAC_SGA'!BV138</f>
        <v>0</v>
      </c>
      <c r="J143" s="2" t="str">
        <f aca="false">IF(AND(J$4=$G143,J$6=$F143),$D143*J$5,"")</f>
        <v/>
      </c>
      <c r="K143" s="2" t="str">
        <f aca="false">IF(AND(K$4=$G143,K$6=$F143),$D143*K$5,"")</f>
        <v/>
      </c>
      <c r="L143" s="2" t="str">
        <f aca="false">IF(AND(L$4=$G143,L$6=$F143),$D143*L$5,"")</f>
        <v/>
      </c>
      <c r="M143" s="2" t="str">
        <f aca="false">IF(AND(M$4=$G143,M$6=$F143),$D143*M$5,"")</f>
        <v/>
      </c>
      <c r="N143" s="1414" t="n">
        <f aca="false">VLOOKUP(B143,'O_MN, PE_UTA_UGM 2024'!$E$2:$K$419,IF(G143&gt;1,6,7))</f>
        <v>0</v>
      </c>
      <c r="O143" s="1434" t="str">
        <f aca="false">IF($H143=O$4,$D143*$N143,"")</f>
        <v/>
      </c>
      <c r="P143" s="1435" t="str">
        <f aca="false">IF($H143=P$4,$D143*$N143,"")</f>
        <v/>
      </c>
      <c r="Q143" s="1435" t="str">
        <f aca="false">IF($H143=Q$4,$D143*$N143,"")</f>
        <v/>
      </c>
      <c r="R143" s="1435" t="str">
        <f aca="false">IF($H143=R$4,$D143*$N143,"")</f>
        <v/>
      </c>
      <c r="S143" s="1435" t="str">
        <f aca="false">IF($H143=S$4,$D143*$N143,"")</f>
        <v/>
      </c>
      <c r="T143" s="1435" t="str">
        <f aca="false">IF($H143=T$4,$D143*$N143,"")</f>
        <v/>
      </c>
      <c r="U143" s="1436" t="str">
        <f aca="false">IF($H143=U$4,$D143*$N143,"")</f>
        <v/>
      </c>
      <c r="V143" s="1418"/>
      <c r="W143" s="1419"/>
      <c r="X143" s="1419"/>
      <c r="Y143" s="1419"/>
      <c r="Z143" s="1419"/>
      <c r="AA143" s="1419"/>
      <c r="AB143" s="1420"/>
      <c r="AC143" s="1319"/>
      <c r="AD143" s="2" t="str">
        <f aca="false">IF(AND(AD$4=$G143,AD$6=$F143),$B143,"")</f>
        <v/>
      </c>
      <c r="AE143" s="2" t="str">
        <f aca="false">IF(AND(AE$4=$G143,AE$6=$F143),$B143,"")</f>
        <v/>
      </c>
      <c r="AF143" s="2" t="str">
        <f aca="false">IF(AND(AF$4=$G143,AF$6=$F143),$B143,"")</f>
        <v/>
      </c>
      <c r="AG143" s="2" t="str">
        <f aca="false">IF(AND(AG$4=$G143,AG$6=$F143),$B143,"")</f>
        <v/>
      </c>
      <c r="AI143" s="366"/>
      <c r="AL143" s="367"/>
      <c r="AO143" s="367"/>
      <c r="AP143" s="2" t="str">
        <f aca="false">IF(AT143&gt;0,RANK(AT143,AT$7:AT$423),"")</f>
        <v/>
      </c>
      <c r="AQ143" s="2" t="n">
        <f aca="false">'O_MN, PE_UTA_UGM 2024'!C139</f>
        <v>171</v>
      </c>
      <c r="AR143" s="1421" t="n">
        <v>1689</v>
      </c>
      <c r="AS143" s="2" t="str">
        <f aca="false">IF(AY143&lt;&gt;"",AY143,"")</f>
        <v/>
      </c>
      <c r="AT143" s="1422" t="n">
        <f aca="false">IF(ISNUMBER($AR143),SUMIF(B$7:B$505,AR143,D$7:D$505),"")</f>
        <v>0</v>
      </c>
      <c r="AU143" s="1411" t="n">
        <f aca="false">IF(ISNUMBER($AR143),SUMIF(AD$7:AD$503,$AR143,J$7:J$503),"")</f>
        <v>0</v>
      </c>
      <c r="AV143" s="1411" t="n">
        <f aca="false">IF(ISNUMBER($AR143),SUMIF(AF$7:AF$503,$AR143,L$7:L$503),"")</f>
        <v>0</v>
      </c>
      <c r="AW143" s="1423" t="n">
        <f aca="false">IF(ISNUMBER($AR143),SUMIF(AE$7:AE$503,$AR143,K$7:K$503),"")</f>
        <v>0</v>
      </c>
      <c r="AX143" s="1423" t="n">
        <f aca="false">IF(ISNUMBER($AR143),SUMIF(AG$7:AG$503,$AR143,M$7:M$503),"")</f>
        <v>0</v>
      </c>
      <c r="AY143" s="2" t="str">
        <f aca="false">IF($AT143&gt;0,VLOOKUP($AR143,'O_MN, PE_UTA_UGM 2024'!E139:O555,2),"")</f>
        <v/>
      </c>
      <c r="AZ143" s="1424"/>
      <c r="BA143" s="1424"/>
      <c r="BB143" s="1424" t="str">
        <f aca="false">IF($AT143&gt;0,VLOOKUP($AR143,'O_MN, PE_UTA_UGM 2024'!$E$3:$O$419,BB$6),"")</f>
        <v/>
      </c>
      <c r="BC143" s="1424" t="str">
        <f aca="false">IF($AT143&gt;0,VLOOKUP($AR143,'O_MN, PE_UTA_UGM 2024'!$E$3:$O$419,BC$6),"")</f>
        <v/>
      </c>
      <c r="BD143" s="1424" t="str">
        <f aca="false">IF($AT143&gt;0,VLOOKUP($AR143,'O_MN, PE_UTA_UGM 2024'!$E$3:$O$419,BD$6),"")</f>
        <v/>
      </c>
      <c r="BE143" s="1424" t="str">
        <f aca="false">IF($AT143&gt;0,VLOOKUP($AR143,'O_MN, PE_UTA_UGM 2024'!$E$3:$O$419,BE$6),"")</f>
        <v/>
      </c>
      <c r="BF143" s="1424" t="str">
        <f aca="false">IF($AT143&gt;0,VLOOKUP($AR143,'O_MN, PE_UTA_UGM 2024'!$E$3:$O$419,BF$6),"")</f>
        <v/>
      </c>
      <c r="BG143" s="1424" t="str">
        <f aca="false">IF($AT143&gt;0,VLOOKUP($AR143,'O_MN, PE_UTA_UGM 2024'!$E$3:$O$419,BG$6),"")</f>
        <v/>
      </c>
      <c r="BH143" s="872"/>
      <c r="BI143" s="872"/>
      <c r="BJ143" s="872"/>
      <c r="BK143" s="872"/>
      <c r="BM143" s="1411"/>
      <c r="BN143" s="1411"/>
      <c r="BO143" s="1425" t="str">
        <f aca="false">IF(ISNUMBER($AU143*BB143*1),$AU143*BB143*1,"")</f>
        <v/>
      </c>
      <c r="BP143" s="1425" t="str">
        <f aca="false">IF(ISNUMBER($AV143*BC143*1),$AV143*BC143*1,"")</f>
        <v/>
      </c>
      <c r="BQ143" s="1425" t="str">
        <f aca="false">IF(ISNUMBER($AU143*BD143*1),$AU143*BD143*1,"")</f>
        <v/>
      </c>
      <c r="BR143" s="1425" t="str">
        <f aca="false">IF(ISNUMBER($AV143*BE143*1),$AV143*BE143*1,"")</f>
        <v/>
      </c>
      <c r="BS143" s="1411" t="str">
        <f aca="false">IF(ISNUMBER($AU143*BF143),$AU143*BF143,"")</f>
        <v/>
      </c>
      <c r="BT143" s="1411" t="str">
        <f aca="false">IF(ISNUMBER($AV143*BG143),$AV143*BG143,"")</f>
        <v/>
      </c>
      <c r="BU143" s="1411"/>
      <c r="BV143" s="1411"/>
      <c r="BW143" s="1411"/>
      <c r="BX143" s="1411"/>
      <c r="BZ143" s="1372"/>
      <c r="CA143" s="1372"/>
      <c r="CB143" s="1426" t="str">
        <f aca="false">IF(ISNUMBER($AW143*BB143),$AW143*BB143,"")</f>
        <v/>
      </c>
      <c r="CC143" s="1426" t="str">
        <f aca="false">IF(ISNUMBER($AX143*BC143),$AX143*BC143,"")</f>
        <v/>
      </c>
      <c r="CD143" s="1426" t="str">
        <f aca="false">IF(ISNUMBER($AW143*BD143),$AW143*BD143,"")</f>
        <v/>
      </c>
      <c r="CE143" s="1426" t="str">
        <f aca="false">IF(ISNUMBER($AX143*BE143),$AX143*BE143,"")</f>
        <v/>
      </c>
      <c r="CF143" s="1372" t="str">
        <f aca="false">IF(ISNUMBER($AW143*BF143),$AW143*BF143,"")</f>
        <v/>
      </c>
      <c r="CG143" s="1372" t="str">
        <f aca="false">IF(ISNUMBER($AX143*BG143),$AX143*BG143,"")</f>
        <v/>
      </c>
      <c r="CH143" s="1438"/>
      <c r="CI143" s="1438"/>
      <c r="CJ143" s="1438"/>
      <c r="CK143" s="1438"/>
      <c r="CU143" s="1411"/>
      <c r="CV143" s="1411"/>
      <c r="CW143" s="1425"/>
      <c r="CX143" s="1425"/>
      <c r="CY143" s="1425"/>
      <c r="CZ143" s="1425"/>
      <c r="DA143" s="1411"/>
      <c r="DB143" s="1411"/>
      <c r="DC143" s="1411"/>
      <c r="DD143" s="1411"/>
      <c r="DE143" s="1411"/>
      <c r="DF143" s="1411"/>
      <c r="DH143" s="1432"/>
      <c r="DI143" s="1432"/>
      <c r="DJ143" s="1437"/>
      <c r="DK143" s="1437"/>
      <c r="DL143" s="1437"/>
      <c r="DM143" s="1437"/>
      <c r="DN143" s="1432"/>
      <c r="DO143" s="1432"/>
      <c r="DP143" s="1432"/>
      <c r="DQ143" s="1432"/>
      <c r="DR143" s="1432"/>
      <c r="DS143" s="1432"/>
      <c r="DT143" s="1316"/>
      <c r="DU143" s="1433"/>
      <c r="DV143" s="1433"/>
      <c r="DW143" s="1433"/>
      <c r="DX143" s="1433"/>
      <c r="DY143" s="1433"/>
      <c r="DZ143" s="1433"/>
      <c r="EA143" s="1433"/>
      <c r="EB143" s="1433"/>
    </row>
    <row r="144" customFormat="false" ht="14.25" hidden="false" customHeight="false" outlineLevel="0" collapsed="false">
      <c r="A144" s="2" t="n">
        <f aca="false">'V_DATOS PAC_SGA'!R139</f>
        <v>0</v>
      </c>
      <c r="B144" s="2" t="n">
        <f aca="false">IF(I144="IV",CONCATENATE('V_DATOS PAC_SGA'!R139,"4")+0,CONCATENATE('V_DATOS PAC_SGA'!R139,"0")+0)</f>
        <v>0</v>
      </c>
      <c r="C144" s="2" t="n">
        <f aca="false">'V_DATOS PAC_SGA'!S139</f>
        <v>0</v>
      </c>
      <c r="D144" s="1409" t="n">
        <f aca="false">'V_DATOS PAC_SGA'!Y139</f>
        <v>0</v>
      </c>
      <c r="E144" s="1410" t="str">
        <f aca="false">IF('V_DATOS PAC_SGA'!AV139="","Regadio",'V_DATOS PAC_SGA'!AV139)</f>
        <v>Regadio</v>
      </c>
      <c r="F144" s="1411" t="n">
        <f aca="false">'V_DATOS PAC_SGA'!BK139</f>
        <v>0</v>
      </c>
      <c r="G144" s="1412" t="n">
        <f aca="false">'V_DATOS PAC_SGA'!AN139</f>
        <v>0</v>
      </c>
      <c r="H144" s="1413" t="str">
        <f aca="false">IF(B144&gt;0,VLOOKUP(B144,'O_MN, PE_UTA_UGM 2024'!E$3:O$419,10),"")</f>
        <v/>
      </c>
      <c r="I144" s="1359" t="n">
        <f aca="false">'V_DATOS PAC_SGA'!BV139</f>
        <v>0</v>
      </c>
      <c r="J144" s="2" t="str">
        <f aca="false">IF(AND(J$4=$G144,J$6=$F144),$D144*J$5,"")</f>
        <v/>
      </c>
      <c r="K144" s="2" t="str">
        <f aca="false">IF(AND(K$4=$G144,K$6=$F144),$D144*K$5,"")</f>
        <v/>
      </c>
      <c r="L144" s="2" t="str">
        <f aca="false">IF(AND(L$4=$G144,L$6=$F144),$D144*L$5,"")</f>
        <v/>
      </c>
      <c r="M144" s="2" t="str">
        <f aca="false">IF(AND(M$4=$G144,M$6=$F144),$D144*M$5,"")</f>
        <v/>
      </c>
      <c r="N144" s="1414" t="n">
        <f aca="false">VLOOKUP(B144,'O_MN, PE_UTA_UGM 2024'!$E$2:$K$419,IF(G144&gt;1,6,7))</f>
        <v>0</v>
      </c>
      <c r="O144" s="1434" t="str">
        <f aca="false">IF($H144=O$4,$D144*$N144,"")</f>
        <v/>
      </c>
      <c r="P144" s="1435" t="str">
        <f aca="false">IF($H144=P$4,$D144*$N144,"")</f>
        <v/>
      </c>
      <c r="Q144" s="1435" t="str">
        <f aca="false">IF($H144=Q$4,$D144*$N144,"")</f>
        <v/>
      </c>
      <c r="R144" s="1435" t="str">
        <f aca="false">IF($H144=R$4,$D144*$N144,"")</f>
        <v/>
      </c>
      <c r="S144" s="1435" t="str">
        <f aca="false">IF($H144=S$4,$D144*$N144,"")</f>
        <v/>
      </c>
      <c r="T144" s="1435" t="str">
        <f aca="false">IF($H144=T$4,$D144*$N144,"")</f>
        <v/>
      </c>
      <c r="U144" s="1436" t="str">
        <f aca="false">IF($H144=U$4,$D144*$N144,"")</f>
        <v/>
      </c>
      <c r="V144" s="1418"/>
      <c r="W144" s="1419"/>
      <c r="X144" s="1419"/>
      <c r="Y144" s="1419"/>
      <c r="Z144" s="1419"/>
      <c r="AA144" s="1419"/>
      <c r="AB144" s="1420"/>
      <c r="AC144" s="1319"/>
      <c r="AD144" s="2" t="str">
        <f aca="false">IF(AND(AD$4=$G144,AD$6=$F144),$B144,"")</f>
        <v/>
      </c>
      <c r="AE144" s="2" t="str">
        <f aca="false">IF(AND(AE$4=$G144,AE$6=$F144),$B144,"")</f>
        <v/>
      </c>
      <c r="AF144" s="2" t="str">
        <f aca="false">IF(AND(AF$4=$G144,AF$6=$F144),$B144,"")</f>
        <v/>
      </c>
      <c r="AG144" s="2" t="str">
        <f aca="false">IF(AND(AG$4=$G144,AG$6=$F144),$B144,"")</f>
        <v/>
      </c>
      <c r="AI144" s="366"/>
      <c r="AL144" s="367"/>
      <c r="AO144" s="367"/>
      <c r="AP144" s="2" t="str">
        <f aca="false">IF(AT144&gt;0,RANK(AT144,AT$7:AT$423),"")</f>
        <v/>
      </c>
      <c r="AQ144" s="2" t="n">
        <f aca="false">'O_MN, PE_UTA_UGM 2024'!C140</f>
        <v>171</v>
      </c>
      <c r="AR144" s="1421" t="n">
        <v>1690</v>
      </c>
      <c r="AS144" s="2" t="str">
        <f aca="false">IF(AY144&lt;&gt;"",AY144,"")</f>
        <v/>
      </c>
      <c r="AT144" s="1422" t="n">
        <f aca="false">IF(ISNUMBER($AR144),SUMIF(B$7:B$505,AR144,D$7:D$505),"")</f>
        <v>0</v>
      </c>
      <c r="AU144" s="1411" t="n">
        <f aca="false">IF(ISNUMBER($AR144),SUMIF(AD$7:AD$503,$AR144,J$7:J$503),"")</f>
        <v>0</v>
      </c>
      <c r="AV144" s="1411" t="n">
        <f aca="false">IF(ISNUMBER($AR144),SUMIF(AF$7:AF$503,$AR144,L$7:L$503),"")</f>
        <v>0</v>
      </c>
      <c r="AW144" s="1423" t="n">
        <f aca="false">IF(ISNUMBER($AR144),SUMIF(AE$7:AE$503,$AR144,K$7:K$503),"")</f>
        <v>0</v>
      </c>
      <c r="AX144" s="1423" t="n">
        <f aca="false">IF(ISNUMBER($AR144),SUMIF(AG$7:AG$503,$AR144,M$7:M$503),"")</f>
        <v>0</v>
      </c>
      <c r="AY144" s="2" t="str">
        <f aca="false">IF($AT144&gt;0,VLOOKUP($AR144,'O_MN, PE_UTA_UGM 2024'!E140:O556,2),"")</f>
        <v/>
      </c>
      <c r="AZ144" s="1424"/>
      <c r="BA144" s="1424"/>
      <c r="BB144" s="1424" t="str">
        <f aca="false">IF($AT144&gt;0,VLOOKUP($AR144,'O_MN, PE_UTA_UGM 2024'!$E$3:$O$419,BB$6),"")</f>
        <v/>
      </c>
      <c r="BC144" s="1424" t="str">
        <f aca="false">IF($AT144&gt;0,VLOOKUP($AR144,'O_MN, PE_UTA_UGM 2024'!$E$3:$O$419,BC$6),"")</f>
        <v/>
      </c>
      <c r="BD144" s="1424" t="str">
        <f aca="false">IF($AT144&gt;0,VLOOKUP($AR144,'O_MN, PE_UTA_UGM 2024'!$E$3:$O$419,BD$6),"")</f>
        <v/>
      </c>
      <c r="BE144" s="1424" t="str">
        <f aca="false">IF($AT144&gt;0,VLOOKUP($AR144,'O_MN, PE_UTA_UGM 2024'!$E$3:$O$419,BE$6),"")</f>
        <v/>
      </c>
      <c r="BF144" s="1424" t="str">
        <f aca="false">IF($AT144&gt;0,VLOOKUP($AR144,'O_MN, PE_UTA_UGM 2024'!$E$3:$O$419,BF$6),"")</f>
        <v/>
      </c>
      <c r="BG144" s="1424" t="str">
        <f aca="false">IF($AT144&gt;0,VLOOKUP($AR144,'O_MN, PE_UTA_UGM 2024'!$E$3:$O$419,BG$6),"")</f>
        <v/>
      </c>
      <c r="BH144" s="872"/>
      <c r="BI144" s="872"/>
      <c r="BJ144" s="872"/>
      <c r="BK144" s="872"/>
      <c r="BM144" s="1411"/>
      <c r="BN144" s="1411"/>
      <c r="BO144" s="1425" t="str">
        <f aca="false">IF(ISNUMBER($AU144*BB144*1),$AU144*BB144*1,"")</f>
        <v/>
      </c>
      <c r="BP144" s="1425" t="str">
        <f aca="false">IF(ISNUMBER($AV144*BC144*1),$AV144*BC144*1,"")</f>
        <v/>
      </c>
      <c r="BQ144" s="1425" t="str">
        <f aca="false">IF(ISNUMBER($AU144*BD144*1),$AU144*BD144*1,"")</f>
        <v/>
      </c>
      <c r="BR144" s="1425" t="str">
        <f aca="false">IF(ISNUMBER($AV144*BE144*1),$AV144*BE144*1,"")</f>
        <v/>
      </c>
      <c r="BS144" s="1411" t="str">
        <f aca="false">IF(ISNUMBER($AU144*BF144),$AU144*BF144,"")</f>
        <v/>
      </c>
      <c r="BT144" s="1411" t="str">
        <f aca="false">IF(ISNUMBER($AV144*BG144),$AV144*BG144,"")</f>
        <v/>
      </c>
      <c r="BU144" s="1411"/>
      <c r="BV144" s="1411"/>
      <c r="BW144" s="1411"/>
      <c r="BX144" s="1411"/>
      <c r="BZ144" s="1372"/>
      <c r="CA144" s="1372"/>
      <c r="CB144" s="1426" t="str">
        <f aca="false">IF(ISNUMBER($AW144*BB144),$AW144*BB144,"")</f>
        <v/>
      </c>
      <c r="CC144" s="1426" t="str">
        <f aca="false">IF(ISNUMBER($AX144*BC144),$AX144*BC144,"")</f>
        <v/>
      </c>
      <c r="CD144" s="1426" t="str">
        <f aca="false">IF(ISNUMBER($AW144*BD144),$AW144*BD144,"")</f>
        <v/>
      </c>
      <c r="CE144" s="1426" t="str">
        <f aca="false">IF(ISNUMBER($AX144*BE144),$AX144*BE144,"")</f>
        <v/>
      </c>
      <c r="CF144" s="1372" t="str">
        <f aca="false">IF(ISNUMBER($AW144*BF144),$AW144*BF144,"")</f>
        <v/>
      </c>
      <c r="CG144" s="1372" t="str">
        <f aca="false">IF(ISNUMBER($AX144*BG144),$AX144*BG144,"")</f>
        <v/>
      </c>
      <c r="CH144" s="1438"/>
      <c r="CI144" s="1438"/>
      <c r="CJ144" s="1438"/>
      <c r="CK144" s="1438"/>
      <c r="CU144" s="1411"/>
      <c r="CV144" s="1411"/>
      <c r="CW144" s="1425"/>
      <c r="CX144" s="1425"/>
      <c r="CY144" s="1425"/>
      <c r="CZ144" s="1425"/>
      <c r="DA144" s="1411"/>
      <c r="DB144" s="1411"/>
      <c r="DC144" s="1411"/>
      <c r="DD144" s="1411"/>
      <c r="DE144" s="1411"/>
      <c r="DF144" s="1411"/>
      <c r="DH144" s="1432"/>
      <c r="DI144" s="1432"/>
      <c r="DJ144" s="1437"/>
      <c r="DK144" s="1437"/>
      <c r="DL144" s="1437"/>
      <c r="DM144" s="1437"/>
      <c r="DN144" s="1432"/>
      <c r="DO144" s="1432"/>
      <c r="DP144" s="1432"/>
      <c r="DQ144" s="1432"/>
      <c r="DR144" s="1432"/>
      <c r="DS144" s="1432"/>
      <c r="DT144" s="1316"/>
      <c r="DU144" s="1433"/>
      <c r="DV144" s="1433"/>
      <c r="DW144" s="1433"/>
      <c r="DX144" s="1433"/>
      <c r="DY144" s="1433"/>
      <c r="DZ144" s="1433"/>
      <c r="EA144" s="1433"/>
      <c r="EB144" s="1433"/>
    </row>
    <row r="145" customFormat="false" ht="14.25" hidden="false" customHeight="false" outlineLevel="0" collapsed="false">
      <c r="A145" s="2" t="n">
        <f aca="false">'V_DATOS PAC_SGA'!R140</f>
        <v>0</v>
      </c>
      <c r="B145" s="2" t="n">
        <f aca="false">IF(I145="IV",CONCATENATE('V_DATOS PAC_SGA'!R140,"4")+0,CONCATENATE('V_DATOS PAC_SGA'!R140,"0")+0)</f>
        <v>0</v>
      </c>
      <c r="C145" s="2" t="n">
        <f aca="false">'V_DATOS PAC_SGA'!S140</f>
        <v>0</v>
      </c>
      <c r="D145" s="1409" t="n">
        <f aca="false">'V_DATOS PAC_SGA'!Y140</f>
        <v>0</v>
      </c>
      <c r="E145" s="1410" t="str">
        <f aca="false">IF('V_DATOS PAC_SGA'!AV140="","Regadio",'V_DATOS PAC_SGA'!AV140)</f>
        <v>Regadio</v>
      </c>
      <c r="F145" s="1411" t="n">
        <f aca="false">'V_DATOS PAC_SGA'!BK140</f>
        <v>0</v>
      </c>
      <c r="G145" s="1412" t="n">
        <f aca="false">'V_DATOS PAC_SGA'!AN140</f>
        <v>0</v>
      </c>
      <c r="H145" s="1413" t="str">
        <f aca="false">IF(B145&gt;0,VLOOKUP(B145,'O_MN, PE_UTA_UGM 2024'!E$3:O$419,10),"")</f>
        <v/>
      </c>
      <c r="I145" s="1359" t="n">
        <f aca="false">'V_DATOS PAC_SGA'!BV140</f>
        <v>0</v>
      </c>
      <c r="J145" s="2" t="str">
        <f aca="false">IF(AND(J$4=$G145,J$6=$F145),$D145*J$5,"")</f>
        <v/>
      </c>
      <c r="K145" s="2" t="str">
        <f aca="false">IF(AND(K$4=$G145,K$6=$F145),$D145*K$5,"")</f>
        <v/>
      </c>
      <c r="L145" s="2" t="str">
        <f aca="false">IF(AND(L$4=$G145,L$6=$F145),$D145*L$5,"")</f>
        <v/>
      </c>
      <c r="M145" s="2" t="str">
        <f aca="false">IF(AND(M$4=$G145,M$6=$F145),$D145*M$5,"")</f>
        <v/>
      </c>
      <c r="N145" s="1414" t="n">
        <f aca="false">VLOOKUP(B145,'O_MN, PE_UTA_UGM 2024'!$E$2:$K$419,IF(G145&gt;1,6,7))</f>
        <v>0</v>
      </c>
      <c r="O145" s="1434" t="str">
        <f aca="false">IF($H145=O$4,$D145*$N145,"")</f>
        <v/>
      </c>
      <c r="P145" s="1435" t="str">
        <f aca="false">IF($H145=P$4,$D145*$N145,"")</f>
        <v/>
      </c>
      <c r="Q145" s="1435" t="str">
        <f aca="false">IF($H145=Q$4,$D145*$N145,"")</f>
        <v/>
      </c>
      <c r="R145" s="1435" t="str">
        <f aca="false">IF($H145=R$4,$D145*$N145,"")</f>
        <v/>
      </c>
      <c r="S145" s="1435" t="str">
        <f aca="false">IF($H145=S$4,$D145*$N145,"")</f>
        <v/>
      </c>
      <c r="T145" s="1435" t="str">
        <f aca="false">IF($H145=T$4,$D145*$N145,"")</f>
        <v/>
      </c>
      <c r="U145" s="1436" t="str">
        <f aca="false">IF($H145=U$4,$D145*$N145,"")</f>
        <v/>
      </c>
      <c r="V145" s="1418"/>
      <c r="W145" s="1419"/>
      <c r="X145" s="1419"/>
      <c r="Y145" s="1419"/>
      <c r="Z145" s="1419"/>
      <c r="AA145" s="1419"/>
      <c r="AB145" s="1420"/>
      <c r="AC145" s="1319"/>
      <c r="AD145" s="2" t="str">
        <f aca="false">IF(AND(AD$4=$G145,AD$6=$F145),$B145,"")</f>
        <v/>
      </c>
      <c r="AE145" s="2" t="str">
        <f aca="false">IF(AND(AE$4=$G145,AE$6=$F145),$B145,"")</f>
        <v/>
      </c>
      <c r="AF145" s="2" t="str">
        <f aca="false">IF(AND(AF$4=$G145,AF$6=$F145),$B145,"")</f>
        <v/>
      </c>
      <c r="AG145" s="2" t="str">
        <f aca="false">IF(AND(AG$4=$G145,AG$6=$F145),$B145,"")</f>
        <v/>
      </c>
      <c r="AI145" s="366"/>
      <c r="AL145" s="367"/>
      <c r="AO145" s="367"/>
      <c r="AP145" s="2" t="str">
        <f aca="false">IF(AT145&gt;0,RANK(AT145,AT$7:AT$423),"")</f>
        <v/>
      </c>
      <c r="AQ145" s="2" t="n">
        <f aca="false">'O_MN, PE_UTA_UGM 2024'!C141</f>
        <v>171</v>
      </c>
      <c r="AR145" s="1421" t="n">
        <v>1694</v>
      </c>
      <c r="AS145" s="2" t="str">
        <f aca="false">IF(AY145&lt;&gt;"",AY145,"")</f>
        <v/>
      </c>
      <c r="AT145" s="1422" t="n">
        <f aca="false">IF(ISNUMBER($AR145),SUMIF(B$7:B$505,AR145,D$7:D$505),"")</f>
        <v>0</v>
      </c>
      <c r="AU145" s="1411" t="n">
        <f aca="false">IF(ISNUMBER($AR145),SUMIF(AD$7:AD$503,$AR145,J$7:J$503),"")</f>
        <v>0</v>
      </c>
      <c r="AV145" s="1411" t="n">
        <f aca="false">IF(ISNUMBER($AR145),SUMIF(AF$7:AF$503,$AR145,L$7:L$503),"")</f>
        <v>0</v>
      </c>
      <c r="AW145" s="1423" t="n">
        <f aca="false">IF(ISNUMBER($AR145),SUMIF(AE$7:AE$503,$AR145,K$7:K$503),"")</f>
        <v>0</v>
      </c>
      <c r="AX145" s="1423" t="n">
        <f aca="false">IF(ISNUMBER($AR145),SUMIF(AG$7:AG$503,$AR145,M$7:M$503),"")</f>
        <v>0</v>
      </c>
      <c r="AY145" s="2" t="str">
        <f aca="false">IF($AT145&gt;0,VLOOKUP($AR145,'O_MN, PE_UTA_UGM 2024'!E141:O557,2),"")</f>
        <v/>
      </c>
      <c r="AZ145" s="1424"/>
      <c r="BA145" s="1424"/>
      <c r="BB145" s="1424" t="str">
        <f aca="false">IF($AT145&gt;0,VLOOKUP($AR145,'O_MN, PE_UTA_UGM 2024'!$E$3:$O$419,BB$6),"")</f>
        <v/>
      </c>
      <c r="BC145" s="1424" t="str">
        <f aca="false">IF($AT145&gt;0,VLOOKUP($AR145,'O_MN, PE_UTA_UGM 2024'!$E$3:$O$419,BC$6),"")</f>
        <v/>
      </c>
      <c r="BD145" s="1424" t="str">
        <f aca="false">IF($AT145&gt;0,VLOOKUP($AR145,'O_MN, PE_UTA_UGM 2024'!$E$3:$O$419,BD$6),"")</f>
        <v/>
      </c>
      <c r="BE145" s="1424" t="str">
        <f aca="false">IF($AT145&gt;0,VLOOKUP($AR145,'O_MN, PE_UTA_UGM 2024'!$E$3:$O$419,BE$6),"")</f>
        <v/>
      </c>
      <c r="BF145" s="1424" t="str">
        <f aca="false">IF($AT145&gt;0,VLOOKUP($AR145,'O_MN, PE_UTA_UGM 2024'!$E$3:$O$419,BF$6),"")</f>
        <v/>
      </c>
      <c r="BG145" s="1424" t="str">
        <f aca="false">IF($AT145&gt;0,VLOOKUP($AR145,'O_MN, PE_UTA_UGM 2024'!$E$3:$O$419,BG$6),"")</f>
        <v/>
      </c>
      <c r="BH145" s="872"/>
      <c r="BI145" s="872"/>
      <c r="BJ145" s="872"/>
      <c r="BK145" s="872"/>
      <c r="BM145" s="1411"/>
      <c r="BN145" s="1411"/>
      <c r="BO145" s="1425" t="str">
        <f aca="false">IF(ISNUMBER($AU145*BB145*1),$AU145*BB145*1,"")</f>
        <v/>
      </c>
      <c r="BP145" s="1425" t="str">
        <f aca="false">IF(ISNUMBER($AV145*BC145*1),$AV145*BC145*1,"")</f>
        <v/>
      </c>
      <c r="BQ145" s="1425" t="str">
        <f aca="false">IF(ISNUMBER($AU145*BD145*1),$AU145*BD145*1,"")</f>
        <v/>
      </c>
      <c r="BR145" s="1425" t="str">
        <f aca="false">IF(ISNUMBER($AV145*BE145*1),$AV145*BE145*1,"")</f>
        <v/>
      </c>
      <c r="BS145" s="1411" t="str">
        <f aca="false">IF(ISNUMBER($AU145*BF145),$AU145*BF145,"")</f>
        <v/>
      </c>
      <c r="BT145" s="1411" t="str">
        <f aca="false">IF(ISNUMBER($AV145*BG145),$AV145*BG145,"")</f>
        <v/>
      </c>
      <c r="BU145" s="1411"/>
      <c r="BV145" s="1411"/>
      <c r="BW145" s="1411"/>
      <c r="BX145" s="1411"/>
      <c r="BZ145" s="1372"/>
      <c r="CA145" s="1372"/>
      <c r="CB145" s="1426" t="str">
        <f aca="false">IF(ISNUMBER($AW145*BB145),$AW145*BB145,"")</f>
        <v/>
      </c>
      <c r="CC145" s="1426" t="str">
        <f aca="false">IF(ISNUMBER($AX145*BC145),$AX145*BC145,"")</f>
        <v/>
      </c>
      <c r="CD145" s="1426" t="str">
        <f aca="false">IF(ISNUMBER($AW145*BD145),$AW145*BD145,"")</f>
        <v/>
      </c>
      <c r="CE145" s="1426" t="str">
        <f aca="false">IF(ISNUMBER($AX145*BE145),$AX145*BE145,"")</f>
        <v/>
      </c>
      <c r="CF145" s="1372" t="str">
        <f aca="false">IF(ISNUMBER($AW145*BF145),$AW145*BF145,"")</f>
        <v/>
      </c>
      <c r="CG145" s="1372" t="str">
        <f aca="false">IF(ISNUMBER($AX145*BG145),$AX145*BG145,"")</f>
        <v/>
      </c>
      <c r="CH145" s="1438"/>
      <c r="CI145" s="1438"/>
      <c r="CJ145" s="1438"/>
      <c r="CK145" s="1438"/>
      <c r="CU145" s="1411"/>
      <c r="CV145" s="1411"/>
      <c r="CW145" s="1425"/>
      <c r="CX145" s="1425"/>
      <c r="CY145" s="1425"/>
      <c r="CZ145" s="1425"/>
      <c r="DA145" s="1411"/>
      <c r="DB145" s="1411"/>
      <c r="DC145" s="1411"/>
      <c r="DD145" s="1411"/>
      <c r="DE145" s="1411"/>
      <c r="DF145" s="1411"/>
      <c r="DH145" s="1432"/>
      <c r="DI145" s="1432"/>
      <c r="DJ145" s="1437"/>
      <c r="DK145" s="1437"/>
      <c r="DL145" s="1437"/>
      <c r="DM145" s="1437"/>
      <c r="DN145" s="1432"/>
      <c r="DO145" s="1432"/>
      <c r="DP145" s="1432"/>
      <c r="DQ145" s="1432"/>
      <c r="DR145" s="1432"/>
      <c r="DS145" s="1432"/>
      <c r="DT145" s="1316"/>
      <c r="DU145" s="1433"/>
      <c r="DV145" s="1433"/>
      <c r="DW145" s="1433"/>
      <c r="DX145" s="1433"/>
      <c r="DY145" s="1433"/>
      <c r="DZ145" s="1433"/>
      <c r="EA145" s="1433"/>
      <c r="EB145" s="1433"/>
    </row>
    <row r="146" customFormat="false" ht="14.25" hidden="false" customHeight="false" outlineLevel="0" collapsed="false">
      <c r="A146" s="2" t="n">
        <f aca="false">'V_DATOS PAC_SGA'!R141</f>
        <v>0</v>
      </c>
      <c r="B146" s="2" t="n">
        <f aca="false">IF(I146="IV",CONCATENATE('V_DATOS PAC_SGA'!R141,"4")+0,CONCATENATE('V_DATOS PAC_SGA'!R141,"0")+0)</f>
        <v>0</v>
      </c>
      <c r="C146" s="2" t="n">
        <f aca="false">'V_DATOS PAC_SGA'!S141</f>
        <v>0</v>
      </c>
      <c r="D146" s="1409" t="n">
        <f aca="false">'V_DATOS PAC_SGA'!Y141</f>
        <v>0</v>
      </c>
      <c r="E146" s="1410" t="str">
        <f aca="false">IF('V_DATOS PAC_SGA'!AV141="","Regadio",'V_DATOS PAC_SGA'!AV141)</f>
        <v>Regadio</v>
      </c>
      <c r="F146" s="1411" t="n">
        <f aca="false">'V_DATOS PAC_SGA'!BK141</f>
        <v>0</v>
      </c>
      <c r="G146" s="1412" t="n">
        <f aca="false">'V_DATOS PAC_SGA'!AN141</f>
        <v>0</v>
      </c>
      <c r="H146" s="1413" t="str">
        <f aca="false">IF(B146&gt;0,VLOOKUP(B146,'O_MN, PE_UTA_UGM 2024'!E$3:O$419,10),"")</f>
        <v/>
      </c>
      <c r="I146" s="1359" t="n">
        <f aca="false">'V_DATOS PAC_SGA'!BV141</f>
        <v>0</v>
      </c>
      <c r="J146" s="2" t="str">
        <f aca="false">IF(AND(J$4=$G146,J$6=$F146),$D146*J$5,"")</f>
        <v/>
      </c>
      <c r="K146" s="2" t="str">
        <f aca="false">IF(AND(K$4=$G146,K$6=$F146),$D146*K$5,"")</f>
        <v/>
      </c>
      <c r="L146" s="2" t="str">
        <f aca="false">IF(AND(L$4=$G146,L$6=$F146),$D146*L$5,"")</f>
        <v/>
      </c>
      <c r="M146" s="2" t="str">
        <f aca="false">IF(AND(M$4=$G146,M$6=$F146),$D146*M$5,"")</f>
        <v/>
      </c>
      <c r="N146" s="1414" t="n">
        <f aca="false">VLOOKUP(B146,'O_MN, PE_UTA_UGM 2024'!$E$2:$K$419,IF(G146&gt;1,6,7))</f>
        <v>0</v>
      </c>
      <c r="O146" s="1434" t="str">
        <f aca="false">IF($H146=O$4,$D146*$N146,"")</f>
        <v/>
      </c>
      <c r="P146" s="1435" t="str">
        <f aca="false">IF($H146=P$4,$D146*$N146,"")</f>
        <v/>
      </c>
      <c r="Q146" s="1435" t="str">
        <f aca="false">IF($H146=Q$4,$D146*$N146,"")</f>
        <v/>
      </c>
      <c r="R146" s="1435" t="str">
        <f aca="false">IF($H146=R$4,$D146*$N146,"")</f>
        <v/>
      </c>
      <c r="S146" s="1435" t="str">
        <f aca="false">IF($H146=S$4,$D146*$N146,"")</f>
        <v/>
      </c>
      <c r="T146" s="1435" t="str">
        <f aca="false">IF($H146=T$4,$D146*$N146,"")</f>
        <v/>
      </c>
      <c r="U146" s="1436" t="str">
        <f aca="false">IF($H146=U$4,$D146*$N146,"")</f>
        <v/>
      </c>
      <c r="V146" s="1418"/>
      <c r="W146" s="1419"/>
      <c r="X146" s="1419"/>
      <c r="Y146" s="1419"/>
      <c r="Z146" s="1419"/>
      <c r="AA146" s="1419"/>
      <c r="AB146" s="1420"/>
      <c r="AC146" s="1319"/>
      <c r="AD146" s="2" t="str">
        <f aca="false">IF(AND(AD$4=$G146,AD$6=$F146),$B146,"")</f>
        <v/>
      </c>
      <c r="AE146" s="2" t="str">
        <f aca="false">IF(AND(AE$4=$G146,AE$6=$F146),$B146,"")</f>
        <v/>
      </c>
      <c r="AF146" s="2" t="str">
        <f aca="false">IF(AND(AF$4=$G146,AF$6=$F146),$B146,"")</f>
        <v/>
      </c>
      <c r="AG146" s="2" t="str">
        <f aca="false">IF(AND(AG$4=$G146,AG$6=$F146),$B146,"")</f>
        <v/>
      </c>
      <c r="AI146" s="366"/>
      <c r="AL146" s="367"/>
      <c r="AO146" s="367"/>
      <c r="AP146" s="2" t="str">
        <f aca="false">IF(AT146&gt;0,RANK(AT146,AT$7:AT$423),"")</f>
        <v/>
      </c>
      <c r="AQ146" s="2" t="n">
        <f aca="false">'O_MN, PE_UTA_UGM 2024'!C142</f>
        <v>172</v>
      </c>
      <c r="AR146" s="1421" t="n">
        <v>1699</v>
      </c>
      <c r="AS146" s="2" t="str">
        <f aca="false">IF(AY146&lt;&gt;"",AY146,"")</f>
        <v/>
      </c>
      <c r="AT146" s="1422" t="n">
        <f aca="false">IF(ISNUMBER($AR146),SUMIF(B$7:B$505,AR146,D$7:D$505),"")</f>
        <v>0</v>
      </c>
      <c r="AU146" s="1411" t="n">
        <f aca="false">IF(ISNUMBER($AR146),SUMIF(AD$7:AD$503,$AR146,J$7:J$503),"")</f>
        <v>0</v>
      </c>
      <c r="AV146" s="1411" t="n">
        <f aca="false">IF(ISNUMBER($AR146),SUMIF(AF$7:AF$503,$AR146,L$7:L$503),"")</f>
        <v>0</v>
      </c>
      <c r="AW146" s="1423" t="n">
        <f aca="false">IF(ISNUMBER($AR146),SUMIF(AE$7:AE$503,$AR146,K$7:K$503),"")</f>
        <v>0</v>
      </c>
      <c r="AX146" s="1423" t="n">
        <f aca="false">IF(ISNUMBER($AR146),SUMIF(AG$7:AG$503,$AR146,M$7:M$503),"")</f>
        <v>0</v>
      </c>
      <c r="AY146" s="2" t="str">
        <f aca="false">IF($AT146&gt;0,VLOOKUP($AR146,'O_MN, PE_UTA_UGM 2024'!E142:O558,2),"")</f>
        <v/>
      </c>
      <c r="AZ146" s="1424"/>
      <c r="BA146" s="1424"/>
      <c r="BB146" s="1424" t="str">
        <f aca="false">IF($AT146&gt;0,VLOOKUP($AR146,'O_MN, PE_UTA_UGM 2024'!$E$3:$O$419,BB$6),"")</f>
        <v/>
      </c>
      <c r="BC146" s="1424" t="str">
        <f aca="false">IF($AT146&gt;0,VLOOKUP($AR146,'O_MN, PE_UTA_UGM 2024'!$E$3:$O$419,BC$6),"")</f>
        <v/>
      </c>
      <c r="BD146" s="1424" t="str">
        <f aca="false">IF($AT146&gt;0,VLOOKUP($AR146,'O_MN, PE_UTA_UGM 2024'!$E$3:$O$419,BD$6),"")</f>
        <v/>
      </c>
      <c r="BE146" s="1424" t="str">
        <f aca="false">IF($AT146&gt;0,VLOOKUP($AR146,'O_MN, PE_UTA_UGM 2024'!$E$3:$O$419,BE$6),"")</f>
        <v/>
      </c>
      <c r="BF146" s="1424" t="str">
        <f aca="false">IF($AT146&gt;0,VLOOKUP($AR146,'O_MN, PE_UTA_UGM 2024'!$E$3:$O$419,BF$6),"")</f>
        <v/>
      </c>
      <c r="BG146" s="1424" t="str">
        <f aca="false">IF($AT146&gt;0,VLOOKUP($AR146,'O_MN, PE_UTA_UGM 2024'!$E$3:$O$419,BG$6),"")</f>
        <v/>
      </c>
      <c r="BH146" s="872"/>
      <c r="BI146" s="872"/>
      <c r="BJ146" s="872"/>
      <c r="BK146" s="872"/>
      <c r="BM146" s="1411"/>
      <c r="BN146" s="1411"/>
      <c r="BO146" s="1425" t="str">
        <f aca="false">IF(ISNUMBER($AU146*BB146*1),$AU146*BB146*1,"")</f>
        <v/>
      </c>
      <c r="BP146" s="1425" t="str">
        <f aca="false">IF(ISNUMBER($AV146*BC146*1),$AV146*BC146*1,"")</f>
        <v/>
      </c>
      <c r="BQ146" s="1425" t="str">
        <f aca="false">IF(ISNUMBER($AU146*BD146*1),$AU146*BD146*1,"")</f>
        <v/>
      </c>
      <c r="BR146" s="1425" t="str">
        <f aca="false">IF(ISNUMBER($AV146*BE146*1),$AV146*BE146*1,"")</f>
        <v/>
      </c>
      <c r="BS146" s="1411" t="str">
        <f aca="false">IF(ISNUMBER($AU146*BF146),$AU146*BF146,"")</f>
        <v/>
      </c>
      <c r="BT146" s="1411" t="str">
        <f aca="false">IF(ISNUMBER($AV146*BG146),$AV146*BG146,"")</f>
        <v/>
      </c>
      <c r="BU146" s="1411"/>
      <c r="BV146" s="1411"/>
      <c r="BW146" s="1411"/>
      <c r="BX146" s="1411"/>
      <c r="BZ146" s="1372"/>
      <c r="CA146" s="1372"/>
      <c r="CB146" s="1426" t="str">
        <f aca="false">IF(ISNUMBER($AW146*BB146),$AW146*BB146,"")</f>
        <v/>
      </c>
      <c r="CC146" s="1426" t="str">
        <f aca="false">IF(ISNUMBER($AX146*BC146),$AX146*BC146,"")</f>
        <v/>
      </c>
      <c r="CD146" s="1426" t="str">
        <f aca="false">IF(ISNUMBER($AW146*BD146),$AW146*BD146,"")</f>
        <v/>
      </c>
      <c r="CE146" s="1426" t="str">
        <f aca="false">IF(ISNUMBER($AX146*BE146),$AX146*BE146,"")</f>
        <v/>
      </c>
      <c r="CF146" s="1372" t="str">
        <f aca="false">IF(ISNUMBER($AW146*BF146),$AW146*BF146,"")</f>
        <v/>
      </c>
      <c r="CG146" s="1372" t="str">
        <f aca="false">IF(ISNUMBER($AX146*BG146),$AX146*BG146,"")</f>
        <v/>
      </c>
      <c r="CH146" s="1438"/>
      <c r="CI146" s="1438"/>
      <c r="CJ146" s="1438"/>
      <c r="CK146" s="1438"/>
      <c r="CU146" s="1411"/>
      <c r="CV146" s="1411"/>
      <c r="CW146" s="1425"/>
      <c r="CX146" s="1425"/>
      <c r="CY146" s="1425"/>
      <c r="CZ146" s="1425"/>
      <c r="DA146" s="1411"/>
      <c r="DB146" s="1411"/>
      <c r="DC146" s="1411"/>
      <c r="DD146" s="1411"/>
      <c r="DE146" s="1411"/>
      <c r="DF146" s="1411"/>
      <c r="DH146" s="1432"/>
      <c r="DI146" s="1432"/>
      <c r="DJ146" s="1437"/>
      <c r="DK146" s="1437"/>
      <c r="DL146" s="1437"/>
      <c r="DM146" s="1437"/>
      <c r="DN146" s="1432"/>
      <c r="DO146" s="1432"/>
      <c r="DP146" s="1432"/>
      <c r="DQ146" s="1432"/>
      <c r="DR146" s="1432"/>
      <c r="DS146" s="1432"/>
      <c r="DT146" s="1316"/>
      <c r="DU146" s="1433"/>
      <c r="DV146" s="1433"/>
      <c r="DW146" s="1433"/>
      <c r="DX146" s="1433"/>
      <c r="DY146" s="1433"/>
      <c r="DZ146" s="1433"/>
      <c r="EA146" s="1433"/>
      <c r="EB146" s="1433"/>
    </row>
    <row r="147" customFormat="false" ht="14.25" hidden="false" customHeight="false" outlineLevel="0" collapsed="false">
      <c r="A147" s="2" t="n">
        <f aca="false">'V_DATOS PAC_SGA'!R142</f>
        <v>0</v>
      </c>
      <c r="B147" s="2" t="n">
        <f aca="false">IF(I147="IV",CONCATENATE('V_DATOS PAC_SGA'!R142,"4")+0,CONCATENATE('V_DATOS PAC_SGA'!R142,"0")+0)</f>
        <v>0</v>
      </c>
      <c r="C147" s="2" t="n">
        <f aca="false">'V_DATOS PAC_SGA'!S142</f>
        <v>0</v>
      </c>
      <c r="D147" s="1409" t="n">
        <f aca="false">'V_DATOS PAC_SGA'!Y142</f>
        <v>0</v>
      </c>
      <c r="E147" s="1410" t="str">
        <f aca="false">IF('V_DATOS PAC_SGA'!AV142="","Regadio",'V_DATOS PAC_SGA'!AV142)</f>
        <v>Regadio</v>
      </c>
      <c r="F147" s="1411" t="n">
        <f aca="false">'V_DATOS PAC_SGA'!BK142</f>
        <v>0</v>
      </c>
      <c r="G147" s="1412" t="n">
        <f aca="false">'V_DATOS PAC_SGA'!AN142</f>
        <v>0</v>
      </c>
      <c r="H147" s="1413" t="str">
        <f aca="false">IF(B147&gt;0,VLOOKUP(B147,'O_MN, PE_UTA_UGM 2024'!E$3:O$419,10),"")</f>
        <v/>
      </c>
      <c r="I147" s="1359" t="n">
        <f aca="false">'V_DATOS PAC_SGA'!BV142</f>
        <v>0</v>
      </c>
      <c r="J147" s="2" t="str">
        <f aca="false">IF(AND(J$4=$G147,J$6=$F147),$D147*J$5,"")</f>
        <v/>
      </c>
      <c r="K147" s="2" t="str">
        <f aca="false">IF(AND(K$4=$G147,K$6=$F147),$D147*K$5,"")</f>
        <v/>
      </c>
      <c r="L147" s="2" t="str">
        <f aca="false">IF(AND(L$4=$G147,L$6=$F147),$D147*L$5,"")</f>
        <v/>
      </c>
      <c r="M147" s="2" t="str">
        <f aca="false">IF(AND(M$4=$G147,M$6=$F147),$D147*M$5,"")</f>
        <v/>
      </c>
      <c r="N147" s="1414" t="n">
        <f aca="false">VLOOKUP(B147,'O_MN, PE_UTA_UGM 2024'!$E$2:$K$419,IF(G147&gt;1,6,7))</f>
        <v>0</v>
      </c>
      <c r="O147" s="1434" t="str">
        <f aca="false">IF($H147=O$4,$D147*$N147,"")</f>
        <v/>
      </c>
      <c r="P147" s="1435" t="str">
        <f aca="false">IF($H147=P$4,$D147*$N147,"")</f>
        <v/>
      </c>
      <c r="Q147" s="1435" t="str">
        <f aca="false">IF($H147=Q$4,$D147*$N147,"")</f>
        <v/>
      </c>
      <c r="R147" s="1435" t="str">
        <f aca="false">IF($H147=R$4,$D147*$N147,"")</f>
        <v/>
      </c>
      <c r="S147" s="1435" t="str">
        <f aca="false">IF($H147=S$4,$D147*$N147,"")</f>
        <v/>
      </c>
      <c r="T147" s="1435" t="str">
        <f aca="false">IF($H147=T$4,$D147*$N147,"")</f>
        <v/>
      </c>
      <c r="U147" s="1436" t="str">
        <f aca="false">IF($H147=U$4,$D147*$N147,"")</f>
        <v/>
      </c>
      <c r="V147" s="1418"/>
      <c r="W147" s="1419"/>
      <c r="X147" s="1419"/>
      <c r="Y147" s="1419"/>
      <c r="Z147" s="1419"/>
      <c r="AA147" s="1419"/>
      <c r="AB147" s="1420"/>
      <c r="AC147" s="1319"/>
      <c r="AD147" s="2" t="str">
        <f aca="false">IF(AND(AD$4=$G147,AD$6=$F147),$B147,"")</f>
        <v/>
      </c>
      <c r="AE147" s="2" t="str">
        <f aca="false">IF(AND(AE$4=$G147,AE$6=$F147),$B147,"")</f>
        <v/>
      </c>
      <c r="AF147" s="2" t="str">
        <f aca="false">IF(AND(AF$4=$G147,AF$6=$F147),$B147,"")</f>
        <v/>
      </c>
      <c r="AG147" s="2" t="str">
        <f aca="false">IF(AND(AG$4=$G147,AG$6=$F147),$B147,"")</f>
        <v/>
      </c>
      <c r="AI147" s="366"/>
      <c r="AL147" s="367"/>
      <c r="AO147" s="367"/>
      <c r="AP147" s="2" t="str">
        <f aca="false">IF(AT147&gt;0,RANK(AT147,AT$7:AT$423),"")</f>
        <v/>
      </c>
      <c r="AQ147" s="2" t="n">
        <f aca="false">'O_MN, PE_UTA_UGM 2024'!C143</f>
        <v>172</v>
      </c>
      <c r="AR147" s="1421" t="n">
        <v>1710</v>
      </c>
      <c r="AS147" s="2" t="str">
        <f aca="false">IF(AY147&lt;&gt;"",AY147,"")</f>
        <v/>
      </c>
      <c r="AT147" s="1422" t="n">
        <f aca="false">IF(ISNUMBER($AR147),SUMIF(B$7:B$505,AR147,D$7:D$505),"")</f>
        <v>0</v>
      </c>
      <c r="AU147" s="1411" t="n">
        <f aca="false">IF(ISNUMBER($AR147),SUMIF(AD$7:AD$503,$AR147,J$7:J$503),"")</f>
        <v>0</v>
      </c>
      <c r="AV147" s="1411" t="n">
        <f aca="false">IF(ISNUMBER($AR147),SUMIF(AF$7:AF$503,$AR147,L$7:L$503),"")</f>
        <v>0</v>
      </c>
      <c r="AW147" s="1423" t="n">
        <f aca="false">IF(ISNUMBER($AR147),SUMIF(AE$7:AE$503,$AR147,K$7:K$503),"")</f>
        <v>0</v>
      </c>
      <c r="AX147" s="1423" t="n">
        <f aca="false">IF(ISNUMBER($AR147),SUMIF(AG$7:AG$503,$AR147,M$7:M$503),"")</f>
        <v>0</v>
      </c>
      <c r="AY147" s="2" t="str">
        <f aca="false">IF($AT147&gt;0,VLOOKUP($AR147,'O_MN, PE_UTA_UGM 2024'!E143:O559,2),"")</f>
        <v/>
      </c>
      <c r="AZ147" s="1424"/>
      <c r="BA147" s="1424"/>
      <c r="BB147" s="1424" t="str">
        <f aca="false">IF($AT147&gt;0,VLOOKUP($AR147,'O_MN, PE_UTA_UGM 2024'!$E$3:$O$419,BB$6),"")</f>
        <v/>
      </c>
      <c r="BC147" s="1424" t="str">
        <f aca="false">IF($AT147&gt;0,VLOOKUP($AR147,'O_MN, PE_UTA_UGM 2024'!$E$3:$O$419,BC$6),"")</f>
        <v/>
      </c>
      <c r="BD147" s="1424" t="str">
        <f aca="false">IF($AT147&gt;0,VLOOKUP($AR147,'O_MN, PE_UTA_UGM 2024'!$E$3:$O$419,BD$6),"")</f>
        <v/>
      </c>
      <c r="BE147" s="1424" t="str">
        <f aca="false">IF($AT147&gt;0,VLOOKUP($AR147,'O_MN, PE_UTA_UGM 2024'!$E$3:$O$419,BE$6),"")</f>
        <v/>
      </c>
      <c r="BF147" s="1424" t="str">
        <f aca="false">IF($AT147&gt;0,VLOOKUP($AR147,'O_MN, PE_UTA_UGM 2024'!$E$3:$O$419,BF$6),"")</f>
        <v/>
      </c>
      <c r="BG147" s="1424" t="str">
        <f aca="false">IF($AT147&gt;0,VLOOKUP($AR147,'O_MN, PE_UTA_UGM 2024'!$E$3:$O$419,BG$6),"")</f>
        <v/>
      </c>
      <c r="BH147" s="872"/>
      <c r="BI147" s="872"/>
      <c r="BJ147" s="872"/>
      <c r="BK147" s="872"/>
      <c r="BM147" s="1411"/>
      <c r="BN147" s="1411"/>
      <c r="BO147" s="1425" t="str">
        <f aca="false">IF(ISNUMBER($AU147*BB147*1),$AU147*BB147*1,"")</f>
        <v/>
      </c>
      <c r="BP147" s="1425" t="str">
        <f aca="false">IF(ISNUMBER($AV147*BC147*1),$AV147*BC147*1,"")</f>
        <v/>
      </c>
      <c r="BQ147" s="1425" t="str">
        <f aca="false">IF(ISNUMBER($AU147*BD147*1),$AU147*BD147*1,"")</f>
        <v/>
      </c>
      <c r="BR147" s="1425" t="str">
        <f aca="false">IF(ISNUMBER($AV147*BE147*1),$AV147*BE147*1,"")</f>
        <v/>
      </c>
      <c r="BS147" s="1411" t="str">
        <f aca="false">IF(ISNUMBER($AU147*BF147),$AU147*BF147,"")</f>
        <v/>
      </c>
      <c r="BT147" s="1411" t="str">
        <f aca="false">IF(ISNUMBER($AV147*BG147),$AV147*BG147,"")</f>
        <v/>
      </c>
      <c r="BU147" s="1411"/>
      <c r="BV147" s="1411"/>
      <c r="BW147" s="1411"/>
      <c r="BX147" s="1411"/>
      <c r="BZ147" s="1372"/>
      <c r="CA147" s="1372"/>
      <c r="CB147" s="1426" t="str">
        <f aca="false">IF(ISNUMBER($AW147*BB147),$AW147*BB147,"")</f>
        <v/>
      </c>
      <c r="CC147" s="1426" t="str">
        <f aca="false">IF(ISNUMBER($AX147*BC147),$AX147*BC147,"")</f>
        <v/>
      </c>
      <c r="CD147" s="1426" t="str">
        <f aca="false">IF(ISNUMBER($AW147*BD147),$AW147*BD147,"")</f>
        <v/>
      </c>
      <c r="CE147" s="1426" t="str">
        <f aca="false">IF(ISNUMBER($AX147*BE147),$AX147*BE147,"")</f>
        <v/>
      </c>
      <c r="CF147" s="1372" t="str">
        <f aca="false">IF(ISNUMBER($AW147*BF147),$AW147*BF147,"")</f>
        <v/>
      </c>
      <c r="CG147" s="1372" t="str">
        <f aca="false">IF(ISNUMBER($AX147*BG147),$AX147*BG147,"")</f>
        <v/>
      </c>
      <c r="CH147" s="1438"/>
      <c r="CI147" s="1438"/>
      <c r="CJ147" s="1438"/>
      <c r="CK147" s="1438"/>
      <c r="CU147" s="1411"/>
      <c r="CV147" s="1411"/>
      <c r="CW147" s="1425"/>
      <c r="CX147" s="1425"/>
      <c r="CY147" s="1425"/>
      <c r="CZ147" s="1425"/>
      <c r="DA147" s="1411"/>
      <c r="DB147" s="1411"/>
      <c r="DC147" s="1411"/>
      <c r="DD147" s="1411"/>
      <c r="DE147" s="1411"/>
      <c r="DF147" s="1411"/>
      <c r="DH147" s="1432"/>
      <c r="DI147" s="1432"/>
      <c r="DJ147" s="1437"/>
      <c r="DK147" s="1437"/>
      <c r="DL147" s="1437"/>
      <c r="DM147" s="1437"/>
      <c r="DN147" s="1432"/>
      <c r="DO147" s="1432"/>
      <c r="DP147" s="1432"/>
      <c r="DQ147" s="1432"/>
      <c r="DR147" s="1432"/>
      <c r="DS147" s="1432"/>
      <c r="DT147" s="1316"/>
      <c r="DU147" s="1433"/>
      <c r="DV147" s="1433"/>
      <c r="DW147" s="1433"/>
      <c r="DX147" s="1433"/>
      <c r="DY147" s="1433"/>
      <c r="DZ147" s="1433"/>
      <c r="EA147" s="1433"/>
      <c r="EB147" s="1433"/>
    </row>
    <row r="148" customFormat="false" ht="14.25" hidden="false" customHeight="false" outlineLevel="0" collapsed="false">
      <c r="A148" s="2" t="n">
        <f aca="false">'V_DATOS PAC_SGA'!R143</f>
        <v>0</v>
      </c>
      <c r="B148" s="2" t="n">
        <f aca="false">IF(I148="IV",CONCATENATE('V_DATOS PAC_SGA'!R143,"4")+0,CONCATENATE('V_DATOS PAC_SGA'!R143,"0")+0)</f>
        <v>0</v>
      </c>
      <c r="C148" s="2" t="n">
        <f aca="false">'V_DATOS PAC_SGA'!S143</f>
        <v>0</v>
      </c>
      <c r="D148" s="1409" t="n">
        <f aca="false">'V_DATOS PAC_SGA'!Y143</f>
        <v>0</v>
      </c>
      <c r="E148" s="1410" t="str">
        <f aca="false">IF('V_DATOS PAC_SGA'!AV143="","Regadio",'V_DATOS PAC_SGA'!AV143)</f>
        <v>Regadio</v>
      </c>
      <c r="F148" s="1411" t="n">
        <f aca="false">'V_DATOS PAC_SGA'!BK143</f>
        <v>0</v>
      </c>
      <c r="G148" s="1412" t="n">
        <f aca="false">'V_DATOS PAC_SGA'!AN143</f>
        <v>0</v>
      </c>
      <c r="H148" s="1413" t="str">
        <f aca="false">IF(B148&gt;0,VLOOKUP(B148,'O_MN, PE_UTA_UGM 2024'!E$3:O$419,10),"")</f>
        <v/>
      </c>
      <c r="I148" s="1359" t="n">
        <f aca="false">'V_DATOS PAC_SGA'!BV143</f>
        <v>0</v>
      </c>
      <c r="J148" s="2" t="str">
        <f aca="false">IF(AND(J$4=$G148,J$6=$F148),$D148*J$5,"")</f>
        <v/>
      </c>
      <c r="K148" s="2" t="str">
        <f aca="false">IF(AND(K$4=$G148,K$6=$F148),$D148*K$5,"")</f>
        <v/>
      </c>
      <c r="L148" s="2" t="str">
        <f aca="false">IF(AND(L$4=$G148,L$6=$F148),$D148*L$5,"")</f>
        <v/>
      </c>
      <c r="M148" s="2" t="str">
        <f aca="false">IF(AND(M$4=$G148,M$6=$F148),$D148*M$5,"")</f>
        <v/>
      </c>
      <c r="N148" s="1414" t="n">
        <f aca="false">VLOOKUP(B148,'O_MN, PE_UTA_UGM 2024'!$E$2:$K$419,IF(G148&gt;1,6,7))</f>
        <v>0</v>
      </c>
      <c r="O148" s="1434" t="str">
        <f aca="false">IF($H148=O$4,$D148*$N148,"")</f>
        <v/>
      </c>
      <c r="P148" s="1435" t="str">
        <f aca="false">IF($H148=P$4,$D148*$N148,"")</f>
        <v/>
      </c>
      <c r="Q148" s="1435" t="str">
        <f aca="false">IF($H148=Q$4,$D148*$N148,"")</f>
        <v/>
      </c>
      <c r="R148" s="1435" t="str">
        <f aca="false">IF($H148=R$4,$D148*$N148,"")</f>
        <v/>
      </c>
      <c r="S148" s="1435" t="str">
        <f aca="false">IF($H148=S$4,$D148*$N148,"")</f>
        <v/>
      </c>
      <c r="T148" s="1435" t="str">
        <f aca="false">IF($H148=T$4,$D148*$N148,"")</f>
        <v/>
      </c>
      <c r="U148" s="1436" t="str">
        <f aca="false">IF($H148=U$4,$D148*$N148,"")</f>
        <v/>
      </c>
      <c r="V148" s="1418"/>
      <c r="W148" s="1419"/>
      <c r="X148" s="1419"/>
      <c r="Y148" s="1419"/>
      <c r="Z148" s="1419"/>
      <c r="AA148" s="1419"/>
      <c r="AB148" s="1420"/>
      <c r="AC148" s="1319"/>
      <c r="AD148" s="2" t="str">
        <f aca="false">IF(AND(AD$4=$G148,AD$6=$F148),$B148,"")</f>
        <v/>
      </c>
      <c r="AE148" s="2" t="str">
        <f aca="false">IF(AND(AE$4=$G148,AE$6=$F148),$B148,"")</f>
        <v/>
      </c>
      <c r="AF148" s="2" t="str">
        <f aca="false">IF(AND(AF$4=$G148,AF$6=$F148),$B148,"")</f>
        <v/>
      </c>
      <c r="AG148" s="2" t="str">
        <f aca="false">IF(AND(AG$4=$G148,AG$6=$F148),$B148,"")</f>
        <v/>
      </c>
      <c r="AI148" s="366"/>
      <c r="AL148" s="367"/>
      <c r="AO148" s="367"/>
      <c r="AP148" s="2" t="str">
        <f aca="false">IF(AT148&gt;0,RANK(AT148,AT$7:AT$423),"")</f>
        <v/>
      </c>
      <c r="AQ148" s="2" t="n">
        <f aca="false">'O_MN, PE_UTA_UGM 2024'!C144</f>
        <v>172</v>
      </c>
      <c r="AR148" s="1421" t="n">
        <v>1714</v>
      </c>
      <c r="AS148" s="2" t="str">
        <f aca="false">IF(AY148&lt;&gt;"",AY148,"")</f>
        <v/>
      </c>
      <c r="AT148" s="1422" t="n">
        <f aca="false">IF(ISNUMBER($AR148),SUMIF(B$7:B$505,AR148,D$7:D$505),"")</f>
        <v>0</v>
      </c>
      <c r="AU148" s="1411" t="n">
        <f aca="false">IF(ISNUMBER($AR148),SUMIF(AD$7:AD$503,$AR148,J$7:J$503),"")</f>
        <v>0</v>
      </c>
      <c r="AV148" s="1411" t="n">
        <f aca="false">IF(ISNUMBER($AR148),SUMIF(AF$7:AF$503,$AR148,L$7:L$503),"")</f>
        <v>0</v>
      </c>
      <c r="AW148" s="1423" t="n">
        <f aca="false">IF(ISNUMBER($AR148),SUMIF(AE$7:AE$503,$AR148,K$7:K$503),"")</f>
        <v>0</v>
      </c>
      <c r="AX148" s="1423" t="n">
        <f aca="false">IF(ISNUMBER($AR148),SUMIF(AG$7:AG$503,$AR148,M$7:M$503),"")</f>
        <v>0</v>
      </c>
      <c r="AY148" s="2" t="str">
        <f aca="false">IF($AT148&gt;0,VLOOKUP($AR148,'O_MN, PE_UTA_UGM 2024'!E144:O560,2),"")</f>
        <v/>
      </c>
      <c r="AZ148" s="1424"/>
      <c r="BA148" s="1424"/>
      <c r="BB148" s="1424" t="str">
        <f aca="false">IF($AT148&gt;0,VLOOKUP($AR148,'O_MN, PE_UTA_UGM 2024'!$E$3:$O$419,BB$6),"")</f>
        <v/>
      </c>
      <c r="BC148" s="1424" t="str">
        <f aca="false">IF($AT148&gt;0,VLOOKUP($AR148,'O_MN, PE_UTA_UGM 2024'!$E$3:$O$419,BC$6),"")</f>
        <v/>
      </c>
      <c r="BD148" s="1424" t="str">
        <f aca="false">IF($AT148&gt;0,VLOOKUP($AR148,'O_MN, PE_UTA_UGM 2024'!$E$3:$O$419,BD$6),"")</f>
        <v/>
      </c>
      <c r="BE148" s="1424" t="str">
        <f aca="false">IF($AT148&gt;0,VLOOKUP($AR148,'O_MN, PE_UTA_UGM 2024'!$E$3:$O$419,BE$6),"")</f>
        <v/>
      </c>
      <c r="BF148" s="1424" t="str">
        <f aca="false">IF($AT148&gt;0,VLOOKUP($AR148,'O_MN, PE_UTA_UGM 2024'!$E$3:$O$419,BF$6),"")</f>
        <v/>
      </c>
      <c r="BG148" s="1424" t="str">
        <f aca="false">IF($AT148&gt;0,VLOOKUP($AR148,'O_MN, PE_UTA_UGM 2024'!$E$3:$O$419,BG$6),"")</f>
        <v/>
      </c>
      <c r="BH148" s="872"/>
      <c r="BI148" s="872"/>
      <c r="BJ148" s="872"/>
      <c r="BK148" s="872"/>
      <c r="BM148" s="1411"/>
      <c r="BN148" s="1411"/>
      <c r="BO148" s="1425" t="str">
        <f aca="false">IF(ISNUMBER($AU148*BB148*1),$AU148*BB148*1,"")</f>
        <v/>
      </c>
      <c r="BP148" s="1425" t="str">
        <f aca="false">IF(ISNUMBER($AV148*BC148*1),$AV148*BC148*1,"")</f>
        <v/>
      </c>
      <c r="BQ148" s="1425" t="str">
        <f aca="false">IF(ISNUMBER($AU148*BD148*1),$AU148*BD148*1,"")</f>
        <v/>
      </c>
      <c r="BR148" s="1425" t="str">
        <f aca="false">IF(ISNUMBER($AV148*BE148*1),$AV148*BE148*1,"")</f>
        <v/>
      </c>
      <c r="BS148" s="1411" t="str">
        <f aca="false">IF(ISNUMBER($AU148*BF148),$AU148*BF148,"")</f>
        <v/>
      </c>
      <c r="BT148" s="1411" t="str">
        <f aca="false">IF(ISNUMBER($AV148*BG148),$AV148*BG148,"")</f>
        <v/>
      </c>
      <c r="BU148" s="1411"/>
      <c r="BV148" s="1411"/>
      <c r="BW148" s="1411"/>
      <c r="BX148" s="1411"/>
      <c r="BZ148" s="1372"/>
      <c r="CA148" s="1372"/>
      <c r="CB148" s="1426" t="str">
        <f aca="false">IF(ISNUMBER($AW148*BB148),$AW148*BB148,"")</f>
        <v/>
      </c>
      <c r="CC148" s="1426" t="str">
        <f aca="false">IF(ISNUMBER($AX148*BC148),$AX148*BC148,"")</f>
        <v/>
      </c>
      <c r="CD148" s="1426" t="str">
        <f aca="false">IF(ISNUMBER($AW148*BD148),$AW148*BD148,"")</f>
        <v/>
      </c>
      <c r="CE148" s="1426" t="str">
        <f aca="false">IF(ISNUMBER($AX148*BE148),$AX148*BE148,"")</f>
        <v/>
      </c>
      <c r="CF148" s="1372" t="str">
        <f aca="false">IF(ISNUMBER($AW148*BF148),$AW148*BF148,"")</f>
        <v/>
      </c>
      <c r="CG148" s="1372" t="str">
        <f aca="false">IF(ISNUMBER($AX148*BG148),$AX148*BG148,"")</f>
        <v/>
      </c>
      <c r="CH148" s="1438"/>
      <c r="CI148" s="1438"/>
      <c r="CJ148" s="1438"/>
      <c r="CK148" s="1438"/>
      <c r="CU148" s="1411"/>
      <c r="CV148" s="1411"/>
      <c r="CW148" s="1425"/>
      <c r="CX148" s="1425"/>
      <c r="CY148" s="1425"/>
      <c r="CZ148" s="1425"/>
      <c r="DA148" s="1411"/>
      <c r="DB148" s="1411"/>
      <c r="DC148" s="1411"/>
      <c r="DD148" s="1411"/>
      <c r="DE148" s="1411"/>
      <c r="DF148" s="1411"/>
      <c r="DH148" s="1432"/>
      <c r="DI148" s="1432"/>
      <c r="DJ148" s="1437"/>
      <c r="DK148" s="1437"/>
      <c r="DL148" s="1437"/>
      <c r="DM148" s="1437"/>
      <c r="DN148" s="1432"/>
      <c r="DO148" s="1432"/>
      <c r="DP148" s="1432"/>
      <c r="DQ148" s="1432"/>
      <c r="DR148" s="1432"/>
      <c r="DS148" s="1432"/>
      <c r="DT148" s="1316"/>
      <c r="DU148" s="1433"/>
      <c r="DV148" s="1433"/>
      <c r="DW148" s="1433"/>
      <c r="DX148" s="1433"/>
      <c r="DY148" s="1433"/>
      <c r="DZ148" s="1433"/>
      <c r="EA148" s="1433"/>
      <c r="EB148" s="1433"/>
    </row>
    <row r="149" customFormat="false" ht="14.25" hidden="false" customHeight="false" outlineLevel="0" collapsed="false">
      <c r="A149" s="2" t="n">
        <f aca="false">'V_DATOS PAC_SGA'!R144</f>
        <v>0</v>
      </c>
      <c r="B149" s="2" t="n">
        <f aca="false">IF(I149="IV",CONCATENATE('V_DATOS PAC_SGA'!R144,"4")+0,CONCATENATE('V_DATOS PAC_SGA'!R144,"0")+0)</f>
        <v>0</v>
      </c>
      <c r="C149" s="2" t="n">
        <f aca="false">'V_DATOS PAC_SGA'!S144</f>
        <v>0</v>
      </c>
      <c r="D149" s="1409" t="n">
        <f aca="false">'V_DATOS PAC_SGA'!Y144</f>
        <v>0</v>
      </c>
      <c r="E149" s="1410" t="str">
        <f aca="false">IF('V_DATOS PAC_SGA'!AV144="","Regadio",'V_DATOS PAC_SGA'!AV144)</f>
        <v>Regadio</v>
      </c>
      <c r="F149" s="1411" t="n">
        <f aca="false">'V_DATOS PAC_SGA'!BK144</f>
        <v>0</v>
      </c>
      <c r="G149" s="1412" t="n">
        <f aca="false">'V_DATOS PAC_SGA'!AN144</f>
        <v>0</v>
      </c>
      <c r="H149" s="1413" t="str">
        <f aca="false">IF(B149&gt;0,VLOOKUP(B149,'O_MN, PE_UTA_UGM 2024'!E$3:O$419,10),"")</f>
        <v/>
      </c>
      <c r="I149" s="1359" t="n">
        <f aca="false">'V_DATOS PAC_SGA'!BV144</f>
        <v>0</v>
      </c>
      <c r="J149" s="2" t="str">
        <f aca="false">IF(AND(J$4=$G149,J$6=$F149),$D149*J$5,"")</f>
        <v/>
      </c>
      <c r="K149" s="2" t="str">
        <f aca="false">IF(AND(K$4=$G149,K$6=$F149),$D149*K$5,"")</f>
        <v/>
      </c>
      <c r="L149" s="2" t="str">
        <f aca="false">IF(AND(L$4=$G149,L$6=$F149),$D149*L$5,"")</f>
        <v/>
      </c>
      <c r="M149" s="2" t="str">
        <f aca="false">IF(AND(M$4=$G149,M$6=$F149),$D149*M$5,"")</f>
        <v/>
      </c>
      <c r="N149" s="1414" t="n">
        <f aca="false">VLOOKUP(B149,'O_MN, PE_UTA_UGM 2024'!$E$2:$K$419,IF(G149&gt;1,6,7))</f>
        <v>0</v>
      </c>
      <c r="O149" s="1434" t="str">
        <f aca="false">IF($H149=O$4,$D149*$N149,"")</f>
        <v/>
      </c>
      <c r="P149" s="1435" t="str">
        <f aca="false">IF($H149=P$4,$D149*$N149,"")</f>
        <v/>
      </c>
      <c r="Q149" s="1435" t="str">
        <f aca="false">IF($H149=Q$4,$D149*$N149,"")</f>
        <v/>
      </c>
      <c r="R149" s="1435" t="str">
        <f aca="false">IF($H149=R$4,$D149*$N149,"")</f>
        <v/>
      </c>
      <c r="S149" s="1435" t="str">
        <f aca="false">IF($H149=S$4,$D149*$N149,"")</f>
        <v/>
      </c>
      <c r="T149" s="1435" t="str">
        <f aca="false">IF($H149=T$4,$D149*$N149,"")</f>
        <v/>
      </c>
      <c r="U149" s="1436" t="str">
        <f aca="false">IF($H149=U$4,$D149*$N149,"")</f>
        <v/>
      </c>
      <c r="V149" s="1418"/>
      <c r="W149" s="1419"/>
      <c r="X149" s="1419"/>
      <c r="Y149" s="1419"/>
      <c r="Z149" s="1419"/>
      <c r="AA149" s="1419"/>
      <c r="AB149" s="1420"/>
      <c r="AC149" s="1319"/>
      <c r="AD149" s="2" t="str">
        <f aca="false">IF(AND(AD$4=$G149,AD$6=$F149),$B149,"")</f>
        <v/>
      </c>
      <c r="AE149" s="2" t="str">
        <f aca="false">IF(AND(AE$4=$G149,AE$6=$F149),$B149,"")</f>
        <v/>
      </c>
      <c r="AF149" s="2" t="str">
        <f aca="false">IF(AND(AF$4=$G149,AF$6=$F149),$B149,"")</f>
        <v/>
      </c>
      <c r="AG149" s="2" t="str">
        <f aca="false">IF(AND(AG$4=$G149,AG$6=$F149),$B149,"")</f>
        <v/>
      </c>
      <c r="AI149" s="366"/>
      <c r="AL149" s="367"/>
      <c r="AO149" s="367"/>
      <c r="AP149" s="2" t="str">
        <f aca="false">IF(AT149&gt;0,RANK(AT149,AT$7:AT$423),"")</f>
        <v/>
      </c>
      <c r="AQ149" s="2" t="n">
        <f aca="false">'O_MN, PE_UTA_UGM 2024'!C145</f>
        <v>173</v>
      </c>
      <c r="AR149" s="1421" t="n">
        <v>1719</v>
      </c>
      <c r="AS149" s="2" t="str">
        <f aca="false">IF(AY149&lt;&gt;"",AY149,"")</f>
        <v/>
      </c>
      <c r="AT149" s="1422" t="n">
        <f aca="false">IF(ISNUMBER($AR149),SUMIF(B$7:B$505,AR149,D$7:D$505),"")</f>
        <v>0</v>
      </c>
      <c r="AU149" s="1411" t="n">
        <f aca="false">IF(ISNUMBER($AR149),SUMIF(AD$7:AD$503,$AR149,J$7:J$503),"")</f>
        <v>0</v>
      </c>
      <c r="AV149" s="1411" t="n">
        <f aca="false">IF(ISNUMBER($AR149),SUMIF(AF$7:AF$503,$AR149,L$7:L$503),"")</f>
        <v>0</v>
      </c>
      <c r="AW149" s="1423" t="n">
        <f aca="false">IF(ISNUMBER($AR149),SUMIF(AE$7:AE$503,$AR149,K$7:K$503),"")</f>
        <v>0</v>
      </c>
      <c r="AX149" s="1423" t="n">
        <f aca="false">IF(ISNUMBER($AR149),SUMIF(AG$7:AG$503,$AR149,M$7:M$503),"")</f>
        <v>0</v>
      </c>
      <c r="AY149" s="2" t="str">
        <f aca="false">IF($AT149&gt;0,VLOOKUP($AR149,'O_MN, PE_UTA_UGM 2024'!E145:O561,2),"")</f>
        <v/>
      </c>
      <c r="AZ149" s="1424"/>
      <c r="BA149" s="1424"/>
      <c r="BB149" s="1424" t="str">
        <f aca="false">IF($AT149&gt;0,VLOOKUP($AR149,'O_MN, PE_UTA_UGM 2024'!$E$3:$O$419,BB$6),"")</f>
        <v/>
      </c>
      <c r="BC149" s="1424" t="str">
        <f aca="false">IF($AT149&gt;0,VLOOKUP($AR149,'O_MN, PE_UTA_UGM 2024'!$E$3:$O$419,BC$6),"")</f>
        <v/>
      </c>
      <c r="BD149" s="1424" t="str">
        <f aca="false">IF($AT149&gt;0,VLOOKUP($AR149,'O_MN, PE_UTA_UGM 2024'!$E$3:$O$419,BD$6),"")</f>
        <v/>
      </c>
      <c r="BE149" s="1424" t="str">
        <f aca="false">IF($AT149&gt;0,VLOOKUP($AR149,'O_MN, PE_UTA_UGM 2024'!$E$3:$O$419,BE$6),"")</f>
        <v/>
      </c>
      <c r="BF149" s="1424" t="str">
        <f aca="false">IF($AT149&gt;0,VLOOKUP($AR149,'O_MN, PE_UTA_UGM 2024'!$E$3:$O$419,BF$6),"")</f>
        <v/>
      </c>
      <c r="BG149" s="1424" t="str">
        <f aca="false">IF($AT149&gt;0,VLOOKUP($AR149,'O_MN, PE_UTA_UGM 2024'!$E$3:$O$419,BG$6),"")</f>
        <v/>
      </c>
      <c r="BH149" s="872"/>
      <c r="BI149" s="872"/>
      <c r="BJ149" s="872"/>
      <c r="BK149" s="872"/>
      <c r="BM149" s="1411"/>
      <c r="BN149" s="1411"/>
      <c r="BO149" s="1425" t="str">
        <f aca="false">IF(ISNUMBER($AU149*BB149*1),$AU149*BB149*1,"")</f>
        <v/>
      </c>
      <c r="BP149" s="1425" t="str">
        <f aca="false">IF(ISNUMBER($AV149*BC149*1),$AV149*BC149*1,"")</f>
        <v/>
      </c>
      <c r="BQ149" s="1425" t="str">
        <f aca="false">IF(ISNUMBER($AU149*BD149*1),$AU149*BD149*1,"")</f>
        <v/>
      </c>
      <c r="BR149" s="1425" t="str">
        <f aca="false">IF(ISNUMBER($AV149*BE149*1),$AV149*BE149*1,"")</f>
        <v/>
      </c>
      <c r="BS149" s="1411" t="str">
        <f aca="false">IF(ISNUMBER($AU149*BF149),$AU149*BF149,"")</f>
        <v/>
      </c>
      <c r="BT149" s="1411" t="str">
        <f aca="false">IF(ISNUMBER($AV149*BG149),$AV149*BG149,"")</f>
        <v/>
      </c>
      <c r="BU149" s="1411"/>
      <c r="BV149" s="1411"/>
      <c r="BW149" s="1411"/>
      <c r="BX149" s="1411"/>
      <c r="BZ149" s="1372"/>
      <c r="CA149" s="1372"/>
      <c r="CB149" s="1426" t="str">
        <f aca="false">IF(ISNUMBER($AW149*BB149),$AW149*BB149,"")</f>
        <v/>
      </c>
      <c r="CC149" s="1426" t="str">
        <f aca="false">IF(ISNUMBER($AX149*BC149),$AX149*BC149,"")</f>
        <v/>
      </c>
      <c r="CD149" s="1426" t="str">
        <f aca="false">IF(ISNUMBER($AW149*BD149),$AW149*BD149,"")</f>
        <v/>
      </c>
      <c r="CE149" s="1426" t="str">
        <f aca="false">IF(ISNUMBER($AX149*BE149),$AX149*BE149,"")</f>
        <v/>
      </c>
      <c r="CF149" s="1372" t="str">
        <f aca="false">IF(ISNUMBER($AW149*BF149),$AW149*BF149,"")</f>
        <v/>
      </c>
      <c r="CG149" s="1372" t="str">
        <f aca="false">IF(ISNUMBER($AX149*BG149),$AX149*BG149,"")</f>
        <v/>
      </c>
      <c r="CH149" s="1438"/>
      <c r="CI149" s="1438"/>
      <c r="CJ149" s="1438"/>
      <c r="CK149" s="1438"/>
      <c r="CU149" s="1411"/>
      <c r="CV149" s="1411"/>
      <c r="CW149" s="1425"/>
      <c r="CX149" s="1425"/>
      <c r="CY149" s="1425"/>
      <c r="CZ149" s="1425"/>
      <c r="DA149" s="1411"/>
      <c r="DB149" s="1411"/>
      <c r="DC149" s="1411"/>
      <c r="DD149" s="1411"/>
      <c r="DE149" s="1411"/>
      <c r="DF149" s="1411"/>
      <c r="DH149" s="1432"/>
      <c r="DI149" s="1432"/>
      <c r="DJ149" s="1437"/>
      <c r="DK149" s="1437"/>
      <c r="DL149" s="1437"/>
      <c r="DM149" s="1437"/>
      <c r="DN149" s="1432"/>
      <c r="DO149" s="1432"/>
      <c r="DP149" s="1432"/>
      <c r="DQ149" s="1432"/>
      <c r="DR149" s="1432"/>
      <c r="DS149" s="1432"/>
      <c r="DT149" s="1316"/>
      <c r="DU149" s="1433"/>
      <c r="DV149" s="1433"/>
      <c r="DW149" s="1433"/>
      <c r="DX149" s="1433"/>
      <c r="DY149" s="1433"/>
      <c r="DZ149" s="1433"/>
      <c r="EA149" s="1433"/>
      <c r="EB149" s="1433"/>
    </row>
    <row r="150" customFormat="false" ht="14.25" hidden="false" customHeight="false" outlineLevel="0" collapsed="false">
      <c r="A150" s="2" t="n">
        <f aca="false">'V_DATOS PAC_SGA'!R145</f>
        <v>0</v>
      </c>
      <c r="B150" s="2" t="n">
        <f aca="false">IF(I150="IV",CONCATENATE('V_DATOS PAC_SGA'!R145,"4")+0,CONCATENATE('V_DATOS PAC_SGA'!R145,"0")+0)</f>
        <v>0</v>
      </c>
      <c r="C150" s="2" t="n">
        <f aca="false">'V_DATOS PAC_SGA'!S145</f>
        <v>0</v>
      </c>
      <c r="D150" s="1409" t="n">
        <f aca="false">'V_DATOS PAC_SGA'!Y145</f>
        <v>0</v>
      </c>
      <c r="E150" s="1410" t="str">
        <f aca="false">IF('V_DATOS PAC_SGA'!AV145="","Regadio",'V_DATOS PAC_SGA'!AV145)</f>
        <v>Regadio</v>
      </c>
      <c r="F150" s="1411" t="n">
        <f aca="false">'V_DATOS PAC_SGA'!BK145</f>
        <v>0</v>
      </c>
      <c r="G150" s="1412" t="n">
        <f aca="false">'V_DATOS PAC_SGA'!AN145</f>
        <v>0</v>
      </c>
      <c r="H150" s="1413" t="str">
        <f aca="false">IF(B150&gt;0,VLOOKUP(B150,'O_MN, PE_UTA_UGM 2024'!E$3:O$419,10),"")</f>
        <v/>
      </c>
      <c r="I150" s="1359" t="n">
        <f aca="false">'V_DATOS PAC_SGA'!BV145</f>
        <v>0</v>
      </c>
      <c r="J150" s="2" t="str">
        <f aca="false">IF(AND(J$4=$G150,J$6=$F150),$D150*J$5,"")</f>
        <v/>
      </c>
      <c r="K150" s="2" t="str">
        <f aca="false">IF(AND(K$4=$G150,K$6=$F150),$D150*K$5,"")</f>
        <v/>
      </c>
      <c r="L150" s="2" t="str">
        <f aca="false">IF(AND(L$4=$G150,L$6=$F150),$D150*L$5,"")</f>
        <v/>
      </c>
      <c r="M150" s="2" t="str">
        <f aca="false">IF(AND(M$4=$G150,M$6=$F150),$D150*M$5,"")</f>
        <v/>
      </c>
      <c r="N150" s="1414" t="n">
        <f aca="false">VLOOKUP(B150,'O_MN, PE_UTA_UGM 2024'!$E$2:$K$419,IF(G150&gt;1,6,7))</f>
        <v>0</v>
      </c>
      <c r="O150" s="1434" t="str">
        <f aca="false">IF($H150=O$4,$D150*$N150,"")</f>
        <v/>
      </c>
      <c r="P150" s="1435" t="str">
        <f aca="false">IF($H150=P$4,$D150*$N150,"")</f>
        <v/>
      </c>
      <c r="Q150" s="1435" t="str">
        <f aca="false">IF($H150=Q$4,$D150*$N150,"")</f>
        <v/>
      </c>
      <c r="R150" s="1435" t="str">
        <f aca="false">IF($H150=R$4,$D150*$N150,"")</f>
        <v/>
      </c>
      <c r="S150" s="1435" t="str">
        <f aca="false">IF($H150=S$4,$D150*$N150,"")</f>
        <v/>
      </c>
      <c r="T150" s="1435" t="str">
        <f aca="false">IF($H150=T$4,$D150*$N150,"")</f>
        <v/>
      </c>
      <c r="U150" s="1436" t="str">
        <f aca="false">IF($H150=U$4,$D150*$N150,"")</f>
        <v/>
      </c>
      <c r="V150" s="1418"/>
      <c r="W150" s="1419"/>
      <c r="X150" s="1419"/>
      <c r="Y150" s="1419"/>
      <c r="Z150" s="1419"/>
      <c r="AA150" s="1419"/>
      <c r="AB150" s="1420"/>
      <c r="AC150" s="1319"/>
      <c r="AD150" s="2" t="str">
        <f aca="false">IF(AND(AD$4=$G150,AD$6=$F150),$B150,"")</f>
        <v/>
      </c>
      <c r="AE150" s="2" t="str">
        <f aca="false">IF(AND(AE$4=$G150,AE$6=$F150),$B150,"")</f>
        <v/>
      </c>
      <c r="AF150" s="2" t="str">
        <f aca="false">IF(AND(AF$4=$G150,AF$6=$F150),$B150,"")</f>
        <v/>
      </c>
      <c r="AG150" s="2" t="str">
        <f aca="false">IF(AND(AG$4=$G150,AG$6=$F150),$B150,"")</f>
        <v/>
      </c>
      <c r="AI150" s="366"/>
      <c r="AL150" s="367"/>
      <c r="AO150" s="367"/>
      <c r="AP150" s="2" t="str">
        <f aca="false">IF(AT150&gt;0,RANK(AT150,AT$7:AT$423),"")</f>
        <v/>
      </c>
      <c r="AQ150" s="2" t="n">
        <f aca="false">'O_MN, PE_UTA_UGM 2024'!C146</f>
        <v>173</v>
      </c>
      <c r="AR150" s="1421" t="n">
        <v>1720</v>
      </c>
      <c r="AS150" s="2" t="str">
        <f aca="false">IF(AY150&lt;&gt;"",AY150,"")</f>
        <v/>
      </c>
      <c r="AT150" s="1422" t="n">
        <f aca="false">IF(ISNUMBER($AR150),SUMIF(B$7:B$505,AR150,D$7:D$505),"")</f>
        <v>0</v>
      </c>
      <c r="AU150" s="1411" t="n">
        <f aca="false">IF(ISNUMBER($AR150),SUMIF(AD$7:AD$503,$AR150,J$7:J$503),"")</f>
        <v>0</v>
      </c>
      <c r="AV150" s="1411" t="n">
        <f aca="false">IF(ISNUMBER($AR150),SUMIF(AF$7:AF$503,$AR150,L$7:L$503),"")</f>
        <v>0</v>
      </c>
      <c r="AW150" s="1423" t="n">
        <f aca="false">IF(ISNUMBER($AR150),SUMIF(AE$7:AE$503,$AR150,K$7:K$503),"")</f>
        <v>0</v>
      </c>
      <c r="AX150" s="1423" t="n">
        <f aca="false">IF(ISNUMBER($AR150),SUMIF(AG$7:AG$503,$AR150,M$7:M$503),"")</f>
        <v>0</v>
      </c>
      <c r="AY150" s="2" t="str">
        <f aca="false">IF($AT150&gt;0,VLOOKUP($AR150,'O_MN, PE_UTA_UGM 2024'!E146:O562,2),"")</f>
        <v/>
      </c>
      <c r="AZ150" s="1424"/>
      <c r="BA150" s="1424"/>
      <c r="BB150" s="1424" t="str">
        <f aca="false">IF($AT150&gt;0,VLOOKUP($AR150,'O_MN, PE_UTA_UGM 2024'!$E$3:$O$419,BB$6),"")</f>
        <v/>
      </c>
      <c r="BC150" s="1424" t="str">
        <f aca="false">IF($AT150&gt;0,VLOOKUP($AR150,'O_MN, PE_UTA_UGM 2024'!$E$3:$O$419,BC$6),"")</f>
        <v/>
      </c>
      <c r="BD150" s="1424" t="str">
        <f aca="false">IF($AT150&gt;0,VLOOKUP($AR150,'O_MN, PE_UTA_UGM 2024'!$E$3:$O$419,BD$6),"")</f>
        <v/>
      </c>
      <c r="BE150" s="1424" t="str">
        <f aca="false">IF($AT150&gt;0,VLOOKUP($AR150,'O_MN, PE_UTA_UGM 2024'!$E$3:$O$419,BE$6),"")</f>
        <v/>
      </c>
      <c r="BF150" s="1424" t="str">
        <f aca="false">IF($AT150&gt;0,VLOOKUP($AR150,'O_MN, PE_UTA_UGM 2024'!$E$3:$O$419,BF$6),"")</f>
        <v/>
      </c>
      <c r="BG150" s="1424" t="str">
        <f aca="false">IF($AT150&gt;0,VLOOKUP($AR150,'O_MN, PE_UTA_UGM 2024'!$E$3:$O$419,BG$6),"")</f>
        <v/>
      </c>
      <c r="BH150" s="872"/>
      <c r="BI150" s="872"/>
      <c r="BJ150" s="872"/>
      <c r="BK150" s="872"/>
      <c r="BM150" s="1411"/>
      <c r="BN150" s="1411"/>
      <c r="BO150" s="1425" t="str">
        <f aca="false">IF(ISNUMBER($AU150*BB150*1),$AU150*BB150*1,"")</f>
        <v/>
      </c>
      <c r="BP150" s="1425" t="str">
        <f aca="false">IF(ISNUMBER($AV150*BC150*1),$AV150*BC150*1,"")</f>
        <v/>
      </c>
      <c r="BQ150" s="1425" t="str">
        <f aca="false">IF(ISNUMBER($AU150*BD150*1),$AU150*BD150*1,"")</f>
        <v/>
      </c>
      <c r="BR150" s="1425" t="str">
        <f aca="false">IF(ISNUMBER($AV150*BE150*1),$AV150*BE150*1,"")</f>
        <v/>
      </c>
      <c r="BS150" s="1411" t="str">
        <f aca="false">IF(ISNUMBER($AU150*BF150),$AU150*BF150,"")</f>
        <v/>
      </c>
      <c r="BT150" s="1411" t="str">
        <f aca="false">IF(ISNUMBER($AV150*BG150),$AV150*BG150,"")</f>
        <v/>
      </c>
      <c r="BU150" s="1411"/>
      <c r="BV150" s="1411"/>
      <c r="BW150" s="1411"/>
      <c r="BX150" s="1411"/>
      <c r="BZ150" s="1372"/>
      <c r="CA150" s="1372"/>
      <c r="CB150" s="1426" t="str">
        <f aca="false">IF(ISNUMBER($AW150*BB150),$AW150*BB150,"")</f>
        <v/>
      </c>
      <c r="CC150" s="1426" t="str">
        <f aca="false">IF(ISNUMBER($AX150*BC150),$AX150*BC150,"")</f>
        <v/>
      </c>
      <c r="CD150" s="1426" t="str">
        <f aca="false">IF(ISNUMBER($AW150*BD150),$AW150*BD150,"")</f>
        <v/>
      </c>
      <c r="CE150" s="1426" t="str">
        <f aca="false">IF(ISNUMBER($AX150*BE150),$AX150*BE150,"")</f>
        <v/>
      </c>
      <c r="CF150" s="1372" t="str">
        <f aca="false">IF(ISNUMBER($AW150*BF150),$AW150*BF150,"")</f>
        <v/>
      </c>
      <c r="CG150" s="1372" t="str">
        <f aca="false">IF(ISNUMBER($AX150*BG150),$AX150*BG150,"")</f>
        <v/>
      </c>
      <c r="CH150" s="1438"/>
      <c r="CI150" s="1438"/>
      <c r="CJ150" s="1438"/>
      <c r="CK150" s="1438"/>
      <c r="CU150" s="1411"/>
      <c r="CV150" s="1411"/>
      <c r="CW150" s="1425"/>
      <c r="CX150" s="1425"/>
      <c r="CY150" s="1425"/>
      <c r="CZ150" s="1425"/>
      <c r="DA150" s="1411"/>
      <c r="DB150" s="1411"/>
      <c r="DC150" s="1411"/>
      <c r="DD150" s="1411"/>
      <c r="DE150" s="1411"/>
      <c r="DF150" s="1411"/>
      <c r="DH150" s="1432"/>
      <c r="DI150" s="1432"/>
      <c r="DJ150" s="1437"/>
      <c r="DK150" s="1437"/>
      <c r="DL150" s="1437"/>
      <c r="DM150" s="1437"/>
      <c r="DN150" s="1432"/>
      <c r="DO150" s="1432"/>
      <c r="DP150" s="1432"/>
      <c r="DQ150" s="1432"/>
      <c r="DR150" s="1432"/>
      <c r="DS150" s="1432"/>
      <c r="DT150" s="1316"/>
      <c r="DU150" s="1433"/>
      <c r="DV150" s="1433"/>
      <c r="DW150" s="1433"/>
      <c r="DX150" s="1433"/>
      <c r="DY150" s="1433"/>
      <c r="DZ150" s="1433"/>
      <c r="EA150" s="1433"/>
      <c r="EB150" s="1433"/>
    </row>
    <row r="151" customFormat="false" ht="14.25" hidden="false" customHeight="false" outlineLevel="0" collapsed="false">
      <c r="A151" s="2" t="n">
        <f aca="false">'V_DATOS PAC_SGA'!R146</f>
        <v>0</v>
      </c>
      <c r="B151" s="2" t="n">
        <f aca="false">IF(I151="IV",CONCATENATE('V_DATOS PAC_SGA'!R146,"4")+0,CONCATENATE('V_DATOS PAC_SGA'!R146,"0")+0)</f>
        <v>0</v>
      </c>
      <c r="C151" s="2" t="n">
        <f aca="false">'V_DATOS PAC_SGA'!S146</f>
        <v>0</v>
      </c>
      <c r="D151" s="1409" t="n">
        <f aca="false">'V_DATOS PAC_SGA'!Y146</f>
        <v>0</v>
      </c>
      <c r="E151" s="1410" t="str">
        <f aca="false">IF('V_DATOS PAC_SGA'!AV146="","Regadio",'V_DATOS PAC_SGA'!AV146)</f>
        <v>Regadio</v>
      </c>
      <c r="F151" s="1411" t="n">
        <f aca="false">'V_DATOS PAC_SGA'!BK146</f>
        <v>0</v>
      </c>
      <c r="G151" s="1412" t="n">
        <f aca="false">'V_DATOS PAC_SGA'!AN146</f>
        <v>0</v>
      </c>
      <c r="H151" s="1413" t="str">
        <f aca="false">IF(B151&gt;0,VLOOKUP(B151,'O_MN, PE_UTA_UGM 2024'!E$3:O$419,10),"")</f>
        <v/>
      </c>
      <c r="I151" s="1359" t="n">
        <f aca="false">'V_DATOS PAC_SGA'!BV146</f>
        <v>0</v>
      </c>
      <c r="J151" s="2" t="str">
        <f aca="false">IF(AND(J$4=$G151,J$6=$F151),$D151*J$5,"")</f>
        <v/>
      </c>
      <c r="K151" s="2" t="str">
        <f aca="false">IF(AND(K$4=$G151,K$6=$F151),$D151*K$5,"")</f>
        <v/>
      </c>
      <c r="L151" s="2" t="str">
        <f aca="false">IF(AND(L$4=$G151,L$6=$F151),$D151*L$5,"")</f>
        <v/>
      </c>
      <c r="M151" s="2" t="str">
        <f aca="false">IF(AND(M$4=$G151,M$6=$F151),$D151*M$5,"")</f>
        <v/>
      </c>
      <c r="N151" s="1414" t="n">
        <f aca="false">VLOOKUP(B151,'O_MN, PE_UTA_UGM 2024'!$E$2:$K$419,IF(G151&gt;1,6,7))</f>
        <v>0</v>
      </c>
      <c r="O151" s="1434" t="str">
        <f aca="false">IF($H151=O$4,$D151*$N151,"")</f>
        <v/>
      </c>
      <c r="P151" s="1435" t="str">
        <f aca="false">IF($H151=P$4,$D151*$N151,"")</f>
        <v/>
      </c>
      <c r="Q151" s="1435" t="str">
        <f aca="false">IF($H151=Q$4,$D151*$N151,"")</f>
        <v/>
      </c>
      <c r="R151" s="1435" t="str">
        <f aca="false">IF($H151=R$4,$D151*$N151,"")</f>
        <v/>
      </c>
      <c r="S151" s="1435" t="str">
        <f aca="false">IF($H151=S$4,$D151*$N151,"")</f>
        <v/>
      </c>
      <c r="T151" s="1435" t="str">
        <f aca="false">IF($H151=T$4,$D151*$N151,"")</f>
        <v/>
      </c>
      <c r="U151" s="1436" t="str">
        <f aca="false">IF($H151=U$4,$D151*$N151,"")</f>
        <v/>
      </c>
      <c r="V151" s="1418"/>
      <c r="W151" s="1419"/>
      <c r="X151" s="1419"/>
      <c r="Y151" s="1419"/>
      <c r="Z151" s="1419"/>
      <c r="AA151" s="1419"/>
      <c r="AB151" s="1420"/>
      <c r="AC151" s="1319"/>
      <c r="AD151" s="2" t="str">
        <f aca="false">IF(AND(AD$4=$G151,AD$6=$F151),$B151,"")</f>
        <v/>
      </c>
      <c r="AE151" s="2" t="str">
        <f aca="false">IF(AND(AE$4=$G151,AE$6=$F151),$B151,"")</f>
        <v/>
      </c>
      <c r="AF151" s="2" t="str">
        <f aca="false">IF(AND(AF$4=$G151,AF$6=$F151),$B151,"")</f>
        <v/>
      </c>
      <c r="AG151" s="2" t="str">
        <f aca="false">IF(AND(AG$4=$G151,AG$6=$F151),$B151,"")</f>
        <v/>
      </c>
      <c r="AI151" s="366"/>
      <c r="AL151" s="367"/>
      <c r="AO151" s="367"/>
      <c r="AP151" s="2" t="str">
        <f aca="false">IF(AT151&gt;0,RANK(AT151,AT$7:AT$423),"")</f>
        <v/>
      </c>
      <c r="AQ151" s="2" t="n">
        <f aca="false">'O_MN, PE_UTA_UGM 2024'!C147</f>
        <v>173</v>
      </c>
      <c r="AR151" s="1421" t="n">
        <v>1724</v>
      </c>
      <c r="AS151" s="2" t="str">
        <f aca="false">IF(AY151&lt;&gt;"",AY151,"")</f>
        <v/>
      </c>
      <c r="AT151" s="1422" t="n">
        <f aca="false">IF(ISNUMBER($AR151),SUMIF(B$7:B$505,AR151,D$7:D$505),"")</f>
        <v>0</v>
      </c>
      <c r="AU151" s="1411" t="n">
        <f aca="false">IF(ISNUMBER($AR151),SUMIF(AD$7:AD$503,$AR151,J$7:J$503),"")</f>
        <v>0</v>
      </c>
      <c r="AV151" s="1411" t="n">
        <f aca="false">IF(ISNUMBER($AR151),SUMIF(AF$7:AF$503,$AR151,L$7:L$503),"")</f>
        <v>0</v>
      </c>
      <c r="AW151" s="1423" t="n">
        <f aca="false">IF(ISNUMBER($AR151),SUMIF(AE$7:AE$503,$AR151,K$7:K$503),"")</f>
        <v>0</v>
      </c>
      <c r="AX151" s="1423" t="n">
        <f aca="false">IF(ISNUMBER($AR151),SUMIF(AG$7:AG$503,$AR151,M$7:M$503),"")</f>
        <v>0</v>
      </c>
      <c r="AY151" s="2" t="str">
        <f aca="false">IF($AT151&gt;0,VLOOKUP($AR151,'O_MN, PE_UTA_UGM 2024'!E147:O563,2),"")</f>
        <v/>
      </c>
      <c r="AZ151" s="1424"/>
      <c r="BA151" s="1424"/>
      <c r="BB151" s="1424" t="str">
        <f aca="false">IF($AT151&gt;0,VLOOKUP($AR151,'O_MN, PE_UTA_UGM 2024'!$E$3:$O$419,BB$6),"")</f>
        <v/>
      </c>
      <c r="BC151" s="1424" t="str">
        <f aca="false">IF($AT151&gt;0,VLOOKUP($AR151,'O_MN, PE_UTA_UGM 2024'!$E$3:$O$419,BC$6),"")</f>
        <v/>
      </c>
      <c r="BD151" s="1424" t="str">
        <f aca="false">IF($AT151&gt;0,VLOOKUP($AR151,'O_MN, PE_UTA_UGM 2024'!$E$3:$O$419,BD$6),"")</f>
        <v/>
      </c>
      <c r="BE151" s="1424" t="str">
        <f aca="false">IF($AT151&gt;0,VLOOKUP($AR151,'O_MN, PE_UTA_UGM 2024'!$E$3:$O$419,BE$6),"")</f>
        <v/>
      </c>
      <c r="BF151" s="1424" t="str">
        <f aca="false">IF($AT151&gt;0,VLOOKUP($AR151,'O_MN, PE_UTA_UGM 2024'!$E$3:$O$419,BF$6),"")</f>
        <v/>
      </c>
      <c r="BG151" s="1424" t="str">
        <f aca="false">IF($AT151&gt;0,VLOOKUP($AR151,'O_MN, PE_UTA_UGM 2024'!$E$3:$O$419,BG$6),"")</f>
        <v/>
      </c>
      <c r="BH151" s="872"/>
      <c r="BI151" s="872"/>
      <c r="BJ151" s="872"/>
      <c r="BK151" s="872"/>
      <c r="BM151" s="1411"/>
      <c r="BN151" s="1411"/>
      <c r="BO151" s="1425" t="str">
        <f aca="false">IF(ISNUMBER($AU151*BB151*1),$AU151*BB151*1,"")</f>
        <v/>
      </c>
      <c r="BP151" s="1425" t="str">
        <f aca="false">IF(ISNUMBER($AV151*BC151*1),$AV151*BC151*1,"")</f>
        <v/>
      </c>
      <c r="BQ151" s="1425" t="str">
        <f aca="false">IF(ISNUMBER($AU151*BD151*1),$AU151*BD151*1,"")</f>
        <v/>
      </c>
      <c r="BR151" s="1425" t="str">
        <f aca="false">IF(ISNUMBER($AV151*BE151*1),$AV151*BE151*1,"")</f>
        <v/>
      </c>
      <c r="BS151" s="1411" t="str">
        <f aca="false">IF(ISNUMBER($AU151*BF151),$AU151*BF151,"")</f>
        <v/>
      </c>
      <c r="BT151" s="1411" t="str">
        <f aca="false">IF(ISNUMBER($AV151*BG151),$AV151*BG151,"")</f>
        <v/>
      </c>
      <c r="BU151" s="1411"/>
      <c r="BV151" s="1411"/>
      <c r="BW151" s="1411"/>
      <c r="BX151" s="1411"/>
      <c r="BZ151" s="1372"/>
      <c r="CA151" s="1372"/>
      <c r="CB151" s="1426" t="str">
        <f aca="false">IF(ISNUMBER($AW151*BB151),$AW151*BB151,"")</f>
        <v/>
      </c>
      <c r="CC151" s="1426" t="str">
        <f aca="false">IF(ISNUMBER($AX151*BC151),$AX151*BC151,"")</f>
        <v/>
      </c>
      <c r="CD151" s="1426" t="str">
        <f aca="false">IF(ISNUMBER($AW151*BD151),$AW151*BD151,"")</f>
        <v/>
      </c>
      <c r="CE151" s="1426" t="str">
        <f aca="false">IF(ISNUMBER($AX151*BE151),$AX151*BE151,"")</f>
        <v/>
      </c>
      <c r="CF151" s="1372" t="str">
        <f aca="false">IF(ISNUMBER($AW151*BF151),$AW151*BF151,"")</f>
        <v/>
      </c>
      <c r="CG151" s="1372" t="str">
        <f aca="false">IF(ISNUMBER($AX151*BG151),$AX151*BG151,"")</f>
        <v/>
      </c>
      <c r="CH151" s="1438"/>
      <c r="CI151" s="1438"/>
      <c r="CJ151" s="1438"/>
      <c r="CK151" s="1438"/>
      <c r="CU151" s="1411"/>
      <c r="CV151" s="1411"/>
      <c r="CW151" s="1425"/>
      <c r="CX151" s="1425"/>
      <c r="CY151" s="1425"/>
      <c r="CZ151" s="1425"/>
      <c r="DA151" s="1411"/>
      <c r="DB151" s="1411"/>
      <c r="DC151" s="1411"/>
      <c r="DD151" s="1411"/>
      <c r="DE151" s="1411"/>
      <c r="DF151" s="1411"/>
      <c r="DH151" s="1432"/>
      <c r="DI151" s="1432"/>
      <c r="DJ151" s="1437"/>
      <c r="DK151" s="1437"/>
      <c r="DL151" s="1437"/>
      <c r="DM151" s="1437"/>
      <c r="DN151" s="1432"/>
      <c r="DO151" s="1432"/>
      <c r="DP151" s="1432"/>
      <c r="DQ151" s="1432"/>
      <c r="DR151" s="1432"/>
      <c r="DS151" s="1432"/>
      <c r="DT151" s="1316"/>
      <c r="DU151" s="1433"/>
      <c r="DV151" s="1433"/>
      <c r="DW151" s="1433"/>
      <c r="DX151" s="1433"/>
      <c r="DY151" s="1433"/>
      <c r="DZ151" s="1433"/>
      <c r="EA151" s="1433"/>
      <c r="EB151" s="1433"/>
    </row>
    <row r="152" customFormat="false" ht="14.25" hidden="false" customHeight="false" outlineLevel="0" collapsed="false">
      <c r="A152" s="2" t="n">
        <f aca="false">'V_DATOS PAC_SGA'!R147</f>
        <v>0</v>
      </c>
      <c r="B152" s="2" t="n">
        <f aca="false">IF(I152="IV",CONCATENATE('V_DATOS PAC_SGA'!R147,"4")+0,CONCATENATE('V_DATOS PAC_SGA'!R147,"0")+0)</f>
        <v>0</v>
      </c>
      <c r="C152" s="2" t="n">
        <f aca="false">'V_DATOS PAC_SGA'!S147</f>
        <v>0</v>
      </c>
      <c r="D152" s="1409" t="n">
        <f aca="false">'V_DATOS PAC_SGA'!Y147</f>
        <v>0</v>
      </c>
      <c r="E152" s="1410" t="str">
        <f aca="false">IF('V_DATOS PAC_SGA'!AV147="","Regadio",'V_DATOS PAC_SGA'!AV147)</f>
        <v>Regadio</v>
      </c>
      <c r="F152" s="1411" t="n">
        <f aca="false">'V_DATOS PAC_SGA'!BK147</f>
        <v>0</v>
      </c>
      <c r="G152" s="1412" t="n">
        <f aca="false">'V_DATOS PAC_SGA'!AN147</f>
        <v>0</v>
      </c>
      <c r="H152" s="1413" t="str">
        <f aca="false">IF(B152&gt;0,VLOOKUP(B152,'O_MN, PE_UTA_UGM 2024'!E$3:O$419,10),"")</f>
        <v/>
      </c>
      <c r="I152" s="1359" t="n">
        <f aca="false">'V_DATOS PAC_SGA'!BV147</f>
        <v>0</v>
      </c>
      <c r="J152" s="2" t="str">
        <f aca="false">IF(AND(J$4=$G152,J$6=$F152),$D152*J$5,"")</f>
        <v/>
      </c>
      <c r="K152" s="2" t="str">
        <f aca="false">IF(AND(K$4=$G152,K$6=$F152),$D152*K$5,"")</f>
        <v/>
      </c>
      <c r="L152" s="2" t="str">
        <f aca="false">IF(AND(L$4=$G152,L$6=$F152),$D152*L$5,"")</f>
        <v/>
      </c>
      <c r="M152" s="2" t="str">
        <f aca="false">IF(AND(M$4=$G152,M$6=$F152),$D152*M$5,"")</f>
        <v/>
      </c>
      <c r="N152" s="1414" t="n">
        <f aca="false">VLOOKUP(B152,'O_MN, PE_UTA_UGM 2024'!$E$2:$K$419,IF(G152&gt;1,6,7))</f>
        <v>0</v>
      </c>
      <c r="O152" s="1434" t="str">
        <f aca="false">IF($H152=O$4,$D152*$N152,"")</f>
        <v/>
      </c>
      <c r="P152" s="1435" t="str">
        <f aca="false">IF($H152=P$4,$D152*$N152,"")</f>
        <v/>
      </c>
      <c r="Q152" s="1435" t="str">
        <f aca="false">IF($H152=Q$4,$D152*$N152,"")</f>
        <v/>
      </c>
      <c r="R152" s="1435" t="str">
        <f aca="false">IF($H152=R$4,$D152*$N152,"")</f>
        <v/>
      </c>
      <c r="S152" s="1435" t="str">
        <f aca="false">IF($H152=S$4,$D152*$N152,"")</f>
        <v/>
      </c>
      <c r="T152" s="1435" t="str">
        <f aca="false">IF($H152=T$4,$D152*$N152,"")</f>
        <v/>
      </c>
      <c r="U152" s="1436" t="str">
        <f aca="false">IF($H152=U$4,$D152*$N152,"")</f>
        <v/>
      </c>
      <c r="V152" s="1418"/>
      <c r="W152" s="1419"/>
      <c r="X152" s="1419"/>
      <c r="Y152" s="1419"/>
      <c r="Z152" s="1419"/>
      <c r="AA152" s="1419"/>
      <c r="AB152" s="1420"/>
      <c r="AC152" s="1319"/>
      <c r="AD152" s="2" t="str">
        <f aca="false">IF(AND(AD$4=$G152,AD$6=$F152),$B152,"")</f>
        <v/>
      </c>
      <c r="AE152" s="2" t="str">
        <f aca="false">IF(AND(AE$4=$G152,AE$6=$F152),$B152,"")</f>
        <v/>
      </c>
      <c r="AF152" s="2" t="str">
        <f aca="false">IF(AND(AF$4=$G152,AF$6=$F152),$B152,"")</f>
        <v/>
      </c>
      <c r="AG152" s="2" t="str">
        <f aca="false">IF(AND(AG$4=$G152,AG$6=$F152),$B152,"")</f>
        <v/>
      </c>
      <c r="AI152" s="366"/>
      <c r="AL152" s="367"/>
      <c r="AO152" s="367"/>
      <c r="AP152" s="2" t="str">
        <f aca="false">IF(AT152&gt;0,RANK(AT152,AT$7:AT$423),"")</f>
        <v/>
      </c>
      <c r="AQ152" s="2" t="n">
        <f aca="false">'O_MN, PE_UTA_UGM 2024'!C148</f>
        <v>174</v>
      </c>
      <c r="AR152" s="1421" t="n">
        <v>1729</v>
      </c>
      <c r="AS152" s="2" t="str">
        <f aca="false">IF(AY152&lt;&gt;"",AY152,"")</f>
        <v/>
      </c>
      <c r="AT152" s="1422" t="n">
        <f aca="false">IF(ISNUMBER($AR152),SUMIF(B$7:B$505,AR152,D$7:D$505),"")</f>
        <v>0</v>
      </c>
      <c r="AU152" s="1411" t="n">
        <f aca="false">IF(ISNUMBER($AR152),SUMIF(AD$7:AD$503,$AR152,J$7:J$503),"")</f>
        <v>0</v>
      </c>
      <c r="AV152" s="1411" t="n">
        <f aca="false">IF(ISNUMBER($AR152),SUMIF(AF$7:AF$503,$AR152,L$7:L$503),"")</f>
        <v>0</v>
      </c>
      <c r="AW152" s="1423" t="n">
        <f aca="false">IF(ISNUMBER($AR152),SUMIF(AE$7:AE$503,$AR152,K$7:K$503),"")</f>
        <v>0</v>
      </c>
      <c r="AX152" s="1423" t="n">
        <f aca="false">IF(ISNUMBER($AR152),SUMIF(AG$7:AG$503,$AR152,M$7:M$503),"")</f>
        <v>0</v>
      </c>
      <c r="AY152" s="2" t="str">
        <f aca="false">IF($AT152&gt;0,VLOOKUP($AR152,'O_MN, PE_UTA_UGM 2024'!E148:O564,2),"")</f>
        <v/>
      </c>
      <c r="AZ152" s="1424"/>
      <c r="BA152" s="1424"/>
      <c r="BB152" s="1424" t="str">
        <f aca="false">IF($AT152&gt;0,VLOOKUP($AR152,'O_MN, PE_UTA_UGM 2024'!$E$3:$O$419,BB$6),"")</f>
        <v/>
      </c>
      <c r="BC152" s="1424" t="str">
        <f aca="false">IF($AT152&gt;0,VLOOKUP($AR152,'O_MN, PE_UTA_UGM 2024'!$E$3:$O$419,BC$6),"")</f>
        <v/>
      </c>
      <c r="BD152" s="1424" t="str">
        <f aca="false">IF($AT152&gt;0,VLOOKUP($AR152,'O_MN, PE_UTA_UGM 2024'!$E$3:$O$419,BD$6),"")</f>
        <v/>
      </c>
      <c r="BE152" s="1424" t="str">
        <f aca="false">IF($AT152&gt;0,VLOOKUP($AR152,'O_MN, PE_UTA_UGM 2024'!$E$3:$O$419,BE$6),"")</f>
        <v/>
      </c>
      <c r="BF152" s="1424" t="str">
        <f aca="false">IF($AT152&gt;0,VLOOKUP($AR152,'O_MN, PE_UTA_UGM 2024'!$E$3:$O$419,BF$6),"")</f>
        <v/>
      </c>
      <c r="BG152" s="1424" t="str">
        <f aca="false">IF($AT152&gt;0,VLOOKUP($AR152,'O_MN, PE_UTA_UGM 2024'!$E$3:$O$419,BG$6),"")</f>
        <v/>
      </c>
      <c r="BH152" s="872"/>
      <c r="BI152" s="872"/>
      <c r="BJ152" s="872"/>
      <c r="BK152" s="872"/>
      <c r="BM152" s="1411"/>
      <c r="BN152" s="1411"/>
      <c r="BO152" s="1425" t="str">
        <f aca="false">IF(ISNUMBER($AU152*BB152*1),$AU152*BB152*1,"")</f>
        <v/>
      </c>
      <c r="BP152" s="1425" t="str">
        <f aca="false">IF(ISNUMBER($AV152*BC152*1),$AV152*BC152*1,"")</f>
        <v/>
      </c>
      <c r="BQ152" s="1425" t="str">
        <f aca="false">IF(ISNUMBER($AU152*BD152*1),$AU152*BD152*1,"")</f>
        <v/>
      </c>
      <c r="BR152" s="1425" t="str">
        <f aca="false">IF(ISNUMBER($AV152*BE152*1),$AV152*BE152*1,"")</f>
        <v/>
      </c>
      <c r="BS152" s="1411" t="str">
        <f aca="false">IF(ISNUMBER($AU152*BF152),$AU152*BF152,"")</f>
        <v/>
      </c>
      <c r="BT152" s="1411" t="str">
        <f aca="false">IF(ISNUMBER($AV152*BG152),$AV152*BG152,"")</f>
        <v/>
      </c>
      <c r="BU152" s="1411"/>
      <c r="BV152" s="1411"/>
      <c r="BW152" s="1411"/>
      <c r="BX152" s="1411"/>
      <c r="BZ152" s="1372"/>
      <c r="CA152" s="1372"/>
      <c r="CB152" s="1426" t="str">
        <f aca="false">IF(ISNUMBER($AW152*BB152),$AW152*BB152,"")</f>
        <v/>
      </c>
      <c r="CC152" s="1426" t="str">
        <f aca="false">IF(ISNUMBER($AX152*BC152),$AX152*BC152,"")</f>
        <v/>
      </c>
      <c r="CD152" s="1426" t="str">
        <f aca="false">IF(ISNUMBER($AW152*BD152),$AW152*BD152,"")</f>
        <v/>
      </c>
      <c r="CE152" s="1426" t="str">
        <f aca="false">IF(ISNUMBER($AX152*BE152),$AX152*BE152,"")</f>
        <v/>
      </c>
      <c r="CF152" s="1372" t="str">
        <f aca="false">IF(ISNUMBER($AW152*BF152),$AW152*BF152,"")</f>
        <v/>
      </c>
      <c r="CG152" s="1372" t="str">
        <f aca="false">IF(ISNUMBER($AX152*BG152),$AX152*BG152,"")</f>
        <v/>
      </c>
      <c r="CH152" s="1438"/>
      <c r="CI152" s="1438"/>
      <c r="CJ152" s="1438"/>
      <c r="CK152" s="1438"/>
      <c r="CU152" s="1411"/>
      <c r="CV152" s="1411"/>
      <c r="CW152" s="1425"/>
      <c r="CX152" s="1425"/>
      <c r="CY152" s="1425"/>
      <c r="CZ152" s="1425"/>
      <c r="DA152" s="1411"/>
      <c r="DB152" s="1411"/>
      <c r="DC152" s="1411"/>
      <c r="DD152" s="1411"/>
      <c r="DE152" s="1411"/>
      <c r="DF152" s="1411"/>
      <c r="DH152" s="1432"/>
      <c r="DI152" s="1432"/>
      <c r="DJ152" s="1437"/>
      <c r="DK152" s="1437"/>
      <c r="DL152" s="1437"/>
      <c r="DM152" s="1437"/>
      <c r="DN152" s="1432"/>
      <c r="DO152" s="1432"/>
      <c r="DP152" s="1432"/>
      <c r="DQ152" s="1432"/>
      <c r="DR152" s="1432"/>
      <c r="DS152" s="1432"/>
      <c r="DT152" s="1316"/>
      <c r="DU152" s="1433"/>
      <c r="DV152" s="1433"/>
      <c r="DW152" s="1433"/>
      <c r="DX152" s="1433"/>
      <c r="DY152" s="1433"/>
      <c r="DZ152" s="1433"/>
      <c r="EA152" s="1433"/>
      <c r="EB152" s="1433"/>
    </row>
    <row r="153" customFormat="false" ht="14.25" hidden="false" customHeight="false" outlineLevel="0" collapsed="false">
      <c r="A153" s="2" t="n">
        <f aca="false">'V_DATOS PAC_SGA'!R148</f>
        <v>0</v>
      </c>
      <c r="B153" s="2" t="n">
        <f aca="false">IF(I153="IV",CONCATENATE('V_DATOS PAC_SGA'!R148,"4")+0,CONCATENATE('V_DATOS PAC_SGA'!R148,"0")+0)</f>
        <v>0</v>
      </c>
      <c r="C153" s="2" t="n">
        <f aca="false">'V_DATOS PAC_SGA'!S148</f>
        <v>0</v>
      </c>
      <c r="D153" s="1409" t="n">
        <f aca="false">'V_DATOS PAC_SGA'!Y148</f>
        <v>0</v>
      </c>
      <c r="E153" s="1410" t="str">
        <f aca="false">IF('V_DATOS PAC_SGA'!AV148="","Regadio",'V_DATOS PAC_SGA'!AV148)</f>
        <v>Regadio</v>
      </c>
      <c r="F153" s="1411" t="n">
        <f aca="false">'V_DATOS PAC_SGA'!BK148</f>
        <v>0</v>
      </c>
      <c r="G153" s="1412" t="n">
        <f aca="false">'V_DATOS PAC_SGA'!AN148</f>
        <v>0</v>
      </c>
      <c r="H153" s="1413" t="str">
        <f aca="false">IF(B153&gt;0,VLOOKUP(B153,'O_MN, PE_UTA_UGM 2024'!E$3:O$419,10),"")</f>
        <v/>
      </c>
      <c r="I153" s="1359" t="n">
        <f aca="false">'V_DATOS PAC_SGA'!BV148</f>
        <v>0</v>
      </c>
      <c r="J153" s="2" t="str">
        <f aca="false">IF(AND(J$4=$G153,J$6=$F153),$D153*J$5,"")</f>
        <v/>
      </c>
      <c r="K153" s="2" t="str">
        <f aca="false">IF(AND(K$4=$G153,K$6=$F153),$D153*K$5,"")</f>
        <v/>
      </c>
      <c r="L153" s="2" t="str">
        <f aca="false">IF(AND(L$4=$G153,L$6=$F153),$D153*L$5,"")</f>
        <v/>
      </c>
      <c r="M153" s="2" t="str">
        <f aca="false">IF(AND(M$4=$G153,M$6=$F153),$D153*M$5,"")</f>
        <v/>
      </c>
      <c r="N153" s="1414" t="n">
        <f aca="false">VLOOKUP(B153,'O_MN, PE_UTA_UGM 2024'!$E$2:$K$419,IF(G153&gt;1,6,7))</f>
        <v>0</v>
      </c>
      <c r="O153" s="1434" t="str">
        <f aca="false">IF($H153=O$4,$D153*$N153,"")</f>
        <v/>
      </c>
      <c r="P153" s="1435" t="str">
        <f aca="false">IF($H153=P$4,$D153*$N153,"")</f>
        <v/>
      </c>
      <c r="Q153" s="1435" t="str">
        <f aca="false">IF($H153=Q$4,$D153*$N153,"")</f>
        <v/>
      </c>
      <c r="R153" s="1435" t="str">
        <f aca="false">IF($H153=R$4,$D153*$N153,"")</f>
        <v/>
      </c>
      <c r="S153" s="1435" t="str">
        <f aca="false">IF($H153=S$4,$D153*$N153,"")</f>
        <v/>
      </c>
      <c r="T153" s="1435" t="str">
        <f aca="false">IF($H153=T$4,$D153*$N153,"")</f>
        <v/>
      </c>
      <c r="U153" s="1436" t="str">
        <f aca="false">IF($H153=U$4,$D153*$N153,"")</f>
        <v/>
      </c>
      <c r="V153" s="1418"/>
      <c r="W153" s="1419"/>
      <c r="X153" s="1419"/>
      <c r="Y153" s="1419"/>
      <c r="Z153" s="1419"/>
      <c r="AA153" s="1419"/>
      <c r="AB153" s="1420"/>
      <c r="AC153" s="1319"/>
      <c r="AD153" s="2" t="str">
        <f aca="false">IF(AND(AD$4=$G153,AD$6=$F153),$B153,"")</f>
        <v/>
      </c>
      <c r="AE153" s="2" t="str">
        <f aca="false">IF(AND(AE$4=$G153,AE$6=$F153),$B153,"")</f>
        <v/>
      </c>
      <c r="AF153" s="2" t="str">
        <f aca="false">IF(AND(AF$4=$G153,AF$6=$F153),$B153,"")</f>
        <v/>
      </c>
      <c r="AG153" s="2" t="str">
        <f aca="false">IF(AND(AG$4=$G153,AG$6=$F153),$B153,"")</f>
        <v/>
      </c>
      <c r="AI153" s="366"/>
      <c r="AL153" s="367"/>
      <c r="AO153" s="367"/>
      <c r="AP153" s="2" t="str">
        <f aca="false">IF(AT153&gt;0,RANK(AT153,AT$7:AT$423),"")</f>
        <v/>
      </c>
      <c r="AQ153" s="2" t="n">
        <f aca="false">'O_MN, PE_UTA_UGM 2024'!C149</f>
        <v>174</v>
      </c>
      <c r="AR153" s="1421" t="n">
        <v>1730</v>
      </c>
      <c r="AS153" s="2" t="str">
        <f aca="false">IF(AY153&lt;&gt;"",AY153,"")</f>
        <v/>
      </c>
      <c r="AT153" s="1422" t="n">
        <f aca="false">IF(ISNUMBER($AR153),SUMIF(B$7:B$505,AR153,D$7:D$505),"")</f>
        <v>0</v>
      </c>
      <c r="AU153" s="1411" t="n">
        <f aca="false">IF(ISNUMBER($AR153),SUMIF(AD$7:AD$503,$AR153,J$7:J$503),"")</f>
        <v>0</v>
      </c>
      <c r="AV153" s="1411" t="n">
        <f aca="false">IF(ISNUMBER($AR153),SUMIF(AF$7:AF$503,$AR153,L$7:L$503),"")</f>
        <v>0</v>
      </c>
      <c r="AW153" s="1423" t="n">
        <f aca="false">IF(ISNUMBER($AR153),SUMIF(AE$7:AE$503,$AR153,K$7:K$503),"")</f>
        <v>0</v>
      </c>
      <c r="AX153" s="1423" t="n">
        <f aca="false">IF(ISNUMBER($AR153),SUMIF(AG$7:AG$503,$AR153,M$7:M$503),"")</f>
        <v>0</v>
      </c>
      <c r="AY153" s="2" t="str">
        <f aca="false">IF($AT153&gt;0,VLOOKUP($AR153,'O_MN, PE_UTA_UGM 2024'!E149:O565,2),"")</f>
        <v/>
      </c>
      <c r="AZ153" s="1424"/>
      <c r="BA153" s="1424"/>
      <c r="BB153" s="1424" t="str">
        <f aca="false">IF($AT153&gt;0,VLOOKUP($AR153,'O_MN, PE_UTA_UGM 2024'!$E$3:$O$419,BB$6),"")</f>
        <v/>
      </c>
      <c r="BC153" s="1424" t="str">
        <f aca="false">IF($AT153&gt;0,VLOOKUP($AR153,'O_MN, PE_UTA_UGM 2024'!$E$3:$O$419,BC$6),"")</f>
        <v/>
      </c>
      <c r="BD153" s="1424" t="str">
        <f aca="false">IF($AT153&gt;0,VLOOKUP($AR153,'O_MN, PE_UTA_UGM 2024'!$E$3:$O$419,BD$6),"")</f>
        <v/>
      </c>
      <c r="BE153" s="1424" t="str">
        <f aca="false">IF($AT153&gt;0,VLOOKUP($AR153,'O_MN, PE_UTA_UGM 2024'!$E$3:$O$419,BE$6),"")</f>
        <v/>
      </c>
      <c r="BF153" s="1424" t="str">
        <f aca="false">IF($AT153&gt;0,VLOOKUP($AR153,'O_MN, PE_UTA_UGM 2024'!$E$3:$O$419,BF$6),"")</f>
        <v/>
      </c>
      <c r="BG153" s="1424" t="str">
        <f aca="false">IF($AT153&gt;0,VLOOKUP($AR153,'O_MN, PE_UTA_UGM 2024'!$E$3:$O$419,BG$6),"")</f>
        <v/>
      </c>
      <c r="BH153" s="872"/>
      <c r="BI153" s="872"/>
      <c r="BJ153" s="872"/>
      <c r="BK153" s="872"/>
      <c r="BM153" s="1411"/>
      <c r="BN153" s="1411"/>
      <c r="BO153" s="1425" t="str">
        <f aca="false">IF(ISNUMBER($AU153*BB153*1),$AU153*BB153*1,"")</f>
        <v/>
      </c>
      <c r="BP153" s="1425" t="str">
        <f aca="false">IF(ISNUMBER($AV153*BC153*1),$AV153*BC153*1,"")</f>
        <v/>
      </c>
      <c r="BQ153" s="1425" t="str">
        <f aca="false">IF(ISNUMBER($AU153*BD153*1),$AU153*BD153*1,"")</f>
        <v/>
      </c>
      <c r="BR153" s="1425" t="str">
        <f aca="false">IF(ISNUMBER($AV153*BE153*1),$AV153*BE153*1,"")</f>
        <v/>
      </c>
      <c r="BS153" s="1411" t="str">
        <f aca="false">IF(ISNUMBER($AU153*BF153),$AU153*BF153,"")</f>
        <v/>
      </c>
      <c r="BT153" s="1411" t="str">
        <f aca="false">IF(ISNUMBER($AV153*BG153),$AV153*BG153,"")</f>
        <v/>
      </c>
      <c r="BU153" s="1411"/>
      <c r="BV153" s="1411"/>
      <c r="BW153" s="1411"/>
      <c r="BX153" s="1411"/>
      <c r="BZ153" s="1372"/>
      <c r="CA153" s="1372"/>
      <c r="CB153" s="1426" t="str">
        <f aca="false">IF(ISNUMBER($AW153*BB153),$AW153*BB153,"")</f>
        <v/>
      </c>
      <c r="CC153" s="1426" t="str">
        <f aca="false">IF(ISNUMBER($AX153*BC153),$AX153*BC153,"")</f>
        <v/>
      </c>
      <c r="CD153" s="1426" t="str">
        <f aca="false">IF(ISNUMBER($AW153*BD153),$AW153*BD153,"")</f>
        <v/>
      </c>
      <c r="CE153" s="1426" t="str">
        <f aca="false">IF(ISNUMBER($AX153*BE153),$AX153*BE153,"")</f>
        <v/>
      </c>
      <c r="CF153" s="1372" t="str">
        <f aca="false">IF(ISNUMBER($AW153*BF153),$AW153*BF153,"")</f>
        <v/>
      </c>
      <c r="CG153" s="1372" t="str">
        <f aca="false">IF(ISNUMBER($AX153*BG153),$AX153*BG153,"")</f>
        <v/>
      </c>
      <c r="CH153" s="1438"/>
      <c r="CI153" s="1438"/>
      <c r="CJ153" s="1438"/>
      <c r="CK153" s="1438"/>
      <c r="CU153" s="1411"/>
      <c r="CV153" s="1411"/>
      <c r="CW153" s="1425"/>
      <c r="CX153" s="1425"/>
      <c r="CY153" s="1425"/>
      <c r="CZ153" s="1425"/>
      <c r="DA153" s="1411"/>
      <c r="DB153" s="1411"/>
      <c r="DC153" s="1411"/>
      <c r="DD153" s="1411"/>
      <c r="DE153" s="1411"/>
      <c r="DF153" s="1411"/>
      <c r="DH153" s="1432"/>
      <c r="DI153" s="1432"/>
      <c r="DJ153" s="1437"/>
      <c r="DK153" s="1437"/>
      <c r="DL153" s="1437"/>
      <c r="DM153" s="1437"/>
      <c r="DN153" s="1432"/>
      <c r="DO153" s="1432"/>
      <c r="DP153" s="1432"/>
      <c r="DQ153" s="1432"/>
      <c r="DR153" s="1432"/>
      <c r="DS153" s="1432"/>
      <c r="DT153" s="1316"/>
      <c r="DU153" s="1433"/>
      <c r="DV153" s="1433"/>
      <c r="DW153" s="1433"/>
      <c r="DX153" s="1433"/>
      <c r="DY153" s="1433"/>
      <c r="DZ153" s="1433"/>
      <c r="EA153" s="1433"/>
      <c r="EB153" s="1433"/>
    </row>
    <row r="154" customFormat="false" ht="14.25" hidden="false" customHeight="false" outlineLevel="0" collapsed="false">
      <c r="A154" s="2" t="n">
        <f aca="false">'V_DATOS PAC_SGA'!R149</f>
        <v>0</v>
      </c>
      <c r="B154" s="2" t="n">
        <f aca="false">IF(I154="IV",CONCATENATE('V_DATOS PAC_SGA'!R149,"4")+0,CONCATENATE('V_DATOS PAC_SGA'!R149,"0")+0)</f>
        <v>0</v>
      </c>
      <c r="C154" s="2" t="n">
        <f aca="false">'V_DATOS PAC_SGA'!S149</f>
        <v>0</v>
      </c>
      <c r="D154" s="1409" t="n">
        <f aca="false">'V_DATOS PAC_SGA'!Y149</f>
        <v>0</v>
      </c>
      <c r="E154" s="1410" t="str">
        <f aca="false">IF('V_DATOS PAC_SGA'!AV149="","Regadio",'V_DATOS PAC_SGA'!AV149)</f>
        <v>Regadio</v>
      </c>
      <c r="F154" s="1411" t="n">
        <f aca="false">'V_DATOS PAC_SGA'!BK149</f>
        <v>0</v>
      </c>
      <c r="G154" s="1412" t="n">
        <f aca="false">'V_DATOS PAC_SGA'!AN149</f>
        <v>0</v>
      </c>
      <c r="H154" s="1413" t="str">
        <f aca="false">IF(B154&gt;0,VLOOKUP(B154,'O_MN, PE_UTA_UGM 2024'!E$3:O$419,10),"")</f>
        <v/>
      </c>
      <c r="I154" s="1359" t="n">
        <f aca="false">'V_DATOS PAC_SGA'!BV149</f>
        <v>0</v>
      </c>
      <c r="J154" s="2" t="str">
        <f aca="false">IF(AND(J$4=$G154,J$6=$F154),$D154*J$5,"")</f>
        <v/>
      </c>
      <c r="K154" s="2" t="str">
        <f aca="false">IF(AND(K$4=$G154,K$6=$F154),$D154*K$5,"")</f>
        <v/>
      </c>
      <c r="L154" s="2" t="str">
        <f aca="false">IF(AND(L$4=$G154,L$6=$F154),$D154*L$5,"")</f>
        <v/>
      </c>
      <c r="M154" s="2" t="str">
        <f aca="false">IF(AND(M$4=$G154,M$6=$F154),$D154*M$5,"")</f>
        <v/>
      </c>
      <c r="N154" s="1414" t="n">
        <f aca="false">VLOOKUP(B154,'O_MN, PE_UTA_UGM 2024'!$E$2:$K$419,IF(G154&gt;1,6,7))</f>
        <v>0</v>
      </c>
      <c r="O154" s="1434" t="str">
        <f aca="false">IF($H154=O$4,$D154*$N154,"")</f>
        <v/>
      </c>
      <c r="P154" s="1435" t="str">
        <f aca="false">IF($H154=P$4,$D154*$N154,"")</f>
        <v/>
      </c>
      <c r="Q154" s="1435" t="str">
        <f aca="false">IF($H154=Q$4,$D154*$N154,"")</f>
        <v/>
      </c>
      <c r="R154" s="1435" t="str">
        <f aca="false">IF($H154=R$4,$D154*$N154,"")</f>
        <v/>
      </c>
      <c r="S154" s="1435" t="str">
        <f aca="false">IF($H154=S$4,$D154*$N154,"")</f>
        <v/>
      </c>
      <c r="T154" s="1435" t="str">
        <f aca="false">IF($H154=T$4,$D154*$N154,"")</f>
        <v/>
      </c>
      <c r="U154" s="1436" t="str">
        <f aca="false">IF($H154=U$4,$D154*$N154,"")</f>
        <v/>
      </c>
      <c r="V154" s="1418"/>
      <c r="W154" s="1419"/>
      <c r="X154" s="1419"/>
      <c r="Y154" s="1419"/>
      <c r="Z154" s="1419"/>
      <c r="AA154" s="1419"/>
      <c r="AB154" s="1420"/>
      <c r="AC154" s="1319"/>
      <c r="AD154" s="2" t="str">
        <f aca="false">IF(AND(AD$4=$G154,AD$6=$F154),$B154,"")</f>
        <v/>
      </c>
      <c r="AE154" s="2" t="str">
        <f aca="false">IF(AND(AE$4=$G154,AE$6=$F154),$B154,"")</f>
        <v/>
      </c>
      <c r="AF154" s="2" t="str">
        <f aca="false">IF(AND(AF$4=$G154,AF$6=$F154),$B154,"")</f>
        <v/>
      </c>
      <c r="AG154" s="2" t="str">
        <f aca="false">IF(AND(AG$4=$G154,AG$6=$F154),$B154,"")</f>
        <v/>
      </c>
      <c r="AI154" s="366"/>
      <c r="AL154" s="367"/>
      <c r="AO154" s="367"/>
      <c r="AP154" s="2" t="str">
        <f aca="false">IF(AT154&gt;0,RANK(AT154,AT$7:AT$423),"")</f>
        <v/>
      </c>
      <c r="AQ154" s="2" t="n">
        <f aca="false">'O_MN, PE_UTA_UGM 2024'!C150</f>
        <v>174</v>
      </c>
      <c r="AR154" s="1421" t="n">
        <v>1734</v>
      </c>
      <c r="AS154" s="2" t="str">
        <f aca="false">IF(AY154&lt;&gt;"",AY154,"")</f>
        <v/>
      </c>
      <c r="AT154" s="1422" t="n">
        <f aca="false">IF(ISNUMBER($AR154),SUMIF(B$7:B$505,AR154,D$7:D$505),"")</f>
        <v>0</v>
      </c>
      <c r="AU154" s="1411" t="n">
        <f aca="false">IF(ISNUMBER($AR154),SUMIF(AD$7:AD$503,$AR154,J$7:J$503),"")</f>
        <v>0</v>
      </c>
      <c r="AV154" s="1411" t="n">
        <f aca="false">IF(ISNUMBER($AR154),SUMIF(AF$7:AF$503,$AR154,L$7:L$503),"")</f>
        <v>0</v>
      </c>
      <c r="AW154" s="1423" t="n">
        <f aca="false">IF(ISNUMBER($AR154),SUMIF(AE$7:AE$503,$AR154,K$7:K$503),"")</f>
        <v>0</v>
      </c>
      <c r="AX154" s="1423" t="n">
        <f aca="false">IF(ISNUMBER($AR154),SUMIF(AG$7:AG$503,$AR154,M$7:M$503),"")</f>
        <v>0</v>
      </c>
      <c r="AY154" s="2" t="str">
        <f aca="false">IF($AT154&gt;0,VLOOKUP($AR154,'O_MN, PE_UTA_UGM 2024'!E150:O566,2),"")</f>
        <v/>
      </c>
      <c r="AZ154" s="1424"/>
      <c r="BA154" s="1424"/>
      <c r="BB154" s="1424" t="str">
        <f aca="false">IF($AT154&gt;0,VLOOKUP($AR154,'O_MN, PE_UTA_UGM 2024'!$E$3:$O$419,BB$6),"")</f>
        <v/>
      </c>
      <c r="BC154" s="1424" t="str">
        <f aca="false">IF($AT154&gt;0,VLOOKUP($AR154,'O_MN, PE_UTA_UGM 2024'!$E$3:$O$419,BC$6),"")</f>
        <v/>
      </c>
      <c r="BD154" s="1424" t="str">
        <f aca="false">IF($AT154&gt;0,VLOOKUP($AR154,'O_MN, PE_UTA_UGM 2024'!$E$3:$O$419,BD$6),"")</f>
        <v/>
      </c>
      <c r="BE154" s="1424" t="str">
        <f aca="false">IF($AT154&gt;0,VLOOKUP($AR154,'O_MN, PE_UTA_UGM 2024'!$E$3:$O$419,BE$6),"")</f>
        <v/>
      </c>
      <c r="BF154" s="1424" t="str">
        <f aca="false">IF($AT154&gt;0,VLOOKUP($AR154,'O_MN, PE_UTA_UGM 2024'!$E$3:$O$419,BF$6),"")</f>
        <v/>
      </c>
      <c r="BG154" s="1424" t="str">
        <f aca="false">IF($AT154&gt;0,VLOOKUP($AR154,'O_MN, PE_UTA_UGM 2024'!$E$3:$O$419,BG$6),"")</f>
        <v/>
      </c>
      <c r="BH154" s="872"/>
      <c r="BI154" s="872"/>
      <c r="BJ154" s="872"/>
      <c r="BK154" s="872"/>
      <c r="BM154" s="1411"/>
      <c r="BN154" s="1411"/>
      <c r="BO154" s="1425" t="str">
        <f aca="false">IF(ISNUMBER($AU154*BB154*1),$AU154*BB154*1,"")</f>
        <v/>
      </c>
      <c r="BP154" s="1425" t="str">
        <f aca="false">IF(ISNUMBER($AV154*BC154*1),$AV154*BC154*1,"")</f>
        <v/>
      </c>
      <c r="BQ154" s="1425" t="str">
        <f aca="false">IF(ISNUMBER($AU154*BD154*1),$AU154*BD154*1,"")</f>
        <v/>
      </c>
      <c r="BR154" s="1425" t="str">
        <f aca="false">IF(ISNUMBER($AV154*BE154*1),$AV154*BE154*1,"")</f>
        <v/>
      </c>
      <c r="BS154" s="1411" t="str">
        <f aca="false">IF(ISNUMBER($AU154*BF154),$AU154*BF154,"")</f>
        <v/>
      </c>
      <c r="BT154" s="1411" t="str">
        <f aca="false">IF(ISNUMBER($AV154*BG154),$AV154*BG154,"")</f>
        <v/>
      </c>
      <c r="BU154" s="1411"/>
      <c r="BV154" s="1411"/>
      <c r="BW154" s="1411"/>
      <c r="BX154" s="1411"/>
      <c r="BZ154" s="1372"/>
      <c r="CA154" s="1372"/>
      <c r="CB154" s="1426" t="str">
        <f aca="false">IF(ISNUMBER($AW154*BB154),$AW154*BB154,"")</f>
        <v/>
      </c>
      <c r="CC154" s="1426" t="str">
        <f aca="false">IF(ISNUMBER($AX154*BC154),$AX154*BC154,"")</f>
        <v/>
      </c>
      <c r="CD154" s="1426" t="str">
        <f aca="false">IF(ISNUMBER($AW154*BD154),$AW154*BD154,"")</f>
        <v/>
      </c>
      <c r="CE154" s="1426" t="str">
        <f aca="false">IF(ISNUMBER($AX154*BE154),$AX154*BE154,"")</f>
        <v/>
      </c>
      <c r="CF154" s="1372" t="str">
        <f aca="false">IF(ISNUMBER($AW154*BF154),$AW154*BF154,"")</f>
        <v/>
      </c>
      <c r="CG154" s="1372" t="str">
        <f aca="false">IF(ISNUMBER($AX154*BG154),$AX154*BG154,"")</f>
        <v/>
      </c>
      <c r="CH154" s="1438"/>
      <c r="CI154" s="1438"/>
      <c r="CJ154" s="1438"/>
      <c r="CK154" s="1438"/>
      <c r="CU154" s="1411"/>
      <c r="CV154" s="1411"/>
      <c r="CW154" s="1425"/>
      <c r="CX154" s="1425"/>
      <c r="CY154" s="1425"/>
      <c r="CZ154" s="1425"/>
      <c r="DA154" s="1411"/>
      <c r="DB154" s="1411"/>
      <c r="DC154" s="1411"/>
      <c r="DD154" s="1411"/>
      <c r="DE154" s="1411"/>
      <c r="DF154" s="1411"/>
      <c r="DH154" s="1432"/>
      <c r="DI154" s="1432"/>
      <c r="DJ154" s="1437"/>
      <c r="DK154" s="1437"/>
      <c r="DL154" s="1437"/>
      <c r="DM154" s="1437"/>
      <c r="DN154" s="1432"/>
      <c r="DO154" s="1432"/>
      <c r="DP154" s="1432"/>
      <c r="DQ154" s="1432"/>
      <c r="DR154" s="1432"/>
      <c r="DS154" s="1432"/>
      <c r="DT154" s="1316"/>
      <c r="DU154" s="1433"/>
      <c r="DV154" s="1433"/>
      <c r="DW154" s="1433"/>
      <c r="DX154" s="1433"/>
      <c r="DY154" s="1433"/>
      <c r="DZ154" s="1433"/>
      <c r="EA154" s="1433"/>
      <c r="EB154" s="1433"/>
    </row>
    <row r="155" customFormat="false" ht="14.25" hidden="false" customHeight="false" outlineLevel="0" collapsed="false">
      <c r="A155" s="2" t="n">
        <f aca="false">'V_DATOS PAC_SGA'!R150</f>
        <v>0</v>
      </c>
      <c r="B155" s="2" t="n">
        <f aca="false">IF(I155="IV",CONCATENATE('V_DATOS PAC_SGA'!R150,"4")+0,CONCATENATE('V_DATOS PAC_SGA'!R150,"0")+0)</f>
        <v>0</v>
      </c>
      <c r="C155" s="2" t="n">
        <f aca="false">'V_DATOS PAC_SGA'!S150</f>
        <v>0</v>
      </c>
      <c r="D155" s="1409" t="n">
        <f aca="false">'V_DATOS PAC_SGA'!Y150</f>
        <v>0</v>
      </c>
      <c r="E155" s="1410" t="str">
        <f aca="false">IF('V_DATOS PAC_SGA'!AV150="","Regadio",'V_DATOS PAC_SGA'!AV150)</f>
        <v>Regadio</v>
      </c>
      <c r="F155" s="1411" t="n">
        <f aca="false">'V_DATOS PAC_SGA'!BK150</f>
        <v>0</v>
      </c>
      <c r="G155" s="1412" t="n">
        <f aca="false">'V_DATOS PAC_SGA'!AN150</f>
        <v>0</v>
      </c>
      <c r="H155" s="1413" t="str">
        <f aca="false">IF(B155&gt;0,VLOOKUP(B155,'O_MN, PE_UTA_UGM 2024'!E$3:O$419,10),"")</f>
        <v/>
      </c>
      <c r="I155" s="1359" t="n">
        <f aca="false">'V_DATOS PAC_SGA'!BV150</f>
        <v>0</v>
      </c>
      <c r="J155" s="2" t="str">
        <f aca="false">IF(AND(J$4=$G155,J$6=$F155),$D155*J$5,"")</f>
        <v/>
      </c>
      <c r="K155" s="2" t="str">
        <f aca="false">IF(AND(K$4=$G155,K$6=$F155),$D155*K$5,"")</f>
        <v/>
      </c>
      <c r="L155" s="2" t="str">
        <f aca="false">IF(AND(L$4=$G155,L$6=$F155),$D155*L$5,"")</f>
        <v/>
      </c>
      <c r="M155" s="2" t="str">
        <f aca="false">IF(AND(M$4=$G155,M$6=$F155),$D155*M$5,"")</f>
        <v/>
      </c>
      <c r="N155" s="1414" t="n">
        <f aca="false">VLOOKUP(B155,'O_MN, PE_UTA_UGM 2024'!$E$2:$K$419,IF(G155&gt;1,6,7))</f>
        <v>0</v>
      </c>
      <c r="O155" s="1434" t="str">
        <f aca="false">IF($H155=O$4,$D155*$N155,"")</f>
        <v/>
      </c>
      <c r="P155" s="1435" t="str">
        <f aca="false">IF($H155=P$4,$D155*$N155,"")</f>
        <v/>
      </c>
      <c r="Q155" s="1435" t="str">
        <f aca="false">IF($H155=Q$4,$D155*$N155,"")</f>
        <v/>
      </c>
      <c r="R155" s="1435" t="str">
        <f aca="false">IF($H155=R$4,$D155*$N155,"")</f>
        <v/>
      </c>
      <c r="S155" s="1435" t="str">
        <f aca="false">IF($H155=S$4,$D155*$N155,"")</f>
        <v/>
      </c>
      <c r="T155" s="1435" t="str">
        <f aca="false">IF($H155=T$4,$D155*$N155,"")</f>
        <v/>
      </c>
      <c r="U155" s="1436" t="str">
        <f aca="false">IF($H155=U$4,$D155*$N155,"")</f>
        <v/>
      </c>
      <c r="V155" s="1418"/>
      <c r="W155" s="1419"/>
      <c r="X155" s="1419"/>
      <c r="Y155" s="1419"/>
      <c r="Z155" s="1419"/>
      <c r="AA155" s="1419"/>
      <c r="AB155" s="1420"/>
      <c r="AC155" s="1319"/>
      <c r="AD155" s="2" t="str">
        <f aca="false">IF(AND(AD$4=$G155,AD$6=$F155),$B155,"")</f>
        <v/>
      </c>
      <c r="AE155" s="2" t="str">
        <f aca="false">IF(AND(AE$4=$G155,AE$6=$F155),$B155,"")</f>
        <v/>
      </c>
      <c r="AF155" s="2" t="str">
        <f aca="false">IF(AND(AF$4=$G155,AF$6=$F155),$B155,"")</f>
        <v/>
      </c>
      <c r="AG155" s="2" t="str">
        <f aca="false">IF(AND(AG$4=$G155,AG$6=$F155),$B155,"")</f>
        <v/>
      </c>
      <c r="AI155" s="366"/>
      <c r="AL155" s="367"/>
      <c r="AO155" s="367"/>
      <c r="AP155" s="2" t="str">
        <f aca="false">IF(AT155&gt;0,RANK(AT155,AT$7:AT$423),"")</f>
        <v/>
      </c>
      <c r="AQ155" s="2" t="n">
        <f aca="false">'O_MN, PE_UTA_UGM 2024'!C151</f>
        <v>175</v>
      </c>
      <c r="AR155" s="1421" t="n">
        <v>1739</v>
      </c>
      <c r="AS155" s="2" t="str">
        <f aca="false">IF(AY155&lt;&gt;"",AY155,"")</f>
        <v/>
      </c>
      <c r="AT155" s="1422" t="n">
        <f aca="false">IF(ISNUMBER($AR155),SUMIF(B$7:B$505,AR155,D$7:D$505),"")</f>
        <v>0</v>
      </c>
      <c r="AU155" s="1411" t="n">
        <f aca="false">IF(ISNUMBER($AR155),SUMIF(AD$7:AD$503,$AR155,J$7:J$503),"")</f>
        <v>0</v>
      </c>
      <c r="AV155" s="1411" t="n">
        <f aca="false">IF(ISNUMBER($AR155),SUMIF(AF$7:AF$503,$AR155,L$7:L$503),"")</f>
        <v>0</v>
      </c>
      <c r="AW155" s="1423" t="n">
        <f aca="false">IF(ISNUMBER($AR155),SUMIF(AE$7:AE$503,$AR155,K$7:K$503),"")</f>
        <v>0</v>
      </c>
      <c r="AX155" s="1423" t="n">
        <f aca="false">IF(ISNUMBER($AR155),SUMIF(AG$7:AG$503,$AR155,M$7:M$503),"")</f>
        <v>0</v>
      </c>
      <c r="AY155" s="2" t="str">
        <f aca="false">IF($AT155&gt;0,VLOOKUP($AR155,'O_MN, PE_UTA_UGM 2024'!E151:O567,2),"")</f>
        <v/>
      </c>
      <c r="AZ155" s="1424"/>
      <c r="BA155" s="1424"/>
      <c r="BB155" s="1424" t="str">
        <f aca="false">IF($AT155&gt;0,VLOOKUP($AR155,'O_MN, PE_UTA_UGM 2024'!$E$3:$O$419,BB$6),"")</f>
        <v/>
      </c>
      <c r="BC155" s="1424" t="str">
        <f aca="false">IF($AT155&gt;0,VLOOKUP($AR155,'O_MN, PE_UTA_UGM 2024'!$E$3:$O$419,BC$6),"")</f>
        <v/>
      </c>
      <c r="BD155" s="1424" t="str">
        <f aca="false">IF($AT155&gt;0,VLOOKUP($AR155,'O_MN, PE_UTA_UGM 2024'!$E$3:$O$419,BD$6),"")</f>
        <v/>
      </c>
      <c r="BE155" s="1424" t="str">
        <f aca="false">IF($AT155&gt;0,VLOOKUP($AR155,'O_MN, PE_UTA_UGM 2024'!$E$3:$O$419,BE$6),"")</f>
        <v/>
      </c>
      <c r="BF155" s="1424" t="str">
        <f aca="false">IF($AT155&gt;0,VLOOKUP($AR155,'O_MN, PE_UTA_UGM 2024'!$E$3:$O$419,BF$6),"")</f>
        <v/>
      </c>
      <c r="BG155" s="1424" t="str">
        <f aca="false">IF($AT155&gt;0,VLOOKUP($AR155,'O_MN, PE_UTA_UGM 2024'!$E$3:$O$419,BG$6),"")</f>
        <v/>
      </c>
      <c r="BH155" s="872"/>
      <c r="BI155" s="872"/>
      <c r="BJ155" s="872"/>
      <c r="BK155" s="872"/>
      <c r="BM155" s="1411"/>
      <c r="BN155" s="1411"/>
      <c r="BO155" s="1425" t="str">
        <f aca="false">IF(ISNUMBER($AU155*BB155*1),$AU155*BB155*1,"")</f>
        <v/>
      </c>
      <c r="BP155" s="1425" t="str">
        <f aca="false">IF(ISNUMBER($AV155*BC155*1),$AV155*BC155*1,"")</f>
        <v/>
      </c>
      <c r="BQ155" s="1425" t="str">
        <f aca="false">IF(ISNUMBER($AU155*BD155*1),$AU155*BD155*1,"")</f>
        <v/>
      </c>
      <c r="BR155" s="1425" t="str">
        <f aca="false">IF(ISNUMBER($AV155*BE155*1),$AV155*BE155*1,"")</f>
        <v/>
      </c>
      <c r="BS155" s="1411" t="str">
        <f aca="false">IF(ISNUMBER($AU155*BF155),$AU155*BF155,"")</f>
        <v/>
      </c>
      <c r="BT155" s="1411" t="str">
        <f aca="false">IF(ISNUMBER($AV155*BG155),$AV155*BG155,"")</f>
        <v/>
      </c>
      <c r="BU155" s="1411"/>
      <c r="BV155" s="1411"/>
      <c r="BW155" s="1411"/>
      <c r="BX155" s="1411"/>
      <c r="BZ155" s="1372"/>
      <c r="CA155" s="1372"/>
      <c r="CB155" s="1426" t="str">
        <f aca="false">IF(ISNUMBER($AW155*BB155),$AW155*BB155,"")</f>
        <v/>
      </c>
      <c r="CC155" s="1426" t="str">
        <f aca="false">IF(ISNUMBER($AX155*BC155),$AX155*BC155,"")</f>
        <v/>
      </c>
      <c r="CD155" s="1426" t="str">
        <f aca="false">IF(ISNUMBER($AW155*BD155),$AW155*BD155,"")</f>
        <v/>
      </c>
      <c r="CE155" s="1426" t="str">
        <f aca="false">IF(ISNUMBER($AX155*BE155),$AX155*BE155,"")</f>
        <v/>
      </c>
      <c r="CF155" s="1372" t="str">
        <f aca="false">IF(ISNUMBER($AW155*BF155),$AW155*BF155,"")</f>
        <v/>
      </c>
      <c r="CG155" s="1372" t="str">
        <f aca="false">IF(ISNUMBER($AX155*BG155),$AX155*BG155,"")</f>
        <v/>
      </c>
      <c r="CH155" s="1438"/>
      <c r="CI155" s="1438"/>
      <c r="CJ155" s="1438"/>
      <c r="CK155" s="1438"/>
      <c r="CU155" s="1411"/>
      <c r="CV155" s="1411"/>
      <c r="CW155" s="1425"/>
      <c r="CX155" s="1425"/>
      <c r="CY155" s="1425"/>
      <c r="CZ155" s="1425"/>
      <c r="DA155" s="1411"/>
      <c r="DB155" s="1411"/>
      <c r="DC155" s="1411"/>
      <c r="DD155" s="1411"/>
      <c r="DE155" s="1411"/>
      <c r="DF155" s="1411"/>
      <c r="DH155" s="1432"/>
      <c r="DI155" s="1432"/>
      <c r="DJ155" s="1437"/>
      <c r="DK155" s="1437"/>
      <c r="DL155" s="1437"/>
      <c r="DM155" s="1437"/>
      <c r="DN155" s="1432"/>
      <c r="DO155" s="1432"/>
      <c r="DP155" s="1432"/>
      <c r="DQ155" s="1432"/>
      <c r="DR155" s="1432"/>
      <c r="DS155" s="1432"/>
      <c r="DT155" s="1316"/>
      <c r="DU155" s="1433"/>
      <c r="DV155" s="1433"/>
      <c r="DW155" s="1433"/>
      <c r="DX155" s="1433"/>
      <c r="DY155" s="1433"/>
      <c r="DZ155" s="1433"/>
      <c r="EA155" s="1433"/>
      <c r="EB155" s="1433"/>
    </row>
    <row r="156" customFormat="false" ht="14.25" hidden="false" customHeight="false" outlineLevel="0" collapsed="false">
      <c r="A156" s="2" t="n">
        <f aca="false">'V_DATOS PAC_SGA'!R151</f>
        <v>0</v>
      </c>
      <c r="B156" s="2" t="n">
        <f aca="false">IF(I156="IV",CONCATENATE('V_DATOS PAC_SGA'!R151,"4")+0,CONCATENATE('V_DATOS PAC_SGA'!R151,"0")+0)</f>
        <v>0</v>
      </c>
      <c r="C156" s="2" t="n">
        <f aca="false">'V_DATOS PAC_SGA'!S151</f>
        <v>0</v>
      </c>
      <c r="D156" s="1409" t="n">
        <f aca="false">'V_DATOS PAC_SGA'!Y151</f>
        <v>0</v>
      </c>
      <c r="E156" s="1410" t="str">
        <f aca="false">IF('V_DATOS PAC_SGA'!AV151="","Regadio",'V_DATOS PAC_SGA'!AV151)</f>
        <v>Regadio</v>
      </c>
      <c r="F156" s="1411" t="n">
        <f aca="false">'V_DATOS PAC_SGA'!BK151</f>
        <v>0</v>
      </c>
      <c r="G156" s="1412" t="n">
        <f aca="false">'V_DATOS PAC_SGA'!AN151</f>
        <v>0</v>
      </c>
      <c r="H156" s="1413" t="str">
        <f aca="false">IF(B156&gt;0,VLOOKUP(B156,'O_MN, PE_UTA_UGM 2024'!E$3:O$419,10),"")</f>
        <v/>
      </c>
      <c r="I156" s="1359" t="n">
        <f aca="false">'V_DATOS PAC_SGA'!BV151</f>
        <v>0</v>
      </c>
      <c r="J156" s="2" t="str">
        <f aca="false">IF(AND(J$4=$G156,J$6=$F156),$D156*J$5,"")</f>
        <v/>
      </c>
      <c r="K156" s="2" t="str">
        <f aca="false">IF(AND(K$4=$G156,K$6=$F156),$D156*K$5,"")</f>
        <v/>
      </c>
      <c r="L156" s="2" t="str">
        <f aca="false">IF(AND(L$4=$G156,L$6=$F156),$D156*L$5,"")</f>
        <v/>
      </c>
      <c r="M156" s="2" t="str">
        <f aca="false">IF(AND(M$4=$G156,M$6=$F156),$D156*M$5,"")</f>
        <v/>
      </c>
      <c r="N156" s="1414" t="n">
        <f aca="false">VLOOKUP(B156,'O_MN, PE_UTA_UGM 2024'!$E$2:$K$419,IF(G156&gt;1,6,7))</f>
        <v>0</v>
      </c>
      <c r="O156" s="1434" t="str">
        <f aca="false">IF($H156=O$4,$D156*$N156,"")</f>
        <v/>
      </c>
      <c r="P156" s="1435" t="str">
        <f aca="false">IF($H156=P$4,$D156*$N156,"")</f>
        <v/>
      </c>
      <c r="Q156" s="1435" t="str">
        <f aca="false">IF($H156=Q$4,$D156*$N156,"")</f>
        <v/>
      </c>
      <c r="R156" s="1435" t="str">
        <f aca="false">IF($H156=R$4,$D156*$N156,"")</f>
        <v/>
      </c>
      <c r="S156" s="1435" t="str">
        <f aca="false">IF($H156=S$4,$D156*$N156,"")</f>
        <v/>
      </c>
      <c r="T156" s="1435" t="str">
        <f aca="false">IF($H156=T$4,$D156*$N156,"")</f>
        <v/>
      </c>
      <c r="U156" s="1436" t="str">
        <f aca="false">IF($H156=U$4,$D156*$N156,"")</f>
        <v/>
      </c>
      <c r="V156" s="1418"/>
      <c r="W156" s="1419"/>
      <c r="X156" s="1419"/>
      <c r="Y156" s="1419"/>
      <c r="Z156" s="1419"/>
      <c r="AA156" s="1419"/>
      <c r="AB156" s="1420"/>
      <c r="AC156" s="1319"/>
      <c r="AD156" s="2" t="str">
        <f aca="false">IF(AND(AD$4=$G156,AD$6=$F156),$B156,"")</f>
        <v/>
      </c>
      <c r="AE156" s="2" t="str">
        <f aca="false">IF(AND(AE$4=$G156,AE$6=$F156),$B156,"")</f>
        <v/>
      </c>
      <c r="AF156" s="2" t="str">
        <f aca="false">IF(AND(AF$4=$G156,AF$6=$F156),$B156,"")</f>
        <v/>
      </c>
      <c r="AG156" s="2" t="str">
        <f aca="false">IF(AND(AG$4=$G156,AG$6=$F156),$B156,"")</f>
        <v/>
      </c>
      <c r="AI156" s="366"/>
      <c r="AL156" s="367"/>
      <c r="AO156" s="367"/>
      <c r="AP156" s="2" t="str">
        <f aca="false">IF(AT156&gt;0,RANK(AT156,AT$7:AT$423),"")</f>
        <v/>
      </c>
      <c r="AQ156" s="2" t="n">
        <f aca="false">'O_MN, PE_UTA_UGM 2024'!C152</f>
        <v>175</v>
      </c>
      <c r="AR156" s="1421" t="n">
        <v>1740</v>
      </c>
      <c r="AS156" s="2" t="str">
        <f aca="false">IF(AY156&lt;&gt;"",AY156,"")</f>
        <v/>
      </c>
      <c r="AT156" s="1422" t="n">
        <f aca="false">IF(ISNUMBER($AR156),SUMIF(B$7:B$505,AR156,D$7:D$505),"")</f>
        <v>0</v>
      </c>
      <c r="AU156" s="1411" t="n">
        <f aca="false">IF(ISNUMBER($AR156),SUMIF(AD$7:AD$503,$AR156,J$7:J$503),"")</f>
        <v>0</v>
      </c>
      <c r="AV156" s="1411" t="n">
        <f aca="false">IF(ISNUMBER($AR156),SUMIF(AF$7:AF$503,$AR156,L$7:L$503),"")</f>
        <v>0</v>
      </c>
      <c r="AW156" s="1423" t="n">
        <f aca="false">IF(ISNUMBER($AR156),SUMIF(AE$7:AE$503,$AR156,K$7:K$503),"")</f>
        <v>0</v>
      </c>
      <c r="AX156" s="1423" t="n">
        <f aca="false">IF(ISNUMBER($AR156),SUMIF(AG$7:AG$503,$AR156,M$7:M$503),"")</f>
        <v>0</v>
      </c>
      <c r="AY156" s="2" t="str">
        <f aca="false">IF($AT156&gt;0,VLOOKUP($AR156,'O_MN, PE_UTA_UGM 2024'!E152:O568,2),"")</f>
        <v/>
      </c>
      <c r="AZ156" s="1424"/>
      <c r="BA156" s="1424"/>
      <c r="BB156" s="1424" t="str">
        <f aca="false">IF($AT156&gt;0,VLOOKUP($AR156,'O_MN, PE_UTA_UGM 2024'!$E$3:$O$419,BB$6),"")</f>
        <v/>
      </c>
      <c r="BC156" s="1424" t="str">
        <f aca="false">IF($AT156&gt;0,VLOOKUP($AR156,'O_MN, PE_UTA_UGM 2024'!$E$3:$O$419,BC$6),"")</f>
        <v/>
      </c>
      <c r="BD156" s="1424" t="str">
        <f aca="false">IF($AT156&gt;0,VLOOKUP($AR156,'O_MN, PE_UTA_UGM 2024'!$E$3:$O$419,BD$6),"")</f>
        <v/>
      </c>
      <c r="BE156" s="1424" t="str">
        <f aca="false">IF($AT156&gt;0,VLOOKUP($AR156,'O_MN, PE_UTA_UGM 2024'!$E$3:$O$419,BE$6),"")</f>
        <v/>
      </c>
      <c r="BF156" s="1424" t="str">
        <f aca="false">IF($AT156&gt;0,VLOOKUP($AR156,'O_MN, PE_UTA_UGM 2024'!$E$3:$O$419,BF$6),"")</f>
        <v/>
      </c>
      <c r="BG156" s="1424" t="str">
        <f aca="false">IF($AT156&gt;0,VLOOKUP($AR156,'O_MN, PE_UTA_UGM 2024'!$E$3:$O$419,BG$6),"")</f>
        <v/>
      </c>
      <c r="BH156" s="872"/>
      <c r="BI156" s="872"/>
      <c r="BJ156" s="872"/>
      <c r="BK156" s="872"/>
      <c r="BM156" s="1411"/>
      <c r="BN156" s="1411"/>
      <c r="BO156" s="1425" t="str">
        <f aca="false">IF(ISNUMBER($AU156*BB156*1),$AU156*BB156*1,"")</f>
        <v/>
      </c>
      <c r="BP156" s="1425" t="str">
        <f aca="false">IF(ISNUMBER($AV156*BC156*1),$AV156*BC156*1,"")</f>
        <v/>
      </c>
      <c r="BQ156" s="1425" t="str">
        <f aca="false">IF(ISNUMBER($AU156*BD156*1),$AU156*BD156*1,"")</f>
        <v/>
      </c>
      <c r="BR156" s="1425" t="str">
        <f aca="false">IF(ISNUMBER($AV156*BE156*1),$AV156*BE156*1,"")</f>
        <v/>
      </c>
      <c r="BS156" s="1411" t="str">
        <f aca="false">IF(ISNUMBER($AU156*BF156),$AU156*BF156,"")</f>
        <v/>
      </c>
      <c r="BT156" s="1411" t="str">
        <f aca="false">IF(ISNUMBER($AV156*BG156),$AV156*BG156,"")</f>
        <v/>
      </c>
      <c r="BU156" s="1411"/>
      <c r="BV156" s="1411"/>
      <c r="BW156" s="1411"/>
      <c r="BX156" s="1411"/>
      <c r="BZ156" s="1372"/>
      <c r="CA156" s="1372"/>
      <c r="CB156" s="1426" t="str">
        <f aca="false">IF(ISNUMBER($AW156*BB156),$AW156*BB156,"")</f>
        <v/>
      </c>
      <c r="CC156" s="1426" t="str">
        <f aca="false">IF(ISNUMBER($AX156*BC156),$AX156*BC156,"")</f>
        <v/>
      </c>
      <c r="CD156" s="1426" t="str">
        <f aca="false">IF(ISNUMBER($AW156*BD156),$AW156*BD156,"")</f>
        <v/>
      </c>
      <c r="CE156" s="1426" t="str">
        <f aca="false">IF(ISNUMBER($AX156*BE156),$AX156*BE156,"")</f>
        <v/>
      </c>
      <c r="CF156" s="1372" t="str">
        <f aca="false">IF(ISNUMBER($AW156*BF156),$AW156*BF156,"")</f>
        <v/>
      </c>
      <c r="CG156" s="1372" t="str">
        <f aca="false">IF(ISNUMBER($AX156*BG156),$AX156*BG156,"")</f>
        <v/>
      </c>
      <c r="CH156" s="1438"/>
      <c r="CI156" s="1438"/>
      <c r="CJ156" s="1438"/>
      <c r="CK156" s="1438"/>
      <c r="CU156" s="1411"/>
      <c r="CV156" s="1411"/>
      <c r="CW156" s="1425"/>
      <c r="CX156" s="1425"/>
      <c r="CY156" s="1425"/>
      <c r="CZ156" s="1425"/>
      <c r="DA156" s="1411"/>
      <c r="DB156" s="1411"/>
      <c r="DC156" s="1411"/>
      <c r="DD156" s="1411"/>
      <c r="DE156" s="1411"/>
      <c r="DF156" s="1411"/>
      <c r="DH156" s="1432"/>
      <c r="DI156" s="1432"/>
      <c r="DJ156" s="1437"/>
      <c r="DK156" s="1437"/>
      <c r="DL156" s="1437"/>
      <c r="DM156" s="1437"/>
      <c r="DN156" s="1432"/>
      <c r="DO156" s="1432"/>
      <c r="DP156" s="1432"/>
      <c r="DQ156" s="1432"/>
      <c r="DR156" s="1432"/>
      <c r="DS156" s="1432"/>
      <c r="DT156" s="1316"/>
      <c r="DU156" s="1433"/>
      <c r="DV156" s="1433"/>
      <c r="DW156" s="1433"/>
      <c r="DX156" s="1433"/>
      <c r="DY156" s="1433"/>
      <c r="DZ156" s="1433"/>
      <c r="EA156" s="1433"/>
      <c r="EB156" s="1433"/>
    </row>
    <row r="157" customFormat="false" ht="14.25" hidden="false" customHeight="false" outlineLevel="0" collapsed="false">
      <c r="A157" s="2" t="n">
        <f aca="false">'V_DATOS PAC_SGA'!R152</f>
        <v>0</v>
      </c>
      <c r="B157" s="2" t="n">
        <f aca="false">IF(I157="IV",CONCATENATE('V_DATOS PAC_SGA'!R152,"4")+0,CONCATENATE('V_DATOS PAC_SGA'!R152,"0")+0)</f>
        <v>0</v>
      </c>
      <c r="C157" s="2" t="n">
        <f aca="false">'V_DATOS PAC_SGA'!S152</f>
        <v>0</v>
      </c>
      <c r="D157" s="1409" t="n">
        <f aca="false">'V_DATOS PAC_SGA'!Y152</f>
        <v>0</v>
      </c>
      <c r="E157" s="1410" t="str">
        <f aca="false">IF('V_DATOS PAC_SGA'!AV152="","Regadio",'V_DATOS PAC_SGA'!AV152)</f>
        <v>Regadio</v>
      </c>
      <c r="F157" s="1411" t="n">
        <f aca="false">'V_DATOS PAC_SGA'!BK152</f>
        <v>0</v>
      </c>
      <c r="G157" s="1412" t="n">
        <f aca="false">'V_DATOS PAC_SGA'!AN152</f>
        <v>0</v>
      </c>
      <c r="H157" s="1413" t="str">
        <f aca="false">IF(B157&gt;0,VLOOKUP(B157,'O_MN, PE_UTA_UGM 2024'!E$3:O$419,10),"")</f>
        <v/>
      </c>
      <c r="I157" s="1359" t="n">
        <f aca="false">'V_DATOS PAC_SGA'!BV152</f>
        <v>0</v>
      </c>
      <c r="J157" s="2" t="str">
        <f aca="false">IF(AND(J$4=$G157,J$6=$F157),$D157*J$5,"")</f>
        <v/>
      </c>
      <c r="K157" s="2" t="str">
        <f aca="false">IF(AND(K$4=$G157,K$6=$F157),$D157*K$5,"")</f>
        <v/>
      </c>
      <c r="L157" s="2" t="str">
        <f aca="false">IF(AND(L$4=$G157,L$6=$F157),$D157*L$5,"")</f>
        <v/>
      </c>
      <c r="M157" s="2" t="str">
        <f aca="false">IF(AND(M$4=$G157,M$6=$F157),$D157*M$5,"")</f>
        <v/>
      </c>
      <c r="N157" s="1414" t="n">
        <f aca="false">VLOOKUP(B157,'O_MN, PE_UTA_UGM 2024'!$E$2:$K$419,IF(G157&gt;1,6,7))</f>
        <v>0</v>
      </c>
      <c r="O157" s="1434" t="str">
        <f aca="false">IF($H157=O$4,$D157*$N157,"")</f>
        <v/>
      </c>
      <c r="P157" s="1435" t="str">
        <f aca="false">IF($H157=P$4,$D157*$N157,"")</f>
        <v/>
      </c>
      <c r="Q157" s="1435" t="str">
        <f aca="false">IF($H157=Q$4,$D157*$N157,"")</f>
        <v/>
      </c>
      <c r="R157" s="1435" t="str">
        <f aca="false">IF($H157=R$4,$D157*$N157,"")</f>
        <v/>
      </c>
      <c r="S157" s="1435" t="str">
        <f aca="false">IF($H157=S$4,$D157*$N157,"")</f>
        <v/>
      </c>
      <c r="T157" s="1435" t="str">
        <f aca="false">IF($H157=T$4,$D157*$N157,"")</f>
        <v/>
      </c>
      <c r="U157" s="1436" t="str">
        <f aca="false">IF($H157=U$4,$D157*$N157,"")</f>
        <v/>
      </c>
      <c r="V157" s="1418"/>
      <c r="W157" s="1419"/>
      <c r="X157" s="1419"/>
      <c r="Y157" s="1419"/>
      <c r="Z157" s="1419"/>
      <c r="AA157" s="1419"/>
      <c r="AB157" s="1420"/>
      <c r="AC157" s="1319"/>
      <c r="AD157" s="2" t="str">
        <f aca="false">IF(AND(AD$4=$G157,AD$6=$F157),$B157,"")</f>
        <v/>
      </c>
      <c r="AE157" s="2" t="str">
        <f aca="false">IF(AND(AE$4=$G157,AE$6=$F157),$B157,"")</f>
        <v/>
      </c>
      <c r="AF157" s="2" t="str">
        <f aca="false">IF(AND(AF$4=$G157,AF$6=$F157),$B157,"")</f>
        <v/>
      </c>
      <c r="AG157" s="2" t="str">
        <f aca="false">IF(AND(AG$4=$G157,AG$6=$F157),$B157,"")</f>
        <v/>
      </c>
      <c r="AI157" s="366"/>
      <c r="AL157" s="367"/>
      <c r="AO157" s="367"/>
      <c r="AP157" s="2" t="str">
        <f aca="false">IF(AT157&gt;0,RANK(AT157,AT$7:AT$423),"")</f>
        <v/>
      </c>
      <c r="AQ157" s="2" t="n">
        <f aca="false">'O_MN, PE_UTA_UGM 2024'!C153</f>
        <v>175</v>
      </c>
      <c r="AR157" s="1421" t="n">
        <v>1744</v>
      </c>
      <c r="AS157" s="2" t="str">
        <f aca="false">IF(AY157&lt;&gt;"",AY157,"")</f>
        <v/>
      </c>
      <c r="AT157" s="1422" t="n">
        <f aca="false">IF(ISNUMBER($AR157),SUMIF(B$7:B$505,AR157,D$7:D$505),"")</f>
        <v>0</v>
      </c>
      <c r="AU157" s="1411" t="n">
        <f aca="false">IF(ISNUMBER($AR157),SUMIF(AD$7:AD$503,$AR157,J$7:J$503),"")</f>
        <v>0</v>
      </c>
      <c r="AV157" s="1411" t="n">
        <f aca="false">IF(ISNUMBER($AR157),SUMIF(AF$7:AF$503,$AR157,L$7:L$503),"")</f>
        <v>0</v>
      </c>
      <c r="AW157" s="1423" t="n">
        <f aca="false">IF(ISNUMBER($AR157),SUMIF(AE$7:AE$503,$AR157,K$7:K$503),"")</f>
        <v>0</v>
      </c>
      <c r="AX157" s="1423" t="n">
        <f aca="false">IF(ISNUMBER($AR157),SUMIF(AG$7:AG$503,$AR157,M$7:M$503),"")</f>
        <v>0</v>
      </c>
      <c r="AY157" s="2" t="str">
        <f aca="false">IF($AT157&gt;0,VLOOKUP($AR157,'O_MN, PE_UTA_UGM 2024'!E153:O569,2),"")</f>
        <v/>
      </c>
      <c r="AZ157" s="1424"/>
      <c r="BA157" s="1424"/>
      <c r="BB157" s="1424" t="str">
        <f aca="false">IF($AT157&gt;0,VLOOKUP($AR157,'O_MN, PE_UTA_UGM 2024'!$E$3:$O$419,BB$6),"")</f>
        <v/>
      </c>
      <c r="BC157" s="1424" t="str">
        <f aca="false">IF($AT157&gt;0,VLOOKUP($AR157,'O_MN, PE_UTA_UGM 2024'!$E$3:$O$419,BC$6),"")</f>
        <v/>
      </c>
      <c r="BD157" s="1424" t="str">
        <f aca="false">IF($AT157&gt;0,VLOOKUP($AR157,'O_MN, PE_UTA_UGM 2024'!$E$3:$O$419,BD$6),"")</f>
        <v/>
      </c>
      <c r="BE157" s="1424" t="str">
        <f aca="false">IF($AT157&gt;0,VLOOKUP($AR157,'O_MN, PE_UTA_UGM 2024'!$E$3:$O$419,BE$6),"")</f>
        <v/>
      </c>
      <c r="BF157" s="1424" t="str">
        <f aca="false">IF($AT157&gt;0,VLOOKUP($AR157,'O_MN, PE_UTA_UGM 2024'!$E$3:$O$419,BF$6),"")</f>
        <v/>
      </c>
      <c r="BG157" s="1424" t="str">
        <f aca="false">IF($AT157&gt;0,VLOOKUP($AR157,'O_MN, PE_UTA_UGM 2024'!$E$3:$O$419,BG$6),"")</f>
        <v/>
      </c>
      <c r="BH157" s="872"/>
      <c r="BI157" s="872"/>
      <c r="BJ157" s="872"/>
      <c r="BK157" s="872"/>
      <c r="BM157" s="1411"/>
      <c r="BN157" s="1411"/>
      <c r="BO157" s="1425" t="str">
        <f aca="false">IF(ISNUMBER($AU157*BB157*1),$AU157*BB157*1,"")</f>
        <v/>
      </c>
      <c r="BP157" s="1425" t="str">
        <f aca="false">IF(ISNUMBER($AV157*BC157*1),$AV157*BC157*1,"")</f>
        <v/>
      </c>
      <c r="BQ157" s="1425" t="str">
        <f aca="false">IF(ISNUMBER($AU157*BD157*1),$AU157*BD157*1,"")</f>
        <v/>
      </c>
      <c r="BR157" s="1425" t="str">
        <f aca="false">IF(ISNUMBER($AV157*BE157*1),$AV157*BE157*1,"")</f>
        <v/>
      </c>
      <c r="BS157" s="1411" t="str">
        <f aca="false">IF(ISNUMBER($AU157*BF157),$AU157*BF157,"")</f>
        <v/>
      </c>
      <c r="BT157" s="1411" t="str">
        <f aca="false">IF(ISNUMBER($AV157*BG157),$AV157*BG157,"")</f>
        <v/>
      </c>
      <c r="BU157" s="1411"/>
      <c r="BV157" s="1411"/>
      <c r="BW157" s="1411"/>
      <c r="BX157" s="1411"/>
      <c r="BZ157" s="1372"/>
      <c r="CA157" s="1372"/>
      <c r="CB157" s="1426" t="str">
        <f aca="false">IF(ISNUMBER($AW157*BB157),$AW157*BB157,"")</f>
        <v/>
      </c>
      <c r="CC157" s="1426" t="str">
        <f aca="false">IF(ISNUMBER($AX157*BC157),$AX157*BC157,"")</f>
        <v/>
      </c>
      <c r="CD157" s="1426" t="str">
        <f aca="false">IF(ISNUMBER($AW157*BD157),$AW157*BD157,"")</f>
        <v/>
      </c>
      <c r="CE157" s="1426" t="str">
        <f aca="false">IF(ISNUMBER($AX157*BE157),$AX157*BE157,"")</f>
        <v/>
      </c>
      <c r="CF157" s="1372" t="str">
        <f aca="false">IF(ISNUMBER($AW157*BF157),$AW157*BF157,"")</f>
        <v/>
      </c>
      <c r="CG157" s="1372" t="str">
        <f aca="false">IF(ISNUMBER($AX157*BG157),$AX157*BG157,"")</f>
        <v/>
      </c>
      <c r="CH157" s="1438"/>
      <c r="CI157" s="1438"/>
      <c r="CJ157" s="1438"/>
      <c r="CK157" s="1438"/>
      <c r="CU157" s="1411"/>
      <c r="CV157" s="1411"/>
      <c r="CW157" s="1425"/>
      <c r="CX157" s="1425"/>
      <c r="CY157" s="1425"/>
      <c r="CZ157" s="1425"/>
      <c r="DA157" s="1411"/>
      <c r="DB157" s="1411"/>
      <c r="DC157" s="1411"/>
      <c r="DD157" s="1411"/>
      <c r="DE157" s="1411"/>
      <c r="DF157" s="1411"/>
      <c r="DH157" s="1432"/>
      <c r="DI157" s="1432"/>
      <c r="DJ157" s="1437"/>
      <c r="DK157" s="1437"/>
      <c r="DL157" s="1437"/>
      <c r="DM157" s="1437"/>
      <c r="DN157" s="1432"/>
      <c r="DO157" s="1432"/>
      <c r="DP157" s="1432"/>
      <c r="DQ157" s="1432"/>
      <c r="DR157" s="1432"/>
      <c r="DS157" s="1432"/>
      <c r="DT157" s="1316"/>
      <c r="DU157" s="1433"/>
      <c r="DV157" s="1433"/>
      <c r="DW157" s="1433"/>
      <c r="DX157" s="1433"/>
      <c r="DY157" s="1433"/>
      <c r="DZ157" s="1433"/>
      <c r="EA157" s="1433"/>
      <c r="EB157" s="1433"/>
    </row>
    <row r="158" customFormat="false" ht="14.25" hidden="false" customHeight="false" outlineLevel="0" collapsed="false">
      <c r="A158" s="2" t="n">
        <f aca="false">'V_DATOS PAC_SGA'!R153</f>
        <v>0</v>
      </c>
      <c r="B158" s="2" t="n">
        <f aca="false">IF(I158="IV",CONCATENATE('V_DATOS PAC_SGA'!R153,"4")+0,CONCATENATE('V_DATOS PAC_SGA'!R153,"0")+0)</f>
        <v>0</v>
      </c>
      <c r="C158" s="2" t="n">
        <f aca="false">'V_DATOS PAC_SGA'!S153</f>
        <v>0</v>
      </c>
      <c r="D158" s="1409" t="n">
        <f aca="false">'V_DATOS PAC_SGA'!Y153</f>
        <v>0</v>
      </c>
      <c r="E158" s="1410" t="str">
        <f aca="false">IF('V_DATOS PAC_SGA'!AV153="","Regadio",'V_DATOS PAC_SGA'!AV153)</f>
        <v>Regadio</v>
      </c>
      <c r="F158" s="1411" t="n">
        <f aca="false">'V_DATOS PAC_SGA'!BK153</f>
        <v>0</v>
      </c>
      <c r="G158" s="1412" t="n">
        <f aca="false">'V_DATOS PAC_SGA'!AN153</f>
        <v>0</v>
      </c>
      <c r="H158" s="1413" t="str">
        <f aca="false">IF(B158&gt;0,VLOOKUP(B158,'O_MN, PE_UTA_UGM 2024'!E$3:O$419,10),"")</f>
        <v/>
      </c>
      <c r="I158" s="1359" t="n">
        <f aca="false">'V_DATOS PAC_SGA'!BV153</f>
        <v>0</v>
      </c>
      <c r="J158" s="2" t="str">
        <f aca="false">IF(AND(J$4=$G158,J$6=$F158),$D158*J$5,"")</f>
        <v/>
      </c>
      <c r="K158" s="2" t="str">
        <f aca="false">IF(AND(K$4=$G158,K$6=$F158),$D158*K$5,"")</f>
        <v/>
      </c>
      <c r="L158" s="2" t="str">
        <f aca="false">IF(AND(L$4=$G158,L$6=$F158),$D158*L$5,"")</f>
        <v/>
      </c>
      <c r="M158" s="2" t="str">
        <f aca="false">IF(AND(M$4=$G158,M$6=$F158),$D158*M$5,"")</f>
        <v/>
      </c>
      <c r="N158" s="1414" t="n">
        <f aca="false">VLOOKUP(B158,'O_MN, PE_UTA_UGM 2024'!$E$2:$K$419,IF(G158&gt;1,6,7))</f>
        <v>0</v>
      </c>
      <c r="O158" s="1434" t="str">
        <f aca="false">IF($H158=O$4,$D158*$N158,"")</f>
        <v/>
      </c>
      <c r="P158" s="1435" t="str">
        <f aca="false">IF($H158=P$4,$D158*$N158,"")</f>
        <v/>
      </c>
      <c r="Q158" s="1435" t="str">
        <f aca="false">IF($H158=Q$4,$D158*$N158,"")</f>
        <v/>
      </c>
      <c r="R158" s="1435" t="str">
        <f aca="false">IF($H158=R$4,$D158*$N158,"")</f>
        <v/>
      </c>
      <c r="S158" s="1435" t="str">
        <f aca="false">IF($H158=S$4,$D158*$N158,"")</f>
        <v/>
      </c>
      <c r="T158" s="1435" t="str">
        <f aca="false">IF($H158=T$4,$D158*$N158,"")</f>
        <v/>
      </c>
      <c r="U158" s="1436" t="str">
        <f aca="false">IF($H158=U$4,$D158*$N158,"")</f>
        <v/>
      </c>
      <c r="V158" s="1418"/>
      <c r="W158" s="1419"/>
      <c r="X158" s="1419"/>
      <c r="Y158" s="1419"/>
      <c r="Z158" s="1419"/>
      <c r="AA158" s="1419"/>
      <c r="AB158" s="1420"/>
      <c r="AC158" s="1319"/>
      <c r="AD158" s="2" t="str">
        <f aca="false">IF(AND(AD$4=$G158,AD$6=$F158),$B158,"")</f>
        <v/>
      </c>
      <c r="AE158" s="2" t="str">
        <f aca="false">IF(AND(AE$4=$G158,AE$6=$F158),$B158,"")</f>
        <v/>
      </c>
      <c r="AF158" s="2" t="str">
        <f aca="false">IF(AND(AF$4=$G158,AF$6=$F158),$B158,"")</f>
        <v/>
      </c>
      <c r="AG158" s="2" t="str">
        <f aca="false">IF(AND(AG$4=$G158,AG$6=$F158),$B158,"")</f>
        <v/>
      </c>
      <c r="AI158" s="366"/>
      <c r="AL158" s="367"/>
      <c r="AO158" s="367"/>
      <c r="AP158" s="2" t="str">
        <f aca="false">IF(AT158&gt;0,RANK(AT158,AT$7:AT$423),"")</f>
        <v/>
      </c>
      <c r="AQ158" s="2" t="n">
        <f aca="false">'O_MN, PE_UTA_UGM 2024'!C154</f>
        <v>176</v>
      </c>
      <c r="AR158" s="1421" t="n">
        <v>1749</v>
      </c>
      <c r="AS158" s="2" t="str">
        <f aca="false">IF(AY158&lt;&gt;"",AY158,"")</f>
        <v/>
      </c>
      <c r="AT158" s="1422" t="n">
        <f aca="false">IF(ISNUMBER($AR158),SUMIF(B$7:B$505,AR158,D$7:D$505),"")</f>
        <v>0</v>
      </c>
      <c r="AU158" s="1411" t="n">
        <f aca="false">IF(ISNUMBER($AR158),SUMIF(AD$7:AD$503,$AR158,J$7:J$503),"")</f>
        <v>0</v>
      </c>
      <c r="AV158" s="1411" t="n">
        <f aca="false">IF(ISNUMBER($AR158),SUMIF(AF$7:AF$503,$AR158,L$7:L$503),"")</f>
        <v>0</v>
      </c>
      <c r="AW158" s="1423" t="n">
        <f aca="false">IF(ISNUMBER($AR158),SUMIF(AE$7:AE$503,$AR158,K$7:K$503),"")</f>
        <v>0</v>
      </c>
      <c r="AX158" s="1423" t="n">
        <f aca="false">IF(ISNUMBER($AR158),SUMIF(AG$7:AG$503,$AR158,M$7:M$503),"")</f>
        <v>0</v>
      </c>
      <c r="AY158" s="2" t="str">
        <f aca="false">IF($AT158&gt;0,VLOOKUP($AR158,'O_MN, PE_UTA_UGM 2024'!E154:O570,2),"")</f>
        <v/>
      </c>
      <c r="AZ158" s="1424"/>
      <c r="BA158" s="1424"/>
      <c r="BB158" s="1424" t="str">
        <f aca="false">IF($AT158&gt;0,VLOOKUP($AR158,'O_MN, PE_UTA_UGM 2024'!$E$3:$O$419,BB$6),"")</f>
        <v/>
      </c>
      <c r="BC158" s="1424" t="str">
        <f aca="false">IF($AT158&gt;0,VLOOKUP($AR158,'O_MN, PE_UTA_UGM 2024'!$E$3:$O$419,BC$6),"")</f>
        <v/>
      </c>
      <c r="BD158" s="1424" t="str">
        <f aca="false">IF($AT158&gt;0,VLOOKUP($AR158,'O_MN, PE_UTA_UGM 2024'!$E$3:$O$419,BD$6),"")</f>
        <v/>
      </c>
      <c r="BE158" s="1424" t="str">
        <f aca="false">IF($AT158&gt;0,VLOOKUP($AR158,'O_MN, PE_UTA_UGM 2024'!$E$3:$O$419,BE$6),"")</f>
        <v/>
      </c>
      <c r="BF158" s="1424" t="str">
        <f aca="false">IF($AT158&gt;0,VLOOKUP($AR158,'O_MN, PE_UTA_UGM 2024'!$E$3:$O$419,BF$6),"")</f>
        <v/>
      </c>
      <c r="BG158" s="1424" t="str">
        <f aca="false">IF($AT158&gt;0,VLOOKUP($AR158,'O_MN, PE_UTA_UGM 2024'!$E$3:$O$419,BG$6),"")</f>
        <v/>
      </c>
      <c r="BH158" s="872"/>
      <c r="BI158" s="872"/>
      <c r="BJ158" s="872"/>
      <c r="BK158" s="872"/>
      <c r="BM158" s="1411"/>
      <c r="BN158" s="1411"/>
      <c r="BO158" s="1425" t="str">
        <f aca="false">IF(ISNUMBER($AU158*BB158*1),$AU158*BB158*1,"")</f>
        <v/>
      </c>
      <c r="BP158" s="1425" t="str">
        <f aca="false">IF(ISNUMBER($AV158*BC158*1),$AV158*BC158*1,"")</f>
        <v/>
      </c>
      <c r="BQ158" s="1425" t="str">
        <f aca="false">IF(ISNUMBER($AU158*BD158*1),$AU158*BD158*1,"")</f>
        <v/>
      </c>
      <c r="BR158" s="1425" t="str">
        <f aca="false">IF(ISNUMBER($AV158*BE158*1),$AV158*BE158*1,"")</f>
        <v/>
      </c>
      <c r="BS158" s="1411" t="str">
        <f aca="false">IF(ISNUMBER($AU158*BF158),$AU158*BF158,"")</f>
        <v/>
      </c>
      <c r="BT158" s="1411" t="str">
        <f aca="false">IF(ISNUMBER($AV158*BG158),$AV158*BG158,"")</f>
        <v/>
      </c>
      <c r="BU158" s="1411"/>
      <c r="BV158" s="1411"/>
      <c r="BW158" s="1411"/>
      <c r="BX158" s="1411"/>
      <c r="BZ158" s="1372"/>
      <c r="CA158" s="1372"/>
      <c r="CB158" s="1426" t="str">
        <f aca="false">IF(ISNUMBER($AW158*BB158),$AW158*BB158,"")</f>
        <v/>
      </c>
      <c r="CC158" s="1426" t="str">
        <f aca="false">IF(ISNUMBER($AX158*BC158),$AX158*BC158,"")</f>
        <v/>
      </c>
      <c r="CD158" s="1426" t="str">
        <f aca="false">IF(ISNUMBER($AW158*BD158),$AW158*BD158,"")</f>
        <v/>
      </c>
      <c r="CE158" s="1426" t="str">
        <f aca="false">IF(ISNUMBER($AX158*BE158),$AX158*BE158,"")</f>
        <v/>
      </c>
      <c r="CF158" s="1372" t="str">
        <f aca="false">IF(ISNUMBER($AW158*BF158),$AW158*BF158,"")</f>
        <v/>
      </c>
      <c r="CG158" s="1372" t="str">
        <f aca="false">IF(ISNUMBER($AX158*BG158),$AX158*BG158,"")</f>
        <v/>
      </c>
      <c r="CH158" s="1438"/>
      <c r="CI158" s="1438"/>
      <c r="CJ158" s="1438"/>
      <c r="CK158" s="1438"/>
      <c r="CU158" s="1411"/>
      <c r="CV158" s="1411"/>
      <c r="CW158" s="1425"/>
      <c r="CX158" s="1425"/>
      <c r="CY158" s="1425"/>
      <c r="CZ158" s="1425"/>
      <c r="DA158" s="1411"/>
      <c r="DB158" s="1411"/>
      <c r="DC158" s="1411"/>
      <c r="DD158" s="1411"/>
      <c r="DE158" s="1411"/>
      <c r="DF158" s="1411"/>
      <c r="DH158" s="1432"/>
      <c r="DI158" s="1432"/>
      <c r="DJ158" s="1437"/>
      <c r="DK158" s="1437"/>
      <c r="DL158" s="1437"/>
      <c r="DM158" s="1437"/>
      <c r="DN158" s="1432"/>
      <c r="DO158" s="1432"/>
      <c r="DP158" s="1432"/>
      <c r="DQ158" s="1432"/>
      <c r="DR158" s="1432"/>
      <c r="DS158" s="1432"/>
      <c r="DT158" s="1316"/>
      <c r="DU158" s="1433"/>
      <c r="DV158" s="1433"/>
      <c r="DW158" s="1433"/>
      <c r="DX158" s="1433"/>
      <c r="DY158" s="1433"/>
      <c r="DZ158" s="1433"/>
      <c r="EA158" s="1433"/>
      <c r="EB158" s="1433"/>
    </row>
    <row r="159" customFormat="false" ht="14.25" hidden="false" customHeight="false" outlineLevel="0" collapsed="false">
      <c r="A159" s="2" t="n">
        <f aca="false">'V_DATOS PAC_SGA'!R154</f>
        <v>0</v>
      </c>
      <c r="B159" s="2" t="n">
        <f aca="false">IF(I159="IV",CONCATENATE('V_DATOS PAC_SGA'!R154,"4")+0,CONCATENATE('V_DATOS PAC_SGA'!R154,"0")+0)</f>
        <v>0</v>
      </c>
      <c r="C159" s="2" t="n">
        <f aca="false">'V_DATOS PAC_SGA'!S154</f>
        <v>0</v>
      </c>
      <c r="D159" s="1409" t="n">
        <f aca="false">'V_DATOS PAC_SGA'!Y154</f>
        <v>0</v>
      </c>
      <c r="E159" s="1410" t="str">
        <f aca="false">IF('V_DATOS PAC_SGA'!AV154="","Regadio",'V_DATOS PAC_SGA'!AV154)</f>
        <v>Regadio</v>
      </c>
      <c r="F159" s="1411" t="n">
        <f aca="false">'V_DATOS PAC_SGA'!BK154</f>
        <v>0</v>
      </c>
      <c r="G159" s="1412" t="n">
        <f aca="false">'V_DATOS PAC_SGA'!AN154</f>
        <v>0</v>
      </c>
      <c r="H159" s="1413" t="str">
        <f aca="false">IF(B159&gt;0,VLOOKUP(B159,'O_MN, PE_UTA_UGM 2024'!E$3:O$419,10),"")</f>
        <v/>
      </c>
      <c r="I159" s="1359" t="n">
        <f aca="false">'V_DATOS PAC_SGA'!BV154</f>
        <v>0</v>
      </c>
      <c r="J159" s="2" t="str">
        <f aca="false">IF(AND(J$4=$G159,J$6=$F159),$D159*J$5,"")</f>
        <v/>
      </c>
      <c r="K159" s="2" t="str">
        <f aca="false">IF(AND(K$4=$G159,K$6=$F159),$D159*K$5,"")</f>
        <v/>
      </c>
      <c r="L159" s="2" t="str">
        <f aca="false">IF(AND(L$4=$G159,L$6=$F159),$D159*L$5,"")</f>
        <v/>
      </c>
      <c r="M159" s="2" t="str">
        <f aca="false">IF(AND(M$4=$G159,M$6=$F159),$D159*M$5,"")</f>
        <v/>
      </c>
      <c r="N159" s="1414" t="n">
        <f aca="false">VLOOKUP(B159,'O_MN, PE_UTA_UGM 2024'!$E$2:$K$419,IF(G159&gt;1,6,7))</f>
        <v>0</v>
      </c>
      <c r="O159" s="1434" t="str">
        <f aca="false">IF($H159=O$4,$D159*$N159,"")</f>
        <v/>
      </c>
      <c r="P159" s="1435" t="str">
        <f aca="false">IF($H159=P$4,$D159*$N159,"")</f>
        <v/>
      </c>
      <c r="Q159" s="1435" t="str">
        <f aca="false">IF($H159=Q$4,$D159*$N159,"")</f>
        <v/>
      </c>
      <c r="R159" s="1435" t="str">
        <f aca="false">IF($H159=R$4,$D159*$N159,"")</f>
        <v/>
      </c>
      <c r="S159" s="1435" t="str">
        <f aca="false">IF($H159=S$4,$D159*$N159,"")</f>
        <v/>
      </c>
      <c r="T159" s="1435" t="str">
        <f aca="false">IF($H159=T$4,$D159*$N159,"")</f>
        <v/>
      </c>
      <c r="U159" s="1436" t="str">
        <f aca="false">IF($H159=U$4,$D159*$N159,"")</f>
        <v/>
      </c>
      <c r="V159" s="1418"/>
      <c r="W159" s="1419"/>
      <c r="X159" s="1419"/>
      <c r="Y159" s="1419"/>
      <c r="Z159" s="1419"/>
      <c r="AA159" s="1419"/>
      <c r="AB159" s="1420"/>
      <c r="AC159" s="1319"/>
      <c r="AD159" s="2" t="str">
        <f aca="false">IF(AND(AD$4=$G159,AD$6=$F159),$B159,"")</f>
        <v/>
      </c>
      <c r="AE159" s="2" t="str">
        <f aca="false">IF(AND(AE$4=$G159,AE$6=$F159),$B159,"")</f>
        <v/>
      </c>
      <c r="AF159" s="2" t="str">
        <f aca="false">IF(AND(AF$4=$G159,AF$6=$F159),$B159,"")</f>
        <v/>
      </c>
      <c r="AG159" s="2" t="str">
        <f aca="false">IF(AND(AG$4=$G159,AG$6=$F159),$B159,"")</f>
        <v/>
      </c>
      <c r="AI159" s="366"/>
      <c r="AL159" s="367"/>
      <c r="AO159" s="367"/>
      <c r="AP159" s="2" t="str">
        <f aca="false">IF(AT159&gt;0,RANK(AT159,AT$7:AT$423),"")</f>
        <v/>
      </c>
      <c r="AQ159" s="2" t="n">
        <f aca="false">'O_MN, PE_UTA_UGM 2024'!C155</f>
        <v>176</v>
      </c>
      <c r="AR159" s="1421" t="n">
        <v>1750</v>
      </c>
      <c r="AS159" s="2" t="str">
        <f aca="false">IF(AY159&lt;&gt;"",AY159,"")</f>
        <v/>
      </c>
      <c r="AT159" s="1422" t="n">
        <f aca="false">IF(ISNUMBER($AR159),SUMIF(B$7:B$505,AR159,D$7:D$505),"")</f>
        <v>0</v>
      </c>
      <c r="AU159" s="1411" t="n">
        <f aca="false">IF(ISNUMBER($AR159),SUMIF(AD$7:AD$503,$AR159,J$7:J$503),"")</f>
        <v>0</v>
      </c>
      <c r="AV159" s="1411" t="n">
        <f aca="false">IF(ISNUMBER($AR159),SUMIF(AF$7:AF$503,$AR159,L$7:L$503),"")</f>
        <v>0</v>
      </c>
      <c r="AW159" s="1423" t="n">
        <f aca="false">IF(ISNUMBER($AR159),SUMIF(AE$7:AE$503,$AR159,K$7:K$503),"")</f>
        <v>0</v>
      </c>
      <c r="AX159" s="1423" t="n">
        <f aca="false">IF(ISNUMBER($AR159),SUMIF(AG$7:AG$503,$AR159,M$7:M$503),"")</f>
        <v>0</v>
      </c>
      <c r="AY159" s="2" t="str">
        <f aca="false">IF($AT159&gt;0,VLOOKUP($AR159,'O_MN, PE_UTA_UGM 2024'!E155:O571,2),"")</f>
        <v/>
      </c>
      <c r="AZ159" s="1424"/>
      <c r="BA159" s="1424"/>
      <c r="BB159" s="1424" t="str">
        <f aca="false">IF($AT159&gt;0,VLOOKUP($AR159,'O_MN, PE_UTA_UGM 2024'!$E$3:$O$419,BB$6),"")</f>
        <v/>
      </c>
      <c r="BC159" s="1424" t="str">
        <f aca="false">IF($AT159&gt;0,VLOOKUP($AR159,'O_MN, PE_UTA_UGM 2024'!$E$3:$O$419,BC$6),"")</f>
        <v/>
      </c>
      <c r="BD159" s="1424" t="str">
        <f aca="false">IF($AT159&gt;0,VLOOKUP($AR159,'O_MN, PE_UTA_UGM 2024'!$E$3:$O$419,BD$6),"")</f>
        <v/>
      </c>
      <c r="BE159" s="1424" t="str">
        <f aca="false">IF($AT159&gt;0,VLOOKUP($AR159,'O_MN, PE_UTA_UGM 2024'!$E$3:$O$419,BE$6),"")</f>
        <v/>
      </c>
      <c r="BF159" s="1424" t="str">
        <f aca="false">IF($AT159&gt;0,VLOOKUP($AR159,'O_MN, PE_UTA_UGM 2024'!$E$3:$O$419,BF$6),"")</f>
        <v/>
      </c>
      <c r="BG159" s="1424" t="str">
        <f aca="false">IF($AT159&gt;0,VLOOKUP($AR159,'O_MN, PE_UTA_UGM 2024'!$E$3:$O$419,BG$6),"")</f>
        <v/>
      </c>
      <c r="BH159" s="872"/>
      <c r="BI159" s="872"/>
      <c r="BJ159" s="872"/>
      <c r="BK159" s="872"/>
      <c r="BM159" s="1411"/>
      <c r="BN159" s="1411"/>
      <c r="BO159" s="1425" t="str">
        <f aca="false">IF(ISNUMBER($AU159*BB159*1),$AU159*BB159*1,"")</f>
        <v/>
      </c>
      <c r="BP159" s="1425" t="str">
        <f aca="false">IF(ISNUMBER($AV159*BC159*1),$AV159*BC159*1,"")</f>
        <v/>
      </c>
      <c r="BQ159" s="1425" t="str">
        <f aca="false">IF(ISNUMBER($AU159*BD159*1),$AU159*BD159*1,"")</f>
        <v/>
      </c>
      <c r="BR159" s="1425" t="str">
        <f aca="false">IF(ISNUMBER($AV159*BE159*1),$AV159*BE159*1,"")</f>
        <v/>
      </c>
      <c r="BS159" s="1411" t="str">
        <f aca="false">IF(ISNUMBER($AU159*BF159),$AU159*BF159,"")</f>
        <v/>
      </c>
      <c r="BT159" s="1411" t="str">
        <f aca="false">IF(ISNUMBER($AV159*BG159),$AV159*BG159,"")</f>
        <v/>
      </c>
      <c r="BU159" s="1411"/>
      <c r="BV159" s="1411"/>
      <c r="BW159" s="1411"/>
      <c r="BX159" s="1411"/>
      <c r="BZ159" s="1372"/>
      <c r="CA159" s="1372"/>
      <c r="CB159" s="1426" t="str">
        <f aca="false">IF(ISNUMBER($AW159*BB159),$AW159*BB159,"")</f>
        <v/>
      </c>
      <c r="CC159" s="1426" t="str">
        <f aca="false">IF(ISNUMBER($AX159*BC159),$AX159*BC159,"")</f>
        <v/>
      </c>
      <c r="CD159" s="1426" t="str">
        <f aca="false">IF(ISNUMBER($AW159*BD159),$AW159*BD159,"")</f>
        <v/>
      </c>
      <c r="CE159" s="1426" t="str">
        <f aca="false">IF(ISNUMBER($AX159*BE159),$AX159*BE159,"")</f>
        <v/>
      </c>
      <c r="CF159" s="1372" t="str">
        <f aca="false">IF(ISNUMBER($AW159*BF159),$AW159*BF159,"")</f>
        <v/>
      </c>
      <c r="CG159" s="1372" t="str">
        <f aca="false">IF(ISNUMBER($AX159*BG159),$AX159*BG159,"")</f>
        <v/>
      </c>
      <c r="CH159" s="1438"/>
      <c r="CI159" s="1438"/>
      <c r="CJ159" s="1438"/>
      <c r="CK159" s="1438"/>
      <c r="CU159" s="1411"/>
      <c r="CV159" s="1411"/>
      <c r="CW159" s="1425"/>
      <c r="CX159" s="1425"/>
      <c r="CY159" s="1425"/>
      <c r="CZ159" s="1425"/>
      <c r="DA159" s="1411"/>
      <c r="DB159" s="1411"/>
      <c r="DC159" s="1411"/>
      <c r="DD159" s="1411"/>
      <c r="DE159" s="1411"/>
      <c r="DF159" s="1411"/>
      <c r="DH159" s="1432"/>
      <c r="DI159" s="1432"/>
      <c r="DJ159" s="1437"/>
      <c r="DK159" s="1437"/>
      <c r="DL159" s="1437"/>
      <c r="DM159" s="1437"/>
      <c r="DN159" s="1432"/>
      <c r="DO159" s="1432"/>
      <c r="DP159" s="1432"/>
      <c r="DQ159" s="1432"/>
      <c r="DR159" s="1432"/>
      <c r="DS159" s="1432"/>
      <c r="DT159" s="1316"/>
      <c r="DU159" s="1433"/>
      <c r="DV159" s="1433"/>
      <c r="DW159" s="1433"/>
      <c r="DX159" s="1433"/>
      <c r="DY159" s="1433"/>
      <c r="DZ159" s="1433"/>
      <c r="EA159" s="1433"/>
      <c r="EB159" s="1433"/>
    </row>
    <row r="160" customFormat="false" ht="14.25" hidden="false" customHeight="false" outlineLevel="0" collapsed="false">
      <c r="A160" s="2" t="n">
        <f aca="false">'V_DATOS PAC_SGA'!R155</f>
        <v>0</v>
      </c>
      <c r="B160" s="2" t="n">
        <f aca="false">IF(I160="IV",CONCATENATE('V_DATOS PAC_SGA'!R155,"4")+0,CONCATENATE('V_DATOS PAC_SGA'!R155,"0")+0)</f>
        <v>0</v>
      </c>
      <c r="C160" s="2" t="n">
        <f aca="false">'V_DATOS PAC_SGA'!S155</f>
        <v>0</v>
      </c>
      <c r="D160" s="1409" t="n">
        <f aca="false">'V_DATOS PAC_SGA'!Y155</f>
        <v>0</v>
      </c>
      <c r="E160" s="1410" t="str">
        <f aca="false">IF('V_DATOS PAC_SGA'!AV155="","Regadio",'V_DATOS PAC_SGA'!AV155)</f>
        <v>Regadio</v>
      </c>
      <c r="F160" s="1411" t="n">
        <f aca="false">'V_DATOS PAC_SGA'!BK155</f>
        <v>0</v>
      </c>
      <c r="G160" s="1412" t="n">
        <f aca="false">'V_DATOS PAC_SGA'!AN155</f>
        <v>0</v>
      </c>
      <c r="H160" s="1413" t="str">
        <f aca="false">IF(B160&gt;0,VLOOKUP(B160,'O_MN, PE_UTA_UGM 2024'!E$3:O$419,10),"")</f>
        <v/>
      </c>
      <c r="I160" s="1359" t="n">
        <f aca="false">'V_DATOS PAC_SGA'!BV155</f>
        <v>0</v>
      </c>
      <c r="J160" s="2" t="str">
        <f aca="false">IF(AND(J$4=$G160,J$6=$F160),$D160*J$5,"")</f>
        <v/>
      </c>
      <c r="K160" s="2" t="str">
        <f aca="false">IF(AND(K$4=$G160,K$6=$F160),$D160*K$5,"")</f>
        <v/>
      </c>
      <c r="L160" s="2" t="str">
        <f aca="false">IF(AND(L$4=$G160,L$6=$F160),$D160*L$5,"")</f>
        <v/>
      </c>
      <c r="M160" s="2" t="str">
        <f aca="false">IF(AND(M$4=$G160,M$6=$F160),$D160*M$5,"")</f>
        <v/>
      </c>
      <c r="N160" s="1414" t="n">
        <f aca="false">VLOOKUP(B160,'O_MN, PE_UTA_UGM 2024'!$E$2:$K$419,IF(G160&gt;1,6,7))</f>
        <v>0</v>
      </c>
      <c r="O160" s="1434" t="str">
        <f aca="false">IF($H160=O$4,$D160*$N160,"")</f>
        <v/>
      </c>
      <c r="P160" s="1435" t="str">
        <f aca="false">IF($H160=P$4,$D160*$N160,"")</f>
        <v/>
      </c>
      <c r="Q160" s="1435" t="str">
        <f aca="false">IF($H160=Q$4,$D160*$N160,"")</f>
        <v/>
      </c>
      <c r="R160" s="1435" t="str">
        <f aca="false">IF($H160=R$4,$D160*$N160,"")</f>
        <v/>
      </c>
      <c r="S160" s="1435" t="str">
        <f aca="false">IF($H160=S$4,$D160*$N160,"")</f>
        <v/>
      </c>
      <c r="T160" s="1435" t="str">
        <f aca="false">IF($H160=T$4,$D160*$N160,"")</f>
        <v/>
      </c>
      <c r="U160" s="1436" t="str">
        <f aca="false">IF($H160=U$4,$D160*$N160,"")</f>
        <v/>
      </c>
      <c r="V160" s="1418"/>
      <c r="W160" s="1419"/>
      <c r="X160" s="1419"/>
      <c r="Y160" s="1419"/>
      <c r="Z160" s="1419"/>
      <c r="AA160" s="1419"/>
      <c r="AB160" s="1420"/>
      <c r="AC160" s="1319"/>
      <c r="AD160" s="2" t="str">
        <f aca="false">IF(AND(AD$4=$G160,AD$6=$F160),$B160,"")</f>
        <v/>
      </c>
      <c r="AE160" s="2" t="str">
        <f aca="false">IF(AND(AE$4=$G160,AE$6=$F160),$B160,"")</f>
        <v/>
      </c>
      <c r="AF160" s="2" t="str">
        <f aca="false">IF(AND(AF$4=$G160,AF$6=$F160),$B160,"")</f>
        <v/>
      </c>
      <c r="AG160" s="2" t="str">
        <f aca="false">IF(AND(AG$4=$G160,AG$6=$F160),$B160,"")</f>
        <v/>
      </c>
      <c r="AI160" s="366"/>
      <c r="AL160" s="367"/>
      <c r="AO160" s="367"/>
      <c r="AP160" s="2" t="str">
        <f aca="false">IF(AT160&gt;0,RANK(AT160,AT$7:AT$423),"")</f>
        <v/>
      </c>
      <c r="AQ160" s="2" t="n">
        <f aca="false">'O_MN, PE_UTA_UGM 2024'!C156</f>
        <v>176</v>
      </c>
      <c r="AR160" s="1421" t="n">
        <v>1754</v>
      </c>
      <c r="AS160" s="2" t="str">
        <f aca="false">IF(AY160&lt;&gt;"",AY160,"")</f>
        <v/>
      </c>
      <c r="AT160" s="1422" t="n">
        <f aca="false">IF(ISNUMBER($AR160),SUMIF(B$7:B$505,AR160,D$7:D$505),"")</f>
        <v>0</v>
      </c>
      <c r="AU160" s="1411" t="n">
        <f aca="false">IF(ISNUMBER($AR160),SUMIF(AD$7:AD$503,$AR160,J$7:J$503),"")</f>
        <v>0</v>
      </c>
      <c r="AV160" s="1411" t="n">
        <f aca="false">IF(ISNUMBER($AR160),SUMIF(AF$7:AF$503,$AR160,L$7:L$503),"")</f>
        <v>0</v>
      </c>
      <c r="AW160" s="1423" t="n">
        <f aca="false">IF(ISNUMBER($AR160),SUMIF(AE$7:AE$503,$AR160,K$7:K$503),"")</f>
        <v>0</v>
      </c>
      <c r="AX160" s="1423" t="n">
        <f aca="false">IF(ISNUMBER($AR160),SUMIF(AG$7:AG$503,$AR160,M$7:M$503),"")</f>
        <v>0</v>
      </c>
      <c r="AY160" s="2" t="str">
        <f aca="false">IF($AT160&gt;0,VLOOKUP($AR160,'O_MN, PE_UTA_UGM 2024'!E156:O572,2),"")</f>
        <v/>
      </c>
      <c r="AZ160" s="1424"/>
      <c r="BA160" s="1424"/>
      <c r="BB160" s="1424" t="str">
        <f aca="false">IF($AT160&gt;0,VLOOKUP($AR160,'O_MN, PE_UTA_UGM 2024'!$E$3:$O$419,BB$6),"")</f>
        <v/>
      </c>
      <c r="BC160" s="1424" t="str">
        <f aca="false">IF($AT160&gt;0,VLOOKUP($AR160,'O_MN, PE_UTA_UGM 2024'!$E$3:$O$419,BC$6),"")</f>
        <v/>
      </c>
      <c r="BD160" s="1424" t="str">
        <f aca="false">IF($AT160&gt;0,VLOOKUP($AR160,'O_MN, PE_UTA_UGM 2024'!$E$3:$O$419,BD$6),"")</f>
        <v/>
      </c>
      <c r="BE160" s="1424" t="str">
        <f aca="false">IF($AT160&gt;0,VLOOKUP($AR160,'O_MN, PE_UTA_UGM 2024'!$E$3:$O$419,BE$6),"")</f>
        <v/>
      </c>
      <c r="BF160" s="1424" t="str">
        <f aca="false">IF($AT160&gt;0,VLOOKUP($AR160,'O_MN, PE_UTA_UGM 2024'!$E$3:$O$419,BF$6),"")</f>
        <v/>
      </c>
      <c r="BG160" s="1424" t="str">
        <f aca="false">IF($AT160&gt;0,VLOOKUP($AR160,'O_MN, PE_UTA_UGM 2024'!$E$3:$O$419,BG$6),"")</f>
        <v/>
      </c>
      <c r="BH160" s="872"/>
      <c r="BI160" s="872"/>
      <c r="BJ160" s="872"/>
      <c r="BK160" s="872"/>
      <c r="BM160" s="1411"/>
      <c r="BN160" s="1411"/>
      <c r="BO160" s="1425" t="str">
        <f aca="false">IF(ISNUMBER($AU160*BB160*1),$AU160*BB160*1,"")</f>
        <v/>
      </c>
      <c r="BP160" s="1425" t="str">
        <f aca="false">IF(ISNUMBER($AV160*BC160*1),$AV160*BC160*1,"")</f>
        <v/>
      </c>
      <c r="BQ160" s="1425" t="str">
        <f aca="false">IF(ISNUMBER($AU160*BD160*1),$AU160*BD160*1,"")</f>
        <v/>
      </c>
      <c r="BR160" s="1425" t="str">
        <f aca="false">IF(ISNUMBER($AV160*BE160*1),$AV160*BE160*1,"")</f>
        <v/>
      </c>
      <c r="BS160" s="1411" t="str">
        <f aca="false">IF(ISNUMBER($AU160*BF160),$AU160*BF160,"")</f>
        <v/>
      </c>
      <c r="BT160" s="1411" t="str">
        <f aca="false">IF(ISNUMBER($AV160*BG160),$AV160*BG160,"")</f>
        <v/>
      </c>
      <c r="BU160" s="1411"/>
      <c r="BV160" s="1411"/>
      <c r="BW160" s="1411"/>
      <c r="BX160" s="1411"/>
      <c r="BZ160" s="1372"/>
      <c r="CA160" s="1372"/>
      <c r="CB160" s="1426" t="str">
        <f aca="false">IF(ISNUMBER($AW160*BB160),$AW160*BB160,"")</f>
        <v/>
      </c>
      <c r="CC160" s="1426" t="str">
        <f aca="false">IF(ISNUMBER($AX160*BC160),$AX160*BC160,"")</f>
        <v/>
      </c>
      <c r="CD160" s="1426" t="str">
        <f aca="false">IF(ISNUMBER($AW160*BD160),$AW160*BD160,"")</f>
        <v/>
      </c>
      <c r="CE160" s="1426" t="str">
        <f aca="false">IF(ISNUMBER($AX160*BE160),$AX160*BE160,"")</f>
        <v/>
      </c>
      <c r="CF160" s="1372" t="str">
        <f aca="false">IF(ISNUMBER($AW160*BF160),$AW160*BF160,"")</f>
        <v/>
      </c>
      <c r="CG160" s="1372" t="str">
        <f aca="false">IF(ISNUMBER($AX160*BG160),$AX160*BG160,"")</f>
        <v/>
      </c>
      <c r="CH160" s="1438"/>
      <c r="CI160" s="1438"/>
      <c r="CJ160" s="1438"/>
      <c r="CK160" s="1438"/>
      <c r="CU160" s="1411"/>
      <c r="CV160" s="1411"/>
      <c r="CW160" s="1425"/>
      <c r="CX160" s="1425"/>
      <c r="CY160" s="1425"/>
      <c r="CZ160" s="1425"/>
      <c r="DA160" s="1411"/>
      <c r="DB160" s="1411"/>
      <c r="DC160" s="1411"/>
      <c r="DD160" s="1411"/>
      <c r="DE160" s="1411"/>
      <c r="DF160" s="1411"/>
      <c r="DH160" s="1432"/>
      <c r="DI160" s="1432"/>
      <c r="DJ160" s="1437"/>
      <c r="DK160" s="1437"/>
      <c r="DL160" s="1437"/>
      <c r="DM160" s="1437"/>
      <c r="DN160" s="1432"/>
      <c r="DO160" s="1432"/>
      <c r="DP160" s="1432"/>
      <c r="DQ160" s="1432"/>
      <c r="DR160" s="1432"/>
      <c r="DS160" s="1432"/>
      <c r="DT160" s="1316"/>
      <c r="DU160" s="1433"/>
      <c r="DV160" s="1433"/>
      <c r="DW160" s="1433"/>
      <c r="DX160" s="1433"/>
      <c r="DY160" s="1433"/>
      <c r="DZ160" s="1433"/>
      <c r="EA160" s="1433"/>
      <c r="EB160" s="1433"/>
    </row>
    <row r="161" customFormat="false" ht="14.25" hidden="false" customHeight="false" outlineLevel="0" collapsed="false">
      <c r="A161" s="2" t="n">
        <f aca="false">'V_DATOS PAC_SGA'!R156</f>
        <v>0</v>
      </c>
      <c r="B161" s="2" t="n">
        <f aca="false">IF(I161="IV",CONCATENATE('V_DATOS PAC_SGA'!R156,"4")+0,CONCATENATE('V_DATOS PAC_SGA'!R156,"0")+0)</f>
        <v>0</v>
      </c>
      <c r="C161" s="2" t="n">
        <f aca="false">'V_DATOS PAC_SGA'!S156</f>
        <v>0</v>
      </c>
      <c r="D161" s="1409" t="n">
        <f aca="false">'V_DATOS PAC_SGA'!Y156</f>
        <v>0</v>
      </c>
      <c r="E161" s="1410" t="str">
        <f aca="false">IF('V_DATOS PAC_SGA'!AV156="","Regadio",'V_DATOS PAC_SGA'!AV156)</f>
        <v>Regadio</v>
      </c>
      <c r="F161" s="1411" t="n">
        <f aca="false">'V_DATOS PAC_SGA'!BK156</f>
        <v>0</v>
      </c>
      <c r="G161" s="1412" t="n">
        <f aca="false">'V_DATOS PAC_SGA'!AN156</f>
        <v>0</v>
      </c>
      <c r="H161" s="1413" t="str">
        <f aca="false">IF(B161&gt;0,VLOOKUP(B161,'O_MN, PE_UTA_UGM 2024'!E$3:O$419,10),"")</f>
        <v/>
      </c>
      <c r="I161" s="1359" t="n">
        <f aca="false">'V_DATOS PAC_SGA'!BV156</f>
        <v>0</v>
      </c>
      <c r="J161" s="2" t="str">
        <f aca="false">IF(AND(J$4=$G161,J$6=$F161),$D161*J$5,"")</f>
        <v/>
      </c>
      <c r="K161" s="2" t="str">
        <f aca="false">IF(AND(K$4=$G161,K$6=$F161),$D161*K$5,"")</f>
        <v/>
      </c>
      <c r="L161" s="2" t="str">
        <f aca="false">IF(AND(L$4=$G161,L$6=$F161),$D161*L$5,"")</f>
        <v/>
      </c>
      <c r="M161" s="2" t="str">
        <f aca="false">IF(AND(M$4=$G161,M$6=$F161),$D161*M$5,"")</f>
        <v/>
      </c>
      <c r="N161" s="1414" t="n">
        <f aca="false">VLOOKUP(B161,'O_MN, PE_UTA_UGM 2024'!$E$2:$K$419,IF(G161&gt;1,6,7))</f>
        <v>0</v>
      </c>
      <c r="O161" s="1434" t="str">
        <f aca="false">IF($H161=O$4,$D161*$N161,"")</f>
        <v/>
      </c>
      <c r="P161" s="1435" t="str">
        <f aca="false">IF($H161=P$4,$D161*$N161,"")</f>
        <v/>
      </c>
      <c r="Q161" s="1435" t="str">
        <f aca="false">IF($H161=Q$4,$D161*$N161,"")</f>
        <v/>
      </c>
      <c r="R161" s="1435" t="str">
        <f aca="false">IF($H161=R$4,$D161*$N161,"")</f>
        <v/>
      </c>
      <c r="S161" s="1435" t="str">
        <f aca="false">IF($H161=S$4,$D161*$N161,"")</f>
        <v/>
      </c>
      <c r="T161" s="1435" t="str">
        <f aca="false">IF($H161=T$4,$D161*$N161,"")</f>
        <v/>
      </c>
      <c r="U161" s="1436" t="str">
        <f aca="false">IF($H161=U$4,$D161*$N161,"")</f>
        <v/>
      </c>
      <c r="V161" s="1418"/>
      <c r="W161" s="1419"/>
      <c r="X161" s="1419"/>
      <c r="Y161" s="1419"/>
      <c r="Z161" s="1419"/>
      <c r="AA161" s="1419"/>
      <c r="AB161" s="1420"/>
      <c r="AC161" s="1319"/>
      <c r="AD161" s="2" t="str">
        <f aca="false">IF(AND(AD$4=$G161,AD$6=$F161),$B161,"")</f>
        <v/>
      </c>
      <c r="AE161" s="2" t="str">
        <f aca="false">IF(AND(AE$4=$G161,AE$6=$F161),$B161,"")</f>
        <v/>
      </c>
      <c r="AF161" s="2" t="str">
        <f aca="false">IF(AND(AF$4=$G161,AF$6=$F161),$B161,"")</f>
        <v/>
      </c>
      <c r="AG161" s="2" t="str">
        <f aca="false">IF(AND(AG$4=$G161,AG$6=$F161),$B161,"")</f>
        <v/>
      </c>
      <c r="AI161" s="366"/>
      <c r="AL161" s="367"/>
      <c r="AO161" s="367"/>
      <c r="AP161" s="2" t="str">
        <f aca="false">IF(AT161&gt;0,RANK(AT161,AT$7:AT$423),"")</f>
        <v/>
      </c>
      <c r="AQ161" s="2" t="n">
        <f aca="false">'O_MN, PE_UTA_UGM 2024'!C157</f>
        <v>177</v>
      </c>
      <c r="AR161" s="1421" t="n">
        <v>1759</v>
      </c>
      <c r="AS161" s="2" t="str">
        <f aca="false">IF(AY161&lt;&gt;"",AY161,"")</f>
        <v/>
      </c>
      <c r="AT161" s="1422" t="n">
        <f aca="false">IF(ISNUMBER($AR161),SUMIF(B$7:B$505,AR161,D$7:D$505),"")</f>
        <v>0</v>
      </c>
      <c r="AU161" s="1411" t="n">
        <f aca="false">IF(ISNUMBER($AR161),SUMIF(AD$7:AD$503,$AR161,J$7:J$503),"")</f>
        <v>0</v>
      </c>
      <c r="AV161" s="1411" t="n">
        <f aca="false">IF(ISNUMBER($AR161),SUMIF(AF$7:AF$503,$AR161,L$7:L$503),"")</f>
        <v>0</v>
      </c>
      <c r="AW161" s="1423" t="n">
        <f aca="false">IF(ISNUMBER($AR161),SUMIF(AE$7:AE$503,$AR161,K$7:K$503),"")</f>
        <v>0</v>
      </c>
      <c r="AX161" s="1423" t="n">
        <f aca="false">IF(ISNUMBER($AR161),SUMIF(AG$7:AG$503,$AR161,M$7:M$503),"")</f>
        <v>0</v>
      </c>
      <c r="AY161" s="2" t="str">
        <f aca="false">IF($AT161&gt;0,VLOOKUP($AR161,'O_MN, PE_UTA_UGM 2024'!E157:O573,2),"")</f>
        <v/>
      </c>
      <c r="AZ161" s="1424"/>
      <c r="BA161" s="1424"/>
      <c r="BB161" s="1424" t="str">
        <f aca="false">IF($AT161&gt;0,VLOOKUP($AR161,'O_MN, PE_UTA_UGM 2024'!$E$3:$O$419,BB$6),"")</f>
        <v/>
      </c>
      <c r="BC161" s="1424" t="str">
        <f aca="false">IF($AT161&gt;0,VLOOKUP($AR161,'O_MN, PE_UTA_UGM 2024'!$E$3:$O$419,BC$6),"")</f>
        <v/>
      </c>
      <c r="BD161" s="1424" t="str">
        <f aca="false">IF($AT161&gt;0,VLOOKUP($AR161,'O_MN, PE_UTA_UGM 2024'!$E$3:$O$419,BD$6),"")</f>
        <v/>
      </c>
      <c r="BE161" s="1424" t="str">
        <f aca="false">IF($AT161&gt;0,VLOOKUP($AR161,'O_MN, PE_UTA_UGM 2024'!$E$3:$O$419,BE$6),"")</f>
        <v/>
      </c>
      <c r="BF161" s="1424" t="str">
        <f aca="false">IF($AT161&gt;0,VLOOKUP($AR161,'O_MN, PE_UTA_UGM 2024'!$E$3:$O$419,BF$6),"")</f>
        <v/>
      </c>
      <c r="BG161" s="1424" t="str">
        <f aca="false">IF($AT161&gt;0,VLOOKUP($AR161,'O_MN, PE_UTA_UGM 2024'!$E$3:$O$419,BG$6),"")</f>
        <v/>
      </c>
      <c r="BH161" s="872"/>
      <c r="BI161" s="872"/>
      <c r="BJ161" s="872"/>
      <c r="BK161" s="872"/>
      <c r="BM161" s="1411"/>
      <c r="BN161" s="1411"/>
      <c r="BO161" s="1425" t="str">
        <f aca="false">IF(ISNUMBER($AU161*BB161*1),$AU161*BB161*1,"")</f>
        <v/>
      </c>
      <c r="BP161" s="1425" t="str">
        <f aca="false">IF(ISNUMBER($AV161*BC161*1),$AV161*BC161*1,"")</f>
        <v/>
      </c>
      <c r="BQ161" s="1425" t="str">
        <f aca="false">IF(ISNUMBER($AU161*BD161*1),$AU161*BD161*1,"")</f>
        <v/>
      </c>
      <c r="BR161" s="1425" t="str">
        <f aca="false">IF(ISNUMBER($AV161*BE161*1),$AV161*BE161*1,"")</f>
        <v/>
      </c>
      <c r="BS161" s="1411" t="str">
        <f aca="false">IF(ISNUMBER($AU161*BF161),$AU161*BF161,"")</f>
        <v/>
      </c>
      <c r="BT161" s="1411" t="str">
        <f aca="false">IF(ISNUMBER($AV161*BG161),$AV161*BG161,"")</f>
        <v/>
      </c>
      <c r="BU161" s="1411"/>
      <c r="BV161" s="1411"/>
      <c r="BW161" s="1411"/>
      <c r="BX161" s="1411"/>
      <c r="BZ161" s="1372"/>
      <c r="CA161" s="1372"/>
      <c r="CB161" s="1426" t="str">
        <f aca="false">IF(ISNUMBER($AW161*BB161),$AW161*BB161,"")</f>
        <v/>
      </c>
      <c r="CC161" s="1426" t="str">
        <f aca="false">IF(ISNUMBER($AX161*BC161),$AX161*BC161,"")</f>
        <v/>
      </c>
      <c r="CD161" s="1426" t="str">
        <f aca="false">IF(ISNUMBER($AW161*BD161),$AW161*BD161,"")</f>
        <v/>
      </c>
      <c r="CE161" s="1426" t="str">
        <f aca="false">IF(ISNUMBER($AX161*BE161),$AX161*BE161,"")</f>
        <v/>
      </c>
      <c r="CF161" s="1372" t="str">
        <f aca="false">IF(ISNUMBER($AW161*BF161),$AW161*BF161,"")</f>
        <v/>
      </c>
      <c r="CG161" s="1372" t="str">
        <f aca="false">IF(ISNUMBER($AX161*BG161),$AX161*BG161,"")</f>
        <v/>
      </c>
      <c r="CH161" s="1438"/>
      <c r="CI161" s="1438"/>
      <c r="CJ161" s="1438"/>
      <c r="CK161" s="1438"/>
      <c r="CU161" s="1411"/>
      <c r="CV161" s="1411"/>
      <c r="CW161" s="1425"/>
      <c r="CX161" s="1425"/>
      <c r="CY161" s="1425"/>
      <c r="CZ161" s="1425"/>
      <c r="DA161" s="1411"/>
      <c r="DB161" s="1411"/>
      <c r="DC161" s="1411"/>
      <c r="DD161" s="1411"/>
      <c r="DE161" s="1411"/>
      <c r="DF161" s="1411"/>
      <c r="DH161" s="1432"/>
      <c r="DI161" s="1432"/>
      <c r="DJ161" s="1437"/>
      <c r="DK161" s="1437"/>
      <c r="DL161" s="1437"/>
      <c r="DM161" s="1437"/>
      <c r="DN161" s="1432"/>
      <c r="DO161" s="1432"/>
      <c r="DP161" s="1432"/>
      <c r="DQ161" s="1432"/>
      <c r="DR161" s="1432"/>
      <c r="DS161" s="1432"/>
      <c r="DT161" s="1316"/>
      <c r="DU161" s="1433"/>
      <c r="DV161" s="1433"/>
      <c r="DW161" s="1433"/>
      <c r="DX161" s="1433"/>
      <c r="DY161" s="1433"/>
      <c r="DZ161" s="1433"/>
      <c r="EA161" s="1433"/>
      <c r="EB161" s="1433"/>
    </row>
    <row r="162" customFormat="false" ht="14.25" hidden="false" customHeight="false" outlineLevel="0" collapsed="false">
      <c r="A162" s="2" t="n">
        <f aca="false">'V_DATOS PAC_SGA'!R157</f>
        <v>0</v>
      </c>
      <c r="B162" s="2" t="n">
        <f aca="false">IF(I162="IV",CONCATENATE('V_DATOS PAC_SGA'!R157,"4")+0,CONCATENATE('V_DATOS PAC_SGA'!R157,"0")+0)</f>
        <v>0</v>
      </c>
      <c r="C162" s="2" t="n">
        <f aca="false">'V_DATOS PAC_SGA'!S157</f>
        <v>0</v>
      </c>
      <c r="D162" s="1409" t="n">
        <f aca="false">'V_DATOS PAC_SGA'!Y157</f>
        <v>0</v>
      </c>
      <c r="E162" s="1410" t="str">
        <f aca="false">IF('V_DATOS PAC_SGA'!AV157="","Regadio",'V_DATOS PAC_SGA'!AV157)</f>
        <v>Regadio</v>
      </c>
      <c r="F162" s="1411" t="n">
        <f aca="false">'V_DATOS PAC_SGA'!BK157</f>
        <v>0</v>
      </c>
      <c r="G162" s="1412" t="n">
        <f aca="false">'V_DATOS PAC_SGA'!AN157</f>
        <v>0</v>
      </c>
      <c r="H162" s="1413" t="str">
        <f aca="false">IF(B162&gt;0,VLOOKUP(B162,'O_MN, PE_UTA_UGM 2024'!E$3:O$419,10),"")</f>
        <v/>
      </c>
      <c r="I162" s="1359" t="n">
        <f aca="false">'V_DATOS PAC_SGA'!BV157</f>
        <v>0</v>
      </c>
      <c r="J162" s="2" t="str">
        <f aca="false">IF(AND(J$4=$G162,J$6=$F162),$D162*J$5,"")</f>
        <v/>
      </c>
      <c r="K162" s="2" t="str">
        <f aca="false">IF(AND(K$4=$G162,K$6=$F162),$D162*K$5,"")</f>
        <v/>
      </c>
      <c r="L162" s="2" t="str">
        <f aca="false">IF(AND(L$4=$G162,L$6=$F162),$D162*L$5,"")</f>
        <v/>
      </c>
      <c r="M162" s="2" t="str">
        <f aca="false">IF(AND(M$4=$G162,M$6=$F162),$D162*M$5,"")</f>
        <v/>
      </c>
      <c r="N162" s="1414" t="n">
        <f aca="false">VLOOKUP(B162,'O_MN, PE_UTA_UGM 2024'!$E$2:$K$419,IF(G162&gt;1,6,7))</f>
        <v>0</v>
      </c>
      <c r="O162" s="1434" t="str">
        <f aca="false">IF($H162=O$4,$D162*$N162,"")</f>
        <v/>
      </c>
      <c r="P162" s="1435" t="str">
        <f aca="false">IF($H162=P$4,$D162*$N162,"")</f>
        <v/>
      </c>
      <c r="Q162" s="1435" t="str">
        <f aca="false">IF($H162=Q$4,$D162*$N162,"")</f>
        <v/>
      </c>
      <c r="R162" s="1435" t="str">
        <f aca="false">IF($H162=R$4,$D162*$N162,"")</f>
        <v/>
      </c>
      <c r="S162" s="1435" t="str">
        <f aca="false">IF($H162=S$4,$D162*$N162,"")</f>
        <v/>
      </c>
      <c r="T162" s="1435" t="str">
        <f aca="false">IF($H162=T$4,$D162*$N162,"")</f>
        <v/>
      </c>
      <c r="U162" s="1436" t="str">
        <f aca="false">IF($H162=U$4,$D162*$N162,"")</f>
        <v/>
      </c>
      <c r="V162" s="1418"/>
      <c r="W162" s="1419"/>
      <c r="X162" s="1419"/>
      <c r="Y162" s="1419"/>
      <c r="Z162" s="1419"/>
      <c r="AA162" s="1419"/>
      <c r="AB162" s="1420"/>
      <c r="AC162" s="1319"/>
      <c r="AD162" s="2" t="str">
        <f aca="false">IF(AND(AD$4=$G162,AD$6=$F162),$B162,"")</f>
        <v/>
      </c>
      <c r="AE162" s="2" t="str">
        <f aca="false">IF(AND(AE$4=$G162,AE$6=$F162),$B162,"")</f>
        <v/>
      </c>
      <c r="AF162" s="2" t="str">
        <f aca="false">IF(AND(AF$4=$G162,AF$6=$F162),$B162,"")</f>
        <v/>
      </c>
      <c r="AG162" s="2" t="str">
        <f aca="false">IF(AND(AG$4=$G162,AG$6=$F162),$B162,"")</f>
        <v/>
      </c>
      <c r="AI162" s="366"/>
      <c r="AL162" s="367"/>
      <c r="AO162" s="367"/>
      <c r="AP162" s="2" t="str">
        <f aca="false">IF(AT162&gt;0,RANK(AT162,AT$7:AT$423),"")</f>
        <v/>
      </c>
      <c r="AQ162" s="2" t="n">
        <f aca="false">'O_MN, PE_UTA_UGM 2024'!C158</f>
        <v>177</v>
      </c>
      <c r="AR162" s="1421" t="n">
        <v>1760</v>
      </c>
      <c r="AS162" s="2" t="str">
        <f aca="false">IF(AY162&lt;&gt;"",AY162,"")</f>
        <v/>
      </c>
      <c r="AT162" s="1422" t="n">
        <f aca="false">IF(ISNUMBER($AR162),SUMIF(B$7:B$505,AR162,D$7:D$505),"")</f>
        <v>0</v>
      </c>
      <c r="AU162" s="1411" t="n">
        <f aca="false">IF(ISNUMBER($AR162),SUMIF(AD$7:AD$503,$AR162,J$7:J$503),"")</f>
        <v>0</v>
      </c>
      <c r="AV162" s="1411" t="n">
        <f aca="false">IF(ISNUMBER($AR162),SUMIF(AF$7:AF$503,$AR162,L$7:L$503),"")</f>
        <v>0</v>
      </c>
      <c r="AW162" s="1423" t="n">
        <f aca="false">IF(ISNUMBER($AR162),SUMIF(AE$7:AE$503,$AR162,K$7:K$503),"")</f>
        <v>0</v>
      </c>
      <c r="AX162" s="1423" t="n">
        <f aca="false">IF(ISNUMBER($AR162),SUMIF(AG$7:AG$503,$AR162,M$7:M$503),"")</f>
        <v>0</v>
      </c>
      <c r="AY162" s="2" t="str">
        <f aca="false">IF($AT162&gt;0,VLOOKUP($AR162,'O_MN, PE_UTA_UGM 2024'!E158:O574,2),"")</f>
        <v/>
      </c>
      <c r="AZ162" s="1424"/>
      <c r="BA162" s="1424"/>
      <c r="BB162" s="1424" t="str">
        <f aca="false">IF($AT162&gt;0,VLOOKUP($AR162,'O_MN, PE_UTA_UGM 2024'!$E$3:$O$419,BB$6),"")</f>
        <v/>
      </c>
      <c r="BC162" s="1424" t="str">
        <f aca="false">IF($AT162&gt;0,VLOOKUP($AR162,'O_MN, PE_UTA_UGM 2024'!$E$3:$O$419,BC$6),"")</f>
        <v/>
      </c>
      <c r="BD162" s="1424" t="str">
        <f aca="false">IF($AT162&gt;0,VLOOKUP($AR162,'O_MN, PE_UTA_UGM 2024'!$E$3:$O$419,BD$6),"")</f>
        <v/>
      </c>
      <c r="BE162" s="1424" t="str">
        <f aca="false">IF($AT162&gt;0,VLOOKUP($AR162,'O_MN, PE_UTA_UGM 2024'!$E$3:$O$419,BE$6),"")</f>
        <v/>
      </c>
      <c r="BF162" s="1424" t="str">
        <f aca="false">IF($AT162&gt;0,VLOOKUP($AR162,'O_MN, PE_UTA_UGM 2024'!$E$3:$O$419,BF$6),"")</f>
        <v/>
      </c>
      <c r="BG162" s="1424" t="str">
        <f aca="false">IF($AT162&gt;0,VLOOKUP($AR162,'O_MN, PE_UTA_UGM 2024'!$E$3:$O$419,BG$6),"")</f>
        <v/>
      </c>
      <c r="BH162" s="872"/>
      <c r="BI162" s="872"/>
      <c r="BJ162" s="872"/>
      <c r="BK162" s="872"/>
      <c r="BM162" s="1411"/>
      <c r="BN162" s="1411"/>
      <c r="BO162" s="1425" t="str">
        <f aca="false">IF(ISNUMBER($AU162*BB162*1),$AU162*BB162*1,"")</f>
        <v/>
      </c>
      <c r="BP162" s="1425" t="str">
        <f aca="false">IF(ISNUMBER($AV162*BC162*1),$AV162*BC162*1,"")</f>
        <v/>
      </c>
      <c r="BQ162" s="1425" t="str">
        <f aca="false">IF(ISNUMBER($AU162*BD162*1),$AU162*BD162*1,"")</f>
        <v/>
      </c>
      <c r="BR162" s="1425" t="str">
        <f aca="false">IF(ISNUMBER($AV162*BE162*1),$AV162*BE162*1,"")</f>
        <v/>
      </c>
      <c r="BS162" s="1411" t="str">
        <f aca="false">IF(ISNUMBER($AU162*BF162),$AU162*BF162,"")</f>
        <v/>
      </c>
      <c r="BT162" s="1411" t="str">
        <f aca="false">IF(ISNUMBER($AV162*BG162),$AV162*BG162,"")</f>
        <v/>
      </c>
      <c r="BU162" s="1411"/>
      <c r="BV162" s="1411"/>
      <c r="BW162" s="1411"/>
      <c r="BX162" s="1411"/>
      <c r="BZ162" s="1372"/>
      <c r="CA162" s="1372"/>
      <c r="CB162" s="1426" t="str">
        <f aca="false">IF(ISNUMBER($AW162*BB162),$AW162*BB162,"")</f>
        <v/>
      </c>
      <c r="CC162" s="1426" t="str">
        <f aca="false">IF(ISNUMBER($AX162*BC162),$AX162*BC162,"")</f>
        <v/>
      </c>
      <c r="CD162" s="1426" t="str">
        <f aca="false">IF(ISNUMBER($AW162*BD162),$AW162*BD162,"")</f>
        <v/>
      </c>
      <c r="CE162" s="1426" t="str">
        <f aca="false">IF(ISNUMBER($AX162*BE162),$AX162*BE162,"")</f>
        <v/>
      </c>
      <c r="CF162" s="1372" t="str">
        <f aca="false">IF(ISNUMBER($AW162*BF162),$AW162*BF162,"")</f>
        <v/>
      </c>
      <c r="CG162" s="1372" t="str">
        <f aca="false">IF(ISNUMBER($AX162*BG162),$AX162*BG162,"")</f>
        <v/>
      </c>
      <c r="CH162" s="1438"/>
      <c r="CI162" s="1438"/>
      <c r="CJ162" s="1438"/>
      <c r="CK162" s="1438"/>
      <c r="CU162" s="1411"/>
      <c r="CV162" s="1411"/>
      <c r="CW162" s="1425"/>
      <c r="CX162" s="1425"/>
      <c r="CY162" s="1425"/>
      <c r="CZ162" s="1425"/>
      <c r="DA162" s="1411"/>
      <c r="DB162" s="1411"/>
      <c r="DC162" s="1411"/>
      <c r="DD162" s="1411"/>
      <c r="DE162" s="1411"/>
      <c r="DF162" s="1411"/>
      <c r="DH162" s="1432"/>
      <c r="DI162" s="1432"/>
      <c r="DJ162" s="1437"/>
      <c r="DK162" s="1437"/>
      <c r="DL162" s="1437"/>
      <c r="DM162" s="1437"/>
      <c r="DN162" s="1432"/>
      <c r="DO162" s="1432"/>
      <c r="DP162" s="1432"/>
      <c r="DQ162" s="1432"/>
      <c r="DR162" s="1432"/>
      <c r="DS162" s="1432"/>
      <c r="DT162" s="1316"/>
      <c r="DU162" s="1433"/>
      <c r="DV162" s="1433"/>
      <c r="DW162" s="1433"/>
      <c r="DX162" s="1433"/>
      <c r="DY162" s="1433"/>
      <c r="DZ162" s="1433"/>
      <c r="EA162" s="1433"/>
      <c r="EB162" s="1433"/>
    </row>
    <row r="163" customFormat="false" ht="14.25" hidden="false" customHeight="false" outlineLevel="0" collapsed="false">
      <c r="A163" s="2" t="n">
        <f aca="false">'V_DATOS PAC_SGA'!R158</f>
        <v>0</v>
      </c>
      <c r="B163" s="2" t="n">
        <f aca="false">IF(I163="IV",CONCATENATE('V_DATOS PAC_SGA'!R158,"4")+0,CONCATENATE('V_DATOS PAC_SGA'!R158,"0")+0)</f>
        <v>0</v>
      </c>
      <c r="C163" s="2" t="n">
        <f aca="false">'V_DATOS PAC_SGA'!S158</f>
        <v>0</v>
      </c>
      <c r="D163" s="1409" t="n">
        <f aca="false">'V_DATOS PAC_SGA'!Y158</f>
        <v>0</v>
      </c>
      <c r="E163" s="1410" t="str">
        <f aca="false">IF('V_DATOS PAC_SGA'!AV158="","Regadio",'V_DATOS PAC_SGA'!AV158)</f>
        <v>Regadio</v>
      </c>
      <c r="F163" s="1411" t="n">
        <f aca="false">'V_DATOS PAC_SGA'!BK158</f>
        <v>0</v>
      </c>
      <c r="G163" s="1412" t="n">
        <f aca="false">'V_DATOS PAC_SGA'!AN158</f>
        <v>0</v>
      </c>
      <c r="H163" s="1413" t="str">
        <f aca="false">IF(B163&gt;0,VLOOKUP(B163,'O_MN, PE_UTA_UGM 2024'!E$3:O$419,10),"")</f>
        <v/>
      </c>
      <c r="I163" s="1359" t="n">
        <f aca="false">'V_DATOS PAC_SGA'!BV158</f>
        <v>0</v>
      </c>
      <c r="J163" s="2" t="str">
        <f aca="false">IF(AND(J$4=$G163,J$6=$F163),$D163*J$5,"")</f>
        <v/>
      </c>
      <c r="K163" s="2" t="str">
        <f aca="false">IF(AND(K$4=$G163,K$6=$F163),$D163*K$5,"")</f>
        <v/>
      </c>
      <c r="L163" s="2" t="str">
        <f aca="false">IF(AND(L$4=$G163,L$6=$F163),$D163*L$5,"")</f>
        <v/>
      </c>
      <c r="M163" s="2" t="str">
        <f aca="false">IF(AND(M$4=$G163,M$6=$F163),$D163*M$5,"")</f>
        <v/>
      </c>
      <c r="N163" s="1414" t="n">
        <f aca="false">VLOOKUP(B163,'O_MN, PE_UTA_UGM 2024'!$E$2:$K$419,IF(G163&gt;1,6,7))</f>
        <v>0</v>
      </c>
      <c r="O163" s="1434" t="str">
        <f aca="false">IF($H163=O$4,$D163*$N163,"")</f>
        <v/>
      </c>
      <c r="P163" s="1435" t="str">
        <f aca="false">IF($H163=P$4,$D163*$N163,"")</f>
        <v/>
      </c>
      <c r="Q163" s="1435" t="str">
        <f aca="false">IF($H163=Q$4,$D163*$N163,"")</f>
        <v/>
      </c>
      <c r="R163" s="1435" t="str">
        <f aca="false">IF($H163=R$4,$D163*$N163,"")</f>
        <v/>
      </c>
      <c r="S163" s="1435" t="str">
        <f aca="false">IF($H163=S$4,$D163*$N163,"")</f>
        <v/>
      </c>
      <c r="T163" s="1435" t="str">
        <f aca="false">IF($H163=T$4,$D163*$N163,"")</f>
        <v/>
      </c>
      <c r="U163" s="1436" t="str">
        <f aca="false">IF($H163=U$4,$D163*$N163,"")</f>
        <v/>
      </c>
      <c r="V163" s="1418"/>
      <c r="W163" s="1419"/>
      <c r="X163" s="1419"/>
      <c r="Y163" s="1419"/>
      <c r="Z163" s="1419"/>
      <c r="AA163" s="1419"/>
      <c r="AB163" s="1420"/>
      <c r="AC163" s="1319"/>
      <c r="AD163" s="2" t="str">
        <f aca="false">IF(AND(AD$4=$G163,AD$6=$F163),$B163,"")</f>
        <v/>
      </c>
      <c r="AE163" s="2" t="str">
        <f aca="false">IF(AND(AE$4=$G163,AE$6=$F163),$B163,"")</f>
        <v/>
      </c>
      <c r="AF163" s="2" t="str">
        <f aca="false">IF(AND(AF$4=$G163,AF$6=$F163),$B163,"")</f>
        <v/>
      </c>
      <c r="AG163" s="2" t="str">
        <f aca="false">IF(AND(AG$4=$G163,AG$6=$F163),$B163,"")</f>
        <v/>
      </c>
      <c r="AI163" s="366"/>
      <c r="AL163" s="367"/>
      <c r="AO163" s="367"/>
      <c r="AP163" s="2" t="str">
        <f aca="false">IF(AT163&gt;0,RANK(AT163,AT$7:AT$423),"")</f>
        <v/>
      </c>
      <c r="AQ163" s="2" t="n">
        <f aca="false">'O_MN, PE_UTA_UGM 2024'!C159</f>
        <v>177</v>
      </c>
      <c r="AR163" s="1421" t="n">
        <v>1764</v>
      </c>
      <c r="AS163" s="2" t="str">
        <f aca="false">IF(AY163&lt;&gt;"",AY163,"")</f>
        <v/>
      </c>
      <c r="AT163" s="1422" t="n">
        <f aca="false">IF(ISNUMBER($AR163),SUMIF(B$7:B$505,AR163,D$7:D$505),"")</f>
        <v>0</v>
      </c>
      <c r="AU163" s="1411" t="n">
        <f aca="false">IF(ISNUMBER($AR163),SUMIF(AD$7:AD$503,$AR163,J$7:J$503),"")</f>
        <v>0</v>
      </c>
      <c r="AV163" s="1411" t="n">
        <f aca="false">IF(ISNUMBER($AR163),SUMIF(AF$7:AF$503,$AR163,L$7:L$503),"")</f>
        <v>0</v>
      </c>
      <c r="AW163" s="1423" t="n">
        <f aca="false">IF(ISNUMBER($AR163),SUMIF(AE$7:AE$503,$AR163,K$7:K$503),"")</f>
        <v>0</v>
      </c>
      <c r="AX163" s="1423" t="n">
        <f aca="false">IF(ISNUMBER($AR163),SUMIF(AG$7:AG$503,$AR163,M$7:M$503),"")</f>
        <v>0</v>
      </c>
      <c r="AY163" s="2" t="str">
        <f aca="false">IF($AT163&gt;0,VLOOKUP($AR163,'O_MN, PE_UTA_UGM 2024'!E159:O575,2),"")</f>
        <v/>
      </c>
      <c r="AZ163" s="1424"/>
      <c r="BA163" s="1424"/>
      <c r="BB163" s="1424" t="str">
        <f aca="false">IF($AT163&gt;0,VLOOKUP($AR163,'O_MN, PE_UTA_UGM 2024'!$E$3:$O$419,BB$6),"")</f>
        <v/>
      </c>
      <c r="BC163" s="1424" t="str">
        <f aca="false">IF($AT163&gt;0,VLOOKUP($AR163,'O_MN, PE_UTA_UGM 2024'!$E$3:$O$419,BC$6),"")</f>
        <v/>
      </c>
      <c r="BD163" s="1424" t="str">
        <f aca="false">IF($AT163&gt;0,VLOOKUP($AR163,'O_MN, PE_UTA_UGM 2024'!$E$3:$O$419,BD$6),"")</f>
        <v/>
      </c>
      <c r="BE163" s="1424" t="str">
        <f aca="false">IF($AT163&gt;0,VLOOKUP($AR163,'O_MN, PE_UTA_UGM 2024'!$E$3:$O$419,BE$6),"")</f>
        <v/>
      </c>
      <c r="BF163" s="1424" t="str">
        <f aca="false">IF($AT163&gt;0,VLOOKUP($AR163,'O_MN, PE_UTA_UGM 2024'!$E$3:$O$419,BF$6),"")</f>
        <v/>
      </c>
      <c r="BG163" s="1424" t="str">
        <f aca="false">IF($AT163&gt;0,VLOOKUP($AR163,'O_MN, PE_UTA_UGM 2024'!$E$3:$O$419,BG$6),"")</f>
        <v/>
      </c>
      <c r="BH163" s="872"/>
      <c r="BI163" s="872"/>
      <c r="BJ163" s="872"/>
      <c r="BK163" s="872"/>
      <c r="BM163" s="1411"/>
      <c r="BN163" s="1411"/>
      <c r="BO163" s="1425" t="str">
        <f aca="false">IF(ISNUMBER($AU163*BB163*1),$AU163*BB163*1,"")</f>
        <v/>
      </c>
      <c r="BP163" s="1425" t="str">
        <f aca="false">IF(ISNUMBER($AV163*BC163*1),$AV163*BC163*1,"")</f>
        <v/>
      </c>
      <c r="BQ163" s="1425" t="str">
        <f aca="false">IF(ISNUMBER($AU163*BD163*1),$AU163*BD163*1,"")</f>
        <v/>
      </c>
      <c r="BR163" s="1425" t="str">
        <f aca="false">IF(ISNUMBER($AV163*BE163*1),$AV163*BE163*1,"")</f>
        <v/>
      </c>
      <c r="BS163" s="1411" t="str">
        <f aca="false">IF(ISNUMBER($AU163*BF163),$AU163*BF163,"")</f>
        <v/>
      </c>
      <c r="BT163" s="1411" t="str">
        <f aca="false">IF(ISNUMBER($AV163*BG163),$AV163*BG163,"")</f>
        <v/>
      </c>
      <c r="BU163" s="1411"/>
      <c r="BV163" s="1411"/>
      <c r="BW163" s="1411"/>
      <c r="BX163" s="1411"/>
      <c r="BZ163" s="1372"/>
      <c r="CA163" s="1372"/>
      <c r="CB163" s="1426" t="str">
        <f aca="false">IF(ISNUMBER($AW163*BB163),$AW163*BB163,"")</f>
        <v/>
      </c>
      <c r="CC163" s="1426" t="str">
        <f aca="false">IF(ISNUMBER($AX163*BC163),$AX163*BC163,"")</f>
        <v/>
      </c>
      <c r="CD163" s="1426" t="str">
        <f aca="false">IF(ISNUMBER($AW163*BD163),$AW163*BD163,"")</f>
        <v/>
      </c>
      <c r="CE163" s="1426" t="str">
        <f aca="false">IF(ISNUMBER($AX163*BE163),$AX163*BE163,"")</f>
        <v/>
      </c>
      <c r="CF163" s="1372" t="str">
        <f aca="false">IF(ISNUMBER($AW163*BF163),$AW163*BF163,"")</f>
        <v/>
      </c>
      <c r="CG163" s="1372" t="str">
        <f aca="false">IF(ISNUMBER($AX163*BG163),$AX163*BG163,"")</f>
        <v/>
      </c>
      <c r="CH163" s="1438"/>
      <c r="CI163" s="1438"/>
      <c r="CJ163" s="1438"/>
      <c r="CK163" s="1438"/>
      <c r="CU163" s="1411"/>
      <c r="CV163" s="1411"/>
      <c r="CW163" s="1425"/>
      <c r="CX163" s="1425"/>
      <c r="CY163" s="1425"/>
      <c r="CZ163" s="1425"/>
      <c r="DA163" s="1411"/>
      <c r="DB163" s="1411"/>
      <c r="DC163" s="1411"/>
      <c r="DD163" s="1411"/>
      <c r="DE163" s="1411"/>
      <c r="DF163" s="1411"/>
      <c r="DH163" s="1432"/>
      <c r="DI163" s="1432"/>
      <c r="DJ163" s="1437"/>
      <c r="DK163" s="1437"/>
      <c r="DL163" s="1437"/>
      <c r="DM163" s="1437"/>
      <c r="DN163" s="1432"/>
      <c r="DO163" s="1432"/>
      <c r="DP163" s="1432"/>
      <c r="DQ163" s="1432"/>
      <c r="DR163" s="1432"/>
      <c r="DS163" s="1432"/>
      <c r="DT163" s="1316"/>
      <c r="DU163" s="1433"/>
      <c r="DV163" s="1433"/>
      <c r="DW163" s="1433"/>
      <c r="DX163" s="1433"/>
      <c r="DY163" s="1433"/>
      <c r="DZ163" s="1433"/>
      <c r="EA163" s="1433"/>
      <c r="EB163" s="1433"/>
    </row>
    <row r="164" customFormat="false" ht="14.25" hidden="false" customHeight="false" outlineLevel="0" collapsed="false">
      <c r="A164" s="2" t="n">
        <f aca="false">'V_DATOS PAC_SGA'!R159</f>
        <v>0</v>
      </c>
      <c r="B164" s="2" t="n">
        <f aca="false">IF(I164="IV",CONCATENATE('V_DATOS PAC_SGA'!R159,"4")+0,CONCATENATE('V_DATOS PAC_SGA'!R159,"0")+0)</f>
        <v>0</v>
      </c>
      <c r="C164" s="2" t="n">
        <f aca="false">'V_DATOS PAC_SGA'!S159</f>
        <v>0</v>
      </c>
      <c r="D164" s="1409" t="n">
        <f aca="false">'V_DATOS PAC_SGA'!Y159</f>
        <v>0</v>
      </c>
      <c r="E164" s="1410" t="str">
        <f aca="false">IF('V_DATOS PAC_SGA'!AV159="","Regadio",'V_DATOS PAC_SGA'!AV159)</f>
        <v>Regadio</v>
      </c>
      <c r="F164" s="1411" t="n">
        <f aca="false">'V_DATOS PAC_SGA'!BK159</f>
        <v>0</v>
      </c>
      <c r="G164" s="1412" t="n">
        <f aca="false">'V_DATOS PAC_SGA'!AN159</f>
        <v>0</v>
      </c>
      <c r="H164" s="1413" t="str">
        <f aca="false">IF(B164&gt;0,VLOOKUP(B164,'O_MN, PE_UTA_UGM 2024'!E$3:O$419,10),"")</f>
        <v/>
      </c>
      <c r="I164" s="1359" t="n">
        <f aca="false">'V_DATOS PAC_SGA'!BV159</f>
        <v>0</v>
      </c>
      <c r="J164" s="2" t="str">
        <f aca="false">IF(AND(J$4=$G164,J$6=$F164),$D164*J$5,"")</f>
        <v/>
      </c>
      <c r="K164" s="2" t="str">
        <f aca="false">IF(AND(K$4=$G164,K$6=$F164),$D164*K$5,"")</f>
        <v/>
      </c>
      <c r="L164" s="2" t="str">
        <f aca="false">IF(AND(L$4=$G164,L$6=$F164),$D164*L$5,"")</f>
        <v/>
      </c>
      <c r="M164" s="2" t="str">
        <f aca="false">IF(AND(M$4=$G164,M$6=$F164),$D164*M$5,"")</f>
        <v/>
      </c>
      <c r="N164" s="1414" t="n">
        <f aca="false">VLOOKUP(B164,'O_MN, PE_UTA_UGM 2024'!$E$2:$K$419,IF(G164&gt;1,6,7))</f>
        <v>0</v>
      </c>
      <c r="O164" s="1434" t="str">
        <f aca="false">IF($H164=O$4,$D164*$N164,"")</f>
        <v/>
      </c>
      <c r="P164" s="1435" t="str">
        <f aca="false">IF($H164=P$4,$D164*$N164,"")</f>
        <v/>
      </c>
      <c r="Q164" s="1435" t="str">
        <f aca="false">IF($H164=Q$4,$D164*$N164,"")</f>
        <v/>
      </c>
      <c r="R164" s="1435" t="str">
        <f aca="false">IF($H164=R$4,$D164*$N164,"")</f>
        <v/>
      </c>
      <c r="S164" s="1435" t="str">
        <f aca="false">IF($H164=S$4,$D164*$N164,"")</f>
        <v/>
      </c>
      <c r="T164" s="1435" t="str">
        <f aca="false">IF($H164=T$4,$D164*$N164,"")</f>
        <v/>
      </c>
      <c r="U164" s="1436" t="str">
        <f aca="false">IF($H164=U$4,$D164*$N164,"")</f>
        <v/>
      </c>
      <c r="V164" s="1418"/>
      <c r="W164" s="1419"/>
      <c r="X164" s="1419"/>
      <c r="Y164" s="1419"/>
      <c r="Z164" s="1419"/>
      <c r="AA164" s="1419"/>
      <c r="AB164" s="1420"/>
      <c r="AC164" s="1319"/>
      <c r="AD164" s="2" t="str">
        <f aca="false">IF(AND(AD$4=$G164,AD$6=$F164),$B164,"")</f>
        <v/>
      </c>
      <c r="AE164" s="2" t="str">
        <f aca="false">IF(AND(AE$4=$G164,AE$6=$F164),$B164,"")</f>
        <v/>
      </c>
      <c r="AF164" s="2" t="str">
        <f aca="false">IF(AND(AF$4=$G164,AF$6=$F164),$B164,"")</f>
        <v/>
      </c>
      <c r="AG164" s="2" t="str">
        <f aca="false">IF(AND(AG$4=$G164,AG$6=$F164),$B164,"")</f>
        <v/>
      </c>
      <c r="AI164" s="366"/>
      <c r="AL164" s="367"/>
      <c r="AO164" s="367"/>
      <c r="AP164" s="2" t="str">
        <f aca="false">IF(AT164&gt;0,RANK(AT164,AT$7:AT$423),"")</f>
        <v/>
      </c>
      <c r="AQ164" s="2" t="n">
        <f aca="false">'O_MN, PE_UTA_UGM 2024'!C160</f>
        <v>178</v>
      </c>
      <c r="AR164" s="1421" t="n">
        <v>1769</v>
      </c>
      <c r="AS164" s="2" t="str">
        <f aca="false">IF(AY164&lt;&gt;"",AY164,"")</f>
        <v/>
      </c>
      <c r="AT164" s="1422" t="n">
        <f aca="false">IF(ISNUMBER($AR164),SUMIF(B$7:B$505,AR164,D$7:D$505),"")</f>
        <v>0</v>
      </c>
      <c r="AU164" s="1411" t="n">
        <f aca="false">IF(ISNUMBER($AR164),SUMIF(AD$7:AD$503,$AR164,J$7:J$503),"")</f>
        <v>0</v>
      </c>
      <c r="AV164" s="1411" t="n">
        <f aca="false">IF(ISNUMBER($AR164),SUMIF(AF$7:AF$503,$AR164,L$7:L$503),"")</f>
        <v>0</v>
      </c>
      <c r="AW164" s="1423" t="n">
        <f aca="false">IF(ISNUMBER($AR164),SUMIF(AE$7:AE$503,$AR164,K$7:K$503),"")</f>
        <v>0</v>
      </c>
      <c r="AX164" s="1423" t="n">
        <f aca="false">IF(ISNUMBER($AR164),SUMIF(AG$7:AG$503,$AR164,M$7:M$503),"")</f>
        <v>0</v>
      </c>
      <c r="AY164" s="2" t="str">
        <f aca="false">IF($AT164&gt;0,VLOOKUP($AR164,'O_MN, PE_UTA_UGM 2024'!E160:O576,2),"")</f>
        <v/>
      </c>
      <c r="AZ164" s="1424"/>
      <c r="BA164" s="1424"/>
      <c r="BB164" s="1424" t="str">
        <f aca="false">IF($AT164&gt;0,VLOOKUP($AR164,'O_MN, PE_UTA_UGM 2024'!$E$3:$O$419,BB$6),"")</f>
        <v/>
      </c>
      <c r="BC164" s="1424" t="str">
        <f aca="false">IF($AT164&gt;0,VLOOKUP($AR164,'O_MN, PE_UTA_UGM 2024'!$E$3:$O$419,BC$6),"")</f>
        <v/>
      </c>
      <c r="BD164" s="1424" t="str">
        <f aca="false">IF($AT164&gt;0,VLOOKUP($AR164,'O_MN, PE_UTA_UGM 2024'!$E$3:$O$419,BD$6),"")</f>
        <v/>
      </c>
      <c r="BE164" s="1424" t="str">
        <f aca="false">IF($AT164&gt;0,VLOOKUP($AR164,'O_MN, PE_UTA_UGM 2024'!$E$3:$O$419,BE$6),"")</f>
        <v/>
      </c>
      <c r="BF164" s="1424" t="str">
        <f aca="false">IF($AT164&gt;0,VLOOKUP($AR164,'O_MN, PE_UTA_UGM 2024'!$E$3:$O$419,BF$6),"")</f>
        <v/>
      </c>
      <c r="BG164" s="1424" t="str">
        <f aca="false">IF($AT164&gt;0,VLOOKUP($AR164,'O_MN, PE_UTA_UGM 2024'!$E$3:$O$419,BG$6),"")</f>
        <v/>
      </c>
      <c r="BH164" s="872"/>
      <c r="BI164" s="872"/>
      <c r="BJ164" s="872"/>
      <c r="BK164" s="872"/>
      <c r="BM164" s="1411"/>
      <c r="BN164" s="1411"/>
      <c r="BO164" s="1425" t="str">
        <f aca="false">IF(ISNUMBER($AU164*BB164*1),$AU164*BB164*1,"")</f>
        <v/>
      </c>
      <c r="BP164" s="1425" t="str">
        <f aca="false">IF(ISNUMBER($AV164*BC164*1),$AV164*BC164*1,"")</f>
        <v/>
      </c>
      <c r="BQ164" s="1425" t="str">
        <f aca="false">IF(ISNUMBER($AU164*BD164*1),$AU164*BD164*1,"")</f>
        <v/>
      </c>
      <c r="BR164" s="1425" t="str">
        <f aca="false">IF(ISNUMBER($AV164*BE164*1),$AV164*BE164*1,"")</f>
        <v/>
      </c>
      <c r="BS164" s="1411" t="str">
        <f aca="false">IF(ISNUMBER($AU164*BF164),$AU164*BF164,"")</f>
        <v/>
      </c>
      <c r="BT164" s="1411" t="str">
        <f aca="false">IF(ISNUMBER($AV164*BG164),$AV164*BG164,"")</f>
        <v/>
      </c>
      <c r="BU164" s="1411"/>
      <c r="BV164" s="1411"/>
      <c r="BW164" s="1411"/>
      <c r="BX164" s="1411"/>
      <c r="BZ164" s="1372"/>
      <c r="CA164" s="1372"/>
      <c r="CB164" s="1426" t="str">
        <f aca="false">IF(ISNUMBER($AW164*BB164),$AW164*BB164,"")</f>
        <v/>
      </c>
      <c r="CC164" s="1426" t="str">
        <f aca="false">IF(ISNUMBER($AX164*BC164),$AX164*BC164,"")</f>
        <v/>
      </c>
      <c r="CD164" s="1426" t="str">
        <f aca="false">IF(ISNUMBER($AW164*BD164),$AW164*BD164,"")</f>
        <v/>
      </c>
      <c r="CE164" s="1426" t="str">
        <f aca="false">IF(ISNUMBER($AX164*BE164),$AX164*BE164,"")</f>
        <v/>
      </c>
      <c r="CF164" s="1372" t="str">
        <f aca="false">IF(ISNUMBER($AW164*BF164),$AW164*BF164,"")</f>
        <v/>
      </c>
      <c r="CG164" s="1372" t="str">
        <f aca="false">IF(ISNUMBER($AX164*BG164),$AX164*BG164,"")</f>
        <v/>
      </c>
      <c r="CH164" s="1438"/>
      <c r="CI164" s="1438"/>
      <c r="CJ164" s="1438"/>
      <c r="CK164" s="1438"/>
      <c r="CU164" s="1411"/>
      <c r="CV164" s="1411"/>
      <c r="CW164" s="1425"/>
      <c r="CX164" s="1425"/>
      <c r="CY164" s="1425"/>
      <c r="CZ164" s="1425"/>
      <c r="DA164" s="1411"/>
      <c r="DB164" s="1411"/>
      <c r="DC164" s="1411"/>
      <c r="DD164" s="1411"/>
      <c r="DE164" s="1411"/>
      <c r="DF164" s="1411"/>
      <c r="DH164" s="1432"/>
      <c r="DI164" s="1432"/>
      <c r="DJ164" s="1437"/>
      <c r="DK164" s="1437"/>
      <c r="DL164" s="1437"/>
      <c r="DM164" s="1437"/>
      <c r="DN164" s="1432"/>
      <c r="DO164" s="1432"/>
      <c r="DP164" s="1432"/>
      <c r="DQ164" s="1432"/>
      <c r="DR164" s="1432"/>
      <c r="DS164" s="1432"/>
      <c r="DT164" s="1316"/>
      <c r="DU164" s="1433"/>
      <c r="DV164" s="1433"/>
      <c r="DW164" s="1433"/>
      <c r="DX164" s="1433"/>
      <c r="DY164" s="1433"/>
      <c r="DZ164" s="1433"/>
      <c r="EA164" s="1433"/>
      <c r="EB164" s="1433"/>
    </row>
    <row r="165" customFormat="false" ht="14.25" hidden="false" customHeight="false" outlineLevel="0" collapsed="false">
      <c r="A165" s="2" t="n">
        <f aca="false">'V_DATOS PAC_SGA'!R160</f>
        <v>0</v>
      </c>
      <c r="B165" s="2" t="n">
        <f aca="false">IF(I165="IV",CONCATENATE('V_DATOS PAC_SGA'!R160,"4")+0,CONCATENATE('V_DATOS PAC_SGA'!R160,"0")+0)</f>
        <v>0</v>
      </c>
      <c r="C165" s="2" t="n">
        <f aca="false">'V_DATOS PAC_SGA'!S160</f>
        <v>0</v>
      </c>
      <c r="D165" s="1409" t="n">
        <f aca="false">'V_DATOS PAC_SGA'!Y160</f>
        <v>0</v>
      </c>
      <c r="E165" s="1410" t="str">
        <f aca="false">IF('V_DATOS PAC_SGA'!AV160="","Regadio",'V_DATOS PAC_SGA'!AV160)</f>
        <v>Regadio</v>
      </c>
      <c r="F165" s="1411" t="n">
        <f aca="false">'V_DATOS PAC_SGA'!BK160</f>
        <v>0</v>
      </c>
      <c r="G165" s="1412" t="n">
        <f aca="false">'V_DATOS PAC_SGA'!AN160</f>
        <v>0</v>
      </c>
      <c r="H165" s="1413" t="str">
        <f aca="false">IF(B165&gt;0,VLOOKUP(B165,'O_MN, PE_UTA_UGM 2024'!E$3:O$419,10),"")</f>
        <v/>
      </c>
      <c r="I165" s="1359" t="n">
        <f aca="false">'V_DATOS PAC_SGA'!BV160</f>
        <v>0</v>
      </c>
      <c r="J165" s="2" t="str">
        <f aca="false">IF(AND(J$4=$G165,J$6=$F165),$D165*J$5,"")</f>
        <v/>
      </c>
      <c r="K165" s="2" t="str">
        <f aca="false">IF(AND(K$4=$G165,K$6=$F165),$D165*K$5,"")</f>
        <v/>
      </c>
      <c r="L165" s="2" t="str">
        <f aca="false">IF(AND(L$4=$G165,L$6=$F165),$D165*L$5,"")</f>
        <v/>
      </c>
      <c r="M165" s="2" t="str">
        <f aca="false">IF(AND(M$4=$G165,M$6=$F165),$D165*M$5,"")</f>
        <v/>
      </c>
      <c r="N165" s="1414" t="n">
        <f aca="false">VLOOKUP(B165,'O_MN, PE_UTA_UGM 2024'!$E$2:$K$419,IF(G165&gt;1,6,7))</f>
        <v>0</v>
      </c>
      <c r="O165" s="1434" t="str">
        <f aca="false">IF($H165=O$4,$D165*$N165,"")</f>
        <v/>
      </c>
      <c r="P165" s="1435" t="str">
        <f aca="false">IF($H165=P$4,$D165*$N165,"")</f>
        <v/>
      </c>
      <c r="Q165" s="1435" t="str">
        <f aca="false">IF($H165=Q$4,$D165*$N165,"")</f>
        <v/>
      </c>
      <c r="R165" s="1435" t="str">
        <f aca="false">IF($H165=R$4,$D165*$N165,"")</f>
        <v/>
      </c>
      <c r="S165" s="1435" t="str">
        <f aca="false">IF($H165=S$4,$D165*$N165,"")</f>
        <v/>
      </c>
      <c r="T165" s="1435" t="str">
        <f aca="false">IF($H165=T$4,$D165*$N165,"")</f>
        <v/>
      </c>
      <c r="U165" s="1436" t="str">
        <f aca="false">IF($H165=U$4,$D165*$N165,"")</f>
        <v/>
      </c>
      <c r="V165" s="1418"/>
      <c r="W165" s="1419"/>
      <c r="X165" s="1419"/>
      <c r="Y165" s="1419"/>
      <c r="Z165" s="1419"/>
      <c r="AA165" s="1419"/>
      <c r="AB165" s="1420"/>
      <c r="AC165" s="1319"/>
      <c r="AD165" s="2" t="str">
        <f aca="false">IF(AND(AD$4=$G165,AD$6=$F165),$B165,"")</f>
        <v/>
      </c>
      <c r="AE165" s="2" t="str">
        <f aca="false">IF(AND(AE$4=$G165,AE$6=$F165),$B165,"")</f>
        <v/>
      </c>
      <c r="AF165" s="2" t="str">
        <f aca="false">IF(AND(AF$4=$G165,AF$6=$F165),$B165,"")</f>
        <v/>
      </c>
      <c r="AG165" s="2" t="str">
        <f aca="false">IF(AND(AG$4=$G165,AG$6=$F165),$B165,"")</f>
        <v/>
      </c>
      <c r="AI165" s="366"/>
      <c r="AL165" s="367"/>
      <c r="AO165" s="367"/>
      <c r="AP165" s="2" t="str">
        <f aca="false">IF(AT165&gt;0,RANK(AT165,AT$7:AT$423),"")</f>
        <v/>
      </c>
      <c r="AQ165" s="2" t="n">
        <f aca="false">'O_MN, PE_UTA_UGM 2024'!C161</f>
        <v>178</v>
      </c>
      <c r="AR165" s="1421" t="n">
        <v>1770</v>
      </c>
      <c r="AS165" s="2" t="str">
        <f aca="false">IF(AY165&lt;&gt;"",AY165,"")</f>
        <v/>
      </c>
      <c r="AT165" s="1422" t="n">
        <f aca="false">IF(ISNUMBER($AR165),SUMIF(B$7:B$505,AR165,D$7:D$505),"")</f>
        <v>0</v>
      </c>
      <c r="AU165" s="1411" t="n">
        <f aca="false">IF(ISNUMBER($AR165),SUMIF(AD$7:AD$503,$AR165,J$7:J$503),"")</f>
        <v>0</v>
      </c>
      <c r="AV165" s="1411" t="n">
        <f aca="false">IF(ISNUMBER($AR165),SUMIF(AF$7:AF$503,$AR165,L$7:L$503),"")</f>
        <v>0</v>
      </c>
      <c r="AW165" s="1423" t="n">
        <f aca="false">IF(ISNUMBER($AR165),SUMIF(AE$7:AE$503,$AR165,K$7:K$503),"")</f>
        <v>0</v>
      </c>
      <c r="AX165" s="1423" t="n">
        <f aca="false">IF(ISNUMBER($AR165),SUMIF(AG$7:AG$503,$AR165,M$7:M$503),"")</f>
        <v>0</v>
      </c>
      <c r="AY165" s="2" t="str">
        <f aca="false">IF($AT165&gt;0,VLOOKUP($AR165,'O_MN, PE_UTA_UGM 2024'!E161:O577,2),"")</f>
        <v/>
      </c>
      <c r="AZ165" s="1424"/>
      <c r="BA165" s="1424"/>
      <c r="BB165" s="1424" t="str">
        <f aca="false">IF($AT165&gt;0,VLOOKUP($AR165,'O_MN, PE_UTA_UGM 2024'!$E$3:$O$419,BB$6),"")</f>
        <v/>
      </c>
      <c r="BC165" s="1424" t="str">
        <f aca="false">IF($AT165&gt;0,VLOOKUP($AR165,'O_MN, PE_UTA_UGM 2024'!$E$3:$O$419,BC$6),"")</f>
        <v/>
      </c>
      <c r="BD165" s="1424" t="str">
        <f aca="false">IF($AT165&gt;0,VLOOKUP($AR165,'O_MN, PE_UTA_UGM 2024'!$E$3:$O$419,BD$6),"")</f>
        <v/>
      </c>
      <c r="BE165" s="1424" t="str">
        <f aca="false">IF($AT165&gt;0,VLOOKUP($AR165,'O_MN, PE_UTA_UGM 2024'!$E$3:$O$419,BE$6),"")</f>
        <v/>
      </c>
      <c r="BF165" s="1424" t="str">
        <f aca="false">IF($AT165&gt;0,VLOOKUP($AR165,'O_MN, PE_UTA_UGM 2024'!$E$3:$O$419,BF$6),"")</f>
        <v/>
      </c>
      <c r="BG165" s="1424" t="str">
        <f aca="false">IF($AT165&gt;0,VLOOKUP($AR165,'O_MN, PE_UTA_UGM 2024'!$E$3:$O$419,BG$6),"")</f>
        <v/>
      </c>
      <c r="BH165" s="872"/>
      <c r="BI165" s="872"/>
      <c r="BJ165" s="872"/>
      <c r="BK165" s="872"/>
      <c r="BM165" s="1411"/>
      <c r="BN165" s="1411"/>
      <c r="BO165" s="1425" t="str">
        <f aca="false">IF(ISNUMBER($AU165*BB165*1),$AU165*BB165*1,"")</f>
        <v/>
      </c>
      <c r="BP165" s="1425" t="str">
        <f aca="false">IF(ISNUMBER($AV165*BC165*1),$AV165*BC165*1,"")</f>
        <v/>
      </c>
      <c r="BQ165" s="1425" t="str">
        <f aca="false">IF(ISNUMBER($AU165*BD165*1),$AU165*BD165*1,"")</f>
        <v/>
      </c>
      <c r="BR165" s="1425" t="str">
        <f aca="false">IF(ISNUMBER($AV165*BE165*1),$AV165*BE165*1,"")</f>
        <v/>
      </c>
      <c r="BS165" s="1411" t="str">
        <f aca="false">IF(ISNUMBER($AU165*BF165),$AU165*BF165,"")</f>
        <v/>
      </c>
      <c r="BT165" s="1411" t="str">
        <f aca="false">IF(ISNUMBER($AV165*BG165),$AV165*BG165,"")</f>
        <v/>
      </c>
      <c r="BU165" s="1411"/>
      <c r="BV165" s="1411"/>
      <c r="BW165" s="1411"/>
      <c r="BX165" s="1411"/>
      <c r="BZ165" s="1372"/>
      <c r="CA165" s="1372"/>
      <c r="CB165" s="1426" t="str">
        <f aca="false">IF(ISNUMBER($AW165*BB165),$AW165*BB165,"")</f>
        <v/>
      </c>
      <c r="CC165" s="1426" t="str">
        <f aca="false">IF(ISNUMBER($AX165*BC165),$AX165*BC165,"")</f>
        <v/>
      </c>
      <c r="CD165" s="1426" t="str">
        <f aca="false">IF(ISNUMBER($AW165*BD165),$AW165*BD165,"")</f>
        <v/>
      </c>
      <c r="CE165" s="1426" t="str">
        <f aca="false">IF(ISNUMBER($AX165*BE165),$AX165*BE165,"")</f>
        <v/>
      </c>
      <c r="CF165" s="1372" t="str">
        <f aca="false">IF(ISNUMBER($AW165*BF165),$AW165*BF165,"")</f>
        <v/>
      </c>
      <c r="CG165" s="1372" t="str">
        <f aca="false">IF(ISNUMBER($AX165*BG165),$AX165*BG165,"")</f>
        <v/>
      </c>
      <c r="CH165" s="1438"/>
      <c r="CI165" s="1438"/>
      <c r="CJ165" s="1438"/>
      <c r="CK165" s="1438"/>
      <c r="CU165" s="1411"/>
      <c r="CV165" s="1411"/>
      <c r="CW165" s="1425"/>
      <c r="CX165" s="1425"/>
      <c r="CY165" s="1425"/>
      <c r="CZ165" s="1425"/>
      <c r="DA165" s="1411"/>
      <c r="DB165" s="1411"/>
      <c r="DC165" s="1411"/>
      <c r="DD165" s="1411"/>
      <c r="DE165" s="1411"/>
      <c r="DF165" s="1411"/>
      <c r="DH165" s="1432"/>
      <c r="DI165" s="1432"/>
      <c r="DJ165" s="1437"/>
      <c r="DK165" s="1437"/>
      <c r="DL165" s="1437"/>
      <c r="DM165" s="1437"/>
      <c r="DN165" s="1432"/>
      <c r="DO165" s="1432"/>
      <c r="DP165" s="1432"/>
      <c r="DQ165" s="1432"/>
      <c r="DR165" s="1432"/>
      <c r="DS165" s="1432"/>
      <c r="DT165" s="1316"/>
      <c r="DU165" s="1433"/>
      <c r="DV165" s="1433"/>
      <c r="DW165" s="1433"/>
      <c r="DX165" s="1433"/>
      <c r="DY165" s="1433"/>
      <c r="DZ165" s="1433"/>
      <c r="EA165" s="1433"/>
      <c r="EB165" s="1433"/>
    </row>
    <row r="166" customFormat="false" ht="14.25" hidden="false" customHeight="false" outlineLevel="0" collapsed="false">
      <c r="A166" s="2" t="n">
        <f aca="false">'V_DATOS PAC_SGA'!R161</f>
        <v>0</v>
      </c>
      <c r="B166" s="2" t="n">
        <f aca="false">IF(I166="IV",CONCATENATE('V_DATOS PAC_SGA'!R161,"4")+0,CONCATENATE('V_DATOS PAC_SGA'!R161,"0")+0)</f>
        <v>0</v>
      </c>
      <c r="C166" s="2" t="n">
        <f aca="false">'V_DATOS PAC_SGA'!S161</f>
        <v>0</v>
      </c>
      <c r="D166" s="1409" t="n">
        <f aca="false">'V_DATOS PAC_SGA'!Y161</f>
        <v>0</v>
      </c>
      <c r="E166" s="1410" t="str">
        <f aca="false">IF('V_DATOS PAC_SGA'!AV161="","Regadio",'V_DATOS PAC_SGA'!AV161)</f>
        <v>Regadio</v>
      </c>
      <c r="F166" s="1411" t="n">
        <f aca="false">'V_DATOS PAC_SGA'!BK161</f>
        <v>0</v>
      </c>
      <c r="G166" s="1412" t="n">
        <f aca="false">'V_DATOS PAC_SGA'!AN161</f>
        <v>0</v>
      </c>
      <c r="H166" s="1413" t="str">
        <f aca="false">IF(B166&gt;0,VLOOKUP(B166,'O_MN, PE_UTA_UGM 2024'!E$3:O$419,10),"")</f>
        <v/>
      </c>
      <c r="I166" s="1359" t="n">
        <f aca="false">'V_DATOS PAC_SGA'!BV161</f>
        <v>0</v>
      </c>
      <c r="J166" s="2" t="str">
        <f aca="false">IF(AND(J$4=$G166,J$6=$F166),$D166*J$5,"")</f>
        <v/>
      </c>
      <c r="K166" s="2" t="str">
        <f aca="false">IF(AND(K$4=$G166,K$6=$F166),$D166*K$5,"")</f>
        <v/>
      </c>
      <c r="L166" s="2" t="str">
        <f aca="false">IF(AND(L$4=$G166,L$6=$F166),$D166*L$5,"")</f>
        <v/>
      </c>
      <c r="M166" s="2" t="str">
        <f aca="false">IF(AND(M$4=$G166,M$6=$F166),$D166*M$5,"")</f>
        <v/>
      </c>
      <c r="N166" s="1414" t="n">
        <f aca="false">VLOOKUP(B166,'O_MN, PE_UTA_UGM 2024'!$E$2:$K$419,IF(G166&gt;1,6,7))</f>
        <v>0</v>
      </c>
      <c r="O166" s="1434" t="str">
        <f aca="false">IF($H166=O$4,$D166*$N166,"")</f>
        <v/>
      </c>
      <c r="P166" s="1435" t="str">
        <f aca="false">IF($H166=P$4,$D166*$N166,"")</f>
        <v/>
      </c>
      <c r="Q166" s="1435" t="str">
        <f aca="false">IF($H166=Q$4,$D166*$N166,"")</f>
        <v/>
      </c>
      <c r="R166" s="1435" t="str">
        <f aca="false">IF($H166=R$4,$D166*$N166,"")</f>
        <v/>
      </c>
      <c r="S166" s="1435" t="str">
        <f aca="false">IF($H166=S$4,$D166*$N166,"")</f>
        <v/>
      </c>
      <c r="T166" s="1435" t="str">
        <f aca="false">IF($H166=T$4,$D166*$N166,"")</f>
        <v/>
      </c>
      <c r="U166" s="1436" t="str">
        <f aca="false">IF($H166=U$4,$D166*$N166,"")</f>
        <v/>
      </c>
      <c r="V166" s="1418"/>
      <c r="W166" s="1419"/>
      <c r="X166" s="1419"/>
      <c r="Y166" s="1419"/>
      <c r="Z166" s="1419"/>
      <c r="AA166" s="1419"/>
      <c r="AB166" s="1420"/>
      <c r="AC166" s="1319"/>
      <c r="AD166" s="2" t="str">
        <f aca="false">IF(AND(AD$4=$G166,AD$6=$F166),$B166,"")</f>
        <v/>
      </c>
      <c r="AE166" s="2" t="str">
        <f aca="false">IF(AND(AE$4=$G166,AE$6=$F166),$B166,"")</f>
        <v/>
      </c>
      <c r="AF166" s="2" t="str">
        <f aca="false">IF(AND(AF$4=$G166,AF$6=$F166),$B166,"")</f>
        <v/>
      </c>
      <c r="AG166" s="2" t="str">
        <f aca="false">IF(AND(AG$4=$G166,AG$6=$F166),$B166,"")</f>
        <v/>
      </c>
      <c r="AI166" s="366"/>
      <c r="AL166" s="367"/>
      <c r="AO166" s="367"/>
      <c r="AP166" s="2" t="str">
        <f aca="false">IF(AT166&gt;0,RANK(AT166,AT$7:AT$423),"")</f>
        <v/>
      </c>
      <c r="AQ166" s="2" t="n">
        <f aca="false">'O_MN, PE_UTA_UGM 2024'!C162</f>
        <v>178</v>
      </c>
      <c r="AR166" s="1421" t="n">
        <v>1774</v>
      </c>
      <c r="AS166" s="2" t="str">
        <f aca="false">IF(AY166&lt;&gt;"",AY166,"")</f>
        <v/>
      </c>
      <c r="AT166" s="1422" t="n">
        <f aca="false">IF(ISNUMBER($AR166),SUMIF(B$7:B$505,AR166,D$7:D$505),"")</f>
        <v>0</v>
      </c>
      <c r="AU166" s="1411" t="n">
        <f aca="false">IF(ISNUMBER($AR166),SUMIF(AD$7:AD$503,$AR166,J$7:J$503),"")</f>
        <v>0</v>
      </c>
      <c r="AV166" s="1411" t="n">
        <f aca="false">IF(ISNUMBER($AR166),SUMIF(AF$7:AF$503,$AR166,L$7:L$503),"")</f>
        <v>0</v>
      </c>
      <c r="AW166" s="1423" t="n">
        <f aca="false">IF(ISNUMBER($AR166),SUMIF(AE$7:AE$503,$AR166,K$7:K$503),"")</f>
        <v>0</v>
      </c>
      <c r="AX166" s="1423" t="n">
        <f aca="false">IF(ISNUMBER($AR166),SUMIF(AG$7:AG$503,$AR166,M$7:M$503),"")</f>
        <v>0</v>
      </c>
      <c r="AY166" s="2" t="str">
        <f aca="false">IF($AT166&gt;0,VLOOKUP($AR166,'O_MN, PE_UTA_UGM 2024'!E162:O578,2),"")</f>
        <v/>
      </c>
      <c r="AZ166" s="1424"/>
      <c r="BA166" s="1424"/>
      <c r="BB166" s="1424" t="str">
        <f aca="false">IF($AT166&gt;0,VLOOKUP($AR166,'O_MN, PE_UTA_UGM 2024'!$E$3:$O$419,BB$6),"")</f>
        <v/>
      </c>
      <c r="BC166" s="1424" t="str">
        <f aca="false">IF($AT166&gt;0,VLOOKUP($AR166,'O_MN, PE_UTA_UGM 2024'!$E$3:$O$419,BC$6),"")</f>
        <v/>
      </c>
      <c r="BD166" s="1424" t="str">
        <f aca="false">IF($AT166&gt;0,VLOOKUP($AR166,'O_MN, PE_UTA_UGM 2024'!$E$3:$O$419,BD$6),"")</f>
        <v/>
      </c>
      <c r="BE166" s="1424" t="str">
        <f aca="false">IF($AT166&gt;0,VLOOKUP($AR166,'O_MN, PE_UTA_UGM 2024'!$E$3:$O$419,BE$6),"")</f>
        <v/>
      </c>
      <c r="BF166" s="1424" t="str">
        <f aca="false">IF($AT166&gt;0,VLOOKUP($AR166,'O_MN, PE_UTA_UGM 2024'!$E$3:$O$419,BF$6),"")</f>
        <v/>
      </c>
      <c r="BG166" s="1424" t="str">
        <f aca="false">IF($AT166&gt;0,VLOOKUP($AR166,'O_MN, PE_UTA_UGM 2024'!$E$3:$O$419,BG$6),"")</f>
        <v/>
      </c>
      <c r="BH166" s="872"/>
      <c r="BI166" s="872"/>
      <c r="BJ166" s="872"/>
      <c r="BK166" s="872"/>
      <c r="BM166" s="1411"/>
      <c r="BN166" s="1411"/>
      <c r="BO166" s="1425" t="str">
        <f aca="false">IF(ISNUMBER($AU166*BB166*1),$AU166*BB166*1,"")</f>
        <v/>
      </c>
      <c r="BP166" s="1425" t="str">
        <f aca="false">IF(ISNUMBER($AV166*BC166*1),$AV166*BC166*1,"")</f>
        <v/>
      </c>
      <c r="BQ166" s="1425" t="str">
        <f aca="false">IF(ISNUMBER($AU166*BD166*1),$AU166*BD166*1,"")</f>
        <v/>
      </c>
      <c r="BR166" s="1425" t="str">
        <f aca="false">IF(ISNUMBER($AV166*BE166*1),$AV166*BE166*1,"")</f>
        <v/>
      </c>
      <c r="BS166" s="1411" t="str">
        <f aca="false">IF(ISNUMBER($AU166*BF166),$AU166*BF166,"")</f>
        <v/>
      </c>
      <c r="BT166" s="1411" t="str">
        <f aca="false">IF(ISNUMBER($AV166*BG166),$AV166*BG166,"")</f>
        <v/>
      </c>
      <c r="BU166" s="1411"/>
      <c r="BV166" s="1411"/>
      <c r="BW166" s="1411"/>
      <c r="BX166" s="1411"/>
      <c r="BZ166" s="1372"/>
      <c r="CA166" s="1372"/>
      <c r="CB166" s="1426" t="str">
        <f aca="false">IF(ISNUMBER($AW166*BB166),$AW166*BB166,"")</f>
        <v/>
      </c>
      <c r="CC166" s="1426" t="str">
        <f aca="false">IF(ISNUMBER($AX166*BC166),$AX166*BC166,"")</f>
        <v/>
      </c>
      <c r="CD166" s="1426" t="str">
        <f aca="false">IF(ISNUMBER($AW166*BD166),$AW166*BD166,"")</f>
        <v/>
      </c>
      <c r="CE166" s="1426" t="str">
        <f aca="false">IF(ISNUMBER($AX166*BE166),$AX166*BE166,"")</f>
        <v/>
      </c>
      <c r="CF166" s="1372" t="str">
        <f aca="false">IF(ISNUMBER($AW166*BF166),$AW166*BF166,"")</f>
        <v/>
      </c>
      <c r="CG166" s="1372" t="str">
        <f aca="false">IF(ISNUMBER($AX166*BG166),$AX166*BG166,"")</f>
        <v/>
      </c>
      <c r="CH166" s="1438"/>
      <c r="CI166" s="1438"/>
      <c r="CJ166" s="1438"/>
      <c r="CK166" s="1438"/>
      <c r="CU166" s="1411"/>
      <c r="CV166" s="1411"/>
      <c r="CW166" s="1425"/>
      <c r="CX166" s="1425"/>
      <c r="CY166" s="1425"/>
      <c r="CZ166" s="1425"/>
      <c r="DA166" s="1411"/>
      <c r="DB166" s="1411"/>
      <c r="DC166" s="1411"/>
      <c r="DD166" s="1411"/>
      <c r="DE166" s="1411"/>
      <c r="DF166" s="1411"/>
      <c r="DH166" s="1432"/>
      <c r="DI166" s="1432"/>
      <c r="DJ166" s="1437"/>
      <c r="DK166" s="1437"/>
      <c r="DL166" s="1437"/>
      <c r="DM166" s="1437"/>
      <c r="DN166" s="1432"/>
      <c r="DO166" s="1432"/>
      <c r="DP166" s="1432"/>
      <c r="DQ166" s="1432"/>
      <c r="DR166" s="1432"/>
      <c r="DS166" s="1432"/>
      <c r="DT166" s="1316"/>
      <c r="DU166" s="1433"/>
      <c r="DV166" s="1433"/>
      <c r="DW166" s="1433"/>
      <c r="DX166" s="1433"/>
      <c r="DY166" s="1433"/>
      <c r="DZ166" s="1433"/>
      <c r="EA166" s="1433"/>
      <c r="EB166" s="1433"/>
    </row>
    <row r="167" customFormat="false" ht="14.25" hidden="false" customHeight="false" outlineLevel="0" collapsed="false">
      <c r="A167" s="2" t="n">
        <f aca="false">'V_DATOS PAC_SGA'!R162</f>
        <v>0</v>
      </c>
      <c r="B167" s="2" t="n">
        <f aca="false">IF(I167="IV",CONCATENATE('V_DATOS PAC_SGA'!R162,"4")+0,CONCATENATE('V_DATOS PAC_SGA'!R162,"0")+0)</f>
        <v>0</v>
      </c>
      <c r="C167" s="2" t="n">
        <f aca="false">'V_DATOS PAC_SGA'!S162</f>
        <v>0</v>
      </c>
      <c r="D167" s="1409" t="n">
        <f aca="false">'V_DATOS PAC_SGA'!Y162</f>
        <v>0</v>
      </c>
      <c r="E167" s="1410" t="str">
        <f aca="false">IF('V_DATOS PAC_SGA'!AV162="","Regadio",'V_DATOS PAC_SGA'!AV162)</f>
        <v>Regadio</v>
      </c>
      <c r="F167" s="1411" t="n">
        <f aca="false">'V_DATOS PAC_SGA'!BK162</f>
        <v>0</v>
      </c>
      <c r="G167" s="1412" t="n">
        <f aca="false">'V_DATOS PAC_SGA'!AN162</f>
        <v>0</v>
      </c>
      <c r="H167" s="1413" t="str">
        <f aca="false">IF(B167&gt;0,VLOOKUP(B167,'O_MN, PE_UTA_UGM 2024'!E$3:O$419,10),"")</f>
        <v/>
      </c>
      <c r="I167" s="1359" t="n">
        <f aca="false">'V_DATOS PAC_SGA'!BV162</f>
        <v>0</v>
      </c>
      <c r="J167" s="2" t="str">
        <f aca="false">IF(AND(J$4=$G167,J$6=$F167),$D167*J$5,"")</f>
        <v/>
      </c>
      <c r="K167" s="2" t="str">
        <f aca="false">IF(AND(K$4=$G167,K$6=$F167),$D167*K$5,"")</f>
        <v/>
      </c>
      <c r="L167" s="2" t="str">
        <f aca="false">IF(AND(L$4=$G167,L$6=$F167),$D167*L$5,"")</f>
        <v/>
      </c>
      <c r="M167" s="2" t="str">
        <f aca="false">IF(AND(M$4=$G167,M$6=$F167),$D167*M$5,"")</f>
        <v/>
      </c>
      <c r="N167" s="1414" t="n">
        <f aca="false">VLOOKUP(B167,'O_MN, PE_UTA_UGM 2024'!$E$2:$K$419,IF(G167&gt;1,6,7))</f>
        <v>0</v>
      </c>
      <c r="O167" s="1434" t="str">
        <f aca="false">IF($H167=O$4,$D167*$N167,"")</f>
        <v/>
      </c>
      <c r="P167" s="1435" t="str">
        <f aca="false">IF($H167=P$4,$D167*$N167,"")</f>
        <v/>
      </c>
      <c r="Q167" s="1435" t="str">
        <f aca="false">IF($H167=Q$4,$D167*$N167,"")</f>
        <v/>
      </c>
      <c r="R167" s="1435" t="str">
        <f aca="false">IF($H167=R$4,$D167*$N167,"")</f>
        <v/>
      </c>
      <c r="S167" s="1435" t="str">
        <f aca="false">IF($H167=S$4,$D167*$N167,"")</f>
        <v/>
      </c>
      <c r="T167" s="1435" t="str">
        <f aca="false">IF($H167=T$4,$D167*$N167,"")</f>
        <v/>
      </c>
      <c r="U167" s="1436" t="str">
        <f aca="false">IF($H167=U$4,$D167*$N167,"")</f>
        <v/>
      </c>
      <c r="V167" s="1418"/>
      <c r="W167" s="1419"/>
      <c r="X167" s="1419"/>
      <c r="Y167" s="1419"/>
      <c r="Z167" s="1419"/>
      <c r="AA167" s="1419"/>
      <c r="AB167" s="1420"/>
      <c r="AC167" s="1319"/>
      <c r="AD167" s="2" t="str">
        <f aca="false">IF(AND(AD$4=$G167,AD$6=$F167),$B167,"")</f>
        <v/>
      </c>
      <c r="AE167" s="2" t="str">
        <f aca="false">IF(AND(AE$4=$G167,AE$6=$F167),$B167,"")</f>
        <v/>
      </c>
      <c r="AF167" s="2" t="str">
        <f aca="false">IF(AND(AF$4=$G167,AF$6=$F167),$B167,"")</f>
        <v/>
      </c>
      <c r="AG167" s="2" t="str">
        <f aca="false">IF(AND(AG$4=$G167,AG$6=$F167),$B167,"")</f>
        <v/>
      </c>
      <c r="AI167" s="366"/>
      <c r="AL167" s="367"/>
      <c r="AO167" s="367"/>
      <c r="AP167" s="2" t="str">
        <f aca="false">IF(AT167&gt;0,RANK(AT167,AT$7:AT$423),"")</f>
        <v/>
      </c>
      <c r="AQ167" s="2" t="n">
        <f aca="false">'O_MN, PE_UTA_UGM 2024'!C163</f>
        <v>179</v>
      </c>
      <c r="AR167" s="1421" t="n">
        <v>1779</v>
      </c>
      <c r="AS167" s="2" t="str">
        <f aca="false">IF(AY167&lt;&gt;"",AY167,"")</f>
        <v/>
      </c>
      <c r="AT167" s="1422" t="n">
        <f aca="false">IF(ISNUMBER($AR167),SUMIF(B$7:B$505,AR167,D$7:D$505),"")</f>
        <v>0</v>
      </c>
      <c r="AU167" s="1411" t="n">
        <f aca="false">IF(ISNUMBER($AR167),SUMIF(AD$7:AD$503,$AR167,J$7:J$503),"")</f>
        <v>0</v>
      </c>
      <c r="AV167" s="1411" t="n">
        <f aca="false">IF(ISNUMBER($AR167),SUMIF(AF$7:AF$503,$AR167,L$7:L$503),"")</f>
        <v>0</v>
      </c>
      <c r="AW167" s="1423" t="n">
        <f aca="false">IF(ISNUMBER($AR167),SUMIF(AE$7:AE$503,$AR167,K$7:K$503),"")</f>
        <v>0</v>
      </c>
      <c r="AX167" s="1423" t="n">
        <f aca="false">IF(ISNUMBER($AR167),SUMIF(AG$7:AG$503,$AR167,M$7:M$503),"")</f>
        <v>0</v>
      </c>
      <c r="AY167" s="2" t="str">
        <f aca="false">IF($AT167&gt;0,VLOOKUP($AR167,'O_MN, PE_UTA_UGM 2024'!E163:O579,2),"")</f>
        <v/>
      </c>
      <c r="AZ167" s="1424"/>
      <c r="BA167" s="1424"/>
      <c r="BB167" s="1424" t="str">
        <f aca="false">IF($AT167&gt;0,VLOOKUP($AR167,'O_MN, PE_UTA_UGM 2024'!$E$3:$O$419,BB$6),"")</f>
        <v/>
      </c>
      <c r="BC167" s="1424" t="str">
        <f aca="false">IF($AT167&gt;0,VLOOKUP($AR167,'O_MN, PE_UTA_UGM 2024'!$E$3:$O$419,BC$6),"")</f>
        <v/>
      </c>
      <c r="BD167" s="1424" t="str">
        <f aca="false">IF($AT167&gt;0,VLOOKUP($AR167,'O_MN, PE_UTA_UGM 2024'!$E$3:$O$419,BD$6),"")</f>
        <v/>
      </c>
      <c r="BE167" s="1424" t="str">
        <f aca="false">IF($AT167&gt;0,VLOOKUP($AR167,'O_MN, PE_UTA_UGM 2024'!$E$3:$O$419,BE$6),"")</f>
        <v/>
      </c>
      <c r="BF167" s="1424" t="str">
        <f aca="false">IF($AT167&gt;0,VLOOKUP($AR167,'O_MN, PE_UTA_UGM 2024'!$E$3:$O$419,BF$6),"")</f>
        <v/>
      </c>
      <c r="BG167" s="1424" t="str">
        <f aca="false">IF($AT167&gt;0,VLOOKUP($AR167,'O_MN, PE_UTA_UGM 2024'!$E$3:$O$419,BG$6),"")</f>
        <v/>
      </c>
      <c r="BH167" s="872"/>
      <c r="BI167" s="872"/>
      <c r="BJ167" s="872"/>
      <c r="BK167" s="872"/>
      <c r="BM167" s="1411"/>
      <c r="BN167" s="1411"/>
      <c r="BO167" s="1425" t="str">
        <f aca="false">IF(ISNUMBER($AU167*BB167*1),$AU167*BB167*1,"")</f>
        <v/>
      </c>
      <c r="BP167" s="1425" t="str">
        <f aca="false">IF(ISNUMBER($AV167*BC167*1),$AV167*BC167*1,"")</f>
        <v/>
      </c>
      <c r="BQ167" s="1425" t="str">
        <f aca="false">IF(ISNUMBER($AU167*BD167*1),$AU167*BD167*1,"")</f>
        <v/>
      </c>
      <c r="BR167" s="1425" t="str">
        <f aca="false">IF(ISNUMBER($AV167*BE167*1),$AV167*BE167*1,"")</f>
        <v/>
      </c>
      <c r="BS167" s="1411" t="str">
        <f aca="false">IF(ISNUMBER($AU167*BF167),$AU167*BF167,"")</f>
        <v/>
      </c>
      <c r="BT167" s="1411" t="str">
        <f aca="false">IF(ISNUMBER($AV167*BG167),$AV167*BG167,"")</f>
        <v/>
      </c>
      <c r="BU167" s="1411"/>
      <c r="BV167" s="1411"/>
      <c r="BW167" s="1411"/>
      <c r="BX167" s="1411"/>
      <c r="BZ167" s="1372"/>
      <c r="CA167" s="1372"/>
      <c r="CB167" s="1426" t="str">
        <f aca="false">IF(ISNUMBER($AW167*BB167),$AW167*BB167,"")</f>
        <v/>
      </c>
      <c r="CC167" s="1426" t="str">
        <f aca="false">IF(ISNUMBER($AX167*BC167),$AX167*BC167,"")</f>
        <v/>
      </c>
      <c r="CD167" s="1426" t="str">
        <f aca="false">IF(ISNUMBER($AW167*BD167),$AW167*BD167,"")</f>
        <v/>
      </c>
      <c r="CE167" s="1426" t="str">
        <f aca="false">IF(ISNUMBER($AX167*BE167),$AX167*BE167,"")</f>
        <v/>
      </c>
      <c r="CF167" s="1372" t="str">
        <f aca="false">IF(ISNUMBER($AW167*BF167),$AW167*BF167,"")</f>
        <v/>
      </c>
      <c r="CG167" s="1372" t="str">
        <f aca="false">IF(ISNUMBER($AX167*BG167),$AX167*BG167,"")</f>
        <v/>
      </c>
      <c r="CH167" s="1438"/>
      <c r="CI167" s="1438"/>
      <c r="CJ167" s="1438"/>
      <c r="CK167" s="1438"/>
      <c r="CU167" s="1411"/>
      <c r="CV167" s="1411"/>
      <c r="CW167" s="1425"/>
      <c r="CX167" s="1425"/>
      <c r="CY167" s="1425"/>
      <c r="CZ167" s="1425"/>
      <c r="DA167" s="1411"/>
      <c r="DB167" s="1411"/>
      <c r="DC167" s="1411"/>
      <c r="DD167" s="1411"/>
      <c r="DE167" s="1411"/>
      <c r="DF167" s="1411"/>
      <c r="DH167" s="1432"/>
      <c r="DI167" s="1432"/>
      <c r="DJ167" s="1437"/>
      <c r="DK167" s="1437"/>
      <c r="DL167" s="1437"/>
      <c r="DM167" s="1437"/>
      <c r="DN167" s="1432"/>
      <c r="DO167" s="1432"/>
      <c r="DP167" s="1432"/>
      <c r="DQ167" s="1432"/>
      <c r="DR167" s="1432"/>
      <c r="DS167" s="1432"/>
      <c r="DT167" s="1316"/>
      <c r="DU167" s="1433"/>
      <c r="DV167" s="1433"/>
      <c r="DW167" s="1433"/>
      <c r="DX167" s="1433"/>
      <c r="DY167" s="1433"/>
      <c r="DZ167" s="1433"/>
      <c r="EA167" s="1433"/>
      <c r="EB167" s="1433"/>
    </row>
    <row r="168" customFormat="false" ht="14.25" hidden="false" customHeight="false" outlineLevel="0" collapsed="false">
      <c r="A168" s="2" t="n">
        <f aca="false">'V_DATOS PAC_SGA'!R163</f>
        <v>0</v>
      </c>
      <c r="B168" s="2" t="n">
        <f aca="false">IF(I168="IV",CONCATENATE('V_DATOS PAC_SGA'!R163,"4")+0,CONCATENATE('V_DATOS PAC_SGA'!R163,"0")+0)</f>
        <v>0</v>
      </c>
      <c r="C168" s="2" t="n">
        <f aca="false">'V_DATOS PAC_SGA'!S163</f>
        <v>0</v>
      </c>
      <c r="D168" s="1409" t="n">
        <f aca="false">'V_DATOS PAC_SGA'!Y163</f>
        <v>0</v>
      </c>
      <c r="E168" s="1410" t="str">
        <f aca="false">IF('V_DATOS PAC_SGA'!AV163="","Regadio",'V_DATOS PAC_SGA'!AV163)</f>
        <v>Regadio</v>
      </c>
      <c r="F168" s="1411" t="n">
        <f aca="false">'V_DATOS PAC_SGA'!BK163</f>
        <v>0</v>
      </c>
      <c r="G168" s="1412" t="n">
        <f aca="false">'V_DATOS PAC_SGA'!AN163</f>
        <v>0</v>
      </c>
      <c r="H168" s="1413" t="str">
        <f aca="false">IF(B168&gt;0,VLOOKUP(B168,'O_MN, PE_UTA_UGM 2024'!E$3:O$419,10),"")</f>
        <v/>
      </c>
      <c r="I168" s="1359" t="n">
        <f aca="false">'V_DATOS PAC_SGA'!BV163</f>
        <v>0</v>
      </c>
      <c r="J168" s="2" t="str">
        <f aca="false">IF(AND(J$4=$G168,J$6=$F168),$D168*J$5,"")</f>
        <v/>
      </c>
      <c r="K168" s="2" t="str">
        <f aca="false">IF(AND(K$4=$G168,K$6=$F168),$D168*K$5,"")</f>
        <v/>
      </c>
      <c r="L168" s="2" t="str">
        <f aca="false">IF(AND(L$4=$G168,L$6=$F168),$D168*L$5,"")</f>
        <v/>
      </c>
      <c r="M168" s="2" t="str">
        <f aca="false">IF(AND(M$4=$G168,M$6=$F168),$D168*M$5,"")</f>
        <v/>
      </c>
      <c r="N168" s="1414" t="n">
        <f aca="false">VLOOKUP(B168,'O_MN, PE_UTA_UGM 2024'!$E$2:$K$419,IF(G168&gt;1,6,7))</f>
        <v>0</v>
      </c>
      <c r="O168" s="1434" t="str">
        <f aca="false">IF($H168=O$4,$D168*$N168,"")</f>
        <v/>
      </c>
      <c r="P168" s="1435" t="str">
        <f aca="false">IF($H168=P$4,$D168*$N168,"")</f>
        <v/>
      </c>
      <c r="Q168" s="1435" t="str">
        <f aca="false">IF($H168=Q$4,$D168*$N168,"")</f>
        <v/>
      </c>
      <c r="R168" s="1435" t="str">
        <f aca="false">IF($H168=R$4,$D168*$N168,"")</f>
        <v/>
      </c>
      <c r="S168" s="1435" t="str">
        <f aca="false">IF($H168=S$4,$D168*$N168,"")</f>
        <v/>
      </c>
      <c r="T168" s="1435" t="str">
        <f aca="false">IF($H168=T$4,$D168*$N168,"")</f>
        <v/>
      </c>
      <c r="U168" s="1436" t="str">
        <f aca="false">IF($H168=U$4,$D168*$N168,"")</f>
        <v/>
      </c>
      <c r="V168" s="1418"/>
      <c r="W168" s="1419"/>
      <c r="X168" s="1419"/>
      <c r="Y168" s="1419"/>
      <c r="Z168" s="1419"/>
      <c r="AA168" s="1419"/>
      <c r="AB168" s="1420"/>
      <c r="AC168" s="1319"/>
      <c r="AD168" s="2" t="str">
        <f aca="false">IF(AND(AD$4=$G168,AD$6=$F168),$B168,"")</f>
        <v/>
      </c>
      <c r="AE168" s="2" t="str">
        <f aca="false">IF(AND(AE$4=$G168,AE$6=$F168),$B168,"")</f>
        <v/>
      </c>
      <c r="AF168" s="2" t="str">
        <f aca="false">IF(AND(AF$4=$G168,AF$6=$F168),$B168,"")</f>
        <v/>
      </c>
      <c r="AG168" s="2" t="str">
        <f aca="false">IF(AND(AG$4=$G168,AG$6=$F168),$B168,"")</f>
        <v/>
      </c>
      <c r="AI168" s="366"/>
      <c r="AL168" s="367"/>
      <c r="AO168" s="367"/>
      <c r="AP168" s="2" t="str">
        <f aca="false">IF(AT168&gt;0,RANK(AT168,AT$7:AT$423),"")</f>
        <v/>
      </c>
      <c r="AQ168" s="2" t="n">
        <f aca="false">'O_MN, PE_UTA_UGM 2024'!C164</f>
        <v>179</v>
      </c>
      <c r="AR168" s="1421" t="n">
        <v>1780</v>
      </c>
      <c r="AS168" s="2" t="str">
        <f aca="false">IF(AY168&lt;&gt;"",AY168,"")</f>
        <v/>
      </c>
      <c r="AT168" s="1422" t="n">
        <f aca="false">IF(ISNUMBER($AR168),SUMIF(B$7:B$505,AR168,D$7:D$505),"")</f>
        <v>0</v>
      </c>
      <c r="AU168" s="1411" t="n">
        <f aca="false">IF(ISNUMBER($AR168),SUMIF(AD$7:AD$503,$AR168,J$7:J$503),"")</f>
        <v>0</v>
      </c>
      <c r="AV168" s="1411" t="n">
        <f aca="false">IF(ISNUMBER($AR168),SUMIF(AF$7:AF$503,$AR168,L$7:L$503),"")</f>
        <v>0</v>
      </c>
      <c r="AW168" s="1423" t="n">
        <f aca="false">IF(ISNUMBER($AR168),SUMIF(AE$7:AE$503,$AR168,K$7:K$503),"")</f>
        <v>0</v>
      </c>
      <c r="AX168" s="1423" t="n">
        <f aca="false">IF(ISNUMBER($AR168),SUMIF(AG$7:AG$503,$AR168,M$7:M$503),"")</f>
        <v>0</v>
      </c>
      <c r="AY168" s="2" t="str">
        <f aca="false">IF($AT168&gt;0,VLOOKUP($AR168,'O_MN, PE_UTA_UGM 2024'!E164:O580,2),"")</f>
        <v/>
      </c>
      <c r="AZ168" s="1424"/>
      <c r="BA168" s="1424"/>
      <c r="BB168" s="1424" t="str">
        <f aca="false">IF($AT168&gt;0,VLOOKUP($AR168,'O_MN, PE_UTA_UGM 2024'!$E$3:$O$419,BB$6),"")</f>
        <v/>
      </c>
      <c r="BC168" s="1424" t="str">
        <f aca="false">IF($AT168&gt;0,VLOOKUP($AR168,'O_MN, PE_UTA_UGM 2024'!$E$3:$O$419,BC$6),"")</f>
        <v/>
      </c>
      <c r="BD168" s="1424" t="str">
        <f aca="false">IF($AT168&gt;0,VLOOKUP($AR168,'O_MN, PE_UTA_UGM 2024'!$E$3:$O$419,BD$6),"")</f>
        <v/>
      </c>
      <c r="BE168" s="1424" t="str">
        <f aca="false">IF($AT168&gt;0,VLOOKUP($AR168,'O_MN, PE_UTA_UGM 2024'!$E$3:$O$419,BE$6),"")</f>
        <v/>
      </c>
      <c r="BF168" s="1424" t="str">
        <f aca="false">IF($AT168&gt;0,VLOOKUP($AR168,'O_MN, PE_UTA_UGM 2024'!$E$3:$O$419,BF$6),"")</f>
        <v/>
      </c>
      <c r="BG168" s="1424" t="str">
        <f aca="false">IF($AT168&gt;0,VLOOKUP($AR168,'O_MN, PE_UTA_UGM 2024'!$E$3:$O$419,BG$6),"")</f>
        <v/>
      </c>
      <c r="BH168" s="872"/>
      <c r="BI168" s="872"/>
      <c r="BJ168" s="872"/>
      <c r="BK168" s="872"/>
      <c r="BM168" s="1411"/>
      <c r="BN168" s="1411"/>
      <c r="BO168" s="1425" t="str">
        <f aca="false">IF(ISNUMBER($AU168*BB168*1),$AU168*BB168*1,"")</f>
        <v/>
      </c>
      <c r="BP168" s="1425" t="str">
        <f aca="false">IF(ISNUMBER($AV168*BC168*1),$AV168*BC168*1,"")</f>
        <v/>
      </c>
      <c r="BQ168" s="1425" t="str">
        <f aca="false">IF(ISNUMBER($AU168*BD168*1),$AU168*BD168*1,"")</f>
        <v/>
      </c>
      <c r="BR168" s="1425" t="str">
        <f aca="false">IF(ISNUMBER($AV168*BE168*1),$AV168*BE168*1,"")</f>
        <v/>
      </c>
      <c r="BS168" s="1411" t="str">
        <f aca="false">IF(ISNUMBER($AU168*BF168),$AU168*BF168,"")</f>
        <v/>
      </c>
      <c r="BT168" s="1411" t="str">
        <f aca="false">IF(ISNUMBER($AV168*BG168),$AV168*BG168,"")</f>
        <v/>
      </c>
      <c r="BU168" s="1411"/>
      <c r="BV168" s="1411"/>
      <c r="BW168" s="1411"/>
      <c r="BX168" s="1411"/>
      <c r="BZ168" s="1372"/>
      <c r="CA168" s="1372"/>
      <c r="CB168" s="1426" t="str">
        <f aca="false">IF(ISNUMBER($AW168*BB168),$AW168*BB168,"")</f>
        <v/>
      </c>
      <c r="CC168" s="1426" t="str">
        <f aca="false">IF(ISNUMBER($AX168*BC168),$AX168*BC168,"")</f>
        <v/>
      </c>
      <c r="CD168" s="1426" t="str">
        <f aca="false">IF(ISNUMBER($AW168*BD168),$AW168*BD168,"")</f>
        <v/>
      </c>
      <c r="CE168" s="1426" t="str">
        <f aca="false">IF(ISNUMBER($AX168*BE168),$AX168*BE168,"")</f>
        <v/>
      </c>
      <c r="CF168" s="1372" t="str">
        <f aca="false">IF(ISNUMBER($AW168*BF168),$AW168*BF168,"")</f>
        <v/>
      </c>
      <c r="CG168" s="1372" t="str">
        <f aca="false">IF(ISNUMBER($AX168*BG168),$AX168*BG168,"")</f>
        <v/>
      </c>
      <c r="CH168" s="1438"/>
      <c r="CI168" s="1438"/>
      <c r="CJ168" s="1438"/>
      <c r="CK168" s="1438"/>
      <c r="CU168" s="1411"/>
      <c r="CV168" s="1411"/>
      <c r="CW168" s="1425"/>
      <c r="CX168" s="1425"/>
      <c r="CY168" s="1425"/>
      <c r="CZ168" s="1425"/>
      <c r="DA168" s="1411"/>
      <c r="DB168" s="1411"/>
      <c r="DC168" s="1411"/>
      <c r="DD168" s="1411"/>
      <c r="DE168" s="1411"/>
      <c r="DF168" s="1411"/>
      <c r="DH168" s="1432"/>
      <c r="DI168" s="1432"/>
      <c r="DJ168" s="1437"/>
      <c r="DK168" s="1437"/>
      <c r="DL168" s="1437"/>
      <c r="DM168" s="1437"/>
      <c r="DN168" s="1432"/>
      <c r="DO168" s="1432"/>
      <c r="DP168" s="1432"/>
      <c r="DQ168" s="1432"/>
      <c r="DR168" s="1432"/>
      <c r="DS168" s="1432"/>
      <c r="DT168" s="1316"/>
      <c r="DU168" s="1433"/>
      <c r="DV168" s="1433"/>
      <c r="DW168" s="1433"/>
      <c r="DX168" s="1433"/>
      <c r="DY168" s="1433"/>
      <c r="DZ168" s="1433"/>
      <c r="EA168" s="1433"/>
      <c r="EB168" s="1433"/>
    </row>
    <row r="169" customFormat="false" ht="14.25" hidden="false" customHeight="false" outlineLevel="0" collapsed="false">
      <c r="A169" s="2" t="n">
        <f aca="false">'V_DATOS PAC_SGA'!R164</f>
        <v>0</v>
      </c>
      <c r="B169" s="2" t="n">
        <f aca="false">IF(I169="IV",CONCATENATE('V_DATOS PAC_SGA'!R164,"4")+0,CONCATENATE('V_DATOS PAC_SGA'!R164,"0")+0)</f>
        <v>0</v>
      </c>
      <c r="C169" s="2" t="n">
        <f aca="false">'V_DATOS PAC_SGA'!S164</f>
        <v>0</v>
      </c>
      <c r="D169" s="1409" t="n">
        <f aca="false">'V_DATOS PAC_SGA'!Y164</f>
        <v>0</v>
      </c>
      <c r="E169" s="1410" t="str">
        <f aca="false">IF('V_DATOS PAC_SGA'!AV164="","Regadio",'V_DATOS PAC_SGA'!AV164)</f>
        <v>Regadio</v>
      </c>
      <c r="F169" s="1411" t="n">
        <f aca="false">'V_DATOS PAC_SGA'!BK164</f>
        <v>0</v>
      </c>
      <c r="G169" s="1412" t="n">
        <f aca="false">'V_DATOS PAC_SGA'!AN164</f>
        <v>0</v>
      </c>
      <c r="H169" s="1413" t="str">
        <f aca="false">IF(B169&gt;0,VLOOKUP(B169,'O_MN, PE_UTA_UGM 2024'!E$3:O$419,10),"")</f>
        <v/>
      </c>
      <c r="I169" s="1359" t="n">
        <f aca="false">'V_DATOS PAC_SGA'!BV164</f>
        <v>0</v>
      </c>
      <c r="J169" s="2" t="str">
        <f aca="false">IF(AND(J$4=$G169,J$6=$F169),$D169*J$5,"")</f>
        <v/>
      </c>
      <c r="K169" s="2" t="str">
        <f aca="false">IF(AND(K$4=$G169,K$6=$F169),$D169*K$5,"")</f>
        <v/>
      </c>
      <c r="L169" s="2" t="str">
        <f aca="false">IF(AND(L$4=$G169,L$6=$F169),$D169*L$5,"")</f>
        <v/>
      </c>
      <c r="M169" s="2" t="str">
        <f aca="false">IF(AND(M$4=$G169,M$6=$F169),$D169*M$5,"")</f>
        <v/>
      </c>
      <c r="N169" s="1414" t="n">
        <f aca="false">VLOOKUP(B169,'O_MN, PE_UTA_UGM 2024'!$E$2:$K$419,IF(G169&gt;1,6,7))</f>
        <v>0</v>
      </c>
      <c r="O169" s="1434" t="str">
        <f aca="false">IF($H169=O$4,$D169*$N169,"")</f>
        <v/>
      </c>
      <c r="P169" s="1435" t="str">
        <f aca="false">IF($H169=P$4,$D169*$N169,"")</f>
        <v/>
      </c>
      <c r="Q169" s="1435" t="str">
        <f aca="false">IF($H169=Q$4,$D169*$N169,"")</f>
        <v/>
      </c>
      <c r="R169" s="1435" t="str">
        <f aca="false">IF($H169=R$4,$D169*$N169,"")</f>
        <v/>
      </c>
      <c r="S169" s="1435" t="str">
        <f aca="false">IF($H169=S$4,$D169*$N169,"")</f>
        <v/>
      </c>
      <c r="T169" s="1435" t="str">
        <f aca="false">IF($H169=T$4,$D169*$N169,"")</f>
        <v/>
      </c>
      <c r="U169" s="1436" t="str">
        <f aca="false">IF($H169=U$4,$D169*$N169,"")</f>
        <v/>
      </c>
      <c r="V169" s="1418"/>
      <c r="W169" s="1419"/>
      <c r="X169" s="1419"/>
      <c r="Y169" s="1419"/>
      <c r="Z169" s="1419"/>
      <c r="AA169" s="1419"/>
      <c r="AB169" s="1420"/>
      <c r="AC169" s="1319"/>
      <c r="AD169" s="2" t="str">
        <f aca="false">IF(AND(AD$4=$G169,AD$6=$F169),$B169,"")</f>
        <v/>
      </c>
      <c r="AE169" s="2" t="str">
        <f aca="false">IF(AND(AE$4=$G169,AE$6=$F169),$B169,"")</f>
        <v/>
      </c>
      <c r="AF169" s="2" t="str">
        <f aca="false">IF(AND(AF$4=$G169,AF$6=$F169),$B169,"")</f>
        <v/>
      </c>
      <c r="AG169" s="2" t="str">
        <f aca="false">IF(AND(AG$4=$G169,AG$6=$F169),$B169,"")</f>
        <v/>
      </c>
      <c r="AI169" s="366"/>
      <c r="AL169" s="367"/>
      <c r="AO169" s="367"/>
      <c r="AP169" s="2" t="str">
        <f aca="false">IF(AT169&gt;0,RANK(AT169,AT$7:AT$423),"")</f>
        <v/>
      </c>
      <c r="AQ169" s="2" t="n">
        <f aca="false">'O_MN, PE_UTA_UGM 2024'!C165</f>
        <v>179</v>
      </c>
      <c r="AR169" s="1421" t="n">
        <v>1784</v>
      </c>
      <c r="AS169" s="2" t="str">
        <f aca="false">IF(AY169&lt;&gt;"",AY169,"")</f>
        <v/>
      </c>
      <c r="AT169" s="1422" t="n">
        <f aca="false">IF(ISNUMBER($AR169),SUMIF(B$7:B$505,AR169,D$7:D$505),"")</f>
        <v>0</v>
      </c>
      <c r="AU169" s="1411" t="n">
        <f aca="false">IF(ISNUMBER($AR169),SUMIF(AD$7:AD$503,$AR169,J$7:J$503),"")</f>
        <v>0</v>
      </c>
      <c r="AV169" s="1411" t="n">
        <f aca="false">IF(ISNUMBER($AR169),SUMIF(AF$7:AF$503,$AR169,L$7:L$503),"")</f>
        <v>0</v>
      </c>
      <c r="AW169" s="1423" t="n">
        <f aca="false">IF(ISNUMBER($AR169),SUMIF(AE$7:AE$503,$AR169,K$7:K$503),"")</f>
        <v>0</v>
      </c>
      <c r="AX169" s="1423" t="n">
        <f aca="false">IF(ISNUMBER($AR169),SUMIF(AG$7:AG$503,$AR169,M$7:M$503),"")</f>
        <v>0</v>
      </c>
      <c r="AY169" s="2" t="str">
        <f aca="false">IF($AT169&gt;0,VLOOKUP($AR169,'O_MN, PE_UTA_UGM 2024'!E165:O581,2),"")</f>
        <v/>
      </c>
      <c r="AZ169" s="1424"/>
      <c r="BA169" s="1424"/>
      <c r="BB169" s="1424" t="str">
        <f aca="false">IF($AT169&gt;0,VLOOKUP($AR169,'O_MN, PE_UTA_UGM 2024'!$E$3:$O$419,BB$6),"")</f>
        <v/>
      </c>
      <c r="BC169" s="1424" t="str">
        <f aca="false">IF($AT169&gt;0,VLOOKUP($AR169,'O_MN, PE_UTA_UGM 2024'!$E$3:$O$419,BC$6),"")</f>
        <v/>
      </c>
      <c r="BD169" s="1424" t="str">
        <f aca="false">IF($AT169&gt;0,VLOOKUP($AR169,'O_MN, PE_UTA_UGM 2024'!$E$3:$O$419,BD$6),"")</f>
        <v/>
      </c>
      <c r="BE169" s="1424" t="str">
        <f aca="false">IF($AT169&gt;0,VLOOKUP($AR169,'O_MN, PE_UTA_UGM 2024'!$E$3:$O$419,BE$6),"")</f>
        <v/>
      </c>
      <c r="BF169" s="1424" t="str">
        <f aca="false">IF($AT169&gt;0,VLOOKUP($AR169,'O_MN, PE_UTA_UGM 2024'!$E$3:$O$419,BF$6),"")</f>
        <v/>
      </c>
      <c r="BG169" s="1424" t="str">
        <f aca="false">IF($AT169&gt;0,VLOOKUP($AR169,'O_MN, PE_UTA_UGM 2024'!$E$3:$O$419,BG$6),"")</f>
        <v/>
      </c>
      <c r="BH169" s="872"/>
      <c r="BI169" s="872"/>
      <c r="BJ169" s="872"/>
      <c r="BK169" s="872"/>
      <c r="BM169" s="1411"/>
      <c r="BN169" s="1411"/>
      <c r="BO169" s="1425" t="str">
        <f aca="false">IF(ISNUMBER($AU169*BB169*1),$AU169*BB169*1,"")</f>
        <v/>
      </c>
      <c r="BP169" s="1425" t="str">
        <f aca="false">IF(ISNUMBER($AV169*BC169*1),$AV169*BC169*1,"")</f>
        <v/>
      </c>
      <c r="BQ169" s="1425" t="str">
        <f aca="false">IF(ISNUMBER($AU169*BD169*1),$AU169*BD169*1,"")</f>
        <v/>
      </c>
      <c r="BR169" s="1425" t="str">
        <f aca="false">IF(ISNUMBER($AV169*BE169*1),$AV169*BE169*1,"")</f>
        <v/>
      </c>
      <c r="BS169" s="1411" t="str">
        <f aca="false">IF(ISNUMBER($AU169*BF169),$AU169*BF169,"")</f>
        <v/>
      </c>
      <c r="BT169" s="1411" t="str">
        <f aca="false">IF(ISNUMBER($AV169*BG169),$AV169*BG169,"")</f>
        <v/>
      </c>
      <c r="BU169" s="1411"/>
      <c r="BV169" s="1411"/>
      <c r="BW169" s="1411"/>
      <c r="BX169" s="1411"/>
      <c r="BZ169" s="1372"/>
      <c r="CA169" s="1372"/>
      <c r="CB169" s="1426" t="str">
        <f aca="false">IF(ISNUMBER($AW169*BB169),$AW169*BB169,"")</f>
        <v/>
      </c>
      <c r="CC169" s="1426" t="str">
        <f aca="false">IF(ISNUMBER($AX169*BC169),$AX169*BC169,"")</f>
        <v/>
      </c>
      <c r="CD169" s="1426" t="str">
        <f aca="false">IF(ISNUMBER($AW169*BD169),$AW169*BD169,"")</f>
        <v/>
      </c>
      <c r="CE169" s="1426" t="str">
        <f aca="false">IF(ISNUMBER($AX169*BE169),$AX169*BE169,"")</f>
        <v/>
      </c>
      <c r="CF169" s="1372" t="str">
        <f aca="false">IF(ISNUMBER($AW169*BF169),$AW169*BF169,"")</f>
        <v/>
      </c>
      <c r="CG169" s="1372" t="str">
        <f aca="false">IF(ISNUMBER($AX169*BG169),$AX169*BG169,"")</f>
        <v/>
      </c>
      <c r="CH169" s="1438"/>
      <c r="CI169" s="1438"/>
      <c r="CJ169" s="1438"/>
      <c r="CK169" s="1438"/>
      <c r="CU169" s="1411"/>
      <c r="CV169" s="1411"/>
      <c r="CW169" s="1425"/>
      <c r="CX169" s="1425"/>
      <c r="CY169" s="1425"/>
      <c r="CZ169" s="1425"/>
      <c r="DA169" s="1411"/>
      <c r="DB169" s="1411"/>
      <c r="DC169" s="1411"/>
      <c r="DD169" s="1411"/>
      <c r="DE169" s="1411"/>
      <c r="DF169" s="1411"/>
      <c r="DH169" s="1432"/>
      <c r="DI169" s="1432"/>
      <c r="DJ169" s="1437"/>
      <c r="DK169" s="1437"/>
      <c r="DL169" s="1437"/>
      <c r="DM169" s="1437"/>
      <c r="DN169" s="1432"/>
      <c r="DO169" s="1432"/>
      <c r="DP169" s="1432"/>
      <c r="DQ169" s="1432"/>
      <c r="DR169" s="1432"/>
      <c r="DS169" s="1432"/>
      <c r="DT169" s="1316"/>
      <c r="DU169" s="1433"/>
      <c r="DV169" s="1433"/>
      <c r="DW169" s="1433"/>
      <c r="DX169" s="1433"/>
      <c r="DY169" s="1433"/>
      <c r="DZ169" s="1433"/>
      <c r="EA169" s="1433"/>
      <c r="EB169" s="1433"/>
    </row>
    <row r="170" customFormat="false" ht="14.25" hidden="false" customHeight="false" outlineLevel="0" collapsed="false">
      <c r="A170" s="2" t="n">
        <f aca="false">'V_DATOS PAC_SGA'!R165</f>
        <v>0</v>
      </c>
      <c r="B170" s="2" t="n">
        <f aca="false">IF(I170="IV",CONCATENATE('V_DATOS PAC_SGA'!R165,"4")+0,CONCATENATE('V_DATOS PAC_SGA'!R165,"0")+0)</f>
        <v>0</v>
      </c>
      <c r="C170" s="2" t="n">
        <f aca="false">'V_DATOS PAC_SGA'!S165</f>
        <v>0</v>
      </c>
      <c r="D170" s="1409" t="n">
        <f aca="false">'V_DATOS PAC_SGA'!Y165</f>
        <v>0</v>
      </c>
      <c r="E170" s="1410" t="str">
        <f aca="false">IF('V_DATOS PAC_SGA'!AV165="","Regadio",'V_DATOS PAC_SGA'!AV165)</f>
        <v>Regadio</v>
      </c>
      <c r="F170" s="1411" t="n">
        <f aca="false">'V_DATOS PAC_SGA'!BK165</f>
        <v>0</v>
      </c>
      <c r="G170" s="1412" t="n">
        <f aca="false">'V_DATOS PAC_SGA'!AN165</f>
        <v>0</v>
      </c>
      <c r="H170" s="1413" t="str">
        <f aca="false">IF(B170&gt;0,VLOOKUP(B170,'O_MN, PE_UTA_UGM 2024'!E$3:O$419,10),"")</f>
        <v/>
      </c>
      <c r="I170" s="1359" t="n">
        <f aca="false">'V_DATOS PAC_SGA'!BV165</f>
        <v>0</v>
      </c>
      <c r="J170" s="2" t="str">
        <f aca="false">IF(AND(J$4=$G170,J$6=$F170),$D170*J$5,"")</f>
        <v/>
      </c>
      <c r="K170" s="2" t="str">
        <f aca="false">IF(AND(K$4=$G170,K$6=$F170),$D170*K$5,"")</f>
        <v/>
      </c>
      <c r="L170" s="2" t="str">
        <f aca="false">IF(AND(L$4=$G170,L$6=$F170),$D170*L$5,"")</f>
        <v/>
      </c>
      <c r="M170" s="2" t="str">
        <f aca="false">IF(AND(M$4=$G170,M$6=$F170),$D170*M$5,"")</f>
        <v/>
      </c>
      <c r="N170" s="1414" t="n">
        <f aca="false">VLOOKUP(B170,'O_MN, PE_UTA_UGM 2024'!$E$2:$K$419,IF(G170&gt;1,6,7))</f>
        <v>0</v>
      </c>
      <c r="O170" s="1434" t="str">
        <f aca="false">IF($H170=O$4,$D170*$N170,"")</f>
        <v/>
      </c>
      <c r="P170" s="1435" t="str">
        <f aca="false">IF($H170=P$4,$D170*$N170,"")</f>
        <v/>
      </c>
      <c r="Q170" s="1435" t="str">
        <f aca="false">IF($H170=Q$4,$D170*$N170,"")</f>
        <v/>
      </c>
      <c r="R170" s="1435" t="str">
        <f aca="false">IF($H170=R$4,$D170*$N170,"")</f>
        <v/>
      </c>
      <c r="S170" s="1435" t="str">
        <f aca="false">IF($H170=S$4,$D170*$N170,"")</f>
        <v/>
      </c>
      <c r="T170" s="1435" t="str">
        <f aca="false">IF($H170=T$4,$D170*$N170,"")</f>
        <v/>
      </c>
      <c r="U170" s="1436" t="str">
        <f aca="false">IF($H170=U$4,$D170*$N170,"")</f>
        <v/>
      </c>
      <c r="V170" s="1418"/>
      <c r="W170" s="1419"/>
      <c r="X170" s="1419"/>
      <c r="Y170" s="1419"/>
      <c r="Z170" s="1419"/>
      <c r="AA170" s="1419"/>
      <c r="AB170" s="1420"/>
      <c r="AC170" s="1319"/>
      <c r="AD170" s="2" t="str">
        <f aca="false">IF(AND(AD$4=$G170,AD$6=$F170),$B170,"")</f>
        <v/>
      </c>
      <c r="AE170" s="2" t="str">
        <f aca="false">IF(AND(AE$4=$G170,AE$6=$F170),$B170,"")</f>
        <v/>
      </c>
      <c r="AF170" s="2" t="str">
        <f aca="false">IF(AND(AF$4=$G170,AF$6=$F170),$B170,"")</f>
        <v/>
      </c>
      <c r="AG170" s="2" t="str">
        <f aca="false">IF(AND(AG$4=$G170,AG$6=$F170),$B170,"")</f>
        <v/>
      </c>
      <c r="AI170" s="366"/>
      <c r="AL170" s="367"/>
      <c r="AO170" s="367"/>
      <c r="AP170" s="2" t="str">
        <f aca="false">IF(AT170&gt;0,RANK(AT170,AT$7:AT$423),"")</f>
        <v/>
      </c>
      <c r="AQ170" s="2" t="n">
        <f aca="false">'O_MN, PE_UTA_UGM 2024'!C166</f>
        <v>181</v>
      </c>
      <c r="AR170" s="1421" t="n">
        <v>1789</v>
      </c>
      <c r="AS170" s="2" t="str">
        <f aca="false">IF(AY170&lt;&gt;"",AY170,"")</f>
        <v/>
      </c>
      <c r="AT170" s="1422" t="n">
        <f aca="false">IF(ISNUMBER($AR170),SUMIF(B$7:B$505,AR170,D$7:D$505),"")</f>
        <v>0</v>
      </c>
      <c r="AU170" s="1411" t="n">
        <f aca="false">IF(ISNUMBER($AR170),SUMIF(AD$7:AD$503,$AR170,J$7:J$503),"")</f>
        <v>0</v>
      </c>
      <c r="AV170" s="1411" t="n">
        <f aca="false">IF(ISNUMBER($AR170),SUMIF(AF$7:AF$503,$AR170,L$7:L$503),"")</f>
        <v>0</v>
      </c>
      <c r="AW170" s="1423" t="n">
        <f aca="false">IF(ISNUMBER($AR170),SUMIF(AE$7:AE$503,$AR170,K$7:K$503),"")</f>
        <v>0</v>
      </c>
      <c r="AX170" s="1423" t="n">
        <f aca="false">IF(ISNUMBER($AR170),SUMIF(AG$7:AG$503,$AR170,M$7:M$503),"")</f>
        <v>0</v>
      </c>
      <c r="AY170" s="2" t="str">
        <f aca="false">IF($AT170&gt;0,VLOOKUP($AR170,'O_MN, PE_UTA_UGM 2024'!E166:O582,2),"")</f>
        <v/>
      </c>
      <c r="AZ170" s="1424"/>
      <c r="BA170" s="1424"/>
      <c r="BB170" s="1424" t="str">
        <f aca="false">IF($AT170&gt;0,VLOOKUP($AR170,'O_MN, PE_UTA_UGM 2024'!$E$3:$O$419,BB$6),"")</f>
        <v/>
      </c>
      <c r="BC170" s="1424" t="str">
        <f aca="false">IF($AT170&gt;0,VLOOKUP($AR170,'O_MN, PE_UTA_UGM 2024'!$E$3:$O$419,BC$6),"")</f>
        <v/>
      </c>
      <c r="BD170" s="1424" t="str">
        <f aca="false">IF($AT170&gt;0,VLOOKUP($AR170,'O_MN, PE_UTA_UGM 2024'!$E$3:$O$419,BD$6),"")</f>
        <v/>
      </c>
      <c r="BE170" s="1424" t="str">
        <f aca="false">IF($AT170&gt;0,VLOOKUP($AR170,'O_MN, PE_UTA_UGM 2024'!$E$3:$O$419,BE$6),"")</f>
        <v/>
      </c>
      <c r="BF170" s="1424" t="str">
        <f aca="false">IF($AT170&gt;0,VLOOKUP($AR170,'O_MN, PE_UTA_UGM 2024'!$E$3:$O$419,BF$6),"")</f>
        <v/>
      </c>
      <c r="BG170" s="1424" t="str">
        <f aca="false">IF($AT170&gt;0,VLOOKUP($AR170,'O_MN, PE_UTA_UGM 2024'!$E$3:$O$419,BG$6),"")</f>
        <v/>
      </c>
      <c r="BH170" s="872"/>
      <c r="BI170" s="872"/>
      <c r="BJ170" s="872"/>
      <c r="BK170" s="872"/>
      <c r="BM170" s="1411"/>
      <c r="BN170" s="1411"/>
      <c r="BO170" s="1425" t="str">
        <f aca="false">IF(ISNUMBER($AU170*BB170*1),$AU170*BB170*1,"")</f>
        <v/>
      </c>
      <c r="BP170" s="1425" t="str">
        <f aca="false">IF(ISNUMBER($AV170*BC170*1),$AV170*BC170*1,"")</f>
        <v/>
      </c>
      <c r="BQ170" s="1425" t="str">
        <f aca="false">IF(ISNUMBER($AU170*BD170*1),$AU170*BD170*1,"")</f>
        <v/>
      </c>
      <c r="BR170" s="1425" t="str">
        <f aca="false">IF(ISNUMBER($AV170*BE170*1),$AV170*BE170*1,"")</f>
        <v/>
      </c>
      <c r="BS170" s="1411" t="str">
        <f aca="false">IF(ISNUMBER($AU170*BF170),$AU170*BF170,"")</f>
        <v/>
      </c>
      <c r="BT170" s="1411" t="str">
        <f aca="false">IF(ISNUMBER($AV170*BG170),$AV170*BG170,"")</f>
        <v/>
      </c>
      <c r="BU170" s="1411"/>
      <c r="BV170" s="1411"/>
      <c r="BW170" s="1411"/>
      <c r="BX170" s="1411"/>
      <c r="BZ170" s="1372"/>
      <c r="CA170" s="1372"/>
      <c r="CB170" s="1426" t="str">
        <f aca="false">IF(ISNUMBER($AW170*BB170),$AW170*BB170,"")</f>
        <v/>
      </c>
      <c r="CC170" s="1426" t="str">
        <f aca="false">IF(ISNUMBER($AX170*BC170),$AX170*BC170,"")</f>
        <v/>
      </c>
      <c r="CD170" s="1426" t="str">
        <f aca="false">IF(ISNUMBER($AW170*BD170),$AW170*BD170,"")</f>
        <v/>
      </c>
      <c r="CE170" s="1426" t="str">
        <f aca="false">IF(ISNUMBER($AX170*BE170),$AX170*BE170,"")</f>
        <v/>
      </c>
      <c r="CF170" s="1372" t="str">
        <f aca="false">IF(ISNUMBER($AW170*BF170),$AW170*BF170,"")</f>
        <v/>
      </c>
      <c r="CG170" s="1372" t="str">
        <f aca="false">IF(ISNUMBER($AX170*BG170),$AX170*BG170,"")</f>
        <v/>
      </c>
      <c r="CH170" s="1438"/>
      <c r="CI170" s="1438"/>
      <c r="CJ170" s="1438"/>
      <c r="CK170" s="1438"/>
      <c r="CU170" s="1411"/>
      <c r="CV170" s="1411"/>
      <c r="CW170" s="1425"/>
      <c r="CX170" s="1425"/>
      <c r="CY170" s="1425"/>
      <c r="CZ170" s="1425"/>
      <c r="DA170" s="1411"/>
      <c r="DB170" s="1411"/>
      <c r="DC170" s="1411"/>
      <c r="DD170" s="1411"/>
      <c r="DE170" s="1411"/>
      <c r="DF170" s="1411"/>
      <c r="DH170" s="1432"/>
      <c r="DI170" s="1432"/>
      <c r="DJ170" s="1437"/>
      <c r="DK170" s="1437"/>
      <c r="DL170" s="1437"/>
      <c r="DM170" s="1437"/>
      <c r="DN170" s="1432"/>
      <c r="DO170" s="1432"/>
      <c r="DP170" s="1432"/>
      <c r="DQ170" s="1432"/>
      <c r="DR170" s="1432"/>
      <c r="DS170" s="1432"/>
      <c r="DT170" s="1316"/>
      <c r="DU170" s="1433"/>
      <c r="DV170" s="1433"/>
      <c r="DW170" s="1433"/>
      <c r="DX170" s="1433"/>
      <c r="DY170" s="1433"/>
      <c r="DZ170" s="1433"/>
      <c r="EA170" s="1433"/>
      <c r="EB170" s="1433"/>
    </row>
    <row r="171" customFormat="false" ht="14.25" hidden="false" customHeight="false" outlineLevel="0" collapsed="false">
      <c r="A171" s="2" t="n">
        <f aca="false">'V_DATOS PAC_SGA'!R166</f>
        <v>0</v>
      </c>
      <c r="B171" s="2" t="n">
        <f aca="false">IF(I171="IV",CONCATENATE('V_DATOS PAC_SGA'!R166,"4")+0,CONCATENATE('V_DATOS PAC_SGA'!R166,"0")+0)</f>
        <v>0</v>
      </c>
      <c r="C171" s="2" t="n">
        <f aca="false">'V_DATOS PAC_SGA'!S166</f>
        <v>0</v>
      </c>
      <c r="D171" s="1409" t="n">
        <f aca="false">'V_DATOS PAC_SGA'!Y166</f>
        <v>0</v>
      </c>
      <c r="E171" s="1410" t="str">
        <f aca="false">IF('V_DATOS PAC_SGA'!AV166="","Regadio",'V_DATOS PAC_SGA'!AV166)</f>
        <v>Regadio</v>
      </c>
      <c r="F171" s="1411" t="n">
        <f aca="false">'V_DATOS PAC_SGA'!BK166</f>
        <v>0</v>
      </c>
      <c r="G171" s="1412" t="n">
        <f aca="false">'V_DATOS PAC_SGA'!AN166</f>
        <v>0</v>
      </c>
      <c r="H171" s="1413" t="str">
        <f aca="false">IF(B171&gt;0,VLOOKUP(B171,'O_MN, PE_UTA_UGM 2024'!E$3:O$419,10),"")</f>
        <v/>
      </c>
      <c r="I171" s="1359" t="n">
        <f aca="false">'V_DATOS PAC_SGA'!BV166</f>
        <v>0</v>
      </c>
      <c r="J171" s="2" t="str">
        <f aca="false">IF(AND(J$4=$G171,J$6=$F171),$D171*J$5,"")</f>
        <v/>
      </c>
      <c r="K171" s="2" t="str">
        <f aca="false">IF(AND(K$4=$G171,K$6=$F171),$D171*K$5,"")</f>
        <v/>
      </c>
      <c r="L171" s="2" t="str">
        <f aca="false">IF(AND(L$4=$G171,L$6=$F171),$D171*L$5,"")</f>
        <v/>
      </c>
      <c r="M171" s="2" t="str">
        <f aca="false">IF(AND(M$4=$G171,M$6=$F171),$D171*M$5,"")</f>
        <v/>
      </c>
      <c r="N171" s="1414" t="n">
        <f aca="false">VLOOKUP(B171,'O_MN, PE_UTA_UGM 2024'!$E$2:$K$419,IF(G171&gt;1,6,7))</f>
        <v>0</v>
      </c>
      <c r="O171" s="1434" t="str">
        <f aca="false">IF($H171=O$4,$D171*$N171,"")</f>
        <v/>
      </c>
      <c r="P171" s="1435" t="str">
        <f aca="false">IF($H171=P$4,$D171*$N171,"")</f>
        <v/>
      </c>
      <c r="Q171" s="1435" t="str">
        <f aca="false">IF($H171=Q$4,$D171*$N171,"")</f>
        <v/>
      </c>
      <c r="R171" s="1435" t="str">
        <f aca="false">IF($H171=R$4,$D171*$N171,"")</f>
        <v/>
      </c>
      <c r="S171" s="1435" t="str">
        <f aca="false">IF($H171=S$4,$D171*$N171,"")</f>
        <v/>
      </c>
      <c r="T171" s="1435" t="str">
        <f aca="false">IF($H171=T$4,$D171*$N171,"")</f>
        <v/>
      </c>
      <c r="U171" s="1436" t="str">
        <f aca="false">IF($H171=U$4,$D171*$N171,"")</f>
        <v/>
      </c>
      <c r="V171" s="1418"/>
      <c r="W171" s="1419"/>
      <c r="X171" s="1419"/>
      <c r="Y171" s="1419"/>
      <c r="Z171" s="1419"/>
      <c r="AA171" s="1419"/>
      <c r="AB171" s="1420"/>
      <c r="AC171" s="1319"/>
      <c r="AD171" s="2" t="str">
        <f aca="false">IF(AND(AD$4=$G171,AD$6=$F171),$B171,"")</f>
        <v/>
      </c>
      <c r="AE171" s="2" t="str">
        <f aca="false">IF(AND(AE$4=$G171,AE$6=$F171),$B171,"")</f>
        <v/>
      </c>
      <c r="AF171" s="2" t="str">
        <f aca="false">IF(AND(AF$4=$G171,AF$6=$F171),$B171,"")</f>
        <v/>
      </c>
      <c r="AG171" s="2" t="str">
        <f aca="false">IF(AND(AG$4=$G171,AG$6=$F171),$B171,"")</f>
        <v/>
      </c>
      <c r="AI171" s="366"/>
      <c r="AL171" s="367"/>
      <c r="AO171" s="367"/>
      <c r="AP171" s="2" t="str">
        <f aca="false">IF(AT171&gt;0,RANK(AT171,AT$7:AT$423),"")</f>
        <v/>
      </c>
      <c r="AQ171" s="2" t="n">
        <f aca="false">'O_MN, PE_UTA_UGM 2024'!C167</f>
        <v>181</v>
      </c>
      <c r="AR171" s="1421" t="n">
        <v>1790</v>
      </c>
      <c r="AS171" s="2" t="str">
        <f aca="false">IF(AY171&lt;&gt;"",AY171,"")</f>
        <v/>
      </c>
      <c r="AT171" s="1422" t="n">
        <f aca="false">IF(ISNUMBER($AR171),SUMIF(B$7:B$505,AR171,D$7:D$505),"")</f>
        <v>0</v>
      </c>
      <c r="AU171" s="1411" t="n">
        <f aca="false">IF(ISNUMBER($AR171),SUMIF(AD$7:AD$503,$AR171,J$7:J$503),"")</f>
        <v>0</v>
      </c>
      <c r="AV171" s="1411" t="n">
        <f aca="false">IF(ISNUMBER($AR171),SUMIF(AF$7:AF$503,$AR171,L$7:L$503),"")</f>
        <v>0</v>
      </c>
      <c r="AW171" s="1423" t="n">
        <f aca="false">IF(ISNUMBER($AR171),SUMIF(AE$7:AE$503,$AR171,K$7:K$503),"")</f>
        <v>0</v>
      </c>
      <c r="AX171" s="1423" t="n">
        <f aca="false">IF(ISNUMBER($AR171),SUMIF(AG$7:AG$503,$AR171,M$7:M$503),"")</f>
        <v>0</v>
      </c>
      <c r="AY171" s="2" t="str">
        <f aca="false">IF($AT171&gt;0,VLOOKUP($AR171,'O_MN, PE_UTA_UGM 2024'!E167:O583,2),"")</f>
        <v/>
      </c>
      <c r="AZ171" s="1424"/>
      <c r="BA171" s="1424"/>
      <c r="BB171" s="1424" t="str">
        <f aca="false">IF($AT171&gt;0,VLOOKUP($AR171,'O_MN, PE_UTA_UGM 2024'!$E$3:$O$419,BB$6),"")</f>
        <v/>
      </c>
      <c r="BC171" s="1424" t="str">
        <f aca="false">IF($AT171&gt;0,VLOOKUP($AR171,'O_MN, PE_UTA_UGM 2024'!$E$3:$O$419,BC$6),"")</f>
        <v/>
      </c>
      <c r="BD171" s="1424" t="str">
        <f aca="false">IF($AT171&gt;0,VLOOKUP($AR171,'O_MN, PE_UTA_UGM 2024'!$E$3:$O$419,BD$6),"")</f>
        <v/>
      </c>
      <c r="BE171" s="1424" t="str">
        <f aca="false">IF($AT171&gt;0,VLOOKUP($AR171,'O_MN, PE_UTA_UGM 2024'!$E$3:$O$419,BE$6),"")</f>
        <v/>
      </c>
      <c r="BF171" s="1424" t="str">
        <f aca="false">IF($AT171&gt;0,VLOOKUP($AR171,'O_MN, PE_UTA_UGM 2024'!$E$3:$O$419,BF$6),"")</f>
        <v/>
      </c>
      <c r="BG171" s="1424" t="str">
        <f aca="false">IF($AT171&gt;0,VLOOKUP($AR171,'O_MN, PE_UTA_UGM 2024'!$E$3:$O$419,BG$6),"")</f>
        <v/>
      </c>
      <c r="BH171" s="872"/>
      <c r="BI171" s="872"/>
      <c r="BJ171" s="872"/>
      <c r="BK171" s="872"/>
      <c r="BM171" s="1411"/>
      <c r="BN171" s="1411"/>
      <c r="BO171" s="1425" t="str">
        <f aca="false">IF(ISNUMBER($AU171*BB171*1),$AU171*BB171*1,"")</f>
        <v/>
      </c>
      <c r="BP171" s="1425" t="str">
        <f aca="false">IF(ISNUMBER($AV171*BC171*1),$AV171*BC171*1,"")</f>
        <v/>
      </c>
      <c r="BQ171" s="1425" t="str">
        <f aca="false">IF(ISNUMBER($AU171*BD171*1),$AU171*BD171*1,"")</f>
        <v/>
      </c>
      <c r="BR171" s="1425" t="str">
        <f aca="false">IF(ISNUMBER($AV171*BE171*1),$AV171*BE171*1,"")</f>
        <v/>
      </c>
      <c r="BS171" s="1411" t="str">
        <f aca="false">IF(ISNUMBER($AU171*BF171),$AU171*BF171,"")</f>
        <v/>
      </c>
      <c r="BT171" s="1411" t="str">
        <f aca="false">IF(ISNUMBER($AV171*BG171),$AV171*BG171,"")</f>
        <v/>
      </c>
      <c r="BU171" s="1411"/>
      <c r="BV171" s="1411"/>
      <c r="BW171" s="1411"/>
      <c r="BX171" s="1411"/>
      <c r="BZ171" s="1372"/>
      <c r="CA171" s="1372"/>
      <c r="CB171" s="1426" t="str">
        <f aca="false">IF(ISNUMBER($AW171*BB171),$AW171*BB171,"")</f>
        <v/>
      </c>
      <c r="CC171" s="1426" t="str">
        <f aca="false">IF(ISNUMBER($AX171*BC171),$AX171*BC171,"")</f>
        <v/>
      </c>
      <c r="CD171" s="1426" t="str">
        <f aca="false">IF(ISNUMBER($AW171*BD171),$AW171*BD171,"")</f>
        <v/>
      </c>
      <c r="CE171" s="1426" t="str">
        <f aca="false">IF(ISNUMBER($AX171*BE171),$AX171*BE171,"")</f>
        <v/>
      </c>
      <c r="CF171" s="1372" t="str">
        <f aca="false">IF(ISNUMBER($AW171*BF171),$AW171*BF171,"")</f>
        <v/>
      </c>
      <c r="CG171" s="1372" t="str">
        <f aca="false">IF(ISNUMBER($AX171*BG171),$AX171*BG171,"")</f>
        <v/>
      </c>
      <c r="CH171" s="1438"/>
      <c r="CI171" s="1438"/>
      <c r="CJ171" s="1438"/>
      <c r="CK171" s="1438"/>
      <c r="CU171" s="1411"/>
      <c r="CV171" s="1411"/>
      <c r="CW171" s="1425"/>
      <c r="CX171" s="1425"/>
      <c r="CY171" s="1425"/>
      <c r="CZ171" s="1425"/>
      <c r="DA171" s="1411"/>
      <c r="DB171" s="1411"/>
      <c r="DC171" s="1411"/>
      <c r="DD171" s="1411"/>
      <c r="DE171" s="1411"/>
      <c r="DF171" s="1411"/>
      <c r="DH171" s="1432"/>
      <c r="DI171" s="1432"/>
      <c r="DJ171" s="1437"/>
      <c r="DK171" s="1437"/>
      <c r="DL171" s="1437"/>
      <c r="DM171" s="1437"/>
      <c r="DN171" s="1432"/>
      <c r="DO171" s="1432"/>
      <c r="DP171" s="1432"/>
      <c r="DQ171" s="1432"/>
      <c r="DR171" s="1432"/>
      <c r="DS171" s="1432"/>
      <c r="DT171" s="1316"/>
      <c r="DU171" s="1433"/>
      <c r="DV171" s="1433"/>
      <c r="DW171" s="1433"/>
      <c r="DX171" s="1433"/>
      <c r="DY171" s="1433"/>
      <c r="DZ171" s="1433"/>
      <c r="EA171" s="1433"/>
      <c r="EB171" s="1433"/>
    </row>
    <row r="172" customFormat="false" ht="14.25" hidden="false" customHeight="false" outlineLevel="0" collapsed="false">
      <c r="A172" s="2" t="n">
        <f aca="false">'V_DATOS PAC_SGA'!R167</f>
        <v>0</v>
      </c>
      <c r="B172" s="2" t="n">
        <f aca="false">IF(I172="IV",CONCATENATE('V_DATOS PAC_SGA'!R167,"4")+0,CONCATENATE('V_DATOS PAC_SGA'!R167,"0")+0)</f>
        <v>0</v>
      </c>
      <c r="C172" s="2" t="n">
        <f aca="false">'V_DATOS PAC_SGA'!S167</f>
        <v>0</v>
      </c>
      <c r="D172" s="1409" t="n">
        <f aca="false">'V_DATOS PAC_SGA'!Y167</f>
        <v>0</v>
      </c>
      <c r="E172" s="1410" t="str">
        <f aca="false">IF('V_DATOS PAC_SGA'!AV167="","Regadio",'V_DATOS PAC_SGA'!AV167)</f>
        <v>Regadio</v>
      </c>
      <c r="F172" s="1411" t="n">
        <f aca="false">'V_DATOS PAC_SGA'!BK167</f>
        <v>0</v>
      </c>
      <c r="G172" s="1412" t="n">
        <f aca="false">'V_DATOS PAC_SGA'!AN167</f>
        <v>0</v>
      </c>
      <c r="H172" s="1413" t="str">
        <f aca="false">IF(B172&gt;0,VLOOKUP(B172,'O_MN, PE_UTA_UGM 2024'!E$3:O$419,10),"")</f>
        <v/>
      </c>
      <c r="I172" s="1359" t="n">
        <f aca="false">'V_DATOS PAC_SGA'!BV167</f>
        <v>0</v>
      </c>
      <c r="J172" s="2" t="str">
        <f aca="false">IF(AND(J$4=$G172,J$6=$F172),$D172*J$5,"")</f>
        <v/>
      </c>
      <c r="K172" s="2" t="str">
        <f aca="false">IF(AND(K$4=$G172,K$6=$F172),$D172*K$5,"")</f>
        <v/>
      </c>
      <c r="L172" s="2" t="str">
        <f aca="false">IF(AND(L$4=$G172,L$6=$F172),$D172*L$5,"")</f>
        <v/>
      </c>
      <c r="M172" s="2" t="str">
        <f aca="false">IF(AND(M$4=$G172,M$6=$F172),$D172*M$5,"")</f>
        <v/>
      </c>
      <c r="N172" s="1414" t="n">
        <f aca="false">VLOOKUP(B172,'O_MN, PE_UTA_UGM 2024'!$E$2:$K$419,IF(G172&gt;1,6,7))</f>
        <v>0</v>
      </c>
      <c r="O172" s="1434" t="str">
        <f aca="false">IF($H172=O$4,$D172*$N172,"")</f>
        <v/>
      </c>
      <c r="P172" s="1435" t="str">
        <f aca="false">IF($H172=P$4,$D172*$N172,"")</f>
        <v/>
      </c>
      <c r="Q172" s="1435" t="str">
        <f aca="false">IF($H172=Q$4,$D172*$N172,"")</f>
        <v/>
      </c>
      <c r="R172" s="1435" t="str">
        <f aca="false">IF($H172=R$4,$D172*$N172,"")</f>
        <v/>
      </c>
      <c r="S172" s="1435" t="str">
        <f aca="false">IF($H172=S$4,$D172*$N172,"")</f>
        <v/>
      </c>
      <c r="T172" s="1435" t="str">
        <f aca="false">IF($H172=T$4,$D172*$N172,"")</f>
        <v/>
      </c>
      <c r="U172" s="1436" t="str">
        <f aca="false">IF($H172=U$4,$D172*$N172,"")</f>
        <v/>
      </c>
      <c r="V172" s="1418"/>
      <c r="W172" s="1419"/>
      <c r="X172" s="1419"/>
      <c r="Y172" s="1419"/>
      <c r="Z172" s="1419"/>
      <c r="AA172" s="1419"/>
      <c r="AB172" s="1420"/>
      <c r="AC172" s="1319"/>
      <c r="AD172" s="2" t="str">
        <f aca="false">IF(AND(AD$4=$G172,AD$6=$F172),$B172,"")</f>
        <v/>
      </c>
      <c r="AE172" s="2" t="str">
        <f aca="false">IF(AND(AE$4=$G172,AE$6=$F172),$B172,"")</f>
        <v/>
      </c>
      <c r="AF172" s="2" t="str">
        <f aca="false">IF(AND(AF$4=$G172,AF$6=$F172),$B172,"")</f>
        <v/>
      </c>
      <c r="AG172" s="2" t="str">
        <f aca="false">IF(AND(AG$4=$G172,AG$6=$F172),$B172,"")</f>
        <v/>
      </c>
      <c r="AI172" s="366"/>
      <c r="AL172" s="367"/>
      <c r="AO172" s="367"/>
      <c r="AP172" s="2" t="str">
        <f aca="false">IF(AT172&gt;0,RANK(AT172,AT$7:AT$423),"")</f>
        <v/>
      </c>
      <c r="AQ172" s="2" t="n">
        <f aca="false">'O_MN, PE_UTA_UGM 2024'!C168</f>
        <v>181</v>
      </c>
      <c r="AR172" s="1421" t="n">
        <v>1794</v>
      </c>
      <c r="AS172" s="2" t="str">
        <f aca="false">IF(AY172&lt;&gt;"",AY172,"")</f>
        <v/>
      </c>
      <c r="AT172" s="1422" t="n">
        <f aca="false">IF(ISNUMBER($AR172),SUMIF(B$7:B$505,AR172,D$7:D$505),"")</f>
        <v>0</v>
      </c>
      <c r="AU172" s="1411" t="n">
        <f aca="false">IF(ISNUMBER($AR172),SUMIF(AD$7:AD$503,$AR172,J$7:J$503),"")</f>
        <v>0</v>
      </c>
      <c r="AV172" s="1411" t="n">
        <f aca="false">IF(ISNUMBER($AR172),SUMIF(AF$7:AF$503,$AR172,L$7:L$503),"")</f>
        <v>0</v>
      </c>
      <c r="AW172" s="1423" t="n">
        <f aca="false">IF(ISNUMBER($AR172),SUMIF(AE$7:AE$503,$AR172,K$7:K$503),"")</f>
        <v>0</v>
      </c>
      <c r="AX172" s="1423" t="n">
        <f aca="false">IF(ISNUMBER($AR172),SUMIF(AG$7:AG$503,$AR172,M$7:M$503),"")</f>
        <v>0</v>
      </c>
      <c r="AY172" s="2" t="str">
        <f aca="false">IF($AT172&gt;0,VLOOKUP($AR172,'O_MN, PE_UTA_UGM 2024'!E168:O584,2),"")</f>
        <v/>
      </c>
      <c r="AZ172" s="1424"/>
      <c r="BA172" s="1424"/>
      <c r="BB172" s="1424" t="str">
        <f aca="false">IF($AT172&gt;0,VLOOKUP($AR172,'O_MN, PE_UTA_UGM 2024'!$E$3:$O$419,BB$6),"")</f>
        <v/>
      </c>
      <c r="BC172" s="1424" t="str">
        <f aca="false">IF($AT172&gt;0,VLOOKUP($AR172,'O_MN, PE_UTA_UGM 2024'!$E$3:$O$419,BC$6),"")</f>
        <v/>
      </c>
      <c r="BD172" s="1424" t="str">
        <f aca="false">IF($AT172&gt;0,VLOOKUP($AR172,'O_MN, PE_UTA_UGM 2024'!$E$3:$O$419,BD$6),"")</f>
        <v/>
      </c>
      <c r="BE172" s="1424" t="str">
        <f aca="false">IF($AT172&gt;0,VLOOKUP($AR172,'O_MN, PE_UTA_UGM 2024'!$E$3:$O$419,BE$6),"")</f>
        <v/>
      </c>
      <c r="BF172" s="1424" t="str">
        <f aca="false">IF($AT172&gt;0,VLOOKUP($AR172,'O_MN, PE_UTA_UGM 2024'!$E$3:$O$419,BF$6),"")</f>
        <v/>
      </c>
      <c r="BG172" s="1424" t="str">
        <f aca="false">IF($AT172&gt;0,VLOOKUP($AR172,'O_MN, PE_UTA_UGM 2024'!$E$3:$O$419,BG$6),"")</f>
        <v/>
      </c>
      <c r="BH172" s="872"/>
      <c r="BI172" s="872"/>
      <c r="BJ172" s="872"/>
      <c r="BK172" s="872"/>
      <c r="BM172" s="1411"/>
      <c r="BN172" s="1411"/>
      <c r="BO172" s="1425" t="str">
        <f aca="false">IF(ISNUMBER($AU172*BB172*1),$AU172*BB172*1,"")</f>
        <v/>
      </c>
      <c r="BP172" s="1425" t="str">
        <f aca="false">IF(ISNUMBER($AV172*BC172*1),$AV172*BC172*1,"")</f>
        <v/>
      </c>
      <c r="BQ172" s="1425" t="str">
        <f aca="false">IF(ISNUMBER($AU172*BD172*1),$AU172*BD172*1,"")</f>
        <v/>
      </c>
      <c r="BR172" s="1425" t="str">
        <f aca="false">IF(ISNUMBER($AV172*BE172*1),$AV172*BE172*1,"")</f>
        <v/>
      </c>
      <c r="BS172" s="1411" t="str">
        <f aca="false">IF(ISNUMBER($AU172*BF172),$AU172*BF172,"")</f>
        <v/>
      </c>
      <c r="BT172" s="1411" t="str">
        <f aca="false">IF(ISNUMBER($AV172*BG172),$AV172*BG172,"")</f>
        <v/>
      </c>
      <c r="BU172" s="1411"/>
      <c r="BV172" s="1411"/>
      <c r="BW172" s="1411"/>
      <c r="BX172" s="1411"/>
      <c r="BZ172" s="1372"/>
      <c r="CA172" s="1372"/>
      <c r="CB172" s="1426" t="str">
        <f aca="false">IF(ISNUMBER($AW172*BB172),$AW172*BB172,"")</f>
        <v/>
      </c>
      <c r="CC172" s="1426" t="str">
        <f aca="false">IF(ISNUMBER($AX172*BC172),$AX172*BC172,"")</f>
        <v/>
      </c>
      <c r="CD172" s="1426" t="str">
        <f aca="false">IF(ISNUMBER($AW172*BD172),$AW172*BD172,"")</f>
        <v/>
      </c>
      <c r="CE172" s="1426" t="str">
        <f aca="false">IF(ISNUMBER($AX172*BE172),$AX172*BE172,"")</f>
        <v/>
      </c>
      <c r="CF172" s="1372" t="str">
        <f aca="false">IF(ISNUMBER($AW172*BF172),$AW172*BF172,"")</f>
        <v/>
      </c>
      <c r="CG172" s="1372" t="str">
        <f aca="false">IF(ISNUMBER($AX172*BG172),$AX172*BG172,"")</f>
        <v/>
      </c>
      <c r="CH172" s="1438"/>
      <c r="CI172" s="1438"/>
      <c r="CJ172" s="1438"/>
      <c r="CK172" s="1438"/>
      <c r="CU172" s="1411"/>
      <c r="CV172" s="1411"/>
      <c r="CW172" s="1425"/>
      <c r="CX172" s="1425"/>
      <c r="CY172" s="1425"/>
      <c r="CZ172" s="1425"/>
      <c r="DA172" s="1411"/>
      <c r="DB172" s="1411"/>
      <c r="DC172" s="1411"/>
      <c r="DD172" s="1411"/>
      <c r="DE172" s="1411"/>
      <c r="DF172" s="1411"/>
      <c r="DH172" s="1432"/>
      <c r="DI172" s="1432"/>
      <c r="DJ172" s="1437"/>
      <c r="DK172" s="1437"/>
      <c r="DL172" s="1437"/>
      <c r="DM172" s="1437"/>
      <c r="DN172" s="1432"/>
      <c r="DO172" s="1432"/>
      <c r="DP172" s="1432"/>
      <c r="DQ172" s="1432"/>
      <c r="DR172" s="1432"/>
      <c r="DS172" s="1432"/>
      <c r="DT172" s="1316"/>
      <c r="DU172" s="1433"/>
      <c r="DV172" s="1433"/>
      <c r="DW172" s="1433"/>
      <c r="DX172" s="1433"/>
      <c r="DY172" s="1433"/>
      <c r="DZ172" s="1433"/>
      <c r="EA172" s="1433"/>
      <c r="EB172" s="1433"/>
    </row>
    <row r="173" customFormat="false" ht="14.25" hidden="false" customHeight="false" outlineLevel="0" collapsed="false">
      <c r="A173" s="2" t="n">
        <f aca="false">'V_DATOS PAC_SGA'!R168</f>
        <v>0</v>
      </c>
      <c r="B173" s="2" t="n">
        <f aca="false">IF(I173="IV",CONCATENATE('V_DATOS PAC_SGA'!R168,"4")+0,CONCATENATE('V_DATOS PAC_SGA'!R168,"0")+0)</f>
        <v>0</v>
      </c>
      <c r="C173" s="2" t="n">
        <f aca="false">'V_DATOS PAC_SGA'!S168</f>
        <v>0</v>
      </c>
      <c r="D173" s="1409" t="n">
        <f aca="false">'V_DATOS PAC_SGA'!Y168</f>
        <v>0</v>
      </c>
      <c r="E173" s="1410" t="str">
        <f aca="false">IF('V_DATOS PAC_SGA'!AV168="","Regadio",'V_DATOS PAC_SGA'!AV168)</f>
        <v>Regadio</v>
      </c>
      <c r="F173" s="1411" t="n">
        <f aca="false">'V_DATOS PAC_SGA'!BK168</f>
        <v>0</v>
      </c>
      <c r="G173" s="1412" t="n">
        <f aca="false">'V_DATOS PAC_SGA'!AN168</f>
        <v>0</v>
      </c>
      <c r="H173" s="1413" t="str">
        <f aca="false">IF(B173&gt;0,VLOOKUP(B173,'O_MN, PE_UTA_UGM 2024'!E$3:O$419,10),"")</f>
        <v/>
      </c>
      <c r="I173" s="1359" t="n">
        <f aca="false">'V_DATOS PAC_SGA'!BV168</f>
        <v>0</v>
      </c>
      <c r="J173" s="2" t="str">
        <f aca="false">IF(AND(J$4=$G173,J$6=$F173),$D173*J$5,"")</f>
        <v/>
      </c>
      <c r="K173" s="2" t="str">
        <f aca="false">IF(AND(K$4=$G173,K$6=$F173),$D173*K$5,"")</f>
        <v/>
      </c>
      <c r="L173" s="2" t="str">
        <f aca="false">IF(AND(L$4=$G173,L$6=$F173),$D173*L$5,"")</f>
        <v/>
      </c>
      <c r="M173" s="2" t="str">
        <f aca="false">IF(AND(M$4=$G173,M$6=$F173),$D173*M$5,"")</f>
        <v/>
      </c>
      <c r="N173" s="1414" t="n">
        <f aca="false">VLOOKUP(B173,'O_MN, PE_UTA_UGM 2024'!$E$2:$K$419,IF(G173&gt;1,6,7))</f>
        <v>0</v>
      </c>
      <c r="O173" s="1434" t="str">
        <f aca="false">IF($H173=O$4,$D173*$N173,"")</f>
        <v/>
      </c>
      <c r="P173" s="1435" t="str">
        <f aca="false">IF($H173=P$4,$D173*$N173,"")</f>
        <v/>
      </c>
      <c r="Q173" s="1435" t="str">
        <f aca="false">IF($H173=Q$4,$D173*$N173,"")</f>
        <v/>
      </c>
      <c r="R173" s="1435" t="str">
        <f aca="false">IF($H173=R$4,$D173*$N173,"")</f>
        <v/>
      </c>
      <c r="S173" s="1435" t="str">
        <f aca="false">IF($H173=S$4,$D173*$N173,"")</f>
        <v/>
      </c>
      <c r="T173" s="1435" t="str">
        <f aca="false">IF($H173=T$4,$D173*$N173,"")</f>
        <v/>
      </c>
      <c r="U173" s="1436" t="str">
        <f aca="false">IF($H173=U$4,$D173*$N173,"")</f>
        <v/>
      </c>
      <c r="V173" s="1418"/>
      <c r="W173" s="1419"/>
      <c r="X173" s="1419"/>
      <c r="Y173" s="1419"/>
      <c r="Z173" s="1419"/>
      <c r="AA173" s="1419"/>
      <c r="AB173" s="1420"/>
      <c r="AC173" s="1319"/>
      <c r="AD173" s="2" t="str">
        <f aca="false">IF(AND(AD$4=$G173,AD$6=$F173),$B173,"")</f>
        <v/>
      </c>
      <c r="AE173" s="2" t="str">
        <f aca="false">IF(AND(AE$4=$G173,AE$6=$F173),$B173,"")</f>
        <v/>
      </c>
      <c r="AF173" s="2" t="str">
        <f aca="false">IF(AND(AF$4=$G173,AF$6=$F173),$B173,"")</f>
        <v/>
      </c>
      <c r="AG173" s="2" t="str">
        <f aca="false">IF(AND(AG$4=$G173,AG$6=$F173),$B173,"")</f>
        <v/>
      </c>
      <c r="AI173" s="366"/>
      <c r="AL173" s="367"/>
      <c r="AO173" s="367"/>
      <c r="AP173" s="2" t="str">
        <f aca="false">IF(AT173&gt;0,RANK(AT173,AT$7:AT$423),"")</f>
        <v/>
      </c>
      <c r="AQ173" s="2" t="n">
        <f aca="false">'O_MN, PE_UTA_UGM 2024'!C169</f>
        <v>182</v>
      </c>
      <c r="AR173" s="1421" t="n">
        <v>1799</v>
      </c>
      <c r="AS173" s="2" t="str">
        <f aca="false">IF(AY173&lt;&gt;"",AY173,"")</f>
        <v/>
      </c>
      <c r="AT173" s="1422" t="n">
        <f aca="false">IF(ISNUMBER($AR173),SUMIF(B$7:B$505,AR173,D$7:D$505),"")</f>
        <v>0</v>
      </c>
      <c r="AU173" s="1411" t="n">
        <f aca="false">IF(ISNUMBER($AR173),SUMIF(AD$7:AD$503,$AR173,J$7:J$503),"")</f>
        <v>0</v>
      </c>
      <c r="AV173" s="1411" t="n">
        <f aca="false">IF(ISNUMBER($AR173),SUMIF(AF$7:AF$503,$AR173,L$7:L$503),"")</f>
        <v>0</v>
      </c>
      <c r="AW173" s="1423" t="n">
        <f aca="false">IF(ISNUMBER($AR173),SUMIF(AE$7:AE$503,$AR173,K$7:K$503),"")</f>
        <v>0</v>
      </c>
      <c r="AX173" s="1423" t="n">
        <f aca="false">IF(ISNUMBER($AR173),SUMIF(AG$7:AG$503,$AR173,M$7:M$503),"")</f>
        <v>0</v>
      </c>
      <c r="AY173" s="2" t="str">
        <f aca="false">IF($AT173&gt;0,VLOOKUP($AR173,'O_MN, PE_UTA_UGM 2024'!E169:O585,2),"")</f>
        <v/>
      </c>
      <c r="AZ173" s="1424"/>
      <c r="BA173" s="1424"/>
      <c r="BB173" s="1424" t="str">
        <f aca="false">IF($AT173&gt;0,VLOOKUP($AR173,'O_MN, PE_UTA_UGM 2024'!$E$3:$O$419,BB$6),"")</f>
        <v/>
      </c>
      <c r="BC173" s="1424" t="str">
        <f aca="false">IF($AT173&gt;0,VLOOKUP($AR173,'O_MN, PE_UTA_UGM 2024'!$E$3:$O$419,BC$6),"")</f>
        <v/>
      </c>
      <c r="BD173" s="1424" t="str">
        <f aca="false">IF($AT173&gt;0,VLOOKUP($AR173,'O_MN, PE_UTA_UGM 2024'!$E$3:$O$419,BD$6),"")</f>
        <v/>
      </c>
      <c r="BE173" s="1424" t="str">
        <f aca="false">IF($AT173&gt;0,VLOOKUP($AR173,'O_MN, PE_UTA_UGM 2024'!$E$3:$O$419,BE$6),"")</f>
        <v/>
      </c>
      <c r="BF173" s="1424" t="str">
        <f aca="false">IF($AT173&gt;0,VLOOKUP($AR173,'O_MN, PE_UTA_UGM 2024'!$E$3:$O$419,BF$6),"")</f>
        <v/>
      </c>
      <c r="BG173" s="1424" t="str">
        <f aca="false">IF($AT173&gt;0,VLOOKUP($AR173,'O_MN, PE_UTA_UGM 2024'!$E$3:$O$419,BG$6),"")</f>
        <v/>
      </c>
      <c r="BH173" s="872"/>
      <c r="BI173" s="872"/>
      <c r="BJ173" s="872"/>
      <c r="BK173" s="872"/>
      <c r="BM173" s="1411"/>
      <c r="BN173" s="1411"/>
      <c r="BO173" s="1425" t="str">
        <f aca="false">IF(ISNUMBER($AU173*BB173*1),$AU173*BB173*1,"")</f>
        <v/>
      </c>
      <c r="BP173" s="1425" t="str">
        <f aca="false">IF(ISNUMBER($AV173*BC173*1),$AV173*BC173*1,"")</f>
        <v/>
      </c>
      <c r="BQ173" s="1425" t="str">
        <f aca="false">IF(ISNUMBER($AU173*BD173*1),$AU173*BD173*1,"")</f>
        <v/>
      </c>
      <c r="BR173" s="1425" t="str">
        <f aca="false">IF(ISNUMBER($AV173*BE173*1),$AV173*BE173*1,"")</f>
        <v/>
      </c>
      <c r="BS173" s="1411" t="str">
        <f aca="false">IF(ISNUMBER($AU173*BF173),$AU173*BF173,"")</f>
        <v/>
      </c>
      <c r="BT173" s="1411" t="str">
        <f aca="false">IF(ISNUMBER($AV173*BG173),$AV173*BG173,"")</f>
        <v/>
      </c>
      <c r="BU173" s="1411"/>
      <c r="BV173" s="1411"/>
      <c r="BW173" s="1411"/>
      <c r="BX173" s="1411"/>
      <c r="BZ173" s="1372"/>
      <c r="CA173" s="1372"/>
      <c r="CB173" s="1426" t="str">
        <f aca="false">IF(ISNUMBER($AW173*BB173),$AW173*BB173,"")</f>
        <v/>
      </c>
      <c r="CC173" s="1426" t="str">
        <f aca="false">IF(ISNUMBER($AX173*BC173),$AX173*BC173,"")</f>
        <v/>
      </c>
      <c r="CD173" s="1426" t="str">
        <f aca="false">IF(ISNUMBER($AW173*BD173),$AW173*BD173,"")</f>
        <v/>
      </c>
      <c r="CE173" s="1426" t="str">
        <f aca="false">IF(ISNUMBER($AX173*BE173),$AX173*BE173,"")</f>
        <v/>
      </c>
      <c r="CF173" s="1372" t="str">
        <f aca="false">IF(ISNUMBER($AW173*BF173),$AW173*BF173,"")</f>
        <v/>
      </c>
      <c r="CG173" s="1372" t="str">
        <f aca="false">IF(ISNUMBER($AX173*BG173),$AX173*BG173,"")</f>
        <v/>
      </c>
      <c r="CH173" s="1438"/>
      <c r="CI173" s="1438"/>
      <c r="CJ173" s="1438"/>
      <c r="CK173" s="1438"/>
      <c r="CU173" s="1411"/>
      <c r="CV173" s="1411"/>
      <c r="CW173" s="1425"/>
      <c r="CX173" s="1425"/>
      <c r="CY173" s="1425"/>
      <c r="CZ173" s="1425"/>
      <c r="DA173" s="1411"/>
      <c r="DB173" s="1411"/>
      <c r="DC173" s="1411"/>
      <c r="DD173" s="1411"/>
      <c r="DE173" s="1411"/>
      <c r="DF173" s="1411"/>
      <c r="DH173" s="1432"/>
      <c r="DI173" s="1432"/>
      <c r="DJ173" s="1437"/>
      <c r="DK173" s="1437"/>
      <c r="DL173" s="1437"/>
      <c r="DM173" s="1437"/>
      <c r="DN173" s="1432"/>
      <c r="DO173" s="1432"/>
      <c r="DP173" s="1432"/>
      <c r="DQ173" s="1432"/>
      <c r="DR173" s="1432"/>
      <c r="DS173" s="1432"/>
      <c r="DT173" s="1316"/>
      <c r="DU173" s="1433"/>
      <c r="DV173" s="1433"/>
      <c r="DW173" s="1433"/>
      <c r="DX173" s="1433"/>
      <c r="DY173" s="1433"/>
      <c r="DZ173" s="1433"/>
      <c r="EA173" s="1433"/>
      <c r="EB173" s="1433"/>
    </row>
    <row r="174" customFormat="false" ht="14.25" hidden="false" customHeight="false" outlineLevel="0" collapsed="false">
      <c r="A174" s="2" t="n">
        <f aca="false">'V_DATOS PAC_SGA'!R169</f>
        <v>0</v>
      </c>
      <c r="B174" s="2" t="n">
        <f aca="false">IF(I174="IV",CONCATENATE('V_DATOS PAC_SGA'!R169,"4")+0,CONCATENATE('V_DATOS PAC_SGA'!R169,"0")+0)</f>
        <v>0</v>
      </c>
      <c r="C174" s="2" t="n">
        <f aca="false">'V_DATOS PAC_SGA'!S169</f>
        <v>0</v>
      </c>
      <c r="D174" s="1409" t="n">
        <f aca="false">'V_DATOS PAC_SGA'!Y169</f>
        <v>0</v>
      </c>
      <c r="E174" s="1410" t="str">
        <f aca="false">IF('V_DATOS PAC_SGA'!AV169="","Regadio",'V_DATOS PAC_SGA'!AV169)</f>
        <v>Regadio</v>
      </c>
      <c r="F174" s="1411" t="n">
        <f aca="false">'V_DATOS PAC_SGA'!BK169</f>
        <v>0</v>
      </c>
      <c r="G174" s="1412" t="n">
        <f aca="false">'V_DATOS PAC_SGA'!AN169</f>
        <v>0</v>
      </c>
      <c r="H174" s="1413" t="str">
        <f aca="false">IF(B174&gt;0,VLOOKUP(B174,'O_MN, PE_UTA_UGM 2024'!E$3:O$419,10),"")</f>
        <v/>
      </c>
      <c r="I174" s="1359" t="n">
        <f aca="false">'V_DATOS PAC_SGA'!BV169</f>
        <v>0</v>
      </c>
      <c r="J174" s="2" t="str">
        <f aca="false">IF(AND(J$4=$G174,J$6=$F174),$D174*J$5,"")</f>
        <v/>
      </c>
      <c r="K174" s="2" t="str">
        <f aca="false">IF(AND(K$4=$G174,K$6=$F174),$D174*K$5,"")</f>
        <v/>
      </c>
      <c r="L174" s="2" t="str">
        <f aca="false">IF(AND(L$4=$G174,L$6=$F174),$D174*L$5,"")</f>
        <v/>
      </c>
      <c r="M174" s="2" t="str">
        <f aca="false">IF(AND(M$4=$G174,M$6=$F174),$D174*M$5,"")</f>
        <v/>
      </c>
      <c r="N174" s="1414" t="n">
        <f aca="false">VLOOKUP(B174,'O_MN, PE_UTA_UGM 2024'!$E$2:$K$419,IF(G174&gt;1,6,7))</f>
        <v>0</v>
      </c>
      <c r="O174" s="1434" t="str">
        <f aca="false">IF($H174=O$4,$D174*$N174,"")</f>
        <v/>
      </c>
      <c r="P174" s="1435" t="str">
        <f aca="false">IF($H174=P$4,$D174*$N174,"")</f>
        <v/>
      </c>
      <c r="Q174" s="1435" t="str">
        <f aca="false">IF($H174=Q$4,$D174*$N174,"")</f>
        <v/>
      </c>
      <c r="R174" s="1435" t="str">
        <f aca="false">IF($H174=R$4,$D174*$N174,"")</f>
        <v/>
      </c>
      <c r="S174" s="1435" t="str">
        <f aca="false">IF($H174=S$4,$D174*$N174,"")</f>
        <v/>
      </c>
      <c r="T174" s="1435" t="str">
        <f aca="false">IF($H174=T$4,$D174*$N174,"")</f>
        <v/>
      </c>
      <c r="U174" s="1436" t="str">
        <f aca="false">IF($H174=U$4,$D174*$N174,"")</f>
        <v/>
      </c>
      <c r="V174" s="1418"/>
      <c r="W174" s="1419"/>
      <c r="X174" s="1419"/>
      <c r="Y174" s="1419"/>
      <c r="Z174" s="1419"/>
      <c r="AA174" s="1419"/>
      <c r="AB174" s="1420"/>
      <c r="AC174" s="1319"/>
      <c r="AD174" s="2" t="str">
        <f aca="false">IF(AND(AD$4=$G174,AD$6=$F174),$B174,"")</f>
        <v/>
      </c>
      <c r="AE174" s="2" t="str">
        <f aca="false">IF(AND(AE$4=$G174,AE$6=$F174),$B174,"")</f>
        <v/>
      </c>
      <c r="AF174" s="2" t="str">
        <f aca="false">IF(AND(AF$4=$G174,AF$6=$F174),$B174,"")</f>
        <v/>
      </c>
      <c r="AG174" s="2" t="str">
        <f aca="false">IF(AND(AG$4=$G174,AG$6=$F174),$B174,"")</f>
        <v/>
      </c>
      <c r="AI174" s="366"/>
      <c r="AL174" s="367"/>
      <c r="AO174" s="367"/>
      <c r="AP174" s="2" t="str">
        <f aca="false">IF(AT174&gt;0,RANK(AT174,AT$7:AT$423),"")</f>
        <v/>
      </c>
      <c r="AQ174" s="2" t="n">
        <f aca="false">'O_MN, PE_UTA_UGM 2024'!C170</f>
        <v>182</v>
      </c>
      <c r="AR174" s="1421" t="n">
        <v>1810</v>
      </c>
      <c r="AS174" s="2" t="str">
        <f aca="false">IF(AY174&lt;&gt;"",AY174,"")</f>
        <v/>
      </c>
      <c r="AT174" s="1422" t="n">
        <f aca="false">IF(ISNUMBER($AR174),SUMIF(B$7:B$505,AR174,D$7:D$505),"")</f>
        <v>0</v>
      </c>
      <c r="AU174" s="1411" t="n">
        <f aca="false">IF(ISNUMBER($AR174),SUMIF(AD$7:AD$503,$AR174,J$7:J$503),"")</f>
        <v>0</v>
      </c>
      <c r="AV174" s="1411" t="n">
        <f aca="false">IF(ISNUMBER($AR174),SUMIF(AF$7:AF$503,$AR174,L$7:L$503),"")</f>
        <v>0</v>
      </c>
      <c r="AW174" s="1423" t="n">
        <f aca="false">IF(ISNUMBER($AR174),SUMIF(AE$7:AE$503,$AR174,K$7:K$503),"")</f>
        <v>0</v>
      </c>
      <c r="AX174" s="1423" t="n">
        <f aca="false">IF(ISNUMBER($AR174),SUMIF(AG$7:AG$503,$AR174,M$7:M$503),"")</f>
        <v>0</v>
      </c>
      <c r="AY174" s="2" t="str">
        <f aca="false">IF($AT174&gt;0,VLOOKUP($AR174,'O_MN, PE_UTA_UGM 2024'!E170:O586,2),"")</f>
        <v/>
      </c>
      <c r="AZ174" s="1424"/>
      <c r="BA174" s="1424"/>
      <c r="BB174" s="1424" t="str">
        <f aca="false">IF($AT174&gt;0,VLOOKUP($AR174,'O_MN, PE_UTA_UGM 2024'!$E$3:$O$419,BB$6),"")</f>
        <v/>
      </c>
      <c r="BC174" s="1424" t="str">
        <f aca="false">IF($AT174&gt;0,VLOOKUP($AR174,'O_MN, PE_UTA_UGM 2024'!$E$3:$O$419,BC$6),"")</f>
        <v/>
      </c>
      <c r="BD174" s="1424" t="str">
        <f aca="false">IF($AT174&gt;0,VLOOKUP($AR174,'O_MN, PE_UTA_UGM 2024'!$E$3:$O$419,BD$6),"")</f>
        <v/>
      </c>
      <c r="BE174" s="1424" t="str">
        <f aca="false">IF($AT174&gt;0,VLOOKUP($AR174,'O_MN, PE_UTA_UGM 2024'!$E$3:$O$419,BE$6),"")</f>
        <v/>
      </c>
      <c r="BF174" s="1424" t="str">
        <f aca="false">IF($AT174&gt;0,VLOOKUP($AR174,'O_MN, PE_UTA_UGM 2024'!$E$3:$O$419,BF$6),"")</f>
        <v/>
      </c>
      <c r="BG174" s="1424" t="str">
        <f aca="false">IF($AT174&gt;0,VLOOKUP($AR174,'O_MN, PE_UTA_UGM 2024'!$E$3:$O$419,BG$6),"")</f>
        <v/>
      </c>
      <c r="BH174" s="872"/>
      <c r="BI174" s="872"/>
      <c r="BJ174" s="872"/>
      <c r="BK174" s="872"/>
      <c r="BM174" s="1411"/>
      <c r="BN174" s="1411"/>
      <c r="BO174" s="1425" t="str">
        <f aca="false">IF(ISNUMBER($AU174*BB174*1),$AU174*BB174*1,"")</f>
        <v/>
      </c>
      <c r="BP174" s="1425" t="str">
        <f aca="false">IF(ISNUMBER($AV174*BC174*1),$AV174*BC174*1,"")</f>
        <v/>
      </c>
      <c r="BQ174" s="1425" t="str">
        <f aca="false">IF(ISNUMBER($AU174*BD174*1),$AU174*BD174*1,"")</f>
        <v/>
      </c>
      <c r="BR174" s="1425" t="str">
        <f aca="false">IF(ISNUMBER($AV174*BE174*1),$AV174*BE174*1,"")</f>
        <v/>
      </c>
      <c r="BS174" s="1411" t="str">
        <f aca="false">IF(ISNUMBER($AU174*BF174),$AU174*BF174,"")</f>
        <v/>
      </c>
      <c r="BT174" s="1411" t="str">
        <f aca="false">IF(ISNUMBER($AV174*BG174),$AV174*BG174,"")</f>
        <v/>
      </c>
      <c r="BU174" s="1411"/>
      <c r="BV174" s="1411"/>
      <c r="BW174" s="1411"/>
      <c r="BX174" s="1411"/>
      <c r="BZ174" s="1372"/>
      <c r="CA174" s="1372"/>
      <c r="CB174" s="1426" t="str">
        <f aca="false">IF(ISNUMBER($AW174*BB174),$AW174*BB174,"")</f>
        <v/>
      </c>
      <c r="CC174" s="1426" t="str">
        <f aca="false">IF(ISNUMBER($AX174*BC174),$AX174*BC174,"")</f>
        <v/>
      </c>
      <c r="CD174" s="1426" t="str">
        <f aca="false">IF(ISNUMBER($AW174*BD174),$AW174*BD174,"")</f>
        <v/>
      </c>
      <c r="CE174" s="1426" t="str">
        <f aca="false">IF(ISNUMBER($AX174*BE174),$AX174*BE174,"")</f>
        <v/>
      </c>
      <c r="CF174" s="1372" t="str">
        <f aca="false">IF(ISNUMBER($AW174*BF174),$AW174*BF174,"")</f>
        <v/>
      </c>
      <c r="CG174" s="1372" t="str">
        <f aca="false">IF(ISNUMBER($AX174*BG174),$AX174*BG174,"")</f>
        <v/>
      </c>
      <c r="CH174" s="1438"/>
      <c r="CI174" s="1438"/>
      <c r="CJ174" s="1438"/>
      <c r="CK174" s="1438"/>
      <c r="CU174" s="1411"/>
      <c r="CV174" s="1411"/>
      <c r="CW174" s="1425"/>
      <c r="CX174" s="1425"/>
      <c r="CY174" s="1425"/>
      <c r="CZ174" s="1425"/>
      <c r="DA174" s="1411"/>
      <c r="DB174" s="1411"/>
      <c r="DC174" s="1411"/>
      <c r="DD174" s="1411"/>
      <c r="DE174" s="1411"/>
      <c r="DF174" s="1411"/>
      <c r="DH174" s="1432"/>
      <c r="DI174" s="1432"/>
      <c r="DJ174" s="1437"/>
      <c r="DK174" s="1437"/>
      <c r="DL174" s="1437"/>
      <c r="DM174" s="1437"/>
      <c r="DN174" s="1432"/>
      <c r="DO174" s="1432"/>
      <c r="DP174" s="1432"/>
      <c r="DQ174" s="1432"/>
      <c r="DR174" s="1432"/>
      <c r="DS174" s="1432"/>
      <c r="DT174" s="1316"/>
      <c r="DU174" s="1433"/>
      <c r="DV174" s="1433"/>
      <c r="DW174" s="1433"/>
      <c r="DX174" s="1433"/>
      <c r="DY174" s="1433"/>
      <c r="DZ174" s="1433"/>
      <c r="EA174" s="1433"/>
      <c r="EB174" s="1433"/>
    </row>
    <row r="175" customFormat="false" ht="14.25" hidden="false" customHeight="false" outlineLevel="0" collapsed="false">
      <c r="A175" s="2" t="n">
        <f aca="false">'V_DATOS PAC_SGA'!R170</f>
        <v>0</v>
      </c>
      <c r="B175" s="2" t="n">
        <f aca="false">IF(I175="IV",CONCATENATE('V_DATOS PAC_SGA'!R170,"4")+0,CONCATENATE('V_DATOS PAC_SGA'!R170,"0")+0)</f>
        <v>0</v>
      </c>
      <c r="C175" s="2" t="n">
        <f aca="false">'V_DATOS PAC_SGA'!S170</f>
        <v>0</v>
      </c>
      <c r="D175" s="1409" t="n">
        <f aca="false">'V_DATOS PAC_SGA'!Y170</f>
        <v>0</v>
      </c>
      <c r="E175" s="1410" t="str">
        <f aca="false">IF('V_DATOS PAC_SGA'!AV170="","Regadio",'V_DATOS PAC_SGA'!AV170)</f>
        <v>Regadio</v>
      </c>
      <c r="F175" s="1411" t="n">
        <f aca="false">'V_DATOS PAC_SGA'!BK170</f>
        <v>0</v>
      </c>
      <c r="G175" s="1412" t="n">
        <f aca="false">'V_DATOS PAC_SGA'!AN170</f>
        <v>0</v>
      </c>
      <c r="H175" s="1413" t="str">
        <f aca="false">IF(B175&gt;0,VLOOKUP(B175,'O_MN, PE_UTA_UGM 2024'!E$3:O$419,10),"")</f>
        <v/>
      </c>
      <c r="I175" s="1359" t="n">
        <f aca="false">'V_DATOS PAC_SGA'!BV170</f>
        <v>0</v>
      </c>
      <c r="J175" s="2" t="str">
        <f aca="false">IF(AND(J$4=$G175,J$6=$F175),$D175*J$5,"")</f>
        <v/>
      </c>
      <c r="K175" s="2" t="str">
        <f aca="false">IF(AND(K$4=$G175,K$6=$F175),$D175*K$5,"")</f>
        <v/>
      </c>
      <c r="L175" s="2" t="str">
        <f aca="false">IF(AND(L$4=$G175,L$6=$F175),$D175*L$5,"")</f>
        <v/>
      </c>
      <c r="M175" s="2" t="str">
        <f aca="false">IF(AND(M$4=$G175,M$6=$F175),$D175*M$5,"")</f>
        <v/>
      </c>
      <c r="N175" s="1414" t="n">
        <f aca="false">VLOOKUP(B175,'O_MN, PE_UTA_UGM 2024'!$E$2:$K$419,IF(G175&gt;1,6,7))</f>
        <v>0</v>
      </c>
      <c r="O175" s="1434" t="str">
        <f aca="false">IF($H175=O$4,$D175*$N175,"")</f>
        <v/>
      </c>
      <c r="P175" s="1435" t="str">
        <f aca="false">IF($H175=P$4,$D175*$N175,"")</f>
        <v/>
      </c>
      <c r="Q175" s="1435" t="str">
        <f aca="false">IF($H175=Q$4,$D175*$N175,"")</f>
        <v/>
      </c>
      <c r="R175" s="1435" t="str">
        <f aca="false">IF($H175=R$4,$D175*$N175,"")</f>
        <v/>
      </c>
      <c r="S175" s="1435" t="str">
        <f aca="false">IF($H175=S$4,$D175*$N175,"")</f>
        <v/>
      </c>
      <c r="T175" s="1435" t="str">
        <f aca="false">IF($H175=T$4,$D175*$N175,"")</f>
        <v/>
      </c>
      <c r="U175" s="1436" t="str">
        <f aca="false">IF($H175=U$4,$D175*$N175,"")</f>
        <v/>
      </c>
      <c r="V175" s="1418"/>
      <c r="W175" s="1419"/>
      <c r="X175" s="1419"/>
      <c r="Y175" s="1419"/>
      <c r="Z175" s="1419"/>
      <c r="AA175" s="1419"/>
      <c r="AB175" s="1420"/>
      <c r="AC175" s="1319"/>
      <c r="AD175" s="2" t="str">
        <f aca="false">IF(AND(AD$4=$G175,AD$6=$F175),$B175,"")</f>
        <v/>
      </c>
      <c r="AE175" s="2" t="str">
        <f aca="false">IF(AND(AE$4=$G175,AE$6=$F175),$B175,"")</f>
        <v/>
      </c>
      <c r="AF175" s="2" t="str">
        <f aca="false">IF(AND(AF$4=$G175,AF$6=$F175),$B175,"")</f>
        <v/>
      </c>
      <c r="AG175" s="2" t="str">
        <f aca="false">IF(AND(AG$4=$G175,AG$6=$F175),$B175,"")</f>
        <v/>
      </c>
      <c r="AI175" s="366"/>
      <c r="AL175" s="367"/>
      <c r="AO175" s="367"/>
      <c r="AP175" s="2" t="str">
        <f aca="false">IF(AT175&gt;0,RANK(AT175,AT$7:AT$423),"")</f>
        <v/>
      </c>
      <c r="AQ175" s="2" t="n">
        <f aca="false">'O_MN, PE_UTA_UGM 2024'!C171</f>
        <v>182</v>
      </c>
      <c r="AR175" s="1421" t="n">
        <v>1814</v>
      </c>
      <c r="AS175" s="2" t="str">
        <f aca="false">IF(AY175&lt;&gt;"",AY175,"")</f>
        <v/>
      </c>
      <c r="AT175" s="1422" t="n">
        <f aca="false">IF(ISNUMBER($AR175),SUMIF(B$7:B$505,AR175,D$7:D$505),"")</f>
        <v>0</v>
      </c>
      <c r="AU175" s="1411" t="n">
        <f aca="false">IF(ISNUMBER($AR175),SUMIF(AD$7:AD$503,$AR175,J$7:J$503),"")</f>
        <v>0</v>
      </c>
      <c r="AV175" s="1411" t="n">
        <f aca="false">IF(ISNUMBER($AR175),SUMIF(AF$7:AF$503,$AR175,L$7:L$503),"")</f>
        <v>0</v>
      </c>
      <c r="AW175" s="1423" t="n">
        <f aca="false">IF(ISNUMBER($AR175),SUMIF(AE$7:AE$503,$AR175,K$7:K$503),"")</f>
        <v>0</v>
      </c>
      <c r="AX175" s="1423" t="n">
        <f aca="false">IF(ISNUMBER($AR175),SUMIF(AG$7:AG$503,$AR175,M$7:M$503),"")</f>
        <v>0</v>
      </c>
      <c r="AY175" s="2" t="str">
        <f aca="false">IF($AT175&gt;0,VLOOKUP($AR175,'O_MN, PE_UTA_UGM 2024'!E171:O587,2),"")</f>
        <v/>
      </c>
      <c r="AZ175" s="1424"/>
      <c r="BA175" s="1424"/>
      <c r="BB175" s="1424" t="str">
        <f aca="false">IF($AT175&gt;0,VLOOKUP($AR175,'O_MN, PE_UTA_UGM 2024'!$E$3:$O$419,BB$6),"")</f>
        <v/>
      </c>
      <c r="BC175" s="1424" t="str">
        <f aca="false">IF($AT175&gt;0,VLOOKUP($AR175,'O_MN, PE_UTA_UGM 2024'!$E$3:$O$419,BC$6),"")</f>
        <v/>
      </c>
      <c r="BD175" s="1424" t="str">
        <f aca="false">IF($AT175&gt;0,VLOOKUP($AR175,'O_MN, PE_UTA_UGM 2024'!$E$3:$O$419,BD$6),"")</f>
        <v/>
      </c>
      <c r="BE175" s="1424" t="str">
        <f aca="false">IF($AT175&gt;0,VLOOKUP($AR175,'O_MN, PE_UTA_UGM 2024'!$E$3:$O$419,BE$6),"")</f>
        <v/>
      </c>
      <c r="BF175" s="1424" t="str">
        <f aca="false">IF($AT175&gt;0,VLOOKUP($AR175,'O_MN, PE_UTA_UGM 2024'!$E$3:$O$419,BF$6),"")</f>
        <v/>
      </c>
      <c r="BG175" s="1424" t="str">
        <f aca="false">IF($AT175&gt;0,VLOOKUP($AR175,'O_MN, PE_UTA_UGM 2024'!$E$3:$O$419,BG$6),"")</f>
        <v/>
      </c>
      <c r="BH175" s="872"/>
      <c r="BI175" s="872"/>
      <c r="BJ175" s="872"/>
      <c r="BK175" s="872"/>
      <c r="BM175" s="1411"/>
      <c r="BN175" s="1411"/>
      <c r="BO175" s="1425" t="str">
        <f aca="false">IF(ISNUMBER($AU175*BB175*1),$AU175*BB175*1,"")</f>
        <v/>
      </c>
      <c r="BP175" s="1425" t="str">
        <f aca="false">IF(ISNUMBER($AV175*BC175*1),$AV175*BC175*1,"")</f>
        <v/>
      </c>
      <c r="BQ175" s="1425" t="str">
        <f aca="false">IF(ISNUMBER($AU175*BD175*1),$AU175*BD175*1,"")</f>
        <v/>
      </c>
      <c r="BR175" s="1425" t="str">
        <f aca="false">IF(ISNUMBER($AV175*BE175*1),$AV175*BE175*1,"")</f>
        <v/>
      </c>
      <c r="BS175" s="1411" t="str">
        <f aca="false">IF(ISNUMBER($AU175*BF175),$AU175*BF175,"")</f>
        <v/>
      </c>
      <c r="BT175" s="1411" t="str">
        <f aca="false">IF(ISNUMBER($AV175*BG175),$AV175*BG175,"")</f>
        <v/>
      </c>
      <c r="BU175" s="1411"/>
      <c r="BV175" s="1411"/>
      <c r="BW175" s="1411"/>
      <c r="BX175" s="1411"/>
      <c r="BZ175" s="1372"/>
      <c r="CA175" s="1372"/>
      <c r="CB175" s="1426" t="str">
        <f aca="false">IF(ISNUMBER($AW175*BB175),$AW175*BB175,"")</f>
        <v/>
      </c>
      <c r="CC175" s="1426" t="str">
        <f aca="false">IF(ISNUMBER($AX175*BC175),$AX175*BC175,"")</f>
        <v/>
      </c>
      <c r="CD175" s="1426" t="str">
        <f aca="false">IF(ISNUMBER($AW175*BD175),$AW175*BD175,"")</f>
        <v/>
      </c>
      <c r="CE175" s="1426" t="str">
        <f aca="false">IF(ISNUMBER($AX175*BE175),$AX175*BE175,"")</f>
        <v/>
      </c>
      <c r="CF175" s="1372" t="str">
        <f aca="false">IF(ISNUMBER($AW175*BF175),$AW175*BF175,"")</f>
        <v/>
      </c>
      <c r="CG175" s="1372" t="str">
        <f aca="false">IF(ISNUMBER($AX175*BG175),$AX175*BG175,"")</f>
        <v/>
      </c>
      <c r="CH175" s="1438"/>
      <c r="CI175" s="1438"/>
      <c r="CJ175" s="1438"/>
      <c r="CK175" s="1438"/>
      <c r="CU175" s="1411"/>
      <c r="CV175" s="1411"/>
      <c r="CW175" s="1425"/>
      <c r="CX175" s="1425"/>
      <c r="CY175" s="1425"/>
      <c r="CZ175" s="1425"/>
      <c r="DA175" s="1411"/>
      <c r="DB175" s="1411"/>
      <c r="DC175" s="1411"/>
      <c r="DD175" s="1411"/>
      <c r="DE175" s="1411"/>
      <c r="DF175" s="1411"/>
      <c r="DH175" s="1432"/>
      <c r="DI175" s="1432"/>
      <c r="DJ175" s="1437"/>
      <c r="DK175" s="1437"/>
      <c r="DL175" s="1437"/>
      <c r="DM175" s="1437"/>
      <c r="DN175" s="1432"/>
      <c r="DO175" s="1432"/>
      <c r="DP175" s="1432"/>
      <c r="DQ175" s="1432"/>
      <c r="DR175" s="1432"/>
      <c r="DS175" s="1432"/>
      <c r="DT175" s="1316"/>
      <c r="DU175" s="1433"/>
      <c r="DV175" s="1433"/>
      <c r="DW175" s="1433"/>
      <c r="DX175" s="1433"/>
      <c r="DY175" s="1433"/>
      <c r="DZ175" s="1433"/>
      <c r="EA175" s="1433"/>
      <c r="EB175" s="1433"/>
    </row>
    <row r="176" customFormat="false" ht="14.25" hidden="false" customHeight="false" outlineLevel="0" collapsed="false">
      <c r="A176" s="2" t="n">
        <f aca="false">'V_DATOS PAC_SGA'!R171</f>
        <v>0</v>
      </c>
      <c r="B176" s="2" t="n">
        <f aca="false">IF(I176="IV",CONCATENATE('V_DATOS PAC_SGA'!R171,"4")+0,CONCATENATE('V_DATOS PAC_SGA'!R171,"0")+0)</f>
        <v>0</v>
      </c>
      <c r="C176" s="2" t="n">
        <f aca="false">'V_DATOS PAC_SGA'!S171</f>
        <v>0</v>
      </c>
      <c r="D176" s="1409" t="n">
        <f aca="false">'V_DATOS PAC_SGA'!Y171</f>
        <v>0</v>
      </c>
      <c r="E176" s="1410" t="str">
        <f aca="false">IF('V_DATOS PAC_SGA'!AV171="","Regadio",'V_DATOS PAC_SGA'!AV171)</f>
        <v>Regadio</v>
      </c>
      <c r="F176" s="1411" t="n">
        <f aca="false">'V_DATOS PAC_SGA'!BK171</f>
        <v>0</v>
      </c>
      <c r="G176" s="1412" t="n">
        <f aca="false">'V_DATOS PAC_SGA'!AN171</f>
        <v>0</v>
      </c>
      <c r="H176" s="1413" t="str">
        <f aca="false">IF(B176&gt;0,VLOOKUP(B176,'O_MN, PE_UTA_UGM 2024'!E$3:O$419,10),"")</f>
        <v/>
      </c>
      <c r="I176" s="1359" t="n">
        <f aca="false">'V_DATOS PAC_SGA'!BV171</f>
        <v>0</v>
      </c>
      <c r="J176" s="2" t="str">
        <f aca="false">IF(AND(J$4=$G176,J$6=$F176),$D176*J$5,"")</f>
        <v/>
      </c>
      <c r="K176" s="2" t="str">
        <f aca="false">IF(AND(K$4=$G176,K$6=$F176),$D176*K$5,"")</f>
        <v/>
      </c>
      <c r="L176" s="2" t="str">
        <f aca="false">IF(AND(L$4=$G176,L$6=$F176),$D176*L$5,"")</f>
        <v/>
      </c>
      <c r="M176" s="2" t="str">
        <f aca="false">IF(AND(M$4=$G176,M$6=$F176),$D176*M$5,"")</f>
        <v/>
      </c>
      <c r="N176" s="1414" t="n">
        <f aca="false">VLOOKUP(B176,'O_MN, PE_UTA_UGM 2024'!$E$2:$K$419,IF(G176&gt;1,6,7))</f>
        <v>0</v>
      </c>
      <c r="O176" s="1434" t="str">
        <f aca="false">IF($H176=O$4,$D176*$N176,"")</f>
        <v/>
      </c>
      <c r="P176" s="1435" t="str">
        <f aca="false">IF($H176=P$4,$D176*$N176,"")</f>
        <v/>
      </c>
      <c r="Q176" s="1435" t="str">
        <f aca="false">IF($H176=Q$4,$D176*$N176,"")</f>
        <v/>
      </c>
      <c r="R176" s="1435" t="str">
        <f aca="false">IF($H176=R$4,$D176*$N176,"")</f>
        <v/>
      </c>
      <c r="S176" s="1435" t="str">
        <f aca="false">IF($H176=S$4,$D176*$N176,"")</f>
        <v/>
      </c>
      <c r="T176" s="1435" t="str">
        <f aca="false">IF($H176=T$4,$D176*$N176,"")</f>
        <v/>
      </c>
      <c r="U176" s="1436" t="str">
        <f aca="false">IF($H176=U$4,$D176*$N176,"")</f>
        <v/>
      </c>
      <c r="V176" s="1418"/>
      <c r="W176" s="1419"/>
      <c r="X176" s="1419"/>
      <c r="Y176" s="1419"/>
      <c r="Z176" s="1419"/>
      <c r="AA176" s="1419"/>
      <c r="AB176" s="1420"/>
      <c r="AC176" s="1319"/>
      <c r="AD176" s="2" t="str">
        <f aca="false">IF(AND(AD$4=$G176,AD$6=$F176),$B176,"")</f>
        <v/>
      </c>
      <c r="AE176" s="2" t="str">
        <f aca="false">IF(AND(AE$4=$G176,AE$6=$F176),$B176,"")</f>
        <v/>
      </c>
      <c r="AF176" s="2" t="str">
        <f aca="false">IF(AND(AF$4=$G176,AF$6=$F176),$B176,"")</f>
        <v/>
      </c>
      <c r="AG176" s="2" t="str">
        <f aca="false">IF(AND(AG$4=$G176,AG$6=$F176),$B176,"")</f>
        <v/>
      </c>
      <c r="AI176" s="366"/>
      <c r="AL176" s="367"/>
      <c r="AO176" s="367"/>
      <c r="AP176" s="2" t="str">
        <f aca="false">IF(AT176&gt;0,RANK(AT176,AT$7:AT$423),"")</f>
        <v/>
      </c>
      <c r="AQ176" s="2" t="n">
        <f aca="false">'O_MN, PE_UTA_UGM 2024'!C172</f>
        <v>183</v>
      </c>
      <c r="AR176" s="1421" t="n">
        <v>1819</v>
      </c>
      <c r="AS176" s="2" t="str">
        <f aca="false">IF(AY176&lt;&gt;"",AY176,"")</f>
        <v/>
      </c>
      <c r="AT176" s="1422" t="n">
        <f aca="false">IF(ISNUMBER($AR176),SUMIF(B$7:B$505,AR176,D$7:D$505),"")</f>
        <v>0</v>
      </c>
      <c r="AU176" s="1411" t="n">
        <f aca="false">IF(ISNUMBER($AR176),SUMIF(AD$7:AD$503,$AR176,J$7:J$503),"")</f>
        <v>0</v>
      </c>
      <c r="AV176" s="1411" t="n">
        <f aca="false">IF(ISNUMBER($AR176),SUMIF(AF$7:AF$503,$AR176,L$7:L$503),"")</f>
        <v>0</v>
      </c>
      <c r="AW176" s="1423" t="n">
        <f aca="false">IF(ISNUMBER($AR176),SUMIF(AE$7:AE$503,$AR176,K$7:K$503),"")</f>
        <v>0</v>
      </c>
      <c r="AX176" s="1423" t="n">
        <f aca="false">IF(ISNUMBER($AR176),SUMIF(AG$7:AG$503,$AR176,M$7:M$503),"")</f>
        <v>0</v>
      </c>
      <c r="AY176" s="2" t="str">
        <f aca="false">IF($AT176&gt;0,VLOOKUP($AR176,'O_MN, PE_UTA_UGM 2024'!E172:O588,2),"")</f>
        <v/>
      </c>
      <c r="AZ176" s="1424"/>
      <c r="BA176" s="1424"/>
      <c r="BB176" s="1424" t="str">
        <f aca="false">IF($AT176&gt;0,VLOOKUP($AR176,'O_MN, PE_UTA_UGM 2024'!$E$3:$O$419,BB$6),"")</f>
        <v/>
      </c>
      <c r="BC176" s="1424" t="str">
        <f aca="false">IF($AT176&gt;0,VLOOKUP($AR176,'O_MN, PE_UTA_UGM 2024'!$E$3:$O$419,BC$6),"")</f>
        <v/>
      </c>
      <c r="BD176" s="1424" t="str">
        <f aca="false">IF($AT176&gt;0,VLOOKUP($AR176,'O_MN, PE_UTA_UGM 2024'!$E$3:$O$419,BD$6),"")</f>
        <v/>
      </c>
      <c r="BE176" s="1424" t="str">
        <f aca="false">IF($AT176&gt;0,VLOOKUP($AR176,'O_MN, PE_UTA_UGM 2024'!$E$3:$O$419,BE$6),"")</f>
        <v/>
      </c>
      <c r="BF176" s="1424" t="str">
        <f aca="false">IF($AT176&gt;0,VLOOKUP($AR176,'O_MN, PE_UTA_UGM 2024'!$E$3:$O$419,BF$6),"")</f>
        <v/>
      </c>
      <c r="BG176" s="1424" t="str">
        <f aca="false">IF($AT176&gt;0,VLOOKUP($AR176,'O_MN, PE_UTA_UGM 2024'!$E$3:$O$419,BG$6),"")</f>
        <v/>
      </c>
      <c r="BH176" s="872"/>
      <c r="BI176" s="872"/>
      <c r="BJ176" s="872"/>
      <c r="BK176" s="872"/>
      <c r="BM176" s="1411"/>
      <c r="BN176" s="1411"/>
      <c r="BO176" s="1425" t="str">
        <f aca="false">IF(ISNUMBER($AU176*BB176*1),$AU176*BB176*1,"")</f>
        <v/>
      </c>
      <c r="BP176" s="1425" t="str">
        <f aca="false">IF(ISNUMBER($AV176*BC176*1),$AV176*BC176*1,"")</f>
        <v/>
      </c>
      <c r="BQ176" s="1425" t="str">
        <f aca="false">IF(ISNUMBER($AU176*BD176*1),$AU176*BD176*1,"")</f>
        <v/>
      </c>
      <c r="BR176" s="1425" t="str">
        <f aca="false">IF(ISNUMBER($AV176*BE176*1),$AV176*BE176*1,"")</f>
        <v/>
      </c>
      <c r="BS176" s="1411" t="str">
        <f aca="false">IF(ISNUMBER($AU176*BF176),$AU176*BF176,"")</f>
        <v/>
      </c>
      <c r="BT176" s="1411" t="str">
        <f aca="false">IF(ISNUMBER($AV176*BG176),$AV176*BG176,"")</f>
        <v/>
      </c>
      <c r="BU176" s="1411"/>
      <c r="BV176" s="1411"/>
      <c r="BW176" s="1411"/>
      <c r="BX176" s="1411"/>
      <c r="BZ176" s="1372"/>
      <c r="CA176" s="1372"/>
      <c r="CB176" s="1426" t="str">
        <f aca="false">IF(ISNUMBER($AW176*BB176),$AW176*BB176,"")</f>
        <v/>
      </c>
      <c r="CC176" s="1426" t="str">
        <f aca="false">IF(ISNUMBER($AX176*BC176),$AX176*BC176,"")</f>
        <v/>
      </c>
      <c r="CD176" s="1426" t="str">
        <f aca="false">IF(ISNUMBER($AW176*BD176),$AW176*BD176,"")</f>
        <v/>
      </c>
      <c r="CE176" s="1426" t="str">
        <f aca="false">IF(ISNUMBER($AX176*BE176),$AX176*BE176,"")</f>
        <v/>
      </c>
      <c r="CF176" s="1372" t="str">
        <f aca="false">IF(ISNUMBER($AW176*BF176),$AW176*BF176,"")</f>
        <v/>
      </c>
      <c r="CG176" s="1372" t="str">
        <f aca="false">IF(ISNUMBER($AX176*BG176),$AX176*BG176,"")</f>
        <v/>
      </c>
      <c r="CH176" s="1438"/>
      <c r="CI176" s="1438"/>
      <c r="CJ176" s="1438"/>
      <c r="CK176" s="1438"/>
      <c r="CU176" s="1411"/>
      <c r="CV176" s="1411"/>
      <c r="CW176" s="1425"/>
      <c r="CX176" s="1425"/>
      <c r="CY176" s="1425"/>
      <c r="CZ176" s="1425"/>
      <c r="DA176" s="1411"/>
      <c r="DB176" s="1411"/>
      <c r="DC176" s="1411"/>
      <c r="DD176" s="1411"/>
      <c r="DE176" s="1411"/>
      <c r="DF176" s="1411"/>
      <c r="DH176" s="1432"/>
      <c r="DI176" s="1432"/>
      <c r="DJ176" s="1437"/>
      <c r="DK176" s="1437"/>
      <c r="DL176" s="1437"/>
      <c r="DM176" s="1437"/>
      <c r="DN176" s="1432"/>
      <c r="DO176" s="1432"/>
      <c r="DP176" s="1432"/>
      <c r="DQ176" s="1432"/>
      <c r="DR176" s="1432"/>
      <c r="DS176" s="1432"/>
      <c r="DT176" s="1316"/>
      <c r="DU176" s="1433"/>
      <c r="DV176" s="1433"/>
      <c r="DW176" s="1433"/>
      <c r="DX176" s="1433"/>
      <c r="DY176" s="1433"/>
      <c r="DZ176" s="1433"/>
      <c r="EA176" s="1433"/>
      <c r="EB176" s="1433"/>
    </row>
    <row r="177" customFormat="false" ht="14.25" hidden="false" customHeight="false" outlineLevel="0" collapsed="false">
      <c r="A177" s="2" t="n">
        <f aca="false">'V_DATOS PAC_SGA'!R172</f>
        <v>0</v>
      </c>
      <c r="B177" s="2" t="n">
        <f aca="false">IF(I177="IV",CONCATENATE('V_DATOS PAC_SGA'!R172,"4")+0,CONCATENATE('V_DATOS PAC_SGA'!R172,"0")+0)</f>
        <v>0</v>
      </c>
      <c r="C177" s="2" t="n">
        <f aca="false">'V_DATOS PAC_SGA'!S172</f>
        <v>0</v>
      </c>
      <c r="D177" s="1409" t="n">
        <f aca="false">'V_DATOS PAC_SGA'!Y172</f>
        <v>0</v>
      </c>
      <c r="E177" s="1410" t="str">
        <f aca="false">IF('V_DATOS PAC_SGA'!AV172="","Regadio",'V_DATOS PAC_SGA'!AV172)</f>
        <v>Regadio</v>
      </c>
      <c r="F177" s="1411" t="n">
        <f aca="false">'V_DATOS PAC_SGA'!BK172</f>
        <v>0</v>
      </c>
      <c r="G177" s="1412" t="n">
        <f aca="false">'V_DATOS PAC_SGA'!AN172</f>
        <v>0</v>
      </c>
      <c r="H177" s="1413" t="str">
        <f aca="false">IF(B177&gt;0,VLOOKUP(B177,'O_MN, PE_UTA_UGM 2024'!E$3:O$419,10),"")</f>
        <v/>
      </c>
      <c r="I177" s="1359" t="n">
        <f aca="false">'V_DATOS PAC_SGA'!BV172</f>
        <v>0</v>
      </c>
      <c r="J177" s="2" t="str">
        <f aca="false">IF(AND(J$4=$G177,J$6=$F177),$D177*J$5,"")</f>
        <v/>
      </c>
      <c r="K177" s="2" t="str">
        <f aca="false">IF(AND(K$4=$G177,K$6=$F177),$D177*K$5,"")</f>
        <v/>
      </c>
      <c r="L177" s="2" t="str">
        <f aca="false">IF(AND(L$4=$G177,L$6=$F177),$D177*L$5,"")</f>
        <v/>
      </c>
      <c r="M177" s="2" t="str">
        <f aca="false">IF(AND(M$4=$G177,M$6=$F177),$D177*M$5,"")</f>
        <v/>
      </c>
      <c r="N177" s="1414" t="n">
        <f aca="false">VLOOKUP(B177,'O_MN, PE_UTA_UGM 2024'!$E$2:$K$419,IF(G177&gt;1,6,7))</f>
        <v>0</v>
      </c>
      <c r="O177" s="1434" t="str">
        <f aca="false">IF($H177=O$4,$D177*$N177,"")</f>
        <v/>
      </c>
      <c r="P177" s="1435" t="str">
        <f aca="false">IF($H177=P$4,$D177*$N177,"")</f>
        <v/>
      </c>
      <c r="Q177" s="1435" t="str">
        <f aca="false">IF($H177=Q$4,$D177*$N177,"")</f>
        <v/>
      </c>
      <c r="R177" s="1435" t="str">
        <f aca="false">IF($H177=R$4,$D177*$N177,"")</f>
        <v/>
      </c>
      <c r="S177" s="1435" t="str">
        <f aca="false">IF($H177=S$4,$D177*$N177,"")</f>
        <v/>
      </c>
      <c r="T177" s="1435" t="str">
        <f aca="false">IF($H177=T$4,$D177*$N177,"")</f>
        <v/>
      </c>
      <c r="U177" s="1436" t="str">
        <f aca="false">IF($H177=U$4,$D177*$N177,"")</f>
        <v/>
      </c>
      <c r="V177" s="1418"/>
      <c r="W177" s="1419"/>
      <c r="X177" s="1419"/>
      <c r="Y177" s="1419"/>
      <c r="Z177" s="1419"/>
      <c r="AA177" s="1419"/>
      <c r="AB177" s="1420"/>
      <c r="AC177" s="1319"/>
      <c r="AD177" s="2" t="str">
        <f aca="false">IF(AND(AD$4=$G177,AD$6=$F177),$B177,"")</f>
        <v/>
      </c>
      <c r="AE177" s="2" t="str">
        <f aca="false">IF(AND(AE$4=$G177,AE$6=$F177),$B177,"")</f>
        <v/>
      </c>
      <c r="AF177" s="2" t="str">
        <f aca="false">IF(AND(AF$4=$G177,AF$6=$F177),$B177,"")</f>
        <v/>
      </c>
      <c r="AG177" s="2" t="str">
        <f aca="false">IF(AND(AG$4=$G177,AG$6=$F177),$B177,"")</f>
        <v/>
      </c>
      <c r="AI177" s="366"/>
      <c r="AL177" s="367"/>
      <c r="AO177" s="367"/>
      <c r="AP177" s="2" t="str">
        <f aca="false">IF(AT177&gt;0,RANK(AT177,AT$7:AT$423),"")</f>
        <v/>
      </c>
      <c r="AQ177" s="2" t="n">
        <f aca="false">'O_MN, PE_UTA_UGM 2024'!C173</f>
        <v>183</v>
      </c>
      <c r="AR177" s="1421" t="n">
        <v>1820</v>
      </c>
      <c r="AS177" s="2" t="str">
        <f aca="false">IF(AY177&lt;&gt;"",AY177,"")</f>
        <v/>
      </c>
      <c r="AT177" s="1422" t="n">
        <f aca="false">IF(ISNUMBER($AR177),SUMIF(B$7:B$505,AR177,D$7:D$505),"")</f>
        <v>0</v>
      </c>
      <c r="AU177" s="1411" t="n">
        <f aca="false">IF(ISNUMBER($AR177),SUMIF(AD$7:AD$503,$AR177,J$7:J$503),"")</f>
        <v>0</v>
      </c>
      <c r="AV177" s="1411" t="n">
        <f aca="false">IF(ISNUMBER($AR177),SUMIF(AF$7:AF$503,$AR177,L$7:L$503),"")</f>
        <v>0</v>
      </c>
      <c r="AW177" s="1423" t="n">
        <f aca="false">IF(ISNUMBER($AR177),SUMIF(AE$7:AE$503,$AR177,K$7:K$503),"")</f>
        <v>0</v>
      </c>
      <c r="AX177" s="1423" t="n">
        <f aca="false">IF(ISNUMBER($AR177),SUMIF(AG$7:AG$503,$AR177,M$7:M$503),"")</f>
        <v>0</v>
      </c>
      <c r="AY177" s="2" t="str">
        <f aca="false">IF($AT177&gt;0,VLOOKUP($AR177,'O_MN, PE_UTA_UGM 2024'!E173:O589,2),"")</f>
        <v/>
      </c>
      <c r="AZ177" s="1424"/>
      <c r="BA177" s="1424"/>
      <c r="BB177" s="1424" t="str">
        <f aca="false">IF($AT177&gt;0,VLOOKUP($AR177,'O_MN, PE_UTA_UGM 2024'!$E$3:$O$419,BB$6),"")</f>
        <v/>
      </c>
      <c r="BC177" s="1424" t="str">
        <f aca="false">IF($AT177&gt;0,VLOOKUP($AR177,'O_MN, PE_UTA_UGM 2024'!$E$3:$O$419,BC$6),"")</f>
        <v/>
      </c>
      <c r="BD177" s="1424" t="str">
        <f aca="false">IF($AT177&gt;0,VLOOKUP($AR177,'O_MN, PE_UTA_UGM 2024'!$E$3:$O$419,BD$6),"")</f>
        <v/>
      </c>
      <c r="BE177" s="1424" t="str">
        <f aca="false">IF($AT177&gt;0,VLOOKUP($AR177,'O_MN, PE_UTA_UGM 2024'!$E$3:$O$419,BE$6),"")</f>
        <v/>
      </c>
      <c r="BF177" s="1424" t="str">
        <f aca="false">IF($AT177&gt;0,VLOOKUP($AR177,'O_MN, PE_UTA_UGM 2024'!$E$3:$O$419,BF$6),"")</f>
        <v/>
      </c>
      <c r="BG177" s="1424" t="str">
        <f aca="false">IF($AT177&gt;0,VLOOKUP($AR177,'O_MN, PE_UTA_UGM 2024'!$E$3:$O$419,BG$6),"")</f>
        <v/>
      </c>
      <c r="BH177" s="872"/>
      <c r="BI177" s="872"/>
      <c r="BJ177" s="872"/>
      <c r="BK177" s="872"/>
      <c r="BM177" s="1411"/>
      <c r="BN177" s="1411"/>
      <c r="BO177" s="1425" t="str">
        <f aca="false">IF(ISNUMBER($AU177*BB177*1),$AU177*BB177*1,"")</f>
        <v/>
      </c>
      <c r="BP177" s="1425" t="str">
        <f aca="false">IF(ISNUMBER($AV177*BC177*1),$AV177*BC177*1,"")</f>
        <v/>
      </c>
      <c r="BQ177" s="1425" t="str">
        <f aca="false">IF(ISNUMBER($AU177*BD177*1),$AU177*BD177*1,"")</f>
        <v/>
      </c>
      <c r="BR177" s="1425" t="str">
        <f aca="false">IF(ISNUMBER($AV177*BE177*1),$AV177*BE177*1,"")</f>
        <v/>
      </c>
      <c r="BS177" s="1411" t="str">
        <f aca="false">IF(ISNUMBER($AU177*BF177),$AU177*BF177,"")</f>
        <v/>
      </c>
      <c r="BT177" s="1411" t="str">
        <f aca="false">IF(ISNUMBER($AV177*BG177),$AV177*BG177,"")</f>
        <v/>
      </c>
      <c r="BU177" s="1411"/>
      <c r="BV177" s="1411"/>
      <c r="BW177" s="1411"/>
      <c r="BX177" s="1411"/>
      <c r="BZ177" s="1372"/>
      <c r="CA177" s="1372"/>
      <c r="CB177" s="1426" t="str">
        <f aca="false">IF(ISNUMBER($AW177*BB177),$AW177*BB177,"")</f>
        <v/>
      </c>
      <c r="CC177" s="1426" t="str">
        <f aca="false">IF(ISNUMBER($AX177*BC177),$AX177*BC177,"")</f>
        <v/>
      </c>
      <c r="CD177" s="1426" t="str">
        <f aca="false">IF(ISNUMBER($AW177*BD177),$AW177*BD177,"")</f>
        <v/>
      </c>
      <c r="CE177" s="1426" t="str">
        <f aca="false">IF(ISNUMBER($AX177*BE177),$AX177*BE177,"")</f>
        <v/>
      </c>
      <c r="CF177" s="1372" t="str">
        <f aca="false">IF(ISNUMBER($AW177*BF177),$AW177*BF177,"")</f>
        <v/>
      </c>
      <c r="CG177" s="1372" t="str">
        <f aca="false">IF(ISNUMBER($AX177*BG177),$AX177*BG177,"")</f>
        <v/>
      </c>
      <c r="CH177" s="1438"/>
      <c r="CI177" s="1438"/>
      <c r="CJ177" s="1438"/>
      <c r="CK177" s="1438"/>
      <c r="CU177" s="1411"/>
      <c r="CV177" s="1411"/>
      <c r="CW177" s="1425"/>
      <c r="CX177" s="1425"/>
      <c r="CY177" s="1425"/>
      <c r="CZ177" s="1425"/>
      <c r="DA177" s="1411"/>
      <c r="DB177" s="1411"/>
      <c r="DC177" s="1411"/>
      <c r="DD177" s="1411"/>
      <c r="DE177" s="1411"/>
      <c r="DF177" s="1411"/>
      <c r="DH177" s="1432"/>
      <c r="DI177" s="1432"/>
      <c r="DJ177" s="1437"/>
      <c r="DK177" s="1437"/>
      <c r="DL177" s="1437"/>
      <c r="DM177" s="1437"/>
      <c r="DN177" s="1432"/>
      <c r="DO177" s="1432"/>
      <c r="DP177" s="1432"/>
      <c r="DQ177" s="1432"/>
      <c r="DR177" s="1432"/>
      <c r="DS177" s="1432"/>
      <c r="DT177" s="1316"/>
      <c r="DU177" s="1433"/>
      <c r="DV177" s="1433"/>
      <c r="DW177" s="1433"/>
      <c r="DX177" s="1433"/>
      <c r="DY177" s="1433"/>
      <c r="DZ177" s="1433"/>
      <c r="EA177" s="1433"/>
      <c r="EB177" s="1433"/>
    </row>
    <row r="178" customFormat="false" ht="14.25" hidden="false" customHeight="false" outlineLevel="0" collapsed="false">
      <c r="A178" s="2" t="n">
        <f aca="false">'V_DATOS PAC_SGA'!R173</f>
        <v>0</v>
      </c>
      <c r="B178" s="2" t="n">
        <f aca="false">IF(I178="IV",CONCATENATE('V_DATOS PAC_SGA'!R173,"4")+0,CONCATENATE('V_DATOS PAC_SGA'!R173,"0")+0)</f>
        <v>0</v>
      </c>
      <c r="C178" s="2" t="n">
        <f aca="false">'V_DATOS PAC_SGA'!S173</f>
        <v>0</v>
      </c>
      <c r="D178" s="1409" t="n">
        <f aca="false">'V_DATOS PAC_SGA'!Y173</f>
        <v>0</v>
      </c>
      <c r="E178" s="1410" t="str">
        <f aca="false">IF('V_DATOS PAC_SGA'!AV173="","Regadio",'V_DATOS PAC_SGA'!AV173)</f>
        <v>Regadio</v>
      </c>
      <c r="F178" s="1411" t="n">
        <f aca="false">'V_DATOS PAC_SGA'!BK173</f>
        <v>0</v>
      </c>
      <c r="G178" s="1412" t="n">
        <f aca="false">'V_DATOS PAC_SGA'!AN173</f>
        <v>0</v>
      </c>
      <c r="H178" s="1413" t="str">
        <f aca="false">IF(B178&gt;0,VLOOKUP(B178,'O_MN, PE_UTA_UGM 2024'!E$3:O$419,10),"")</f>
        <v/>
      </c>
      <c r="I178" s="1359" t="n">
        <f aca="false">'V_DATOS PAC_SGA'!BV173</f>
        <v>0</v>
      </c>
      <c r="J178" s="2" t="str">
        <f aca="false">IF(AND(J$4=$G178,J$6=$F178),$D178*J$5,"")</f>
        <v/>
      </c>
      <c r="K178" s="2" t="str">
        <f aca="false">IF(AND(K$4=$G178,K$6=$F178),$D178*K$5,"")</f>
        <v/>
      </c>
      <c r="L178" s="2" t="str">
        <f aca="false">IF(AND(L$4=$G178,L$6=$F178),$D178*L$5,"")</f>
        <v/>
      </c>
      <c r="M178" s="2" t="str">
        <f aca="false">IF(AND(M$4=$G178,M$6=$F178),$D178*M$5,"")</f>
        <v/>
      </c>
      <c r="N178" s="1414" t="n">
        <f aca="false">VLOOKUP(B178,'O_MN, PE_UTA_UGM 2024'!$E$2:$K$419,IF(G178&gt;1,6,7))</f>
        <v>0</v>
      </c>
      <c r="O178" s="1434" t="str">
        <f aca="false">IF($H178=O$4,$D178*$N178,"")</f>
        <v/>
      </c>
      <c r="P178" s="1435" t="str">
        <f aca="false">IF($H178=P$4,$D178*$N178,"")</f>
        <v/>
      </c>
      <c r="Q178" s="1435" t="str">
        <f aca="false">IF($H178=Q$4,$D178*$N178,"")</f>
        <v/>
      </c>
      <c r="R178" s="1435" t="str">
        <f aca="false">IF($H178=R$4,$D178*$N178,"")</f>
        <v/>
      </c>
      <c r="S178" s="1435" t="str">
        <f aca="false">IF($H178=S$4,$D178*$N178,"")</f>
        <v/>
      </c>
      <c r="T178" s="1435" t="str">
        <f aca="false">IF($H178=T$4,$D178*$N178,"")</f>
        <v/>
      </c>
      <c r="U178" s="1436" t="str">
        <f aca="false">IF($H178=U$4,$D178*$N178,"")</f>
        <v/>
      </c>
      <c r="V178" s="1418"/>
      <c r="W178" s="1419"/>
      <c r="X178" s="1419"/>
      <c r="Y178" s="1419"/>
      <c r="Z178" s="1419"/>
      <c r="AA178" s="1419"/>
      <c r="AB178" s="1420"/>
      <c r="AC178" s="1319"/>
      <c r="AD178" s="2" t="str">
        <f aca="false">IF(AND(AD$4=$G178,AD$6=$F178),$B178,"")</f>
        <v/>
      </c>
      <c r="AE178" s="2" t="str">
        <f aca="false">IF(AND(AE$4=$G178,AE$6=$F178),$B178,"")</f>
        <v/>
      </c>
      <c r="AF178" s="2" t="str">
        <f aca="false">IF(AND(AF$4=$G178,AF$6=$F178),$B178,"")</f>
        <v/>
      </c>
      <c r="AG178" s="2" t="str">
        <f aca="false">IF(AND(AG$4=$G178,AG$6=$F178),$B178,"")</f>
        <v/>
      </c>
      <c r="AI178" s="366"/>
      <c r="AL178" s="367"/>
      <c r="AO178" s="367"/>
      <c r="AP178" s="2" t="str">
        <f aca="false">IF(AT178&gt;0,RANK(AT178,AT$7:AT$423),"")</f>
        <v/>
      </c>
      <c r="AQ178" s="2" t="n">
        <f aca="false">'O_MN, PE_UTA_UGM 2024'!C174</f>
        <v>183</v>
      </c>
      <c r="AR178" s="1421" t="n">
        <v>1824</v>
      </c>
      <c r="AS178" s="2" t="str">
        <f aca="false">IF(AY178&lt;&gt;"",AY178,"")</f>
        <v/>
      </c>
      <c r="AT178" s="1422" t="n">
        <f aca="false">IF(ISNUMBER($AR178),SUMIF(B$7:B$505,AR178,D$7:D$505),"")</f>
        <v>0</v>
      </c>
      <c r="AU178" s="1411" t="n">
        <f aca="false">IF(ISNUMBER($AR178),SUMIF(AD$7:AD$503,$AR178,J$7:J$503),"")</f>
        <v>0</v>
      </c>
      <c r="AV178" s="1411" t="n">
        <f aca="false">IF(ISNUMBER($AR178),SUMIF(AF$7:AF$503,$AR178,L$7:L$503),"")</f>
        <v>0</v>
      </c>
      <c r="AW178" s="1423" t="n">
        <f aca="false">IF(ISNUMBER($AR178),SUMIF(AE$7:AE$503,$AR178,K$7:K$503),"")</f>
        <v>0</v>
      </c>
      <c r="AX178" s="1423" t="n">
        <f aca="false">IF(ISNUMBER($AR178),SUMIF(AG$7:AG$503,$AR178,M$7:M$503),"")</f>
        <v>0</v>
      </c>
      <c r="AY178" s="2" t="str">
        <f aca="false">IF($AT178&gt;0,VLOOKUP($AR178,'O_MN, PE_UTA_UGM 2024'!E174:O590,2),"")</f>
        <v/>
      </c>
      <c r="AZ178" s="1424"/>
      <c r="BA178" s="1424"/>
      <c r="BB178" s="1424" t="str">
        <f aca="false">IF($AT178&gt;0,VLOOKUP($AR178,'O_MN, PE_UTA_UGM 2024'!$E$3:$O$419,BB$6),"")</f>
        <v/>
      </c>
      <c r="BC178" s="1424" t="str">
        <f aca="false">IF($AT178&gt;0,VLOOKUP($AR178,'O_MN, PE_UTA_UGM 2024'!$E$3:$O$419,BC$6),"")</f>
        <v/>
      </c>
      <c r="BD178" s="1424" t="str">
        <f aca="false">IF($AT178&gt;0,VLOOKUP($AR178,'O_MN, PE_UTA_UGM 2024'!$E$3:$O$419,BD$6),"")</f>
        <v/>
      </c>
      <c r="BE178" s="1424" t="str">
        <f aca="false">IF($AT178&gt;0,VLOOKUP($AR178,'O_MN, PE_UTA_UGM 2024'!$E$3:$O$419,BE$6),"")</f>
        <v/>
      </c>
      <c r="BF178" s="1424" t="str">
        <f aca="false">IF($AT178&gt;0,VLOOKUP($AR178,'O_MN, PE_UTA_UGM 2024'!$E$3:$O$419,BF$6),"")</f>
        <v/>
      </c>
      <c r="BG178" s="1424" t="str">
        <f aca="false">IF($AT178&gt;0,VLOOKUP($AR178,'O_MN, PE_UTA_UGM 2024'!$E$3:$O$419,BG$6),"")</f>
        <v/>
      </c>
      <c r="BH178" s="872"/>
      <c r="BI178" s="872"/>
      <c r="BJ178" s="872"/>
      <c r="BK178" s="872"/>
      <c r="BM178" s="1411"/>
      <c r="BN178" s="1411"/>
      <c r="BO178" s="1425" t="str">
        <f aca="false">IF(ISNUMBER($AU178*BB178*1),$AU178*BB178*1,"")</f>
        <v/>
      </c>
      <c r="BP178" s="1425" t="str">
        <f aca="false">IF(ISNUMBER($AV178*BC178*1),$AV178*BC178*1,"")</f>
        <v/>
      </c>
      <c r="BQ178" s="1425" t="str">
        <f aca="false">IF(ISNUMBER($AU178*BD178*1),$AU178*BD178*1,"")</f>
        <v/>
      </c>
      <c r="BR178" s="1425" t="str">
        <f aca="false">IF(ISNUMBER($AV178*BE178*1),$AV178*BE178*1,"")</f>
        <v/>
      </c>
      <c r="BS178" s="1411" t="str">
        <f aca="false">IF(ISNUMBER($AU178*BF178),$AU178*BF178,"")</f>
        <v/>
      </c>
      <c r="BT178" s="1411" t="str">
        <f aca="false">IF(ISNUMBER($AV178*BG178),$AV178*BG178,"")</f>
        <v/>
      </c>
      <c r="BU178" s="1411"/>
      <c r="BV178" s="1411"/>
      <c r="BW178" s="1411"/>
      <c r="BX178" s="1411"/>
      <c r="BZ178" s="1372"/>
      <c r="CA178" s="1372"/>
      <c r="CB178" s="1426" t="str">
        <f aca="false">IF(ISNUMBER($AW178*BB178),$AW178*BB178,"")</f>
        <v/>
      </c>
      <c r="CC178" s="1426" t="str">
        <f aca="false">IF(ISNUMBER($AX178*BC178),$AX178*BC178,"")</f>
        <v/>
      </c>
      <c r="CD178" s="1426" t="str">
        <f aca="false">IF(ISNUMBER($AW178*BD178),$AW178*BD178,"")</f>
        <v/>
      </c>
      <c r="CE178" s="1426" t="str">
        <f aca="false">IF(ISNUMBER($AX178*BE178),$AX178*BE178,"")</f>
        <v/>
      </c>
      <c r="CF178" s="1372" t="str">
        <f aca="false">IF(ISNUMBER($AW178*BF178),$AW178*BF178,"")</f>
        <v/>
      </c>
      <c r="CG178" s="1372" t="str">
        <f aca="false">IF(ISNUMBER($AX178*BG178),$AX178*BG178,"")</f>
        <v/>
      </c>
      <c r="CH178" s="1438"/>
      <c r="CI178" s="1438"/>
      <c r="CJ178" s="1438"/>
      <c r="CK178" s="1438"/>
      <c r="CU178" s="1411"/>
      <c r="CV178" s="1411"/>
      <c r="CW178" s="1425"/>
      <c r="CX178" s="1425"/>
      <c r="CY178" s="1425"/>
      <c r="CZ178" s="1425"/>
      <c r="DA178" s="1411"/>
      <c r="DB178" s="1411"/>
      <c r="DC178" s="1411"/>
      <c r="DD178" s="1411"/>
      <c r="DE178" s="1411"/>
      <c r="DF178" s="1411"/>
      <c r="DH178" s="1432"/>
      <c r="DI178" s="1432"/>
      <c r="DJ178" s="1437"/>
      <c r="DK178" s="1437"/>
      <c r="DL178" s="1437"/>
      <c r="DM178" s="1437"/>
      <c r="DN178" s="1432"/>
      <c r="DO178" s="1432"/>
      <c r="DP178" s="1432"/>
      <c r="DQ178" s="1432"/>
      <c r="DR178" s="1432"/>
      <c r="DS178" s="1432"/>
      <c r="DT178" s="1316"/>
      <c r="DU178" s="1433"/>
      <c r="DV178" s="1433"/>
      <c r="DW178" s="1433"/>
      <c r="DX178" s="1433"/>
      <c r="DY178" s="1433"/>
      <c r="DZ178" s="1433"/>
      <c r="EA178" s="1433"/>
      <c r="EB178" s="1433"/>
    </row>
    <row r="179" customFormat="false" ht="14.25" hidden="false" customHeight="false" outlineLevel="0" collapsed="false">
      <c r="A179" s="2" t="n">
        <f aca="false">'V_DATOS PAC_SGA'!R174</f>
        <v>0</v>
      </c>
      <c r="B179" s="2" t="n">
        <f aca="false">IF(I179="IV",CONCATENATE('V_DATOS PAC_SGA'!R174,"4")+0,CONCATENATE('V_DATOS PAC_SGA'!R174,"0")+0)</f>
        <v>0</v>
      </c>
      <c r="C179" s="2" t="n">
        <f aca="false">'V_DATOS PAC_SGA'!S174</f>
        <v>0</v>
      </c>
      <c r="D179" s="1409" t="n">
        <f aca="false">'V_DATOS PAC_SGA'!Y174</f>
        <v>0</v>
      </c>
      <c r="E179" s="1410" t="str">
        <f aca="false">IF('V_DATOS PAC_SGA'!AV174="","Regadio",'V_DATOS PAC_SGA'!AV174)</f>
        <v>Regadio</v>
      </c>
      <c r="F179" s="1411" t="n">
        <f aca="false">'V_DATOS PAC_SGA'!BK174</f>
        <v>0</v>
      </c>
      <c r="G179" s="1412" t="n">
        <f aca="false">'V_DATOS PAC_SGA'!AN174</f>
        <v>0</v>
      </c>
      <c r="H179" s="1413" t="str">
        <f aca="false">IF(B179&gt;0,VLOOKUP(B179,'O_MN, PE_UTA_UGM 2024'!E$3:O$419,10),"")</f>
        <v/>
      </c>
      <c r="I179" s="1359" t="n">
        <f aca="false">'V_DATOS PAC_SGA'!BV174</f>
        <v>0</v>
      </c>
      <c r="J179" s="2" t="str">
        <f aca="false">IF(AND(J$4=$G179,J$6=$F179),$D179*J$5,"")</f>
        <v/>
      </c>
      <c r="K179" s="2" t="str">
        <f aca="false">IF(AND(K$4=$G179,K$6=$F179),$D179*K$5,"")</f>
        <v/>
      </c>
      <c r="L179" s="2" t="str">
        <f aca="false">IF(AND(L$4=$G179,L$6=$F179),$D179*L$5,"")</f>
        <v/>
      </c>
      <c r="M179" s="2" t="str">
        <f aca="false">IF(AND(M$4=$G179,M$6=$F179),$D179*M$5,"")</f>
        <v/>
      </c>
      <c r="N179" s="1414" t="n">
        <f aca="false">VLOOKUP(B179,'O_MN, PE_UTA_UGM 2024'!$E$2:$K$419,IF(G179&gt;1,6,7))</f>
        <v>0</v>
      </c>
      <c r="O179" s="1434" t="str">
        <f aca="false">IF($H179=O$4,$D179*$N179,"")</f>
        <v/>
      </c>
      <c r="P179" s="1435" t="str">
        <f aca="false">IF($H179=P$4,$D179*$N179,"")</f>
        <v/>
      </c>
      <c r="Q179" s="1435" t="str">
        <f aca="false">IF($H179=Q$4,$D179*$N179,"")</f>
        <v/>
      </c>
      <c r="R179" s="1435" t="str">
        <f aca="false">IF($H179=R$4,$D179*$N179,"")</f>
        <v/>
      </c>
      <c r="S179" s="1435" t="str">
        <f aca="false">IF($H179=S$4,$D179*$N179,"")</f>
        <v/>
      </c>
      <c r="T179" s="1435" t="str">
        <f aca="false">IF($H179=T$4,$D179*$N179,"")</f>
        <v/>
      </c>
      <c r="U179" s="1436" t="str">
        <f aca="false">IF($H179=U$4,$D179*$N179,"")</f>
        <v/>
      </c>
      <c r="V179" s="1418"/>
      <c r="W179" s="1419"/>
      <c r="X179" s="1419"/>
      <c r="Y179" s="1419"/>
      <c r="Z179" s="1419"/>
      <c r="AA179" s="1419"/>
      <c r="AB179" s="1420"/>
      <c r="AC179" s="1319"/>
      <c r="AD179" s="2" t="str">
        <f aca="false">IF(AND(AD$4=$G179,AD$6=$F179),$B179,"")</f>
        <v/>
      </c>
      <c r="AE179" s="2" t="str">
        <f aca="false">IF(AND(AE$4=$G179,AE$6=$F179),$B179,"")</f>
        <v/>
      </c>
      <c r="AF179" s="2" t="str">
        <f aca="false">IF(AND(AF$4=$G179,AF$6=$F179),$B179,"")</f>
        <v/>
      </c>
      <c r="AG179" s="2" t="str">
        <f aca="false">IF(AND(AG$4=$G179,AG$6=$F179),$B179,"")</f>
        <v/>
      </c>
      <c r="AI179" s="366"/>
      <c r="AL179" s="367"/>
      <c r="AO179" s="367"/>
      <c r="AP179" s="2" t="str">
        <f aca="false">IF(AT179&gt;0,RANK(AT179,AT$7:AT$423),"")</f>
        <v/>
      </c>
      <c r="AQ179" s="2" t="n">
        <f aca="false">'O_MN, PE_UTA_UGM 2024'!C175</f>
        <v>184</v>
      </c>
      <c r="AR179" s="1421" t="n">
        <v>1829</v>
      </c>
      <c r="AS179" s="2" t="str">
        <f aca="false">IF(AY179&lt;&gt;"",AY179,"")</f>
        <v/>
      </c>
      <c r="AT179" s="1422" t="n">
        <f aca="false">IF(ISNUMBER($AR179),SUMIF(B$7:B$505,AR179,D$7:D$505),"")</f>
        <v>0</v>
      </c>
      <c r="AU179" s="1411" t="n">
        <f aca="false">IF(ISNUMBER($AR179),SUMIF(AD$7:AD$503,$AR179,J$7:J$503),"")</f>
        <v>0</v>
      </c>
      <c r="AV179" s="1411" t="n">
        <f aca="false">IF(ISNUMBER($AR179),SUMIF(AF$7:AF$503,$AR179,L$7:L$503),"")</f>
        <v>0</v>
      </c>
      <c r="AW179" s="1423" t="n">
        <f aca="false">IF(ISNUMBER($AR179),SUMIF(AE$7:AE$503,$AR179,K$7:K$503),"")</f>
        <v>0</v>
      </c>
      <c r="AX179" s="1423" t="n">
        <f aca="false">IF(ISNUMBER($AR179),SUMIF(AG$7:AG$503,$AR179,M$7:M$503),"")</f>
        <v>0</v>
      </c>
      <c r="AY179" s="2" t="str">
        <f aca="false">IF($AT179&gt;0,VLOOKUP($AR179,'O_MN, PE_UTA_UGM 2024'!E175:O591,2),"")</f>
        <v/>
      </c>
      <c r="AZ179" s="1424"/>
      <c r="BA179" s="1424"/>
      <c r="BB179" s="1424" t="str">
        <f aca="false">IF($AT179&gt;0,VLOOKUP($AR179,'O_MN, PE_UTA_UGM 2024'!$E$3:$O$419,BB$6),"")</f>
        <v/>
      </c>
      <c r="BC179" s="1424" t="str">
        <f aca="false">IF($AT179&gt;0,VLOOKUP($AR179,'O_MN, PE_UTA_UGM 2024'!$E$3:$O$419,BC$6),"")</f>
        <v/>
      </c>
      <c r="BD179" s="1424" t="str">
        <f aca="false">IF($AT179&gt;0,VLOOKUP($AR179,'O_MN, PE_UTA_UGM 2024'!$E$3:$O$419,BD$6),"")</f>
        <v/>
      </c>
      <c r="BE179" s="1424" t="str">
        <f aca="false">IF($AT179&gt;0,VLOOKUP($AR179,'O_MN, PE_UTA_UGM 2024'!$E$3:$O$419,BE$6),"")</f>
        <v/>
      </c>
      <c r="BF179" s="1424" t="str">
        <f aca="false">IF($AT179&gt;0,VLOOKUP($AR179,'O_MN, PE_UTA_UGM 2024'!$E$3:$O$419,BF$6),"")</f>
        <v/>
      </c>
      <c r="BG179" s="1424" t="str">
        <f aca="false">IF($AT179&gt;0,VLOOKUP($AR179,'O_MN, PE_UTA_UGM 2024'!$E$3:$O$419,BG$6),"")</f>
        <v/>
      </c>
      <c r="BH179" s="872"/>
      <c r="BI179" s="872"/>
      <c r="BJ179" s="872"/>
      <c r="BK179" s="872"/>
      <c r="BM179" s="1411"/>
      <c r="BN179" s="1411"/>
      <c r="BO179" s="1425" t="str">
        <f aca="false">IF(ISNUMBER($AU179*BB179*1),$AU179*BB179*1,"")</f>
        <v/>
      </c>
      <c r="BP179" s="1425" t="str">
        <f aca="false">IF(ISNUMBER($AV179*BC179*1),$AV179*BC179*1,"")</f>
        <v/>
      </c>
      <c r="BQ179" s="1425" t="str">
        <f aca="false">IF(ISNUMBER($AU179*BD179*1),$AU179*BD179*1,"")</f>
        <v/>
      </c>
      <c r="BR179" s="1425" t="str">
        <f aca="false">IF(ISNUMBER($AV179*BE179*1),$AV179*BE179*1,"")</f>
        <v/>
      </c>
      <c r="BS179" s="1411" t="str">
        <f aca="false">IF(ISNUMBER($AU179*BF179),$AU179*BF179,"")</f>
        <v/>
      </c>
      <c r="BT179" s="1411" t="str">
        <f aca="false">IF(ISNUMBER($AV179*BG179),$AV179*BG179,"")</f>
        <v/>
      </c>
      <c r="BU179" s="1411"/>
      <c r="BV179" s="1411"/>
      <c r="BW179" s="1411"/>
      <c r="BX179" s="1411"/>
      <c r="BZ179" s="1372"/>
      <c r="CA179" s="1372"/>
      <c r="CB179" s="1426" t="str">
        <f aca="false">IF(ISNUMBER($AW179*BB179),$AW179*BB179,"")</f>
        <v/>
      </c>
      <c r="CC179" s="1426" t="str">
        <f aca="false">IF(ISNUMBER($AX179*BC179),$AX179*BC179,"")</f>
        <v/>
      </c>
      <c r="CD179" s="1426" t="str">
        <f aca="false">IF(ISNUMBER($AW179*BD179),$AW179*BD179,"")</f>
        <v/>
      </c>
      <c r="CE179" s="1426" t="str">
        <f aca="false">IF(ISNUMBER($AX179*BE179),$AX179*BE179,"")</f>
        <v/>
      </c>
      <c r="CF179" s="1372" t="str">
        <f aca="false">IF(ISNUMBER($AW179*BF179),$AW179*BF179,"")</f>
        <v/>
      </c>
      <c r="CG179" s="1372" t="str">
        <f aca="false">IF(ISNUMBER($AX179*BG179),$AX179*BG179,"")</f>
        <v/>
      </c>
      <c r="CH179" s="1438"/>
      <c r="CI179" s="1438"/>
      <c r="CJ179" s="1438"/>
      <c r="CK179" s="1438"/>
      <c r="CU179" s="1411"/>
      <c r="CV179" s="1411"/>
      <c r="CW179" s="1425"/>
      <c r="CX179" s="1425"/>
      <c r="CY179" s="1425"/>
      <c r="CZ179" s="1425"/>
      <c r="DA179" s="1411"/>
      <c r="DB179" s="1411"/>
      <c r="DC179" s="1411"/>
      <c r="DD179" s="1411"/>
      <c r="DE179" s="1411"/>
      <c r="DF179" s="1411"/>
      <c r="DH179" s="1432"/>
      <c r="DI179" s="1432"/>
      <c r="DJ179" s="1437"/>
      <c r="DK179" s="1437"/>
      <c r="DL179" s="1437"/>
      <c r="DM179" s="1437"/>
      <c r="DN179" s="1432"/>
      <c r="DO179" s="1432"/>
      <c r="DP179" s="1432"/>
      <c r="DQ179" s="1432"/>
      <c r="DR179" s="1432"/>
      <c r="DS179" s="1432"/>
      <c r="DT179" s="1316"/>
      <c r="DU179" s="1433"/>
      <c r="DV179" s="1433"/>
      <c r="DW179" s="1433"/>
      <c r="DX179" s="1433"/>
      <c r="DY179" s="1433"/>
      <c r="DZ179" s="1433"/>
      <c r="EA179" s="1433"/>
      <c r="EB179" s="1433"/>
    </row>
    <row r="180" customFormat="false" ht="14.25" hidden="false" customHeight="false" outlineLevel="0" collapsed="false">
      <c r="A180" s="2" t="n">
        <f aca="false">'V_DATOS PAC_SGA'!R175</f>
        <v>0</v>
      </c>
      <c r="B180" s="2" t="n">
        <f aca="false">IF(I180="IV",CONCATENATE('V_DATOS PAC_SGA'!R175,"4")+0,CONCATENATE('V_DATOS PAC_SGA'!R175,"0")+0)</f>
        <v>0</v>
      </c>
      <c r="C180" s="2" t="n">
        <f aca="false">'V_DATOS PAC_SGA'!S175</f>
        <v>0</v>
      </c>
      <c r="D180" s="1409" t="n">
        <f aca="false">'V_DATOS PAC_SGA'!Y175</f>
        <v>0</v>
      </c>
      <c r="E180" s="1410" t="str">
        <f aca="false">IF('V_DATOS PAC_SGA'!AV175="","Regadio",'V_DATOS PAC_SGA'!AV175)</f>
        <v>Regadio</v>
      </c>
      <c r="F180" s="1411" t="n">
        <f aca="false">'V_DATOS PAC_SGA'!BK175</f>
        <v>0</v>
      </c>
      <c r="G180" s="1412" t="n">
        <f aca="false">'V_DATOS PAC_SGA'!AN175</f>
        <v>0</v>
      </c>
      <c r="H180" s="1413" t="str">
        <f aca="false">IF(B180&gt;0,VLOOKUP(B180,'O_MN, PE_UTA_UGM 2024'!E$3:O$419,10),"")</f>
        <v/>
      </c>
      <c r="I180" s="1359" t="n">
        <f aca="false">'V_DATOS PAC_SGA'!BV175</f>
        <v>0</v>
      </c>
      <c r="J180" s="2" t="str">
        <f aca="false">IF(AND(J$4=$G180,J$6=$F180),$D180*J$5,"")</f>
        <v/>
      </c>
      <c r="K180" s="2" t="str">
        <f aca="false">IF(AND(K$4=$G180,K$6=$F180),$D180*K$5,"")</f>
        <v/>
      </c>
      <c r="L180" s="2" t="str">
        <f aca="false">IF(AND(L$4=$G180,L$6=$F180),$D180*L$5,"")</f>
        <v/>
      </c>
      <c r="M180" s="2" t="str">
        <f aca="false">IF(AND(M$4=$G180,M$6=$F180),$D180*M$5,"")</f>
        <v/>
      </c>
      <c r="N180" s="1414" t="n">
        <f aca="false">VLOOKUP(B180,'O_MN, PE_UTA_UGM 2024'!$E$2:$K$419,IF(G180&gt;1,6,7))</f>
        <v>0</v>
      </c>
      <c r="O180" s="1434" t="str">
        <f aca="false">IF($H180=O$4,$D180*$N180,"")</f>
        <v/>
      </c>
      <c r="P180" s="1435" t="str">
        <f aca="false">IF($H180=P$4,$D180*$N180,"")</f>
        <v/>
      </c>
      <c r="Q180" s="1435" t="str">
        <f aca="false">IF($H180=Q$4,$D180*$N180,"")</f>
        <v/>
      </c>
      <c r="R180" s="1435" t="str">
        <f aca="false">IF($H180=R$4,$D180*$N180,"")</f>
        <v/>
      </c>
      <c r="S180" s="1435" t="str">
        <f aca="false">IF($H180=S$4,$D180*$N180,"")</f>
        <v/>
      </c>
      <c r="T180" s="1435" t="str">
        <f aca="false">IF($H180=T$4,$D180*$N180,"")</f>
        <v/>
      </c>
      <c r="U180" s="1436" t="str">
        <f aca="false">IF($H180=U$4,$D180*$N180,"")</f>
        <v/>
      </c>
      <c r="V180" s="1418"/>
      <c r="W180" s="1419"/>
      <c r="X180" s="1419"/>
      <c r="Y180" s="1419"/>
      <c r="Z180" s="1419"/>
      <c r="AA180" s="1419"/>
      <c r="AB180" s="1420"/>
      <c r="AC180" s="1319"/>
      <c r="AD180" s="2" t="str">
        <f aca="false">IF(AND(AD$4=$G180,AD$6=$F180),$B180,"")</f>
        <v/>
      </c>
      <c r="AE180" s="2" t="str">
        <f aca="false">IF(AND(AE$4=$G180,AE$6=$F180),$B180,"")</f>
        <v/>
      </c>
      <c r="AF180" s="2" t="str">
        <f aca="false">IF(AND(AF$4=$G180,AF$6=$F180),$B180,"")</f>
        <v/>
      </c>
      <c r="AG180" s="2" t="str">
        <f aca="false">IF(AND(AG$4=$G180,AG$6=$F180),$B180,"")</f>
        <v/>
      </c>
      <c r="AI180" s="366"/>
      <c r="AL180" s="367"/>
      <c r="AO180" s="367"/>
      <c r="AP180" s="2" t="str">
        <f aca="false">IF(AT180&gt;0,RANK(AT180,AT$7:AT$423),"")</f>
        <v/>
      </c>
      <c r="AQ180" s="2" t="n">
        <f aca="false">'O_MN, PE_UTA_UGM 2024'!C176</f>
        <v>184</v>
      </c>
      <c r="AR180" s="1421" t="n">
        <v>1830</v>
      </c>
      <c r="AS180" s="2" t="str">
        <f aca="false">IF(AY180&lt;&gt;"",AY180,"")</f>
        <v/>
      </c>
      <c r="AT180" s="1422" t="n">
        <f aca="false">IF(ISNUMBER($AR180),SUMIF(B$7:B$505,AR180,D$7:D$505),"")</f>
        <v>0</v>
      </c>
      <c r="AU180" s="1411" t="n">
        <f aca="false">IF(ISNUMBER($AR180),SUMIF(AD$7:AD$503,$AR180,J$7:J$503),"")</f>
        <v>0</v>
      </c>
      <c r="AV180" s="1411" t="n">
        <f aca="false">IF(ISNUMBER($AR180),SUMIF(AF$7:AF$503,$AR180,L$7:L$503),"")</f>
        <v>0</v>
      </c>
      <c r="AW180" s="1423" t="n">
        <f aca="false">IF(ISNUMBER($AR180),SUMIF(AE$7:AE$503,$AR180,K$7:K$503),"")</f>
        <v>0</v>
      </c>
      <c r="AX180" s="1423" t="n">
        <f aca="false">IF(ISNUMBER($AR180),SUMIF(AG$7:AG$503,$AR180,M$7:M$503),"")</f>
        <v>0</v>
      </c>
      <c r="AY180" s="2" t="str">
        <f aca="false">IF($AT180&gt;0,VLOOKUP($AR180,'O_MN, PE_UTA_UGM 2024'!E176:O592,2),"")</f>
        <v/>
      </c>
      <c r="AZ180" s="1424"/>
      <c r="BA180" s="1424"/>
      <c r="BB180" s="1424" t="str">
        <f aca="false">IF($AT180&gt;0,VLOOKUP($AR180,'O_MN, PE_UTA_UGM 2024'!$E$3:$O$419,BB$6),"")</f>
        <v/>
      </c>
      <c r="BC180" s="1424" t="str">
        <f aca="false">IF($AT180&gt;0,VLOOKUP($AR180,'O_MN, PE_UTA_UGM 2024'!$E$3:$O$419,BC$6),"")</f>
        <v/>
      </c>
      <c r="BD180" s="1424" t="str">
        <f aca="false">IF($AT180&gt;0,VLOOKUP($AR180,'O_MN, PE_UTA_UGM 2024'!$E$3:$O$419,BD$6),"")</f>
        <v/>
      </c>
      <c r="BE180" s="1424" t="str">
        <f aca="false">IF($AT180&gt;0,VLOOKUP($AR180,'O_MN, PE_UTA_UGM 2024'!$E$3:$O$419,BE$6),"")</f>
        <v/>
      </c>
      <c r="BF180" s="1424" t="str">
        <f aca="false">IF($AT180&gt;0,VLOOKUP($AR180,'O_MN, PE_UTA_UGM 2024'!$E$3:$O$419,BF$6),"")</f>
        <v/>
      </c>
      <c r="BG180" s="1424" t="str">
        <f aca="false">IF($AT180&gt;0,VLOOKUP($AR180,'O_MN, PE_UTA_UGM 2024'!$E$3:$O$419,BG$6),"")</f>
        <v/>
      </c>
      <c r="BH180" s="872"/>
      <c r="BI180" s="872"/>
      <c r="BJ180" s="872"/>
      <c r="BK180" s="872"/>
      <c r="BM180" s="1411"/>
      <c r="BN180" s="1411"/>
      <c r="BO180" s="1425" t="str">
        <f aca="false">IF(ISNUMBER($AU180*BB180*1),$AU180*BB180*1,"")</f>
        <v/>
      </c>
      <c r="BP180" s="1425" t="str">
        <f aca="false">IF(ISNUMBER($AV180*BC180*1),$AV180*BC180*1,"")</f>
        <v/>
      </c>
      <c r="BQ180" s="1425" t="str">
        <f aca="false">IF(ISNUMBER($AU180*BD180*1),$AU180*BD180*1,"")</f>
        <v/>
      </c>
      <c r="BR180" s="1425" t="str">
        <f aca="false">IF(ISNUMBER($AV180*BE180*1),$AV180*BE180*1,"")</f>
        <v/>
      </c>
      <c r="BS180" s="1411" t="str">
        <f aca="false">IF(ISNUMBER($AU180*BF180),$AU180*BF180,"")</f>
        <v/>
      </c>
      <c r="BT180" s="1411" t="str">
        <f aca="false">IF(ISNUMBER($AV180*BG180),$AV180*BG180,"")</f>
        <v/>
      </c>
      <c r="BU180" s="1411"/>
      <c r="BV180" s="1411"/>
      <c r="BW180" s="1411"/>
      <c r="BX180" s="1411"/>
      <c r="BZ180" s="1372"/>
      <c r="CA180" s="1372"/>
      <c r="CB180" s="1426" t="str">
        <f aca="false">IF(ISNUMBER($AW180*BB180),$AW180*BB180,"")</f>
        <v/>
      </c>
      <c r="CC180" s="1426" t="str">
        <f aca="false">IF(ISNUMBER($AX180*BC180),$AX180*BC180,"")</f>
        <v/>
      </c>
      <c r="CD180" s="1426" t="str">
        <f aca="false">IF(ISNUMBER($AW180*BD180),$AW180*BD180,"")</f>
        <v/>
      </c>
      <c r="CE180" s="1426" t="str">
        <f aca="false">IF(ISNUMBER($AX180*BE180),$AX180*BE180,"")</f>
        <v/>
      </c>
      <c r="CF180" s="1372" t="str">
        <f aca="false">IF(ISNUMBER($AW180*BF180),$AW180*BF180,"")</f>
        <v/>
      </c>
      <c r="CG180" s="1372" t="str">
        <f aca="false">IF(ISNUMBER($AX180*BG180),$AX180*BG180,"")</f>
        <v/>
      </c>
      <c r="CH180" s="1438"/>
      <c r="CI180" s="1438"/>
      <c r="CJ180" s="1438"/>
      <c r="CK180" s="1438"/>
      <c r="CU180" s="1411"/>
      <c r="CV180" s="1411"/>
      <c r="CW180" s="1425"/>
      <c r="CX180" s="1425"/>
      <c r="CY180" s="1425"/>
      <c r="CZ180" s="1425"/>
      <c r="DA180" s="1411"/>
      <c r="DB180" s="1411"/>
      <c r="DC180" s="1411"/>
      <c r="DD180" s="1411"/>
      <c r="DE180" s="1411"/>
      <c r="DF180" s="1411"/>
      <c r="DH180" s="1432"/>
      <c r="DI180" s="1432"/>
      <c r="DJ180" s="1437"/>
      <c r="DK180" s="1437"/>
      <c r="DL180" s="1437"/>
      <c r="DM180" s="1437"/>
      <c r="DN180" s="1432"/>
      <c r="DO180" s="1432"/>
      <c r="DP180" s="1432"/>
      <c r="DQ180" s="1432"/>
      <c r="DR180" s="1432"/>
      <c r="DS180" s="1432"/>
      <c r="DT180" s="1316"/>
      <c r="DU180" s="1433"/>
      <c r="DV180" s="1433"/>
      <c r="DW180" s="1433"/>
      <c r="DX180" s="1433"/>
      <c r="DY180" s="1433"/>
      <c r="DZ180" s="1433"/>
      <c r="EA180" s="1433"/>
      <c r="EB180" s="1433"/>
    </row>
    <row r="181" customFormat="false" ht="14.25" hidden="false" customHeight="false" outlineLevel="0" collapsed="false">
      <c r="A181" s="2" t="n">
        <f aca="false">'V_DATOS PAC_SGA'!R176</f>
        <v>0</v>
      </c>
      <c r="B181" s="2" t="n">
        <f aca="false">IF(I181="IV",CONCATENATE('V_DATOS PAC_SGA'!R176,"4")+0,CONCATENATE('V_DATOS PAC_SGA'!R176,"0")+0)</f>
        <v>0</v>
      </c>
      <c r="C181" s="2" t="n">
        <f aca="false">'V_DATOS PAC_SGA'!S176</f>
        <v>0</v>
      </c>
      <c r="D181" s="1409" t="n">
        <f aca="false">'V_DATOS PAC_SGA'!Y176</f>
        <v>0</v>
      </c>
      <c r="E181" s="1410" t="str">
        <f aca="false">IF('V_DATOS PAC_SGA'!AV176="","Regadio",'V_DATOS PAC_SGA'!AV176)</f>
        <v>Regadio</v>
      </c>
      <c r="F181" s="1411" t="n">
        <f aca="false">'V_DATOS PAC_SGA'!BK176</f>
        <v>0</v>
      </c>
      <c r="G181" s="1412" t="n">
        <f aca="false">'V_DATOS PAC_SGA'!AN176</f>
        <v>0</v>
      </c>
      <c r="H181" s="1413" t="str">
        <f aca="false">IF(B181&gt;0,VLOOKUP(B181,'O_MN, PE_UTA_UGM 2024'!E$3:O$419,10),"")</f>
        <v/>
      </c>
      <c r="I181" s="1359" t="n">
        <f aca="false">'V_DATOS PAC_SGA'!BV176</f>
        <v>0</v>
      </c>
      <c r="J181" s="2" t="str">
        <f aca="false">IF(AND(J$4=$G181,J$6=$F181),$D181*J$5,"")</f>
        <v/>
      </c>
      <c r="K181" s="2" t="str">
        <f aca="false">IF(AND(K$4=$G181,K$6=$F181),$D181*K$5,"")</f>
        <v/>
      </c>
      <c r="L181" s="2" t="str">
        <f aca="false">IF(AND(L$4=$G181,L$6=$F181),$D181*L$5,"")</f>
        <v/>
      </c>
      <c r="M181" s="2" t="str">
        <f aca="false">IF(AND(M$4=$G181,M$6=$F181),$D181*M$5,"")</f>
        <v/>
      </c>
      <c r="N181" s="1414" t="n">
        <f aca="false">VLOOKUP(B181,'O_MN, PE_UTA_UGM 2024'!$E$2:$K$419,IF(G181&gt;1,6,7))</f>
        <v>0</v>
      </c>
      <c r="O181" s="1434" t="str">
        <f aca="false">IF($H181=O$4,$D181*$N181,"")</f>
        <v/>
      </c>
      <c r="P181" s="1435" t="str">
        <f aca="false">IF($H181=P$4,$D181*$N181,"")</f>
        <v/>
      </c>
      <c r="Q181" s="1435" t="str">
        <f aca="false">IF($H181=Q$4,$D181*$N181,"")</f>
        <v/>
      </c>
      <c r="R181" s="1435" t="str">
        <f aca="false">IF($H181=R$4,$D181*$N181,"")</f>
        <v/>
      </c>
      <c r="S181" s="1435" t="str">
        <f aca="false">IF($H181=S$4,$D181*$N181,"")</f>
        <v/>
      </c>
      <c r="T181" s="1435" t="str">
        <f aca="false">IF($H181=T$4,$D181*$N181,"")</f>
        <v/>
      </c>
      <c r="U181" s="1436" t="str">
        <f aca="false">IF($H181=U$4,$D181*$N181,"")</f>
        <v/>
      </c>
      <c r="V181" s="1418"/>
      <c r="W181" s="1419"/>
      <c r="X181" s="1419"/>
      <c r="Y181" s="1419"/>
      <c r="Z181" s="1419"/>
      <c r="AA181" s="1419"/>
      <c r="AB181" s="1420"/>
      <c r="AC181" s="1319"/>
      <c r="AD181" s="2" t="str">
        <f aca="false">IF(AND(AD$4=$G181,AD$6=$F181),$B181,"")</f>
        <v/>
      </c>
      <c r="AE181" s="2" t="str">
        <f aca="false">IF(AND(AE$4=$G181,AE$6=$F181),$B181,"")</f>
        <v/>
      </c>
      <c r="AF181" s="2" t="str">
        <f aca="false">IF(AND(AF$4=$G181,AF$6=$F181),$B181,"")</f>
        <v/>
      </c>
      <c r="AG181" s="2" t="str">
        <f aca="false">IF(AND(AG$4=$G181,AG$6=$F181),$B181,"")</f>
        <v/>
      </c>
      <c r="AI181" s="366"/>
      <c r="AL181" s="367"/>
      <c r="AO181" s="367"/>
      <c r="AP181" s="2" t="str">
        <f aca="false">IF(AT181&gt;0,RANK(AT181,AT$7:AT$423),"")</f>
        <v/>
      </c>
      <c r="AQ181" s="2" t="n">
        <f aca="false">'O_MN, PE_UTA_UGM 2024'!C177</f>
        <v>184</v>
      </c>
      <c r="AR181" s="1421" t="n">
        <v>1834</v>
      </c>
      <c r="AS181" s="2" t="str">
        <f aca="false">IF(AY181&lt;&gt;"",AY181,"")</f>
        <v/>
      </c>
      <c r="AT181" s="1422" t="n">
        <f aca="false">IF(ISNUMBER($AR181),SUMIF(B$7:B$505,AR181,D$7:D$505),"")</f>
        <v>0</v>
      </c>
      <c r="AU181" s="1411" t="n">
        <f aca="false">IF(ISNUMBER($AR181),SUMIF(AD$7:AD$503,$AR181,J$7:J$503),"")</f>
        <v>0</v>
      </c>
      <c r="AV181" s="1411" t="n">
        <f aca="false">IF(ISNUMBER($AR181),SUMIF(AF$7:AF$503,$AR181,L$7:L$503),"")</f>
        <v>0</v>
      </c>
      <c r="AW181" s="1423" t="n">
        <f aca="false">IF(ISNUMBER($AR181),SUMIF(AE$7:AE$503,$AR181,K$7:K$503),"")</f>
        <v>0</v>
      </c>
      <c r="AX181" s="1423" t="n">
        <f aca="false">IF(ISNUMBER($AR181),SUMIF(AG$7:AG$503,$AR181,M$7:M$503),"")</f>
        <v>0</v>
      </c>
      <c r="AY181" s="2" t="str">
        <f aca="false">IF($AT181&gt;0,VLOOKUP($AR181,'O_MN, PE_UTA_UGM 2024'!E177:O593,2),"")</f>
        <v/>
      </c>
      <c r="AZ181" s="1424"/>
      <c r="BA181" s="1424"/>
      <c r="BB181" s="1424" t="str">
        <f aca="false">IF($AT181&gt;0,VLOOKUP($AR181,'O_MN, PE_UTA_UGM 2024'!$E$3:$O$419,BB$6),"")</f>
        <v/>
      </c>
      <c r="BC181" s="1424" t="str">
        <f aca="false">IF($AT181&gt;0,VLOOKUP($AR181,'O_MN, PE_UTA_UGM 2024'!$E$3:$O$419,BC$6),"")</f>
        <v/>
      </c>
      <c r="BD181" s="1424" t="str">
        <f aca="false">IF($AT181&gt;0,VLOOKUP($AR181,'O_MN, PE_UTA_UGM 2024'!$E$3:$O$419,BD$6),"")</f>
        <v/>
      </c>
      <c r="BE181" s="1424" t="str">
        <f aca="false">IF($AT181&gt;0,VLOOKUP($AR181,'O_MN, PE_UTA_UGM 2024'!$E$3:$O$419,BE$6),"")</f>
        <v/>
      </c>
      <c r="BF181" s="1424" t="str">
        <f aca="false">IF($AT181&gt;0,VLOOKUP($AR181,'O_MN, PE_UTA_UGM 2024'!$E$3:$O$419,BF$6),"")</f>
        <v/>
      </c>
      <c r="BG181" s="1424" t="str">
        <f aca="false">IF($AT181&gt;0,VLOOKUP($AR181,'O_MN, PE_UTA_UGM 2024'!$E$3:$O$419,BG$6),"")</f>
        <v/>
      </c>
      <c r="BH181" s="872"/>
      <c r="BI181" s="872"/>
      <c r="BJ181" s="872"/>
      <c r="BK181" s="872"/>
      <c r="BM181" s="1411"/>
      <c r="BN181" s="1411"/>
      <c r="BO181" s="1425" t="str">
        <f aca="false">IF(ISNUMBER($AU181*BB181*1),$AU181*BB181*1,"")</f>
        <v/>
      </c>
      <c r="BP181" s="1425" t="str">
        <f aca="false">IF(ISNUMBER($AV181*BC181*1),$AV181*BC181*1,"")</f>
        <v/>
      </c>
      <c r="BQ181" s="1425" t="str">
        <f aca="false">IF(ISNUMBER($AU181*BD181*1),$AU181*BD181*1,"")</f>
        <v/>
      </c>
      <c r="BR181" s="1425" t="str">
        <f aca="false">IF(ISNUMBER($AV181*BE181*1),$AV181*BE181*1,"")</f>
        <v/>
      </c>
      <c r="BS181" s="1411" t="str">
        <f aca="false">IF(ISNUMBER($AU181*BF181),$AU181*BF181,"")</f>
        <v/>
      </c>
      <c r="BT181" s="1411" t="str">
        <f aca="false">IF(ISNUMBER($AV181*BG181),$AV181*BG181,"")</f>
        <v/>
      </c>
      <c r="BU181" s="1411"/>
      <c r="BV181" s="1411"/>
      <c r="BW181" s="1411"/>
      <c r="BX181" s="1411"/>
      <c r="BZ181" s="1372"/>
      <c r="CA181" s="1372"/>
      <c r="CB181" s="1426" t="str">
        <f aca="false">IF(ISNUMBER($AW181*BB181),$AW181*BB181,"")</f>
        <v/>
      </c>
      <c r="CC181" s="1426" t="str">
        <f aca="false">IF(ISNUMBER($AX181*BC181),$AX181*BC181,"")</f>
        <v/>
      </c>
      <c r="CD181" s="1426" t="str">
        <f aca="false">IF(ISNUMBER($AW181*BD181),$AW181*BD181,"")</f>
        <v/>
      </c>
      <c r="CE181" s="1426" t="str">
        <f aca="false">IF(ISNUMBER($AX181*BE181),$AX181*BE181,"")</f>
        <v/>
      </c>
      <c r="CF181" s="1372" t="str">
        <f aca="false">IF(ISNUMBER($AW181*BF181),$AW181*BF181,"")</f>
        <v/>
      </c>
      <c r="CG181" s="1372" t="str">
        <f aca="false">IF(ISNUMBER($AX181*BG181),$AX181*BG181,"")</f>
        <v/>
      </c>
      <c r="CH181" s="1438"/>
      <c r="CI181" s="1438"/>
      <c r="CJ181" s="1438"/>
      <c r="CK181" s="1438"/>
      <c r="CU181" s="1411"/>
      <c r="CV181" s="1411"/>
      <c r="CW181" s="1425"/>
      <c r="CX181" s="1425"/>
      <c r="CY181" s="1425"/>
      <c r="CZ181" s="1425"/>
      <c r="DA181" s="1411"/>
      <c r="DB181" s="1411"/>
      <c r="DC181" s="1411"/>
      <c r="DD181" s="1411"/>
      <c r="DE181" s="1411"/>
      <c r="DF181" s="1411"/>
      <c r="DH181" s="1432"/>
      <c r="DI181" s="1432"/>
      <c r="DJ181" s="1437"/>
      <c r="DK181" s="1437"/>
      <c r="DL181" s="1437"/>
      <c r="DM181" s="1437"/>
      <c r="DN181" s="1432"/>
      <c r="DO181" s="1432"/>
      <c r="DP181" s="1432"/>
      <c r="DQ181" s="1432"/>
      <c r="DR181" s="1432"/>
      <c r="DS181" s="1432"/>
      <c r="DT181" s="1316"/>
      <c r="DU181" s="1433"/>
      <c r="DV181" s="1433"/>
      <c r="DW181" s="1433"/>
      <c r="DX181" s="1433"/>
      <c r="DY181" s="1433"/>
      <c r="DZ181" s="1433"/>
      <c r="EA181" s="1433"/>
      <c r="EB181" s="1433"/>
    </row>
    <row r="182" customFormat="false" ht="14.25" hidden="false" customHeight="false" outlineLevel="0" collapsed="false">
      <c r="A182" s="2" t="n">
        <f aca="false">'V_DATOS PAC_SGA'!R177</f>
        <v>0</v>
      </c>
      <c r="B182" s="2" t="n">
        <f aca="false">IF(I182="IV",CONCATENATE('V_DATOS PAC_SGA'!R177,"4")+0,CONCATENATE('V_DATOS PAC_SGA'!R177,"0")+0)</f>
        <v>0</v>
      </c>
      <c r="C182" s="2" t="n">
        <f aca="false">'V_DATOS PAC_SGA'!S177</f>
        <v>0</v>
      </c>
      <c r="D182" s="1409" t="n">
        <f aca="false">'V_DATOS PAC_SGA'!Y177</f>
        <v>0</v>
      </c>
      <c r="E182" s="1410" t="str">
        <f aca="false">IF('V_DATOS PAC_SGA'!AV177="","Regadio",'V_DATOS PAC_SGA'!AV177)</f>
        <v>Regadio</v>
      </c>
      <c r="F182" s="1411" t="n">
        <f aca="false">'V_DATOS PAC_SGA'!BK177</f>
        <v>0</v>
      </c>
      <c r="G182" s="1412" t="n">
        <f aca="false">'V_DATOS PAC_SGA'!AN177</f>
        <v>0</v>
      </c>
      <c r="H182" s="1413" t="str">
        <f aca="false">IF(B182&gt;0,VLOOKUP(B182,'O_MN, PE_UTA_UGM 2024'!E$3:O$419,10),"")</f>
        <v/>
      </c>
      <c r="I182" s="1359" t="n">
        <f aca="false">'V_DATOS PAC_SGA'!BV177</f>
        <v>0</v>
      </c>
      <c r="J182" s="2" t="str">
        <f aca="false">IF(AND(J$4=$G182,J$6=$F182),$D182*J$5,"")</f>
        <v/>
      </c>
      <c r="K182" s="2" t="str">
        <f aca="false">IF(AND(K$4=$G182,K$6=$F182),$D182*K$5,"")</f>
        <v/>
      </c>
      <c r="L182" s="2" t="str">
        <f aca="false">IF(AND(L$4=$G182,L$6=$F182),$D182*L$5,"")</f>
        <v/>
      </c>
      <c r="M182" s="2" t="str">
        <f aca="false">IF(AND(M$4=$G182,M$6=$F182),$D182*M$5,"")</f>
        <v/>
      </c>
      <c r="N182" s="1414" t="n">
        <f aca="false">VLOOKUP(B182,'O_MN, PE_UTA_UGM 2024'!$E$2:$K$419,IF(G182&gt;1,6,7))</f>
        <v>0</v>
      </c>
      <c r="O182" s="1434" t="str">
        <f aca="false">IF($H182=O$4,$D182*$N182,"")</f>
        <v/>
      </c>
      <c r="P182" s="1435" t="str">
        <f aca="false">IF($H182=P$4,$D182*$N182,"")</f>
        <v/>
      </c>
      <c r="Q182" s="1435" t="str">
        <f aca="false">IF($H182=Q$4,$D182*$N182,"")</f>
        <v/>
      </c>
      <c r="R182" s="1435" t="str">
        <f aca="false">IF($H182=R$4,$D182*$N182,"")</f>
        <v/>
      </c>
      <c r="S182" s="1435" t="str">
        <f aca="false">IF($H182=S$4,$D182*$N182,"")</f>
        <v/>
      </c>
      <c r="T182" s="1435" t="str">
        <f aca="false">IF($H182=T$4,$D182*$N182,"")</f>
        <v/>
      </c>
      <c r="U182" s="1436" t="str">
        <f aca="false">IF($H182=U$4,$D182*$N182,"")</f>
        <v/>
      </c>
      <c r="V182" s="1418"/>
      <c r="W182" s="1419"/>
      <c r="X182" s="1419"/>
      <c r="Y182" s="1419"/>
      <c r="Z182" s="1419"/>
      <c r="AA182" s="1419"/>
      <c r="AB182" s="1420"/>
      <c r="AC182" s="1319"/>
      <c r="AD182" s="2" t="str">
        <f aca="false">IF(AND(AD$4=$G182,AD$6=$F182),$B182,"")</f>
        <v/>
      </c>
      <c r="AE182" s="2" t="str">
        <f aca="false">IF(AND(AE$4=$G182,AE$6=$F182),$B182,"")</f>
        <v/>
      </c>
      <c r="AF182" s="2" t="str">
        <f aca="false">IF(AND(AF$4=$G182,AF$6=$F182),$B182,"")</f>
        <v/>
      </c>
      <c r="AG182" s="2" t="str">
        <f aca="false">IF(AND(AG$4=$G182,AG$6=$F182),$B182,"")</f>
        <v/>
      </c>
      <c r="AI182" s="366"/>
      <c r="AL182" s="367"/>
      <c r="AO182" s="367"/>
      <c r="AP182" s="2" t="str">
        <f aca="false">IF(AT182&gt;0,RANK(AT182,AT$7:AT$423),"")</f>
        <v/>
      </c>
      <c r="AQ182" s="2" t="n">
        <f aca="false">'O_MN, PE_UTA_UGM 2024'!C178</f>
        <v>185</v>
      </c>
      <c r="AR182" s="1421" t="n">
        <v>1839</v>
      </c>
      <c r="AS182" s="2" t="str">
        <f aca="false">IF(AY182&lt;&gt;"",AY182,"")</f>
        <v/>
      </c>
      <c r="AT182" s="1422" t="n">
        <f aca="false">IF(ISNUMBER($AR182),SUMIF(B$7:B$505,AR182,D$7:D$505),"")</f>
        <v>0</v>
      </c>
      <c r="AU182" s="1411" t="n">
        <f aca="false">IF(ISNUMBER($AR182),SUMIF(AD$7:AD$503,$AR182,J$7:J$503),"")</f>
        <v>0</v>
      </c>
      <c r="AV182" s="1411" t="n">
        <f aca="false">IF(ISNUMBER($AR182),SUMIF(AF$7:AF$503,$AR182,L$7:L$503),"")</f>
        <v>0</v>
      </c>
      <c r="AW182" s="1423" t="n">
        <f aca="false">IF(ISNUMBER($AR182),SUMIF(AE$7:AE$503,$AR182,K$7:K$503),"")</f>
        <v>0</v>
      </c>
      <c r="AX182" s="1423" t="n">
        <f aca="false">IF(ISNUMBER($AR182),SUMIF(AG$7:AG$503,$AR182,M$7:M$503),"")</f>
        <v>0</v>
      </c>
      <c r="AY182" s="2" t="str">
        <f aca="false">IF($AT182&gt;0,VLOOKUP($AR182,'O_MN, PE_UTA_UGM 2024'!E178:O594,2),"")</f>
        <v/>
      </c>
      <c r="AZ182" s="1424"/>
      <c r="BA182" s="1424"/>
      <c r="BB182" s="1424" t="str">
        <f aca="false">IF($AT182&gt;0,VLOOKUP($AR182,'O_MN, PE_UTA_UGM 2024'!$E$3:$O$419,BB$6),"")</f>
        <v/>
      </c>
      <c r="BC182" s="1424" t="str">
        <f aca="false">IF($AT182&gt;0,VLOOKUP($AR182,'O_MN, PE_UTA_UGM 2024'!$E$3:$O$419,BC$6),"")</f>
        <v/>
      </c>
      <c r="BD182" s="1424" t="str">
        <f aca="false">IF($AT182&gt;0,VLOOKUP($AR182,'O_MN, PE_UTA_UGM 2024'!$E$3:$O$419,BD$6),"")</f>
        <v/>
      </c>
      <c r="BE182" s="1424" t="str">
        <f aca="false">IF($AT182&gt;0,VLOOKUP($AR182,'O_MN, PE_UTA_UGM 2024'!$E$3:$O$419,BE$6),"")</f>
        <v/>
      </c>
      <c r="BF182" s="1424" t="str">
        <f aca="false">IF($AT182&gt;0,VLOOKUP($AR182,'O_MN, PE_UTA_UGM 2024'!$E$3:$O$419,BF$6),"")</f>
        <v/>
      </c>
      <c r="BG182" s="1424" t="str">
        <f aca="false">IF($AT182&gt;0,VLOOKUP($AR182,'O_MN, PE_UTA_UGM 2024'!$E$3:$O$419,BG$6),"")</f>
        <v/>
      </c>
      <c r="BH182" s="872"/>
      <c r="BI182" s="872"/>
      <c r="BJ182" s="872"/>
      <c r="BK182" s="872"/>
      <c r="BM182" s="1411"/>
      <c r="BN182" s="1411"/>
      <c r="BO182" s="1425" t="str">
        <f aca="false">IF(ISNUMBER($AU182*BB182*1),$AU182*BB182*1,"")</f>
        <v/>
      </c>
      <c r="BP182" s="1425" t="str">
        <f aca="false">IF(ISNUMBER($AV182*BC182*1),$AV182*BC182*1,"")</f>
        <v/>
      </c>
      <c r="BQ182" s="1425" t="str">
        <f aca="false">IF(ISNUMBER($AU182*BD182*1),$AU182*BD182*1,"")</f>
        <v/>
      </c>
      <c r="BR182" s="1425" t="str">
        <f aca="false">IF(ISNUMBER($AV182*BE182*1),$AV182*BE182*1,"")</f>
        <v/>
      </c>
      <c r="BS182" s="1411" t="str">
        <f aca="false">IF(ISNUMBER($AU182*BF182),$AU182*BF182,"")</f>
        <v/>
      </c>
      <c r="BT182" s="1411" t="str">
        <f aca="false">IF(ISNUMBER($AV182*BG182),$AV182*BG182,"")</f>
        <v/>
      </c>
      <c r="BU182" s="1411"/>
      <c r="BV182" s="1411"/>
      <c r="BW182" s="1411"/>
      <c r="BX182" s="1411"/>
      <c r="BZ182" s="1372"/>
      <c r="CA182" s="1372"/>
      <c r="CB182" s="1426" t="str">
        <f aca="false">IF(ISNUMBER($AW182*BB182),$AW182*BB182,"")</f>
        <v/>
      </c>
      <c r="CC182" s="1426" t="str">
        <f aca="false">IF(ISNUMBER($AX182*BC182),$AX182*BC182,"")</f>
        <v/>
      </c>
      <c r="CD182" s="1426" t="str">
        <f aca="false">IF(ISNUMBER($AW182*BD182),$AW182*BD182,"")</f>
        <v/>
      </c>
      <c r="CE182" s="1426" t="str">
        <f aca="false">IF(ISNUMBER($AX182*BE182),$AX182*BE182,"")</f>
        <v/>
      </c>
      <c r="CF182" s="1372" t="str">
        <f aca="false">IF(ISNUMBER($AW182*BF182),$AW182*BF182,"")</f>
        <v/>
      </c>
      <c r="CG182" s="1372" t="str">
        <f aca="false">IF(ISNUMBER($AX182*BG182),$AX182*BG182,"")</f>
        <v/>
      </c>
      <c r="CH182" s="1438"/>
      <c r="CI182" s="1438"/>
      <c r="CJ182" s="1438"/>
      <c r="CK182" s="1438"/>
      <c r="CU182" s="1411"/>
      <c r="CV182" s="1411"/>
      <c r="CW182" s="1425"/>
      <c r="CX182" s="1425"/>
      <c r="CY182" s="1425"/>
      <c r="CZ182" s="1425"/>
      <c r="DA182" s="1411"/>
      <c r="DB182" s="1411"/>
      <c r="DC182" s="1411"/>
      <c r="DD182" s="1411"/>
      <c r="DE182" s="1411"/>
      <c r="DF182" s="1411"/>
      <c r="DH182" s="1432"/>
      <c r="DI182" s="1432"/>
      <c r="DJ182" s="1437"/>
      <c r="DK182" s="1437"/>
      <c r="DL182" s="1437"/>
      <c r="DM182" s="1437"/>
      <c r="DN182" s="1432"/>
      <c r="DO182" s="1432"/>
      <c r="DP182" s="1432"/>
      <c r="DQ182" s="1432"/>
      <c r="DR182" s="1432"/>
      <c r="DS182" s="1432"/>
      <c r="DT182" s="1316"/>
      <c r="DU182" s="1433"/>
      <c r="DV182" s="1433"/>
      <c r="DW182" s="1433"/>
      <c r="DX182" s="1433"/>
      <c r="DY182" s="1433"/>
      <c r="DZ182" s="1433"/>
      <c r="EA182" s="1433"/>
      <c r="EB182" s="1433"/>
    </row>
    <row r="183" customFormat="false" ht="14.25" hidden="false" customHeight="false" outlineLevel="0" collapsed="false">
      <c r="A183" s="2" t="n">
        <f aca="false">'V_DATOS PAC_SGA'!R178</f>
        <v>0</v>
      </c>
      <c r="B183" s="2" t="n">
        <f aca="false">IF(I183="IV",CONCATENATE('V_DATOS PAC_SGA'!R178,"4")+0,CONCATENATE('V_DATOS PAC_SGA'!R178,"0")+0)</f>
        <v>0</v>
      </c>
      <c r="C183" s="2" t="n">
        <f aca="false">'V_DATOS PAC_SGA'!S178</f>
        <v>0</v>
      </c>
      <c r="D183" s="1409" t="n">
        <f aca="false">'V_DATOS PAC_SGA'!Y178</f>
        <v>0</v>
      </c>
      <c r="E183" s="1410" t="str">
        <f aca="false">IF('V_DATOS PAC_SGA'!AV178="","Regadio",'V_DATOS PAC_SGA'!AV178)</f>
        <v>Regadio</v>
      </c>
      <c r="F183" s="1411" t="n">
        <f aca="false">'V_DATOS PAC_SGA'!BK178</f>
        <v>0</v>
      </c>
      <c r="G183" s="1412" t="n">
        <f aca="false">'V_DATOS PAC_SGA'!AN178</f>
        <v>0</v>
      </c>
      <c r="H183" s="1413" t="str">
        <f aca="false">IF(B183&gt;0,VLOOKUP(B183,'O_MN, PE_UTA_UGM 2024'!E$3:O$419,10),"")</f>
        <v/>
      </c>
      <c r="I183" s="1359" t="n">
        <f aca="false">'V_DATOS PAC_SGA'!BV178</f>
        <v>0</v>
      </c>
      <c r="J183" s="2" t="str">
        <f aca="false">IF(AND(J$4=$G183,J$6=$F183),$D183*J$5,"")</f>
        <v/>
      </c>
      <c r="K183" s="2" t="str">
        <f aca="false">IF(AND(K$4=$G183,K$6=$F183),$D183*K$5,"")</f>
        <v/>
      </c>
      <c r="L183" s="2" t="str">
        <f aca="false">IF(AND(L$4=$G183,L$6=$F183),$D183*L$5,"")</f>
        <v/>
      </c>
      <c r="M183" s="2" t="str">
        <f aca="false">IF(AND(M$4=$G183,M$6=$F183),$D183*M$5,"")</f>
        <v/>
      </c>
      <c r="N183" s="1414" t="n">
        <f aca="false">VLOOKUP(B183,'O_MN, PE_UTA_UGM 2024'!$E$2:$K$419,IF(G183&gt;1,6,7))</f>
        <v>0</v>
      </c>
      <c r="O183" s="1434" t="str">
        <f aca="false">IF($H183=O$4,$D183*$N183,"")</f>
        <v/>
      </c>
      <c r="P183" s="1435" t="str">
        <f aca="false">IF($H183=P$4,$D183*$N183,"")</f>
        <v/>
      </c>
      <c r="Q183" s="1435" t="str">
        <f aca="false">IF($H183=Q$4,$D183*$N183,"")</f>
        <v/>
      </c>
      <c r="R183" s="1435" t="str">
        <f aca="false">IF($H183=R$4,$D183*$N183,"")</f>
        <v/>
      </c>
      <c r="S183" s="1435" t="str">
        <f aca="false">IF($H183=S$4,$D183*$N183,"")</f>
        <v/>
      </c>
      <c r="T183" s="1435" t="str">
        <f aca="false">IF($H183=T$4,$D183*$N183,"")</f>
        <v/>
      </c>
      <c r="U183" s="1436" t="str">
        <f aca="false">IF($H183=U$4,$D183*$N183,"")</f>
        <v/>
      </c>
      <c r="V183" s="1418"/>
      <c r="W183" s="1419"/>
      <c r="X183" s="1419"/>
      <c r="Y183" s="1419"/>
      <c r="Z183" s="1419"/>
      <c r="AA183" s="1419"/>
      <c r="AB183" s="1420"/>
      <c r="AC183" s="1319"/>
      <c r="AD183" s="2" t="str">
        <f aca="false">IF(AND(AD$4=$G183,AD$6=$F183),$B183,"")</f>
        <v/>
      </c>
      <c r="AE183" s="2" t="str">
        <f aca="false">IF(AND(AE$4=$G183,AE$6=$F183),$B183,"")</f>
        <v/>
      </c>
      <c r="AF183" s="2" t="str">
        <f aca="false">IF(AND(AF$4=$G183,AF$6=$F183),$B183,"")</f>
        <v/>
      </c>
      <c r="AG183" s="2" t="str">
        <f aca="false">IF(AND(AG$4=$G183,AG$6=$F183),$B183,"")</f>
        <v/>
      </c>
      <c r="AI183" s="366"/>
      <c r="AL183" s="367"/>
      <c r="AO183" s="367"/>
      <c r="AP183" s="2" t="str">
        <f aca="false">IF(AT183&gt;0,RANK(AT183,AT$7:AT$423),"")</f>
        <v/>
      </c>
      <c r="AQ183" s="2" t="n">
        <f aca="false">'O_MN, PE_UTA_UGM 2024'!C179</f>
        <v>185</v>
      </c>
      <c r="AR183" s="1421" t="n">
        <v>1840</v>
      </c>
      <c r="AS183" s="2" t="str">
        <f aca="false">IF(AY183&lt;&gt;"",AY183,"")</f>
        <v/>
      </c>
      <c r="AT183" s="1422" t="n">
        <f aca="false">IF(ISNUMBER($AR183),SUMIF(B$7:B$505,AR183,D$7:D$505),"")</f>
        <v>0</v>
      </c>
      <c r="AU183" s="1411" t="n">
        <f aca="false">IF(ISNUMBER($AR183),SUMIF(AD$7:AD$503,$AR183,J$7:J$503),"")</f>
        <v>0</v>
      </c>
      <c r="AV183" s="1411" t="n">
        <f aca="false">IF(ISNUMBER($AR183),SUMIF(AF$7:AF$503,$AR183,L$7:L$503),"")</f>
        <v>0</v>
      </c>
      <c r="AW183" s="1423" t="n">
        <f aca="false">IF(ISNUMBER($AR183),SUMIF(AE$7:AE$503,$AR183,K$7:K$503),"")</f>
        <v>0</v>
      </c>
      <c r="AX183" s="1423" t="n">
        <f aca="false">IF(ISNUMBER($AR183),SUMIF(AG$7:AG$503,$AR183,M$7:M$503),"")</f>
        <v>0</v>
      </c>
      <c r="AY183" s="2" t="str">
        <f aca="false">IF($AT183&gt;0,VLOOKUP($AR183,'O_MN, PE_UTA_UGM 2024'!E179:O595,2),"")</f>
        <v/>
      </c>
      <c r="AZ183" s="1424"/>
      <c r="BA183" s="1424"/>
      <c r="BB183" s="1424" t="str">
        <f aca="false">IF($AT183&gt;0,VLOOKUP($AR183,'O_MN, PE_UTA_UGM 2024'!$E$3:$O$419,BB$6),"")</f>
        <v/>
      </c>
      <c r="BC183" s="1424" t="str">
        <f aca="false">IF($AT183&gt;0,VLOOKUP($AR183,'O_MN, PE_UTA_UGM 2024'!$E$3:$O$419,BC$6),"")</f>
        <v/>
      </c>
      <c r="BD183" s="1424" t="str">
        <f aca="false">IF($AT183&gt;0,VLOOKUP($AR183,'O_MN, PE_UTA_UGM 2024'!$E$3:$O$419,BD$6),"")</f>
        <v/>
      </c>
      <c r="BE183" s="1424" t="str">
        <f aca="false">IF($AT183&gt;0,VLOOKUP($AR183,'O_MN, PE_UTA_UGM 2024'!$E$3:$O$419,BE$6),"")</f>
        <v/>
      </c>
      <c r="BF183" s="1424" t="str">
        <f aca="false">IF($AT183&gt;0,VLOOKUP($AR183,'O_MN, PE_UTA_UGM 2024'!$E$3:$O$419,BF$6),"")</f>
        <v/>
      </c>
      <c r="BG183" s="1424" t="str">
        <f aca="false">IF($AT183&gt;0,VLOOKUP($AR183,'O_MN, PE_UTA_UGM 2024'!$E$3:$O$419,BG$6),"")</f>
        <v/>
      </c>
      <c r="BH183" s="872"/>
      <c r="BI183" s="872"/>
      <c r="BJ183" s="872"/>
      <c r="BK183" s="872"/>
      <c r="BM183" s="1411"/>
      <c r="BN183" s="1411"/>
      <c r="BO183" s="1425" t="str">
        <f aca="false">IF(ISNUMBER($AU183*BB183*1),$AU183*BB183*1,"")</f>
        <v/>
      </c>
      <c r="BP183" s="1425" t="str">
        <f aca="false">IF(ISNUMBER($AV183*BC183*1),$AV183*BC183*1,"")</f>
        <v/>
      </c>
      <c r="BQ183" s="1425" t="str">
        <f aca="false">IF(ISNUMBER($AU183*BD183*1),$AU183*BD183*1,"")</f>
        <v/>
      </c>
      <c r="BR183" s="1425" t="str">
        <f aca="false">IF(ISNUMBER($AV183*BE183*1),$AV183*BE183*1,"")</f>
        <v/>
      </c>
      <c r="BS183" s="1411" t="str">
        <f aca="false">IF(ISNUMBER($AU183*BF183),$AU183*BF183,"")</f>
        <v/>
      </c>
      <c r="BT183" s="1411" t="str">
        <f aca="false">IF(ISNUMBER($AV183*BG183),$AV183*BG183,"")</f>
        <v/>
      </c>
      <c r="BU183" s="1411"/>
      <c r="BV183" s="1411"/>
      <c r="BW183" s="1411"/>
      <c r="BX183" s="1411"/>
      <c r="BZ183" s="1372"/>
      <c r="CA183" s="1372"/>
      <c r="CB183" s="1426" t="str">
        <f aca="false">IF(ISNUMBER($AW183*BB183),$AW183*BB183,"")</f>
        <v/>
      </c>
      <c r="CC183" s="1426" t="str">
        <f aca="false">IF(ISNUMBER($AX183*BC183),$AX183*BC183,"")</f>
        <v/>
      </c>
      <c r="CD183" s="1426" t="str">
        <f aca="false">IF(ISNUMBER($AW183*BD183),$AW183*BD183,"")</f>
        <v/>
      </c>
      <c r="CE183" s="1426" t="str">
        <f aca="false">IF(ISNUMBER($AX183*BE183),$AX183*BE183,"")</f>
        <v/>
      </c>
      <c r="CF183" s="1372" t="str">
        <f aca="false">IF(ISNUMBER($AW183*BF183),$AW183*BF183,"")</f>
        <v/>
      </c>
      <c r="CG183" s="1372" t="str">
        <f aca="false">IF(ISNUMBER($AX183*BG183),$AX183*BG183,"")</f>
        <v/>
      </c>
      <c r="CH183" s="1438"/>
      <c r="CI183" s="1438"/>
      <c r="CJ183" s="1438"/>
      <c r="CK183" s="1438"/>
      <c r="CU183" s="1411"/>
      <c r="CV183" s="1411"/>
      <c r="CW183" s="1425"/>
      <c r="CX183" s="1425"/>
      <c r="CY183" s="1425"/>
      <c r="CZ183" s="1425"/>
      <c r="DA183" s="1411"/>
      <c r="DB183" s="1411"/>
      <c r="DC183" s="1411"/>
      <c r="DD183" s="1411"/>
      <c r="DE183" s="1411"/>
      <c r="DF183" s="1411"/>
      <c r="DH183" s="1432"/>
      <c r="DI183" s="1432"/>
      <c r="DJ183" s="1437"/>
      <c r="DK183" s="1437"/>
      <c r="DL183" s="1437"/>
      <c r="DM183" s="1437"/>
      <c r="DN183" s="1432"/>
      <c r="DO183" s="1432"/>
      <c r="DP183" s="1432"/>
      <c r="DQ183" s="1432"/>
      <c r="DR183" s="1432"/>
      <c r="DS183" s="1432"/>
      <c r="DT183" s="1316"/>
      <c r="DU183" s="1433"/>
      <c r="DV183" s="1433"/>
      <c r="DW183" s="1433"/>
      <c r="DX183" s="1433"/>
      <c r="DY183" s="1433"/>
      <c r="DZ183" s="1433"/>
      <c r="EA183" s="1433"/>
      <c r="EB183" s="1433"/>
    </row>
    <row r="184" customFormat="false" ht="14.25" hidden="false" customHeight="false" outlineLevel="0" collapsed="false">
      <c r="A184" s="2" t="n">
        <f aca="false">'V_DATOS PAC_SGA'!R179</f>
        <v>0</v>
      </c>
      <c r="B184" s="2" t="n">
        <f aca="false">IF(I184="IV",CONCATENATE('V_DATOS PAC_SGA'!R179,"4")+0,CONCATENATE('V_DATOS PAC_SGA'!R179,"0")+0)</f>
        <v>0</v>
      </c>
      <c r="C184" s="2" t="n">
        <f aca="false">'V_DATOS PAC_SGA'!S179</f>
        <v>0</v>
      </c>
      <c r="D184" s="1409" t="n">
        <f aca="false">'V_DATOS PAC_SGA'!Y179</f>
        <v>0</v>
      </c>
      <c r="E184" s="1410" t="str">
        <f aca="false">IF('V_DATOS PAC_SGA'!AV179="","Regadio",'V_DATOS PAC_SGA'!AV179)</f>
        <v>Regadio</v>
      </c>
      <c r="F184" s="1411" t="n">
        <f aca="false">'V_DATOS PAC_SGA'!BK179</f>
        <v>0</v>
      </c>
      <c r="G184" s="1412" t="n">
        <f aca="false">'V_DATOS PAC_SGA'!AN179</f>
        <v>0</v>
      </c>
      <c r="H184" s="1413" t="str">
        <f aca="false">IF(B184&gt;0,VLOOKUP(B184,'O_MN, PE_UTA_UGM 2024'!E$3:O$419,10),"")</f>
        <v/>
      </c>
      <c r="I184" s="1359" t="n">
        <f aca="false">'V_DATOS PAC_SGA'!BV179</f>
        <v>0</v>
      </c>
      <c r="J184" s="2" t="str">
        <f aca="false">IF(AND(J$4=$G184,J$6=$F184),$D184*J$5,"")</f>
        <v/>
      </c>
      <c r="K184" s="2" t="str">
        <f aca="false">IF(AND(K$4=$G184,K$6=$F184),$D184*K$5,"")</f>
        <v/>
      </c>
      <c r="L184" s="2" t="str">
        <f aca="false">IF(AND(L$4=$G184,L$6=$F184),$D184*L$5,"")</f>
        <v/>
      </c>
      <c r="M184" s="2" t="str">
        <f aca="false">IF(AND(M$4=$G184,M$6=$F184),$D184*M$5,"")</f>
        <v/>
      </c>
      <c r="N184" s="1414" t="n">
        <f aca="false">VLOOKUP(B184,'O_MN, PE_UTA_UGM 2024'!$E$2:$K$419,IF(G184&gt;1,6,7))</f>
        <v>0</v>
      </c>
      <c r="O184" s="1434" t="str">
        <f aca="false">IF($H184=O$4,$D184*$N184,"")</f>
        <v/>
      </c>
      <c r="P184" s="1435" t="str">
        <f aca="false">IF($H184=P$4,$D184*$N184,"")</f>
        <v/>
      </c>
      <c r="Q184" s="1435" t="str">
        <f aca="false">IF($H184=Q$4,$D184*$N184,"")</f>
        <v/>
      </c>
      <c r="R184" s="1435" t="str">
        <f aca="false">IF($H184=R$4,$D184*$N184,"")</f>
        <v/>
      </c>
      <c r="S184" s="1435" t="str">
        <f aca="false">IF($H184=S$4,$D184*$N184,"")</f>
        <v/>
      </c>
      <c r="T184" s="1435" t="str">
        <f aca="false">IF($H184=T$4,$D184*$N184,"")</f>
        <v/>
      </c>
      <c r="U184" s="1436" t="str">
        <f aca="false">IF($H184=U$4,$D184*$N184,"")</f>
        <v/>
      </c>
      <c r="V184" s="1418"/>
      <c r="W184" s="1419"/>
      <c r="X184" s="1419"/>
      <c r="Y184" s="1419"/>
      <c r="Z184" s="1419"/>
      <c r="AA184" s="1419"/>
      <c r="AB184" s="1420"/>
      <c r="AC184" s="1319"/>
      <c r="AD184" s="2" t="str">
        <f aca="false">IF(AND(AD$4=$G184,AD$6=$F184),$B184,"")</f>
        <v/>
      </c>
      <c r="AE184" s="2" t="str">
        <f aca="false">IF(AND(AE$4=$G184,AE$6=$F184),$B184,"")</f>
        <v/>
      </c>
      <c r="AF184" s="2" t="str">
        <f aca="false">IF(AND(AF$4=$G184,AF$6=$F184),$B184,"")</f>
        <v/>
      </c>
      <c r="AG184" s="2" t="str">
        <f aca="false">IF(AND(AG$4=$G184,AG$6=$F184),$B184,"")</f>
        <v/>
      </c>
      <c r="AI184" s="366"/>
      <c r="AL184" s="367"/>
      <c r="AO184" s="367"/>
      <c r="AP184" s="2" t="str">
        <f aca="false">IF(AT184&gt;0,RANK(AT184,AT$7:AT$423),"")</f>
        <v/>
      </c>
      <c r="AQ184" s="2" t="n">
        <f aca="false">'O_MN, PE_UTA_UGM 2024'!C180</f>
        <v>185</v>
      </c>
      <c r="AR184" s="1421" t="n">
        <v>1844</v>
      </c>
      <c r="AS184" s="2" t="str">
        <f aca="false">IF(AY184&lt;&gt;"",AY184,"")</f>
        <v/>
      </c>
      <c r="AT184" s="1422" t="n">
        <f aca="false">IF(ISNUMBER($AR184),SUMIF(B$7:B$505,AR184,D$7:D$505),"")</f>
        <v>0</v>
      </c>
      <c r="AU184" s="1411" t="n">
        <f aca="false">IF(ISNUMBER($AR184),SUMIF(AD$7:AD$503,$AR184,J$7:J$503),"")</f>
        <v>0</v>
      </c>
      <c r="AV184" s="1411" t="n">
        <f aca="false">IF(ISNUMBER($AR184),SUMIF(AF$7:AF$503,$AR184,L$7:L$503),"")</f>
        <v>0</v>
      </c>
      <c r="AW184" s="1423" t="n">
        <f aca="false">IF(ISNUMBER($AR184),SUMIF(AE$7:AE$503,$AR184,K$7:K$503),"")</f>
        <v>0</v>
      </c>
      <c r="AX184" s="1423" t="n">
        <f aca="false">IF(ISNUMBER($AR184),SUMIF(AG$7:AG$503,$AR184,M$7:M$503),"")</f>
        <v>0</v>
      </c>
      <c r="AY184" s="2" t="str">
        <f aca="false">IF($AT184&gt;0,VLOOKUP($AR184,'O_MN, PE_UTA_UGM 2024'!E180:O596,2),"")</f>
        <v/>
      </c>
      <c r="AZ184" s="1424"/>
      <c r="BA184" s="1424"/>
      <c r="BB184" s="1424" t="str">
        <f aca="false">IF($AT184&gt;0,VLOOKUP($AR184,'O_MN, PE_UTA_UGM 2024'!$E$3:$O$419,BB$6),"")</f>
        <v/>
      </c>
      <c r="BC184" s="1424" t="str">
        <f aca="false">IF($AT184&gt;0,VLOOKUP($AR184,'O_MN, PE_UTA_UGM 2024'!$E$3:$O$419,BC$6),"")</f>
        <v/>
      </c>
      <c r="BD184" s="1424" t="str">
        <f aca="false">IF($AT184&gt;0,VLOOKUP($AR184,'O_MN, PE_UTA_UGM 2024'!$E$3:$O$419,BD$6),"")</f>
        <v/>
      </c>
      <c r="BE184" s="1424" t="str">
        <f aca="false">IF($AT184&gt;0,VLOOKUP($AR184,'O_MN, PE_UTA_UGM 2024'!$E$3:$O$419,BE$6),"")</f>
        <v/>
      </c>
      <c r="BF184" s="1424" t="str">
        <f aca="false">IF($AT184&gt;0,VLOOKUP($AR184,'O_MN, PE_UTA_UGM 2024'!$E$3:$O$419,BF$6),"")</f>
        <v/>
      </c>
      <c r="BG184" s="1424" t="str">
        <f aca="false">IF($AT184&gt;0,VLOOKUP($AR184,'O_MN, PE_UTA_UGM 2024'!$E$3:$O$419,BG$6),"")</f>
        <v/>
      </c>
      <c r="BH184" s="872"/>
      <c r="BI184" s="872"/>
      <c r="BJ184" s="872"/>
      <c r="BK184" s="872"/>
      <c r="BM184" s="1411"/>
      <c r="BN184" s="1411"/>
      <c r="BO184" s="1425" t="str">
        <f aca="false">IF(ISNUMBER($AU184*BB184*1),$AU184*BB184*1,"")</f>
        <v/>
      </c>
      <c r="BP184" s="1425" t="str">
        <f aca="false">IF(ISNUMBER($AV184*BC184*1),$AV184*BC184*1,"")</f>
        <v/>
      </c>
      <c r="BQ184" s="1425" t="str">
        <f aca="false">IF(ISNUMBER($AU184*BD184*1),$AU184*BD184*1,"")</f>
        <v/>
      </c>
      <c r="BR184" s="1425" t="str">
        <f aca="false">IF(ISNUMBER($AV184*BE184*1),$AV184*BE184*1,"")</f>
        <v/>
      </c>
      <c r="BS184" s="1411" t="str">
        <f aca="false">IF(ISNUMBER($AU184*BF184),$AU184*BF184,"")</f>
        <v/>
      </c>
      <c r="BT184" s="1411" t="str">
        <f aca="false">IF(ISNUMBER($AV184*BG184),$AV184*BG184,"")</f>
        <v/>
      </c>
      <c r="BU184" s="1411"/>
      <c r="BV184" s="1411"/>
      <c r="BW184" s="1411"/>
      <c r="BX184" s="1411"/>
      <c r="BZ184" s="1372"/>
      <c r="CA184" s="1372"/>
      <c r="CB184" s="1426" t="str">
        <f aca="false">IF(ISNUMBER($AW184*BB184),$AW184*BB184,"")</f>
        <v/>
      </c>
      <c r="CC184" s="1426" t="str">
        <f aca="false">IF(ISNUMBER($AX184*BC184),$AX184*BC184,"")</f>
        <v/>
      </c>
      <c r="CD184" s="1426" t="str">
        <f aca="false">IF(ISNUMBER($AW184*BD184),$AW184*BD184,"")</f>
        <v/>
      </c>
      <c r="CE184" s="1426" t="str">
        <f aca="false">IF(ISNUMBER($AX184*BE184),$AX184*BE184,"")</f>
        <v/>
      </c>
      <c r="CF184" s="1372" t="str">
        <f aca="false">IF(ISNUMBER($AW184*BF184),$AW184*BF184,"")</f>
        <v/>
      </c>
      <c r="CG184" s="1372" t="str">
        <f aca="false">IF(ISNUMBER($AX184*BG184),$AX184*BG184,"")</f>
        <v/>
      </c>
      <c r="CH184" s="1438"/>
      <c r="CI184" s="1438"/>
      <c r="CJ184" s="1438"/>
      <c r="CK184" s="1438"/>
      <c r="CU184" s="1411"/>
      <c r="CV184" s="1411"/>
      <c r="CW184" s="1425"/>
      <c r="CX184" s="1425"/>
      <c r="CY184" s="1425"/>
      <c r="CZ184" s="1425"/>
      <c r="DA184" s="1411"/>
      <c r="DB184" s="1411"/>
      <c r="DC184" s="1411"/>
      <c r="DD184" s="1411"/>
      <c r="DE184" s="1411"/>
      <c r="DF184" s="1411"/>
      <c r="DH184" s="1432"/>
      <c r="DI184" s="1432"/>
      <c r="DJ184" s="1437"/>
      <c r="DK184" s="1437"/>
      <c r="DL184" s="1437"/>
      <c r="DM184" s="1437"/>
      <c r="DN184" s="1432"/>
      <c r="DO184" s="1432"/>
      <c r="DP184" s="1432"/>
      <c r="DQ184" s="1432"/>
      <c r="DR184" s="1432"/>
      <c r="DS184" s="1432"/>
      <c r="DT184" s="1316"/>
      <c r="DU184" s="1433"/>
      <c r="DV184" s="1433"/>
      <c r="DW184" s="1433"/>
      <c r="DX184" s="1433"/>
      <c r="DY184" s="1433"/>
      <c r="DZ184" s="1433"/>
      <c r="EA184" s="1433"/>
      <c r="EB184" s="1433"/>
    </row>
    <row r="185" customFormat="false" ht="14.25" hidden="false" customHeight="false" outlineLevel="0" collapsed="false">
      <c r="A185" s="2" t="n">
        <f aca="false">'V_DATOS PAC_SGA'!R180</f>
        <v>0</v>
      </c>
      <c r="B185" s="2" t="n">
        <f aca="false">IF(I185="IV",CONCATENATE('V_DATOS PAC_SGA'!R180,"4")+0,CONCATENATE('V_DATOS PAC_SGA'!R180,"0")+0)</f>
        <v>0</v>
      </c>
      <c r="C185" s="2" t="n">
        <f aca="false">'V_DATOS PAC_SGA'!S180</f>
        <v>0</v>
      </c>
      <c r="D185" s="1409" t="n">
        <f aca="false">'V_DATOS PAC_SGA'!Y180</f>
        <v>0</v>
      </c>
      <c r="E185" s="1410" t="str">
        <f aca="false">IF('V_DATOS PAC_SGA'!AV180="","Regadio",'V_DATOS PAC_SGA'!AV180)</f>
        <v>Regadio</v>
      </c>
      <c r="F185" s="1411" t="n">
        <f aca="false">'V_DATOS PAC_SGA'!BK180</f>
        <v>0</v>
      </c>
      <c r="G185" s="1412" t="n">
        <f aca="false">'V_DATOS PAC_SGA'!AN180</f>
        <v>0</v>
      </c>
      <c r="H185" s="1413" t="str">
        <f aca="false">IF(B185&gt;0,VLOOKUP(B185,'O_MN, PE_UTA_UGM 2024'!E$3:O$419,10),"")</f>
        <v/>
      </c>
      <c r="I185" s="1359" t="n">
        <f aca="false">'V_DATOS PAC_SGA'!BV180</f>
        <v>0</v>
      </c>
      <c r="J185" s="2" t="str">
        <f aca="false">IF(AND(J$4=$G185,J$6=$F185),$D185*J$5,"")</f>
        <v/>
      </c>
      <c r="K185" s="2" t="str">
        <f aca="false">IF(AND(K$4=$G185,K$6=$F185),$D185*K$5,"")</f>
        <v/>
      </c>
      <c r="L185" s="2" t="str">
        <f aca="false">IF(AND(L$4=$G185,L$6=$F185),$D185*L$5,"")</f>
        <v/>
      </c>
      <c r="M185" s="2" t="str">
        <f aca="false">IF(AND(M$4=$G185,M$6=$F185),$D185*M$5,"")</f>
        <v/>
      </c>
      <c r="N185" s="1414" t="n">
        <f aca="false">VLOOKUP(B185,'O_MN, PE_UTA_UGM 2024'!$E$2:$K$419,IF(G185&gt;1,6,7))</f>
        <v>0</v>
      </c>
      <c r="O185" s="1434" t="str">
        <f aca="false">IF($H185=O$4,$D185*$N185,"")</f>
        <v/>
      </c>
      <c r="P185" s="1435" t="str">
        <f aca="false">IF($H185=P$4,$D185*$N185,"")</f>
        <v/>
      </c>
      <c r="Q185" s="1435" t="str">
        <f aca="false">IF($H185=Q$4,$D185*$N185,"")</f>
        <v/>
      </c>
      <c r="R185" s="1435" t="str">
        <f aca="false">IF($H185=R$4,$D185*$N185,"")</f>
        <v/>
      </c>
      <c r="S185" s="1435" t="str">
        <f aca="false">IF($H185=S$4,$D185*$N185,"")</f>
        <v/>
      </c>
      <c r="T185" s="1435" t="str">
        <f aca="false">IF($H185=T$4,$D185*$N185,"")</f>
        <v/>
      </c>
      <c r="U185" s="1436" t="str">
        <f aca="false">IF($H185=U$4,$D185*$N185,"")</f>
        <v/>
      </c>
      <c r="V185" s="1418"/>
      <c r="W185" s="1419"/>
      <c r="X185" s="1419"/>
      <c r="Y185" s="1419"/>
      <c r="Z185" s="1419"/>
      <c r="AA185" s="1419"/>
      <c r="AB185" s="1420"/>
      <c r="AC185" s="1319"/>
      <c r="AD185" s="2" t="str">
        <f aca="false">IF(AND(AD$4=$G185,AD$6=$F185),$B185,"")</f>
        <v/>
      </c>
      <c r="AE185" s="2" t="str">
        <f aca="false">IF(AND(AE$4=$G185,AE$6=$F185),$B185,"")</f>
        <v/>
      </c>
      <c r="AF185" s="2" t="str">
        <f aca="false">IF(AND(AF$4=$G185,AF$6=$F185),$B185,"")</f>
        <v/>
      </c>
      <c r="AG185" s="2" t="str">
        <f aca="false">IF(AND(AG$4=$G185,AG$6=$F185),$B185,"")</f>
        <v/>
      </c>
      <c r="AI185" s="366"/>
      <c r="AL185" s="367"/>
      <c r="AO185" s="367"/>
      <c r="AP185" s="2" t="str">
        <f aca="false">IF(AT185&gt;0,RANK(AT185,AT$7:AT$423),"")</f>
        <v/>
      </c>
      <c r="AQ185" s="2" t="n">
        <f aca="false">'O_MN, PE_UTA_UGM 2024'!C181</f>
        <v>186</v>
      </c>
      <c r="AR185" s="1421" t="n">
        <v>1849</v>
      </c>
      <c r="AS185" s="2" t="str">
        <f aca="false">IF(AY185&lt;&gt;"",AY185,"")</f>
        <v/>
      </c>
      <c r="AT185" s="1422" t="n">
        <f aca="false">IF(ISNUMBER($AR185),SUMIF(B$7:B$505,AR185,D$7:D$505),"")</f>
        <v>0</v>
      </c>
      <c r="AU185" s="1411" t="n">
        <f aca="false">IF(ISNUMBER($AR185),SUMIF(AD$7:AD$503,$AR185,J$7:J$503),"")</f>
        <v>0</v>
      </c>
      <c r="AV185" s="1411" t="n">
        <f aca="false">IF(ISNUMBER($AR185),SUMIF(AF$7:AF$503,$AR185,L$7:L$503),"")</f>
        <v>0</v>
      </c>
      <c r="AW185" s="1423" t="n">
        <f aca="false">IF(ISNUMBER($AR185),SUMIF(AE$7:AE$503,$AR185,K$7:K$503),"")</f>
        <v>0</v>
      </c>
      <c r="AX185" s="1423" t="n">
        <f aca="false">IF(ISNUMBER($AR185),SUMIF(AG$7:AG$503,$AR185,M$7:M$503),"")</f>
        <v>0</v>
      </c>
      <c r="AY185" s="2" t="str">
        <f aca="false">IF($AT185&gt;0,VLOOKUP($AR185,'O_MN, PE_UTA_UGM 2024'!E181:O597,2),"")</f>
        <v/>
      </c>
      <c r="AZ185" s="1424"/>
      <c r="BA185" s="1424"/>
      <c r="BB185" s="1424" t="str">
        <f aca="false">IF($AT185&gt;0,VLOOKUP($AR185,'O_MN, PE_UTA_UGM 2024'!$E$3:$O$419,BB$6),"")</f>
        <v/>
      </c>
      <c r="BC185" s="1424" t="str">
        <f aca="false">IF($AT185&gt;0,VLOOKUP($AR185,'O_MN, PE_UTA_UGM 2024'!$E$3:$O$419,BC$6),"")</f>
        <v/>
      </c>
      <c r="BD185" s="1424" t="str">
        <f aca="false">IF($AT185&gt;0,VLOOKUP($AR185,'O_MN, PE_UTA_UGM 2024'!$E$3:$O$419,BD$6),"")</f>
        <v/>
      </c>
      <c r="BE185" s="1424" t="str">
        <f aca="false">IF($AT185&gt;0,VLOOKUP($AR185,'O_MN, PE_UTA_UGM 2024'!$E$3:$O$419,BE$6),"")</f>
        <v/>
      </c>
      <c r="BF185" s="1424" t="str">
        <f aca="false">IF($AT185&gt;0,VLOOKUP($AR185,'O_MN, PE_UTA_UGM 2024'!$E$3:$O$419,BF$6),"")</f>
        <v/>
      </c>
      <c r="BG185" s="1424" t="str">
        <f aca="false">IF($AT185&gt;0,VLOOKUP($AR185,'O_MN, PE_UTA_UGM 2024'!$E$3:$O$419,BG$6),"")</f>
        <v/>
      </c>
      <c r="BH185" s="872"/>
      <c r="BI185" s="872"/>
      <c r="BJ185" s="872"/>
      <c r="BK185" s="872"/>
      <c r="BM185" s="1411"/>
      <c r="BN185" s="1411"/>
      <c r="BO185" s="1425" t="str">
        <f aca="false">IF(ISNUMBER($AU185*BB185*1),$AU185*BB185*1,"")</f>
        <v/>
      </c>
      <c r="BP185" s="1425" t="str">
        <f aca="false">IF(ISNUMBER($AV185*BC185*1),$AV185*BC185*1,"")</f>
        <v/>
      </c>
      <c r="BQ185" s="1425" t="str">
        <f aca="false">IF(ISNUMBER($AU185*BD185*1),$AU185*BD185*1,"")</f>
        <v/>
      </c>
      <c r="BR185" s="1425" t="str">
        <f aca="false">IF(ISNUMBER($AV185*BE185*1),$AV185*BE185*1,"")</f>
        <v/>
      </c>
      <c r="BS185" s="1411" t="str">
        <f aca="false">IF(ISNUMBER($AU185*BF185),$AU185*BF185,"")</f>
        <v/>
      </c>
      <c r="BT185" s="1411" t="str">
        <f aca="false">IF(ISNUMBER($AV185*BG185),$AV185*BG185,"")</f>
        <v/>
      </c>
      <c r="BU185" s="1411"/>
      <c r="BV185" s="1411"/>
      <c r="BW185" s="1411"/>
      <c r="BX185" s="1411"/>
      <c r="BZ185" s="1372"/>
      <c r="CA185" s="1372"/>
      <c r="CB185" s="1426" t="str">
        <f aca="false">IF(ISNUMBER($AW185*BB185),$AW185*BB185,"")</f>
        <v/>
      </c>
      <c r="CC185" s="1426" t="str">
        <f aca="false">IF(ISNUMBER($AX185*BC185),$AX185*BC185,"")</f>
        <v/>
      </c>
      <c r="CD185" s="1426" t="str">
        <f aca="false">IF(ISNUMBER($AW185*BD185),$AW185*BD185,"")</f>
        <v/>
      </c>
      <c r="CE185" s="1426" t="str">
        <f aca="false">IF(ISNUMBER($AX185*BE185),$AX185*BE185,"")</f>
        <v/>
      </c>
      <c r="CF185" s="1372" t="str">
        <f aca="false">IF(ISNUMBER($AW185*BF185),$AW185*BF185,"")</f>
        <v/>
      </c>
      <c r="CG185" s="1372" t="str">
        <f aca="false">IF(ISNUMBER($AX185*BG185),$AX185*BG185,"")</f>
        <v/>
      </c>
      <c r="CH185" s="1438"/>
      <c r="CI185" s="1438"/>
      <c r="CJ185" s="1438"/>
      <c r="CK185" s="1438"/>
      <c r="CU185" s="1411"/>
      <c r="CV185" s="1411"/>
      <c r="CW185" s="1425"/>
      <c r="CX185" s="1425"/>
      <c r="CY185" s="1425"/>
      <c r="CZ185" s="1425"/>
      <c r="DA185" s="1411"/>
      <c r="DB185" s="1411"/>
      <c r="DC185" s="1411"/>
      <c r="DD185" s="1411"/>
      <c r="DE185" s="1411"/>
      <c r="DF185" s="1411"/>
      <c r="DH185" s="1432"/>
      <c r="DI185" s="1432"/>
      <c r="DJ185" s="1437"/>
      <c r="DK185" s="1437"/>
      <c r="DL185" s="1437"/>
      <c r="DM185" s="1437"/>
      <c r="DN185" s="1432"/>
      <c r="DO185" s="1432"/>
      <c r="DP185" s="1432"/>
      <c r="DQ185" s="1432"/>
      <c r="DR185" s="1432"/>
      <c r="DS185" s="1432"/>
      <c r="DT185" s="1316"/>
      <c r="DU185" s="1433"/>
      <c r="DV185" s="1433"/>
      <c r="DW185" s="1433"/>
      <c r="DX185" s="1433"/>
      <c r="DY185" s="1433"/>
      <c r="DZ185" s="1433"/>
      <c r="EA185" s="1433"/>
      <c r="EB185" s="1433"/>
    </row>
    <row r="186" customFormat="false" ht="14.25" hidden="false" customHeight="false" outlineLevel="0" collapsed="false">
      <c r="A186" s="2" t="n">
        <f aca="false">'V_DATOS PAC_SGA'!R181</f>
        <v>0</v>
      </c>
      <c r="B186" s="2" t="n">
        <f aca="false">IF(I186="IV",CONCATENATE('V_DATOS PAC_SGA'!R181,"4")+0,CONCATENATE('V_DATOS PAC_SGA'!R181,"0")+0)</f>
        <v>0</v>
      </c>
      <c r="C186" s="2" t="n">
        <f aca="false">'V_DATOS PAC_SGA'!S181</f>
        <v>0</v>
      </c>
      <c r="D186" s="1409" t="n">
        <f aca="false">'V_DATOS PAC_SGA'!Y181</f>
        <v>0</v>
      </c>
      <c r="E186" s="1410" t="str">
        <f aca="false">IF('V_DATOS PAC_SGA'!AV181="","Regadio",'V_DATOS PAC_SGA'!AV181)</f>
        <v>Regadio</v>
      </c>
      <c r="F186" s="1411" t="n">
        <f aca="false">'V_DATOS PAC_SGA'!BK181</f>
        <v>0</v>
      </c>
      <c r="G186" s="1412" t="n">
        <f aca="false">'V_DATOS PAC_SGA'!AN181</f>
        <v>0</v>
      </c>
      <c r="H186" s="1413" t="str">
        <f aca="false">IF(B186&gt;0,VLOOKUP(B186,'O_MN, PE_UTA_UGM 2024'!E$3:O$419,10),"")</f>
        <v/>
      </c>
      <c r="I186" s="1359" t="n">
        <f aca="false">'V_DATOS PAC_SGA'!BV181</f>
        <v>0</v>
      </c>
      <c r="J186" s="2" t="str">
        <f aca="false">IF(AND(J$4=$G186,J$6=$F186),$D186*J$5,"")</f>
        <v/>
      </c>
      <c r="K186" s="2" t="str">
        <f aca="false">IF(AND(K$4=$G186,K$6=$F186),$D186*K$5,"")</f>
        <v/>
      </c>
      <c r="L186" s="2" t="str">
        <f aca="false">IF(AND(L$4=$G186,L$6=$F186),$D186*L$5,"")</f>
        <v/>
      </c>
      <c r="M186" s="2" t="str">
        <f aca="false">IF(AND(M$4=$G186,M$6=$F186),$D186*M$5,"")</f>
        <v/>
      </c>
      <c r="N186" s="1414" t="n">
        <f aca="false">VLOOKUP(B186,'O_MN, PE_UTA_UGM 2024'!$E$2:$K$419,IF(G186&gt;1,6,7))</f>
        <v>0</v>
      </c>
      <c r="O186" s="1434" t="str">
        <f aca="false">IF($H186=O$4,$D186*$N186,"")</f>
        <v/>
      </c>
      <c r="P186" s="1435" t="str">
        <f aca="false">IF($H186=P$4,$D186*$N186,"")</f>
        <v/>
      </c>
      <c r="Q186" s="1435" t="str">
        <f aca="false">IF($H186=Q$4,$D186*$N186,"")</f>
        <v/>
      </c>
      <c r="R186" s="1435" t="str">
        <f aca="false">IF($H186=R$4,$D186*$N186,"")</f>
        <v/>
      </c>
      <c r="S186" s="1435" t="str">
        <f aca="false">IF($H186=S$4,$D186*$N186,"")</f>
        <v/>
      </c>
      <c r="T186" s="1435" t="str">
        <f aca="false">IF($H186=T$4,$D186*$N186,"")</f>
        <v/>
      </c>
      <c r="U186" s="1436" t="str">
        <f aca="false">IF($H186=U$4,$D186*$N186,"")</f>
        <v/>
      </c>
      <c r="V186" s="1418"/>
      <c r="W186" s="1419"/>
      <c r="X186" s="1419"/>
      <c r="Y186" s="1419"/>
      <c r="Z186" s="1419"/>
      <c r="AA186" s="1419"/>
      <c r="AB186" s="1420"/>
      <c r="AC186" s="1319"/>
      <c r="AD186" s="2" t="str">
        <f aca="false">IF(AND(AD$4=$G186,AD$6=$F186),$B186,"")</f>
        <v/>
      </c>
      <c r="AE186" s="2" t="str">
        <f aca="false">IF(AND(AE$4=$G186,AE$6=$F186),$B186,"")</f>
        <v/>
      </c>
      <c r="AF186" s="2" t="str">
        <f aca="false">IF(AND(AF$4=$G186,AF$6=$F186),$B186,"")</f>
        <v/>
      </c>
      <c r="AG186" s="2" t="str">
        <f aca="false">IF(AND(AG$4=$G186,AG$6=$F186),$B186,"")</f>
        <v/>
      </c>
      <c r="AI186" s="366"/>
      <c r="AL186" s="367"/>
      <c r="AO186" s="367"/>
      <c r="AP186" s="2" t="str">
        <f aca="false">IF(AT186&gt;0,RANK(AT186,AT$7:AT$423),"")</f>
        <v/>
      </c>
      <c r="AQ186" s="2" t="n">
        <f aca="false">'O_MN, PE_UTA_UGM 2024'!C182</f>
        <v>186</v>
      </c>
      <c r="AR186" s="1421" t="n">
        <v>1850</v>
      </c>
      <c r="AS186" s="2" t="str">
        <f aca="false">IF(AY186&lt;&gt;"",AY186,"")</f>
        <v/>
      </c>
      <c r="AT186" s="1422" t="n">
        <f aca="false">IF(ISNUMBER($AR186),SUMIF(B$7:B$505,AR186,D$7:D$505),"")</f>
        <v>0</v>
      </c>
      <c r="AU186" s="1411" t="n">
        <f aca="false">IF(ISNUMBER($AR186),SUMIF(AD$7:AD$503,$AR186,J$7:J$503),"")</f>
        <v>0</v>
      </c>
      <c r="AV186" s="1411" t="n">
        <f aca="false">IF(ISNUMBER($AR186),SUMIF(AF$7:AF$503,$AR186,L$7:L$503),"")</f>
        <v>0</v>
      </c>
      <c r="AW186" s="1423" t="n">
        <f aca="false">IF(ISNUMBER($AR186),SUMIF(AE$7:AE$503,$AR186,K$7:K$503),"")</f>
        <v>0</v>
      </c>
      <c r="AX186" s="1423" t="n">
        <f aca="false">IF(ISNUMBER($AR186),SUMIF(AG$7:AG$503,$AR186,M$7:M$503),"")</f>
        <v>0</v>
      </c>
      <c r="AY186" s="2" t="str">
        <f aca="false">IF($AT186&gt;0,VLOOKUP($AR186,'O_MN, PE_UTA_UGM 2024'!E182:O598,2),"")</f>
        <v/>
      </c>
      <c r="AZ186" s="1424"/>
      <c r="BA186" s="1424"/>
      <c r="BB186" s="1424" t="str">
        <f aca="false">IF($AT186&gt;0,VLOOKUP($AR186,'O_MN, PE_UTA_UGM 2024'!$E$3:$O$419,BB$6),"")</f>
        <v/>
      </c>
      <c r="BC186" s="1424" t="str">
        <f aca="false">IF($AT186&gt;0,VLOOKUP($AR186,'O_MN, PE_UTA_UGM 2024'!$E$3:$O$419,BC$6),"")</f>
        <v/>
      </c>
      <c r="BD186" s="1424" t="str">
        <f aca="false">IF($AT186&gt;0,VLOOKUP($AR186,'O_MN, PE_UTA_UGM 2024'!$E$3:$O$419,BD$6),"")</f>
        <v/>
      </c>
      <c r="BE186" s="1424" t="str">
        <f aca="false">IF($AT186&gt;0,VLOOKUP($AR186,'O_MN, PE_UTA_UGM 2024'!$E$3:$O$419,BE$6),"")</f>
        <v/>
      </c>
      <c r="BF186" s="1424" t="str">
        <f aca="false">IF($AT186&gt;0,VLOOKUP($AR186,'O_MN, PE_UTA_UGM 2024'!$E$3:$O$419,BF$6),"")</f>
        <v/>
      </c>
      <c r="BG186" s="1424" t="str">
        <f aca="false">IF($AT186&gt;0,VLOOKUP($AR186,'O_MN, PE_UTA_UGM 2024'!$E$3:$O$419,BG$6),"")</f>
        <v/>
      </c>
      <c r="BH186" s="872"/>
      <c r="BI186" s="872"/>
      <c r="BJ186" s="872"/>
      <c r="BK186" s="872"/>
      <c r="BM186" s="1411"/>
      <c r="BN186" s="1411"/>
      <c r="BO186" s="1425" t="str">
        <f aca="false">IF(ISNUMBER($AU186*BB186*1),$AU186*BB186*1,"")</f>
        <v/>
      </c>
      <c r="BP186" s="1425" t="str">
        <f aca="false">IF(ISNUMBER($AV186*BC186*1),$AV186*BC186*1,"")</f>
        <v/>
      </c>
      <c r="BQ186" s="1425" t="str">
        <f aca="false">IF(ISNUMBER($AU186*BD186*1),$AU186*BD186*1,"")</f>
        <v/>
      </c>
      <c r="BR186" s="1425" t="str">
        <f aca="false">IF(ISNUMBER($AV186*BE186*1),$AV186*BE186*1,"")</f>
        <v/>
      </c>
      <c r="BS186" s="1411" t="str">
        <f aca="false">IF(ISNUMBER($AU186*BF186),$AU186*BF186,"")</f>
        <v/>
      </c>
      <c r="BT186" s="1411" t="str">
        <f aca="false">IF(ISNUMBER($AV186*BG186),$AV186*BG186,"")</f>
        <v/>
      </c>
      <c r="BU186" s="1411"/>
      <c r="BV186" s="1411"/>
      <c r="BW186" s="1411"/>
      <c r="BX186" s="1411"/>
      <c r="BZ186" s="1372"/>
      <c r="CA186" s="1372"/>
      <c r="CB186" s="1426" t="str">
        <f aca="false">IF(ISNUMBER($AW186*BB186),$AW186*BB186,"")</f>
        <v/>
      </c>
      <c r="CC186" s="1426" t="str">
        <f aca="false">IF(ISNUMBER($AX186*BC186),$AX186*BC186,"")</f>
        <v/>
      </c>
      <c r="CD186" s="1426" t="str">
        <f aca="false">IF(ISNUMBER($AW186*BD186),$AW186*BD186,"")</f>
        <v/>
      </c>
      <c r="CE186" s="1426" t="str">
        <f aca="false">IF(ISNUMBER($AX186*BE186),$AX186*BE186,"")</f>
        <v/>
      </c>
      <c r="CF186" s="1372" t="str">
        <f aca="false">IF(ISNUMBER($AW186*BF186),$AW186*BF186,"")</f>
        <v/>
      </c>
      <c r="CG186" s="1372" t="str">
        <f aca="false">IF(ISNUMBER($AX186*BG186),$AX186*BG186,"")</f>
        <v/>
      </c>
      <c r="CH186" s="1438"/>
      <c r="CI186" s="1438"/>
      <c r="CJ186" s="1438"/>
      <c r="CK186" s="1438"/>
      <c r="CU186" s="1411"/>
      <c r="CV186" s="1411"/>
      <c r="CW186" s="1425"/>
      <c r="CX186" s="1425"/>
      <c r="CY186" s="1425"/>
      <c r="CZ186" s="1425"/>
      <c r="DA186" s="1411"/>
      <c r="DB186" s="1411"/>
      <c r="DC186" s="1411"/>
      <c r="DD186" s="1411"/>
      <c r="DE186" s="1411"/>
      <c r="DF186" s="1411"/>
      <c r="DH186" s="1432"/>
      <c r="DI186" s="1432"/>
      <c r="DJ186" s="1437"/>
      <c r="DK186" s="1437"/>
      <c r="DL186" s="1437"/>
      <c r="DM186" s="1437"/>
      <c r="DN186" s="1432"/>
      <c r="DO186" s="1432"/>
      <c r="DP186" s="1432"/>
      <c r="DQ186" s="1432"/>
      <c r="DR186" s="1432"/>
      <c r="DS186" s="1432"/>
      <c r="DT186" s="1316"/>
      <c r="DU186" s="1433"/>
      <c r="DV186" s="1433"/>
      <c r="DW186" s="1433"/>
      <c r="DX186" s="1433"/>
      <c r="DY186" s="1433"/>
      <c r="DZ186" s="1433"/>
      <c r="EA186" s="1433"/>
      <c r="EB186" s="1433"/>
    </row>
    <row r="187" customFormat="false" ht="14.25" hidden="false" customHeight="false" outlineLevel="0" collapsed="false">
      <c r="A187" s="2" t="n">
        <f aca="false">'V_DATOS PAC_SGA'!R182</f>
        <v>0</v>
      </c>
      <c r="B187" s="2" t="n">
        <f aca="false">IF(I187="IV",CONCATENATE('V_DATOS PAC_SGA'!R182,"4")+0,CONCATENATE('V_DATOS PAC_SGA'!R182,"0")+0)</f>
        <v>0</v>
      </c>
      <c r="C187" s="2" t="n">
        <f aca="false">'V_DATOS PAC_SGA'!S182</f>
        <v>0</v>
      </c>
      <c r="D187" s="1409" t="n">
        <f aca="false">'V_DATOS PAC_SGA'!Y182</f>
        <v>0</v>
      </c>
      <c r="E187" s="1410" t="str">
        <f aca="false">IF('V_DATOS PAC_SGA'!AV182="","Regadio",'V_DATOS PAC_SGA'!AV182)</f>
        <v>Regadio</v>
      </c>
      <c r="F187" s="1411" t="n">
        <f aca="false">'V_DATOS PAC_SGA'!BK182</f>
        <v>0</v>
      </c>
      <c r="G187" s="1412" t="n">
        <f aca="false">'V_DATOS PAC_SGA'!AN182</f>
        <v>0</v>
      </c>
      <c r="H187" s="1413" t="str">
        <f aca="false">IF(B187&gt;0,VLOOKUP(B187,'O_MN, PE_UTA_UGM 2024'!E$3:O$419,10),"")</f>
        <v/>
      </c>
      <c r="I187" s="1359" t="n">
        <f aca="false">'V_DATOS PAC_SGA'!BV182</f>
        <v>0</v>
      </c>
      <c r="J187" s="2" t="str">
        <f aca="false">IF(AND(J$4=$G187,J$6=$F187),$D187*J$5,"")</f>
        <v/>
      </c>
      <c r="K187" s="2" t="str">
        <f aca="false">IF(AND(K$4=$G187,K$6=$F187),$D187*K$5,"")</f>
        <v/>
      </c>
      <c r="L187" s="2" t="str">
        <f aca="false">IF(AND(L$4=$G187,L$6=$F187),$D187*L$5,"")</f>
        <v/>
      </c>
      <c r="M187" s="2" t="str">
        <f aca="false">IF(AND(M$4=$G187,M$6=$F187),$D187*M$5,"")</f>
        <v/>
      </c>
      <c r="N187" s="1414" t="n">
        <f aca="false">VLOOKUP(B187,'O_MN, PE_UTA_UGM 2024'!$E$2:$K$419,IF(G187&gt;1,6,7))</f>
        <v>0</v>
      </c>
      <c r="O187" s="1434" t="str">
        <f aca="false">IF($H187=O$4,$D187*$N187,"")</f>
        <v/>
      </c>
      <c r="P187" s="1435" t="str">
        <f aca="false">IF($H187=P$4,$D187*$N187,"")</f>
        <v/>
      </c>
      <c r="Q187" s="1435" t="str">
        <f aca="false">IF($H187=Q$4,$D187*$N187,"")</f>
        <v/>
      </c>
      <c r="R187" s="1435" t="str">
        <f aca="false">IF($H187=R$4,$D187*$N187,"")</f>
        <v/>
      </c>
      <c r="S187" s="1435" t="str">
        <f aca="false">IF($H187=S$4,$D187*$N187,"")</f>
        <v/>
      </c>
      <c r="T187" s="1435" t="str">
        <f aca="false">IF($H187=T$4,$D187*$N187,"")</f>
        <v/>
      </c>
      <c r="U187" s="1436" t="str">
        <f aca="false">IF($H187=U$4,$D187*$N187,"")</f>
        <v/>
      </c>
      <c r="V187" s="1418"/>
      <c r="W187" s="1419"/>
      <c r="X187" s="1419"/>
      <c r="Y187" s="1419"/>
      <c r="Z187" s="1419"/>
      <c r="AA187" s="1419"/>
      <c r="AB187" s="1420"/>
      <c r="AC187" s="1319"/>
      <c r="AD187" s="2" t="str">
        <f aca="false">IF(AND(AD$4=$G187,AD$6=$F187),$B187,"")</f>
        <v/>
      </c>
      <c r="AE187" s="2" t="str">
        <f aca="false">IF(AND(AE$4=$G187,AE$6=$F187),$B187,"")</f>
        <v/>
      </c>
      <c r="AF187" s="2" t="str">
        <f aca="false">IF(AND(AF$4=$G187,AF$6=$F187),$B187,"")</f>
        <v/>
      </c>
      <c r="AG187" s="2" t="str">
        <f aca="false">IF(AND(AG$4=$G187,AG$6=$F187),$B187,"")</f>
        <v/>
      </c>
      <c r="AI187" s="366"/>
      <c r="AL187" s="367"/>
      <c r="AO187" s="367"/>
      <c r="AP187" s="2" t="str">
        <f aca="false">IF(AT187&gt;0,RANK(AT187,AT$7:AT$423),"")</f>
        <v/>
      </c>
      <c r="AQ187" s="2" t="n">
        <f aca="false">'O_MN, PE_UTA_UGM 2024'!C183</f>
        <v>186</v>
      </c>
      <c r="AR187" s="1421" t="n">
        <v>1854</v>
      </c>
      <c r="AS187" s="2" t="str">
        <f aca="false">IF(AY187&lt;&gt;"",AY187,"")</f>
        <v/>
      </c>
      <c r="AT187" s="1422" t="n">
        <f aca="false">IF(ISNUMBER($AR187),SUMIF(B$7:B$505,AR187,D$7:D$505),"")</f>
        <v>0</v>
      </c>
      <c r="AU187" s="1411" t="n">
        <f aca="false">IF(ISNUMBER($AR187),SUMIF(AD$7:AD$503,$AR187,J$7:J$503),"")</f>
        <v>0</v>
      </c>
      <c r="AV187" s="1411" t="n">
        <f aca="false">IF(ISNUMBER($AR187),SUMIF(AF$7:AF$503,$AR187,L$7:L$503),"")</f>
        <v>0</v>
      </c>
      <c r="AW187" s="1423" t="n">
        <f aca="false">IF(ISNUMBER($AR187),SUMIF(AE$7:AE$503,$AR187,K$7:K$503),"")</f>
        <v>0</v>
      </c>
      <c r="AX187" s="1423" t="n">
        <f aca="false">IF(ISNUMBER($AR187),SUMIF(AG$7:AG$503,$AR187,M$7:M$503),"")</f>
        <v>0</v>
      </c>
      <c r="AY187" s="2" t="str">
        <f aca="false">IF($AT187&gt;0,VLOOKUP($AR187,'O_MN, PE_UTA_UGM 2024'!E183:O599,2),"")</f>
        <v/>
      </c>
      <c r="AZ187" s="1424"/>
      <c r="BA187" s="1424"/>
      <c r="BB187" s="1424" t="str">
        <f aca="false">IF($AT187&gt;0,VLOOKUP($AR187,'O_MN, PE_UTA_UGM 2024'!$E$3:$O$419,BB$6),"")</f>
        <v/>
      </c>
      <c r="BC187" s="1424" t="str">
        <f aca="false">IF($AT187&gt;0,VLOOKUP($AR187,'O_MN, PE_UTA_UGM 2024'!$E$3:$O$419,BC$6),"")</f>
        <v/>
      </c>
      <c r="BD187" s="1424" t="str">
        <f aca="false">IF($AT187&gt;0,VLOOKUP($AR187,'O_MN, PE_UTA_UGM 2024'!$E$3:$O$419,BD$6),"")</f>
        <v/>
      </c>
      <c r="BE187" s="1424" t="str">
        <f aca="false">IF($AT187&gt;0,VLOOKUP($AR187,'O_MN, PE_UTA_UGM 2024'!$E$3:$O$419,BE$6),"")</f>
        <v/>
      </c>
      <c r="BF187" s="1424" t="str">
        <f aca="false">IF($AT187&gt;0,VLOOKUP($AR187,'O_MN, PE_UTA_UGM 2024'!$E$3:$O$419,BF$6),"")</f>
        <v/>
      </c>
      <c r="BG187" s="1424" t="str">
        <f aca="false">IF($AT187&gt;0,VLOOKUP($AR187,'O_MN, PE_UTA_UGM 2024'!$E$3:$O$419,BG$6),"")</f>
        <v/>
      </c>
      <c r="BH187" s="872"/>
      <c r="BI187" s="872"/>
      <c r="BJ187" s="872"/>
      <c r="BK187" s="872"/>
      <c r="BM187" s="1411"/>
      <c r="BN187" s="1411"/>
      <c r="BO187" s="1425" t="str">
        <f aca="false">IF(ISNUMBER($AU187*BB187*1),$AU187*BB187*1,"")</f>
        <v/>
      </c>
      <c r="BP187" s="1425" t="str">
        <f aca="false">IF(ISNUMBER($AV187*BC187*1),$AV187*BC187*1,"")</f>
        <v/>
      </c>
      <c r="BQ187" s="1425" t="str">
        <f aca="false">IF(ISNUMBER($AU187*BD187*1),$AU187*BD187*1,"")</f>
        <v/>
      </c>
      <c r="BR187" s="1425" t="str">
        <f aca="false">IF(ISNUMBER($AV187*BE187*1),$AV187*BE187*1,"")</f>
        <v/>
      </c>
      <c r="BS187" s="1411" t="str">
        <f aca="false">IF(ISNUMBER($AU187*BF187),$AU187*BF187,"")</f>
        <v/>
      </c>
      <c r="BT187" s="1411" t="str">
        <f aca="false">IF(ISNUMBER($AV187*BG187),$AV187*BG187,"")</f>
        <v/>
      </c>
      <c r="BU187" s="1411"/>
      <c r="BV187" s="1411"/>
      <c r="BW187" s="1411"/>
      <c r="BX187" s="1411"/>
      <c r="BZ187" s="1372"/>
      <c r="CA187" s="1372"/>
      <c r="CB187" s="1426" t="str">
        <f aca="false">IF(ISNUMBER($AW187*BB187),$AW187*BB187,"")</f>
        <v/>
      </c>
      <c r="CC187" s="1426" t="str">
        <f aca="false">IF(ISNUMBER($AX187*BC187),$AX187*BC187,"")</f>
        <v/>
      </c>
      <c r="CD187" s="1426" t="str">
        <f aca="false">IF(ISNUMBER($AW187*BD187),$AW187*BD187,"")</f>
        <v/>
      </c>
      <c r="CE187" s="1426" t="str">
        <f aca="false">IF(ISNUMBER($AX187*BE187),$AX187*BE187,"")</f>
        <v/>
      </c>
      <c r="CF187" s="1372" t="str">
        <f aca="false">IF(ISNUMBER($AW187*BF187),$AW187*BF187,"")</f>
        <v/>
      </c>
      <c r="CG187" s="1372" t="str">
        <f aca="false">IF(ISNUMBER($AX187*BG187),$AX187*BG187,"")</f>
        <v/>
      </c>
      <c r="CH187" s="1438"/>
      <c r="CI187" s="1438"/>
      <c r="CJ187" s="1438"/>
      <c r="CK187" s="1438"/>
      <c r="CU187" s="1411"/>
      <c r="CV187" s="1411"/>
      <c r="CW187" s="1425"/>
      <c r="CX187" s="1425"/>
      <c r="CY187" s="1425"/>
      <c r="CZ187" s="1425"/>
      <c r="DA187" s="1411"/>
      <c r="DB187" s="1411"/>
      <c r="DC187" s="1411"/>
      <c r="DD187" s="1411"/>
      <c r="DE187" s="1411"/>
      <c r="DF187" s="1411"/>
      <c r="DH187" s="1432"/>
      <c r="DI187" s="1432"/>
      <c r="DJ187" s="1437"/>
      <c r="DK187" s="1437"/>
      <c r="DL187" s="1437"/>
      <c r="DM187" s="1437"/>
      <c r="DN187" s="1432"/>
      <c r="DO187" s="1432"/>
      <c r="DP187" s="1432"/>
      <c r="DQ187" s="1432"/>
      <c r="DR187" s="1432"/>
      <c r="DS187" s="1432"/>
      <c r="DT187" s="1316"/>
      <c r="DU187" s="1433"/>
      <c r="DV187" s="1433"/>
      <c r="DW187" s="1433"/>
      <c r="DX187" s="1433"/>
      <c r="DY187" s="1433"/>
      <c r="DZ187" s="1433"/>
      <c r="EA187" s="1433"/>
      <c r="EB187" s="1433"/>
    </row>
    <row r="188" customFormat="false" ht="14.25" hidden="false" customHeight="false" outlineLevel="0" collapsed="false">
      <c r="A188" s="2" t="n">
        <f aca="false">'V_DATOS PAC_SGA'!R183</f>
        <v>0</v>
      </c>
      <c r="B188" s="2" t="n">
        <f aca="false">IF(I188="IV",CONCATENATE('V_DATOS PAC_SGA'!R183,"4")+0,CONCATENATE('V_DATOS PAC_SGA'!R183,"0")+0)</f>
        <v>0</v>
      </c>
      <c r="C188" s="2" t="n">
        <f aca="false">'V_DATOS PAC_SGA'!S183</f>
        <v>0</v>
      </c>
      <c r="D188" s="1409" t="n">
        <f aca="false">'V_DATOS PAC_SGA'!Y183</f>
        <v>0</v>
      </c>
      <c r="E188" s="1410" t="str">
        <f aca="false">IF('V_DATOS PAC_SGA'!AV183="","Regadio",'V_DATOS PAC_SGA'!AV183)</f>
        <v>Regadio</v>
      </c>
      <c r="F188" s="1411" t="n">
        <f aca="false">'V_DATOS PAC_SGA'!BK183</f>
        <v>0</v>
      </c>
      <c r="G188" s="1412" t="n">
        <f aca="false">'V_DATOS PAC_SGA'!AN183</f>
        <v>0</v>
      </c>
      <c r="H188" s="1413" t="str">
        <f aca="false">IF(B188&gt;0,VLOOKUP(B188,'O_MN, PE_UTA_UGM 2024'!E$3:O$419,10),"")</f>
        <v/>
      </c>
      <c r="I188" s="1359" t="n">
        <f aca="false">'V_DATOS PAC_SGA'!BV183</f>
        <v>0</v>
      </c>
      <c r="J188" s="2" t="str">
        <f aca="false">IF(AND(J$4=$G188,J$6=$F188),$D188*J$5,"")</f>
        <v/>
      </c>
      <c r="K188" s="2" t="str">
        <f aca="false">IF(AND(K$4=$G188,K$6=$F188),$D188*K$5,"")</f>
        <v/>
      </c>
      <c r="L188" s="2" t="str">
        <f aca="false">IF(AND(L$4=$G188,L$6=$F188),$D188*L$5,"")</f>
        <v/>
      </c>
      <c r="M188" s="2" t="str">
        <f aca="false">IF(AND(M$4=$G188,M$6=$F188),$D188*M$5,"")</f>
        <v/>
      </c>
      <c r="N188" s="1414" t="n">
        <f aca="false">VLOOKUP(B188,'O_MN, PE_UTA_UGM 2024'!$E$2:$K$419,IF(G188&gt;1,6,7))</f>
        <v>0</v>
      </c>
      <c r="O188" s="1434" t="str">
        <f aca="false">IF($H188=O$4,$D188*$N188,"")</f>
        <v/>
      </c>
      <c r="P188" s="1435" t="str">
        <f aca="false">IF($H188=P$4,$D188*$N188,"")</f>
        <v/>
      </c>
      <c r="Q188" s="1435" t="str">
        <f aca="false">IF($H188=Q$4,$D188*$N188,"")</f>
        <v/>
      </c>
      <c r="R188" s="1435" t="str">
        <f aca="false">IF($H188=R$4,$D188*$N188,"")</f>
        <v/>
      </c>
      <c r="S188" s="1435" t="str">
        <f aca="false">IF($H188=S$4,$D188*$N188,"")</f>
        <v/>
      </c>
      <c r="T188" s="1435" t="str">
        <f aca="false">IF($H188=T$4,$D188*$N188,"")</f>
        <v/>
      </c>
      <c r="U188" s="1436" t="str">
        <f aca="false">IF($H188=U$4,$D188*$N188,"")</f>
        <v/>
      </c>
      <c r="V188" s="1418"/>
      <c r="W188" s="1419"/>
      <c r="X188" s="1419"/>
      <c r="Y188" s="1419"/>
      <c r="Z188" s="1419"/>
      <c r="AA188" s="1419"/>
      <c r="AB188" s="1420"/>
      <c r="AC188" s="1319"/>
      <c r="AD188" s="2" t="str">
        <f aca="false">IF(AND(AD$4=$G188,AD$6=$F188),$B188,"")</f>
        <v/>
      </c>
      <c r="AE188" s="2" t="str">
        <f aca="false">IF(AND(AE$4=$G188,AE$6=$F188),$B188,"")</f>
        <v/>
      </c>
      <c r="AF188" s="2" t="str">
        <f aca="false">IF(AND(AF$4=$G188,AF$6=$F188),$B188,"")</f>
        <v/>
      </c>
      <c r="AG188" s="2" t="str">
        <f aca="false">IF(AND(AG$4=$G188,AG$6=$F188),$B188,"")</f>
        <v/>
      </c>
      <c r="AI188" s="366"/>
      <c r="AL188" s="367"/>
      <c r="AO188" s="367"/>
      <c r="AP188" s="2" t="str">
        <f aca="false">IF(AT188&gt;0,RANK(AT188,AT$7:AT$423),"")</f>
        <v/>
      </c>
      <c r="AQ188" s="2" t="n">
        <f aca="false">'O_MN, PE_UTA_UGM 2024'!C184</f>
        <v>187</v>
      </c>
      <c r="AR188" s="1421" t="n">
        <v>1859</v>
      </c>
      <c r="AS188" s="2" t="str">
        <f aca="false">IF(AY188&lt;&gt;"",AY188,"")</f>
        <v/>
      </c>
      <c r="AT188" s="1422" t="n">
        <f aca="false">IF(ISNUMBER($AR188),SUMIF(B$7:B$505,AR188,D$7:D$505),"")</f>
        <v>0</v>
      </c>
      <c r="AU188" s="1411" t="n">
        <f aca="false">IF(ISNUMBER($AR188),SUMIF(AD$7:AD$503,$AR188,J$7:J$503),"")</f>
        <v>0</v>
      </c>
      <c r="AV188" s="1411" t="n">
        <f aca="false">IF(ISNUMBER($AR188),SUMIF(AF$7:AF$503,$AR188,L$7:L$503),"")</f>
        <v>0</v>
      </c>
      <c r="AW188" s="1423" t="n">
        <f aca="false">IF(ISNUMBER($AR188),SUMIF(AE$7:AE$503,$AR188,K$7:K$503),"")</f>
        <v>0</v>
      </c>
      <c r="AX188" s="1423" t="n">
        <f aca="false">IF(ISNUMBER($AR188),SUMIF(AG$7:AG$503,$AR188,M$7:M$503),"")</f>
        <v>0</v>
      </c>
      <c r="AY188" s="2" t="str">
        <f aca="false">IF($AT188&gt;0,VLOOKUP($AR188,'O_MN, PE_UTA_UGM 2024'!E184:O600,2),"")</f>
        <v/>
      </c>
      <c r="AZ188" s="1424"/>
      <c r="BA188" s="1424"/>
      <c r="BB188" s="1424" t="str">
        <f aca="false">IF($AT188&gt;0,VLOOKUP($AR188,'O_MN, PE_UTA_UGM 2024'!$E$3:$O$419,BB$6),"")</f>
        <v/>
      </c>
      <c r="BC188" s="1424" t="str">
        <f aca="false">IF($AT188&gt;0,VLOOKUP($AR188,'O_MN, PE_UTA_UGM 2024'!$E$3:$O$419,BC$6),"")</f>
        <v/>
      </c>
      <c r="BD188" s="1424" t="str">
        <f aca="false">IF($AT188&gt;0,VLOOKUP($AR188,'O_MN, PE_UTA_UGM 2024'!$E$3:$O$419,BD$6),"")</f>
        <v/>
      </c>
      <c r="BE188" s="1424" t="str">
        <f aca="false">IF($AT188&gt;0,VLOOKUP($AR188,'O_MN, PE_UTA_UGM 2024'!$E$3:$O$419,BE$6),"")</f>
        <v/>
      </c>
      <c r="BF188" s="1424" t="str">
        <f aca="false">IF($AT188&gt;0,VLOOKUP($AR188,'O_MN, PE_UTA_UGM 2024'!$E$3:$O$419,BF$6),"")</f>
        <v/>
      </c>
      <c r="BG188" s="1424" t="str">
        <f aca="false">IF($AT188&gt;0,VLOOKUP($AR188,'O_MN, PE_UTA_UGM 2024'!$E$3:$O$419,BG$6),"")</f>
        <v/>
      </c>
      <c r="BH188" s="872"/>
      <c r="BI188" s="872"/>
      <c r="BJ188" s="872"/>
      <c r="BK188" s="872"/>
      <c r="BM188" s="1411"/>
      <c r="BN188" s="1411"/>
      <c r="BO188" s="1425" t="str">
        <f aca="false">IF(ISNUMBER($AU188*BB188*1),$AU188*BB188*1,"")</f>
        <v/>
      </c>
      <c r="BP188" s="1425" t="str">
        <f aca="false">IF(ISNUMBER($AV188*BC188*1),$AV188*BC188*1,"")</f>
        <v/>
      </c>
      <c r="BQ188" s="1425" t="str">
        <f aca="false">IF(ISNUMBER($AU188*BD188*1),$AU188*BD188*1,"")</f>
        <v/>
      </c>
      <c r="BR188" s="1425" t="str">
        <f aca="false">IF(ISNUMBER($AV188*BE188*1),$AV188*BE188*1,"")</f>
        <v/>
      </c>
      <c r="BS188" s="1411" t="str">
        <f aca="false">IF(ISNUMBER($AU188*BF188),$AU188*BF188,"")</f>
        <v/>
      </c>
      <c r="BT188" s="1411" t="str">
        <f aca="false">IF(ISNUMBER($AV188*BG188),$AV188*BG188,"")</f>
        <v/>
      </c>
      <c r="BU188" s="1411"/>
      <c r="BV188" s="1411"/>
      <c r="BW188" s="1411"/>
      <c r="BX188" s="1411"/>
      <c r="BZ188" s="1372"/>
      <c r="CA188" s="1372"/>
      <c r="CB188" s="1426" t="str">
        <f aca="false">IF(ISNUMBER($AW188*BB188),$AW188*BB188,"")</f>
        <v/>
      </c>
      <c r="CC188" s="1426" t="str">
        <f aca="false">IF(ISNUMBER($AX188*BC188),$AX188*BC188,"")</f>
        <v/>
      </c>
      <c r="CD188" s="1426" t="str">
        <f aca="false">IF(ISNUMBER($AW188*BD188),$AW188*BD188,"")</f>
        <v/>
      </c>
      <c r="CE188" s="1426" t="str">
        <f aca="false">IF(ISNUMBER($AX188*BE188),$AX188*BE188,"")</f>
        <v/>
      </c>
      <c r="CF188" s="1372" t="str">
        <f aca="false">IF(ISNUMBER($AW188*BF188),$AW188*BF188,"")</f>
        <v/>
      </c>
      <c r="CG188" s="1372" t="str">
        <f aca="false">IF(ISNUMBER($AX188*BG188),$AX188*BG188,"")</f>
        <v/>
      </c>
      <c r="CH188" s="1438"/>
      <c r="CI188" s="1438"/>
      <c r="CJ188" s="1438"/>
      <c r="CK188" s="1438"/>
      <c r="CU188" s="1411"/>
      <c r="CV188" s="1411"/>
      <c r="CW188" s="1425"/>
      <c r="CX188" s="1425"/>
      <c r="CY188" s="1425"/>
      <c r="CZ188" s="1425"/>
      <c r="DA188" s="1411"/>
      <c r="DB188" s="1411"/>
      <c r="DC188" s="1411"/>
      <c r="DD188" s="1411"/>
      <c r="DE188" s="1411"/>
      <c r="DF188" s="1411"/>
      <c r="DH188" s="1432"/>
      <c r="DI188" s="1432"/>
      <c r="DJ188" s="1437"/>
      <c r="DK188" s="1437"/>
      <c r="DL188" s="1437"/>
      <c r="DM188" s="1437"/>
      <c r="DN188" s="1432"/>
      <c r="DO188" s="1432"/>
      <c r="DP188" s="1432"/>
      <c r="DQ188" s="1432"/>
      <c r="DR188" s="1432"/>
      <c r="DS188" s="1432"/>
      <c r="DT188" s="1316"/>
      <c r="DU188" s="1433"/>
      <c r="DV188" s="1433"/>
      <c r="DW188" s="1433"/>
      <c r="DX188" s="1433"/>
      <c r="DY188" s="1433"/>
      <c r="DZ188" s="1433"/>
      <c r="EA188" s="1433"/>
      <c r="EB188" s="1433"/>
    </row>
    <row r="189" customFormat="false" ht="14.25" hidden="false" customHeight="false" outlineLevel="0" collapsed="false">
      <c r="A189" s="2" t="n">
        <f aca="false">'V_DATOS PAC_SGA'!R184</f>
        <v>0</v>
      </c>
      <c r="B189" s="2" t="n">
        <f aca="false">IF(I189="IV",CONCATENATE('V_DATOS PAC_SGA'!R184,"4")+0,CONCATENATE('V_DATOS PAC_SGA'!R184,"0")+0)</f>
        <v>0</v>
      </c>
      <c r="C189" s="2" t="n">
        <f aca="false">'V_DATOS PAC_SGA'!S184</f>
        <v>0</v>
      </c>
      <c r="D189" s="1409" t="n">
        <f aca="false">'V_DATOS PAC_SGA'!Y184</f>
        <v>0</v>
      </c>
      <c r="E189" s="1410" t="str">
        <f aca="false">IF('V_DATOS PAC_SGA'!AV184="","Regadio",'V_DATOS PAC_SGA'!AV184)</f>
        <v>Regadio</v>
      </c>
      <c r="F189" s="1411" t="n">
        <f aca="false">'V_DATOS PAC_SGA'!BK184</f>
        <v>0</v>
      </c>
      <c r="G189" s="1412" t="n">
        <f aca="false">'V_DATOS PAC_SGA'!AN184</f>
        <v>0</v>
      </c>
      <c r="H189" s="1413" t="str">
        <f aca="false">IF(B189&gt;0,VLOOKUP(B189,'O_MN, PE_UTA_UGM 2024'!E$3:O$419,10),"")</f>
        <v/>
      </c>
      <c r="I189" s="1359" t="n">
        <f aca="false">'V_DATOS PAC_SGA'!BV184</f>
        <v>0</v>
      </c>
      <c r="J189" s="2" t="str">
        <f aca="false">IF(AND(J$4=$G189,J$6=$F189),$D189*J$5,"")</f>
        <v/>
      </c>
      <c r="K189" s="2" t="str">
        <f aca="false">IF(AND(K$4=$G189,K$6=$F189),$D189*K$5,"")</f>
        <v/>
      </c>
      <c r="L189" s="2" t="str">
        <f aca="false">IF(AND(L$4=$G189,L$6=$F189),$D189*L$5,"")</f>
        <v/>
      </c>
      <c r="M189" s="2" t="str">
        <f aca="false">IF(AND(M$4=$G189,M$6=$F189),$D189*M$5,"")</f>
        <v/>
      </c>
      <c r="N189" s="1414" t="n">
        <f aca="false">VLOOKUP(B189,'O_MN, PE_UTA_UGM 2024'!$E$2:$K$419,IF(G189&gt;1,6,7))</f>
        <v>0</v>
      </c>
      <c r="O189" s="1434" t="str">
        <f aca="false">IF($H189=O$4,$D189*$N189,"")</f>
        <v/>
      </c>
      <c r="P189" s="1435" t="str">
        <f aca="false">IF($H189=P$4,$D189*$N189,"")</f>
        <v/>
      </c>
      <c r="Q189" s="1435" t="str">
        <f aca="false">IF($H189=Q$4,$D189*$N189,"")</f>
        <v/>
      </c>
      <c r="R189" s="1435" t="str">
        <f aca="false">IF($H189=R$4,$D189*$N189,"")</f>
        <v/>
      </c>
      <c r="S189" s="1435" t="str">
        <f aca="false">IF($H189=S$4,$D189*$N189,"")</f>
        <v/>
      </c>
      <c r="T189" s="1435" t="str">
        <f aca="false">IF($H189=T$4,$D189*$N189,"")</f>
        <v/>
      </c>
      <c r="U189" s="1436" t="str">
        <f aca="false">IF($H189=U$4,$D189*$N189,"")</f>
        <v/>
      </c>
      <c r="V189" s="1418"/>
      <c r="W189" s="1419"/>
      <c r="X189" s="1419"/>
      <c r="Y189" s="1419"/>
      <c r="Z189" s="1419"/>
      <c r="AA189" s="1419"/>
      <c r="AB189" s="1420"/>
      <c r="AC189" s="1319"/>
      <c r="AD189" s="2" t="str">
        <f aca="false">IF(AND(AD$4=$G189,AD$6=$F189),$B189,"")</f>
        <v/>
      </c>
      <c r="AE189" s="2" t="str">
        <f aca="false">IF(AND(AE$4=$G189,AE$6=$F189),$B189,"")</f>
        <v/>
      </c>
      <c r="AF189" s="2" t="str">
        <f aca="false">IF(AND(AF$4=$G189,AF$6=$F189),$B189,"")</f>
        <v/>
      </c>
      <c r="AG189" s="2" t="str">
        <f aca="false">IF(AND(AG$4=$G189,AG$6=$F189),$B189,"")</f>
        <v/>
      </c>
      <c r="AI189" s="366"/>
      <c r="AL189" s="367"/>
      <c r="AO189" s="367"/>
      <c r="AP189" s="2" t="str">
        <f aca="false">IF(AT189&gt;0,RANK(AT189,AT$7:AT$423),"")</f>
        <v/>
      </c>
      <c r="AQ189" s="2" t="n">
        <f aca="false">'O_MN, PE_UTA_UGM 2024'!C185</f>
        <v>187</v>
      </c>
      <c r="AR189" s="1421" t="n">
        <v>1860</v>
      </c>
      <c r="AS189" s="2" t="str">
        <f aca="false">IF(AY189&lt;&gt;"",AY189,"")</f>
        <v/>
      </c>
      <c r="AT189" s="1422" t="n">
        <f aca="false">IF(ISNUMBER($AR189),SUMIF(B$7:B$505,AR189,D$7:D$505),"")</f>
        <v>0</v>
      </c>
      <c r="AU189" s="1411" t="n">
        <f aca="false">IF(ISNUMBER($AR189),SUMIF(AD$7:AD$503,$AR189,J$7:J$503),"")</f>
        <v>0</v>
      </c>
      <c r="AV189" s="1411" t="n">
        <f aca="false">IF(ISNUMBER($AR189),SUMIF(AF$7:AF$503,$AR189,L$7:L$503),"")</f>
        <v>0</v>
      </c>
      <c r="AW189" s="1423" t="n">
        <f aca="false">IF(ISNUMBER($AR189),SUMIF(AE$7:AE$503,$AR189,K$7:K$503),"")</f>
        <v>0</v>
      </c>
      <c r="AX189" s="1423" t="n">
        <f aca="false">IF(ISNUMBER($AR189),SUMIF(AG$7:AG$503,$AR189,M$7:M$503),"")</f>
        <v>0</v>
      </c>
      <c r="AY189" s="2" t="str">
        <f aca="false">IF($AT189&gt;0,VLOOKUP($AR189,'O_MN, PE_UTA_UGM 2024'!E185:O601,2),"")</f>
        <v/>
      </c>
      <c r="AZ189" s="1424"/>
      <c r="BA189" s="1424"/>
      <c r="BB189" s="1424" t="str">
        <f aca="false">IF($AT189&gt;0,VLOOKUP($AR189,'O_MN, PE_UTA_UGM 2024'!$E$3:$O$419,BB$6),"")</f>
        <v/>
      </c>
      <c r="BC189" s="1424" t="str">
        <f aca="false">IF($AT189&gt;0,VLOOKUP($AR189,'O_MN, PE_UTA_UGM 2024'!$E$3:$O$419,BC$6),"")</f>
        <v/>
      </c>
      <c r="BD189" s="1424" t="str">
        <f aca="false">IF($AT189&gt;0,VLOOKUP($AR189,'O_MN, PE_UTA_UGM 2024'!$E$3:$O$419,BD$6),"")</f>
        <v/>
      </c>
      <c r="BE189" s="1424" t="str">
        <f aca="false">IF($AT189&gt;0,VLOOKUP($AR189,'O_MN, PE_UTA_UGM 2024'!$E$3:$O$419,BE$6),"")</f>
        <v/>
      </c>
      <c r="BF189" s="1424" t="str">
        <f aca="false">IF($AT189&gt;0,VLOOKUP($AR189,'O_MN, PE_UTA_UGM 2024'!$E$3:$O$419,BF$6),"")</f>
        <v/>
      </c>
      <c r="BG189" s="1424" t="str">
        <f aca="false">IF($AT189&gt;0,VLOOKUP($AR189,'O_MN, PE_UTA_UGM 2024'!$E$3:$O$419,BG$6),"")</f>
        <v/>
      </c>
      <c r="BH189" s="872"/>
      <c r="BI189" s="872"/>
      <c r="BJ189" s="872"/>
      <c r="BK189" s="872"/>
      <c r="BM189" s="1411"/>
      <c r="BN189" s="1411"/>
      <c r="BO189" s="1425" t="str">
        <f aca="false">IF(ISNUMBER($AU189*BB189*1),$AU189*BB189*1,"")</f>
        <v/>
      </c>
      <c r="BP189" s="1425" t="str">
        <f aca="false">IF(ISNUMBER($AV189*BC189*1),$AV189*BC189*1,"")</f>
        <v/>
      </c>
      <c r="BQ189" s="1425" t="str">
        <f aca="false">IF(ISNUMBER($AU189*BD189*1),$AU189*BD189*1,"")</f>
        <v/>
      </c>
      <c r="BR189" s="1425" t="str">
        <f aca="false">IF(ISNUMBER($AV189*BE189*1),$AV189*BE189*1,"")</f>
        <v/>
      </c>
      <c r="BS189" s="1411" t="str">
        <f aca="false">IF(ISNUMBER($AU189*BF189),$AU189*BF189,"")</f>
        <v/>
      </c>
      <c r="BT189" s="1411" t="str">
        <f aca="false">IF(ISNUMBER($AV189*BG189),$AV189*BG189,"")</f>
        <v/>
      </c>
      <c r="BU189" s="1411"/>
      <c r="BV189" s="1411"/>
      <c r="BW189" s="1411"/>
      <c r="BX189" s="1411"/>
      <c r="BZ189" s="1372"/>
      <c r="CA189" s="1372"/>
      <c r="CB189" s="1426" t="str">
        <f aca="false">IF(ISNUMBER($AW189*BB189),$AW189*BB189,"")</f>
        <v/>
      </c>
      <c r="CC189" s="1426" t="str">
        <f aca="false">IF(ISNUMBER($AX189*BC189),$AX189*BC189,"")</f>
        <v/>
      </c>
      <c r="CD189" s="1426" t="str">
        <f aca="false">IF(ISNUMBER($AW189*BD189),$AW189*BD189,"")</f>
        <v/>
      </c>
      <c r="CE189" s="1426" t="str">
        <f aca="false">IF(ISNUMBER($AX189*BE189),$AX189*BE189,"")</f>
        <v/>
      </c>
      <c r="CF189" s="1372" t="str">
        <f aca="false">IF(ISNUMBER($AW189*BF189),$AW189*BF189,"")</f>
        <v/>
      </c>
      <c r="CG189" s="1372" t="str">
        <f aca="false">IF(ISNUMBER($AX189*BG189),$AX189*BG189,"")</f>
        <v/>
      </c>
      <c r="CH189" s="1438"/>
      <c r="CI189" s="1438"/>
      <c r="CJ189" s="1438"/>
      <c r="CK189" s="1438"/>
      <c r="CU189" s="1411"/>
      <c r="CV189" s="1411"/>
      <c r="CW189" s="1425"/>
      <c r="CX189" s="1425"/>
      <c r="CY189" s="1425"/>
      <c r="CZ189" s="1425"/>
      <c r="DA189" s="1411"/>
      <c r="DB189" s="1411"/>
      <c r="DC189" s="1411"/>
      <c r="DD189" s="1411"/>
      <c r="DE189" s="1411"/>
      <c r="DF189" s="1411"/>
      <c r="DH189" s="1432"/>
      <c r="DI189" s="1432"/>
      <c r="DJ189" s="1437"/>
      <c r="DK189" s="1437"/>
      <c r="DL189" s="1437"/>
      <c r="DM189" s="1437"/>
      <c r="DN189" s="1432"/>
      <c r="DO189" s="1432"/>
      <c r="DP189" s="1432"/>
      <c r="DQ189" s="1432"/>
      <c r="DR189" s="1432"/>
      <c r="DS189" s="1432"/>
      <c r="DT189" s="1316"/>
      <c r="DU189" s="1433"/>
      <c r="DV189" s="1433"/>
      <c r="DW189" s="1433"/>
      <c r="DX189" s="1433"/>
      <c r="DY189" s="1433"/>
      <c r="DZ189" s="1433"/>
      <c r="EA189" s="1433"/>
      <c r="EB189" s="1433"/>
    </row>
    <row r="190" customFormat="false" ht="14.25" hidden="false" customHeight="false" outlineLevel="0" collapsed="false">
      <c r="A190" s="2" t="n">
        <f aca="false">'V_DATOS PAC_SGA'!R185</f>
        <v>0</v>
      </c>
      <c r="B190" s="2" t="n">
        <f aca="false">IF(I190="IV",CONCATENATE('V_DATOS PAC_SGA'!R185,"4")+0,CONCATENATE('V_DATOS PAC_SGA'!R185,"0")+0)</f>
        <v>0</v>
      </c>
      <c r="C190" s="2" t="n">
        <f aca="false">'V_DATOS PAC_SGA'!S185</f>
        <v>0</v>
      </c>
      <c r="D190" s="1409" t="n">
        <f aca="false">'V_DATOS PAC_SGA'!Y185</f>
        <v>0</v>
      </c>
      <c r="E190" s="1410" t="str">
        <f aca="false">IF('V_DATOS PAC_SGA'!AV185="","Regadio",'V_DATOS PAC_SGA'!AV185)</f>
        <v>Regadio</v>
      </c>
      <c r="F190" s="1411" t="n">
        <f aca="false">'V_DATOS PAC_SGA'!BK185</f>
        <v>0</v>
      </c>
      <c r="G190" s="1412" t="n">
        <f aca="false">'V_DATOS PAC_SGA'!AN185</f>
        <v>0</v>
      </c>
      <c r="H190" s="1413" t="str">
        <f aca="false">IF(B190&gt;0,VLOOKUP(B190,'O_MN, PE_UTA_UGM 2024'!E$3:O$419,10),"")</f>
        <v/>
      </c>
      <c r="I190" s="1359" t="n">
        <f aca="false">'V_DATOS PAC_SGA'!BV185</f>
        <v>0</v>
      </c>
      <c r="J190" s="2" t="str">
        <f aca="false">IF(AND(J$4=$G190,J$6=$F190),$D190*J$5,"")</f>
        <v/>
      </c>
      <c r="K190" s="2" t="str">
        <f aca="false">IF(AND(K$4=$G190,K$6=$F190),$D190*K$5,"")</f>
        <v/>
      </c>
      <c r="L190" s="2" t="str">
        <f aca="false">IF(AND(L$4=$G190,L$6=$F190),$D190*L$5,"")</f>
        <v/>
      </c>
      <c r="M190" s="2" t="str">
        <f aca="false">IF(AND(M$4=$G190,M$6=$F190),$D190*M$5,"")</f>
        <v/>
      </c>
      <c r="N190" s="1414" t="n">
        <f aca="false">VLOOKUP(B190,'O_MN, PE_UTA_UGM 2024'!$E$2:$K$419,IF(G190&gt;1,6,7))</f>
        <v>0</v>
      </c>
      <c r="O190" s="1434" t="str">
        <f aca="false">IF($H190=O$4,$D190*$N190,"")</f>
        <v/>
      </c>
      <c r="P190" s="1435" t="str">
        <f aca="false">IF($H190=P$4,$D190*$N190,"")</f>
        <v/>
      </c>
      <c r="Q190" s="1435" t="str">
        <f aca="false">IF($H190=Q$4,$D190*$N190,"")</f>
        <v/>
      </c>
      <c r="R190" s="1435" t="str">
        <f aca="false">IF($H190=R$4,$D190*$N190,"")</f>
        <v/>
      </c>
      <c r="S190" s="1435" t="str">
        <f aca="false">IF($H190=S$4,$D190*$N190,"")</f>
        <v/>
      </c>
      <c r="T190" s="1435" t="str">
        <f aca="false">IF($H190=T$4,$D190*$N190,"")</f>
        <v/>
      </c>
      <c r="U190" s="1436" t="str">
        <f aca="false">IF($H190=U$4,$D190*$N190,"")</f>
        <v/>
      </c>
      <c r="V190" s="1418"/>
      <c r="W190" s="1419"/>
      <c r="X190" s="1419"/>
      <c r="Y190" s="1419"/>
      <c r="Z190" s="1419"/>
      <c r="AA190" s="1419"/>
      <c r="AB190" s="1420"/>
      <c r="AC190" s="1319"/>
      <c r="AD190" s="2" t="str">
        <f aca="false">IF(AND(AD$4=$G190,AD$6=$F190),$B190,"")</f>
        <v/>
      </c>
      <c r="AE190" s="2" t="str">
        <f aca="false">IF(AND(AE$4=$G190,AE$6=$F190),$B190,"")</f>
        <v/>
      </c>
      <c r="AF190" s="2" t="str">
        <f aca="false">IF(AND(AF$4=$G190,AF$6=$F190),$B190,"")</f>
        <v/>
      </c>
      <c r="AG190" s="2" t="str">
        <f aca="false">IF(AND(AG$4=$G190,AG$6=$F190),$B190,"")</f>
        <v/>
      </c>
      <c r="AI190" s="366"/>
      <c r="AL190" s="367"/>
      <c r="AO190" s="367"/>
      <c r="AP190" s="2" t="str">
        <f aca="false">IF(AT190&gt;0,RANK(AT190,AT$7:AT$423),"")</f>
        <v/>
      </c>
      <c r="AQ190" s="2" t="n">
        <f aca="false">'O_MN, PE_UTA_UGM 2024'!C186</f>
        <v>187</v>
      </c>
      <c r="AR190" s="1421" t="n">
        <v>1864</v>
      </c>
      <c r="AS190" s="2" t="str">
        <f aca="false">IF(AY190&lt;&gt;"",AY190,"")</f>
        <v/>
      </c>
      <c r="AT190" s="1422" t="n">
        <f aca="false">IF(ISNUMBER($AR190),SUMIF(B$7:B$505,AR190,D$7:D$505),"")</f>
        <v>0</v>
      </c>
      <c r="AU190" s="1411" t="n">
        <f aca="false">IF(ISNUMBER($AR190),SUMIF(AD$7:AD$503,$AR190,J$7:J$503),"")</f>
        <v>0</v>
      </c>
      <c r="AV190" s="1411" t="n">
        <f aca="false">IF(ISNUMBER($AR190),SUMIF(AF$7:AF$503,$AR190,L$7:L$503),"")</f>
        <v>0</v>
      </c>
      <c r="AW190" s="1423" t="n">
        <f aca="false">IF(ISNUMBER($AR190),SUMIF(AE$7:AE$503,$AR190,K$7:K$503),"")</f>
        <v>0</v>
      </c>
      <c r="AX190" s="1423" t="n">
        <f aca="false">IF(ISNUMBER($AR190),SUMIF(AG$7:AG$503,$AR190,M$7:M$503),"")</f>
        <v>0</v>
      </c>
      <c r="AY190" s="2" t="str">
        <f aca="false">IF($AT190&gt;0,VLOOKUP($AR190,'O_MN, PE_UTA_UGM 2024'!E186:O602,2),"")</f>
        <v/>
      </c>
      <c r="AZ190" s="1424"/>
      <c r="BA190" s="1424"/>
      <c r="BB190" s="1424" t="str">
        <f aca="false">IF($AT190&gt;0,VLOOKUP($AR190,'O_MN, PE_UTA_UGM 2024'!$E$3:$O$419,BB$6),"")</f>
        <v/>
      </c>
      <c r="BC190" s="1424" t="str">
        <f aca="false">IF($AT190&gt;0,VLOOKUP($AR190,'O_MN, PE_UTA_UGM 2024'!$E$3:$O$419,BC$6),"")</f>
        <v/>
      </c>
      <c r="BD190" s="1424" t="str">
        <f aca="false">IF($AT190&gt;0,VLOOKUP($AR190,'O_MN, PE_UTA_UGM 2024'!$E$3:$O$419,BD$6),"")</f>
        <v/>
      </c>
      <c r="BE190" s="1424" t="str">
        <f aca="false">IF($AT190&gt;0,VLOOKUP($AR190,'O_MN, PE_UTA_UGM 2024'!$E$3:$O$419,BE$6),"")</f>
        <v/>
      </c>
      <c r="BF190" s="1424" t="str">
        <f aca="false">IF($AT190&gt;0,VLOOKUP($AR190,'O_MN, PE_UTA_UGM 2024'!$E$3:$O$419,BF$6),"")</f>
        <v/>
      </c>
      <c r="BG190" s="1424" t="str">
        <f aca="false">IF($AT190&gt;0,VLOOKUP($AR190,'O_MN, PE_UTA_UGM 2024'!$E$3:$O$419,BG$6),"")</f>
        <v/>
      </c>
      <c r="BH190" s="872"/>
      <c r="BI190" s="872"/>
      <c r="BJ190" s="872"/>
      <c r="BK190" s="872"/>
      <c r="BM190" s="1411"/>
      <c r="BN190" s="1411"/>
      <c r="BO190" s="1425" t="str">
        <f aca="false">IF(ISNUMBER($AU190*BB190*1),$AU190*BB190*1,"")</f>
        <v/>
      </c>
      <c r="BP190" s="1425" t="str">
        <f aca="false">IF(ISNUMBER($AV190*BC190*1),$AV190*BC190*1,"")</f>
        <v/>
      </c>
      <c r="BQ190" s="1425" t="str">
        <f aca="false">IF(ISNUMBER($AU190*BD190*1),$AU190*BD190*1,"")</f>
        <v/>
      </c>
      <c r="BR190" s="1425" t="str">
        <f aca="false">IF(ISNUMBER($AV190*BE190*1),$AV190*BE190*1,"")</f>
        <v/>
      </c>
      <c r="BS190" s="1411" t="str">
        <f aca="false">IF(ISNUMBER($AU190*BF190),$AU190*BF190,"")</f>
        <v/>
      </c>
      <c r="BT190" s="1411" t="str">
        <f aca="false">IF(ISNUMBER($AV190*BG190),$AV190*BG190,"")</f>
        <v/>
      </c>
      <c r="BU190" s="1411"/>
      <c r="BV190" s="1411"/>
      <c r="BW190" s="1411"/>
      <c r="BX190" s="1411"/>
      <c r="BZ190" s="1372"/>
      <c r="CA190" s="1372"/>
      <c r="CB190" s="1426" t="str">
        <f aca="false">IF(ISNUMBER($AW190*BB190),$AW190*BB190,"")</f>
        <v/>
      </c>
      <c r="CC190" s="1426" t="str">
        <f aca="false">IF(ISNUMBER($AX190*BC190),$AX190*BC190,"")</f>
        <v/>
      </c>
      <c r="CD190" s="1426" t="str">
        <f aca="false">IF(ISNUMBER($AW190*BD190),$AW190*BD190,"")</f>
        <v/>
      </c>
      <c r="CE190" s="1426" t="str">
        <f aca="false">IF(ISNUMBER($AX190*BE190),$AX190*BE190,"")</f>
        <v/>
      </c>
      <c r="CF190" s="1372" t="str">
        <f aca="false">IF(ISNUMBER($AW190*BF190),$AW190*BF190,"")</f>
        <v/>
      </c>
      <c r="CG190" s="1372" t="str">
        <f aca="false">IF(ISNUMBER($AX190*BG190),$AX190*BG190,"")</f>
        <v/>
      </c>
      <c r="CH190" s="1438"/>
      <c r="CI190" s="1438"/>
      <c r="CJ190" s="1438"/>
      <c r="CK190" s="1438"/>
      <c r="CU190" s="1411"/>
      <c r="CV190" s="1411"/>
      <c r="CW190" s="1425"/>
      <c r="CX190" s="1425"/>
      <c r="CY190" s="1425"/>
      <c r="CZ190" s="1425"/>
      <c r="DA190" s="1411"/>
      <c r="DB190" s="1411"/>
      <c r="DC190" s="1411"/>
      <c r="DD190" s="1411"/>
      <c r="DE190" s="1411"/>
      <c r="DF190" s="1411"/>
      <c r="DH190" s="1432"/>
      <c r="DI190" s="1432"/>
      <c r="DJ190" s="1437"/>
      <c r="DK190" s="1437"/>
      <c r="DL190" s="1437"/>
      <c r="DM190" s="1437"/>
      <c r="DN190" s="1432"/>
      <c r="DO190" s="1432"/>
      <c r="DP190" s="1432"/>
      <c r="DQ190" s="1432"/>
      <c r="DR190" s="1432"/>
      <c r="DS190" s="1432"/>
      <c r="DT190" s="1316"/>
      <c r="DU190" s="1433"/>
      <c r="DV190" s="1433"/>
      <c r="DW190" s="1433"/>
      <c r="DX190" s="1433"/>
      <c r="DY190" s="1433"/>
      <c r="DZ190" s="1433"/>
      <c r="EA190" s="1433"/>
      <c r="EB190" s="1433"/>
    </row>
    <row r="191" customFormat="false" ht="14.25" hidden="false" customHeight="false" outlineLevel="0" collapsed="false">
      <c r="A191" s="2" t="n">
        <f aca="false">'V_DATOS PAC_SGA'!R186</f>
        <v>0</v>
      </c>
      <c r="B191" s="2" t="n">
        <f aca="false">IF(I191="IV",CONCATENATE('V_DATOS PAC_SGA'!R186,"4")+0,CONCATENATE('V_DATOS PAC_SGA'!R186,"0")+0)</f>
        <v>0</v>
      </c>
      <c r="C191" s="2" t="n">
        <f aca="false">'V_DATOS PAC_SGA'!S186</f>
        <v>0</v>
      </c>
      <c r="D191" s="1409" t="n">
        <f aca="false">'V_DATOS PAC_SGA'!Y186</f>
        <v>0</v>
      </c>
      <c r="E191" s="1410" t="str">
        <f aca="false">IF('V_DATOS PAC_SGA'!AV186="","Regadio",'V_DATOS PAC_SGA'!AV186)</f>
        <v>Regadio</v>
      </c>
      <c r="F191" s="1411" t="n">
        <f aca="false">'V_DATOS PAC_SGA'!BK186</f>
        <v>0</v>
      </c>
      <c r="G191" s="1412" t="n">
        <f aca="false">'V_DATOS PAC_SGA'!AN186</f>
        <v>0</v>
      </c>
      <c r="H191" s="1413" t="str">
        <f aca="false">IF(B191&gt;0,VLOOKUP(B191,'O_MN, PE_UTA_UGM 2024'!E$3:O$419,10),"")</f>
        <v/>
      </c>
      <c r="I191" s="1359" t="n">
        <f aca="false">'V_DATOS PAC_SGA'!BV186</f>
        <v>0</v>
      </c>
      <c r="J191" s="2" t="str">
        <f aca="false">IF(AND(J$4=$G191,J$6=$F191),$D191*J$5,"")</f>
        <v/>
      </c>
      <c r="K191" s="2" t="str">
        <f aca="false">IF(AND(K$4=$G191,K$6=$F191),$D191*K$5,"")</f>
        <v/>
      </c>
      <c r="L191" s="2" t="str">
        <f aca="false">IF(AND(L$4=$G191,L$6=$F191),$D191*L$5,"")</f>
        <v/>
      </c>
      <c r="M191" s="2" t="str">
        <f aca="false">IF(AND(M$4=$G191,M$6=$F191),$D191*M$5,"")</f>
        <v/>
      </c>
      <c r="N191" s="1414" t="n">
        <f aca="false">VLOOKUP(B191,'O_MN, PE_UTA_UGM 2024'!$E$2:$K$419,IF(G191&gt;1,6,7))</f>
        <v>0</v>
      </c>
      <c r="O191" s="1434" t="str">
        <f aca="false">IF($H191=O$4,$D191*$N191,"")</f>
        <v/>
      </c>
      <c r="P191" s="1435" t="str">
        <f aca="false">IF($H191=P$4,$D191*$N191,"")</f>
        <v/>
      </c>
      <c r="Q191" s="1435" t="str">
        <f aca="false">IF($H191=Q$4,$D191*$N191,"")</f>
        <v/>
      </c>
      <c r="R191" s="1435" t="str">
        <f aca="false">IF($H191=R$4,$D191*$N191,"")</f>
        <v/>
      </c>
      <c r="S191" s="1435" t="str">
        <f aca="false">IF($H191=S$4,$D191*$N191,"")</f>
        <v/>
      </c>
      <c r="T191" s="1435" t="str">
        <f aca="false">IF($H191=T$4,$D191*$N191,"")</f>
        <v/>
      </c>
      <c r="U191" s="1436" t="str">
        <f aca="false">IF($H191=U$4,$D191*$N191,"")</f>
        <v/>
      </c>
      <c r="V191" s="1418"/>
      <c r="W191" s="1419"/>
      <c r="X191" s="1419"/>
      <c r="Y191" s="1419"/>
      <c r="Z191" s="1419"/>
      <c r="AA191" s="1419"/>
      <c r="AB191" s="1420"/>
      <c r="AC191" s="1319"/>
      <c r="AD191" s="2" t="str">
        <f aca="false">IF(AND(AD$4=$G191,AD$6=$F191),$B191,"")</f>
        <v/>
      </c>
      <c r="AE191" s="2" t="str">
        <f aca="false">IF(AND(AE$4=$G191,AE$6=$F191),$B191,"")</f>
        <v/>
      </c>
      <c r="AF191" s="2" t="str">
        <f aca="false">IF(AND(AF$4=$G191,AF$6=$F191),$B191,"")</f>
        <v/>
      </c>
      <c r="AG191" s="2" t="str">
        <f aca="false">IF(AND(AG$4=$G191,AG$6=$F191),$B191,"")</f>
        <v/>
      </c>
      <c r="AI191" s="366"/>
      <c r="AL191" s="367"/>
      <c r="AO191" s="367"/>
      <c r="AP191" s="2" t="str">
        <f aca="false">IF(AT191&gt;0,RANK(AT191,AT$7:AT$423),"")</f>
        <v/>
      </c>
      <c r="AQ191" s="2" t="n">
        <f aca="false">'O_MN, PE_UTA_UGM 2024'!C187</f>
        <v>189</v>
      </c>
      <c r="AR191" s="1421" t="n">
        <v>1869</v>
      </c>
      <c r="AS191" s="2" t="str">
        <f aca="false">IF(AY191&lt;&gt;"",AY191,"")</f>
        <v/>
      </c>
      <c r="AT191" s="1422" t="n">
        <f aca="false">IF(ISNUMBER($AR191),SUMIF(B$7:B$505,AR191,D$7:D$505),"")</f>
        <v>0</v>
      </c>
      <c r="AU191" s="1411" t="n">
        <f aca="false">IF(ISNUMBER($AR191),SUMIF(AD$7:AD$503,$AR191,J$7:J$503),"")</f>
        <v>0</v>
      </c>
      <c r="AV191" s="1411" t="n">
        <f aca="false">IF(ISNUMBER($AR191),SUMIF(AF$7:AF$503,$AR191,L$7:L$503),"")</f>
        <v>0</v>
      </c>
      <c r="AW191" s="1423" t="n">
        <f aca="false">IF(ISNUMBER($AR191),SUMIF(AE$7:AE$503,$AR191,K$7:K$503),"")</f>
        <v>0</v>
      </c>
      <c r="AX191" s="1423" t="n">
        <f aca="false">IF(ISNUMBER($AR191),SUMIF(AG$7:AG$503,$AR191,M$7:M$503),"")</f>
        <v>0</v>
      </c>
      <c r="AY191" s="2" t="str">
        <f aca="false">IF($AT191&gt;0,VLOOKUP($AR191,'O_MN, PE_UTA_UGM 2024'!E187:O603,2),"")</f>
        <v/>
      </c>
      <c r="AZ191" s="1424"/>
      <c r="BA191" s="1424"/>
      <c r="BB191" s="1424" t="str">
        <f aca="false">IF($AT191&gt;0,VLOOKUP($AR191,'O_MN, PE_UTA_UGM 2024'!$E$3:$O$419,BB$6),"")</f>
        <v/>
      </c>
      <c r="BC191" s="1424" t="str">
        <f aca="false">IF($AT191&gt;0,VLOOKUP($AR191,'O_MN, PE_UTA_UGM 2024'!$E$3:$O$419,BC$6),"")</f>
        <v/>
      </c>
      <c r="BD191" s="1424" t="str">
        <f aca="false">IF($AT191&gt;0,VLOOKUP($AR191,'O_MN, PE_UTA_UGM 2024'!$E$3:$O$419,BD$6),"")</f>
        <v/>
      </c>
      <c r="BE191" s="1424" t="str">
        <f aca="false">IF($AT191&gt;0,VLOOKUP($AR191,'O_MN, PE_UTA_UGM 2024'!$E$3:$O$419,BE$6),"")</f>
        <v/>
      </c>
      <c r="BF191" s="1424" t="str">
        <f aca="false">IF($AT191&gt;0,VLOOKUP($AR191,'O_MN, PE_UTA_UGM 2024'!$E$3:$O$419,BF$6),"")</f>
        <v/>
      </c>
      <c r="BG191" s="1424" t="str">
        <f aca="false">IF($AT191&gt;0,VLOOKUP($AR191,'O_MN, PE_UTA_UGM 2024'!$E$3:$O$419,BG$6),"")</f>
        <v/>
      </c>
      <c r="BH191" s="872"/>
      <c r="BI191" s="872"/>
      <c r="BJ191" s="872"/>
      <c r="BK191" s="872"/>
      <c r="BM191" s="1411"/>
      <c r="BN191" s="1411"/>
      <c r="BO191" s="1425" t="str">
        <f aca="false">IF(ISNUMBER($AU191*BB191*1),$AU191*BB191*1,"")</f>
        <v/>
      </c>
      <c r="BP191" s="1425" t="str">
        <f aca="false">IF(ISNUMBER($AV191*BC191*1),$AV191*BC191*1,"")</f>
        <v/>
      </c>
      <c r="BQ191" s="1425" t="str">
        <f aca="false">IF(ISNUMBER($AU191*BD191*1),$AU191*BD191*1,"")</f>
        <v/>
      </c>
      <c r="BR191" s="1425" t="str">
        <f aca="false">IF(ISNUMBER($AV191*BE191*1),$AV191*BE191*1,"")</f>
        <v/>
      </c>
      <c r="BS191" s="1411" t="str">
        <f aca="false">IF(ISNUMBER($AU191*BF191),$AU191*BF191,"")</f>
        <v/>
      </c>
      <c r="BT191" s="1411" t="str">
        <f aca="false">IF(ISNUMBER($AV191*BG191),$AV191*BG191,"")</f>
        <v/>
      </c>
      <c r="BU191" s="1411"/>
      <c r="BV191" s="1411"/>
      <c r="BW191" s="1411"/>
      <c r="BX191" s="1411"/>
      <c r="BZ191" s="1372"/>
      <c r="CA191" s="1372"/>
      <c r="CB191" s="1426" t="str">
        <f aca="false">IF(ISNUMBER($AW191*BB191),$AW191*BB191,"")</f>
        <v/>
      </c>
      <c r="CC191" s="1426" t="str">
        <f aca="false">IF(ISNUMBER($AX191*BC191),$AX191*BC191,"")</f>
        <v/>
      </c>
      <c r="CD191" s="1426" t="str">
        <f aca="false">IF(ISNUMBER($AW191*BD191),$AW191*BD191,"")</f>
        <v/>
      </c>
      <c r="CE191" s="1426" t="str">
        <f aca="false">IF(ISNUMBER($AX191*BE191),$AX191*BE191,"")</f>
        <v/>
      </c>
      <c r="CF191" s="1372" t="str">
        <f aca="false">IF(ISNUMBER($AW191*BF191),$AW191*BF191,"")</f>
        <v/>
      </c>
      <c r="CG191" s="1372" t="str">
        <f aca="false">IF(ISNUMBER($AX191*BG191),$AX191*BG191,"")</f>
        <v/>
      </c>
      <c r="CH191" s="1438"/>
      <c r="CI191" s="1438"/>
      <c r="CJ191" s="1438"/>
      <c r="CK191" s="1438"/>
      <c r="CU191" s="1411"/>
      <c r="CV191" s="1411"/>
      <c r="CW191" s="1425"/>
      <c r="CX191" s="1425"/>
      <c r="CY191" s="1425"/>
      <c r="CZ191" s="1425"/>
      <c r="DA191" s="1411"/>
      <c r="DB191" s="1411"/>
      <c r="DC191" s="1411"/>
      <c r="DD191" s="1411"/>
      <c r="DE191" s="1411"/>
      <c r="DF191" s="1411"/>
      <c r="DH191" s="1432"/>
      <c r="DI191" s="1432"/>
      <c r="DJ191" s="1437"/>
      <c r="DK191" s="1437"/>
      <c r="DL191" s="1437"/>
      <c r="DM191" s="1437"/>
      <c r="DN191" s="1432"/>
      <c r="DO191" s="1432"/>
      <c r="DP191" s="1432"/>
      <c r="DQ191" s="1432"/>
      <c r="DR191" s="1432"/>
      <c r="DS191" s="1432"/>
      <c r="DT191" s="1316"/>
      <c r="DU191" s="1433"/>
      <c r="DV191" s="1433"/>
      <c r="DW191" s="1433"/>
      <c r="DX191" s="1433"/>
      <c r="DY191" s="1433"/>
      <c r="DZ191" s="1433"/>
      <c r="EA191" s="1433"/>
      <c r="EB191" s="1433"/>
    </row>
    <row r="192" customFormat="false" ht="14.25" hidden="false" customHeight="false" outlineLevel="0" collapsed="false">
      <c r="A192" s="2" t="n">
        <f aca="false">'V_DATOS PAC_SGA'!R187</f>
        <v>0</v>
      </c>
      <c r="B192" s="2" t="n">
        <f aca="false">IF(I192="IV",CONCATENATE('V_DATOS PAC_SGA'!R187,"4")+0,CONCATENATE('V_DATOS PAC_SGA'!R187,"0")+0)</f>
        <v>0</v>
      </c>
      <c r="C192" s="2" t="n">
        <f aca="false">'V_DATOS PAC_SGA'!S187</f>
        <v>0</v>
      </c>
      <c r="D192" s="1409" t="n">
        <f aca="false">'V_DATOS PAC_SGA'!Y187</f>
        <v>0</v>
      </c>
      <c r="E192" s="1410" t="str">
        <f aca="false">IF('V_DATOS PAC_SGA'!AV187="","Regadio",'V_DATOS PAC_SGA'!AV187)</f>
        <v>Regadio</v>
      </c>
      <c r="F192" s="1411" t="n">
        <f aca="false">'V_DATOS PAC_SGA'!BK187</f>
        <v>0</v>
      </c>
      <c r="G192" s="1412" t="n">
        <f aca="false">'V_DATOS PAC_SGA'!AN187</f>
        <v>0</v>
      </c>
      <c r="H192" s="1413" t="str">
        <f aca="false">IF(B192&gt;0,VLOOKUP(B192,'O_MN, PE_UTA_UGM 2024'!E$3:O$419,10),"")</f>
        <v/>
      </c>
      <c r="I192" s="1359" t="n">
        <f aca="false">'V_DATOS PAC_SGA'!BV187</f>
        <v>0</v>
      </c>
      <c r="J192" s="2" t="str">
        <f aca="false">IF(AND(J$4=$G192,J$6=$F192),$D192*J$5,"")</f>
        <v/>
      </c>
      <c r="K192" s="2" t="str">
        <f aca="false">IF(AND(K$4=$G192,K$6=$F192),$D192*K$5,"")</f>
        <v/>
      </c>
      <c r="L192" s="2" t="str">
        <f aca="false">IF(AND(L$4=$G192,L$6=$F192),$D192*L$5,"")</f>
        <v/>
      </c>
      <c r="M192" s="2" t="str">
        <f aca="false">IF(AND(M$4=$G192,M$6=$F192),$D192*M$5,"")</f>
        <v/>
      </c>
      <c r="N192" s="1414" t="n">
        <f aca="false">VLOOKUP(B192,'O_MN, PE_UTA_UGM 2024'!$E$2:$K$419,IF(G192&gt;1,6,7))</f>
        <v>0</v>
      </c>
      <c r="O192" s="1434" t="str">
        <f aca="false">IF($H192=O$4,$D192*$N192,"")</f>
        <v/>
      </c>
      <c r="P192" s="1435" t="str">
        <f aca="false">IF($H192=P$4,$D192*$N192,"")</f>
        <v/>
      </c>
      <c r="Q192" s="1435" t="str">
        <f aca="false">IF($H192=Q$4,$D192*$N192,"")</f>
        <v/>
      </c>
      <c r="R192" s="1435" t="str">
        <f aca="false">IF($H192=R$4,$D192*$N192,"")</f>
        <v/>
      </c>
      <c r="S192" s="1435" t="str">
        <f aca="false">IF($H192=S$4,$D192*$N192,"")</f>
        <v/>
      </c>
      <c r="T192" s="1435" t="str">
        <f aca="false">IF($H192=T$4,$D192*$N192,"")</f>
        <v/>
      </c>
      <c r="U192" s="1436" t="str">
        <f aca="false">IF($H192=U$4,$D192*$N192,"")</f>
        <v/>
      </c>
      <c r="V192" s="1418"/>
      <c r="W192" s="1419"/>
      <c r="X192" s="1419"/>
      <c r="Y192" s="1419"/>
      <c r="Z192" s="1419"/>
      <c r="AA192" s="1419"/>
      <c r="AB192" s="1420"/>
      <c r="AC192" s="1319"/>
      <c r="AD192" s="2" t="str">
        <f aca="false">IF(AND(AD$4=$G192,AD$6=$F192),$B192,"")</f>
        <v/>
      </c>
      <c r="AE192" s="2" t="str">
        <f aca="false">IF(AND(AE$4=$G192,AE$6=$F192),$B192,"")</f>
        <v/>
      </c>
      <c r="AF192" s="2" t="str">
        <f aca="false">IF(AND(AF$4=$G192,AF$6=$F192),$B192,"")</f>
        <v/>
      </c>
      <c r="AG192" s="2" t="str">
        <f aca="false">IF(AND(AG$4=$G192,AG$6=$F192),$B192,"")</f>
        <v/>
      </c>
      <c r="AI192" s="366"/>
      <c r="AL192" s="367"/>
      <c r="AO192" s="367"/>
      <c r="AP192" s="2" t="str">
        <f aca="false">IF(AT192&gt;0,RANK(AT192,AT$7:AT$423),"")</f>
        <v/>
      </c>
      <c r="AQ192" s="2" t="n">
        <f aca="false">'O_MN, PE_UTA_UGM 2024'!C188</f>
        <v>189</v>
      </c>
      <c r="AR192" s="1421" t="n">
        <v>1870</v>
      </c>
      <c r="AS192" s="2" t="str">
        <f aca="false">IF(AY192&lt;&gt;"",AY192,"")</f>
        <v/>
      </c>
      <c r="AT192" s="1422" t="n">
        <f aca="false">IF(ISNUMBER($AR192),SUMIF(B$7:B$505,AR192,D$7:D$505),"")</f>
        <v>0</v>
      </c>
      <c r="AU192" s="1411" t="n">
        <f aca="false">IF(ISNUMBER($AR192),SUMIF(AD$7:AD$503,$AR192,J$7:J$503),"")</f>
        <v>0</v>
      </c>
      <c r="AV192" s="1411" t="n">
        <f aca="false">IF(ISNUMBER($AR192),SUMIF(AF$7:AF$503,$AR192,L$7:L$503),"")</f>
        <v>0</v>
      </c>
      <c r="AW192" s="1423" t="n">
        <f aca="false">IF(ISNUMBER($AR192),SUMIF(AE$7:AE$503,$AR192,K$7:K$503),"")</f>
        <v>0</v>
      </c>
      <c r="AX192" s="1423" t="n">
        <f aca="false">IF(ISNUMBER($AR192),SUMIF(AG$7:AG$503,$AR192,M$7:M$503),"")</f>
        <v>0</v>
      </c>
      <c r="AY192" s="2" t="str">
        <f aca="false">IF($AT192&gt;0,VLOOKUP($AR192,'O_MN, PE_UTA_UGM 2024'!E188:O604,2),"")</f>
        <v/>
      </c>
      <c r="AZ192" s="1424"/>
      <c r="BA192" s="1424"/>
      <c r="BB192" s="1424" t="str">
        <f aca="false">IF($AT192&gt;0,VLOOKUP($AR192,'O_MN, PE_UTA_UGM 2024'!$E$3:$O$419,BB$6),"")</f>
        <v/>
      </c>
      <c r="BC192" s="1424" t="str">
        <f aca="false">IF($AT192&gt;0,VLOOKUP($AR192,'O_MN, PE_UTA_UGM 2024'!$E$3:$O$419,BC$6),"")</f>
        <v/>
      </c>
      <c r="BD192" s="1424" t="str">
        <f aca="false">IF($AT192&gt;0,VLOOKUP($AR192,'O_MN, PE_UTA_UGM 2024'!$E$3:$O$419,BD$6),"")</f>
        <v/>
      </c>
      <c r="BE192" s="1424" t="str">
        <f aca="false">IF($AT192&gt;0,VLOOKUP($AR192,'O_MN, PE_UTA_UGM 2024'!$E$3:$O$419,BE$6),"")</f>
        <v/>
      </c>
      <c r="BF192" s="1424" t="str">
        <f aca="false">IF($AT192&gt;0,VLOOKUP($AR192,'O_MN, PE_UTA_UGM 2024'!$E$3:$O$419,BF$6),"")</f>
        <v/>
      </c>
      <c r="BG192" s="1424" t="str">
        <f aca="false">IF($AT192&gt;0,VLOOKUP($AR192,'O_MN, PE_UTA_UGM 2024'!$E$3:$O$419,BG$6),"")</f>
        <v/>
      </c>
      <c r="BH192" s="872"/>
      <c r="BI192" s="872"/>
      <c r="BJ192" s="872"/>
      <c r="BK192" s="872"/>
      <c r="BM192" s="1411"/>
      <c r="BN192" s="1411"/>
      <c r="BO192" s="1425" t="str">
        <f aca="false">IF(ISNUMBER($AU192*BB192*1),$AU192*BB192*1,"")</f>
        <v/>
      </c>
      <c r="BP192" s="1425" t="str">
        <f aca="false">IF(ISNUMBER($AV192*BC192*1),$AV192*BC192*1,"")</f>
        <v/>
      </c>
      <c r="BQ192" s="1425" t="str">
        <f aca="false">IF(ISNUMBER($AU192*BD192*1),$AU192*BD192*1,"")</f>
        <v/>
      </c>
      <c r="BR192" s="1425" t="str">
        <f aca="false">IF(ISNUMBER($AV192*BE192*1),$AV192*BE192*1,"")</f>
        <v/>
      </c>
      <c r="BS192" s="1411" t="str">
        <f aca="false">IF(ISNUMBER($AU192*BF192),$AU192*BF192,"")</f>
        <v/>
      </c>
      <c r="BT192" s="1411" t="str">
        <f aca="false">IF(ISNUMBER($AV192*BG192),$AV192*BG192,"")</f>
        <v/>
      </c>
      <c r="BU192" s="1411"/>
      <c r="BV192" s="1411"/>
      <c r="BW192" s="1411"/>
      <c r="BX192" s="1411"/>
      <c r="BZ192" s="1372"/>
      <c r="CA192" s="1372"/>
      <c r="CB192" s="1426" t="str">
        <f aca="false">IF(ISNUMBER($AW192*BB192),$AW192*BB192,"")</f>
        <v/>
      </c>
      <c r="CC192" s="1426" t="str">
        <f aca="false">IF(ISNUMBER($AX192*BC192),$AX192*BC192,"")</f>
        <v/>
      </c>
      <c r="CD192" s="1426" t="str">
        <f aca="false">IF(ISNUMBER($AW192*BD192),$AW192*BD192,"")</f>
        <v/>
      </c>
      <c r="CE192" s="1426" t="str">
        <f aca="false">IF(ISNUMBER($AX192*BE192),$AX192*BE192,"")</f>
        <v/>
      </c>
      <c r="CF192" s="1372" t="str">
        <f aca="false">IF(ISNUMBER($AW192*BF192),$AW192*BF192,"")</f>
        <v/>
      </c>
      <c r="CG192" s="1372" t="str">
        <f aca="false">IF(ISNUMBER($AX192*BG192),$AX192*BG192,"")</f>
        <v/>
      </c>
      <c r="CH192" s="1438"/>
      <c r="CI192" s="1438"/>
      <c r="CJ192" s="1438"/>
      <c r="CK192" s="1438"/>
      <c r="CU192" s="1411"/>
      <c r="CV192" s="1411"/>
      <c r="CW192" s="1425"/>
      <c r="CX192" s="1425"/>
      <c r="CY192" s="1425"/>
      <c r="CZ192" s="1425"/>
      <c r="DA192" s="1411"/>
      <c r="DB192" s="1411"/>
      <c r="DC192" s="1411"/>
      <c r="DD192" s="1411"/>
      <c r="DE192" s="1411"/>
      <c r="DF192" s="1411"/>
      <c r="DH192" s="1432"/>
      <c r="DI192" s="1432"/>
      <c r="DJ192" s="1437"/>
      <c r="DK192" s="1437"/>
      <c r="DL192" s="1437"/>
      <c r="DM192" s="1437"/>
      <c r="DN192" s="1432"/>
      <c r="DO192" s="1432"/>
      <c r="DP192" s="1432"/>
      <c r="DQ192" s="1432"/>
      <c r="DR192" s="1432"/>
      <c r="DS192" s="1432"/>
      <c r="DT192" s="1316"/>
      <c r="DU192" s="1433"/>
      <c r="DV192" s="1433"/>
      <c r="DW192" s="1433"/>
      <c r="DX192" s="1433"/>
      <c r="DY192" s="1433"/>
      <c r="DZ192" s="1433"/>
      <c r="EA192" s="1433"/>
      <c r="EB192" s="1433"/>
    </row>
    <row r="193" customFormat="false" ht="14.25" hidden="false" customHeight="false" outlineLevel="0" collapsed="false">
      <c r="A193" s="2" t="n">
        <f aca="false">'V_DATOS PAC_SGA'!R188</f>
        <v>0</v>
      </c>
      <c r="B193" s="2" t="n">
        <f aca="false">IF(I193="IV",CONCATENATE('V_DATOS PAC_SGA'!R188,"4")+0,CONCATENATE('V_DATOS PAC_SGA'!R188,"0")+0)</f>
        <v>0</v>
      </c>
      <c r="C193" s="2" t="n">
        <f aca="false">'V_DATOS PAC_SGA'!S188</f>
        <v>0</v>
      </c>
      <c r="D193" s="1409" t="n">
        <f aca="false">'V_DATOS PAC_SGA'!Y188</f>
        <v>0</v>
      </c>
      <c r="E193" s="1410" t="str">
        <f aca="false">IF('V_DATOS PAC_SGA'!AV188="","Regadio",'V_DATOS PAC_SGA'!AV188)</f>
        <v>Regadio</v>
      </c>
      <c r="F193" s="1411" t="n">
        <f aca="false">'V_DATOS PAC_SGA'!BK188</f>
        <v>0</v>
      </c>
      <c r="G193" s="1412" t="n">
        <f aca="false">'V_DATOS PAC_SGA'!AN188</f>
        <v>0</v>
      </c>
      <c r="H193" s="1413" t="str">
        <f aca="false">IF(B193&gt;0,VLOOKUP(B193,'O_MN, PE_UTA_UGM 2024'!E$3:O$419,10),"")</f>
        <v/>
      </c>
      <c r="I193" s="1359" t="n">
        <f aca="false">'V_DATOS PAC_SGA'!BV188</f>
        <v>0</v>
      </c>
      <c r="J193" s="2" t="str">
        <f aca="false">IF(AND(J$4=$G193,J$6=$F193),$D193*J$5,"")</f>
        <v/>
      </c>
      <c r="K193" s="2" t="str">
        <f aca="false">IF(AND(K$4=$G193,K$6=$F193),$D193*K$5,"")</f>
        <v/>
      </c>
      <c r="L193" s="2" t="str">
        <f aca="false">IF(AND(L$4=$G193,L$6=$F193),$D193*L$5,"")</f>
        <v/>
      </c>
      <c r="M193" s="2" t="str">
        <f aca="false">IF(AND(M$4=$G193,M$6=$F193),$D193*M$5,"")</f>
        <v/>
      </c>
      <c r="N193" s="1414" t="n">
        <f aca="false">VLOOKUP(B193,'O_MN, PE_UTA_UGM 2024'!$E$2:$K$419,IF(G193&gt;1,6,7))</f>
        <v>0</v>
      </c>
      <c r="O193" s="1434" t="str">
        <f aca="false">IF($H193=O$4,$D193*$N193,"")</f>
        <v/>
      </c>
      <c r="P193" s="1435" t="str">
        <f aca="false">IF($H193=P$4,$D193*$N193,"")</f>
        <v/>
      </c>
      <c r="Q193" s="1435" t="str">
        <f aca="false">IF($H193=Q$4,$D193*$N193,"")</f>
        <v/>
      </c>
      <c r="R193" s="1435" t="str">
        <f aca="false">IF($H193=R$4,$D193*$N193,"")</f>
        <v/>
      </c>
      <c r="S193" s="1435" t="str">
        <f aca="false">IF($H193=S$4,$D193*$N193,"")</f>
        <v/>
      </c>
      <c r="T193" s="1435" t="str">
        <f aca="false">IF($H193=T$4,$D193*$N193,"")</f>
        <v/>
      </c>
      <c r="U193" s="1436" t="str">
        <f aca="false">IF($H193=U$4,$D193*$N193,"")</f>
        <v/>
      </c>
      <c r="V193" s="1418"/>
      <c r="W193" s="1419"/>
      <c r="X193" s="1419"/>
      <c r="Y193" s="1419"/>
      <c r="Z193" s="1419"/>
      <c r="AA193" s="1419"/>
      <c r="AB193" s="1420"/>
      <c r="AC193" s="1319"/>
      <c r="AD193" s="2" t="str">
        <f aca="false">IF(AND(AD$4=$G193,AD$6=$F193),$B193,"")</f>
        <v/>
      </c>
      <c r="AE193" s="2" t="str">
        <f aca="false">IF(AND(AE$4=$G193,AE$6=$F193),$B193,"")</f>
        <v/>
      </c>
      <c r="AF193" s="2" t="str">
        <f aca="false">IF(AND(AF$4=$G193,AF$6=$F193),$B193,"")</f>
        <v/>
      </c>
      <c r="AG193" s="2" t="str">
        <f aca="false">IF(AND(AG$4=$G193,AG$6=$F193),$B193,"")</f>
        <v/>
      </c>
      <c r="AI193" s="366"/>
      <c r="AL193" s="367"/>
      <c r="AO193" s="367"/>
      <c r="AP193" s="2" t="str">
        <f aca="false">IF(AT193&gt;0,RANK(AT193,AT$7:AT$423),"")</f>
        <v/>
      </c>
      <c r="AQ193" s="2" t="n">
        <f aca="false">'O_MN, PE_UTA_UGM 2024'!C189</f>
        <v>189</v>
      </c>
      <c r="AR193" s="1421" t="n">
        <v>1874</v>
      </c>
      <c r="AS193" s="2" t="str">
        <f aca="false">IF(AY193&lt;&gt;"",AY193,"")</f>
        <v/>
      </c>
      <c r="AT193" s="1422" t="n">
        <f aca="false">IF(ISNUMBER($AR193),SUMIF(B$7:B$505,AR193,D$7:D$505),"")</f>
        <v>0</v>
      </c>
      <c r="AU193" s="1411" t="n">
        <f aca="false">IF(ISNUMBER($AR193),SUMIF(AD$7:AD$503,$AR193,J$7:J$503),"")</f>
        <v>0</v>
      </c>
      <c r="AV193" s="1411" t="n">
        <f aca="false">IF(ISNUMBER($AR193),SUMIF(AF$7:AF$503,$AR193,L$7:L$503),"")</f>
        <v>0</v>
      </c>
      <c r="AW193" s="1423" t="n">
        <f aca="false">IF(ISNUMBER($AR193),SUMIF(AE$7:AE$503,$AR193,K$7:K$503),"")</f>
        <v>0</v>
      </c>
      <c r="AX193" s="1423" t="n">
        <f aca="false">IF(ISNUMBER($AR193),SUMIF(AG$7:AG$503,$AR193,M$7:M$503),"")</f>
        <v>0</v>
      </c>
      <c r="AY193" s="2" t="str">
        <f aca="false">IF($AT193&gt;0,VLOOKUP($AR193,'O_MN, PE_UTA_UGM 2024'!E189:O605,2),"")</f>
        <v/>
      </c>
      <c r="AZ193" s="1424"/>
      <c r="BA193" s="1424"/>
      <c r="BB193" s="1424" t="str">
        <f aca="false">IF($AT193&gt;0,VLOOKUP($AR193,'O_MN, PE_UTA_UGM 2024'!$E$3:$O$419,BB$6),"")</f>
        <v/>
      </c>
      <c r="BC193" s="1424" t="str">
        <f aca="false">IF($AT193&gt;0,VLOOKUP($AR193,'O_MN, PE_UTA_UGM 2024'!$E$3:$O$419,BC$6),"")</f>
        <v/>
      </c>
      <c r="BD193" s="1424" t="str">
        <f aca="false">IF($AT193&gt;0,VLOOKUP($AR193,'O_MN, PE_UTA_UGM 2024'!$E$3:$O$419,BD$6),"")</f>
        <v/>
      </c>
      <c r="BE193" s="1424" t="str">
        <f aca="false">IF($AT193&gt;0,VLOOKUP($AR193,'O_MN, PE_UTA_UGM 2024'!$E$3:$O$419,BE$6),"")</f>
        <v/>
      </c>
      <c r="BF193" s="1424" t="str">
        <f aca="false">IF($AT193&gt;0,VLOOKUP($AR193,'O_MN, PE_UTA_UGM 2024'!$E$3:$O$419,BF$6),"")</f>
        <v/>
      </c>
      <c r="BG193" s="1424" t="str">
        <f aca="false">IF($AT193&gt;0,VLOOKUP($AR193,'O_MN, PE_UTA_UGM 2024'!$E$3:$O$419,BG$6),"")</f>
        <v/>
      </c>
      <c r="BH193" s="872"/>
      <c r="BI193" s="872"/>
      <c r="BJ193" s="872"/>
      <c r="BK193" s="872"/>
      <c r="BM193" s="1411"/>
      <c r="BN193" s="1411"/>
      <c r="BO193" s="1425" t="str">
        <f aca="false">IF(ISNUMBER($AU193*BB193*1),$AU193*BB193*1,"")</f>
        <v/>
      </c>
      <c r="BP193" s="1425" t="str">
        <f aca="false">IF(ISNUMBER($AV193*BC193*1),$AV193*BC193*1,"")</f>
        <v/>
      </c>
      <c r="BQ193" s="1425" t="str">
        <f aca="false">IF(ISNUMBER($AU193*BD193*1),$AU193*BD193*1,"")</f>
        <v/>
      </c>
      <c r="BR193" s="1425" t="str">
        <f aca="false">IF(ISNUMBER($AV193*BE193*1),$AV193*BE193*1,"")</f>
        <v/>
      </c>
      <c r="BS193" s="1411" t="str">
        <f aca="false">IF(ISNUMBER($AU193*BF193),$AU193*BF193,"")</f>
        <v/>
      </c>
      <c r="BT193" s="1411" t="str">
        <f aca="false">IF(ISNUMBER($AV193*BG193),$AV193*BG193,"")</f>
        <v/>
      </c>
      <c r="BU193" s="1411"/>
      <c r="BV193" s="1411"/>
      <c r="BW193" s="1411"/>
      <c r="BX193" s="1411"/>
      <c r="BZ193" s="1372"/>
      <c r="CA193" s="1372"/>
      <c r="CB193" s="1426" t="str">
        <f aca="false">IF(ISNUMBER($AW193*BB193),$AW193*BB193,"")</f>
        <v/>
      </c>
      <c r="CC193" s="1426" t="str">
        <f aca="false">IF(ISNUMBER($AX193*BC193),$AX193*BC193,"")</f>
        <v/>
      </c>
      <c r="CD193" s="1426" t="str">
        <f aca="false">IF(ISNUMBER($AW193*BD193),$AW193*BD193,"")</f>
        <v/>
      </c>
      <c r="CE193" s="1426" t="str">
        <f aca="false">IF(ISNUMBER($AX193*BE193),$AX193*BE193,"")</f>
        <v/>
      </c>
      <c r="CF193" s="1372" t="str">
        <f aca="false">IF(ISNUMBER($AW193*BF193),$AW193*BF193,"")</f>
        <v/>
      </c>
      <c r="CG193" s="1372" t="str">
        <f aca="false">IF(ISNUMBER($AX193*BG193),$AX193*BG193,"")</f>
        <v/>
      </c>
      <c r="CH193" s="1438"/>
      <c r="CI193" s="1438"/>
      <c r="CJ193" s="1438"/>
      <c r="CK193" s="1438"/>
      <c r="CU193" s="1411"/>
      <c r="CV193" s="1411"/>
      <c r="CW193" s="1425"/>
      <c r="CX193" s="1425"/>
      <c r="CY193" s="1425"/>
      <c r="CZ193" s="1425"/>
      <c r="DA193" s="1411"/>
      <c r="DB193" s="1411"/>
      <c r="DC193" s="1411"/>
      <c r="DD193" s="1411"/>
      <c r="DE193" s="1411"/>
      <c r="DF193" s="1411"/>
      <c r="DH193" s="1432"/>
      <c r="DI193" s="1432"/>
      <c r="DJ193" s="1437"/>
      <c r="DK193" s="1437"/>
      <c r="DL193" s="1437"/>
      <c r="DM193" s="1437"/>
      <c r="DN193" s="1432"/>
      <c r="DO193" s="1432"/>
      <c r="DP193" s="1432"/>
      <c r="DQ193" s="1432"/>
      <c r="DR193" s="1432"/>
      <c r="DS193" s="1432"/>
      <c r="DT193" s="1316"/>
      <c r="DU193" s="1433"/>
      <c r="DV193" s="1433"/>
      <c r="DW193" s="1433"/>
      <c r="DX193" s="1433"/>
      <c r="DY193" s="1433"/>
      <c r="DZ193" s="1433"/>
      <c r="EA193" s="1433"/>
      <c r="EB193" s="1433"/>
    </row>
    <row r="194" customFormat="false" ht="14.25" hidden="false" customHeight="false" outlineLevel="0" collapsed="false">
      <c r="A194" s="2" t="n">
        <f aca="false">'V_DATOS PAC_SGA'!R189</f>
        <v>0</v>
      </c>
      <c r="B194" s="2" t="n">
        <f aca="false">IF(I194="IV",CONCATENATE('V_DATOS PAC_SGA'!R189,"4")+0,CONCATENATE('V_DATOS PAC_SGA'!R189,"0")+0)</f>
        <v>0</v>
      </c>
      <c r="C194" s="2" t="n">
        <f aca="false">'V_DATOS PAC_SGA'!S189</f>
        <v>0</v>
      </c>
      <c r="D194" s="1409" t="n">
        <f aca="false">'V_DATOS PAC_SGA'!Y189</f>
        <v>0</v>
      </c>
      <c r="E194" s="1410" t="str">
        <f aca="false">IF('V_DATOS PAC_SGA'!AV189="","Regadio",'V_DATOS PAC_SGA'!AV189)</f>
        <v>Regadio</v>
      </c>
      <c r="F194" s="1411" t="n">
        <f aca="false">'V_DATOS PAC_SGA'!BK189</f>
        <v>0</v>
      </c>
      <c r="G194" s="1412" t="n">
        <f aca="false">'V_DATOS PAC_SGA'!AN189</f>
        <v>0</v>
      </c>
      <c r="H194" s="1413" t="str">
        <f aca="false">IF(B194&gt;0,VLOOKUP(B194,'O_MN, PE_UTA_UGM 2024'!E$3:O$419,10),"")</f>
        <v/>
      </c>
      <c r="I194" s="1359" t="n">
        <f aca="false">'V_DATOS PAC_SGA'!BV189</f>
        <v>0</v>
      </c>
      <c r="J194" s="2" t="str">
        <f aca="false">IF(AND(J$4=$G194,J$6=$F194),$D194*J$5,"")</f>
        <v/>
      </c>
      <c r="K194" s="2" t="str">
        <f aca="false">IF(AND(K$4=$G194,K$6=$F194),$D194*K$5,"")</f>
        <v/>
      </c>
      <c r="L194" s="2" t="str">
        <f aca="false">IF(AND(L$4=$G194,L$6=$F194),$D194*L$5,"")</f>
        <v/>
      </c>
      <c r="M194" s="2" t="str">
        <f aca="false">IF(AND(M$4=$G194,M$6=$F194),$D194*M$5,"")</f>
        <v/>
      </c>
      <c r="N194" s="1414" t="n">
        <f aca="false">VLOOKUP(B194,'O_MN, PE_UTA_UGM 2024'!$E$2:$K$419,IF(G194&gt;1,6,7))</f>
        <v>0</v>
      </c>
      <c r="O194" s="1434" t="str">
        <f aca="false">IF($H194=O$4,$D194*$N194,"")</f>
        <v/>
      </c>
      <c r="P194" s="1435" t="str">
        <f aca="false">IF($H194=P$4,$D194*$N194,"")</f>
        <v/>
      </c>
      <c r="Q194" s="1435" t="str">
        <f aca="false">IF($H194=Q$4,$D194*$N194,"")</f>
        <v/>
      </c>
      <c r="R194" s="1435" t="str">
        <f aca="false">IF($H194=R$4,$D194*$N194,"")</f>
        <v/>
      </c>
      <c r="S194" s="1435" t="str">
        <f aca="false">IF($H194=S$4,$D194*$N194,"")</f>
        <v/>
      </c>
      <c r="T194" s="1435" t="str">
        <f aca="false">IF($H194=T$4,$D194*$N194,"")</f>
        <v/>
      </c>
      <c r="U194" s="1436" t="str">
        <f aca="false">IF($H194=U$4,$D194*$N194,"")</f>
        <v/>
      </c>
      <c r="V194" s="1418"/>
      <c r="W194" s="1419"/>
      <c r="X194" s="1419"/>
      <c r="Y194" s="1419"/>
      <c r="Z194" s="1419"/>
      <c r="AA194" s="1419"/>
      <c r="AB194" s="1420"/>
      <c r="AC194" s="1319"/>
      <c r="AD194" s="2" t="str">
        <f aca="false">IF(AND(AD$4=$G194,AD$6=$F194),$B194,"")</f>
        <v/>
      </c>
      <c r="AE194" s="2" t="str">
        <f aca="false">IF(AND(AE$4=$G194,AE$6=$F194),$B194,"")</f>
        <v/>
      </c>
      <c r="AF194" s="2" t="str">
        <f aca="false">IF(AND(AF$4=$G194,AF$6=$F194),$B194,"")</f>
        <v/>
      </c>
      <c r="AG194" s="2" t="str">
        <f aca="false">IF(AND(AG$4=$G194,AG$6=$F194),$B194,"")</f>
        <v/>
      </c>
      <c r="AI194" s="366"/>
      <c r="AL194" s="367"/>
      <c r="AO194" s="367"/>
      <c r="AP194" s="2" t="str">
        <f aca="false">IF(AT194&gt;0,RANK(AT194,AT$7:AT$423),"")</f>
        <v/>
      </c>
      <c r="AQ194" s="2" t="n">
        <f aca="false">'O_MN, PE_UTA_UGM 2024'!C190</f>
        <v>190</v>
      </c>
      <c r="AR194" s="1421" t="n">
        <v>1879</v>
      </c>
      <c r="AS194" s="2" t="str">
        <f aca="false">IF(AY194&lt;&gt;"",AY194,"")</f>
        <v/>
      </c>
      <c r="AT194" s="1422" t="n">
        <f aca="false">IF(ISNUMBER($AR194),SUMIF(B$7:B$505,AR194,D$7:D$505),"")</f>
        <v>0</v>
      </c>
      <c r="AU194" s="1411" t="n">
        <f aca="false">IF(ISNUMBER($AR194),SUMIF(AD$7:AD$503,$AR194,J$7:J$503),"")</f>
        <v>0</v>
      </c>
      <c r="AV194" s="1411" t="n">
        <f aca="false">IF(ISNUMBER($AR194),SUMIF(AF$7:AF$503,$AR194,L$7:L$503),"")</f>
        <v>0</v>
      </c>
      <c r="AW194" s="1423" t="n">
        <f aca="false">IF(ISNUMBER($AR194),SUMIF(AE$7:AE$503,$AR194,K$7:K$503),"")</f>
        <v>0</v>
      </c>
      <c r="AX194" s="1423" t="n">
        <f aca="false">IF(ISNUMBER($AR194),SUMIF(AG$7:AG$503,$AR194,M$7:M$503),"")</f>
        <v>0</v>
      </c>
      <c r="AY194" s="2" t="str">
        <f aca="false">IF($AT194&gt;0,VLOOKUP($AR194,'O_MN, PE_UTA_UGM 2024'!E190:O606,2),"")</f>
        <v/>
      </c>
      <c r="AZ194" s="1424"/>
      <c r="BA194" s="1424"/>
      <c r="BB194" s="1424" t="str">
        <f aca="false">IF($AT194&gt;0,VLOOKUP($AR194,'O_MN, PE_UTA_UGM 2024'!$E$3:$O$419,BB$6),"")</f>
        <v/>
      </c>
      <c r="BC194" s="1424" t="str">
        <f aca="false">IF($AT194&gt;0,VLOOKUP($AR194,'O_MN, PE_UTA_UGM 2024'!$E$3:$O$419,BC$6),"")</f>
        <v/>
      </c>
      <c r="BD194" s="1424" t="str">
        <f aca="false">IF($AT194&gt;0,VLOOKUP($AR194,'O_MN, PE_UTA_UGM 2024'!$E$3:$O$419,BD$6),"")</f>
        <v/>
      </c>
      <c r="BE194" s="1424" t="str">
        <f aca="false">IF($AT194&gt;0,VLOOKUP($AR194,'O_MN, PE_UTA_UGM 2024'!$E$3:$O$419,BE$6),"")</f>
        <v/>
      </c>
      <c r="BF194" s="1424" t="str">
        <f aca="false">IF($AT194&gt;0,VLOOKUP($AR194,'O_MN, PE_UTA_UGM 2024'!$E$3:$O$419,BF$6),"")</f>
        <v/>
      </c>
      <c r="BG194" s="1424" t="str">
        <f aca="false">IF($AT194&gt;0,VLOOKUP($AR194,'O_MN, PE_UTA_UGM 2024'!$E$3:$O$419,BG$6),"")</f>
        <v/>
      </c>
      <c r="BH194" s="872"/>
      <c r="BI194" s="872"/>
      <c r="BJ194" s="872"/>
      <c r="BK194" s="872"/>
      <c r="BM194" s="1411"/>
      <c r="BN194" s="1411"/>
      <c r="BO194" s="1425" t="str">
        <f aca="false">IF(ISNUMBER($AU194*BB194*1),$AU194*BB194*1,"")</f>
        <v/>
      </c>
      <c r="BP194" s="1425" t="str">
        <f aca="false">IF(ISNUMBER($AV194*BC194*1),$AV194*BC194*1,"")</f>
        <v/>
      </c>
      <c r="BQ194" s="1425" t="str">
        <f aca="false">IF(ISNUMBER($AU194*BD194*1),$AU194*BD194*1,"")</f>
        <v/>
      </c>
      <c r="BR194" s="1425" t="str">
        <f aca="false">IF(ISNUMBER($AV194*BE194*1),$AV194*BE194*1,"")</f>
        <v/>
      </c>
      <c r="BS194" s="1411" t="str">
        <f aca="false">IF(ISNUMBER($AU194*BF194),$AU194*BF194,"")</f>
        <v/>
      </c>
      <c r="BT194" s="1411" t="str">
        <f aca="false">IF(ISNUMBER($AV194*BG194),$AV194*BG194,"")</f>
        <v/>
      </c>
      <c r="BU194" s="1411"/>
      <c r="BV194" s="1411"/>
      <c r="BW194" s="1411"/>
      <c r="BX194" s="1411"/>
      <c r="BZ194" s="1372"/>
      <c r="CA194" s="1372"/>
      <c r="CB194" s="1426" t="str">
        <f aca="false">IF(ISNUMBER($AW194*BB194),$AW194*BB194,"")</f>
        <v/>
      </c>
      <c r="CC194" s="1426" t="str">
        <f aca="false">IF(ISNUMBER($AX194*BC194),$AX194*BC194,"")</f>
        <v/>
      </c>
      <c r="CD194" s="1426" t="str">
        <f aca="false">IF(ISNUMBER($AW194*BD194),$AW194*BD194,"")</f>
        <v/>
      </c>
      <c r="CE194" s="1426" t="str">
        <f aca="false">IF(ISNUMBER($AX194*BE194),$AX194*BE194,"")</f>
        <v/>
      </c>
      <c r="CF194" s="1372" t="str">
        <f aca="false">IF(ISNUMBER($AW194*BF194),$AW194*BF194,"")</f>
        <v/>
      </c>
      <c r="CG194" s="1372" t="str">
        <f aca="false">IF(ISNUMBER($AX194*BG194),$AX194*BG194,"")</f>
        <v/>
      </c>
      <c r="CH194" s="1438"/>
      <c r="CI194" s="1438"/>
      <c r="CJ194" s="1438"/>
      <c r="CK194" s="1438"/>
      <c r="CU194" s="1411"/>
      <c r="CV194" s="1411"/>
      <c r="CW194" s="1425"/>
      <c r="CX194" s="1425"/>
      <c r="CY194" s="1425"/>
      <c r="CZ194" s="1425"/>
      <c r="DA194" s="1411"/>
      <c r="DB194" s="1411"/>
      <c r="DC194" s="1411"/>
      <c r="DD194" s="1411"/>
      <c r="DE194" s="1411"/>
      <c r="DF194" s="1411"/>
      <c r="DH194" s="1432"/>
      <c r="DI194" s="1432"/>
      <c r="DJ194" s="1437"/>
      <c r="DK194" s="1437"/>
      <c r="DL194" s="1437"/>
      <c r="DM194" s="1437"/>
      <c r="DN194" s="1432"/>
      <c r="DO194" s="1432"/>
      <c r="DP194" s="1432"/>
      <c r="DQ194" s="1432"/>
      <c r="DR194" s="1432"/>
      <c r="DS194" s="1432"/>
      <c r="DT194" s="1316"/>
      <c r="DU194" s="1433"/>
      <c r="DV194" s="1433"/>
      <c r="DW194" s="1433"/>
      <c r="DX194" s="1433"/>
      <c r="DY194" s="1433"/>
      <c r="DZ194" s="1433"/>
      <c r="EA194" s="1433"/>
      <c r="EB194" s="1433"/>
    </row>
    <row r="195" customFormat="false" ht="14.25" hidden="false" customHeight="false" outlineLevel="0" collapsed="false">
      <c r="A195" s="2" t="n">
        <f aca="false">'V_DATOS PAC_SGA'!R190</f>
        <v>0</v>
      </c>
      <c r="B195" s="2" t="n">
        <f aca="false">IF(I195="IV",CONCATENATE('V_DATOS PAC_SGA'!R190,"4")+0,CONCATENATE('V_DATOS PAC_SGA'!R190,"0")+0)</f>
        <v>0</v>
      </c>
      <c r="C195" s="2" t="n">
        <f aca="false">'V_DATOS PAC_SGA'!S190</f>
        <v>0</v>
      </c>
      <c r="D195" s="1409" t="n">
        <f aca="false">'V_DATOS PAC_SGA'!Y190</f>
        <v>0</v>
      </c>
      <c r="E195" s="1410" t="str">
        <f aca="false">IF('V_DATOS PAC_SGA'!AV190="","Regadio",'V_DATOS PAC_SGA'!AV190)</f>
        <v>Regadio</v>
      </c>
      <c r="F195" s="1411" t="n">
        <f aca="false">'V_DATOS PAC_SGA'!BK190</f>
        <v>0</v>
      </c>
      <c r="G195" s="1412" t="n">
        <f aca="false">'V_DATOS PAC_SGA'!AN190</f>
        <v>0</v>
      </c>
      <c r="H195" s="1413" t="str">
        <f aca="false">IF(B195&gt;0,VLOOKUP(B195,'O_MN, PE_UTA_UGM 2024'!E$3:O$419,10),"")</f>
        <v/>
      </c>
      <c r="I195" s="1359" t="n">
        <f aca="false">'V_DATOS PAC_SGA'!BV190</f>
        <v>0</v>
      </c>
      <c r="J195" s="2" t="str">
        <f aca="false">IF(AND(J$4=$G195,J$6=$F195),$D195*J$5,"")</f>
        <v/>
      </c>
      <c r="K195" s="2" t="str">
        <f aca="false">IF(AND(K$4=$G195,K$6=$F195),$D195*K$5,"")</f>
        <v/>
      </c>
      <c r="L195" s="2" t="str">
        <f aca="false">IF(AND(L$4=$G195,L$6=$F195),$D195*L$5,"")</f>
        <v/>
      </c>
      <c r="M195" s="2" t="str">
        <f aca="false">IF(AND(M$4=$G195,M$6=$F195),$D195*M$5,"")</f>
        <v/>
      </c>
      <c r="N195" s="1414" t="n">
        <f aca="false">VLOOKUP(B195,'O_MN, PE_UTA_UGM 2024'!$E$2:$K$419,IF(G195&gt;1,6,7))</f>
        <v>0</v>
      </c>
      <c r="O195" s="1434" t="str">
        <f aca="false">IF($H195=O$4,$D195*$N195,"")</f>
        <v/>
      </c>
      <c r="P195" s="1435" t="str">
        <f aca="false">IF($H195=P$4,$D195*$N195,"")</f>
        <v/>
      </c>
      <c r="Q195" s="1435" t="str">
        <f aca="false">IF($H195=Q$4,$D195*$N195,"")</f>
        <v/>
      </c>
      <c r="R195" s="1435" t="str">
        <f aca="false">IF($H195=R$4,$D195*$N195,"")</f>
        <v/>
      </c>
      <c r="S195" s="1435" t="str">
        <f aca="false">IF($H195=S$4,$D195*$N195,"")</f>
        <v/>
      </c>
      <c r="T195" s="1435" t="str">
        <f aca="false">IF($H195=T$4,$D195*$N195,"")</f>
        <v/>
      </c>
      <c r="U195" s="1436" t="str">
        <f aca="false">IF($H195=U$4,$D195*$N195,"")</f>
        <v/>
      </c>
      <c r="V195" s="1418"/>
      <c r="W195" s="1419"/>
      <c r="X195" s="1419"/>
      <c r="Y195" s="1419"/>
      <c r="Z195" s="1419"/>
      <c r="AA195" s="1419"/>
      <c r="AB195" s="1420"/>
      <c r="AC195" s="1319"/>
      <c r="AD195" s="2" t="str">
        <f aca="false">IF(AND(AD$4=$G195,AD$6=$F195),$B195,"")</f>
        <v/>
      </c>
      <c r="AE195" s="2" t="str">
        <f aca="false">IF(AND(AE$4=$G195,AE$6=$F195),$B195,"")</f>
        <v/>
      </c>
      <c r="AF195" s="2" t="str">
        <f aca="false">IF(AND(AF$4=$G195,AF$6=$F195),$B195,"")</f>
        <v/>
      </c>
      <c r="AG195" s="2" t="str">
        <f aca="false">IF(AND(AG$4=$G195,AG$6=$F195),$B195,"")</f>
        <v/>
      </c>
      <c r="AI195" s="366"/>
      <c r="AL195" s="367"/>
      <c r="AO195" s="367"/>
      <c r="AP195" s="2" t="str">
        <f aca="false">IF(AT195&gt;0,RANK(AT195,AT$7:AT$423),"")</f>
        <v/>
      </c>
      <c r="AQ195" s="2" t="n">
        <f aca="false">'O_MN, PE_UTA_UGM 2024'!C191</f>
        <v>190</v>
      </c>
      <c r="AR195" s="1421" t="n">
        <v>1890</v>
      </c>
      <c r="AS195" s="2" t="str">
        <f aca="false">IF(AY195&lt;&gt;"",AY195,"")</f>
        <v/>
      </c>
      <c r="AT195" s="1422" t="n">
        <f aca="false">IF(ISNUMBER($AR195),SUMIF(B$7:B$505,AR195,D$7:D$505),"")</f>
        <v>0</v>
      </c>
      <c r="AU195" s="1411" t="n">
        <f aca="false">IF(ISNUMBER($AR195),SUMIF(AD$7:AD$503,$AR195,J$7:J$503),"")</f>
        <v>0</v>
      </c>
      <c r="AV195" s="1411" t="n">
        <f aca="false">IF(ISNUMBER($AR195),SUMIF(AF$7:AF$503,$AR195,L$7:L$503),"")</f>
        <v>0</v>
      </c>
      <c r="AW195" s="1423" t="n">
        <f aca="false">IF(ISNUMBER($AR195),SUMIF(AE$7:AE$503,$AR195,K$7:K$503),"")</f>
        <v>0</v>
      </c>
      <c r="AX195" s="1423" t="n">
        <f aca="false">IF(ISNUMBER($AR195),SUMIF(AG$7:AG$503,$AR195,M$7:M$503),"")</f>
        <v>0</v>
      </c>
      <c r="AY195" s="2" t="str">
        <f aca="false">IF($AT195&gt;0,VLOOKUP($AR195,'O_MN, PE_UTA_UGM 2024'!E191:O607,2),"")</f>
        <v/>
      </c>
      <c r="AZ195" s="1424"/>
      <c r="BA195" s="1424"/>
      <c r="BB195" s="1424" t="str">
        <f aca="false">IF($AT195&gt;0,VLOOKUP($AR195,'O_MN, PE_UTA_UGM 2024'!$E$3:$O$419,BB$6),"")</f>
        <v/>
      </c>
      <c r="BC195" s="1424" t="str">
        <f aca="false">IF($AT195&gt;0,VLOOKUP($AR195,'O_MN, PE_UTA_UGM 2024'!$E$3:$O$419,BC$6),"")</f>
        <v/>
      </c>
      <c r="BD195" s="1424" t="str">
        <f aca="false">IF($AT195&gt;0,VLOOKUP($AR195,'O_MN, PE_UTA_UGM 2024'!$E$3:$O$419,BD$6),"")</f>
        <v/>
      </c>
      <c r="BE195" s="1424" t="str">
        <f aca="false">IF($AT195&gt;0,VLOOKUP($AR195,'O_MN, PE_UTA_UGM 2024'!$E$3:$O$419,BE$6),"")</f>
        <v/>
      </c>
      <c r="BF195" s="1424" t="str">
        <f aca="false">IF($AT195&gt;0,VLOOKUP($AR195,'O_MN, PE_UTA_UGM 2024'!$E$3:$O$419,BF$6),"")</f>
        <v/>
      </c>
      <c r="BG195" s="1424" t="str">
        <f aca="false">IF($AT195&gt;0,VLOOKUP($AR195,'O_MN, PE_UTA_UGM 2024'!$E$3:$O$419,BG$6),"")</f>
        <v/>
      </c>
      <c r="BH195" s="872"/>
      <c r="BI195" s="872"/>
      <c r="BJ195" s="872"/>
      <c r="BK195" s="872"/>
      <c r="BM195" s="1411"/>
      <c r="BN195" s="1411"/>
      <c r="BO195" s="1425" t="str">
        <f aca="false">IF(ISNUMBER($AU195*BB195*1),$AU195*BB195*1,"")</f>
        <v/>
      </c>
      <c r="BP195" s="1425" t="str">
        <f aca="false">IF(ISNUMBER($AV195*BC195*1),$AV195*BC195*1,"")</f>
        <v/>
      </c>
      <c r="BQ195" s="1425" t="str">
        <f aca="false">IF(ISNUMBER($AU195*BD195*1),$AU195*BD195*1,"")</f>
        <v/>
      </c>
      <c r="BR195" s="1425" t="str">
        <f aca="false">IF(ISNUMBER($AV195*BE195*1),$AV195*BE195*1,"")</f>
        <v/>
      </c>
      <c r="BS195" s="1411" t="str">
        <f aca="false">IF(ISNUMBER($AU195*BF195),$AU195*BF195,"")</f>
        <v/>
      </c>
      <c r="BT195" s="1411" t="str">
        <f aca="false">IF(ISNUMBER($AV195*BG195),$AV195*BG195,"")</f>
        <v/>
      </c>
      <c r="BU195" s="1411"/>
      <c r="BV195" s="1411"/>
      <c r="BW195" s="1411"/>
      <c r="BX195" s="1411"/>
      <c r="BZ195" s="1372"/>
      <c r="CA195" s="1372"/>
      <c r="CB195" s="1426" t="str">
        <f aca="false">IF(ISNUMBER($AW195*BB195),$AW195*BB195,"")</f>
        <v/>
      </c>
      <c r="CC195" s="1426" t="str">
        <f aca="false">IF(ISNUMBER($AX195*BC195),$AX195*BC195,"")</f>
        <v/>
      </c>
      <c r="CD195" s="1426" t="str">
        <f aca="false">IF(ISNUMBER($AW195*BD195),$AW195*BD195,"")</f>
        <v/>
      </c>
      <c r="CE195" s="1426" t="str">
        <f aca="false">IF(ISNUMBER($AX195*BE195),$AX195*BE195,"")</f>
        <v/>
      </c>
      <c r="CF195" s="1372" t="str">
        <f aca="false">IF(ISNUMBER($AW195*BF195),$AW195*BF195,"")</f>
        <v/>
      </c>
      <c r="CG195" s="1372" t="str">
        <f aca="false">IF(ISNUMBER($AX195*BG195),$AX195*BG195,"")</f>
        <v/>
      </c>
      <c r="CH195" s="1438"/>
      <c r="CI195" s="1438"/>
      <c r="CJ195" s="1438"/>
      <c r="CK195" s="1438"/>
      <c r="CU195" s="1411"/>
      <c r="CV195" s="1411"/>
      <c r="CW195" s="1425"/>
      <c r="CX195" s="1425"/>
      <c r="CY195" s="1425"/>
      <c r="CZ195" s="1425"/>
      <c r="DA195" s="1411"/>
      <c r="DB195" s="1411"/>
      <c r="DC195" s="1411"/>
      <c r="DD195" s="1411"/>
      <c r="DE195" s="1411"/>
      <c r="DF195" s="1411"/>
      <c r="DH195" s="1432"/>
      <c r="DI195" s="1432"/>
      <c r="DJ195" s="1437"/>
      <c r="DK195" s="1437"/>
      <c r="DL195" s="1437"/>
      <c r="DM195" s="1437"/>
      <c r="DN195" s="1432"/>
      <c r="DO195" s="1432"/>
      <c r="DP195" s="1432"/>
      <c r="DQ195" s="1432"/>
      <c r="DR195" s="1432"/>
      <c r="DS195" s="1432"/>
      <c r="DT195" s="1316"/>
      <c r="DU195" s="1433"/>
      <c r="DV195" s="1433"/>
      <c r="DW195" s="1433"/>
      <c r="DX195" s="1433"/>
      <c r="DY195" s="1433"/>
      <c r="DZ195" s="1433"/>
      <c r="EA195" s="1433"/>
      <c r="EB195" s="1433"/>
    </row>
    <row r="196" customFormat="false" ht="14.25" hidden="false" customHeight="false" outlineLevel="0" collapsed="false">
      <c r="A196" s="2" t="n">
        <f aca="false">'V_DATOS PAC_SGA'!R191</f>
        <v>0</v>
      </c>
      <c r="B196" s="2" t="n">
        <f aca="false">IF(I196="IV",CONCATENATE('V_DATOS PAC_SGA'!R191,"4")+0,CONCATENATE('V_DATOS PAC_SGA'!R191,"0")+0)</f>
        <v>0</v>
      </c>
      <c r="C196" s="2" t="n">
        <f aca="false">'V_DATOS PAC_SGA'!S191</f>
        <v>0</v>
      </c>
      <c r="D196" s="1409" t="n">
        <f aca="false">'V_DATOS PAC_SGA'!Y191</f>
        <v>0</v>
      </c>
      <c r="E196" s="1410" t="str">
        <f aca="false">IF('V_DATOS PAC_SGA'!AV191="","Regadio",'V_DATOS PAC_SGA'!AV191)</f>
        <v>Regadio</v>
      </c>
      <c r="F196" s="1411" t="n">
        <f aca="false">'V_DATOS PAC_SGA'!BK191</f>
        <v>0</v>
      </c>
      <c r="G196" s="1412" t="n">
        <f aca="false">'V_DATOS PAC_SGA'!AN191</f>
        <v>0</v>
      </c>
      <c r="H196" s="1413" t="str">
        <f aca="false">IF(B196&gt;0,VLOOKUP(B196,'O_MN, PE_UTA_UGM 2024'!E$3:O$419,10),"")</f>
        <v/>
      </c>
      <c r="I196" s="1359" t="n">
        <f aca="false">'V_DATOS PAC_SGA'!BV191</f>
        <v>0</v>
      </c>
      <c r="J196" s="2" t="str">
        <f aca="false">IF(AND(J$4=$G196,J$6=$F196),$D196*J$5,"")</f>
        <v/>
      </c>
      <c r="K196" s="2" t="str">
        <f aca="false">IF(AND(K$4=$G196,K$6=$F196),$D196*K$5,"")</f>
        <v/>
      </c>
      <c r="L196" s="2" t="str">
        <f aca="false">IF(AND(L$4=$G196,L$6=$F196),$D196*L$5,"")</f>
        <v/>
      </c>
      <c r="M196" s="2" t="str">
        <f aca="false">IF(AND(M$4=$G196,M$6=$F196),$D196*M$5,"")</f>
        <v/>
      </c>
      <c r="N196" s="1414" t="n">
        <f aca="false">VLOOKUP(B196,'O_MN, PE_UTA_UGM 2024'!$E$2:$K$419,IF(G196&gt;1,6,7))</f>
        <v>0</v>
      </c>
      <c r="O196" s="1434" t="str">
        <f aca="false">IF($H196=O$4,$D196*$N196,"")</f>
        <v/>
      </c>
      <c r="P196" s="1435" t="str">
        <f aca="false">IF($H196=P$4,$D196*$N196,"")</f>
        <v/>
      </c>
      <c r="Q196" s="1435" t="str">
        <f aca="false">IF($H196=Q$4,$D196*$N196,"")</f>
        <v/>
      </c>
      <c r="R196" s="1435" t="str">
        <f aca="false">IF($H196=R$4,$D196*$N196,"")</f>
        <v/>
      </c>
      <c r="S196" s="1435" t="str">
        <f aca="false">IF($H196=S$4,$D196*$N196,"")</f>
        <v/>
      </c>
      <c r="T196" s="1435" t="str">
        <f aca="false">IF($H196=T$4,$D196*$N196,"")</f>
        <v/>
      </c>
      <c r="U196" s="1436" t="str">
        <f aca="false">IF($H196=U$4,$D196*$N196,"")</f>
        <v/>
      </c>
      <c r="V196" s="1418"/>
      <c r="W196" s="1419"/>
      <c r="X196" s="1419"/>
      <c r="Y196" s="1419"/>
      <c r="Z196" s="1419"/>
      <c r="AA196" s="1419"/>
      <c r="AB196" s="1420"/>
      <c r="AC196" s="1319"/>
      <c r="AD196" s="2" t="str">
        <f aca="false">IF(AND(AD$4=$G196,AD$6=$F196),$B196,"")</f>
        <v/>
      </c>
      <c r="AE196" s="2" t="str">
        <f aca="false">IF(AND(AE$4=$G196,AE$6=$F196),$B196,"")</f>
        <v/>
      </c>
      <c r="AF196" s="2" t="str">
        <f aca="false">IF(AND(AF$4=$G196,AF$6=$F196),$B196,"")</f>
        <v/>
      </c>
      <c r="AG196" s="2" t="str">
        <f aca="false">IF(AND(AG$4=$G196,AG$6=$F196),$B196,"")</f>
        <v/>
      </c>
      <c r="AI196" s="366"/>
      <c r="AL196" s="367"/>
      <c r="AO196" s="367"/>
      <c r="AP196" s="2" t="str">
        <f aca="false">IF(AT196&gt;0,RANK(AT196,AT$7:AT$423),"")</f>
        <v/>
      </c>
      <c r="AQ196" s="2" t="n">
        <f aca="false">'O_MN, PE_UTA_UGM 2024'!C192</f>
        <v>190</v>
      </c>
      <c r="AR196" s="1421" t="n">
        <v>1894</v>
      </c>
      <c r="AS196" s="2" t="str">
        <f aca="false">IF(AY196&lt;&gt;"",AY196,"")</f>
        <v/>
      </c>
      <c r="AT196" s="1422" t="n">
        <f aca="false">IF(ISNUMBER($AR196),SUMIF(B$7:B$505,AR196,D$7:D$505),"")</f>
        <v>0</v>
      </c>
      <c r="AU196" s="1411" t="n">
        <f aca="false">IF(ISNUMBER($AR196),SUMIF(AD$7:AD$503,$AR196,J$7:J$503),"")</f>
        <v>0</v>
      </c>
      <c r="AV196" s="1411" t="n">
        <f aca="false">IF(ISNUMBER($AR196),SUMIF(AF$7:AF$503,$AR196,L$7:L$503),"")</f>
        <v>0</v>
      </c>
      <c r="AW196" s="1423" t="n">
        <f aca="false">IF(ISNUMBER($AR196),SUMIF(AE$7:AE$503,$AR196,K$7:K$503),"")</f>
        <v>0</v>
      </c>
      <c r="AX196" s="1423" t="n">
        <f aca="false">IF(ISNUMBER($AR196),SUMIF(AG$7:AG$503,$AR196,M$7:M$503),"")</f>
        <v>0</v>
      </c>
      <c r="AY196" s="2" t="str">
        <f aca="false">IF($AT196&gt;0,VLOOKUP($AR196,'O_MN, PE_UTA_UGM 2024'!E192:O608,2),"")</f>
        <v/>
      </c>
      <c r="AZ196" s="1424"/>
      <c r="BA196" s="1424"/>
      <c r="BB196" s="1424" t="str">
        <f aca="false">IF($AT196&gt;0,VLOOKUP($AR196,'O_MN, PE_UTA_UGM 2024'!$E$3:$O$419,BB$6),"")</f>
        <v/>
      </c>
      <c r="BC196" s="1424" t="str">
        <f aca="false">IF($AT196&gt;0,VLOOKUP($AR196,'O_MN, PE_UTA_UGM 2024'!$E$3:$O$419,BC$6),"")</f>
        <v/>
      </c>
      <c r="BD196" s="1424" t="str">
        <f aca="false">IF($AT196&gt;0,VLOOKUP($AR196,'O_MN, PE_UTA_UGM 2024'!$E$3:$O$419,BD$6),"")</f>
        <v/>
      </c>
      <c r="BE196" s="1424" t="str">
        <f aca="false">IF($AT196&gt;0,VLOOKUP($AR196,'O_MN, PE_UTA_UGM 2024'!$E$3:$O$419,BE$6),"")</f>
        <v/>
      </c>
      <c r="BF196" s="1424" t="str">
        <f aca="false">IF($AT196&gt;0,VLOOKUP($AR196,'O_MN, PE_UTA_UGM 2024'!$E$3:$O$419,BF$6),"")</f>
        <v/>
      </c>
      <c r="BG196" s="1424" t="str">
        <f aca="false">IF($AT196&gt;0,VLOOKUP($AR196,'O_MN, PE_UTA_UGM 2024'!$E$3:$O$419,BG$6),"")</f>
        <v/>
      </c>
      <c r="BH196" s="872"/>
      <c r="BI196" s="872"/>
      <c r="BJ196" s="872"/>
      <c r="BK196" s="872"/>
      <c r="BM196" s="1411"/>
      <c r="BN196" s="1411"/>
      <c r="BO196" s="1425" t="str">
        <f aca="false">IF(ISNUMBER($AU196*BB196*1),$AU196*BB196*1,"")</f>
        <v/>
      </c>
      <c r="BP196" s="1425" t="str">
        <f aca="false">IF(ISNUMBER($AV196*BC196*1),$AV196*BC196*1,"")</f>
        <v/>
      </c>
      <c r="BQ196" s="1425" t="str">
        <f aca="false">IF(ISNUMBER($AU196*BD196*1),$AU196*BD196*1,"")</f>
        <v/>
      </c>
      <c r="BR196" s="1425" t="str">
        <f aca="false">IF(ISNUMBER($AV196*BE196*1),$AV196*BE196*1,"")</f>
        <v/>
      </c>
      <c r="BS196" s="1411" t="str">
        <f aca="false">IF(ISNUMBER($AU196*BF196),$AU196*BF196,"")</f>
        <v/>
      </c>
      <c r="BT196" s="1411" t="str">
        <f aca="false">IF(ISNUMBER($AV196*BG196),$AV196*BG196,"")</f>
        <v/>
      </c>
      <c r="BU196" s="1411"/>
      <c r="BV196" s="1411"/>
      <c r="BW196" s="1411"/>
      <c r="BX196" s="1411"/>
      <c r="BZ196" s="1372"/>
      <c r="CA196" s="1372"/>
      <c r="CB196" s="1426" t="str">
        <f aca="false">IF(ISNUMBER($AW196*BB196),$AW196*BB196,"")</f>
        <v/>
      </c>
      <c r="CC196" s="1426" t="str">
        <f aca="false">IF(ISNUMBER($AX196*BC196),$AX196*BC196,"")</f>
        <v/>
      </c>
      <c r="CD196" s="1426" t="str">
        <f aca="false">IF(ISNUMBER($AW196*BD196),$AW196*BD196,"")</f>
        <v/>
      </c>
      <c r="CE196" s="1426" t="str">
        <f aca="false">IF(ISNUMBER($AX196*BE196),$AX196*BE196,"")</f>
        <v/>
      </c>
      <c r="CF196" s="1372" t="str">
        <f aca="false">IF(ISNUMBER($AW196*BF196),$AW196*BF196,"")</f>
        <v/>
      </c>
      <c r="CG196" s="1372" t="str">
        <f aca="false">IF(ISNUMBER($AX196*BG196),$AX196*BG196,"")</f>
        <v/>
      </c>
      <c r="CH196" s="1438"/>
      <c r="CI196" s="1438"/>
      <c r="CJ196" s="1438"/>
      <c r="CK196" s="1438"/>
      <c r="CU196" s="1411"/>
      <c r="CV196" s="1411"/>
      <c r="CW196" s="1425"/>
      <c r="CX196" s="1425"/>
      <c r="CY196" s="1425"/>
      <c r="CZ196" s="1425"/>
      <c r="DA196" s="1411"/>
      <c r="DB196" s="1411"/>
      <c r="DC196" s="1411"/>
      <c r="DD196" s="1411"/>
      <c r="DE196" s="1411"/>
      <c r="DF196" s="1411"/>
      <c r="DH196" s="1432"/>
      <c r="DI196" s="1432"/>
      <c r="DJ196" s="1437"/>
      <c r="DK196" s="1437"/>
      <c r="DL196" s="1437"/>
      <c r="DM196" s="1437"/>
      <c r="DN196" s="1432"/>
      <c r="DO196" s="1432"/>
      <c r="DP196" s="1432"/>
      <c r="DQ196" s="1432"/>
      <c r="DR196" s="1432"/>
      <c r="DS196" s="1432"/>
      <c r="DT196" s="1316"/>
      <c r="DU196" s="1433"/>
      <c r="DV196" s="1433"/>
      <c r="DW196" s="1433"/>
      <c r="DX196" s="1433"/>
      <c r="DY196" s="1433"/>
      <c r="DZ196" s="1433"/>
      <c r="EA196" s="1433"/>
      <c r="EB196" s="1433"/>
    </row>
    <row r="197" customFormat="false" ht="14.25" hidden="false" customHeight="false" outlineLevel="0" collapsed="false">
      <c r="A197" s="2" t="n">
        <f aca="false">'V_DATOS PAC_SGA'!R192</f>
        <v>0</v>
      </c>
      <c r="B197" s="2" t="n">
        <f aca="false">IF(I197="IV",CONCATENATE('V_DATOS PAC_SGA'!R192,"4")+0,CONCATENATE('V_DATOS PAC_SGA'!R192,"0")+0)</f>
        <v>0</v>
      </c>
      <c r="C197" s="2" t="n">
        <f aca="false">'V_DATOS PAC_SGA'!S192</f>
        <v>0</v>
      </c>
      <c r="D197" s="1409" t="n">
        <f aca="false">'V_DATOS PAC_SGA'!Y192</f>
        <v>0</v>
      </c>
      <c r="E197" s="1410" t="str">
        <f aca="false">IF('V_DATOS PAC_SGA'!AV192="","Regadio",'V_DATOS PAC_SGA'!AV192)</f>
        <v>Regadio</v>
      </c>
      <c r="F197" s="1411" t="n">
        <f aca="false">'V_DATOS PAC_SGA'!BK192</f>
        <v>0</v>
      </c>
      <c r="G197" s="1412" t="n">
        <f aca="false">'V_DATOS PAC_SGA'!AN192</f>
        <v>0</v>
      </c>
      <c r="H197" s="1413" t="str">
        <f aca="false">IF(B197&gt;0,VLOOKUP(B197,'O_MN, PE_UTA_UGM 2024'!E$3:O$419,10),"")</f>
        <v/>
      </c>
      <c r="I197" s="1359" t="n">
        <f aca="false">'V_DATOS PAC_SGA'!BV192</f>
        <v>0</v>
      </c>
      <c r="J197" s="2" t="str">
        <f aca="false">IF(AND(J$4=$G197,J$6=$F197),$D197*J$5,"")</f>
        <v/>
      </c>
      <c r="K197" s="2" t="str">
        <f aca="false">IF(AND(K$4=$G197,K$6=$F197),$D197*K$5,"")</f>
        <v/>
      </c>
      <c r="L197" s="2" t="str">
        <f aca="false">IF(AND(L$4=$G197,L$6=$F197),$D197*L$5,"")</f>
        <v/>
      </c>
      <c r="M197" s="2" t="str">
        <f aca="false">IF(AND(M$4=$G197,M$6=$F197),$D197*M$5,"")</f>
        <v/>
      </c>
      <c r="N197" s="1414" t="n">
        <f aca="false">VLOOKUP(B197,'O_MN, PE_UTA_UGM 2024'!$E$2:$K$419,IF(G197&gt;1,6,7))</f>
        <v>0</v>
      </c>
      <c r="O197" s="1434" t="str">
        <f aca="false">IF($H197=O$4,$D197*$N197,"")</f>
        <v/>
      </c>
      <c r="P197" s="1435" t="str">
        <f aca="false">IF($H197=P$4,$D197*$N197,"")</f>
        <v/>
      </c>
      <c r="Q197" s="1435" t="str">
        <f aca="false">IF($H197=Q$4,$D197*$N197,"")</f>
        <v/>
      </c>
      <c r="R197" s="1435" t="str">
        <f aca="false">IF($H197=R$4,$D197*$N197,"")</f>
        <v/>
      </c>
      <c r="S197" s="1435" t="str">
        <f aca="false">IF($H197=S$4,$D197*$N197,"")</f>
        <v/>
      </c>
      <c r="T197" s="1435" t="str">
        <f aca="false">IF($H197=T$4,$D197*$N197,"")</f>
        <v/>
      </c>
      <c r="U197" s="1436" t="str">
        <f aca="false">IF($H197=U$4,$D197*$N197,"")</f>
        <v/>
      </c>
      <c r="V197" s="1418"/>
      <c r="W197" s="1419"/>
      <c r="X197" s="1419"/>
      <c r="Y197" s="1419"/>
      <c r="Z197" s="1419"/>
      <c r="AA197" s="1419"/>
      <c r="AB197" s="1420"/>
      <c r="AC197" s="1319"/>
      <c r="AD197" s="2" t="str">
        <f aca="false">IF(AND(AD$4=$G197,AD$6=$F197),$B197,"")</f>
        <v/>
      </c>
      <c r="AE197" s="2" t="str">
        <f aca="false">IF(AND(AE$4=$G197,AE$6=$F197),$B197,"")</f>
        <v/>
      </c>
      <c r="AF197" s="2" t="str">
        <f aca="false">IF(AND(AF$4=$G197,AF$6=$F197),$B197,"")</f>
        <v/>
      </c>
      <c r="AG197" s="2" t="str">
        <f aca="false">IF(AND(AG$4=$G197,AG$6=$F197),$B197,"")</f>
        <v/>
      </c>
      <c r="AI197" s="366"/>
      <c r="AL197" s="367"/>
      <c r="AO197" s="367"/>
      <c r="AP197" s="2" t="str">
        <f aca="false">IF(AT197&gt;0,RANK(AT197,AT$7:AT$423),"")</f>
        <v/>
      </c>
      <c r="AQ197" s="2" t="n">
        <f aca="false">'O_MN, PE_UTA_UGM 2024'!C193</f>
        <v>191</v>
      </c>
      <c r="AR197" s="1421" t="n">
        <v>1899</v>
      </c>
      <c r="AS197" s="2" t="str">
        <f aca="false">IF(AY197&lt;&gt;"",AY197,"")</f>
        <v/>
      </c>
      <c r="AT197" s="1422" t="n">
        <f aca="false">IF(ISNUMBER($AR197),SUMIF(B$7:B$505,AR197,D$7:D$505),"")</f>
        <v>0</v>
      </c>
      <c r="AU197" s="1411" t="n">
        <f aca="false">IF(ISNUMBER($AR197),SUMIF(AD$7:AD$503,$AR197,J$7:J$503),"")</f>
        <v>0</v>
      </c>
      <c r="AV197" s="1411" t="n">
        <f aca="false">IF(ISNUMBER($AR197),SUMIF(AF$7:AF$503,$AR197,L$7:L$503),"")</f>
        <v>0</v>
      </c>
      <c r="AW197" s="1423" t="n">
        <f aca="false">IF(ISNUMBER($AR197),SUMIF(AE$7:AE$503,$AR197,K$7:K$503),"")</f>
        <v>0</v>
      </c>
      <c r="AX197" s="1423" t="n">
        <f aca="false">IF(ISNUMBER($AR197),SUMIF(AG$7:AG$503,$AR197,M$7:M$503),"")</f>
        <v>0</v>
      </c>
      <c r="AY197" s="2" t="str">
        <f aca="false">IF($AT197&gt;0,VLOOKUP($AR197,'O_MN, PE_UTA_UGM 2024'!E193:O609,2),"")</f>
        <v/>
      </c>
      <c r="AZ197" s="1424"/>
      <c r="BA197" s="1424"/>
      <c r="BB197" s="1424" t="str">
        <f aca="false">IF($AT197&gt;0,VLOOKUP($AR197,'O_MN, PE_UTA_UGM 2024'!$E$3:$O$419,BB$6),"")</f>
        <v/>
      </c>
      <c r="BC197" s="1424" t="str">
        <f aca="false">IF($AT197&gt;0,VLOOKUP($AR197,'O_MN, PE_UTA_UGM 2024'!$E$3:$O$419,BC$6),"")</f>
        <v/>
      </c>
      <c r="BD197" s="1424" t="str">
        <f aca="false">IF($AT197&gt;0,VLOOKUP($AR197,'O_MN, PE_UTA_UGM 2024'!$E$3:$O$419,BD$6),"")</f>
        <v/>
      </c>
      <c r="BE197" s="1424" t="str">
        <f aca="false">IF($AT197&gt;0,VLOOKUP($AR197,'O_MN, PE_UTA_UGM 2024'!$E$3:$O$419,BE$6),"")</f>
        <v/>
      </c>
      <c r="BF197" s="1424" t="str">
        <f aca="false">IF($AT197&gt;0,VLOOKUP($AR197,'O_MN, PE_UTA_UGM 2024'!$E$3:$O$419,BF$6),"")</f>
        <v/>
      </c>
      <c r="BG197" s="1424" t="str">
        <f aca="false">IF($AT197&gt;0,VLOOKUP($AR197,'O_MN, PE_UTA_UGM 2024'!$E$3:$O$419,BG$6),"")</f>
        <v/>
      </c>
      <c r="BH197" s="872"/>
      <c r="BI197" s="872"/>
      <c r="BJ197" s="872"/>
      <c r="BK197" s="872"/>
      <c r="BM197" s="1411"/>
      <c r="BN197" s="1411"/>
      <c r="BO197" s="1425" t="str">
        <f aca="false">IF(ISNUMBER($AU197*BB197*1),$AU197*BB197*1,"")</f>
        <v/>
      </c>
      <c r="BP197" s="1425" t="str">
        <f aca="false">IF(ISNUMBER($AV197*BC197*1),$AV197*BC197*1,"")</f>
        <v/>
      </c>
      <c r="BQ197" s="1425" t="str">
        <f aca="false">IF(ISNUMBER($AU197*BD197*1),$AU197*BD197*1,"")</f>
        <v/>
      </c>
      <c r="BR197" s="1425" t="str">
        <f aca="false">IF(ISNUMBER($AV197*BE197*1),$AV197*BE197*1,"")</f>
        <v/>
      </c>
      <c r="BS197" s="1411" t="str">
        <f aca="false">IF(ISNUMBER($AU197*BF197),$AU197*BF197,"")</f>
        <v/>
      </c>
      <c r="BT197" s="1411" t="str">
        <f aca="false">IF(ISNUMBER($AV197*BG197),$AV197*BG197,"")</f>
        <v/>
      </c>
      <c r="BU197" s="1411"/>
      <c r="BV197" s="1411"/>
      <c r="BW197" s="1411"/>
      <c r="BX197" s="1411"/>
      <c r="BZ197" s="1372"/>
      <c r="CA197" s="1372"/>
      <c r="CB197" s="1426" t="str">
        <f aca="false">IF(ISNUMBER($AW197*BB197),$AW197*BB197,"")</f>
        <v/>
      </c>
      <c r="CC197" s="1426" t="str">
        <f aca="false">IF(ISNUMBER($AX197*BC197),$AX197*BC197,"")</f>
        <v/>
      </c>
      <c r="CD197" s="1426" t="str">
        <f aca="false">IF(ISNUMBER($AW197*BD197),$AW197*BD197,"")</f>
        <v/>
      </c>
      <c r="CE197" s="1426" t="str">
        <f aca="false">IF(ISNUMBER($AX197*BE197),$AX197*BE197,"")</f>
        <v/>
      </c>
      <c r="CF197" s="1372" t="str">
        <f aca="false">IF(ISNUMBER($AW197*BF197),$AW197*BF197,"")</f>
        <v/>
      </c>
      <c r="CG197" s="1372" t="str">
        <f aca="false">IF(ISNUMBER($AX197*BG197),$AX197*BG197,"")</f>
        <v/>
      </c>
      <c r="CH197" s="1438"/>
      <c r="CI197" s="1438"/>
      <c r="CJ197" s="1438"/>
      <c r="CK197" s="1438"/>
      <c r="CU197" s="1411"/>
      <c r="CV197" s="1411"/>
      <c r="CW197" s="1425"/>
      <c r="CX197" s="1425"/>
      <c r="CY197" s="1425"/>
      <c r="CZ197" s="1425"/>
      <c r="DA197" s="1411"/>
      <c r="DB197" s="1411"/>
      <c r="DC197" s="1411"/>
      <c r="DD197" s="1411"/>
      <c r="DE197" s="1411"/>
      <c r="DF197" s="1411"/>
      <c r="DH197" s="1432"/>
      <c r="DI197" s="1432"/>
      <c r="DJ197" s="1437"/>
      <c r="DK197" s="1437"/>
      <c r="DL197" s="1437"/>
      <c r="DM197" s="1437"/>
      <c r="DN197" s="1432"/>
      <c r="DO197" s="1432"/>
      <c r="DP197" s="1432"/>
      <c r="DQ197" s="1432"/>
      <c r="DR197" s="1432"/>
      <c r="DS197" s="1432"/>
      <c r="DT197" s="1316"/>
      <c r="DU197" s="1433"/>
      <c r="DV197" s="1433"/>
      <c r="DW197" s="1433"/>
      <c r="DX197" s="1433"/>
      <c r="DY197" s="1433"/>
      <c r="DZ197" s="1433"/>
      <c r="EA197" s="1433"/>
      <c r="EB197" s="1433"/>
    </row>
    <row r="198" customFormat="false" ht="14.25" hidden="false" customHeight="false" outlineLevel="0" collapsed="false">
      <c r="A198" s="2" t="n">
        <f aca="false">'V_DATOS PAC_SGA'!R193</f>
        <v>0</v>
      </c>
      <c r="B198" s="2" t="n">
        <f aca="false">IF(I198="IV",CONCATENATE('V_DATOS PAC_SGA'!R193,"4")+0,CONCATENATE('V_DATOS PAC_SGA'!R193,"0")+0)</f>
        <v>0</v>
      </c>
      <c r="C198" s="2" t="n">
        <f aca="false">'V_DATOS PAC_SGA'!S193</f>
        <v>0</v>
      </c>
      <c r="D198" s="1409" t="n">
        <f aca="false">'V_DATOS PAC_SGA'!Y193</f>
        <v>0</v>
      </c>
      <c r="E198" s="1410" t="str">
        <f aca="false">IF('V_DATOS PAC_SGA'!AV193="","Regadio",'V_DATOS PAC_SGA'!AV193)</f>
        <v>Regadio</v>
      </c>
      <c r="F198" s="1411" t="n">
        <f aca="false">'V_DATOS PAC_SGA'!BK193</f>
        <v>0</v>
      </c>
      <c r="G198" s="1412" t="n">
        <f aca="false">'V_DATOS PAC_SGA'!AN193</f>
        <v>0</v>
      </c>
      <c r="H198" s="1413" t="str">
        <f aca="false">IF(B198&gt;0,VLOOKUP(B198,'O_MN, PE_UTA_UGM 2024'!E$3:O$419,10),"")</f>
        <v/>
      </c>
      <c r="I198" s="1359" t="n">
        <f aca="false">'V_DATOS PAC_SGA'!BV193</f>
        <v>0</v>
      </c>
      <c r="J198" s="2" t="str">
        <f aca="false">IF(AND(J$4=$G198,J$6=$F198),$D198*J$5,"")</f>
        <v/>
      </c>
      <c r="K198" s="2" t="str">
        <f aca="false">IF(AND(K$4=$G198,K$6=$F198),$D198*K$5,"")</f>
        <v/>
      </c>
      <c r="L198" s="2" t="str">
        <f aca="false">IF(AND(L$4=$G198,L$6=$F198),$D198*L$5,"")</f>
        <v/>
      </c>
      <c r="M198" s="2" t="str">
        <f aca="false">IF(AND(M$4=$G198,M$6=$F198),$D198*M$5,"")</f>
        <v/>
      </c>
      <c r="N198" s="1414" t="n">
        <f aca="false">VLOOKUP(B198,'O_MN, PE_UTA_UGM 2024'!$E$2:$K$419,IF(G198&gt;1,6,7))</f>
        <v>0</v>
      </c>
      <c r="O198" s="1434" t="str">
        <f aca="false">IF($H198=O$4,$D198*$N198,"")</f>
        <v/>
      </c>
      <c r="P198" s="1435" t="str">
        <f aca="false">IF($H198=P$4,$D198*$N198,"")</f>
        <v/>
      </c>
      <c r="Q198" s="1435" t="str">
        <f aca="false">IF($H198=Q$4,$D198*$N198,"")</f>
        <v/>
      </c>
      <c r="R198" s="1435" t="str">
        <f aca="false">IF($H198=R$4,$D198*$N198,"")</f>
        <v/>
      </c>
      <c r="S198" s="1435" t="str">
        <f aca="false">IF($H198=S$4,$D198*$N198,"")</f>
        <v/>
      </c>
      <c r="T198" s="1435" t="str">
        <f aca="false">IF($H198=T$4,$D198*$N198,"")</f>
        <v/>
      </c>
      <c r="U198" s="1436" t="str">
        <f aca="false">IF($H198=U$4,$D198*$N198,"")</f>
        <v/>
      </c>
      <c r="V198" s="1418"/>
      <c r="W198" s="1419"/>
      <c r="X198" s="1419"/>
      <c r="Y198" s="1419"/>
      <c r="Z198" s="1419"/>
      <c r="AA198" s="1419"/>
      <c r="AB198" s="1420"/>
      <c r="AC198" s="1319"/>
      <c r="AD198" s="2" t="str">
        <f aca="false">IF(AND(AD$4=$G198,AD$6=$F198),$B198,"")</f>
        <v/>
      </c>
      <c r="AE198" s="2" t="str">
        <f aca="false">IF(AND(AE$4=$G198,AE$6=$F198),$B198,"")</f>
        <v/>
      </c>
      <c r="AF198" s="2" t="str">
        <f aca="false">IF(AND(AF$4=$G198,AF$6=$F198),$B198,"")</f>
        <v/>
      </c>
      <c r="AG198" s="2" t="str">
        <f aca="false">IF(AND(AG$4=$G198,AG$6=$F198),$B198,"")</f>
        <v/>
      </c>
      <c r="AI198" s="366"/>
      <c r="AL198" s="367"/>
      <c r="AO198" s="367"/>
      <c r="AP198" s="2" t="str">
        <f aca="false">IF(AT198&gt;0,RANK(AT198,AT$7:AT$423),"")</f>
        <v/>
      </c>
      <c r="AQ198" s="2" t="n">
        <f aca="false">'O_MN, PE_UTA_UGM 2024'!C194</f>
        <v>191</v>
      </c>
      <c r="AR198" s="1421" t="n">
        <v>1900</v>
      </c>
      <c r="AS198" s="2" t="str">
        <f aca="false">IF(AY198&lt;&gt;"",AY198,"")</f>
        <v/>
      </c>
      <c r="AT198" s="1422" t="n">
        <f aca="false">IF(ISNUMBER($AR198),SUMIF(B$7:B$505,AR198,D$7:D$505),"")</f>
        <v>0</v>
      </c>
      <c r="AU198" s="1411" t="n">
        <f aca="false">IF(ISNUMBER($AR198),SUMIF(AD$7:AD$503,$AR198,J$7:J$503),"")</f>
        <v>0</v>
      </c>
      <c r="AV198" s="1411" t="n">
        <f aca="false">IF(ISNUMBER($AR198),SUMIF(AF$7:AF$503,$AR198,L$7:L$503),"")</f>
        <v>0</v>
      </c>
      <c r="AW198" s="1423" t="n">
        <f aca="false">IF(ISNUMBER($AR198),SUMIF(AE$7:AE$503,$AR198,K$7:K$503),"")</f>
        <v>0</v>
      </c>
      <c r="AX198" s="1423" t="n">
        <f aca="false">IF(ISNUMBER($AR198),SUMIF(AG$7:AG$503,$AR198,M$7:M$503),"")</f>
        <v>0</v>
      </c>
      <c r="AY198" s="2" t="str">
        <f aca="false">IF($AT198&gt;0,VLOOKUP($AR198,'O_MN, PE_UTA_UGM 2024'!E194:O610,2),"")</f>
        <v/>
      </c>
      <c r="AZ198" s="1424"/>
      <c r="BA198" s="1424"/>
      <c r="BB198" s="1424" t="str">
        <f aca="false">IF($AT198&gt;0,VLOOKUP($AR198,'O_MN, PE_UTA_UGM 2024'!$E$3:$O$419,BB$6),"")</f>
        <v/>
      </c>
      <c r="BC198" s="1424" t="str">
        <f aca="false">IF($AT198&gt;0,VLOOKUP($AR198,'O_MN, PE_UTA_UGM 2024'!$E$3:$O$419,BC$6),"")</f>
        <v/>
      </c>
      <c r="BD198" s="1424" t="str">
        <f aca="false">IF($AT198&gt;0,VLOOKUP($AR198,'O_MN, PE_UTA_UGM 2024'!$E$3:$O$419,BD$6),"")</f>
        <v/>
      </c>
      <c r="BE198" s="1424" t="str">
        <f aca="false">IF($AT198&gt;0,VLOOKUP($AR198,'O_MN, PE_UTA_UGM 2024'!$E$3:$O$419,BE$6),"")</f>
        <v/>
      </c>
      <c r="BF198" s="1424" t="str">
        <f aca="false">IF($AT198&gt;0,VLOOKUP($AR198,'O_MN, PE_UTA_UGM 2024'!$E$3:$O$419,BF$6),"")</f>
        <v/>
      </c>
      <c r="BG198" s="1424" t="str">
        <f aca="false">IF($AT198&gt;0,VLOOKUP($AR198,'O_MN, PE_UTA_UGM 2024'!$E$3:$O$419,BG$6),"")</f>
        <v/>
      </c>
      <c r="BH198" s="872"/>
      <c r="BI198" s="872"/>
      <c r="BJ198" s="872"/>
      <c r="BK198" s="872"/>
      <c r="BM198" s="1411"/>
      <c r="BN198" s="1411"/>
      <c r="BO198" s="1425" t="str">
        <f aca="false">IF(ISNUMBER($AU198*BB198*1),$AU198*BB198*1,"")</f>
        <v/>
      </c>
      <c r="BP198" s="1425" t="str">
        <f aca="false">IF(ISNUMBER($AV198*BC198*1),$AV198*BC198*1,"")</f>
        <v/>
      </c>
      <c r="BQ198" s="1425" t="str">
        <f aca="false">IF(ISNUMBER($AU198*BD198*1),$AU198*BD198*1,"")</f>
        <v/>
      </c>
      <c r="BR198" s="1425" t="str">
        <f aca="false">IF(ISNUMBER($AV198*BE198*1),$AV198*BE198*1,"")</f>
        <v/>
      </c>
      <c r="BS198" s="1411" t="str">
        <f aca="false">IF(ISNUMBER($AU198*BF198),$AU198*BF198,"")</f>
        <v/>
      </c>
      <c r="BT198" s="1411" t="str">
        <f aca="false">IF(ISNUMBER($AV198*BG198),$AV198*BG198,"")</f>
        <v/>
      </c>
      <c r="BU198" s="1411"/>
      <c r="BV198" s="1411"/>
      <c r="BW198" s="1411"/>
      <c r="BX198" s="1411"/>
      <c r="BZ198" s="1372"/>
      <c r="CA198" s="1372"/>
      <c r="CB198" s="1426" t="str">
        <f aca="false">IF(ISNUMBER($AW198*BB198),$AW198*BB198,"")</f>
        <v/>
      </c>
      <c r="CC198" s="1426" t="str">
        <f aca="false">IF(ISNUMBER($AX198*BC198),$AX198*BC198,"")</f>
        <v/>
      </c>
      <c r="CD198" s="1426" t="str">
        <f aca="false">IF(ISNUMBER($AW198*BD198),$AW198*BD198,"")</f>
        <v/>
      </c>
      <c r="CE198" s="1426" t="str">
        <f aca="false">IF(ISNUMBER($AX198*BE198),$AX198*BE198,"")</f>
        <v/>
      </c>
      <c r="CF198" s="1372" t="str">
        <f aca="false">IF(ISNUMBER($AW198*BF198),$AW198*BF198,"")</f>
        <v/>
      </c>
      <c r="CG198" s="1372" t="str">
        <f aca="false">IF(ISNUMBER($AX198*BG198),$AX198*BG198,"")</f>
        <v/>
      </c>
      <c r="CH198" s="1438"/>
      <c r="CI198" s="1438"/>
      <c r="CJ198" s="1438"/>
      <c r="CK198" s="1438"/>
      <c r="CU198" s="1411"/>
      <c r="CV198" s="1411"/>
      <c r="CW198" s="1425"/>
      <c r="CX198" s="1425"/>
      <c r="CY198" s="1425"/>
      <c r="CZ198" s="1425"/>
      <c r="DA198" s="1411"/>
      <c r="DB198" s="1411"/>
      <c r="DC198" s="1411"/>
      <c r="DD198" s="1411"/>
      <c r="DE198" s="1411"/>
      <c r="DF198" s="1411"/>
      <c r="DH198" s="1432"/>
      <c r="DI198" s="1432"/>
      <c r="DJ198" s="1437"/>
      <c r="DK198" s="1437"/>
      <c r="DL198" s="1437"/>
      <c r="DM198" s="1437"/>
      <c r="DN198" s="1432"/>
      <c r="DO198" s="1432"/>
      <c r="DP198" s="1432"/>
      <c r="DQ198" s="1432"/>
      <c r="DR198" s="1432"/>
      <c r="DS198" s="1432"/>
      <c r="DT198" s="1316"/>
      <c r="DU198" s="1433"/>
      <c r="DV198" s="1433"/>
      <c r="DW198" s="1433"/>
      <c r="DX198" s="1433"/>
      <c r="DY198" s="1433"/>
      <c r="DZ198" s="1433"/>
      <c r="EA198" s="1433"/>
      <c r="EB198" s="1433"/>
    </row>
    <row r="199" customFormat="false" ht="14.25" hidden="false" customHeight="false" outlineLevel="0" collapsed="false">
      <c r="A199" s="2" t="n">
        <f aca="false">'V_DATOS PAC_SGA'!R194</f>
        <v>0</v>
      </c>
      <c r="B199" s="2" t="n">
        <f aca="false">IF(I199="IV",CONCATENATE('V_DATOS PAC_SGA'!R194,"4")+0,CONCATENATE('V_DATOS PAC_SGA'!R194,"0")+0)</f>
        <v>0</v>
      </c>
      <c r="C199" s="2" t="n">
        <f aca="false">'V_DATOS PAC_SGA'!S194</f>
        <v>0</v>
      </c>
      <c r="D199" s="1409" t="n">
        <f aca="false">'V_DATOS PAC_SGA'!Y194</f>
        <v>0</v>
      </c>
      <c r="E199" s="1410" t="str">
        <f aca="false">IF('V_DATOS PAC_SGA'!AV194="","Regadio",'V_DATOS PAC_SGA'!AV194)</f>
        <v>Regadio</v>
      </c>
      <c r="F199" s="1411" t="n">
        <f aca="false">'V_DATOS PAC_SGA'!BK194</f>
        <v>0</v>
      </c>
      <c r="G199" s="1412" t="n">
        <f aca="false">'V_DATOS PAC_SGA'!AN194</f>
        <v>0</v>
      </c>
      <c r="H199" s="1413" t="str">
        <f aca="false">IF(B199&gt;0,VLOOKUP(B199,'O_MN, PE_UTA_UGM 2024'!E$3:O$419,10),"")</f>
        <v/>
      </c>
      <c r="I199" s="1359" t="n">
        <f aca="false">'V_DATOS PAC_SGA'!BV194</f>
        <v>0</v>
      </c>
      <c r="J199" s="2" t="str">
        <f aca="false">IF(AND(J$4=$G199,J$6=$F199),$D199*J$5,"")</f>
        <v/>
      </c>
      <c r="K199" s="2" t="str">
        <f aca="false">IF(AND(K$4=$G199,K$6=$F199),$D199*K$5,"")</f>
        <v/>
      </c>
      <c r="L199" s="2" t="str">
        <f aca="false">IF(AND(L$4=$G199,L$6=$F199),$D199*L$5,"")</f>
        <v/>
      </c>
      <c r="M199" s="2" t="str">
        <f aca="false">IF(AND(M$4=$G199,M$6=$F199),$D199*M$5,"")</f>
        <v/>
      </c>
      <c r="N199" s="1414" t="n">
        <f aca="false">VLOOKUP(B199,'O_MN, PE_UTA_UGM 2024'!$E$2:$K$419,IF(G199&gt;1,6,7))</f>
        <v>0</v>
      </c>
      <c r="O199" s="1434" t="str">
        <f aca="false">IF($H199=O$4,$D199*$N199,"")</f>
        <v/>
      </c>
      <c r="P199" s="1435" t="str">
        <f aca="false">IF($H199=P$4,$D199*$N199,"")</f>
        <v/>
      </c>
      <c r="Q199" s="1435" t="str">
        <f aca="false">IF($H199=Q$4,$D199*$N199,"")</f>
        <v/>
      </c>
      <c r="R199" s="1435" t="str">
        <f aca="false">IF($H199=R$4,$D199*$N199,"")</f>
        <v/>
      </c>
      <c r="S199" s="1435" t="str">
        <f aca="false">IF($H199=S$4,$D199*$N199,"")</f>
        <v/>
      </c>
      <c r="T199" s="1435" t="str">
        <f aca="false">IF($H199=T$4,$D199*$N199,"")</f>
        <v/>
      </c>
      <c r="U199" s="1436" t="str">
        <f aca="false">IF($H199=U$4,$D199*$N199,"")</f>
        <v/>
      </c>
      <c r="V199" s="1418"/>
      <c r="W199" s="1419"/>
      <c r="X199" s="1419"/>
      <c r="Y199" s="1419"/>
      <c r="Z199" s="1419"/>
      <c r="AA199" s="1419"/>
      <c r="AB199" s="1420"/>
      <c r="AC199" s="1319"/>
      <c r="AD199" s="2" t="str">
        <f aca="false">IF(AND(AD$4=$G199,AD$6=$F199),$B199,"")</f>
        <v/>
      </c>
      <c r="AE199" s="2" t="str">
        <f aca="false">IF(AND(AE$4=$G199,AE$6=$F199),$B199,"")</f>
        <v/>
      </c>
      <c r="AF199" s="2" t="str">
        <f aca="false">IF(AND(AF$4=$G199,AF$6=$F199),$B199,"")</f>
        <v/>
      </c>
      <c r="AG199" s="2" t="str">
        <f aca="false">IF(AND(AG$4=$G199,AG$6=$F199),$B199,"")</f>
        <v/>
      </c>
      <c r="AI199" s="366"/>
      <c r="AL199" s="367"/>
      <c r="AO199" s="367"/>
      <c r="AP199" s="2" t="str">
        <f aca="false">IF(AT199&gt;0,RANK(AT199,AT$7:AT$423),"")</f>
        <v/>
      </c>
      <c r="AQ199" s="2" t="n">
        <f aca="false">'O_MN, PE_UTA_UGM 2024'!C195</f>
        <v>191</v>
      </c>
      <c r="AR199" s="1421" t="n">
        <v>1904</v>
      </c>
      <c r="AS199" s="2" t="str">
        <f aca="false">IF(AY199&lt;&gt;"",AY199,"")</f>
        <v/>
      </c>
      <c r="AT199" s="1422" t="n">
        <f aca="false">IF(ISNUMBER($AR199),SUMIF(B$7:B$505,AR199,D$7:D$505),"")</f>
        <v>0</v>
      </c>
      <c r="AU199" s="1411" t="n">
        <f aca="false">IF(ISNUMBER($AR199),SUMIF(AD$7:AD$503,$AR199,J$7:J$503),"")</f>
        <v>0</v>
      </c>
      <c r="AV199" s="1411" t="n">
        <f aca="false">IF(ISNUMBER($AR199),SUMIF(AF$7:AF$503,$AR199,L$7:L$503),"")</f>
        <v>0</v>
      </c>
      <c r="AW199" s="1423" t="n">
        <f aca="false">IF(ISNUMBER($AR199),SUMIF(AE$7:AE$503,$AR199,K$7:K$503),"")</f>
        <v>0</v>
      </c>
      <c r="AX199" s="1423" t="n">
        <f aca="false">IF(ISNUMBER($AR199),SUMIF(AG$7:AG$503,$AR199,M$7:M$503),"")</f>
        <v>0</v>
      </c>
      <c r="AY199" s="2" t="str">
        <f aca="false">IF($AT199&gt;0,VLOOKUP($AR199,'O_MN, PE_UTA_UGM 2024'!E195:O611,2),"")</f>
        <v/>
      </c>
      <c r="AZ199" s="1424"/>
      <c r="BA199" s="1424"/>
      <c r="BB199" s="1424" t="str">
        <f aca="false">IF($AT199&gt;0,VLOOKUP($AR199,'O_MN, PE_UTA_UGM 2024'!$E$3:$O$419,BB$6),"")</f>
        <v/>
      </c>
      <c r="BC199" s="1424" t="str">
        <f aca="false">IF($AT199&gt;0,VLOOKUP($AR199,'O_MN, PE_UTA_UGM 2024'!$E$3:$O$419,BC$6),"")</f>
        <v/>
      </c>
      <c r="BD199" s="1424" t="str">
        <f aca="false">IF($AT199&gt;0,VLOOKUP($AR199,'O_MN, PE_UTA_UGM 2024'!$E$3:$O$419,BD$6),"")</f>
        <v/>
      </c>
      <c r="BE199" s="1424" t="str">
        <f aca="false">IF($AT199&gt;0,VLOOKUP($AR199,'O_MN, PE_UTA_UGM 2024'!$E$3:$O$419,BE$6),"")</f>
        <v/>
      </c>
      <c r="BF199" s="1424" t="str">
        <f aca="false">IF($AT199&gt;0,VLOOKUP($AR199,'O_MN, PE_UTA_UGM 2024'!$E$3:$O$419,BF$6),"")</f>
        <v/>
      </c>
      <c r="BG199" s="1424" t="str">
        <f aca="false">IF($AT199&gt;0,VLOOKUP($AR199,'O_MN, PE_UTA_UGM 2024'!$E$3:$O$419,BG$6),"")</f>
        <v/>
      </c>
      <c r="BH199" s="872"/>
      <c r="BI199" s="872"/>
      <c r="BJ199" s="872"/>
      <c r="BK199" s="872"/>
      <c r="BM199" s="1411"/>
      <c r="BN199" s="1411"/>
      <c r="BO199" s="1425" t="str">
        <f aca="false">IF(ISNUMBER($AU199*BB199*1),$AU199*BB199*1,"")</f>
        <v/>
      </c>
      <c r="BP199" s="1425" t="str">
        <f aca="false">IF(ISNUMBER($AV199*BC199*1),$AV199*BC199*1,"")</f>
        <v/>
      </c>
      <c r="BQ199" s="1425" t="str">
        <f aca="false">IF(ISNUMBER($AU199*BD199*1),$AU199*BD199*1,"")</f>
        <v/>
      </c>
      <c r="BR199" s="1425" t="str">
        <f aca="false">IF(ISNUMBER($AV199*BE199*1),$AV199*BE199*1,"")</f>
        <v/>
      </c>
      <c r="BS199" s="1411" t="str">
        <f aca="false">IF(ISNUMBER($AU199*BF199),$AU199*BF199,"")</f>
        <v/>
      </c>
      <c r="BT199" s="1411" t="str">
        <f aca="false">IF(ISNUMBER($AV199*BG199),$AV199*BG199,"")</f>
        <v/>
      </c>
      <c r="BU199" s="1411"/>
      <c r="BV199" s="1411"/>
      <c r="BW199" s="1411"/>
      <c r="BX199" s="1411"/>
      <c r="BZ199" s="1372"/>
      <c r="CA199" s="1372"/>
      <c r="CB199" s="1426" t="str">
        <f aca="false">IF(ISNUMBER($AW199*BB199),$AW199*BB199,"")</f>
        <v/>
      </c>
      <c r="CC199" s="1426" t="str">
        <f aca="false">IF(ISNUMBER($AX199*BC199),$AX199*BC199,"")</f>
        <v/>
      </c>
      <c r="CD199" s="1426" t="str">
        <f aca="false">IF(ISNUMBER($AW199*BD199),$AW199*BD199,"")</f>
        <v/>
      </c>
      <c r="CE199" s="1426" t="str">
        <f aca="false">IF(ISNUMBER($AX199*BE199),$AX199*BE199,"")</f>
        <v/>
      </c>
      <c r="CF199" s="1372" t="str">
        <f aca="false">IF(ISNUMBER($AW199*BF199),$AW199*BF199,"")</f>
        <v/>
      </c>
      <c r="CG199" s="1372" t="str">
        <f aca="false">IF(ISNUMBER($AX199*BG199),$AX199*BG199,"")</f>
        <v/>
      </c>
      <c r="CH199" s="1438"/>
      <c r="CI199" s="1438"/>
      <c r="CJ199" s="1438"/>
      <c r="CK199" s="1438"/>
      <c r="CU199" s="1411"/>
      <c r="CV199" s="1411"/>
      <c r="CW199" s="1425"/>
      <c r="CX199" s="1425"/>
      <c r="CY199" s="1425"/>
      <c r="CZ199" s="1425"/>
      <c r="DA199" s="1411"/>
      <c r="DB199" s="1411"/>
      <c r="DC199" s="1411"/>
      <c r="DD199" s="1411"/>
      <c r="DE199" s="1411"/>
      <c r="DF199" s="1411"/>
      <c r="DH199" s="1432"/>
      <c r="DI199" s="1432"/>
      <c r="DJ199" s="1437"/>
      <c r="DK199" s="1437"/>
      <c r="DL199" s="1437"/>
      <c r="DM199" s="1437"/>
      <c r="DN199" s="1432"/>
      <c r="DO199" s="1432"/>
      <c r="DP199" s="1432"/>
      <c r="DQ199" s="1432"/>
      <c r="DR199" s="1432"/>
      <c r="DS199" s="1432"/>
      <c r="DT199" s="1316"/>
      <c r="DU199" s="1433"/>
      <c r="DV199" s="1433"/>
      <c r="DW199" s="1433"/>
      <c r="DX199" s="1433"/>
      <c r="DY199" s="1433"/>
      <c r="DZ199" s="1433"/>
      <c r="EA199" s="1433"/>
      <c r="EB199" s="1433"/>
    </row>
    <row r="200" customFormat="false" ht="14.25" hidden="false" customHeight="false" outlineLevel="0" collapsed="false">
      <c r="A200" s="2" t="n">
        <f aca="false">'V_DATOS PAC_SGA'!R195</f>
        <v>0</v>
      </c>
      <c r="B200" s="2" t="n">
        <f aca="false">IF(I200="IV",CONCATENATE('V_DATOS PAC_SGA'!R195,"4")+0,CONCATENATE('V_DATOS PAC_SGA'!R195,"0")+0)</f>
        <v>0</v>
      </c>
      <c r="C200" s="2" t="n">
        <f aca="false">'V_DATOS PAC_SGA'!S195</f>
        <v>0</v>
      </c>
      <c r="D200" s="1409" t="n">
        <f aca="false">'V_DATOS PAC_SGA'!Y195</f>
        <v>0</v>
      </c>
      <c r="E200" s="1410" t="str">
        <f aca="false">IF('V_DATOS PAC_SGA'!AV195="","Regadio",'V_DATOS PAC_SGA'!AV195)</f>
        <v>Regadio</v>
      </c>
      <c r="F200" s="1411" t="n">
        <f aca="false">'V_DATOS PAC_SGA'!BK195</f>
        <v>0</v>
      </c>
      <c r="G200" s="1412" t="n">
        <f aca="false">'V_DATOS PAC_SGA'!AN195</f>
        <v>0</v>
      </c>
      <c r="H200" s="1413" t="str">
        <f aca="false">IF(B200&gt;0,VLOOKUP(B200,'O_MN, PE_UTA_UGM 2024'!E$3:O$419,10),"")</f>
        <v/>
      </c>
      <c r="I200" s="1359" t="n">
        <f aca="false">'V_DATOS PAC_SGA'!BV195</f>
        <v>0</v>
      </c>
      <c r="J200" s="2" t="str">
        <f aca="false">IF(AND(J$4=$G200,J$6=$F200),$D200*J$5,"")</f>
        <v/>
      </c>
      <c r="K200" s="2" t="str">
        <f aca="false">IF(AND(K$4=$G200,K$6=$F200),$D200*K$5,"")</f>
        <v/>
      </c>
      <c r="L200" s="2" t="str">
        <f aca="false">IF(AND(L$4=$G200,L$6=$F200),$D200*L$5,"")</f>
        <v/>
      </c>
      <c r="M200" s="2" t="str">
        <f aca="false">IF(AND(M$4=$G200,M$6=$F200),$D200*M$5,"")</f>
        <v/>
      </c>
      <c r="N200" s="1414" t="n">
        <f aca="false">VLOOKUP(B200,'O_MN, PE_UTA_UGM 2024'!$E$2:$K$419,IF(G200&gt;1,6,7))</f>
        <v>0</v>
      </c>
      <c r="O200" s="1434" t="str">
        <f aca="false">IF($H200=O$4,$D200*$N200,"")</f>
        <v/>
      </c>
      <c r="P200" s="1435" t="str">
        <f aca="false">IF($H200=P$4,$D200*$N200,"")</f>
        <v/>
      </c>
      <c r="Q200" s="1435" t="str">
        <f aca="false">IF($H200=Q$4,$D200*$N200,"")</f>
        <v/>
      </c>
      <c r="R200" s="1435" t="str">
        <f aca="false">IF($H200=R$4,$D200*$N200,"")</f>
        <v/>
      </c>
      <c r="S200" s="1435" t="str">
        <f aca="false">IF($H200=S$4,$D200*$N200,"")</f>
        <v/>
      </c>
      <c r="T200" s="1435" t="str">
        <f aca="false">IF($H200=T$4,$D200*$N200,"")</f>
        <v/>
      </c>
      <c r="U200" s="1436" t="str">
        <f aca="false">IF($H200=U$4,$D200*$N200,"")</f>
        <v/>
      </c>
      <c r="V200" s="1418"/>
      <c r="W200" s="1419"/>
      <c r="X200" s="1419"/>
      <c r="Y200" s="1419"/>
      <c r="Z200" s="1419"/>
      <c r="AA200" s="1419"/>
      <c r="AB200" s="1420"/>
      <c r="AC200" s="1319"/>
      <c r="AD200" s="2" t="str">
        <f aca="false">IF(AND(AD$4=$G200,AD$6=$F200),$B200,"")</f>
        <v/>
      </c>
      <c r="AE200" s="2" t="str">
        <f aca="false">IF(AND(AE$4=$G200,AE$6=$F200),$B200,"")</f>
        <v/>
      </c>
      <c r="AF200" s="2" t="str">
        <f aca="false">IF(AND(AF$4=$G200,AF$6=$F200),$B200,"")</f>
        <v/>
      </c>
      <c r="AG200" s="2" t="str">
        <f aca="false">IF(AND(AG$4=$G200,AG$6=$F200),$B200,"")</f>
        <v/>
      </c>
      <c r="AI200" s="366"/>
      <c r="AL200" s="367"/>
      <c r="AO200" s="367"/>
      <c r="AP200" s="2" t="str">
        <f aca="false">IF(AT200&gt;0,RANK(AT200,AT$7:AT$423),"")</f>
        <v/>
      </c>
      <c r="AQ200" s="2" t="n">
        <f aca="false">'O_MN, PE_UTA_UGM 2024'!C196</f>
        <v>192</v>
      </c>
      <c r="AR200" s="1421" t="n">
        <v>1909</v>
      </c>
      <c r="AS200" s="2" t="str">
        <f aca="false">IF(AY200&lt;&gt;"",AY200,"")</f>
        <v/>
      </c>
      <c r="AT200" s="1422" t="n">
        <f aca="false">IF(ISNUMBER($AR200),SUMIF(B$7:B$505,AR200,D$7:D$505),"")</f>
        <v>0</v>
      </c>
      <c r="AU200" s="1411" t="n">
        <f aca="false">IF(ISNUMBER($AR200),SUMIF(AD$7:AD$503,$AR200,J$7:J$503),"")</f>
        <v>0</v>
      </c>
      <c r="AV200" s="1411" t="n">
        <f aca="false">IF(ISNUMBER($AR200),SUMIF(AF$7:AF$503,$AR200,L$7:L$503),"")</f>
        <v>0</v>
      </c>
      <c r="AW200" s="1423" t="n">
        <f aca="false">IF(ISNUMBER($AR200),SUMIF(AE$7:AE$503,$AR200,K$7:K$503),"")</f>
        <v>0</v>
      </c>
      <c r="AX200" s="1423" t="n">
        <f aca="false">IF(ISNUMBER($AR200),SUMIF(AG$7:AG$503,$AR200,M$7:M$503),"")</f>
        <v>0</v>
      </c>
      <c r="AY200" s="2" t="str">
        <f aca="false">IF($AT200&gt;0,VLOOKUP($AR200,'O_MN, PE_UTA_UGM 2024'!E196:O612,2),"")</f>
        <v/>
      </c>
      <c r="AZ200" s="1424"/>
      <c r="BA200" s="1424"/>
      <c r="BB200" s="1424" t="str">
        <f aca="false">IF($AT200&gt;0,VLOOKUP($AR200,'O_MN, PE_UTA_UGM 2024'!$E$3:$O$419,BB$6),"")</f>
        <v/>
      </c>
      <c r="BC200" s="1424" t="str">
        <f aca="false">IF($AT200&gt;0,VLOOKUP($AR200,'O_MN, PE_UTA_UGM 2024'!$E$3:$O$419,BC$6),"")</f>
        <v/>
      </c>
      <c r="BD200" s="1424" t="str">
        <f aca="false">IF($AT200&gt;0,VLOOKUP($AR200,'O_MN, PE_UTA_UGM 2024'!$E$3:$O$419,BD$6),"")</f>
        <v/>
      </c>
      <c r="BE200" s="1424" t="str">
        <f aca="false">IF($AT200&gt;0,VLOOKUP($AR200,'O_MN, PE_UTA_UGM 2024'!$E$3:$O$419,BE$6),"")</f>
        <v/>
      </c>
      <c r="BF200" s="1424" t="str">
        <f aca="false">IF($AT200&gt;0,VLOOKUP($AR200,'O_MN, PE_UTA_UGM 2024'!$E$3:$O$419,BF$6),"")</f>
        <v/>
      </c>
      <c r="BG200" s="1424" t="str">
        <f aca="false">IF($AT200&gt;0,VLOOKUP($AR200,'O_MN, PE_UTA_UGM 2024'!$E$3:$O$419,BG$6),"")</f>
        <v/>
      </c>
      <c r="BH200" s="872"/>
      <c r="BI200" s="872"/>
      <c r="BJ200" s="872"/>
      <c r="BK200" s="872"/>
      <c r="BM200" s="1411"/>
      <c r="BN200" s="1411"/>
      <c r="BO200" s="1425" t="str">
        <f aca="false">IF(ISNUMBER($AU200*BB200*1),$AU200*BB200*1,"")</f>
        <v/>
      </c>
      <c r="BP200" s="1425" t="str">
        <f aca="false">IF(ISNUMBER($AV200*BC200*1),$AV200*BC200*1,"")</f>
        <v/>
      </c>
      <c r="BQ200" s="1425" t="str">
        <f aca="false">IF(ISNUMBER($AU200*BD200*1),$AU200*BD200*1,"")</f>
        <v/>
      </c>
      <c r="BR200" s="1425" t="str">
        <f aca="false">IF(ISNUMBER($AV200*BE200*1),$AV200*BE200*1,"")</f>
        <v/>
      </c>
      <c r="BS200" s="1411" t="str">
        <f aca="false">IF(ISNUMBER($AU200*BF200),$AU200*BF200,"")</f>
        <v/>
      </c>
      <c r="BT200" s="1411" t="str">
        <f aca="false">IF(ISNUMBER($AV200*BG200),$AV200*BG200,"")</f>
        <v/>
      </c>
      <c r="BU200" s="1411"/>
      <c r="BV200" s="1411"/>
      <c r="BW200" s="1411"/>
      <c r="BX200" s="1411"/>
      <c r="BZ200" s="1372"/>
      <c r="CA200" s="1372"/>
      <c r="CB200" s="1426" t="str">
        <f aca="false">IF(ISNUMBER($AW200*BB200),$AW200*BB200,"")</f>
        <v/>
      </c>
      <c r="CC200" s="1426" t="str">
        <f aca="false">IF(ISNUMBER($AX200*BC200),$AX200*BC200,"")</f>
        <v/>
      </c>
      <c r="CD200" s="1426" t="str">
        <f aca="false">IF(ISNUMBER($AW200*BD200),$AW200*BD200,"")</f>
        <v/>
      </c>
      <c r="CE200" s="1426" t="str">
        <f aca="false">IF(ISNUMBER($AX200*BE200),$AX200*BE200,"")</f>
        <v/>
      </c>
      <c r="CF200" s="1372" t="str">
        <f aca="false">IF(ISNUMBER($AW200*BF200),$AW200*BF200,"")</f>
        <v/>
      </c>
      <c r="CG200" s="1372" t="str">
        <f aca="false">IF(ISNUMBER($AX200*BG200),$AX200*BG200,"")</f>
        <v/>
      </c>
      <c r="CH200" s="1438"/>
      <c r="CI200" s="1438"/>
      <c r="CJ200" s="1438"/>
      <c r="CK200" s="1438"/>
      <c r="CU200" s="1411"/>
      <c r="CV200" s="1411"/>
      <c r="CW200" s="1425"/>
      <c r="CX200" s="1425"/>
      <c r="CY200" s="1425"/>
      <c r="CZ200" s="1425"/>
      <c r="DA200" s="1411"/>
      <c r="DB200" s="1411"/>
      <c r="DC200" s="1411"/>
      <c r="DD200" s="1411"/>
      <c r="DE200" s="1411"/>
      <c r="DF200" s="1411"/>
      <c r="DH200" s="1432"/>
      <c r="DI200" s="1432"/>
      <c r="DJ200" s="1437"/>
      <c r="DK200" s="1437"/>
      <c r="DL200" s="1437"/>
      <c r="DM200" s="1437"/>
      <c r="DN200" s="1432"/>
      <c r="DO200" s="1432"/>
      <c r="DP200" s="1432"/>
      <c r="DQ200" s="1432"/>
      <c r="DR200" s="1432"/>
      <c r="DS200" s="1432"/>
      <c r="DT200" s="1316"/>
      <c r="DU200" s="1433"/>
      <c r="DV200" s="1433"/>
      <c r="DW200" s="1433"/>
      <c r="DX200" s="1433"/>
      <c r="DY200" s="1433"/>
      <c r="DZ200" s="1433"/>
      <c r="EA200" s="1433"/>
      <c r="EB200" s="1433"/>
    </row>
    <row r="201" customFormat="false" ht="14.25" hidden="false" customHeight="false" outlineLevel="0" collapsed="false">
      <c r="A201" s="2" t="n">
        <f aca="false">'V_DATOS PAC_SGA'!R196</f>
        <v>0</v>
      </c>
      <c r="B201" s="2" t="n">
        <f aca="false">IF(I201="IV",CONCATENATE('V_DATOS PAC_SGA'!R196,"4")+0,CONCATENATE('V_DATOS PAC_SGA'!R196,"0")+0)</f>
        <v>0</v>
      </c>
      <c r="C201" s="2" t="n">
        <f aca="false">'V_DATOS PAC_SGA'!S196</f>
        <v>0</v>
      </c>
      <c r="D201" s="1409" t="n">
        <f aca="false">'V_DATOS PAC_SGA'!Y196</f>
        <v>0</v>
      </c>
      <c r="E201" s="1410" t="str">
        <f aca="false">IF('V_DATOS PAC_SGA'!AV196="","Regadio",'V_DATOS PAC_SGA'!AV196)</f>
        <v>Regadio</v>
      </c>
      <c r="F201" s="1411" t="n">
        <f aca="false">'V_DATOS PAC_SGA'!BK196</f>
        <v>0</v>
      </c>
      <c r="G201" s="1412" t="n">
        <f aca="false">'V_DATOS PAC_SGA'!AN196</f>
        <v>0</v>
      </c>
      <c r="H201" s="1413" t="str">
        <f aca="false">IF(B201&gt;0,VLOOKUP(B201,'O_MN, PE_UTA_UGM 2024'!E$3:O$419,10),"")</f>
        <v/>
      </c>
      <c r="I201" s="1359" t="n">
        <f aca="false">'V_DATOS PAC_SGA'!BV196</f>
        <v>0</v>
      </c>
      <c r="J201" s="2" t="str">
        <f aca="false">IF(AND(J$4=$G201,J$6=$F201),$D201*J$5,"")</f>
        <v/>
      </c>
      <c r="K201" s="2" t="str">
        <f aca="false">IF(AND(K$4=$G201,K$6=$F201),$D201*K$5,"")</f>
        <v/>
      </c>
      <c r="L201" s="2" t="str">
        <f aca="false">IF(AND(L$4=$G201,L$6=$F201),$D201*L$5,"")</f>
        <v/>
      </c>
      <c r="M201" s="2" t="str">
        <f aca="false">IF(AND(M$4=$G201,M$6=$F201),$D201*M$5,"")</f>
        <v/>
      </c>
      <c r="N201" s="1414" t="n">
        <f aca="false">VLOOKUP(B201,'O_MN, PE_UTA_UGM 2024'!$E$2:$K$419,IF(G201&gt;1,6,7))</f>
        <v>0</v>
      </c>
      <c r="O201" s="1434" t="str">
        <f aca="false">IF($H201=O$4,$D201*$N201,"")</f>
        <v/>
      </c>
      <c r="P201" s="1435" t="str">
        <f aca="false">IF($H201=P$4,$D201*$N201,"")</f>
        <v/>
      </c>
      <c r="Q201" s="1435" t="str">
        <f aca="false">IF($H201=Q$4,$D201*$N201,"")</f>
        <v/>
      </c>
      <c r="R201" s="1435" t="str">
        <f aca="false">IF($H201=R$4,$D201*$N201,"")</f>
        <v/>
      </c>
      <c r="S201" s="1435" t="str">
        <f aca="false">IF($H201=S$4,$D201*$N201,"")</f>
        <v/>
      </c>
      <c r="T201" s="1435" t="str">
        <f aca="false">IF($H201=T$4,$D201*$N201,"")</f>
        <v/>
      </c>
      <c r="U201" s="1436" t="str">
        <f aca="false">IF($H201=U$4,$D201*$N201,"")</f>
        <v/>
      </c>
      <c r="V201" s="1418"/>
      <c r="W201" s="1419"/>
      <c r="X201" s="1419"/>
      <c r="Y201" s="1419"/>
      <c r="Z201" s="1419"/>
      <c r="AA201" s="1419"/>
      <c r="AB201" s="1420"/>
      <c r="AC201" s="1319"/>
      <c r="AD201" s="2" t="str">
        <f aca="false">IF(AND(AD$4=$G201,AD$6=$F201),$B201,"")</f>
        <v/>
      </c>
      <c r="AE201" s="2" t="str">
        <f aca="false">IF(AND(AE$4=$G201,AE$6=$F201),$B201,"")</f>
        <v/>
      </c>
      <c r="AF201" s="2" t="str">
        <f aca="false">IF(AND(AF$4=$G201,AF$6=$F201),$B201,"")</f>
        <v/>
      </c>
      <c r="AG201" s="2" t="str">
        <f aca="false">IF(AND(AG$4=$G201,AG$6=$F201),$B201,"")</f>
        <v/>
      </c>
      <c r="AI201" s="366"/>
      <c r="AL201" s="367"/>
      <c r="AO201" s="367"/>
      <c r="AP201" s="2" t="str">
        <f aca="false">IF(AT201&gt;0,RANK(AT201,AT$7:AT$423),"")</f>
        <v/>
      </c>
      <c r="AQ201" s="2" t="n">
        <f aca="false">'O_MN, PE_UTA_UGM 2024'!C197</f>
        <v>192</v>
      </c>
      <c r="AR201" s="1421" t="n">
        <v>1910</v>
      </c>
      <c r="AS201" s="2" t="str">
        <f aca="false">IF(AY201&lt;&gt;"",AY201,"")</f>
        <v/>
      </c>
      <c r="AT201" s="1422" t="n">
        <f aca="false">IF(ISNUMBER($AR201),SUMIF(B$7:B$505,AR201,D$7:D$505),"")</f>
        <v>0</v>
      </c>
      <c r="AU201" s="1411" t="n">
        <f aca="false">IF(ISNUMBER($AR201),SUMIF(AD$7:AD$503,$AR201,J$7:J$503),"")</f>
        <v>0</v>
      </c>
      <c r="AV201" s="1411" t="n">
        <f aca="false">IF(ISNUMBER($AR201),SUMIF(AF$7:AF$503,$AR201,L$7:L$503),"")</f>
        <v>0</v>
      </c>
      <c r="AW201" s="1423" t="n">
        <f aca="false">IF(ISNUMBER($AR201),SUMIF(AE$7:AE$503,$AR201,K$7:K$503),"")</f>
        <v>0</v>
      </c>
      <c r="AX201" s="1423" t="n">
        <f aca="false">IF(ISNUMBER($AR201),SUMIF(AG$7:AG$503,$AR201,M$7:M$503),"")</f>
        <v>0</v>
      </c>
      <c r="AY201" s="2" t="str">
        <f aca="false">IF($AT201&gt;0,VLOOKUP($AR201,'O_MN, PE_UTA_UGM 2024'!E197:O613,2),"")</f>
        <v/>
      </c>
      <c r="AZ201" s="1424"/>
      <c r="BA201" s="1424"/>
      <c r="BB201" s="1424" t="str">
        <f aca="false">IF($AT201&gt;0,VLOOKUP($AR201,'O_MN, PE_UTA_UGM 2024'!$E$3:$O$419,BB$6),"")</f>
        <v/>
      </c>
      <c r="BC201" s="1424" t="str">
        <f aca="false">IF($AT201&gt;0,VLOOKUP($AR201,'O_MN, PE_UTA_UGM 2024'!$E$3:$O$419,BC$6),"")</f>
        <v/>
      </c>
      <c r="BD201" s="1424" t="str">
        <f aca="false">IF($AT201&gt;0,VLOOKUP($AR201,'O_MN, PE_UTA_UGM 2024'!$E$3:$O$419,BD$6),"")</f>
        <v/>
      </c>
      <c r="BE201" s="1424" t="str">
        <f aca="false">IF($AT201&gt;0,VLOOKUP($AR201,'O_MN, PE_UTA_UGM 2024'!$E$3:$O$419,BE$6),"")</f>
        <v/>
      </c>
      <c r="BF201" s="1424" t="str">
        <f aca="false">IF($AT201&gt;0,VLOOKUP($AR201,'O_MN, PE_UTA_UGM 2024'!$E$3:$O$419,BF$6),"")</f>
        <v/>
      </c>
      <c r="BG201" s="1424" t="str">
        <f aca="false">IF($AT201&gt;0,VLOOKUP($AR201,'O_MN, PE_UTA_UGM 2024'!$E$3:$O$419,BG$6),"")</f>
        <v/>
      </c>
      <c r="BH201" s="872"/>
      <c r="BI201" s="872"/>
      <c r="BJ201" s="872"/>
      <c r="BK201" s="872"/>
      <c r="BM201" s="1411"/>
      <c r="BN201" s="1411"/>
      <c r="BO201" s="1425" t="str">
        <f aca="false">IF(ISNUMBER($AU201*BB201*1),$AU201*BB201*1,"")</f>
        <v/>
      </c>
      <c r="BP201" s="1425" t="str">
        <f aca="false">IF(ISNUMBER($AV201*BC201*1),$AV201*BC201*1,"")</f>
        <v/>
      </c>
      <c r="BQ201" s="1425" t="str">
        <f aca="false">IF(ISNUMBER($AU201*BD201*1),$AU201*BD201*1,"")</f>
        <v/>
      </c>
      <c r="BR201" s="1425" t="str">
        <f aca="false">IF(ISNUMBER($AV201*BE201*1),$AV201*BE201*1,"")</f>
        <v/>
      </c>
      <c r="BS201" s="1411" t="str">
        <f aca="false">IF(ISNUMBER($AU201*BF201),$AU201*BF201,"")</f>
        <v/>
      </c>
      <c r="BT201" s="1411" t="str">
        <f aca="false">IF(ISNUMBER($AV201*BG201),$AV201*BG201,"")</f>
        <v/>
      </c>
      <c r="BU201" s="1411"/>
      <c r="BV201" s="1411"/>
      <c r="BW201" s="1411"/>
      <c r="BX201" s="1411"/>
      <c r="BZ201" s="1372"/>
      <c r="CA201" s="1372"/>
      <c r="CB201" s="1426" t="str">
        <f aca="false">IF(ISNUMBER($AW201*BB201),$AW201*BB201,"")</f>
        <v/>
      </c>
      <c r="CC201" s="1426" t="str">
        <f aca="false">IF(ISNUMBER($AX201*BC201),$AX201*BC201,"")</f>
        <v/>
      </c>
      <c r="CD201" s="1426" t="str">
        <f aca="false">IF(ISNUMBER($AW201*BD201),$AW201*BD201,"")</f>
        <v/>
      </c>
      <c r="CE201" s="1426" t="str">
        <f aca="false">IF(ISNUMBER($AX201*BE201),$AX201*BE201,"")</f>
        <v/>
      </c>
      <c r="CF201" s="1372" t="str">
        <f aca="false">IF(ISNUMBER($AW201*BF201),$AW201*BF201,"")</f>
        <v/>
      </c>
      <c r="CG201" s="1372" t="str">
        <f aca="false">IF(ISNUMBER($AX201*BG201),$AX201*BG201,"")</f>
        <v/>
      </c>
      <c r="CH201" s="1438"/>
      <c r="CI201" s="1438"/>
      <c r="CJ201" s="1438"/>
      <c r="CK201" s="1438"/>
      <c r="CU201" s="1411"/>
      <c r="CV201" s="1411"/>
      <c r="CW201" s="1425"/>
      <c r="CX201" s="1425"/>
      <c r="CY201" s="1425"/>
      <c r="CZ201" s="1425"/>
      <c r="DA201" s="1411"/>
      <c r="DB201" s="1411"/>
      <c r="DC201" s="1411"/>
      <c r="DD201" s="1411"/>
      <c r="DE201" s="1411"/>
      <c r="DF201" s="1411"/>
      <c r="DH201" s="1432"/>
      <c r="DI201" s="1432"/>
      <c r="DJ201" s="1437"/>
      <c r="DK201" s="1437"/>
      <c r="DL201" s="1437"/>
      <c r="DM201" s="1437"/>
      <c r="DN201" s="1432"/>
      <c r="DO201" s="1432"/>
      <c r="DP201" s="1432"/>
      <c r="DQ201" s="1432"/>
      <c r="DR201" s="1432"/>
      <c r="DS201" s="1432"/>
      <c r="DT201" s="1316"/>
      <c r="DU201" s="1433"/>
      <c r="DV201" s="1433"/>
      <c r="DW201" s="1433"/>
      <c r="DX201" s="1433"/>
      <c r="DY201" s="1433"/>
      <c r="DZ201" s="1433"/>
      <c r="EA201" s="1433"/>
      <c r="EB201" s="1433"/>
    </row>
    <row r="202" customFormat="false" ht="14.25" hidden="false" customHeight="false" outlineLevel="0" collapsed="false">
      <c r="A202" s="2" t="n">
        <f aca="false">'V_DATOS PAC_SGA'!R197</f>
        <v>0</v>
      </c>
      <c r="B202" s="2" t="n">
        <f aca="false">IF(I202="IV",CONCATENATE('V_DATOS PAC_SGA'!R197,"4")+0,CONCATENATE('V_DATOS PAC_SGA'!R197,"0")+0)</f>
        <v>0</v>
      </c>
      <c r="C202" s="2" t="n">
        <f aca="false">'V_DATOS PAC_SGA'!S197</f>
        <v>0</v>
      </c>
      <c r="D202" s="1409" t="n">
        <f aca="false">'V_DATOS PAC_SGA'!Y197</f>
        <v>0</v>
      </c>
      <c r="E202" s="1410" t="str">
        <f aca="false">IF('V_DATOS PAC_SGA'!AV197="","Regadio",'V_DATOS PAC_SGA'!AV197)</f>
        <v>Regadio</v>
      </c>
      <c r="F202" s="1411" t="n">
        <f aca="false">'V_DATOS PAC_SGA'!BK197</f>
        <v>0</v>
      </c>
      <c r="G202" s="1412" t="n">
        <f aca="false">'V_DATOS PAC_SGA'!AN197</f>
        <v>0</v>
      </c>
      <c r="H202" s="1413" t="str">
        <f aca="false">IF(B202&gt;0,VLOOKUP(B202,'O_MN, PE_UTA_UGM 2024'!E$3:O$419,10),"")</f>
        <v/>
      </c>
      <c r="I202" s="1359" t="n">
        <f aca="false">'V_DATOS PAC_SGA'!BV197</f>
        <v>0</v>
      </c>
      <c r="J202" s="2" t="str">
        <f aca="false">IF(AND(J$4=$G202,J$6=$F202),$D202*J$5,"")</f>
        <v/>
      </c>
      <c r="K202" s="2" t="str">
        <f aca="false">IF(AND(K$4=$G202,K$6=$F202),$D202*K$5,"")</f>
        <v/>
      </c>
      <c r="L202" s="2" t="str">
        <f aca="false">IF(AND(L$4=$G202,L$6=$F202),$D202*L$5,"")</f>
        <v/>
      </c>
      <c r="M202" s="2" t="str">
        <f aca="false">IF(AND(M$4=$G202,M$6=$F202),$D202*M$5,"")</f>
        <v/>
      </c>
      <c r="N202" s="1414" t="n">
        <f aca="false">VLOOKUP(B202,'O_MN, PE_UTA_UGM 2024'!$E$2:$K$419,IF(G202&gt;1,6,7))</f>
        <v>0</v>
      </c>
      <c r="O202" s="1434" t="str">
        <f aca="false">IF($H202=O$4,$D202*$N202,"")</f>
        <v/>
      </c>
      <c r="P202" s="1435" t="str">
        <f aca="false">IF($H202=P$4,$D202*$N202,"")</f>
        <v/>
      </c>
      <c r="Q202" s="1435" t="str">
        <f aca="false">IF($H202=Q$4,$D202*$N202,"")</f>
        <v/>
      </c>
      <c r="R202" s="1435" t="str">
        <f aca="false">IF($H202=R$4,$D202*$N202,"")</f>
        <v/>
      </c>
      <c r="S202" s="1435" t="str">
        <f aca="false">IF($H202=S$4,$D202*$N202,"")</f>
        <v/>
      </c>
      <c r="T202" s="1435" t="str">
        <f aca="false">IF($H202=T$4,$D202*$N202,"")</f>
        <v/>
      </c>
      <c r="U202" s="1436" t="str">
        <f aca="false">IF($H202=U$4,$D202*$N202,"")</f>
        <v/>
      </c>
      <c r="V202" s="1418"/>
      <c r="W202" s="1419"/>
      <c r="X202" s="1419"/>
      <c r="Y202" s="1419"/>
      <c r="Z202" s="1419"/>
      <c r="AA202" s="1419"/>
      <c r="AB202" s="1420"/>
      <c r="AC202" s="1319"/>
      <c r="AD202" s="2" t="str">
        <f aca="false">IF(AND(AD$4=$G202,AD$6=$F202),$B202,"")</f>
        <v/>
      </c>
      <c r="AE202" s="2" t="str">
        <f aca="false">IF(AND(AE$4=$G202,AE$6=$F202),$B202,"")</f>
        <v/>
      </c>
      <c r="AF202" s="2" t="str">
        <f aca="false">IF(AND(AF$4=$G202,AF$6=$F202),$B202,"")</f>
        <v/>
      </c>
      <c r="AG202" s="2" t="str">
        <f aca="false">IF(AND(AG$4=$G202,AG$6=$F202),$B202,"")</f>
        <v/>
      </c>
      <c r="AI202" s="366"/>
      <c r="AL202" s="367"/>
      <c r="AO202" s="367"/>
      <c r="AP202" s="2" t="str">
        <f aca="false">IF(AT202&gt;0,RANK(AT202,AT$7:AT$423),"")</f>
        <v/>
      </c>
      <c r="AQ202" s="2" t="n">
        <f aca="false">'O_MN, PE_UTA_UGM 2024'!C198</f>
        <v>192</v>
      </c>
      <c r="AR202" s="1421" t="n">
        <v>1914</v>
      </c>
      <c r="AS202" s="2" t="str">
        <f aca="false">IF(AY202&lt;&gt;"",AY202,"")</f>
        <v/>
      </c>
      <c r="AT202" s="1422" t="n">
        <f aca="false">IF(ISNUMBER($AR202),SUMIF(B$7:B$505,AR202,D$7:D$505),"")</f>
        <v>0</v>
      </c>
      <c r="AU202" s="1411" t="n">
        <f aca="false">IF(ISNUMBER($AR202),SUMIF(AD$7:AD$503,$AR202,J$7:J$503),"")</f>
        <v>0</v>
      </c>
      <c r="AV202" s="1411" t="n">
        <f aca="false">IF(ISNUMBER($AR202),SUMIF(AF$7:AF$503,$AR202,L$7:L$503),"")</f>
        <v>0</v>
      </c>
      <c r="AW202" s="1423" t="n">
        <f aca="false">IF(ISNUMBER($AR202),SUMIF(AE$7:AE$503,$AR202,K$7:K$503),"")</f>
        <v>0</v>
      </c>
      <c r="AX202" s="1423" t="n">
        <f aca="false">IF(ISNUMBER($AR202),SUMIF(AG$7:AG$503,$AR202,M$7:M$503),"")</f>
        <v>0</v>
      </c>
      <c r="AY202" s="2" t="str">
        <f aca="false">IF($AT202&gt;0,VLOOKUP($AR202,'O_MN, PE_UTA_UGM 2024'!E198:O614,2),"")</f>
        <v/>
      </c>
      <c r="AZ202" s="1424"/>
      <c r="BA202" s="1424"/>
      <c r="BB202" s="1424" t="str">
        <f aca="false">IF($AT202&gt;0,VLOOKUP($AR202,'O_MN, PE_UTA_UGM 2024'!$E$3:$O$419,BB$6),"")</f>
        <v/>
      </c>
      <c r="BC202" s="1424" t="str">
        <f aca="false">IF($AT202&gt;0,VLOOKUP($AR202,'O_MN, PE_UTA_UGM 2024'!$E$3:$O$419,BC$6),"")</f>
        <v/>
      </c>
      <c r="BD202" s="1424" t="str">
        <f aca="false">IF($AT202&gt;0,VLOOKUP($AR202,'O_MN, PE_UTA_UGM 2024'!$E$3:$O$419,BD$6),"")</f>
        <v/>
      </c>
      <c r="BE202" s="1424" t="str">
        <f aca="false">IF($AT202&gt;0,VLOOKUP($AR202,'O_MN, PE_UTA_UGM 2024'!$E$3:$O$419,BE$6),"")</f>
        <v/>
      </c>
      <c r="BF202" s="1424" t="str">
        <f aca="false">IF($AT202&gt;0,VLOOKUP($AR202,'O_MN, PE_UTA_UGM 2024'!$E$3:$O$419,BF$6),"")</f>
        <v/>
      </c>
      <c r="BG202" s="1424" t="str">
        <f aca="false">IF($AT202&gt;0,VLOOKUP($AR202,'O_MN, PE_UTA_UGM 2024'!$E$3:$O$419,BG$6),"")</f>
        <v/>
      </c>
      <c r="BH202" s="872"/>
      <c r="BI202" s="872"/>
      <c r="BJ202" s="872"/>
      <c r="BK202" s="872"/>
      <c r="BM202" s="1411"/>
      <c r="BN202" s="1411"/>
      <c r="BO202" s="1425" t="str">
        <f aca="false">IF(ISNUMBER($AU202*BB202*1),$AU202*BB202*1,"")</f>
        <v/>
      </c>
      <c r="BP202" s="1425" t="str">
        <f aca="false">IF(ISNUMBER($AV202*BC202*1),$AV202*BC202*1,"")</f>
        <v/>
      </c>
      <c r="BQ202" s="1425" t="str">
        <f aca="false">IF(ISNUMBER($AU202*BD202*1),$AU202*BD202*1,"")</f>
        <v/>
      </c>
      <c r="BR202" s="1425" t="str">
        <f aca="false">IF(ISNUMBER($AV202*BE202*1),$AV202*BE202*1,"")</f>
        <v/>
      </c>
      <c r="BS202" s="1411" t="str">
        <f aca="false">IF(ISNUMBER($AU202*BF202),$AU202*BF202,"")</f>
        <v/>
      </c>
      <c r="BT202" s="1411" t="str">
        <f aca="false">IF(ISNUMBER($AV202*BG202),$AV202*BG202,"")</f>
        <v/>
      </c>
      <c r="BU202" s="1411"/>
      <c r="BV202" s="1411"/>
      <c r="BW202" s="1411"/>
      <c r="BX202" s="1411"/>
      <c r="BZ202" s="1372"/>
      <c r="CA202" s="1372"/>
      <c r="CB202" s="1426" t="str">
        <f aca="false">IF(ISNUMBER($AW202*BB202),$AW202*BB202,"")</f>
        <v/>
      </c>
      <c r="CC202" s="1426" t="str">
        <f aca="false">IF(ISNUMBER($AX202*BC202),$AX202*BC202,"")</f>
        <v/>
      </c>
      <c r="CD202" s="1426" t="str">
        <f aca="false">IF(ISNUMBER($AW202*BD202),$AW202*BD202,"")</f>
        <v/>
      </c>
      <c r="CE202" s="1426" t="str">
        <f aca="false">IF(ISNUMBER($AX202*BE202),$AX202*BE202,"")</f>
        <v/>
      </c>
      <c r="CF202" s="1372" t="str">
        <f aca="false">IF(ISNUMBER($AW202*BF202),$AW202*BF202,"")</f>
        <v/>
      </c>
      <c r="CG202" s="1372" t="str">
        <f aca="false">IF(ISNUMBER($AX202*BG202),$AX202*BG202,"")</f>
        <v/>
      </c>
      <c r="CH202" s="1438"/>
      <c r="CI202" s="1438"/>
      <c r="CJ202" s="1438"/>
      <c r="CK202" s="1438"/>
      <c r="CU202" s="1411"/>
      <c r="CV202" s="1411"/>
      <c r="CW202" s="1425"/>
      <c r="CX202" s="1425"/>
      <c r="CY202" s="1425"/>
      <c r="CZ202" s="1425"/>
      <c r="DA202" s="1411"/>
      <c r="DB202" s="1411"/>
      <c r="DC202" s="1411"/>
      <c r="DD202" s="1411"/>
      <c r="DE202" s="1411"/>
      <c r="DF202" s="1411"/>
      <c r="DH202" s="1432"/>
      <c r="DI202" s="1432"/>
      <c r="DJ202" s="1437"/>
      <c r="DK202" s="1437"/>
      <c r="DL202" s="1437"/>
      <c r="DM202" s="1437"/>
      <c r="DN202" s="1432"/>
      <c r="DO202" s="1432"/>
      <c r="DP202" s="1432"/>
      <c r="DQ202" s="1432"/>
      <c r="DR202" s="1432"/>
      <c r="DS202" s="1432"/>
      <c r="DT202" s="1316"/>
      <c r="DU202" s="1433"/>
      <c r="DV202" s="1433"/>
      <c r="DW202" s="1433"/>
      <c r="DX202" s="1433"/>
      <c r="DY202" s="1433"/>
      <c r="DZ202" s="1433"/>
      <c r="EA202" s="1433"/>
      <c r="EB202" s="1433"/>
    </row>
    <row r="203" customFormat="false" ht="14.25" hidden="false" customHeight="false" outlineLevel="0" collapsed="false">
      <c r="A203" s="2" t="n">
        <f aca="false">'V_DATOS PAC_SGA'!R198</f>
        <v>0</v>
      </c>
      <c r="B203" s="2" t="n">
        <f aca="false">IF(I203="IV",CONCATENATE('V_DATOS PAC_SGA'!R198,"4")+0,CONCATENATE('V_DATOS PAC_SGA'!R198,"0")+0)</f>
        <v>0</v>
      </c>
      <c r="C203" s="2" t="n">
        <f aca="false">'V_DATOS PAC_SGA'!S198</f>
        <v>0</v>
      </c>
      <c r="D203" s="1409" t="n">
        <f aca="false">'V_DATOS PAC_SGA'!Y198</f>
        <v>0</v>
      </c>
      <c r="E203" s="1410" t="str">
        <f aca="false">IF('V_DATOS PAC_SGA'!AV198="","Regadio",'V_DATOS PAC_SGA'!AV198)</f>
        <v>Regadio</v>
      </c>
      <c r="F203" s="1411" t="n">
        <f aca="false">'V_DATOS PAC_SGA'!BK198</f>
        <v>0</v>
      </c>
      <c r="G203" s="1412" t="n">
        <f aca="false">'V_DATOS PAC_SGA'!AN198</f>
        <v>0</v>
      </c>
      <c r="H203" s="1413" t="str">
        <f aca="false">IF(B203&gt;0,VLOOKUP(B203,'O_MN, PE_UTA_UGM 2024'!E$3:O$419,10),"")</f>
        <v/>
      </c>
      <c r="I203" s="1359" t="n">
        <f aca="false">'V_DATOS PAC_SGA'!BV198</f>
        <v>0</v>
      </c>
      <c r="J203" s="2" t="str">
        <f aca="false">IF(AND(J$4=$G203,J$6=$F203),$D203*J$5,"")</f>
        <v/>
      </c>
      <c r="K203" s="2" t="str">
        <f aca="false">IF(AND(K$4=$G203,K$6=$F203),$D203*K$5,"")</f>
        <v/>
      </c>
      <c r="L203" s="2" t="str">
        <f aca="false">IF(AND(L$4=$G203,L$6=$F203),$D203*L$5,"")</f>
        <v/>
      </c>
      <c r="M203" s="2" t="str">
        <f aca="false">IF(AND(M$4=$G203,M$6=$F203),$D203*M$5,"")</f>
        <v/>
      </c>
      <c r="N203" s="1414" t="n">
        <f aca="false">VLOOKUP(B203,'O_MN, PE_UTA_UGM 2024'!$E$2:$K$419,IF(G203&gt;1,6,7))</f>
        <v>0</v>
      </c>
      <c r="O203" s="1434" t="str">
        <f aca="false">IF($H203=O$4,$D203*$N203,"")</f>
        <v/>
      </c>
      <c r="P203" s="1435" t="str">
        <f aca="false">IF($H203=P$4,$D203*$N203,"")</f>
        <v/>
      </c>
      <c r="Q203" s="1435" t="str">
        <f aca="false">IF($H203=Q$4,$D203*$N203,"")</f>
        <v/>
      </c>
      <c r="R203" s="1435" t="str">
        <f aca="false">IF($H203=R$4,$D203*$N203,"")</f>
        <v/>
      </c>
      <c r="S203" s="1435" t="str">
        <f aca="false">IF($H203=S$4,$D203*$N203,"")</f>
        <v/>
      </c>
      <c r="T203" s="1435" t="str">
        <f aca="false">IF($H203=T$4,$D203*$N203,"")</f>
        <v/>
      </c>
      <c r="U203" s="1436" t="str">
        <f aca="false">IF($H203=U$4,$D203*$N203,"")</f>
        <v/>
      </c>
      <c r="V203" s="1418"/>
      <c r="W203" s="1419"/>
      <c r="X203" s="1419"/>
      <c r="Y203" s="1419"/>
      <c r="Z203" s="1419"/>
      <c r="AA203" s="1419"/>
      <c r="AB203" s="1420"/>
      <c r="AC203" s="1319"/>
      <c r="AD203" s="2" t="str">
        <f aca="false">IF(AND(AD$4=$G203,AD$6=$F203),$B203,"")</f>
        <v/>
      </c>
      <c r="AE203" s="2" t="str">
        <f aca="false">IF(AND(AE$4=$G203,AE$6=$F203),$B203,"")</f>
        <v/>
      </c>
      <c r="AF203" s="2" t="str">
        <f aca="false">IF(AND(AF$4=$G203,AF$6=$F203),$B203,"")</f>
        <v/>
      </c>
      <c r="AG203" s="2" t="str">
        <f aca="false">IF(AND(AG$4=$G203,AG$6=$F203),$B203,"")</f>
        <v/>
      </c>
      <c r="AI203" s="366"/>
      <c r="AL203" s="367"/>
      <c r="AO203" s="367"/>
      <c r="AP203" s="2" t="str">
        <f aca="false">IF(AT203&gt;0,RANK(AT203,AT$7:AT$423),"")</f>
        <v/>
      </c>
      <c r="AQ203" s="2" t="n">
        <f aca="false">'O_MN, PE_UTA_UGM 2024'!C199</f>
        <v>193</v>
      </c>
      <c r="AR203" s="1421" t="n">
        <v>1919</v>
      </c>
      <c r="AS203" s="2" t="str">
        <f aca="false">IF(AY203&lt;&gt;"",AY203,"")</f>
        <v/>
      </c>
      <c r="AT203" s="1422" t="n">
        <f aca="false">IF(ISNUMBER($AR203),SUMIF(B$7:B$505,AR203,D$7:D$505),"")</f>
        <v>0</v>
      </c>
      <c r="AU203" s="1411" t="n">
        <f aca="false">IF(ISNUMBER($AR203),SUMIF(AD$7:AD$503,$AR203,J$7:J$503),"")</f>
        <v>0</v>
      </c>
      <c r="AV203" s="1411" t="n">
        <f aca="false">IF(ISNUMBER($AR203),SUMIF(AF$7:AF$503,$AR203,L$7:L$503),"")</f>
        <v>0</v>
      </c>
      <c r="AW203" s="1423" t="n">
        <f aca="false">IF(ISNUMBER($AR203),SUMIF(AE$7:AE$503,$AR203,K$7:K$503),"")</f>
        <v>0</v>
      </c>
      <c r="AX203" s="1423" t="n">
        <f aca="false">IF(ISNUMBER($AR203),SUMIF(AG$7:AG$503,$AR203,M$7:M$503),"")</f>
        <v>0</v>
      </c>
      <c r="AY203" s="2" t="str">
        <f aca="false">IF($AT203&gt;0,VLOOKUP($AR203,'O_MN, PE_UTA_UGM 2024'!E199:O615,2),"")</f>
        <v/>
      </c>
      <c r="AZ203" s="1424"/>
      <c r="BA203" s="1424"/>
      <c r="BB203" s="1424" t="str">
        <f aca="false">IF($AT203&gt;0,VLOOKUP($AR203,'O_MN, PE_UTA_UGM 2024'!$E$3:$O$419,BB$6),"")</f>
        <v/>
      </c>
      <c r="BC203" s="1424" t="str">
        <f aca="false">IF($AT203&gt;0,VLOOKUP($AR203,'O_MN, PE_UTA_UGM 2024'!$E$3:$O$419,BC$6),"")</f>
        <v/>
      </c>
      <c r="BD203" s="1424" t="str">
        <f aca="false">IF($AT203&gt;0,VLOOKUP($AR203,'O_MN, PE_UTA_UGM 2024'!$E$3:$O$419,BD$6),"")</f>
        <v/>
      </c>
      <c r="BE203" s="1424" t="str">
        <f aca="false">IF($AT203&gt;0,VLOOKUP($AR203,'O_MN, PE_UTA_UGM 2024'!$E$3:$O$419,BE$6),"")</f>
        <v/>
      </c>
      <c r="BF203" s="1424" t="str">
        <f aca="false">IF($AT203&gt;0,VLOOKUP($AR203,'O_MN, PE_UTA_UGM 2024'!$E$3:$O$419,BF$6),"")</f>
        <v/>
      </c>
      <c r="BG203" s="1424" t="str">
        <f aca="false">IF($AT203&gt;0,VLOOKUP($AR203,'O_MN, PE_UTA_UGM 2024'!$E$3:$O$419,BG$6),"")</f>
        <v/>
      </c>
      <c r="BH203" s="872"/>
      <c r="BI203" s="872"/>
      <c r="BJ203" s="872"/>
      <c r="BK203" s="872"/>
      <c r="BM203" s="1411"/>
      <c r="BN203" s="1411"/>
      <c r="BO203" s="1425" t="str">
        <f aca="false">IF(ISNUMBER($AU203*BB203*1),$AU203*BB203*1,"")</f>
        <v/>
      </c>
      <c r="BP203" s="1425" t="str">
        <f aca="false">IF(ISNUMBER($AV203*BC203*1),$AV203*BC203*1,"")</f>
        <v/>
      </c>
      <c r="BQ203" s="1425" t="str">
        <f aca="false">IF(ISNUMBER($AU203*BD203*1),$AU203*BD203*1,"")</f>
        <v/>
      </c>
      <c r="BR203" s="1425" t="str">
        <f aca="false">IF(ISNUMBER($AV203*BE203*1),$AV203*BE203*1,"")</f>
        <v/>
      </c>
      <c r="BS203" s="1411" t="str">
        <f aca="false">IF(ISNUMBER($AU203*BF203),$AU203*BF203,"")</f>
        <v/>
      </c>
      <c r="BT203" s="1411" t="str">
        <f aca="false">IF(ISNUMBER($AV203*BG203),$AV203*BG203,"")</f>
        <v/>
      </c>
      <c r="BU203" s="1411"/>
      <c r="BV203" s="1411"/>
      <c r="BW203" s="1411"/>
      <c r="BX203" s="1411"/>
      <c r="BZ203" s="1372"/>
      <c r="CA203" s="1372"/>
      <c r="CB203" s="1426" t="str">
        <f aca="false">IF(ISNUMBER($AW203*BB203),$AW203*BB203,"")</f>
        <v/>
      </c>
      <c r="CC203" s="1426" t="str">
        <f aca="false">IF(ISNUMBER($AX203*BC203),$AX203*BC203,"")</f>
        <v/>
      </c>
      <c r="CD203" s="1426" t="str">
        <f aca="false">IF(ISNUMBER($AW203*BD203),$AW203*BD203,"")</f>
        <v/>
      </c>
      <c r="CE203" s="1426" t="str">
        <f aca="false">IF(ISNUMBER($AX203*BE203),$AX203*BE203,"")</f>
        <v/>
      </c>
      <c r="CF203" s="1372" t="str">
        <f aca="false">IF(ISNUMBER($AW203*BF203),$AW203*BF203,"")</f>
        <v/>
      </c>
      <c r="CG203" s="1372" t="str">
        <f aca="false">IF(ISNUMBER($AX203*BG203),$AX203*BG203,"")</f>
        <v/>
      </c>
      <c r="CH203" s="1438"/>
      <c r="CI203" s="1438"/>
      <c r="CJ203" s="1438"/>
      <c r="CK203" s="1438"/>
      <c r="CU203" s="1411"/>
      <c r="CV203" s="1411"/>
      <c r="CW203" s="1425"/>
      <c r="CX203" s="1425"/>
      <c r="CY203" s="1425"/>
      <c r="CZ203" s="1425"/>
      <c r="DA203" s="1411"/>
      <c r="DB203" s="1411"/>
      <c r="DC203" s="1411"/>
      <c r="DD203" s="1411"/>
      <c r="DE203" s="1411"/>
      <c r="DF203" s="1411"/>
      <c r="DH203" s="1432"/>
      <c r="DI203" s="1432"/>
      <c r="DJ203" s="1437"/>
      <c r="DK203" s="1437"/>
      <c r="DL203" s="1437"/>
      <c r="DM203" s="1437"/>
      <c r="DN203" s="1432"/>
      <c r="DO203" s="1432"/>
      <c r="DP203" s="1432"/>
      <c r="DQ203" s="1432"/>
      <c r="DR203" s="1432"/>
      <c r="DS203" s="1432"/>
      <c r="DT203" s="1316"/>
      <c r="DU203" s="1433"/>
      <c r="DV203" s="1433"/>
      <c r="DW203" s="1433"/>
      <c r="DX203" s="1433"/>
      <c r="DY203" s="1433"/>
      <c r="DZ203" s="1433"/>
      <c r="EA203" s="1433"/>
      <c r="EB203" s="1433"/>
    </row>
    <row r="204" customFormat="false" ht="14.25" hidden="false" customHeight="false" outlineLevel="0" collapsed="false">
      <c r="A204" s="2" t="n">
        <f aca="false">'V_DATOS PAC_SGA'!R199</f>
        <v>0</v>
      </c>
      <c r="B204" s="2" t="n">
        <f aca="false">IF(I204="IV",CONCATENATE('V_DATOS PAC_SGA'!R199,"4")+0,CONCATENATE('V_DATOS PAC_SGA'!R199,"0")+0)</f>
        <v>0</v>
      </c>
      <c r="C204" s="2" t="n">
        <f aca="false">'V_DATOS PAC_SGA'!S199</f>
        <v>0</v>
      </c>
      <c r="D204" s="1409" t="n">
        <f aca="false">'V_DATOS PAC_SGA'!Y199</f>
        <v>0</v>
      </c>
      <c r="E204" s="1410" t="str">
        <f aca="false">IF('V_DATOS PAC_SGA'!AV199="","Regadio",'V_DATOS PAC_SGA'!AV199)</f>
        <v>Regadio</v>
      </c>
      <c r="F204" s="1411" t="n">
        <f aca="false">'V_DATOS PAC_SGA'!BK199</f>
        <v>0</v>
      </c>
      <c r="G204" s="1412" t="n">
        <f aca="false">'V_DATOS PAC_SGA'!AN199</f>
        <v>0</v>
      </c>
      <c r="H204" s="1413" t="str">
        <f aca="false">IF(B204&gt;0,VLOOKUP(B204,'O_MN, PE_UTA_UGM 2024'!E$3:O$419,10),"")</f>
        <v/>
      </c>
      <c r="I204" s="1359" t="n">
        <f aca="false">'V_DATOS PAC_SGA'!BV199</f>
        <v>0</v>
      </c>
      <c r="J204" s="2" t="str">
        <f aca="false">IF(AND(J$4=$G204,J$6=$F204),$D204*J$5,"")</f>
        <v/>
      </c>
      <c r="K204" s="2" t="str">
        <f aca="false">IF(AND(K$4=$G204,K$6=$F204),$D204*K$5,"")</f>
        <v/>
      </c>
      <c r="L204" s="2" t="str">
        <f aca="false">IF(AND(L$4=$G204,L$6=$F204),$D204*L$5,"")</f>
        <v/>
      </c>
      <c r="M204" s="2" t="str">
        <f aca="false">IF(AND(M$4=$G204,M$6=$F204),$D204*M$5,"")</f>
        <v/>
      </c>
      <c r="N204" s="1414" t="n">
        <f aca="false">VLOOKUP(B204,'O_MN, PE_UTA_UGM 2024'!$E$2:$K$419,IF(G204&gt;1,6,7))</f>
        <v>0</v>
      </c>
      <c r="O204" s="1434" t="str">
        <f aca="false">IF($H204=O$4,$D204*$N204,"")</f>
        <v/>
      </c>
      <c r="P204" s="1435" t="str">
        <f aca="false">IF($H204=P$4,$D204*$N204,"")</f>
        <v/>
      </c>
      <c r="Q204" s="1435" t="str">
        <f aca="false">IF($H204=Q$4,$D204*$N204,"")</f>
        <v/>
      </c>
      <c r="R204" s="1435" t="str">
        <f aca="false">IF($H204=R$4,$D204*$N204,"")</f>
        <v/>
      </c>
      <c r="S204" s="1435" t="str">
        <f aca="false">IF($H204=S$4,$D204*$N204,"")</f>
        <v/>
      </c>
      <c r="T204" s="1435" t="str">
        <f aca="false">IF($H204=T$4,$D204*$N204,"")</f>
        <v/>
      </c>
      <c r="U204" s="1436" t="str">
        <f aca="false">IF($H204=U$4,$D204*$N204,"")</f>
        <v/>
      </c>
      <c r="V204" s="1418"/>
      <c r="W204" s="1419"/>
      <c r="X204" s="1419"/>
      <c r="Y204" s="1419"/>
      <c r="Z204" s="1419"/>
      <c r="AA204" s="1419"/>
      <c r="AB204" s="1420"/>
      <c r="AC204" s="1319"/>
      <c r="AD204" s="2" t="str">
        <f aca="false">IF(AND(AD$4=$G204,AD$6=$F204),$B204,"")</f>
        <v/>
      </c>
      <c r="AE204" s="2" t="str">
        <f aca="false">IF(AND(AE$4=$G204,AE$6=$F204),$B204,"")</f>
        <v/>
      </c>
      <c r="AF204" s="2" t="str">
        <f aca="false">IF(AND(AF$4=$G204,AF$6=$F204),$B204,"")</f>
        <v/>
      </c>
      <c r="AG204" s="2" t="str">
        <f aca="false">IF(AND(AG$4=$G204,AG$6=$F204),$B204,"")</f>
        <v/>
      </c>
      <c r="AI204" s="366"/>
      <c r="AL204" s="367"/>
      <c r="AO204" s="367"/>
      <c r="AP204" s="2" t="str">
        <f aca="false">IF(AT204&gt;0,RANK(AT204,AT$7:AT$423),"")</f>
        <v/>
      </c>
      <c r="AQ204" s="2" t="n">
        <f aca="false">'O_MN, PE_UTA_UGM 2024'!C200</f>
        <v>193</v>
      </c>
      <c r="AR204" s="1421" t="n">
        <v>1920</v>
      </c>
      <c r="AS204" s="2" t="str">
        <f aca="false">IF(AY204&lt;&gt;"",AY204,"")</f>
        <v/>
      </c>
      <c r="AT204" s="1422" t="n">
        <f aca="false">IF(ISNUMBER($AR204),SUMIF(B$7:B$505,AR204,D$7:D$505),"")</f>
        <v>0</v>
      </c>
      <c r="AU204" s="1411" t="n">
        <f aca="false">IF(ISNUMBER($AR204),SUMIF(AD$7:AD$503,$AR204,J$7:J$503),"")</f>
        <v>0</v>
      </c>
      <c r="AV204" s="1411" t="n">
        <f aca="false">IF(ISNUMBER($AR204),SUMIF(AF$7:AF$503,$AR204,L$7:L$503),"")</f>
        <v>0</v>
      </c>
      <c r="AW204" s="1423" t="n">
        <f aca="false">IF(ISNUMBER($AR204),SUMIF(AE$7:AE$503,$AR204,K$7:K$503),"")</f>
        <v>0</v>
      </c>
      <c r="AX204" s="1423" t="n">
        <f aca="false">IF(ISNUMBER($AR204),SUMIF(AG$7:AG$503,$AR204,M$7:M$503),"")</f>
        <v>0</v>
      </c>
      <c r="AY204" s="2" t="str">
        <f aca="false">IF($AT204&gt;0,VLOOKUP($AR204,'O_MN, PE_UTA_UGM 2024'!E200:O616,2),"")</f>
        <v/>
      </c>
      <c r="AZ204" s="1424"/>
      <c r="BA204" s="1424"/>
      <c r="BB204" s="1424" t="str">
        <f aca="false">IF($AT204&gt;0,VLOOKUP($AR204,'O_MN, PE_UTA_UGM 2024'!$E$3:$O$419,BB$6),"")</f>
        <v/>
      </c>
      <c r="BC204" s="1424" t="str">
        <f aca="false">IF($AT204&gt;0,VLOOKUP($AR204,'O_MN, PE_UTA_UGM 2024'!$E$3:$O$419,BC$6),"")</f>
        <v/>
      </c>
      <c r="BD204" s="1424" t="str">
        <f aca="false">IF($AT204&gt;0,VLOOKUP($AR204,'O_MN, PE_UTA_UGM 2024'!$E$3:$O$419,BD$6),"")</f>
        <v/>
      </c>
      <c r="BE204" s="1424" t="str">
        <f aca="false">IF($AT204&gt;0,VLOOKUP($AR204,'O_MN, PE_UTA_UGM 2024'!$E$3:$O$419,BE$6),"")</f>
        <v/>
      </c>
      <c r="BF204" s="1424" t="str">
        <f aca="false">IF($AT204&gt;0,VLOOKUP($AR204,'O_MN, PE_UTA_UGM 2024'!$E$3:$O$419,BF$6),"")</f>
        <v/>
      </c>
      <c r="BG204" s="1424" t="str">
        <f aca="false">IF($AT204&gt;0,VLOOKUP($AR204,'O_MN, PE_UTA_UGM 2024'!$E$3:$O$419,BG$6),"")</f>
        <v/>
      </c>
      <c r="BH204" s="872"/>
      <c r="BI204" s="872"/>
      <c r="BJ204" s="872"/>
      <c r="BK204" s="872"/>
      <c r="BM204" s="1411"/>
      <c r="BN204" s="1411"/>
      <c r="BO204" s="1425" t="str">
        <f aca="false">IF(ISNUMBER($AU204*BB204*1),$AU204*BB204*1,"")</f>
        <v/>
      </c>
      <c r="BP204" s="1425" t="str">
        <f aca="false">IF(ISNUMBER($AV204*BC204*1),$AV204*BC204*1,"")</f>
        <v/>
      </c>
      <c r="BQ204" s="1425" t="str">
        <f aca="false">IF(ISNUMBER($AU204*BD204*1),$AU204*BD204*1,"")</f>
        <v/>
      </c>
      <c r="BR204" s="1425" t="str">
        <f aca="false">IF(ISNUMBER($AV204*BE204*1),$AV204*BE204*1,"")</f>
        <v/>
      </c>
      <c r="BS204" s="1411" t="str">
        <f aca="false">IF(ISNUMBER($AU204*BF204),$AU204*BF204,"")</f>
        <v/>
      </c>
      <c r="BT204" s="1411" t="str">
        <f aca="false">IF(ISNUMBER($AV204*BG204),$AV204*BG204,"")</f>
        <v/>
      </c>
      <c r="BU204" s="1411"/>
      <c r="BV204" s="1411"/>
      <c r="BW204" s="1411"/>
      <c r="BX204" s="1411"/>
      <c r="BZ204" s="1372"/>
      <c r="CA204" s="1372"/>
      <c r="CB204" s="1426" t="str">
        <f aca="false">IF(ISNUMBER($AW204*BB204),$AW204*BB204,"")</f>
        <v/>
      </c>
      <c r="CC204" s="1426" t="str">
        <f aca="false">IF(ISNUMBER($AX204*BC204),$AX204*BC204,"")</f>
        <v/>
      </c>
      <c r="CD204" s="1426" t="str">
        <f aca="false">IF(ISNUMBER($AW204*BD204),$AW204*BD204,"")</f>
        <v/>
      </c>
      <c r="CE204" s="1426" t="str">
        <f aca="false">IF(ISNUMBER($AX204*BE204),$AX204*BE204,"")</f>
        <v/>
      </c>
      <c r="CF204" s="1372" t="str">
        <f aca="false">IF(ISNUMBER($AW204*BF204),$AW204*BF204,"")</f>
        <v/>
      </c>
      <c r="CG204" s="1372" t="str">
        <f aca="false">IF(ISNUMBER($AX204*BG204),$AX204*BG204,"")</f>
        <v/>
      </c>
      <c r="CH204" s="1438"/>
      <c r="CI204" s="1438"/>
      <c r="CJ204" s="1438"/>
      <c r="CK204" s="1438"/>
      <c r="CU204" s="1411"/>
      <c r="CV204" s="1411"/>
      <c r="CW204" s="1425"/>
      <c r="CX204" s="1425"/>
      <c r="CY204" s="1425"/>
      <c r="CZ204" s="1425"/>
      <c r="DA204" s="1411"/>
      <c r="DB204" s="1411"/>
      <c r="DC204" s="1411"/>
      <c r="DD204" s="1411"/>
      <c r="DE204" s="1411"/>
      <c r="DF204" s="1411"/>
      <c r="DH204" s="1432"/>
      <c r="DI204" s="1432"/>
      <c r="DJ204" s="1437"/>
      <c r="DK204" s="1437"/>
      <c r="DL204" s="1437"/>
      <c r="DM204" s="1437"/>
      <c r="DN204" s="1432"/>
      <c r="DO204" s="1432"/>
      <c r="DP204" s="1432"/>
      <c r="DQ204" s="1432"/>
      <c r="DR204" s="1432"/>
      <c r="DS204" s="1432"/>
      <c r="DT204" s="1316"/>
      <c r="DU204" s="1433"/>
      <c r="DV204" s="1433"/>
      <c r="DW204" s="1433"/>
      <c r="DX204" s="1433"/>
      <c r="DY204" s="1433"/>
      <c r="DZ204" s="1433"/>
      <c r="EA204" s="1433"/>
      <c r="EB204" s="1433"/>
    </row>
    <row r="205" customFormat="false" ht="14.25" hidden="false" customHeight="false" outlineLevel="0" collapsed="false">
      <c r="A205" s="2" t="n">
        <f aca="false">'V_DATOS PAC_SGA'!R200</f>
        <v>0</v>
      </c>
      <c r="B205" s="2" t="n">
        <f aca="false">IF(I205="IV",CONCATENATE('V_DATOS PAC_SGA'!R200,"4")+0,CONCATENATE('V_DATOS PAC_SGA'!R200,"0")+0)</f>
        <v>0</v>
      </c>
      <c r="C205" s="2" t="n">
        <f aca="false">'V_DATOS PAC_SGA'!S200</f>
        <v>0</v>
      </c>
      <c r="D205" s="1409" t="n">
        <f aca="false">'V_DATOS PAC_SGA'!Y200</f>
        <v>0</v>
      </c>
      <c r="E205" s="1410" t="str">
        <f aca="false">IF('V_DATOS PAC_SGA'!AV200="","Regadio",'V_DATOS PAC_SGA'!AV200)</f>
        <v>Regadio</v>
      </c>
      <c r="F205" s="1411" t="n">
        <f aca="false">'V_DATOS PAC_SGA'!BK200</f>
        <v>0</v>
      </c>
      <c r="G205" s="1412" t="n">
        <f aca="false">'V_DATOS PAC_SGA'!AN200</f>
        <v>0</v>
      </c>
      <c r="H205" s="1413" t="str">
        <f aca="false">IF(B205&gt;0,VLOOKUP(B205,'O_MN, PE_UTA_UGM 2024'!E$3:O$419,10),"")</f>
        <v/>
      </c>
      <c r="I205" s="1359" t="n">
        <f aca="false">'V_DATOS PAC_SGA'!BV200</f>
        <v>0</v>
      </c>
      <c r="J205" s="2" t="str">
        <f aca="false">IF(AND(J$4=$G205,J$6=$F205),$D205*J$5,"")</f>
        <v/>
      </c>
      <c r="K205" s="2" t="str">
        <f aca="false">IF(AND(K$4=$G205,K$6=$F205),$D205*K$5,"")</f>
        <v/>
      </c>
      <c r="L205" s="2" t="str">
        <f aca="false">IF(AND(L$4=$G205,L$6=$F205),$D205*L$5,"")</f>
        <v/>
      </c>
      <c r="M205" s="2" t="str">
        <f aca="false">IF(AND(M$4=$G205,M$6=$F205),$D205*M$5,"")</f>
        <v/>
      </c>
      <c r="N205" s="1414" t="n">
        <f aca="false">VLOOKUP(B205,'O_MN, PE_UTA_UGM 2024'!$E$2:$K$419,IF(G205&gt;1,6,7))</f>
        <v>0</v>
      </c>
      <c r="O205" s="1434" t="str">
        <f aca="false">IF($H205=O$4,$D205*$N205,"")</f>
        <v/>
      </c>
      <c r="P205" s="1435" t="str">
        <f aca="false">IF($H205=P$4,$D205*$N205,"")</f>
        <v/>
      </c>
      <c r="Q205" s="1435" t="str">
        <f aca="false">IF($H205=Q$4,$D205*$N205,"")</f>
        <v/>
      </c>
      <c r="R205" s="1435" t="str">
        <f aca="false">IF($H205=R$4,$D205*$N205,"")</f>
        <v/>
      </c>
      <c r="S205" s="1435" t="str">
        <f aca="false">IF($H205=S$4,$D205*$N205,"")</f>
        <v/>
      </c>
      <c r="T205" s="1435" t="str">
        <f aca="false">IF($H205=T$4,$D205*$N205,"")</f>
        <v/>
      </c>
      <c r="U205" s="1436" t="str">
        <f aca="false">IF($H205=U$4,$D205*$N205,"")</f>
        <v/>
      </c>
      <c r="V205" s="1418"/>
      <c r="W205" s="1419"/>
      <c r="X205" s="1419"/>
      <c r="Y205" s="1419"/>
      <c r="Z205" s="1419"/>
      <c r="AA205" s="1419"/>
      <c r="AB205" s="1420"/>
      <c r="AC205" s="1319"/>
      <c r="AD205" s="2" t="str">
        <f aca="false">IF(AND(AD$4=$G205,AD$6=$F205),$B205,"")</f>
        <v/>
      </c>
      <c r="AE205" s="2" t="str">
        <f aca="false">IF(AND(AE$4=$G205,AE$6=$F205),$B205,"")</f>
        <v/>
      </c>
      <c r="AF205" s="2" t="str">
        <f aca="false">IF(AND(AF$4=$G205,AF$6=$F205),$B205,"")</f>
        <v/>
      </c>
      <c r="AG205" s="2" t="str">
        <f aca="false">IF(AND(AG$4=$G205,AG$6=$F205),$B205,"")</f>
        <v/>
      </c>
      <c r="AI205" s="366"/>
      <c r="AL205" s="367"/>
      <c r="AO205" s="367"/>
      <c r="AP205" s="2" t="str">
        <f aca="false">IF(AT205&gt;0,RANK(AT205,AT$7:AT$423),"")</f>
        <v/>
      </c>
      <c r="AQ205" s="2" t="n">
        <f aca="false">'O_MN, PE_UTA_UGM 2024'!C201</f>
        <v>193</v>
      </c>
      <c r="AR205" s="1421" t="n">
        <v>1924</v>
      </c>
      <c r="AS205" s="2" t="str">
        <f aca="false">IF(AY205&lt;&gt;"",AY205,"")</f>
        <v/>
      </c>
      <c r="AT205" s="1422" t="n">
        <f aca="false">IF(ISNUMBER($AR205),SUMIF(B$7:B$505,AR205,D$7:D$505),"")</f>
        <v>0</v>
      </c>
      <c r="AU205" s="1411" t="n">
        <f aca="false">IF(ISNUMBER($AR205),SUMIF(AD$7:AD$503,$AR205,J$7:J$503),"")</f>
        <v>0</v>
      </c>
      <c r="AV205" s="1411" t="n">
        <f aca="false">IF(ISNUMBER($AR205),SUMIF(AF$7:AF$503,$AR205,L$7:L$503),"")</f>
        <v>0</v>
      </c>
      <c r="AW205" s="1423" t="n">
        <f aca="false">IF(ISNUMBER($AR205),SUMIF(AE$7:AE$503,$AR205,K$7:K$503),"")</f>
        <v>0</v>
      </c>
      <c r="AX205" s="1423" t="n">
        <f aca="false">IF(ISNUMBER($AR205),SUMIF(AG$7:AG$503,$AR205,M$7:M$503),"")</f>
        <v>0</v>
      </c>
      <c r="AY205" s="2" t="str">
        <f aca="false">IF($AT205&gt;0,VLOOKUP($AR205,'O_MN, PE_UTA_UGM 2024'!E201:O617,2),"")</f>
        <v/>
      </c>
      <c r="AZ205" s="1424"/>
      <c r="BA205" s="1424"/>
      <c r="BB205" s="1424" t="str">
        <f aca="false">IF($AT205&gt;0,VLOOKUP($AR205,'O_MN, PE_UTA_UGM 2024'!$E$3:$O$419,BB$6),"")</f>
        <v/>
      </c>
      <c r="BC205" s="1424" t="str">
        <f aca="false">IF($AT205&gt;0,VLOOKUP($AR205,'O_MN, PE_UTA_UGM 2024'!$E$3:$O$419,BC$6),"")</f>
        <v/>
      </c>
      <c r="BD205" s="1424" t="str">
        <f aca="false">IF($AT205&gt;0,VLOOKUP($AR205,'O_MN, PE_UTA_UGM 2024'!$E$3:$O$419,BD$6),"")</f>
        <v/>
      </c>
      <c r="BE205" s="1424" t="str">
        <f aca="false">IF($AT205&gt;0,VLOOKUP($AR205,'O_MN, PE_UTA_UGM 2024'!$E$3:$O$419,BE$6),"")</f>
        <v/>
      </c>
      <c r="BF205" s="1424" t="str">
        <f aca="false">IF($AT205&gt;0,VLOOKUP($AR205,'O_MN, PE_UTA_UGM 2024'!$E$3:$O$419,BF$6),"")</f>
        <v/>
      </c>
      <c r="BG205" s="1424" t="str">
        <f aca="false">IF($AT205&gt;0,VLOOKUP($AR205,'O_MN, PE_UTA_UGM 2024'!$E$3:$O$419,BG$6),"")</f>
        <v/>
      </c>
      <c r="BH205" s="872"/>
      <c r="BI205" s="872"/>
      <c r="BJ205" s="872"/>
      <c r="BK205" s="872"/>
      <c r="BM205" s="1411"/>
      <c r="BN205" s="1411"/>
      <c r="BO205" s="1425" t="str">
        <f aca="false">IF(ISNUMBER($AU205*BB205*1),$AU205*BB205*1,"")</f>
        <v/>
      </c>
      <c r="BP205" s="1425" t="str">
        <f aca="false">IF(ISNUMBER($AV205*BC205*1),$AV205*BC205*1,"")</f>
        <v/>
      </c>
      <c r="BQ205" s="1425" t="str">
        <f aca="false">IF(ISNUMBER($AU205*BD205*1),$AU205*BD205*1,"")</f>
        <v/>
      </c>
      <c r="BR205" s="1425" t="str">
        <f aca="false">IF(ISNUMBER($AV205*BE205*1),$AV205*BE205*1,"")</f>
        <v/>
      </c>
      <c r="BS205" s="1411" t="str">
        <f aca="false">IF(ISNUMBER($AU205*BF205),$AU205*BF205,"")</f>
        <v/>
      </c>
      <c r="BT205" s="1411" t="str">
        <f aca="false">IF(ISNUMBER($AV205*BG205),$AV205*BG205,"")</f>
        <v/>
      </c>
      <c r="BU205" s="1411"/>
      <c r="BV205" s="1411"/>
      <c r="BW205" s="1411"/>
      <c r="BX205" s="1411"/>
      <c r="BZ205" s="1372"/>
      <c r="CA205" s="1372"/>
      <c r="CB205" s="1426" t="str">
        <f aca="false">IF(ISNUMBER($AW205*BB205),$AW205*BB205,"")</f>
        <v/>
      </c>
      <c r="CC205" s="1426" t="str">
        <f aca="false">IF(ISNUMBER($AX205*BC205),$AX205*BC205,"")</f>
        <v/>
      </c>
      <c r="CD205" s="1426" t="str">
        <f aca="false">IF(ISNUMBER($AW205*BD205),$AW205*BD205,"")</f>
        <v/>
      </c>
      <c r="CE205" s="1426" t="str">
        <f aca="false">IF(ISNUMBER($AX205*BE205),$AX205*BE205,"")</f>
        <v/>
      </c>
      <c r="CF205" s="1372" t="str">
        <f aca="false">IF(ISNUMBER($AW205*BF205),$AW205*BF205,"")</f>
        <v/>
      </c>
      <c r="CG205" s="1372" t="str">
        <f aca="false">IF(ISNUMBER($AX205*BG205),$AX205*BG205,"")</f>
        <v/>
      </c>
      <c r="CH205" s="1438"/>
      <c r="CI205" s="1438"/>
      <c r="CJ205" s="1438"/>
      <c r="CK205" s="1438"/>
      <c r="CU205" s="1411"/>
      <c r="CV205" s="1411"/>
      <c r="CW205" s="1425"/>
      <c r="CX205" s="1425"/>
      <c r="CY205" s="1425"/>
      <c r="CZ205" s="1425"/>
      <c r="DA205" s="1411"/>
      <c r="DB205" s="1411"/>
      <c r="DC205" s="1411"/>
      <c r="DD205" s="1411"/>
      <c r="DE205" s="1411"/>
      <c r="DF205" s="1411"/>
      <c r="DH205" s="1432"/>
      <c r="DI205" s="1432"/>
      <c r="DJ205" s="1437"/>
      <c r="DK205" s="1437"/>
      <c r="DL205" s="1437"/>
      <c r="DM205" s="1437"/>
      <c r="DN205" s="1432"/>
      <c r="DO205" s="1432"/>
      <c r="DP205" s="1432"/>
      <c r="DQ205" s="1432"/>
      <c r="DR205" s="1432"/>
      <c r="DS205" s="1432"/>
      <c r="DT205" s="1316"/>
      <c r="DU205" s="1433"/>
      <c r="DV205" s="1433"/>
      <c r="DW205" s="1433"/>
      <c r="DX205" s="1433"/>
      <c r="DY205" s="1433"/>
      <c r="DZ205" s="1433"/>
      <c r="EA205" s="1433"/>
      <c r="EB205" s="1433"/>
    </row>
    <row r="206" customFormat="false" ht="14.25" hidden="false" customHeight="false" outlineLevel="0" collapsed="false">
      <c r="A206" s="2" t="n">
        <f aca="false">'V_DATOS PAC_SGA'!R201</f>
        <v>0</v>
      </c>
      <c r="B206" s="2" t="n">
        <f aca="false">IF(I206="IV",CONCATENATE('V_DATOS PAC_SGA'!R201,"4")+0,CONCATENATE('V_DATOS PAC_SGA'!R201,"0")+0)</f>
        <v>0</v>
      </c>
      <c r="C206" s="2" t="n">
        <f aca="false">'V_DATOS PAC_SGA'!S201</f>
        <v>0</v>
      </c>
      <c r="D206" s="1409" t="n">
        <f aca="false">'V_DATOS PAC_SGA'!Y201</f>
        <v>0</v>
      </c>
      <c r="E206" s="1410" t="str">
        <f aca="false">IF('V_DATOS PAC_SGA'!AV201="","Regadio",'V_DATOS PAC_SGA'!AV201)</f>
        <v>Regadio</v>
      </c>
      <c r="F206" s="1411" t="n">
        <f aca="false">'V_DATOS PAC_SGA'!BK201</f>
        <v>0</v>
      </c>
      <c r="G206" s="1412" t="n">
        <f aca="false">'V_DATOS PAC_SGA'!AN201</f>
        <v>0</v>
      </c>
      <c r="H206" s="1413" t="str">
        <f aca="false">IF(B206&gt;0,VLOOKUP(B206,'O_MN, PE_UTA_UGM 2024'!E$3:O$419,10),"")</f>
        <v/>
      </c>
      <c r="I206" s="1359" t="n">
        <f aca="false">'V_DATOS PAC_SGA'!BV201</f>
        <v>0</v>
      </c>
      <c r="J206" s="2" t="str">
        <f aca="false">IF(AND(J$4=$G206,J$6=$F206),$D206*J$5,"")</f>
        <v/>
      </c>
      <c r="K206" s="2" t="str">
        <f aca="false">IF(AND(K$4=$G206,K$6=$F206),$D206*K$5,"")</f>
        <v/>
      </c>
      <c r="L206" s="2" t="str">
        <f aca="false">IF(AND(L$4=$G206,L$6=$F206),$D206*L$5,"")</f>
        <v/>
      </c>
      <c r="M206" s="2" t="str">
        <f aca="false">IF(AND(M$4=$G206,M$6=$F206),$D206*M$5,"")</f>
        <v/>
      </c>
      <c r="N206" s="1414" t="n">
        <f aca="false">VLOOKUP(B206,'O_MN, PE_UTA_UGM 2024'!$E$2:$K$419,IF(G206&gt;1,6,7))</f>
        <v>0</v>
      </c>
      <c r="O206" s="1434" t="str">
        <f aca="false">IF($H206=O$4,$D206*$N206,"")</f>
        <v/>
      </c>
      <c r="P206" s="1435" t="str">
        <f aca="false">IF($H206=P$4,$D206*$N206,"")</f>
        <v/>
      </c>
      <c r="Q206" s="1435" t="str">
        <f aca="false">IF($H206=Q$4,$D206*$N206,"")</f>
        <v/>
      </c>
      <c r="R206" s="1435" t="str">
        <f aca="false">IF($H206=R$4,$D206*$N206,"")</f>
        <v/>
      </c>
      <c r="S206" s="1435" t="str">
        <f aca="false">IF($H206=S$4,$D206*$N206,"")</f>
        <v/>
      </c>
      <c r="T206" s="1435" t="str">
        <f aca="false">IF($H206=T$4,$D206*$N206,"")</f>
        <v/>
      </c>
      <c r="U206" s="1436" t="str">
        <f aca="false">IF($H206=U$4,$D206*$N206,"")</f>
        <v/>
      </c>
      <c r="V206" s="1418"/>
      <c r="W206" s="1419"/>
      <c r="X206" s="1419"/>
      <c r="Y206" s="1419"/>
      <c r="Z206" s="1419"/>
      <c r="AA206" s="1419"/>
      <c r="AB206" s="1420"/>
      <c r="AC206" s="1319"/>
      <c r="AD206" s="2" t="str">
        <f aca="false">IF(AND(AD$4=$G206,AD$6=$F206),$B206,"")</f>
        <v/>
      </c>
      <c r="AE206" s="2" t="str">
        <f aca="false">IF(AND(AE$4=$G206,AE$6=$F206),$B206,"")</f>
        <v/>
      </c>
      <c r="AF206" s="2" t="str">
        <f aca="false">IF(AND(AF$4=$G206,AF$6=$F206),$B206,"")</f>
        <v/>
      </c>
      <c r="AG206" s="2" t="str">
        <f aca="false">IF(AND(AG$4=$G206,AG$6=$F206),$B206,"")</f>
        <v/>
      </c>
      <c r="AI206" s="366"/>
      <c r="AL206" s="367"/>
      <c r="AO206" s="367"/>
      <c r="AP206" s="2" t="str">
        <f aca="false">IF(AT206&gt;0,RANK(AT206,AT$7:AT$423),"")</f>
        <v/>
      </c>
      <c r="AQ206" s="2" t="n">
        <f aca="false">'O_MN, PE_UTA_UGM 2024'!C202</f>
        <v>194</v>
      </c>
      <c r="AR206" s="1421" t="n">
        <v>1929</v>
      </c>
      <c r="AS206" s="2" t="str">
        <f aca="false">IF(AY206&lt;&gt;"",AY206,"")</f>
        <v/>
      </c>
      <c r="AT206" s="1422" t="n">
        <f aca="false">IF(ISNUMBER($AR206),SUMIF(B$7:B$505,AR206,D$7:D$505),"")</f>
        <v>0</v>
      </c>
      <c r="AU206" s="1411" t="n">
        <f aca="false">IF(ISNUMBER($AR206),SUMIF(AD$7:AD$503,$AR206,J$7:J$503),"")</f>
        <v>0</v>
      </c>
      <c r="AV206" s="1411" t="n">
        <f aca="false">IF(ISNUMBER($AR206),SUMIF(AF$7:AF$503,$AR206,L$7:L$503),"")</f>
        <v>0</v>
      </c>
      <c r="AW206" s="1423" t="n">
        <f aca="false">IF(ISNUMBER($AR206),SUMIF(AE$7:AE$503,$AR206,K$7:K$503),"")</f>
        <v>0</v>
      </c>
      <c r="AX206" s="1423" t="n">
        <f aca="false">IF(ISNUMBER($AR206),SUMIF(AG$7:AG$503,$AR206,M$7:M$503),"")</f>
        <v>0</v>
      </c>
      <c r="AY206" s="2" t="str">
        <f aca="false">IF($AT206&gt;0,VLOOKUP($AR206,'O_MN, PE_UTA_UGM 2024'!E202:O618,2),"")</f>
        <v/>
      </c>
      <c r="AZ206" s="1424"/>
      <c r="BA206" s="1424"/>
      <c r="BB206" s="1424" t="str">
        <f aca="false">IF($AT206&gt;0,VLOOKUP($AR206,'O_MN, PE_UTA_UGM 2024'!$E$3:$O$419,BB$6),"")</f>
        <v/>
      </c>
      <c r="BC206" s="1424" t="str">
        <f aca="false">IF($AT206&gt;0,VLOOKUP($AR206,'O_MN, PE_UTA_UGM 2024'!$E$3:$O$419,BC$6),"")</f>
        <v/>
      </c>
      <c r="BD206" s="1424" t="str">
        <f aca="false">IF($AT206&gt;0,VLOOKUP($AR206,'O_MN, PE_UTA_UGM 2024'!$E$3:$O$419,BD$6),"")</f>
        <v/>
      </c>
      <c r="BE206" s="1424" t="str">
        <f aca="false">IF($AT206&gt;0,VLOOKUP($AR206,'O_MN, PE_UTA_UGM 2024'!$E$3:$O$419,BE$6),"")</f>
        <v/>
      </c>
      <c r="BF206" s="1424" t="str">
        <f aca="false">IF($AT206&gt;0,VLOOKUP($AR206,'O_MN, PE_UTA_UGM 2024'!$E$3:$O$419,BF$6),"")</f>
        <v/>
      </c>
      <c r="BG206" s="1424" t="str">
        <f aca="false">IF($AT206&gt;0,VLOOKUP($AR206,'O_MN, PE_UTA_UGM 2024'!$E$3:$O$419,BG$6),"")</f>
        <v/>
      </c>
      <c r="BH206" s="872"/>
      <c r="BI206" s="872"/>
      <c r="BJ206" s="872"/>
      <c r="BK206" s="872"/>
      <c r="BM206" s="1411"/>
      <c r="BN206" s="1411"/>
      <c r="BO206" s="1425" t="str">
        <f aca="false">IF(ISNUMBER($AU206*BB206*1),$AU206*BB206*1,"")</f>
        <v/>
      </c>
      <c r="BP206" s="1425" t="str">
        <f aca="false">IF(ISNUMBER($AV206*BC206*1),$AV206*BC206*1,"")</f>
        <v/>
      </c>
      <c r="BQ206" s="1425" t="str">
        <f aca="false">IF(ISNUMBER($AU206*BD206*1),$AU206*BD206*1,"")</f>
        <v/>
      </c>
      <c r="BR206" s="1425" t="str">
        <f aca="false">IF(ISNUMBER($AV206*BE206*1),$AV206*BE206*1,"")</f>
        <v/>
      </c>
      <c r="BS206" s="1411" t="str">
        <f aca="false">IF(ISNUMBER($AU206*BF206),$AU206*BF206,"")</f>
        <v/>
      </c>
      <c r="BT206" s="1411" t="str">
        <f aca="false">IF(ISNUMBER($AV206*BG206),$AV206*BG206,"")</f>
        <v/>
      </c>
      <c r="BU206" s="1411"/>
      <c r="BV206" s="1411"/>
      <c r="BW206" s="1411"/>
      <c r="BX206" s="1411"/>
      <c r="BZ206" s="1372"/>
      <c r="CA206" s="1372"/>
      <c r="CB206" s="1426" t="str">
        <f aca="false">IF(ISNUMBER($AW206*BB206),$AW206*BB206,"")</f>
        <v/>
      </c>
      <c r="CC206" s="1426" t="str">
        <f aca="false">IF(ISNUMBER($AX206*BC206),$AX206*BC206,"")</f>
        <v/>
      </c>
      <c r="CD206" s="1426" t="str">
        <f aca="false">IF(ISNUMBER($AW206*BD206),$AW206*BD206,"")</f>
        <v/>
      </c>
      <c r="CE206" s="1426" t="str">
        <f aca="false">IF(ISNUMBER($AX206*BE206),$AX206*BE206,"")</f>
        <v/>
      </c>
      <c r="CF206" s="1372" t="str">
        <f aca="false">IF(ISNUMBER($AW206*BF206),$AW206*BF206,"")</f>
        <v/>
      </c>
      <c r="CG206" s="1372" t="str">
        <f aca="false">IF(ISNUMBER($AX206*BG206),$AX206*BG206,"")</f>
        <v/>
      </c>
      <c r="CH206" s="1438"/>
      <c r="CI206" s="1438"/>
      <c r="CJ206" s="1438"/>
      <c r="CK206" s="1438"/>
      <c r="CU206" s="1411"/>
      <c r="CV206" s="1411"/>
      <c r="CW206" s="1425"/>
      <c r="CX206" s="1425"/>
      <c r="CY206" s="1425"/>
      <c r="CZ206" s="1425"/>
      <c r="DA206" s="1411"/>
      <c r="DB206" s="1411"/>
      <c r="DC206" s="1411"/>
      <c r="DD206" s="1411"/>
      <c r="DE206" s="1411"/>
      <c r="DF206" s="1411"/>
      <c r="DH206" s="1432"/>
      <c r="DI206" s="1432"/>
      <c r="DJ206" s="1437"/>
      <c r="DK206" s="1437"/>
      <c r="DL206" s="1437"/>
      <c r="DM206" s="1437"/>
      <c r="DN206" s="1432"/>
      <c r="DO206" s="1432"/>
      <c r="DP206" s="1432"/>
      <c r="DQ206" s="1432"/>
      <c r="DR206" s="1432"/>
      <c r="DS206" s="1432"/>
      <c r="DT206" s="1316"/>
      <c r="DU206" s="1433"/>
      <c r="DV206" s="1433"/>
      <c r="DW206" s="1433"/>
      <c r="DX206" s="1433"/>
      <c r="DY206" s="1433"/>
      <c r="DZ206" s="1433"/>
      <c r="EA206" s="1433"/>
      <c r="EB206" s="1433"/>
    </row>
    <row r="207" customFormat="false" ht="14.25" hidden="false" customHeight="false" outlineLevel="0" collapsed="false">
      <c r="A207" s="2" t="n">
        <f aca="false">'V_DATOS PAC_SGA'!R202</f>
        <v>0</v>
      </c>
      <c r="B207" s="2" t="n">
        <f aca="false">IF(I207="IV",CONCATENATE('V_DATOS PAC_SGA'!R202,"4")+0,CONCATENATE('V_DATOS PAC_SGA'!R202,"0")+0)</f>
        <v>0</v>
      </c>
      <c r="C207" s="2" t="n">
        <f aca="false">'V_DATOS PAC_SGA'!S202</f>
        <v>0</v>
      </c>
      <c r="D207" s="1409" t="n">
        <f aca="false">'V_DATOS PAC_SGA'!Y202</f>
        <v>0</v>
      </c>
      <c r="E207" s="1410" t="str">
        <f aca="false">IF('V_DATOS PAC_SGA'!AV202="","Regadio",'V_DATOS PAC_SGA'!AV202)</f>
        <v>Regadio</v>
      </c>
      <c r="F207" s="1411" t="n">
        <f aca="false">'V_DATOS PAC_SGA'!BK202</f>
        <v>0</v>
      </c>
      <c r="G207" s="1412" t="n">
        <f aca="false">'V_DATOS PAC_SGA'!AN202</f>
        <v>0</v>
      </c>
      <c r="H207" s="1413" t="str">
        <f aca="false">IF(B207&gt;0,VLOOKUP(B207,'O_MN, PE_UTA_UGM 2024'!E$3:O$419,10),"")</f>
        <v/>
      </c>
      <c r="I207" s="1359" t="n">
        <f aca="false">'V_DATOS PAC_SGA'!BV202</f>
        <v>0</v>
      </c>
      <c r="J207" s="2" t="str">
        <f aca="false">IF(AND(J$4=$G207,J$6=$F207),$D207*J$5,"")</f>
        <v/>
      </c>
      <c r="K207" s="2" t="str">
        <f aca="false">IF(AND(K$4=$G207,K$6=$F207),$D207*K$5,"")</f>
        <v/>
      </c>
      <c r="L207" s="2" t="str">
        <f aca="false">IF(AND(L$4=$G207,L$6=$F207),$D207*L$5,"")</f>
        <v/>
      </c>
      <c r="M207" s="2" t="str">
        <f aca="false">IF(AND(M$4=$G207,M$6=$F207),$D207*M$5,"")</f>
        <v/>
      </c>
      <c r="N207" s="1414" t="n">
        <f aca="false">VLOOKUP(B207,'O_MN, PE_UTA_UGM 2024'!$E$2:$K$419,IF(G207&gt;1,6,7))</f>
        <v>0</v>
      </c>
      <c r="O207" s="1434" t="str">
        <f aca="false">IF($H207=O$4,$D207*$N207,"")</f>
        <v/>
      </c>
      <c r="P207" s="1435" t="str">
        <f aca="false">IF($H207=P$4,$D207*$N207,"")</f>
        <v/>
      </c>
      <c r="Q207" s="1435" t="str">
        <f aca="false">IF($H207=Q$4,$D207*$N207,"")</f>
        <v/>
      </c>
      <c r="R207" s="1435" t="str">
        <f aca="false">IF($H207=R$4,$D207*$N207,"")</f>
        <v/>
      </c>
      <c r="S207" s="1435" t="str">
        <f aca="false">IF($H207=S$4,$D207*$N207,"")</f>
        <v/>
      </c>
      <c r="T207" s="1435" t="str">
        <f aca="false">IF($H207=T$4,$D207*$N207,"")</f>
        <v/>
      </c>
      <c r="U207" s="1436" t="str">
        <f aca="false">IF($H207=U$4,$D207*$N207,"")</f>
        <v/>
      </c>
      <c r="V207" s="1418"/>
      <c r="W207" s="1419"/>
      <c r="X207" s="1419"/>
      <c r="Y207" s="1419"/>
      <c r="Z207" s="1419"/>
      <c r="AA207" s="1419"/>
      <c r="AB207" s="1420"/>
      <c r="AC207" s="1319"/>
      <c r="AD207" s="2" t="str">
        <f aca="false">IF(AND(AD$4=$G207,AD$6=$F207),$B207,"")</f>
        <v/>
      </c>
      <c r="AE207" s="2" t="str">
        <f aca="false">IF(AND(AE$4=$G207,AE$6=$F207),$B207,"")</f>
        <v/>
      </c>
      <c r="AF207" s="2" t="str">
        <f aca="false">IF(AND(AF$4=$G207,AF$6=$F207),$B207,"")</f>
        <v/>
      </c>
      <c r="AG207" s="2" t="str">
        <f aca="false">IF(AND(AG$4=$G207,AG$6=$F207),$B207,"")</f>
        <v/>
      </c>
      <c r="AI207" s="366"/>
      <c r="AL207" s="367"/>
      <c r="AO207" s="367"/>
      <c r="AP207" s="2" t="str">
        <f aca="false">IF(AT207&gt;0,RANK(AT207,AT$7:AT$423),"")</f>
        <v/>
      </c>
      <c r="AQ207" s="2" t="n">
        <f aca="false">'O_MN, PE_UTA_UGM 2024'!C203</f>
        <v>197</v>
      </c>
      <c r="AR207" s="1421" t="n">
        <v>1930</v>
      </c>
      <c r="AS207" s="2" t="str">
        <f aca="false">IF(AY207&lt;&gt;"",AY207,"")</f>
        <v/>
      </c>
      <c r="AT207" s="1422" t="n">
        <f aca="false">IF(ISNUMBER($AR207),SUMIF(B$7:B$505,AR207,D$7:D$505),"")</f>
        <v>0</v>
      </c>
      <c r="AU207" s="1411" t="n">
        <f aca="false">IF(ISNUMBER($AR207),SUMIF(AD$7:AD$503,$AR207,J$7:J$503),"")</f>
        <v>0</v>
      </c>
      <c r="AV207" s="1411" t="n">
        <f aca="false">IF(ISNUMBER($AR207),SUMIF(AF$7:AF$503,$AR207,L$7:L$503),"")</f>
        <v>0</v>
      </c>
      <c r="AW207" s="1423" t="n">
        <f aca="false">IF(ISNUMBER($AR207),SUMIF(AE$7:AE$503,$AR207,K$7:K$503),"")</f>
        <v>0</v>
      </c>
      <c r="AX207" s="1423" t="n">
        <f aca="false">IF(ISNUMBER($AR207),SUMIF(AG$7:AG$503,$AR207,M$7:M$503),"")</f>
        <v>0</v>
      </c>
      <c r="AY207" s="2" t="str">
        <f aca="false">IF($AT207&gt;0,VLOOKUP($AR207,'O_MN, PE_UTA_UGM 2024'!E203:O619,2),"")</f>
        <v/>
      </c>
      <c r="AZ207" s="1424"/>
      <c r="BA207" s="1424"/>
      <c r="BB207" s="1424" t="str">
        <f aca="false">IF($AT207&gt;0,VLOOKUP($AR207,'O_MN, PE_UTA_UGM 2024'!$E$3:$O$419,BB$6),"")</f>
        <v/>
      </c>
      <c r="BC207" s="1424" t="str">
        <f aca="false">IF($AT207&gt;0,VLOOKUP($AR207,'O_MN, PE_UTA_UGM 2024'!$E$3:$O$419,BC$6),"")</f>
        <v/>
      </c>
      <c r="BD207" s="1424" t="str">
        <f aca="false">IF($AT207&gt;0,VLOOKUP($AR207,'O_MN, PE_UTA_UGM 2024'!$E$3:$O$419,BD$6),"")</f>
        <v/>
      </c>
      <c r="BE207" s="1424" t="str">
        <f aca="false">IF($AT207&gt;0,VLOOKUP($AR207,'O_MN, PE_UTA_UGM 2024'!$E$3:$O$419,BE$6),"")</f>
        <v/>
      </c>
      <c r="BF207" s="1424" t="str">
        <f aca="false">IF($AT207&gt;0,VLOOKUP($AR207,'O_MN, PE_UTA_UGM 2024'!$E$3:$O$419,BF$6),"")</f>
        <v/>
      </c>
      <c r="BG207" s="1424" t="str">
        <f aca="false">IF($AT207&gt;0,VLOOKUP($AR207,'O_MN, PE_UTA_UGM 2024'!$E$3:$O$419,BG$6),"")</f>
        <v/>
      </c>
      <c r="BH207" s="872"/>
      <c r="BI207" s="872"/>
      <c r="BJ207" s="872"/>
      <c r="BK207" s="872"/>
      <c r="BM207" s="1411"/>
      <c r="BN207" s="1411"/>
      <c r="BO207" s="1425" t="str">
        <f aca="false">IF(ISNUMBER($AU207*BB207*1),$AU207*BB207*1,"")</f>
        <v/>
      </c>
      <c r="BP207" s="1425" t="str">
        <f aca="false">IF(ISNUMBER($AV207*BC207*1),$AV207*BC207*1,"")</f>
        <v/>
      </c>
      <c r="BQ207" s="1425" t="str">
        <f aca="false">IF(ISNUMBER($AU207*BD207*1),$AU207*BD207*1,"")</f>
        <v/>
      </c>
      <c r="BR207" s="1425" t="str">
        <f aca="false">IF(ISNUMBER($AV207*BE207*1),$AV207*BE207*1,"")</f>
        <v/>
      </c>
      <c r="BS207" s="1411" t="str">
        <f aca="false">IF(ISNUMBER($AU207*BF207),$AU207*BF207,"")</f>
        <v/>
      </c>
      <c r="BT207" s="1411" t="str">
        <f aca="false">IF(ISNUMBER($AV207*BG207),$AV207*BG207,"")</f>
        <v/>
      </c>
      <c r="BU207" s="1411"/>
      <c r="BV207" s="1411"/>
      <c r="BW207" s="1411"/>
      <c r="BX207" s="1411"/>
      <c r="BZ207" s="1372"/>
      <c r="CA207" s="1372"/>
      <c r="CB207" s="1426" t="str">
        <f aca="false">IF(ISNUMBER($AW207*BB207),$AW207*BB207,"")</f>
        <v/>
      </c>
      <c r="CC207" s="1426" t="str">
        <f aca="false">IF(ISNUMBER($AX207*BC207),$AX207*BC207,"")</f>
        <v/>
      </c>
      <c r="CD207" s="1426" t="str">
        <f aca="false">IF(ISNUMBER($AW207*BD207),$AW207*BD207,"")</f>
        <v/>
      </c>
      <c r="CE207" s="1426" t="str">
        <f aca="false">IF(ISNUMBER($AX207*BE207),$AX207*BE207,"")</f>
        <v/>
      </c>
      <c r="CF207" s="1372" t="str">
        <f aca="false">IF(ISNUMBER($AW207*BF207),$AW207*BF207,"")</f>
        <v/>
      </c>
      <c r="CG207" s="1372" t="str">
        <f aca="false">IF(ISNUMBER($AX207*BG207),$AX207*BG207,"")</f>
        <v/>
      </c>
      <c r="CH207" s="1438"/>
      <c r="CI207" s="1438"/>
      <c r="CJ207" s="1438"/>
      <c r="CK207" s="1438"/>
      <c r="CU207" s="1411"/>
      <c r="CV207" s="1411"/>
      <c r="CW207" s="1425"/>
      <c r="CX207" s="1425"/>
      <c r="CY207" s="1425"/>
      <c r="CZ207" s="1425"/>
      <c r="DA207" s="1411"/>
      <c r="DB207" s="1411"/>
      <c r="DC207" s="1411"/>
      <c r="DD207" s="1411"/>
      <c r="DE207" s="1411"/>
      <c r="DF207" s="1411"/>
      <c r="DH207" s="1432"/>
      <c r="DI207" s="1432"/>
      <c r="DJ207" s="1437"/>
      <c r="DK207" s="1437"/>
      <c r="DL207" s="1437"/>
      <c r="DM207" s="1437"/>
      <c r="DN207" s="1432"/>
      <c r="DO207" s="1432"/>
      <c r="DP207" s="1432"/>
      <c r="DQ207" s="1432"/>
      <c r="DR207" s="1432"/>
      <c r="DS207" s="1432"/>
      <c r="DT207" s="1316"/>
      <c r="DU207" s="1433"/>
      <c r="DV207" s="1433"/>
      <c r="DW207" s="1433"/>
      <c r="DX207" s="1433"/>
      <c r="DY207" s="1433"/>
      <c r="DZ207" s="1433"/>
      <c r="EA207" s="1433"/>
      <c r="EB207" s="1433"/>
    </row>
    <row r="208" customFormat="false" ht="14.25" hidden="false" customHeight="false" outlineLevel="0" collapsed="false">
      <c r="A208" s="2" t="n">
        <f aca="false">'V_DATOS PAC_SGA'!R203</f>
        <v>0</v>
      </c>
      <c r="B208" s="2" t="n">
        <f aca="false">IF(I208="IV",CONCATENATE('V_DATOS PAC_SGA'!R203,"4")+0,CONCATENATE('V_DATOS PAC_SGA'!R203,"0")+0)</f>
        <v>0</v>
      </c>
      <c r="C208" s="2" t="n">
        <f aca="false">'V_DATOS PAC_SGA'!S203</f>
        <v>0</v>
      </c>
      <c r="D208" s="1409" t="n">
        <f aca="false">'V_DATOS PAC_SGA'!Y203</f>
        <v>0</v>
      </c>
      <c r="E208" s="1410" t="str">
        <f aca="false">IF('V_DATOS PAC_SGA'!AV203="","Regadio",'V_DATOS PAC_SGA'!AV203)</f>
        <v>Regadio</v>
      </c>
      <c r="F208" s="1411" t="n">
        <f aca="false">'V_DATOS PAC_SGA'!BK203</f>
        <v>0</v>
      </c>
      <c r="G208" s="1412" t="n">
        <f aca="false">'V_DATOS PAC_SGA'!AN203</f>
        <v>0</v>
      </c>
      <c r="H208" s="1413" t="str">
        <f aca="false">IF(B208&gt;0,VLOOKUP(B208,'O_MN, PE_UTA_UGM 2024'!E$3:O$419,10),"")</f>
        <v/>
      </c>
      <c r="I208" s="1359" t="n">
        <f aca="false">'V_DATOS PAC_SGA'!BV203</f>
        <v>0</v>
      </c>
      <c r="J208" s="2" t="str">
        <f aca="false">IF(AND(J$4=$G208,J$6=$F208),$D208*J$5,"")</f>
        <v/>
      </c>
      <c r="K208" s="2" t="str">
        <f aca="false">IF(AND(K$4=$G208,K$6=$F208),$D208*K$5,"")</f>
        <v/>
      </c>
      <c r="L208" s="2" t="str">
        <f aca="false">IF(AND(L$4=$G208,L$6=$F208),$D208*L$5,"")</f>
        <v/>
      </c>
      <c r="M208" s="2" t="str">
        <f aca="false">IF(AND(M$4=$G208,M$6=$F208),$D208*M$5,"")</f>
        <v/>
      </c>
      <c r="N208" s="1414" t="n">
        <f aca="false">VLOOKUP(B208,'O_MN, PE_UTA_UGM 2024'!$E$2:$K$419,IF(G208&gt;1,6,7))</f>
        <v>0</v>
      </c>
      <c r="O208" s="1434" t="str">
        <f aca="false">IF($H208=O$4,$D208*$N208,"")</f>
        <v/>
      </c>
      <c r="P208" s="1435" t="str">
        <f aca="false">IF($H208=P$4,$D208*$N208,"")</f>
        <v/>
      </c>
      <c r="Q208" s="1435" t="str">
        <f aca="false">IF($H208=Q$4,$D208*$N208,"")</f>
        <v/>
      </c>
      <c r="R208" s="1435" t="str">
        <f aca="false">IF($H208=R$4,$D208*$N208,"")</f>
        <v/>
      </c>
      <c r="S208" s="1435" t="str">
        <f aca="false">IF($H208=S$4,$D208*$N208,"")</f>
        <v/>
      </c>
      <c r="T208" s="1435" t="str">
        <f aca="false">IF($H208=T$4,$D208*$N208,"")</f>
        <v/>
      </c>
      <c r="U208" s="1436" t="str">
        <f aca="false">IF($H208=U$4,$D208*$N208,"")</f>
        <v/>
      </c>
      <c r="V208" s="1418"/>
      <c r="W208" s="1419"/>
      <c r="X208" s="1419"/>
      <c r="Y208" s="1419"/>
      <c r="Z208" s="1419"/>
      <c r="AA208" s="1419"/>
      <c r="AB208" s="1420"/>
      <c r="AC208" s="1319"/>
      <c r="AD208" s="2" t="str">
        <f aca="false">IF(AND(AD$4=$G208,AD$6=$F208),$B208,"")</f>
        <v/>
      </c>
      <c r="AE208" s="2" t="str">
        <f aca="false">IF(AND(AE$4=$G208,AE$6=$F208),$B208,"")</f>
        <v/>
      </c>
      <c r="AF208" s="2" t="str">
        <f aca="false">IF(AND(AF$4=$G208,AF$6=$F208),$B208,"")</f>
        <v/>
      </c>
      <c r="AG208" s="2" t="str">
        <f aca="false">IF(AND(AG$4=$G208,AG$6=$F208),$B208,"")</f>
        <v/>
      </c>
      <c r="AI208" s="366"/>
      <c r="AL208" s="367"/>
      <c r="AO208" s="367"/>
      <c r="AP208" s="2" t="str">
        <f aca="false">IF(AT208&gt;0,RANK(AT208,AT$7:AT$423),"")</f>
        <v/>
      </c>
      <c r="AQ208" s="2" t="n">
        <f aca="false">'O_MN, PE_UTA_UGM 2024'!C204</f>
        <v>197</v>
      </c>
      <c r="AR208" s="1421" t="n">
        <v>1934</v>
      </c>
      <c r="AS208" s="2" t="str">
        <f aca="false">IF(AY208&lt;&gt;"",AY208,"")</f>
        <v/>
      </c>
      <c r="AT208" s="1422" t="n">
        <f aca="false">IF(ISNUMBER($AR208),SUMIF(B$7:B$505,AR208,D$7:D$505),"")</f>
        <v>0</v>
      </c>
      <c r="AU208" s="1411" t="n">
        <f aca="false">IF(ISNUMBER($AR208),SUMIF(AD$7:AD$503,$AR208,J$7:J$503),"")</f>
        <v>0</v>
      </c>
      <c r="AV208" s="1411" t="n">
        <f aca="false">IF(ISNUMBER($AR208),SUMIF(AF$7:AF$503,$AR208,L$7:L$503),"")</f>
        <v>0</v>
      </c>
      <c r="AW208" s="1423" t="n">
        <f aca="false">IF(ISNUMBER($AR208),SUMIF(AE$7:AE$503,$AR208,K$7:K$503),"")</f>
        <v>0</v>
      </c>
      <c r="AX208" s="1423" t="n">
        <f aca="false">IF(ISNUMBER($AR208),SUMIF(AG$7:AG$503,$AR208,M$7:M$503),"")</f>
        <v>0</v>
      </c>
      <c r="AY208" s="2" t="str">
        <f aca="false">IF($AT208&gt;0,VLOOKUP($AR208,'O_MN, PE_UTA_UGM 2024'!E204:O620,2),"")</f>
        <v/>
      </c>
      <c r="AZ208" s="1424"/>
      <c r="BA208" s="1424"/>
      <c r="BB208" s="1424" t="str">
        <f aca="false">IF($AT208&gt;0,VLOOKUP($AR208,'O_MN, PE_UTA_UGM 2024'!$E$3:$O$419,BB$6),"")</f>
        <v/>
      </c>
      <c r="BC208" s="1424" t="str">
        <f aca="false">IF($AT208&gt;0,VLOOKUP($AR208,'O_MN, PE_UTA_UGM 2024'!$E$3:$O$419,BC$6),"")</f>
        <v/>
      </c>
      <c r="BD208" s="1424" t="str">
        <f aca="false">IF($AT208&gt;0,VLOOKUP($AR208,'O_MN, PE_UTA_UGM 2024'!$E$3:$O$419,BD$6),"")</f>
        <v/>
      </c>
      <c r="BE208" s="1424" t="str">
        <f aca="false">IF($AT208&gt;0,VLOOKUP($AR208,'O_MN, PE_UTA_UGM 2024'!$E$3:$O$419,BE$6),"")</f>
        <v/>
      </c>
      <c r="BF208" s="1424" t="str">
        <f aca="false">IF($AT208&gt;0,VLOOKUP($AR208,'O_MN, PE_UTA_UGM 2024'!$E$3:$O$419,BF$6),"")</f>
        <v/>
      </c>
      <c r="BG208" s="1424" t="str">
        <f aca="false">IF($AT208&gt;0,VLOOKUP($AR208,'O_MN, PE_UTA_UGM 2024'!$E$3:$O$419,BG$6),"")</f>
        <v/>
      </c>
      <c r="BH208" s="872"/>
      <c r="BI208" s="872"/>
      <c r="BJ208" s="872"/>
      <c r="BK208" s="872"/>
      <c r="BM208" s="1411"/>
      <c r="BN208" s="1411"/>
      <c r="BO208" s="1425" t="str">
        <f aca="false">IF(ISNUMBER($AU208*BB208*1),$AU208*BB208*1,"")</f>
        <v/>
      </c>
      <c r="BP208" s="1425" t="str">
        <f aca="false">IF(ISNUMBER($AV208*BC208*1),$AV208*BC208*1,"")</f>
        <v/>
      </c>
      <c r="BQ208" s="1425" t="str">
        <f aca="false">IF(ISNUMBER($AU208*BD208*1),$AU208*BD208*1,"")</f>
        <v/>
      </c>
      <c r="BR208" s="1425" t="str">
        <f aca="false">IF(ISNUMBER($AV208*BE208*1),$AV208*BE208*1,"")</f>
        <v/>
      </c>
      <c r="BS208" s="1411" t="str">
        <f aca="false">IF(ISNUMBER($AU208*BF208),$AU208*BF208,"")</f>
        <v/>
      </c>
      <c r="BT208" s="1411" t="str">
        <f aca="false">IF(ISNUMBER($AV208*BG208),$AV208*BG208,"")</f>
        <v/>
      </c>
      <c r="BU208" s="1411"/>
      <c r="BV208" s="1411"/>
      <c r="BW208" s="1411"/>
      <c r="BX208" s="1411"/>
      <c r="BZ208" s="1372"/>
      <c r="CA208" s="1372"/>
      <c r="CB208" s="1426" t="str">
        <f aca="false">IF(ISNUMBER($AW208*BB208),$AW208*BB208,"")</f>
        <v/>
      </c>
      <c r="CC208" s="1426" t="str">
        <f aca="false">IF(ISNUMBER($AX208*BC208),$AX208*BC208,"")</f>
        <v/>
      </c>
      <c r="CD208" s="1426" t="str">
        <f aca="false">IF(ISNUMBER($AW208*BD208),$AW208*BD208,"")</f>
        <v/>
      </c>
      <c r="CE208" s="1426" t="str">
        <f aca="false">IF(ISNUMBER($AX208*BE208),$AX208*BE208,"")</f>
        <v/>
      </c>
      <c r="CF208" s="1372" t="str">
        <f aca="false">IF(ISNUMBER($AW208*BF208),$AW208*BF208,"")</f>
        <v/>
      </c>
      <c r="CG208" s="1372" t="str">
        <f aca="false">IF(ISNUMBER($AX208*BG208),$AX208*BG208,"")</f>
        <v/>
      </c>
      <c r="CH208" s="1438"/>
      <c r="CI208" s="1438"/>
      <c r="CJ208" s="1438"/>
      <c r="CK208" s="1438"/>
      <c r="CU208" s="1411"/>
      <c r="CV208" s="1411"/>
      <c r="CW208" s="1425"/>
      <c r="CX208" s="1425"/>
      <c r="CY208" s="1425"/>
      <c r="CZ208" s="1425"/>
      <c r="DA208" s="1411"/>
      <c r="DB208" s="1411"/>
      <c r="DC208" s="1411"/>
      <c r="DD208" s="1411"/>
      <c r="DE208" s="1411"/>
      <c r="DF208" s="1411"/>
      <c r="DH208" s="1432"/>
      <c r="DI208" s="1432"/>
      <c r="DJ208" s="1437"/>
      <c r="DK208" s="1437"/>
      <c r="DL208" s="1437"/>
      <c r="DM208" s="1437"/>
      <c r="DN208" s="1432"/>
      <c r="DO208" s="1432"/>
      <c r="DP208" s="1432"/>
      <c r="DQ208" s="1432"/>
      <c r="DR208" s="1432"/>
      <c r="DS208" s="1432"/>
      <c r="DT208" s="1316"/>
      <c r="DU208" s="1433"/>
      <c r="DV208" s="1433"/>
      <c r="DW208" s="1433"/>
      <c r="DX208" s="1433"/>
      <c r="DY208" s="1433"/>
      <c r="DZ208" s="1433"/>
      <c r="EA208" s="1433"/>
      <c r="EB208" s="1433"/>
    </row>
    <row r="209" customFormat="false" ht="14.25" hidden="false" customHeight="false" outlineLevel="0" collapsed="false">
      <c r="A209" s="2" t="n">
        <f aca="false">'V_DATOS PAC_SGA'!R204</f>
        <v>0</v>
      </c>
      <c r="B209" s="2" t="n">
        <f aca="false">IF(I209="IV",CONCATENATE('V_DATOS PAC_SGA'!R204,"4")+0,CONCATENATE('V_DATOS PAC_SGA'!R204,"0")+0)</f>
        <v>0</v>
      </c>
      <c r="C209" s="2" t="n">
        <f aca="false">'V_DATOS PAC_SGA'!S204</f>
        <v>0</v>
      </c>
      <c r="D209" s="1409" t="n">
        <f aca="false">'V_DATOS PAC_SGA'!Y204</f>
        <v>0</v>
      </c>
      <c r="E209" s="1410" t="str">
        <f aca="false">IF('V_DATOS PAC_SGA'!AV204="","Regadio",'V_DATOS PAC_SGA'!AV204)</f>
        <v>Regadio</v>
      </c>
      <c r="F209" s="1411" t="n">
        <f aca="false">'V_DATOS PAC_SGA'!BK204</f>
        <v>0</v>
      </c>
      <c r="G209" s="1412" t="n">
        <f aca="false">'V_DATOS PAC_SGA'!AN204</f>
        <v>0</v>
      </c>
      <c r="H209" s="1413" t="str">
        <f aca="false">IF(B209&gt;0,VLOOKUP(B209,'O_MN, PE_UTA_UGM 2024'!E$3:O$419,10),"")</f>
        <v/>
      </c>
      <c r="I209" s="1359" t="n">
        <f aca="false">'V_DATOS PAC_SGA'!BV204</f>
        <v>0</v>
      </c>
      <c r="J209" s="2" t="str">
        <f aca="false">IF(AND(J$4=$G209,J$6=$F209),$D209*J$5,"")</f>
        <v/>
      </c>
      <c r="K209" s="2" t="str">
        <f aca="false">IF(AND(K$4=$G209,K$6=$F209),$D209*K$5,"")</f>
        <v/>
      </c>
      <c r="L209" s="2" t="str">
        <f aca="false">IF(AND(L$4=$G209,L$6=$F209),$D209*L$5,"")</f>
        <v/>
      </c>
      <c r="M209" s="2" t="str">
        <f aca="false">IF(AND(M$4=$G209,M$6=$F209),$D209*M$5,"")</f>
        <v/>
      </c>
      <c r="N209" s="1414" t="n">
        <f aca="false">VLOOKUP(B209,'O_MN, PE_UTA_UGM 2024'!$E$2:$K$419,IF(G209&gt;1,6,7))</f>
        <v>0</v>
      </c>
      <c r="O209" s="1434" t="str">
        <f aca="false">IF($H209=O$4,$D209*$N209,"")</f>
        <v/>
      </c>
      <c r="P209" s="1435" t="str">
        <f aca="false">IF($H209=P$4,$D209*$N209,"")</f>
        <v/>
      </c>
      <c r="Q209" s="1435" t="str">
        <f aca="false">IF($H209=Q$4,$D209*$N209,"")</f>
        <v/>
      </c>
      <c r="R209" s="1435" t="str">
        <f aca="false">IF($H209=R$4,$D209*$N209,"")</f>
        <v/>
      </c>
      <c r="S209" s="1435" t="str">
        <f aca="false">IF($H209=S$4,$D209*$N209,"")</f>
        <v/>
      </c>
      <c r="T209" s="1435" t="str">
        <f aca="false">IF($H209=T$4,$D209*$N209,"")</f>
        <v/>
      </c>
      <c r="U209" s="1436" t="str">
        <f aca="false">IF($H209=U$4,$D209*$N209,"")</f>
        <v/>
      </c>
      <c r="V209" s="1418"/>
      <c r="W209" s="1419"/>
      <c r="X209" s="1419"/>
      <c r="Y209" s="1419"/>
      <c r="Z209" s="1419"/>
      <c r="AA209" s="1419"/>
      <c r="AB209" s="1420"/>
      <c r="AC209" s="1319"/>
      <c r="AD209" s="2" t="str">
        <f aca="false">IF(AND(AD$4=$G209,AD$6=$F209),$B209,"")</f>
        <v/>
      </c>
      <c r="AE209" s="2" t="str">
        <f aca="false">IF(AND(AE$4=$G209,AE$6=$F209),$B209,"")</f>
        <v/>
      </c>
      <c r="AF209" s="2" t="str">
        <f aca="false">IF(AND(AF$4=$G209,AF$6=$F209),$B209,"")</f>
        <v/>
      </c>
      <c r="AG209" s="2" t="str">
        <f aca="false">IF(AND(AG$4=$G209,AG$6=$F209),$B209,"")</f>
        <v/>
      </c>
      <c r="AI209" s="366"/>
      <c r="AL209" s="367"/>
      <c r="AO209" s="367"/>
      <c r="AP209" s="2" t="str">
        <f aca="false">IF(AT209&gt;0,RANK(AT209,AT$7:AT$423),"")</f>
        <v/>
      </c>
      <c r="AQ209" s="2" t="n">
        <f aca="false">'O_MN, PE_UTA_UGM 2024'!C205</f>
        <v>197</v>
      </c>
      <c r="AR209" s="1421" t="n">
        <v>1939</v>
      </c>
      <c r="AS209" s="2" t="str">
        <f aca="false">IF(AY209&lt;&gt;"",AY209,"")</f>
        <v/>
      </c>
      <c r="AT209" s="1422" t="n">
        <f aca="false">IF(ISNUMBER($AR209),SUMIF(B$7:B$505,AR209,D$7:D$505),"")</f>
        <v>0</v>
      </c>
      <c r="AU209" s="1411" t="n">
        <f aca="false">IF(ISNUMBER($AR209),SUMIF(AD$7:AD$503,$AR209,J$7:J$503),"")</f>
        <v>0</v>
      </c>
      <c r="AV209" s="1411" t="n">
        <f aca="false">IF(ISNUMBER($AR209),SUMIF(AF$7:AF$503,$AR209,L$7:L$503),"")</f>
        <v>0</v>
      </c>
      <c r="AW209" s="1423" t="n">
        <f aca="false">IF(ISNUMBER($AR209),SUMIF(AE$7:AE$503,$AR209,K$7:K$503),"")</f>
        <v>0</v>
      </c>
      <c r="AX209" s="1423" t="n">
        <f aca="false">IF(ISNUMBER($AR209),SUMIF(AG$7:AG$503,$AR209,M$7:M$503),"")</f>
        <v>0</v>
      </c>
      <c r="AY209" s="2" t="str">
        <f aca="false">IF($AT209&gt;0,VLOOKUP($AR209,'O_MN, PE_UTA_UGM 2024'!E205:O621,2),"")</f>
        <v/>
      </c>
      <c r="AZ209" s="1424"/>
      <c r="BA209" s="1424"/>
      <c r="BB209" s="1424" t="str">
        <f aca="false">IF($AT209&gt;0,VLOOKUP($AR209,'O_MN, PE_UTA_UGM 2024'!$E$3:$O$419,BB$6),"")</f>
        <v/>
      </c>
      <c r="BC209" s="1424" t="str">
        <f aca="false">IF($AT209&gt;0,VLOOKUP($AR209,'O_MN, PE_UTA_UGM 2024'!$E$3:$O$419,BC$6),"")</f>
        <v/>
      </c>
      <c r="BD209" s="1424" t="str">
        <f aca="false">IF($AT209&gt;0,VLOOKUP($AR209,'O_MN, PE_UTA_UGM 2024'!$E$3:$O$419,BD$6),"")</f>
        <v/>
      </c>
      <c r="BE209" s="1424" t="str">
        <f aca="false">IF($AT209&gt;0,VLOOKUP($AR209,'O_MN, PE_UTA_UGM 2024'!$E$3:$O$419,BE$6),"")</f>
        <v/>
      </c>
      <c r="BF209" s="1424" t="str">
        <f aca="false">IF($AT209&gt;0,VLOOKUP($AR209,'O_MN, PE_UTA_UGM 2024'!$E$3:$O$419,BF$6),"")</f>
        <v/>
      </c>
      <c r="BG209" s="1424" t="str">
        <f aca="false">IF($AT209&gt;0,VLOOKUP($AR209,'O_MN, PE_UTA_UGM 2024'!$E$3:$O$419,BG$6),"")</f>
        <v/>
      </c>
      <c r="BH209" s="872"/>
      <c r="BI209" s="872"/>
      <c r="BJ209" s="872"/>
      <c r="BK209" s="872"/>
      <c r="BM209" s="1411"/>
      <c r="BN209" s="1411"/>
      <c r="BO209" s="1425" t="str">
        <f aca="false">IF(ISNUMBER($AU209*BB209*1),$AU209*BB209*1,"")</f>
        <v/>
      </c>
      <c r="BP209" s="1425" t="str">
        <f aca="false">IF(ISNUMBER($AV209*BC209*1),$AV209*BC209*1,"")</f>
        <v/>
      </c>
      <c r="BQ209" s="1425" t="str">
        <f aca="false">IF(ISNUMBER($AU209*BD209*1),$AU209*BD209*1,"")</f>
        <v/>
      </c>
      <c r="BR209" s="1425" t="str">
        <f aca="false">IF(ISNUMBER($AV209*BE209*1),$AV209*BE209*1,"")</f>
        <v/>
      </c>
      <c r="BS209" s="1411" t="str">
        <f aca="false">IF(ISNUMBER($AU209*BF209),$AU209*BF209,"")</f>
        <v/>
      </c>
      <c r="BT209" s="1411" t="str">
        <f aca="false">IF(ISNUMBER($AV209*BG209),$AV209*BG209,"")</f>
        <v/>
      </c>
      <c r="BU209" s="1411"/>
      <c r="BV209" s="1411"/>
      <c r="BW209" s="1411"/>
      <c r="BX209" s="1411"/>
      <c r="BZ209" s="1372"/>
      <c r="CA209" s="1372"/>
      <c r="CB209" s="1426" t="str">
        <f aca="false">IF(ISNUMBER($AW209*BB209),$AW209*BB209,"")</f>
        <v/>
      </c>
      <c r="CC209" s="1426" t="str">
        <f aca="false">IF(ISNUMBER($AX209*BC209),$AX209*BC209,"")</f>
        <v/>
      </c>
      <c r="CD209" s="1426" t="str">
        <f aca="false">IF(ISNUMBER($AW209*BD209),$AW209*BD209,"")</f>
        <v/>
      </c>
      <c r="CE209" s="1426" t="str">
        <f aca="false">IF(ISNUMBER($AX209*BE209),$AX209*BE209,"")</f>
        <v/>
      </c>
      <c r="CF209" s="1372" t="str">
        <f aca="false">IF(ISNUMBER($AW209*BF209),$AW209*BF209,"")</f>
        <v/>
      </c>
      <c r="CG209" s="1372" t="str">
        <f aca="false">IF(ISNUMBER($AX209*BG209),$AX209*BG209,"")</f>
        <v/>
      </c>
      <c r="CH209" s="1438"/>
      <c r="CI209" s="1438"/>
      <c r="CJ209" s="1438"/>
      <c r="CK209" s="1438"/>
      <c r="CU209" s="1411"/>
      <c r="CV209" s="1411"/>
      <c r="CW209" s="1425"/>
      <c r="CX209" s="1425"/>
      <c r="CY209" s="1425"/>
      <c r="CZ209" s="1425"/>
      <c r="DA209" s="1411"/>
      <c r="DB209" s="1411"/>
      <c r="DC209" s="1411"/>
      <c r="DD209" s="1411"/>
      <c r="DE209" s="1411"/>
      <c r="DF209" s="1411"/>
      <c r="DH209" s="1432"/>
      <c r="DI209" s="1432"/>
      <c r="DJ209" s="1437"/>
      <c r="DK209" s="1437"/>
      <c r="DL209" s="1437"/>
      <c r="DM209" s="1437"/>
      <c r="DN209" s="1432"/>
      <c r="DO209" s="1432"/>
      <c r="DP209" s="1432"/>
      <c r="DQ209" s="1432"/>
      <c r="DR209" s="1432"/>
      <c r="DS209" s="1432"/>
      <c r="DT209" s="1316"/>
      <c r="DU209" s="1433"/>
      <c r="DV209" s="1433"/>
      <c r="DW209" s="1433"/>
      <c r="DX209" s="1433"/>
      <c r="DY209" s="1433"/>
      <c r="DZ209" s="1433"/>
      <c r="EA209" s="1433"/>
      <c r="EB209" s="1433"/>
    </row>
    <row r="210" customFormat="false" ht="14.25" hidden="false" customHeight="false" outlineLevel="0" collapsed="false">
      <c r="A210" s="2" t="n">
        <f aca="false">'V_DATOS PAC_SGA'!R205</f>
        <v>0</v>
      </c>
      <c r="B210" s="2" t="n">
        <f aca="false">IF(I210="IV",CONCATENATE('V_DATOS PAC_SGA'!R205,"4")+0,CONCATENATE('V_DATOS PAC_SGA'!R205,"0")+0)</f>
        <v>0</v>
      </c>
      <c r="C210" s="2" t="n">
        <f aca="false">'V_DATOS PAC_SGA'!S205</f>
        <v>0</v>
      </c>
      <c r="D210" s="1409" t="n">
        <f aca="false">'V_DATOS PAC_SGA'!Y205</f>
        <v>0</v>
      </c>
      <c r="E210" s="1410" t="str">
        <f aca="false">IF('V_DATOS PAC_SGA'!AV205="","Regadio",'V_DATOS PAC_SGA'!AV205)</f>
        <v>Regadio</v>
      </c>
      <c r="F210" s="1411" t="n">
        <f aca="false">'V_DATOS PAC_SGA'!BK205</f>
        <v>0</v>
      </c>
      <c r="G210" s="1412" t="n">
        <f aca="false">'V_DATOS PAC_SGA'!AN205</f>
        <v>0</v>
      </c>
      <c r="H210" s="1413" t="str">
        <f aca="false">IF(B210&gt;0,VLOOKUP(B210,'O_MN, PE_UTA_UGM 2024'!E$3:O$419,10),"")</f>
        <v/>
      </c>
      <c r="I210" s="1359" t="n">
        <f aca="false">'V_DATOS PAC_SGA'!BV205</f>
        <v>0</v>
      </c>
      <c r="J210" s="2" t="str">
        <f aca="false">IF(AND(J$4=$G210,J$6=$F210),$D210*J$5,"")</f>
        <v/>
      </c>
      <c r="K210" s="2" t="str">
        <f aca="false">IF(AND(K$4=$G210,K$6=$F210),$D210*K$5,"")</f>
        <v/>
      </c>
      <c r="L210" s="2" t="str">
        <f aca="false">IF(AND(L$4=$G210,L$6=$F210),$D210*L$5,"")</f>
        <v/>
      </c>
      <c r="M210" s="2" t="str">
        <f aca="false">IF(AND(M$4=$G210,M$6=$F210),$D210*M$5,"")</f>
        <v/>
      </c>
      <c r="N210" s="1414" t="n">
        <f aca="false">VLOOKUP(B210,'O_MN, PE_UTA_UGM 2024'!$E$2:$K$419,IF(G210&gt;1,6,7))</f>
        <v>0</v>
      </c>
      <c r="O210" s="1434" t="str">
        <f aca="false">IF($H210=O$4,$D210*$N210,"")</f>
        <v/>
      </c>
      <c r="P210" s="1435" t="str">
        <f aca="false">IF($H210=P$4,$D210*$N210,"")</f>
        <v/>
      </c>
      <c r="Q210" s="1435" t="str">
        <f aca="false">IF($H210=Q$4,$D210*$N210,"")</f>
        <v/>
      </c>
      <c r="R210" s="1435" t="str">
        <f aca="false">IF($H210=R$4,$D210*$N210,"")</f>
        <v/>
      </c>
      <c r="S210" s="1435" t="str">
        <f aca="false">IF($H210=S$4,$D210*$N210,"")</f>
        <v/>
      </c>
      <c r="T210" s="1435" t="str">
        <f aca="false">IF($H210=T$4,$D210*$N210,"")</f>
        <v/>
      </c>
      <c r="U210" s="1436" t="str">
        <f aca="false">IF($H210=U$4,$D210*$N210,"")</f>
        <v/>
      </c>
      <c r="V210" s="1418"/>
      <c r="W210" s="1419"/>
      <c r="X210" s="1419"/>
      <c r="Y210" s="1419"/>
      <c r="Z210" s="1419"/>
      <c r="AA210" s="1419"/>
      <c r="AB210" s="1420"/>
      <c r="AC210" s="1319"/>
      <c r="AD210" s="2" t="str">
        <f aca="false">IF(AND(AD$4=$G210,AD$6=$F210),$B210,"")</f>
        <v/>
      </c>
      <c r="AE210" s="2" t="str">
        <f aca="false">IF(AND(AE$4=$G210,AE$6=$F210),$B210,"")</f>
        <v/>
      </c>
      <c r="AF210" s="2" t="str">
        <f aca="false">IF(AND(AF$4=$G210,AF$6=$F210),$B210,"")</f>
        <v/>
      </c>
      <c r="AG210" s="2" t="str">
        <f aca="false">IF(AND(AG$4=$G210,AG$6=$F210),$B210,"")</f>
        <v/>
      </c>
      <c r="AI210" s="366"/>
      <c r="AL210" s="367"/>
      <c r="AO210" s="367"/>
      <c r="AP210" s="2" t="str">
        <f aca="false">IF(AT210&gt;0,RANK(AT210,AT$7:AT$423),"")</f>
        <v/>
      </c>
      <c r="AQ210" s="2" t="n">
        <f aca="false">'O_MN, PE_UTA_UGM 2024'!C206</f>
        <v>200</v>
      </c>
      <c r="AR210" s="1421" t="n">
        <v>1940</v>
      </c>
      <c r="AS210" s="2" t="str">
        <f aca="false">IF(AY210&lt;&gt;"",AY210,"")</f>
        <v/>
      </c>
      <c r="AT210" s="1422" t="n">
        <f aca="false">IF(ISNUMBER($AR210),SUMIF(B$7:B$505,AR210,D$7:D$505),"")</f>
        <v>0</v>
      </c>
      <c r="AU210" s="1411" t="n">
        <f aca="false">IF(ISNUMBER($AR210),SUMIF(AD$7:AD$503,$AR210,J$7:J$503),"")</f>
        <v>0</v>
      </c>
      <c r="AV210" s="1411" t="n">
        <f aca="false">IF(ISNUMBER($AR210),SUMIF(AF$7:AF$503,$AR210,L$7:L$503),"")</f>
        <v>0</v>
      </c>
      <c r="AW210" s="1423" t="n">
        <f aca="false">IF(ISNUMBER($AR210),SUMIF(AE$7:AE$503,$AR210,K$7:K$503),"")</f>
        <v>0</v>
      </c>
      <c r="AX210" s="1423" t="n">
        <f aca="false">IF(ISNUMBER($AR210),SUMIF(AG$7:AG$503,$AR210,M$7:M$503),"")</f>
        <v>0</v>
      </c>
      <c r="AY210" s="2" t="str">
        <f aca="false">IF($AT210&gt;0,VLOOKUP($AR210,'O_MN, PE_UTA_UGM 2024'!E206:O622,2),"")</f>
        <v/>
      </c>
      <c r="AZ210" s="1424"/>
      <c r="BA210" s="1424"/>
      <c r="BB210" s="1424" t="str">
        <f aca="false">IF($AT210&gt;0,VLOOKUP($AR210,'O_MN, PE_UTA_UGM 2024'!$E$3:$O$419,BB$6),"")</f>
        <v/>
      </c>
      <c r="BC210" s="1424" t="str">
        <f aca="false">IF($AT210&gt;0,VLOOKUP($AR210,'O_MN, PE_UTA_UGM 2024'!$E$3:$O$419,BC$6),"")</f>
        <v/>
      </c>
      <c r="BD210" s="1424" t="str">
        <f aca="false">IF($AT210&gt;0,VLOOKUP($AR210,'O_MN, PE_UTA_UGM 2024'!$E$3:$O$419,BD$6),"")</f>
        <v/>
      </c>
      <c r="BE210" s="1424" t="str">
        <f aca="false">IF($AT210&gt;0,VLOOKUP($AR210,'O_MN, PE_UTA_UGM 2024'!$E$3:$O$419,BE$6),"")</f>
        <v/>
      </c>
      <c r="BF210" s="1424" t="str">
        <f aca="false">IF($AT210&gt;0,VLOOKUP($AR210,'O_MN, PE_UTA_UGM 2024'!$E$3:$O$419,BF$6),"")</f>
        <v/>
      </c>
      <c r="BG210" s="1424" t="str">
        <f aca="false">IF($AT210&gt;0,VLOOKUP($AR210,'O_MN, PE_UTA_UGM 2024'!$E$3:$O$419,BG$6),"")</f>
        <v/>
      </c>
      <c r="BH210" s="872"/>
      <c r="BI210" s="872"/>
      <c r="BJ210" s="872"/>
      <c r="BK210" s="872"/>
      <c r="BM210" s="1411"/>
      <c r="BN210" s="1411"/>
      <c r="BO210" s="1425" t="str">
        <f aca="false">IF(ISNUMBER($AU210*BB210*1),$AU210*BB210*1,"")</f>
        <v/>
      </c>
      <c r="BP210" s="1425" t="str">
        <f aca="false">IF(ISNUMBER($AV210*BC210*1),$AV210*BC210*1,"")</f>
        <v/>
      </c>
      <c r="BQ210" s="1425" t="str">
        <f aca="false">IF(ISNUMBER($AU210*BD210*1),$AU210*BD210*1,"")</f>
        <v/>
      </c>
      <c r="BR210" s="1425" t="str">
        <f aca="false">IF(ISNUMBER($AV210*BE210*1),$AV210*BE210*1,"")</f>
        <v/>
      </c>
      <c r="BS210" s="1411" t="str">
        <f aca="false">IF(ISNUMBER($AU210*BF210),$AU210*BF210,"")</f>
        <v/>
      </c>
      <c r="BT210" s="1411" t="str">
        <f aca="false">IF(ISNUMBER($AV210*BG210),$AV210*BG210,"")</f>
        <v/>
      </c>
      <c r="BU210" s="1411"/>
      <c r="BV210" s="1411"/>
      <c r="BW210" s="1411"/>
      <c r="BX210" s="1411"/>
      <c r="BZ210" s="1372"/>
      <c r="CA210" s="1372"/>
      <c r="CB210" s="1426" t="str">
        <f aca="false">IF(ISNUMBER($AW210*BB210),$AW210*BB210,"")</f>
        <v/>
      </c>
      <c r="CC210" s="1426" t="str">
        <f aca="false">IF(ISNUMBER($AX210*BC210),$AX210*BC210,"")</f>
        <v/>
      </c>
      <c r="CD210" s="1426" t="str">
        <f aca="false">IF(ISNUMBER($AW210*BD210),$AW210*BD210,"")</f>
        <v/>
      </c>
      <c r="CE210" s="1426" t="str">
        <f aca="false">IF(ISNUMBER($AX210*BE210),$AX210*BE210,"")</f>
        <v/>
      </c>
      <c r="CF210" s="1372" t="str">
        <f aca="false">IF(ISNUMBER($AW210*BF210),$AW210*BF210,"")</f>
        <v/>
      </c>
      <c r="CG210" s="1372" t="str">
        <f aca="false">IF(ISNUMBER($AX210*BG210),$AX210*BG210,"")</f>
        <v/>
      </c>
      <c r="CH210" s="1438"/>
      <c r="CI210" s="1438"/>
      <c r="CJ210" s="1438"/>
      <c r="CK210" s="1438"/>
      <c r="CU210" s="1411"/>
      <c r="CV210" s="1411"/>
      <c r="CW210" s="1425"/>
      <c r="CX210" s="1425"/>
      <c r="CY210" s="1425"/>
      <c r="CZ210" s="1425"/>
      <c r="DA210" s="1411"/>
      <c r="DB210" s="1411"/>
      <c r="DC210" s="1411"/>
      <c r="DD210" s="1411"/>
      <c r="DE210" s="1411"/>
      <c r="DF210" s="1411"/>
      <c r="DH210" s="1432"/>
      <c r="DI210" s="1432"/>
      <c r="DJ210" s="1437"/>
      <c r="DK210" s="1437"/>
      <c r="DL210" s="1437"/>
      <c r="DM210" s="1437"/>
      <c r="DN210" s="1432"/>
      <c r="DO210" s="1432"/>
      <c r="DP210" s="1432"/>
      <c r="DQ210" s="1432"/>
      <c r="DR210" s="1432"/>
      <c r="DS210" s="1432"/>
      <c r="DT210" s="1316"/>
      <c r="DU210" s="1433"/>
      <c r="DV210" s="1433"/>
      <c r="DW210" s="1433"/>
      <c r="DX210" s="1433"/>
      <c r="DY210" s="1433"/>
      <c r="DZ210" s="1433"/>
      <c r="EA210" s="1433"/>
      <c r="EB210" s="1433"/>
    </row>
    <row r="211" customFormat="false" ht="14.25" hidden="false" customHeight="false" outlineLevel="0" collapsed="false">
      <c r="A211" s="2" t="n">
        <f aca="false">'V_DATOS PAC_SGA'!R206</f>
        <v>0</v>
      </c>
      <c r="B211" s="2" t="n">
        <f aca="false">IF(I211="IV",CONCATENATE('V_DATOS PAC_SGA'!R206,"4")+0,CONCATENATE('V_DATOS PAC_SGA'!R206,"0")+0)</f>
        <v>0</v>
      </c>
      <c r="C211" s="2" t="n">
        <f aca="false">'V_DATOS PAC_SGA'!S206</f>
        <v>0</v>
      </c>
      <c r="D211" s="1409" t="n">
        <f aca="false">'V_DATOS PAC_SGA'!Y206</f>
        <v>0</v>
      </c>
      <c r="E211" s="1410" t="str">
        <f aca="false">IF('V_DATOS PAC_SGA'!AV206="","Regadio",'V_DATOS PAC_SGA'!AV206)</f>
        <v>Regadio</v>
      </c>
      <c r="F211" s="1411" t="n">
        <f aca="false">'V_DATOS PAC_SGA'!BK206</f>
        <v>0</v>
      </c>
      <c r="G211" s="1412" t="n">
        <f aca="false">'V_DATOS PAC_SGA'!AN206</f>
        <v>0</v>
      </c>
      <c r="H211" s="1413" t="str">
        <f aca="false">IF(B211&gt;0,VLOOKUP(B211,'O_MN, PE_UTA_UGM 2024'!E$3:O$419,10),"")</f>
        <v/>
      </c>
      <c r="I211" s="1359" t="n">
        <f aca="false">'V_DATOS PAC_SGA'!BV206</f>
        <v>0</v>
      </c>
      <c r="J211" s="2" t="str">
        <f aca="false">IF(AND(J$4=$G211,J$6=$F211),$D211*J$5,"")</f>
        <v/>
      </c>
      <c r="K211" s="2" t="str">
        <f aca="false">IF(AND(K$4=$G211,K$6=$F211),$D211*K$5,"")</f>
        <v/>
      </c>
      <c r="L211" s="2" t="str">
        <f aca="false">IF(AND(L$4=$G211,L$6=$F211),$D211*L$5,"")</f>
        <v/>
      </c>
      <c r="M211" s="2" t="str">
        <f aca="false">IF(AND(M$4=$G211,M$6=$F211),$D211*M$5,"")</f>
        <v/>
      </c>
      <c r="N211" s="1414" t="n">
        <f aca="false">VLOOKUP(B211,'O_MN, PE_UTA_UGM 2024'!$E$2:$K$419,IF(G211&gt;1,6,7))</f>
        <v>0</v>
      </c>
      <c r="O211" s="1434" t="str">
        <f aca="false">IF($H211=O$4,$D211*$N211,"")</f>
        <v/>
      </c>
      <c r="P211" s="1435" t="str">
        <f aca="false">IF($H211=P$4,$D211*$N211,"")</f>
        <v/>
      </c>
      <c r="Q211" s="1435" t="str">
        <f aca="false">IF($H211=Q$4,$D211*$N211,"")</f>
        <v/>
      </c>
      <c r="R211" s="1435" t="str">
        <f aca="false">IF($H211=R$4,$D211*$N211,"")</f>
        <v/>
      </c>
      <c r="S211" s="1435" t="str">
        <f aca="false">IF($H211=S$4,$D211*$N211,"")</f>
        <v/>
      </c>
      <c r="T211" s="1435" t="str">
        <f aca="false">IF($H211=T$4,$D211*$N211,"")</f>
        <v/>
      </c>
      <c r="U211" s="1436" t="str">
        <f aca="false">IF($H211=U$4,$D211*$N211,"")</f>
        <v/>
      </c>
      <c r="V211" s="1418"/>
      <c r="W211" s="1419"/>
      <c r="X211" s="1419"/>
      <c r="Y211" s="1419"/>
      <c r="Z211" s="1419"/>
      <c r="AA211" s="1419"/>
      <c r="AB211" s="1420"/>
      <c r="AC211" s="1319"/>
      <c r="AD211" s="2" t="str">
        <f aca="false">IF(AND(AD$4=$G211,AD$6=$F211),$B211,"")</f>
        <v/>
      </c>
      <c r="AE211" s="2" t="str">
        <f aca="false">IF(AND(AE$4=$G211,AE$6=$F211),$B211,"")</f>
        <v/>
      </c>
      <c r="AF211" s="2" t="str">
        <f aca="false">IF(AND(AF$4=$G211,AF$6=$F211),$B211,"")</f>
        <v/>
      </c>
      <c r="AG211" s="2" t="str">
        <f aca="false">IF(AND(AG$4=$G211,AG$6=$F211),$B211,"")</f>
        <v/>
      </c>
      <c r="AI211" s="366"/>
      <c r="AL211" s="367"/>
      <c r="AO211" s="367"/>
      <c r="AP211" s="2" t="str">
        <f aca="false">IF(AT211&gt;0,RANK(AT211,AT$7:AT$423),"")</f>
        <v/>
      </c>
      <c r="AQ211" s="2" t="n">
        <f aca="false">'O_MN, PE_UTA_UGM 2024'!C207</f>
        <v>201</v>
      </c>
      <c r="AR211" s="1421" t="n">
        <v>1970</v>
      </c>
      <c r="AS211" s="2" t="str">
        <f aca="false">IF(AY211&lt;&gt;"",AY211,"")</f>
        <v/>
      </c>
      <c r="AT211" s="1422" t="n">
        <f aca="false">IF(ISNUMBER($AR211),SUMIF(B$7:B$505,AR211,D$7:D$505),"")</f>
        <v>0</v>
      </c>
      <c r="AU211" s="1411" t="n">
        <f aca="false">IF(ISNUMBER($AR211),SUMIF(AD$7:AD$503,$AR211,J$7:J$503),"")</f>
        <v>0</v>
      </c>
      <c r="AV211" s="1411" t="n">
        <f aca="false">IF(ISNUMBER($AR211),SUMIF(AF$7:AF$503,$AR211,L$7:L$503),"")</f>
        <v>0</v>
      </c>
      <c r="AW211" s="1423" t="n">
        <f aca="false">IF(ISNUMBER($AR211),SUMIF(AE$7:AE$503,$AR211,K$7:K$503),"")</f>
        <v>0</v>
      </c>
      <c r="AX211" s="1423" t="n">
        <f aca="false">IF(ISNUMBER($AR211),SUMIF(AG$7:AG$503,$AR211,M$7:M$503),"")</f>
        <v>0</v>
      </c>
      <c r="AY211" s="2" t="str">
        <f aca="false">IF($AT211&gt;0,VLOOKUP($AR211,'O_MN, PE_UTA_UGM 2024'!E207:O623,2),"")</f>
        <v/>
      </c>
      <c r="AZ211" s="1424"/>
      <c r="BA211" s="1424"/>
      <c r="BB211" s="1424" t="str">
        <f aca="false">IF($AT211&gt;0,VLOOKUP($AR211,'O_MN, PE_UTA_UGM 2024'!$E$3:$O$419,BB$6),"")</f>
        <v/>
      </c>
      <c r="BC211" s="1424" t="str">
        <f aca="false">IF($AT211&gt;0,VLOOKUP($AR211,'O_MN, PE_UTA_UGM 2024'!$E$3:$O$419,BC$6),"")</f>
        <v/>
      </c>
      <c r="BD211" s="1424" t="str">
        <f aca="false">IF($AT211&gt;0,VLOOKUP($AR211,'O_MN, PE_UTA_UGM 2024'!$E$3:$O$419,BD$6),"")</f>
        <v/>
      </c>
      <c r="BE211" s="1424" t="str">
        <f aca="false">IF($AT211&gt;0,VLOOKUP($AR211,'O_MN, PE_UTA_UGM 2024'!$E$3:$O$419,BE$6),"")</f>
        <v/>
      </c>
      <c r="BF211" s="1424" t="str">
        <f aca="false">IF($AT211&gt;0,VLOOKUP($AR211,'O_MN, PE_UTA_UGM 2024'!$E$3:$O$419,BF$6),"")</f>
        <v/>
      </c>
      <c r="BG211" s="1424" t="str">
        <f aca="false">IF($AT211&gt;0,VLOOKUP($AR211,'O_MN, PE_UTA_UGM 2024'!$E$3:$O$419,BG$6),"")</f>
        <v/>
      </c>
      <c r="BH211" s="872"/>
      <c r="BI211" s="872"/>
      <c r="BJ211" s="872"/>
      <c r="BK211" s="872"/>
      <c r="BM211" s="1411"/>
      <c r="BN211" s="1411"/>
      <c r="BO211" s="1425" t="str">
        <f aca="false">IF(ISNUMBER($AU211*BB211*1),$AU211*BB211*1,"")</f>
        <v/>
      </c>
      <c r="BP211" s="1425" t="str">
        <f aca="false">IF(ISNUMBER($AV211*BC211*1),$AV211*BC211*1,"")</f>
        <v/>
      </c>
      <c r="BQ211" s="1425" t="str">
        <f aca="false">IF(ISNUMBER($AU211*BD211*1),$AU211*BD211*1,"")</f>
        <v/>
      </c>
      <c r="BR211" s="1425" t="str">
        <f aca="false">IF(ISNUMBER($AV211*BE211*1),$AV211*BE211*1,"")</f>
        <v/>
      </c>
      <c r="BS211" s="1411" t="str">
        <f aca="false">IF(ISNUMBER($AU211*BF211),$AU211*BF211,"")</f>
        <v/>
      </c>
      <c r="BT211" s="1411" t="str">
        <f aca="false">IF(ISNUMBER($AV211*BG211),$AV211*BG211,"")</f>
        <v/>
      </c>
      <c r="BU211" s="1411"/>
      <c r="BV211" s="1411"/>
      <c r="BW211" s="1411"/>
      <c r="BX211" s="1411"/>
      <c r="BZ211" s="1372"/>
      <c r="CA211" s="1372"/>
      <c r="CB211" s="1426" t="str">
        <f aca="false">IF(ISNUMBER($AW211*BB211),$AW211*BB211,"")</f>
        <v/>
      </c>
      <c r="CC211" s="1426" t="str">
        <f aca="false">IF(ISNUMBER($AX211*BC211),$AX211*BC211,"")</f>
        <v/>
      </c>
      <c r="CD211" s="1426" t="str">
        <f aca="false">IF(ISNUMBER($AW211*BD211),$AW211*BD211,"")</f>
        <v/>
      </c>
      <c r="CE211" s="1426" t="str">
        <f aca="false">IF(ISNUMBER($AX211*BE211),$AX211*BE211,"")</f>
        <v/>
      </c>
      <c r="CF211" s="1372" t="str">
        <f aca="false">IF(ISNUMBER($AW211*BF211),$AW211*BF211,"")</f>
        <v/>
      </c>
      <c r="CG211" s="1372" t="str">
        <f aca="false">IF(ISNUMBER($AX211*BG211),$AX211*BG211,"")</f>
        <v/>
      </c>
      <c r="CH211" s="1438"/>
      <c r="CI211" s="1438"/>
      <c r="CJ211" s="1438"/>
      <c r="CK211" s="1438"/>
      <c r="CU211" s="1411"/>
      <c r="CV211" s="1411"/>
      <c r="CW211" s="1425"/>
      <c r="CX211" s="1425"/>
      <c r="CY211" s="1425"/>
      <c r="CZ211" s="1425"/>
      <c r="DA211" s="1411"/>
      <c r="DB211" s="1411"/>
      <c r="DC211" s="1411"/>
      <c r="DD211" s="1411"/>
      <c r="DE211" s="1411"/>
      <c r="DF211" s="1411"/>
      <c r="DH211" s="1432"/>
      <c r="DI211" s="1432"/>
      <c r="DJ211" s="1437"/>
      <c r="DK211" s="1437"/>
      <c r="DL211" s="1437"/>
      <c r="DM211" s="1437"/>
      <c r="DN211" s="1432"/>
      <c r="DO211" s="1432"/>
      <c r="DP211" s="1432"/>
      <c r="DQ211" s="1432"/>
      <c r="DR211" s="1432"/>
      <c r="DS211" s="1432"/>
      <c r="DT211" s="1316"/>
      <c r="DU211" s="1433"/>
      <c r="DV211" s="1433"/>
      <c r="DW211" s="1433"/>
      <c r="DX211" s="1433"/>
      <c r="DY211" s="1433"/>
      <c r="DZ211" s="1433"/>
      <c r="EA211" s="1433"/>
      <c r="EB211" s="1433"/>
    </row>
    <row r="212" customFormat="false" ht="14.25" hidden="false" customHeight="false" outlineLevel="0" collapsed="false">
      <c r="A212" s="2" t="n">
        <f aca="false">'V_DATOS PAC_SGA'!R207</f>
        <v>0</v>
      </c>
      <c r="B212" s="2" t="n">
        <f aca="false">IF(I212="IV",CONCATENATE('V_DATOS PAC_SGA'!R207,"4")+0,CONCATENATE('V_DATOS PAC_SGA'!R207,"0")+0)</f>
        <v>0</v>
      </c>
      <c r="C212" s="2" t="n">
        <f aca="false">'V_DATOS PAC_SGA'!S207</f>
        <v>0</v>
      </c>
      <c r="D212" s="1409" t="n">
        <f aca="false">'V_DATOS PAC_SGA'!Y207</f>
        <v>0</v>
      </c>
      <c r="E212" s="1410" t="str">
        <f aca="false">IF('V_DATOS PAC_SGA'!AV207="","Regadio",'V_DATOS PAC_SGA'!AV207)</f>
        <v>Regadio</v>
      </c>
      <c r="F212" s="1411" t="n">
        <f aca="false">'V_DATOS PAC_SGA'!BK207</f>
        <v>0</v>
      </c>
      <c r="G212" s="1412" t="n">
        <f aca="false">'V_DATOS PAC_SGA'!AN207</f>
        <v>0</v>
      </c>
      <c r="H212" s="1413" t="str">
        <f aca="false">IF(B212&gt;0,VLOOKUP(B212,'O_MN, PE_UTA_UGM 2024'!E$3:O$419,10),"")</f>
        <v/>
      </c>
      <c r="I212" s="1359" t="n">
        <f aca="false">'V_DATOS PAC_SGA'!BV207</f>
        <v>0</v>
      </c>
      <c r="J212" s="2" t="str">
        <f aca="false">IF(AND(J$4=$G212,J$6=$F212),$D212*J$5,"")</f>
        <v/>
      </c>
      <c r="K212" s="2" t="str">
        <f aca="false">IF(AND(K$4=$G212,K$6=$F212),$D212*K$5,"")</f>
        <v/>
      </c>
      <c r="L212" s="2" t="str">
        <f aca="false">IF(AND(L$4=$G212,L$6=$F212),$D212*L$5,"")</f>
        <v/>
      </c>
      <c r="M212" s="2" t="str">
        <f aca="false">IF(AND(M$4=$G212,M$6=$F212),$D212*M$5,"")</f>
        <v/>
      </c>
      <c r="N212" s="1414" t="n">
        <f aca="false">VLOOKUP(B212,'O_MN, PE_UTA_UGM 2024'!$E$2:$K$419,IF(G212&gt;1,6,7))</f>
        <v>0</v>
      </c>
      <c r="O212" s="1434" t="str">
        <f aca="false">IF($H212=O$4,$D212*$N212,"")</f>
        <v/>
      </c>
      <c r="P212" s="1435" t="str">
        <f aca="false">IF($H212=P$4,$D212*$N212,"")</f>
        <v/>
      </c>
      <c r="Q212" s="1435" t="str">
        <f aca="false">IF($H212=Q$4,$D212*$N212,"")</f>
        <v/>
      </c>
      <c r="R212" s="1435" t="str">
        <f aca="false">IF($H212=R$4,$D212*$N212,"")</f>
        <v/>
      </c>
      <c r="S212" s="1435" t="str">
        <f aca="false">IF($H212=S$4,$D212*$N212,"")</f>
        <v/>
      </c>
      <c r="T212" s="1435" t="str">
        <f aca="false">IF($H212=T$4,$D212*$N212,"")</f>
        <v/>
      </c>
      <c r="U212" s="1436" t="str">
        <f aca="false">IF($H212=U$4,$D212*$N212,"")</f>
        <v/>
      </c>
      <c r="V212" s="1418"/>
      <c r="W212" s="1419"/>
      <c r="X212" s="1419"/>
      <c r="Y212" s="1419"/>
      <c r="Z212" s="1419"/>
      <c r="AA212" s="1419"/>
      <c r="AB212" s="1420"/>
      <c r="AC212" s="1319"/>
      <c r="AD212" s="2" t="str">
        <f aca="false">IF(AND(AD$4=$G212,AD$6=$F212),$B212,"")</f>
        <v/>
      </c>
      <c r="AE212" s="2" t="str">
        <f aca="false">IF(AND(AE$4=$G212,AE$6=$F212),$B212,"")</f>
        <v/>
      </c>
      <c r="AF212" s="2" t="str">
        <f aca="false">IF(AND(AF$4=$G212,AF$6=$F212),$B212,"")</f>
        <v/>
      </c>
      <c r="AG212" s="2" t="str">
        <f aca="false">IF(AND(AG$4=$G212,AG$6=$F212),$B212,"")</f>
        <v/>
      </c>
      <c r="AI212" s="366"/>
      <c r="AL212" s="367"/>
      <c r="AO212" s="367"/>
      <c r="AP212" s="2" t="str">
        <f aca="false">IF(AT212&gt;0,RANK(AT212,AT$7:AT$423),"")</f>
        <v/>
      </c>
      <c r="AQ212" s="2" t="n">
        <f aca="false">'O_MN, PE_UTA_UGM 2024'!C208</f>
        <v>202</v>
      </c>
      <c r="AR212" s="1421" t="n">
        <v>1974</v>
      </c>
      <c r="AS212" s="2" t="str">
        <f aca="false">IF(AY212&lt;&gt;"",AY212,"")</f>
        <v/>
      </c>
      <c r="AT212" s="1422" t="n">
        <f aca="false">IF(ISNUMBER($AR212),SUMIF(B$7:B$505,AR212,D$7:D$505),"")</f>
        <v>0</v>
      </c>
      <c r="AU212" s="1411" t="n">
        <f aca="false">IF(ISNUMBER($AR212),SUMIF(AD$7:AD$503,$AR212,J$7:J$503),"")</f>
        <v>0</v>
      </c>
      <c r="AV212" s="1411" t="n">
        <f aca="false">IF(ISNUMBER($AR212),SUMIF(AF$7:AF$503,$AR212,L$7:L$503),"")</f>
        <v>0</v>
      </c>
      <c r="AW212" s="1423" t="n">
        <f aca="false">IF(ISNUMBER($AR212),SUMIF(AE$7:AE$503,$AR212,K$7:K$503),"")</f>
        <v>0</v>
      </c>
      <c r="AX212" s="1423" t="n">
        <f aca="false">IF(ISNUMBER($AR212),SUMIF(AG$7:AG$503,$AR212,M$7:M$503),"")</f>
        <v>0</v>
      </c>
      <c r="AY212" s="2" t="str">
        <f aca="false">IF($AT212&gt;0,VLOOKUP($AR212,'O_MN, PE_UTA_UGM 2024'!E208:O624,2),"")</f>
        <v/>
      </c>
      <c r="AZ212" s="1424"/>
      <c r="BA212" s="1424"/>
      <c r="BB212" s="1424" t="str">
        <f aca="false">IF($AT212&gt;0,VLOOKUP($AR212,'O_MN, PE_UTA_UGM 2024'!$E$3:$O$419,BB$6),"")</f>
        <v/>
      </c>
      <c r="BC212" s="1424" t="str">
        <f aca="false">IF($AT212&gt;0,VLOOKUP($AR212,'O_MN, PE_UTA_UGM 2024'!$E$3:$O$419,BC$6),"")</f>
        <v/>
      </c>
      <c r="BD212" s="1424" t="str">
        <f aca="false">IF($AT212&gt;0,VLOOKUP($AR212,'O_MN, PE_UTA_UGM 2024'!$E$3:$O$419,BD$6),"")</f>
        <v/>
      </c>
      <c r="BE212" s="1424" t="str">
        <f aca="false">IF($AT212&gt;0,VLOOKUP($AR212,'O_MN, PE_UTA_UGM 2024'!$E$3:$O$419,BE$6),"")</f>
        <v/>
      </c>
      <c r="BF212" s="1424" t="str">
        <f aca="false">IF($AT212&gt;0,VLOOKUP($AR212,'O_MN, PE_UTA_UGM 2024'!$E$3:$O$419,BF$6),"")</f>
        <v/>
      </c>
      <c r="BG212" s="1424" t="str">
        <f aca="false">IF($AT212&gt;0,VLOOKUP($AR212,'O_MN, PE_UTA_UGM 2024'!$E$3:$O$419,BG$6),"")</f>
        <v/>
      </c>
      <c r="BH212" s="872"/>
      <c r="BI212" s="872"/>
      <c r="BJ212" s="872"/>
      <c r="BK212" s="872"/>
      <c r="BM212" s="1411"/>
      <c r="BN212" s="1411"/>
      <c r="BO212" s="1425" t="str">
        <f aca="false">IF(ISNUMBER($AU212*BB212*1),$AU212*BB212*1,"")</f>
        <v/>
      </c>
      <c r="BP212" s="1425" t="str">
        <f aca="false">IF(ISNUMBER($AV212*BC212*1),$AV212*BC212*1,"")</f>
        <v/>
      </c>
      <c r="BQ212" s="1425" t="str">
        <f aca="false">IF(ISNUMBER($AU212*BD212*1),$AU212*BD212*1,"")</f>
        <v/>
      </c>
      <c r="BR212" s="1425" t="str">
        <f aca="false">IF(ISNUMBER($AV212*BE212*1),$AV212*BE212*1,"")</f>
        <v/>
      </c>
      <c r="BS212" s="1411" t="str">
        <f aca="false">IF(ISNUMBER($AU212*BF212),$AU212*BF212,"")</f>
        <v/>
      </c>
      <c r="BT212" s="1411" t="str">
        <f aca="false">IF(ISNUMBER($AV212*BG212),$AV212*BG212,"")</f>
        <v/>
      </c>
      <c r="BU212" s="1411"/>
      <c r="BV212" s="1411"/>
      <c r="BW212" s="1411"/>
      <c r="BX212" s="1411"/>
      <c r="BZ212" s="1372"/>
      <c r="CA212" s="1372"/>
      <c r="CB212" s="1426" t="str">
        <f aca="false">IF(ISNUMBER($AW212*BB212),$AW212*BB212,"")</f>
        <v/>
      </c>
      <c r="CC212" s="1426" t="str">
        <f aca="false">IF(ISNUMBER($AX212*BC212),$AX212*BC212,"")</f>
        <v/>
      </c>
      <c r="CD212" s="1426" t="str">
        <f aca="false">IF(ISNUMBER($AW212*BD212),$AW212*BD212,"")</f>
        <v/>
      </c>
      <c r="CE212" s="1426" t="str">
        <f aca="false">IF(ISNUMBER($AX212*BE212),$AX212*BE212,"")</f>
        <v/>
      </c>
      <c r="CF212" s="1372" t="str">
        <f aca="false">IF(ISNUMBER($AW212*BF212),$AW212*BF212,"")</f>
        <v/>
      </c>
      <c r="CG212" s="1372" t="str">
        <f aca="false">IF(ISNUMBER($AX212*BG212),$AX212*BG212,"")</f>
        <v/>
      </c>
      <c r="CH212" s="1438"/>
      <c r="CI212" s="1438"/>
      <c r="CJ212" s="1438"/>
      <c r="CK212" s="1438"/>
      <c r="CU212" s="1411"/>
      <c r="CV212" s="1411"/>
      <c r="CW212" s="1425"/>
      <c r="CX212" s="1425"/>
      <c r="CY212" s="1425"/>
      <c r="CZ212" s="1425"/>
      <c r="DA212" s="1411"/>
      <c r="DB212" s="1411"/>
      <c r="DC212" s="1411"/>
      <c r="DD212" s="1411"/>
      <c r="DE212" s="1411"/>
      <c r="DF212" s="1411"/>
      <c r="DH212" s="1432"/>
      <c r="DI212" s="1432"/>
      <c r="DJ212" s="1437"/>
      <c r="DK212" s="1437"/>
      <c r="DL212" s="1437"/>
      <c r="DM212" s="1437"/>
      <c r="DN212" s="1432"/>
      <c r="DO212" s="1432"/>
      <c r="DP212" s="1432"/>
      <c r="DQ212" s="1432"/>
      <c r="DR212" s="1432"/>
      <c r="DS212" s="1432"/>
      <c r="DT212" s="1316"/>
      <c r="DU212" s="1433"/>
      <c r="DV212" s="1433"/>
      <c r="DW212" s="1433"/>
      <c r="DX212" s="1433"/>
      <c r="DY212" s="1433"/>
      <c r="DZ212" s="1433"/>
      <c r="EA212" s="1433"/>
      <c r="EB212" s="1433"/>
    </row>
    <row r="213" customFormat="false" ht="14.25" hidden="false" customHeight="false" outlineLevel="0" collapsed="false">
      <c r="A213" s="2" t="n">
        <f aca="false">'V_DATOS PAC_SGA'!R208</f>
        <v>0</v>
      </c>
      <c r="B213" s="2" t="n">
        <f aca="false">IF(I213="IV",CONCATENATE('V_DATOS PAC_SGA'!R208,"4")+0,CONCATENATE('V_DATOS PAC_SGA'!R208,"0")+0)</f>
        <v>0</v>
      </c>
      <c r="C213" s="2" t="n">
        <f aca="false">'V_DATOS PAC_SGA'!S208</f>
        <v>0</v>
      </c>
      <c r="D213" s="1409" t="n">
        <f aca="false">'V_DATOS PAC_SGA'!Y208</f>
        <v>0</v>
      </c>
      <c r="E213" s="1410" t="str">
        <f aca="false">IF('V_DATOS PAC_SGA'!AV208="","Regadio",'V_DATOS PAC_SGA'!AV208)</f>
        <v>Regadio</v>
      </c>
      <c r="F213" s="1411" t="n">
        <f aca="false">'V_DATOS PAC_SGA'!BK208</f>
        <v>0</v>
      </c>
      <c r="G213" s="1412" t="n">
        <f aca="false">'V_DATOS PAC_SGA'!AN208</f>
        <v>0</v>
      </c>
      <c r="H213" s="1413" t="str">
        <f aca="false">IF(B213&gt;0,VLOOKUP(B213,'O_MN, PE_UTA_UGM 2024'!E$3:O$419,10),"")</f>
        <v/>
      </c>
      <c r="I213" s="1359" t="n">
        <f aca="false">'V_DATOS PAC_SGA'!BV208</f>
        <v>0</v>
      </c>
      <c r="J213" s="2" t="str">
        <f aca="false">IF(AND(J$4=$G213,J$6=$F213),$D213*J$5,"")</f>
        <v/>
      </c>
      <c r="K213" s="2" t="str">
        <f aca="false">IF(AND(K$4=$G213,K$6=$F213),$D213*K$5,"")</f>
        <v/>
      </c>
      <c r="L213" s="2" t="str">
        <f aca="false">IF(AND(L$4=$G213,L$6=$F213),$D213*L$5,"")</f>
        <v/>
      </c>
      <c r="M213" s="2" t="str">
        <f aca="false">IF(AND(M$4=$G213,M$6=$F213),$D213*M$5,"")</f>
        <v/>
      </c>
      <c r="N213" s="1414" t="n">
        <f aca="false">VLOOKUP(B213,'O_MN, PE_UTA_UGM 2024'!$E$2:$K$419,IF(G213&gt;1,6,7))</f>
        <v>0</v>
      </c>
      <c r="O213" s="1434" t="str">
        <f aca="false">IF($H213=O$4,$D213*$N213,"")</f>
        <v/>
      </c>
      <c r="P213" s="1435" t="str">
        <f aca="false">IF($H213=P$4,$D213*$N213,"")</f>
        <v/>
      </c>
      <c r="Q213" s="1435" t="str">
        <f aca="false">IF($H213=Q$4,$D213*$N213,"")</f>
        <v/>
      </c>
      <c r="R213" s="1435" t="str">
        <f aca="false">IF($H213=R$4,$D213*$N213,"")</f>
        <v/>
      </c>
      <c r="S213" s="1435" t="str">
        <f aca="false">IF($H213=S$4,$D213*$N213,"")</f>
        <v/>
      </c>
      <c r="T213" s="1435" t="str">
        <f aca="false">IF($H213=T$4,$D213*$N213,"")</f>
        <v/>
      </c>
      <c r="U213" s="1436" t="str">
        <f aca="false">IF($H213=U$4,$D213*$N213,"")</f>
        <v/>
      </c>
      <c r="V213" s="1418"/>
      <c r="W213" s="1419"/>
      <c r="X213" s="1419"/>
      <c r="Y213" s="1419"/>
      <c r="Z213" s="1419"/>
      <c r="AA213" s="1419"/>
      <c r="AB213" s="1420"/>
      <c r="AC213" s="1319"/>
      <c r="AD213" s="2" t="str">
        <f aca="false">IF(AND(AD$4=$G213,AD$6=$F213),$B213,"")</f>
        <v/>
      </c>
      <c r="AE213" s="2" t="str">
        <f aca="false">IF(AND(AE$4=$G213,AE$6=$F213),$B213,"")</f>
        <v/>
      </c>
      <c r="AF213" s="2" t="str">
        <f aca="false">IF(AND(AF$4=$G213,AF$6=$F213),$B213,"")</f>
        <v/>
      </c>
      <c r="AG213" s="2" t="str">
        <f aca="false">IF(AND(AG$4=$G213,AG$6=$F213),$B213,"")</f>
        <v/>
      </c>
      <c r="AI213" s="366"/>
      <c r="AL213" s="367"/>
      <c r="AO213" s="367"/>
      <c r="AP213" s="2" t="str">
        <f aca="false">IF(AT213&gt;0,RANK(AT213,AT$7:AT$423),"")</f>
        <v/>
      </c>
      <c r="AQ213" s="2" t="n">
        <f aca="false">'O_MN, PE_UTA_UGM 2024'!C209</f>
        <v>203</v>
      </c>
      <c r="AR213" s="1421" t="n">
        <v>1979</v>
      </c>
      <c r="AS213" s="2" t="str">
        <f aca="false">IF(AY213&lt;&gt;"",AY213,"")</f>
        <v/>
      </c>
      <c r="AT213" s="1422" t="n">
        <f aca="false">IF(ISNUMBER($AR213),SUMIF(B$7:B$505,AR213,D$7:D$505),"")</f>
        <v>0</v>
      </c>
      <c r="AU213" s="1411" t="n">
        <f aca="false">IF(ISNUMBER($AR213),SUMIF(AD$7:AD$503,$AR213,J$7:J$503),"")</f>
        <v>0</v>
      </c>
      <c r="AV213" s="1411" t="n">
        <f aca="false">IF(ISNUMBER($AR213),SUMIF(AF$7:AF$503,$AR213,L$7:L$503),"")</f>
        <v>0</v>
      </c>
      <c r="AW213" s="1423" t="n">
        <f aca="false">IF(ISNUMBER($AR213),SUMIF(AE$7:AE$503,$AR213,K$7:K$503),"")</f>
        <v>0</v>
      </c>
      <c r="AX213" s="1423" t="n">
        <f aca="false">IF(ISNUMBER($AR213),SUMIF(AG$7:AG$503,$AR213,M$7:M$503),"")</f>
        <v>0</v>
      </c>
      <c r="AY213" s="2" t="str">
        <f aca="false">IF($AT213&gt;0,VLOOKUP($AR213,'O_MN, PE_UTA_UGM 2024'!E209:O625,2),"")</f>
        <v/>
      </c>
      <c r="AZ213" s="1424"/>
      <c r="BA213" s="1424"/>
      <c r="BB213" s="1424" t="str">
        <f aca="false">IF($AT213&gt;0,VLOOKUP($AR213,'O_MN, PE_UTA_UGM 2024'!$E$3:$O$419,BB$6),"")</f>
        <v/>
      </c>
      <c r="BC213" s="1424" t="str">
        <f aca="false">IF($AT213&gt;0,VLOOKUP($AR213,'O_MN, PE_UTA_UGM 2024'!$E$3:$O$419,BC$6),"")</f>
        <v/>
      </c>
      <c r="BD213" s="1424" t="str">
        <f aca="false">IF($AT213&gt;0,VLOOKUP($AR213,'O_MN, PE_UTA_UGM 2024'!$E$3:$O$419,BD$6),"")</f>
        <v/>
      </c>
      <c r="BE213" s="1424" t="str">
        <f aca="false">IF($AT213&gt;0,VLOOKUP($AR213,'O_MN, PE_UTA_UGM 2024'!$E$3:$O$419,BE$6),"")</f>
        <v/>
      </c>
      <c r="BF213" s="1424" t="str">
        <f aca="false">IF($AT213&gt;0,VLOOKUP($AR213,'O_MN, PE_UTA_UGM 2024'!$E$3:$O$419,BF$6),"")</f>
        <v/>
      </c>
      <c r="BG213" s="1424" t="str">
        <f aca="false">IF($AT213&gt;0,VLOOKUP($AR213,'O_MN, PE_UTA_UGM 2024'!$E$3:$O$419,BG$6),"")</f>
        <v/>
      </c>
      <c r="BH213" s="872"/>
      <c r="BI213" s="872"/>
      <c r="BJ213" s="872"/>
      <c r="BK213" s="872"/>
      <c r="BM213" s="1411"/>
      <c r="BN213" s="1411"/>
      <c r="BO213" s="1425" t="str">
        <f aca="false">IF(ISNUMBER($AU213*BB213*1),$AU213*BB213*1,"")</f>
        <v/>
      </c>
      <c r="BP213" s="1425" t="str">
        <f aca="false">IF(ISNUMBER($AV213*BC213*1),$AV213*BC213*1,"")</f>
        <v/>
      </c>
      <c r="BQ213" s="1425" t="str">
        <f aca="false">IF(ISNUMBER($AU213*BD213*1),$AU213*BD213*1,"")</f>
        <v/>
      </c>
      <c r="BR213" s="1425" t="str">
        <f aca="false">IF(ISNUMBER($AV213*BE213*1),$AV213*BE213*1,"")</f>
        <v/>
      </c>
      <c r="BS213" s="1411" t="str">
        <f aca="false">IF(ISNUMBER($AU213*BF213),$AU213*BF213,"")</f>
        <v/>
      </c>
      <c r="BT213" s="1411" t="str">
        <f aca="false">IF(ISNUMBER($AV213*BG213),$AV213*BG213,"")</f>
        <v/>
      </c>
      <c r="BU213" s="1411"/>
      <c r="BV213" s="1411"/>
      <c r="BW213" s="1411"/>
      <c r="BX213" s="1411"/>
      <c r="BZ213" s="1372"/>
      <c r="CA213" s="1372"/>
      <c r="CB213" s="1426" t="str">
        <f aca="false">IF(ISNUMBER($AW213*BB213),$AW213*BB213,"")</f>
        <v/>
      </c>
      <c r="CC213" s="1426" t="str">
        <f aca="false">IF(ISNUMBER($AX213*BC213),$AX213*BC213,"")</f>
        <v/>
      </c>
      <c r="CD213" s="1426" t="str">
        <f aca="false">IF(ISNUMBER($AW213*BD213),$AW213*BD213,"")</f>
        <v/>
      </c>
      <c r="CE213" s="1426" t="str">
        <f aca="false">IF(ISNUMBER($AX213*BE213),$AX213*BE213,"")</f>
        <v/>
      </c>
      <c r="CF213" s="1372" t="str">
        <f aca="false">IF(ISNUMBER($AW213*BF213),$AW213*BF213,"")</f>
        <v/>
      </c>
      <c r="CG213" s="1372" t="str">
        <f aca="false">IF(ISNUMBER($AX213*BG213),$AX213*BG213,"")</f>
        <v/>
      </c>
      <c r="CH213" s="1438"/>
      <c r="CI213" s="1438"/>
      <c r="CJ213" s="1438"/>
      <c r="CK213" s="1438"/>
      <c r="CU213" s="1411"/>
      <c r="CV213" s="1411"/>
      <c r="CW213" s="1425"/>
      <c r="CX213" s="1425"/>
      <c r="CY213" s="1425"/>
      <c r="CZ213" s="1425"/>
      <c r="DA213" s="1411"/>
      <c r="DB213" s="1411"/>
      <c r="DC213" s="1411"/>
      <c r="DD213" s="1411"/>
      <c r="DE213" s="1411"/>
      <c r="DF213" s="1411"/>
      <c r="DH213" s="1432"/>
      <c r="DI213" s="1432"/>
      <c r="DJ213" s="1437"/>
      <c r="DK213" s="1437"/>
      <c r="DL213" s="1437"/>
      <c r="DM213" s="1437"/>
      <c r="DN213" s="1432"/>
      <c r="DO213" s="1432"/>
      <c r="DP213" s="1432"/>
      <c r="DQ213" s="1432"/>
      <c r="DR213" s="1432"/>
      <c r="DS213" s="1432"/>
      <c r="DT213" s="1316"/>
      <c r="DU213" s="1433"/>
      <c r="DV213" s="1433"/>
      <c r="DW213" s="1433"/>
      <c r="DX213" s="1433"/>
      <c r="DY213" s="1433"/>
      <c r="DZ213" s="1433"/>
      <c r="EA213" s="1433"/>
      <c r="EB213" s="1433"/>
    </row>
    <row r="214" customFormat="false" ht="14.25" hidden="false" customHeight="false" outlineLevel="0" collapsed="false">
      <c r="A214" s="2" t="n">
        <f aca="false">'V_DATOS PAC_SGA'!R209</f>
        <v>0</v>
      </c>
      <c r="B214" s="2" t="n">
        <f aca="false">IF(I214="IV",CONCATENATE('V_DATOS PAC_SGA'!R209,"4")+0,CONCATENATE('V_DATOS PAC_SGA'!R209,"0")+0)</f>
        <v>0</v>
      </c>
      <c r="C214" s="2" t="n">
        <f aca="false">'V_DATOS PAC_SGA'!S209</f>
        <v>0</v>
      </c>
      <c r="D214" s="1409" t="n">
        <f aca="false">'V_DATOS PAC_SGA'!Y209</f>
        <v>0</v>
      </c>
      <c r="E214" s="1410" t="str">
        <f aca="false">IF('V_DATOS PAC_SGA'!AV209="","Regadio",'V_DATOS PAC_SGA'!AV209)</f>
        <v>Regadio</v>
      </c>
      <c r="F214" s="1411" t="n">
        <f aca="false">'V_DATOS PAC_SGA'!BK209</f>
        <v>0</v>
      </c>
      <c r="G214" s="1412" t="n">
        <f aca="false">'V_DATOS PAC_SGA'!AN209</f>
        <v>0</v>
      </c>
      <c r="H214" s="1413" t="str">
        <f aca="false">IF(B214&gt;0,VLOOKUP(B214,'O_MN, PE_UTA_UGM 2024'!E$3:O$419,10),"")</f>
        <v/>
      </c>
      <c r="I214" s="1359" t="n">
        <f aca="false">'V_DATOS PAC_SGA'!BV209</f>
        <v>0</v>
      </c>
      <c r="J214" s="2" t="str">
        <f aca="false">IF(AND(J$4=$G214,J$6=$F214),$D214*J$5,"")</f>
        <v/>
      </c>
      <c r="K214" s="2" t="str">
        <f aca="false">IF(AND(K$4=$G214,K$6=$F214),$D214*K$5,"")</f>
        <v/>
      </c>
      <c r="L214" s="2" t="str">
        <f aca="false">IF(AND(L$4=$G214,L$6=$F214),$D214*L$5,"")</f>
        <v/>
      </c>
      <c r="M214" s="2" t="str">
        <f aca="false">IF(AND(M$4=$G214,M$6=$F214),$D214*M$5,"")</f>
        <v/>
      </c>
      <c r="N214" s="1414" t="n">
        <f aca="false">VLOOKUP(B214,'O_MN, PE_UTA_UGM 2024'!$E$2:$K$419,IF(G214&gt;1,6,7))</f>
        <v>0</v>
      </c>
      <c r="O214" s="1434" t="str">
        <f aca="false">IF($H214=O$4,$D214*$N214,"")</f>
        <v/>
      </c>
      <c r="P214" s="1435" t="str">
        <f aca="false">IF($H214=P$4,$D214*$N214,"")</f>
        <v/>
      </c>
      <c r="Q214" s="1435" t="str">
        <f aca="false">IF($H214=Q$4,$D214*$N214,"")</f>
        <v/>
      </c>
      <c r="R214" s="1435" t="str">
        <f aca="false">IF($H214=R$4,$D214*$N214,"")</f>
        <v/>
      </c>
      <c r="S214" s="1435" t="str">
        <f aca="false">IF($H214=S$4,$D214*$N214,"")</f>
        <v/>
      </c>
      <c r="T214" s="1435" t="str">
        <f aca="false">IF($H214=T$4,$D214*$N214,"")</f>
        <v/>
      </c>
      <c r="U214" s="1436" t="str">
        <f aca="false">IF($H214=U$4,$D214*$N214,"")</f>
        <v/>
      </c>
      <c r="V214" s="1418"/>
      <c r="W214" s="1419"/>
      <c r="X214" s="1419"/>
      <c r="Y214" s="1419"/>
      <c r="Z214" s="1419"/>
      <c r="AA214" s="1419"/>
      <c r="AB214" s="1420"/>
      <c r="AC214" s="1319"/>
      <c r="AD214" s="2" t="str">
        <f aca="false">IF(AND(AD$4=$G214,AD$6=$F214),$B214,"")</f>
        <v/>
      </c>
      <c r="AE214" s="2" t="str">
        <f aca="false">IF(AND(AE$4=$G214,AE$6=$F214),$B214,"")</f>
        <v/>
      </c>
      <c r="AF214" s="2" t="str">
        <f aca="false">IF(AND(AF$4=$G214,AF$6=$F214),$B214,"")</f>
        <v/>
      </c>
      <c r="AG214" s="2" t="str">
        <f aca="false">IF(AND(AG$4=$G214,AG$6=$F214),$B214,"")</f>
        <v/>
      </c>
      <c r="AI214" s="366"/>
      <c r="AL214" s="367"/>
      <c r="AO214" s="367"/>
      <c r="AP214" s="2" t="str">
        <f aca="false">IF(AT214&gt;0,RANK(AT214,AT$7:AT$423),"")</f>
        <v/>
      </c>
      <c r="AQ214" s="2" t="n">
        <f aca="false">'O_MN, PE_UTA_UGM 2024'!C210</f>
        <v>204</v>
      </c>
      <c r="AR214" s="1421" t="n">
        <v>2000</v>
      </c>
      <c r="AS214" s="2" t="str">
        <f aca="false">IF(AY214&lt;&gt;"",AY214,"")</f>
        <v/>
      </c>
      <c r="AT214" s="1422" t="n">
        <f aca="false">IF(ISNUMBER($AR214),SUMIF(B$7:B$505,AR214,D$7:D$505),"")</f>
        <v>0</v>
      </c>
      <c r="AU214" s="1411" t="n">
        <f aca="false">IF(ISNUMBER($AR214),SUMIF(AD$7:AD$503,$AR214,J$7:J$503),"")</f>
        <v>0</v>
      </c>
      <c r="AV214" s="1411" t="n">
        <f aca="false">IF(ISNUMBER($AR214),SUMIF(AF$7:AF$503,$AR214,L$7:L$503),"")</f>
        <v>0</v>
      </c>
      <c r="AW214" s="1423" t="n">
        <f aca="false">IF(ISNUMBER($AR214),SUMIF(AE$7:AE$503,$AR214,K$7:K$503),"")</f>
        <v>0</v>
      </c>
      <c r="AX214" s="1423" t="n">
        <f aca="false">IF(ISNUMBER($AR214),SUMIF(AG$7:AG$503,$AR214,M$7:M$503),"")</f>
        <v>0</v>
      </c>
      <c r="AY214" s="2" t="str">
        <f aca="false">IF($AT214&gt;0,VLOOKUP($AR214,'O_MN, PE_UTA_UGM 2024'!E210:O626,2),"")</f>
        <v/>
      </c>
      <c r="AZ214" s="1424"/>
      <c r="BA214" s="1424"/>
      <c r="BB214" s="1424" t="str">
        <f aca="false">IF($AT214&gt;0,VLOOKUP($AR214,'O_MN, PE_UTA_UGM 2024'!$E$3:$O$419,BB$6),"")</f>
        <v/>
      </c>
      <c r="BC214" s="1424" t="str">
        <f aca="false">IF($AT214&gt;0,VLOOKUP($AR214,'O_MN, PE_UTA_UGM 2024'!$E$3:$O$419,BC$6),"")</f>
        <v/>
      </c>
      <c r="BD214" s="1424" t="str">
        <f aca="false">IF($AT214&gt;0,VLOOKUP($AR214,'O_MN, PE_UTA_UGM 2024'!$E$3:$O$419,BD$6),"")</f>
        <v/>
      </c>
      <c r="BE214" s="1424" t="str">
        <f aca="false">IF($AT214&gt;0,VLOOKUP($AR214,'O_MN, PE_UTA_UGM 2024'!$E$3:$O$419,BE$6),"")</f>
        <v/>
      </c>
      <c r="BF214" s="1424" t="str">
        <f aca="false">IF($AT214&gt;0,VLOOKUP($AR214,'O_MN, PE_UTA_UGM 2024'!$E$3:$O$419,BF$6),"")</f>
        <v/>
      </c>
      <c r="BG214" s="1424" t="str">
        <f aca="false">IF($AT214&gt;0,VLOOKUP($AR214,'O_MN, PE_UTA_UGM 2024'!$E$3:$O$419,BG$6),"")</f>
        <v/>
      </c>
      <c r="BH214" s="872"/>
      <c r="BI214" s="872"/>
      <c r="BJ214" s="872"/>
      <c r="BK214" s="872"/>
      <c r="BM214" s="1411"/>
      <c r="BN214" s="1411"/>
      <c r="BO214" s="1425" t="str">
        <f aca="false">IF(ISNUMBER($AU214*BB214*1),$AU214*BB214*1,"")</f>
        <v/>
      </c>
      <c r="BP214" s="1425" t="str">
        <f aca="false">IF(ISNUMBER($AV214*BC214*1),$AV214*BC214*1,"")</f>
        <v/>
      </c>
      <c r="BQ214" s="1425" t="str">
        <f aca="false">IF(ISNUMBER($AU214*BD214*1),$AU214*BD214*1,"")</f>
        <v/>
      </c>
      <c r="BR214" s="1425" t="str">
        <f aca="false">IF(ISNUMBER($AV214*BE214*1),$AV214*BE214*1,"")</f>
        <v/>
      </c>
      <c r="BS214" s="1411" t="str">
        <f aca="false">IF(ISNUMBER($AU214*BF214),$AU214*BF214,"")</f>
        <v/>
      </c>
      <c r="BT214" s="1411" t="str">
        <f aca="false">IF(ISNUMBER($AV214*BG214),$AV214*BG214,"")</f>
        <v/>
      </c>
      <c r="BU214" s="1411"/>
      <c r="BV214" s="1411"/>
      <c r="BW214" s="1411"/>
      <c r="BX214" s="1411"/>
      <c r="BZ214" s="1372"/>
      <c r="CA214" s="1372"/>
      <c r="CB214" s="1426" t="str">
        <f aca="false">IF(ISNUMBER($AW214*BB214),$AW214*BB214,"")</f>
        <v/>
      </c>
      <c r="CC214" s="1426" t="str">
        <f aca="false">IF(ISNUMBER($AX214*BC214),$AX214*BC214,"")</f>
        <v/>
      </c>
      <c r="CD214" s="1426" t="str">
        <f aca="false">IF(ISNUMBER($AW214*BD214),$AW214*BD214,"")</f>
        <v/>
      </c>
      <c r="CE214" s="1426" t="str">
        <f aca="false">IF(ISNUMBER($AX214*BE214),$AX214*BE214,"")</f>
        <v/>
      </c>
      <c r="CF214" s="1372" t="str">
        <f aca="false">IF(ISNUMBER($AW214*BF214),$AW214*BF214,"")</f>
        <v/>
      </c>
      <c r="CG214" s="1372" t="str">
        <f aca="false">IF(ISNUMBER($AX214*BG214),$AX214*BG214,"")</f>
        <v/>
      </c>
      <c r="CH214" s="1438"/>
      <c r="CI214" s="1438"/>
      <c r="CJ214" s="1438"/>
      <c r="CK214" s="1438"/>
      <c r="CU214" s="1411"/>
      <c r="CV214" s="1411"/>
      <c r="CW214" s="1425"/>
      <c r="CX214" s="1425"/>
      <c r="CY214" s="1425"/>
      <c r="CZ214" s="1425"/>
      <c r="DA214" s="1411"/>
      <c r="DB214" s="1411"/>
      <c r="DC214" s="1411"/>
      <c r="DD214" s="1411"/>
      <c r="DE214" s="1411"/>
      <c r="DF214" s="1411"/>
      <c r="DH214" s="1432"/>
      <c r="DI214" s="1432"/>
      <c r="DJ214" s="1437"/>
      <c r="DK214" s="1437"/>
      <c r="DL214" s="1437"/>
      <c r="DM214" s="1437"/>
      <c r="DN214" s="1432"/>
      <c r="DO214" s="1432"/>
      <c r="DP214" s="1432"/>
      <c r="DQ214" s="1432"/>
      <c r="DR214" s="1432"/>
      <c r="DS214" s="1432"/>
      <c r="DT214" s="1316"/>
      <c r="DU214" s="1433"/>
      <c r="DV214" s="1433"/>
      <c r="DW214" s="1433"/>
      <c r="DX214" s="1433"/>
      <c r="DY214" s="1433"/>
      <c r="DZ214" s="1433"/>
      <c r="EA214" s="1433"/>
      <c r="EB214" s="1433"/>
    </row>
    <row r="215" customFormat="false" ht="14.25" hidden="false" customHeight="false" outlineLevel="0" collapsed="false">
      <c r="A215" s="2" t="n">
        <f aca="false">'V_DATOS PAC_SGA'!R210</f>
        <v>0</v>
      </c>
      <c r="B215" s="2" t="n">
        <f aca="false">IF(I215="IV",CONCATENATE('V_DATOS PAC_SGA'!R210,"4")+0,CONCATENATE('V_DATOS PAC_SGA'!R210,"0")+0)</f>
        <v>0</v>
      </c>
      <c r="C215" s="2" t="n">
        <f aca="false">'V_DATOS PAC_SGA'!S210</f>
        <v>0</v>
      </c>
      <c r="D215" s="1409" t="n">
        <f aca="false">'V_DATOS PAC_SGA'!Y210</f>
        <v>0</v>
      </c>
      <c r="E215" s="1410" t="str">
        <f aca="false">IF('V_DATOS PAC_SGA'!AV210="","Regadio",'V_DATOS PAC_SGA'!AV210)</f>
        <v>Regadio</v>
      </c>
      <c r="F215" s="1411" t="n">
        <f aca="false">'V_DATOS PAC_SGA'!BK210</f>
        <v>0</v>
      </c>
      <c r="G215" s="1412" t="n">
        <f aca="false">'V_DATOS PAC_SGA'!AN210</f>
        <v>0</v>
      </c>
      <c r="H215" s="1413" t="str">
        <f aca="false">IF(B215&gt;0,VLOOKUP(B215,'O_MN, PE_UTA_UGM 2024'!E$3:O$419,10),"")</f>
        <v/>
      </c>
      <c r="I215" s="1359" t="n">
        <f aca="false">'V_DATOS PAC_SGA'!BV210</f>
        <v>0</v>
      </c>
      <c r="J215" s="2" t="str">
        <f aca="false">IF(AND(J$4=$G215,J$6=$F215),$D215*J$5,"")</f>
        <v/>
      </c>
      <c r="K215" s="2" t="str">
        <f aca="false">IF(AND(K$4=$G215,K$6=$F215),$D215*K$5,"")</f>
        <v/>
      </c>
      <c r="L215" s="2" t="str">
        <f aca="false">IF(AND(L$4=$G215,L$6=$F215),$D215*L$5,"")</f>
        <v/>
      </c>
      <c r="M215" s="2" t="str">
        <f aca="false">IF(AND(M$4=$G215,M$6=$F215),$D215*M$5,"")</f>
        <v/>
      </c>
      <c r="N215" s="1414" t="n">
        <f aca="false">VLOOKUP(B215,'O_MN, PE_UTA_UGM 2024'!$E$2:$K$419,IF(G215&gt;1,6,7))</f>
        <v>0</v>
      </c>
      <c r="O215" s="1434" t="str">
        <f aca="false">IF($H215=O$4,$D215*$N215,"")</f>
        <v/>
      </c>
      <c r="P215" s="1435" t="str">
        <f aca="false">IF($H215=P$4,$D215*$N215,"")</f>
        <v/>
      </c>
      <c r="Q215" s="1435" t="str">
        <f aca="false">IF($H215=Q$4,$D215*$N215,"")</f>
        <v/>
      </c>
      <c r="R215" s="1435" t="str">
        <f aca="false">IF($H215=R$4,$D215*$N215,"")</f>
        <v/>
      </c>
      <c r="S215" s="1435" t="str">
        <f aca="false">IF($H215=S$4,$D215*$N215,"")</f>
        <v/>
      </c>
      <c r="T215" s="1435" t="str">
        <f aca="false">IF($H215=T$4,$D215*$N215,"")</f>
        <v/>
      </c>
      <c r="U215" s="1436" t="str">
        <f aca="false">IF($H215=U$4,$D215*$N215,"")</f>
        <v/>
      </c>
      <c r="V215" s="1418"/>
      <c r="W215" s="1419"/>
      <c r="X215" s="1419"/>
      <c r="Y215" s="1419"/>
      <c r="Z215" s="1419"/>
      <c r="AA215" s="1419"/>
      <c r="AB215" s="1420"/>
      <c r="AC215" s="1319"/>
      <c r="AD215" s="2" t="str">
        <f aca="false">IF(AND(AD$4=$G215,AD$6=$F215),$B215,"")</f>
        <v/>
      </c>
      <c r="AE215" s="2" t="str">
        <f aca="false">IF(AND(AE$4=$G215,AE$6=$F215),$B215,"")</f>
        <v/>
      </c>
      <c r="AF215" s="2" t="str">
        <f aca="false">IF(AND(AF$4=$G215,AF$6=$F215),$B215,"")</f>
        <v/>
      </c>
      <c r="AG215" s="2" t="str">
        <f aca="false">IF(AND(AG$4=$G215,AG$6=$F215),$B215,"")</f>
        <v/>
      </c>
      <c r="AI215" s="366"/>
      <c r="AL215" s="367"/>
      <c r="AO215" s="367"/>
      <c r="AP215" s="2" t="str">
        <f aca="false">IF(AT215&gt;0,RANK(AT215,AT$7:AT$423),"")</f>
        <v/>
      </c>
      <c r="AQ215" s="2" t="n">
        <f aca="false">'O_MN, PE_UTA_UGM 2024'!C211</f>
        <v>205</v>
      </c>
      <c r="AR215" s="1421" t="n">
        <v>2010</v>
      </c>
      <c r="AS215" s="2" t="str">
        <f aca="false">IF(AY215&lt;&gt;"",AY215,"")</f>
        <v/>
      </c>
      <c r="AT215" s="1422" t="n">
        <f aca="false">IF(ISNUMBER($AR215),SUMIF(B$7:B$505,AR215,D$7:D$505),"")</f>
        <v>0</v>
      </c>
      <c r="AU215" s="1411" t="n">
        <f aca="false">IF(ISNUMBER($AR215),SUMIF(AD$7:AD$503,$AR215,J$7:J$503),"")</f>
        <v>0</v>
      </c>
      <c r="AV215" s="1411" t="n">
        <f aca="false">IF(ISNUMBER($AR215),SUMIF(AF$7:AF$503,$AR215,L$7:L$503),"")</f>
        <v>0</v>
      </c>
      <c r="AW215" s="1423" t="n">
        <f aca="false">IF(ISNUMBER($AR215),SUMIF(AE$7:AE$503,$AR215,K$7:K$503),"")</f>
        <v>0</v>
      </c>
      <c r="AX215" s="1423" t="n">
        <f aca="false">IF(ISNUMBER($AR215),SUMIF(AG$7:AG$503,$AR215,M$7:M$503),"")</f>
        <v>0</v>
      </c>
      <c r="AY215" s="2" t="str">
        <f aca="false">IF($AT215&gt;0,VLOOKUP($AR215,'O_MN, PE_UTA_UGM 2024'!E211:O627,2),"")</f>
        <v/>
      </c>
      <c r="AZ215" s="1424"/>
      <c r="BA215" s="1424"/>
      <c r="BB215" s="1424" t="str">
        <f aca="false">IF($AT215&gt;0,VLOOKUP($AR215,'O_MN, PE_UTA_UGM 2024'!$E$3:$O$419,BB$6),"")</f>
        <v/>
      </c>
      <c r="BC215" s="1424" t="str">
        <f aca="false">IF($AT215&gt;0,VLOOKUP($AR215,'O_MN, PE_UTA_UGM 2024'!$E$3:$O$419,BC$6),"")</f>
        <v/>
      </c>
      <c r="BD215" s="1424" t="str">
        <f aca="false">IF($AT215&gt;0,VLOOKUP($AR215,'O_MN, PE_UTA_UGM 2024'!$E$3:$O$419,BD$6),"")</f>
        <v/>
      </c>
      <c r="BE215" s="1424" t="str">
        <f aca="false">IF($AT215&gt;0,VLOOKUP($AR215,'O_MN, PE_UTA_UGM 2024'!$E$3:$O$419,BE$6),"")</f>
        <v/>
      </c>
      <c r="BF215" s="1424" t="str">
        <f aca="false">IF($AT215&gt;0,VLOOKUP($AR215,'O_MN, PE_UTA_UGM 2024'!$E$3:$O$419,BF$6),"")</f>
        <v/>
      </c>
      <c r="BG215" s="1424" t="str">
        <f aca="false">IF($AT215&gt;0,VLOOKUP($AR215,'O_MN, PE_UTA_UGM 2024'!$E$3:$O$419,BG$6),"")</f>
        <v/>
      </c>
      <c r="BH215" s="872"/>
      <c r="BI215" s="872"/>
      <c r="BJ215" s="872"/>
      <c r="BK215" s="872"/>
      <c r="BM215" s="1411"/>
      <c r="BN215" s="1411"/>
      <c r="BO215" s="1425" t="str">
        <f aca="false">IF(ISNUMBER($AU215*BB215*1),$AU215*BB215*1,"")</f>
        <v/>
      </c>
      <c r="BP215" s="1425" t="str">
        <f aca="false">IF(ISNUMBER($AV215*BC215*1),$AV215*BC215*1,"")</f>
        <v/>
      </c>
      <c r="BQ215" s="1425" t="str">
        <f aca="false">IF(ISNUMBER($AU215*BD215*1),$AU215*BD215*1,"")</f>
        <v/>
      </c>
      <c r="BR215" s="1425" t="str">
        <f aca="false">IF(ISNUMBER($AV215*BE215*1),$AV215*BE215*1,"")</f>
        <v/>
      </c>
      <c r="BS215" s="1411" t="str">
        <f aca="false">IF(ISNUMBER($AU215*BF215),$AU215*BF215,"")</f>
        <v/>
      </c>
      <c r="BT215" s="1411" t="str">
        <f aca="false">IF(ISNUMBER($AV215*BG215),$AV215*BG215,"")</f>
        <v/>
      </c>
      <c r="BU215" s="1411"/>
      <c r="BV215" s="1411"/>
      <c r="BW215" s="1411"/>
      <c r="BX215" s="1411"/>
      <c r="BZ215" s="1372"/>
      <c r="CA215" s="1372"/>
      <c r="CB215" s="1426" t="str">
        <f aca="false">IF(ISNUMBER($AW215*BB215),$AW215*BB215,"")</f>
        <v/>
      </c>
      <c r="CC215" s="1426" t="str">
        <f aca="false">IF(ISNUMBER($AX215*BC215),$AX215*BC215,"")</f>
        <v/>
      </c>
      <c r="CD215" s="1426" t="str">
        <f aca="false">IF(ISNUMBER($AW215*BD215),$AW215*BD215,"")</f>
        <v/>
      </c>
      <c r="CE215" s="1426" t="str">
        <f aca="false">IF(ISNUMBER($AX215*BE215),$AX215*BE215,"")</f>
        <v/>
      </c>
      <c r="CF215" s="1372" t="str">
        <f aca="false">IF(ISNUMBER($AW215*BF215),$AW215*BF215,"")</f>
        <v/>
      </c>
      <c r="CG215" s="1372" t="str">
        <f aca="false">IF(ISNUMBER($AX215*BG215),$AX215*BG215,"")</f>
        <v/>
      </c>
      <c r="CH215" s="1438"/>
      <c r="CI215" s="1438"/>
      <c r="CJ215" s="1438"/>
      <c r="CK215" s="1438"/>
      <c r="CU215" s="1411"/>
      <c r="CV215" s="1411"/>
      <c r="CW215" s="1425"/>
      <c r="CX215" s="1425"/>
      <c r="CY215" s="1425"/>
      <c r="CZ215" s="1425"/>
      <c r="DA215" s="1411"/>
      <c r="DB215" s="1411"/>
      <c r="DC215" s="1411"/>
      <c r="DD215" s="1411"/>
      <c r="DE215" s="1411"/>
      <c r="DF215" s="1411"/>
      <c r="DH215" s="1432"/>
      <c r="DI215" s="1432"/>
      <c r="DJ215" s="1437"/>
      <c r="DK215" s="1437"/>
      <c r="DL215" s="1437"/>
      <c r="DM215" s="1437"/>
      <c r="DN215" s="1432"/>
      <c r="DO215" s="1432"/>
      <c r="DP215" s="1432"/>
      <c r="DQ215" s="1432"/>
      <c r="DR215" s="1432"/>
      <c r="DS215" s="1432"/>
      <c r="DT215" s="1316"/>
      <c r="DU215" s="1433"/>
      <c r="DV215" s="1433"/>
      <c r="DW215" s="1433"/>
      <c r="DX215" s="1433"/>
      <c r="DY215" s="1433"/>
      <c r="DZ215" s="1433"/>
      <c r="EA215" s="1433"/>
      <c r="EB215" s="1433"/>
    </row>
    <row r="216" customFormat="false" ht="14.25" hidden="false" customHeight="false" outlineLevel="0" collapsed="false">
      <c r="A216" s="2" t="n">
        <f aca="false">'V_DATOS PAC_SGA'!R211</f>
        <v>0</v>
      </c>
      <c r="B216" s="2" t="n">
        <f aca="false">IF(I216="IV",CONCATENATE('V_DATOS PAC_SGA'!R211,"4")+0,CONCATENATE('V_DATOS PAC_SGA'!R211,"0")+0)</f>
        <v>0</v>
      </c>
      <c r="C216" s="2" t="n">
        <f aca="false">'V_DATOS PAC_SGA'!S211</f>
        <v>0</v>
      </c>
      <c r="D216" s="1409" t="n">
        <f aca="false">'V_DATOS PAC_SGA'!Y211</f>
        <v>0</v>
      </c>
      <c r="E216" s="1410" t="str">
        <f aca="false">IF('V_DATOS PAC_SGA'!AV211="","Regadio",'V_DATOS PAC_SGA'!AV211)</f>
        <v>Regadio</v>
      </c>
      <c r="F216" s="1411" t="n">
        <f aca="false">'V_DATOS PAC_SGA'!BK211</f>
        <v>0</v>
      </c>
      <c r="G216" s="1412" t="n">
        <f aca="false">'V_DATOS PAC_SGA'!AN211</f>
        <v>0</v>
      </c>
      <c r="H216" s="1413" t="str">
        <f aca="false">IF(B216&gt;0,VLOOKUP(B216,'O_MN, PE_UTA_UGM 2024'!E$3:O$419,10),"")</f>
        <v/>
      </c>
      <c r="I216" s="1359" t="n">
        <f aca="false">'V_DATOS PAC_SGA'!BV211</f>
        <v>0</v>
      </c>
      <c r="J216" s="2" t="str">
        <f aca="false">IF(AND(J$4=$G216,J$6=$F216),$D216*J$5,"")</f>
        <v/>
      </c>
      <c r="K216" s="2" t="str">
        <f aca="false">IF(AND(K$4=$G216,K$6=$F216),$D216*K$5,"")</f>
        <v/>
      </c>
      <c r="L216" s="2" t="str">
        <f aca="false">IF(AND(L$4=$G216,L$6=$F216),$D216*L$5,"")</f>
        <v/>
      </c>
      <c r="M216" s="2" t="str">
        <f aca="false">IF(AND(M$4=$G216,M$6=$F216),$D216*M$5,"")</f>
        <v/>
      </c>
      <c r="N216" s="1414" t="n">
        <f aca="false">VLOOKUP(B216,'O_MN, PE_UTA_UGM 2024'!$E$2:$K$419,IF(G216&gt;1,6,7))</f>
        <v>0</v>
      </c>
      <c r="O216" s="1434" t="str">
        <f aca="false">IF($H216=O$4,$D216*$N216,"")</f>
        <v/>
      </c>
      <c r="P216" s="1435" t="str">
        <f aca="false">IF($H216=P$4,$D216*$N216,"")</f>
        <v/>
      </c>
      <c r="Q216" s="1435" t="str">
        <f aca="false">IF($H216=Q$4,$D216*$N216,"")</f>
        <v/>
      </c>
      <c r="R216" s="1435" t="str">
        <f aca="false">IF($H216=R$4,$D216*$N216,"")</f>
        <v/>
      </c>
      <c r="S216" s="1435" t="str">
        <f aca="false">IF($H216=S$4,$D216*$N216,"")</f>
        <v/>
      </c>
      <c r="T216" s="1435" t="str">
        <f aca="false">IF($H216=T$4,$D216*$N216,"")</f>
        <v/>
      </c>
      <c r="U216" s="1436" t="str">
        <f aca="false">IF($H216=U$4,$D216*$N216,"")</f>
        <v/>
      </c>
      <c r="V216" s="1418"/>
      <c r="W216" s="1419"/>
      <c r="X216" s="1419"/>
      <c r="Y216" s="1419"/>
      <c r="Z216" s="1419"/>
      <c r="AA216" s="1419"/>
      <c r="AB216" s="1420"/>
      <c r="AC216" s="1319"/>
      <c r="AD216" s="2" t="str">
        <f aca="false">IF(AND(AD$4=$G216,AD$6=$F216),$B216,"")</f>
        <v/>
      </c>
      <c r="AE216" s="2" t="str">
        <f aca="false">IF(AND(AE$4=$G216,AE$6=$F216),$B216,"")</f>
        <v/>
      </c>
      <c r="AF216" s="2" t="str">
        <f aca="false">IF(AND(AF$4=$G216,AF$6=$F216),$B216,"")</f>
        <v/>
      </c>
      <c r="AG216" s="2" t="str">
        <f aca="false">IF(AND(AG$4=$G216,AG$6=$F216),$B216,"")</f>
        <v/>
      </c>
      <c r="AI216" s="366"/>
      <c r="AL216" s="367"/>
      <c r="AO216" s="367"/>
      <c r="AP216" s="2" t="str">
        <f aca="false">IF(AT216&gt;0,RANK(AT216,AT$7:AT$423),"")</f>
        <v/>
      </c>
      <c r="AQ216" s="2" t="n">
        <f aca="false">'O_MN, PE_UTA_UGM 2024'!C212</f>
        <v>206</v>
      </c>
      <c r="AR216" s="1421" t="n">
        <v>2020</v>
      </c>
      <c r="AS216" s="2" t="str">
        <f aca="false">IF(AY216&lt;&gt;"",AY216,"")</f>
        <v/>
      </c>
      <c r="AT216" s="1422" t="n">
        <f aca="false">IF(ISNUMBER($AR216),SUMIF(B$7:B$505,AR216,D$7:D$505),"")</f>
        <v>0</v>
      </c>
      <c r="AU216" s="1411" t="n">
        <f aca="false">IF(ISNUMBER($AR216),SUMIF(AD$7:AD$503,$AR216,J$7:J$503),"")</f>
        <v>0</v>
      </c>
      <c r="AV216" s="1411" t="n">
        <f aca="false">IF(ISNUMBER($AR216),SUMIF(AF$7:AF$503,$AR216,L$7:L$503),"")</f>
        <v>0</v>
      </c>
      <c r="AW216" s="1423" t="n">
        <f aca="false">IF(ISNUMBER($AR216),SUMIF(AE$7:AE$503,$AR216,K$7:K$503),"")</f>
        <v>0</v>
      </c>
      <c r="AX216" s="1423" t="n">
        <f aca="false">IF(ISNUMBER($AR216),SUMIF(AG$7:AG$503,$AR216,M$7:M$503),"")</f>
        <v>0</v>
      </c>
      <c r="AY216" s="2" t="str">
        <f aca="false">IF($AT216&gt;0,VLOOKUP($AR216,'O_MN, PE_UTA_UGM 2024'!E212:O628,2),"")</f>
        <v/>
      </c>
      <c r="AZ216" s="1424"/>
      <c r="BA216" s="1424"/>
      <c r="BB216" s="1424" t="str">
        <f aca="false">IF($AT216&gt;0,VLOOKUP($AR216,'O_MN, PE_UTA_UGM 2024'!$E$3:$O$419,BB$6),"")</f>
        <v/>
      </c>
      <c r="BC216" s="1424" t="str">
        <f aca="false">IF($AT216&gt;0,VLOOKUP($AR216,'O_MN, PE_UTA_UGM 2024'!$E$3:$O$419,BC$6),"")</f>
        <v/>
      </c>
      <c r="BD216" s="1424" t="str">
        <f aca="false">IF($AT216&gt;0,VLOOKUP($AR216,'O_MN, PE_UTA_UGM 2024'!$E$3:$O$419,BD$6),"")</f>
        <v/>
      </c>
      <c r="BE216" s="1424" t="str">
        <f aca="false">IF($AT216&gt;0,VLOOKUP($AR216,'O_MN, PE_UTA_UGM 2024'!$E$3:$O$419,BE$6),"")</f>
        <v/>
      </c>
      <c r="BF216" s="1424" t="str">
        <f aca="false">IF($AT216&gt;0,VLOOKUP($AR216,'O_MN, PE_UTA_UGM 2024'!$E$3:$O$419,BF$6),"")</f>
        <v/>
      </c>
      <c r="BG216" s="1424" t="str">
        <f aca="false">IF($AT216&gt;0,VLOOKUP($AR216,'O_MN, PE_UTA_UGM 2024'!$E$3:$O$419,BG$6),"")</f>
        <v/>
      </c>
      <c r="BH216" s="872"/>
      <c r="BI216" s="872"/>
      <c r="BJ216" s="872"/>
      <c r="BK216" s="872"/>
      <c r="BM216" s="1411"/>
      <c r="BN216" s="1411"/>
      <c r="BO216" s="1425" t="str">
        <f aca="false">IF(ISNUMBER($AU216*BB216*1),$AU216*BB216*1,"")</f>
        <v/>
      </c>
      <c r="BP216" s="1425" t="str">
        <f aca="false">IF(ISNUMBER($AV216*BC216*1),$AV216*BC216*1,"")</f>
        <v/>
      </c>
      <c r="BQ216" s="1425" t="str">
        <f aca="false">IF(ISNUMBER($AU216*BD216*1),$AU216*BD216*1,"")</f>
        <v/>
      </c>
      <c r="BR216" s="1425" t="str">
        <f aca="false">IF(ISNUMBER($AV216*BE216*1),$AV216*BE216*1,"")</f>
        <v/>
      </c>
      <c r="BS216" s="1411" t="str">
        <f aca="false">IF(ISNUMBER($AU216*BF216),$AU216*BF216,"")</f>
        <v/>
      </c>
      <c r="BT216" s="1411" t="str">
        <f aca="false">IF(ISNUMBER($AV216*BG216),$AV216*BG216,"")</f>
        <v/>
      </c>
      <c r="BU216" s="1411"/>
      <c r="BV216" s="1411"/>
      <c r="BW216" s="1411"/>
      <c r="BX216" s="1411"/>
      <c r="BZ216" s="1372"/>
      <c r="CA216" s="1372"/>
      <c r="CB216" s="1426" t="str">
        <f aca="false">IF(ISNUMBER($AW216*BB216),$AW216*BB216,"")</f>
        <v/>
      </c>
      <c r="CC216" s="1426" t="str">
        <f aca="false">IF(ISNUMBER($AX216*BC216),$AX216*BC216,"")</f>
        <v/>
      </c>
      <c r="CD216" s="1426" t="str">
        <f aca="false">IF(ISNUMBER($AW216*BD216),$AW216*BD216,"")</f>
        <v/>
      </c>
      <c r="CE216" s="1426" t="str">
        <f aca="false">IF(ISNUMBER($AX216*BE216),$AX216*BE216,"")</f>
        <v/>
      </c>
      <c r="CF216" s="1372" t="str">
        <f aca="false">IF(ISNUMBER($AW216*BF216),$AW216*BF216,"")</f>
        <v/>
      </c>
      <c r="CG216" s="1372" t="str">
        <f aca="false">IF(ISNUMBER($AX216*BG216),$AX216*BG216,"")</f>
        <v/>
      </c>
      <c r="CH216" s="1438"/>
      <c r="CI216" s="1438"/>
      <c r="CJ216" s="1438"/>
      <c r="CK216" s="1438"/>
      <c r="CU216" s="1411"/>
      <c r="CV216" s="1411"/>
      <c r="CW216" s="1425"/>
      <c r="CX216" s="1425"/>
      <c r="CY216" s="1425"/>
      <c r="CZ216" s="1425"/>
      <c r="DA216" s="1411"/>
      <c r="DB216" s="1411"/>
      <c r="DC216" s="1411"/>
      <c r="DD216" s="1411"/>
      <c r="DE216" s="1411"/>
      <c r="DF216" s="1411"/>
      <c r="DH216" s="1432"/>
      <c r="DI216" s="1432"/>
      <c r="DJ216" s="1437"/>
      <c r="DK216" s="1437"/>
      <c r="DL216" s="1437"/>
      <c r="DM216" s="1437"/>
      <c r="DN216" s="1432"/>
      <c r="DO216" s="1432"/>
      <c r="DP216" s="1432"/>
      <c r="DQ216" s="1432"/>
      <c r="DR216" s="1432"/>
      <c r="DS216" s="1432"/>
      <c r="DT216" s="1316"/>
      <c r="DU216" s="1433"/>
      <c r="DV216" s="1433"/>
      <c r="DW216" s="1433"/>
      <c r="DX216" s="1433"/>
      <c r="DY216" s="1433"/>
      <c r="DZ216" s="1433"/>
      <c r="EA216" s="1433"/>
      <c r="EB216" s="1433"/>
    </row>
    <row r="217" customFormat="false" ht="14.25" hidden="false" customHeight="false" outlineLevel="0" collapsed="false">
      <c r="A217" s="2" t="n">
        <f aca="false">'V_DATOS PAC_SGA'!R212</f>
        <v>0</v>
      </c>
      <c r="B217" s="2" t="n">
        <f aca="false">IF(I217="IV",CONCATENATE('V_DATOS PAC_SGA'!R212,"4")+0,CONCATENATE('V_DATOS PAC_SGA'!R212,"0")+0)</f>
        <v>0</v>
      </c>
      <c r="C217" s="2" t="n">
        <f aca="false">'V_DATOS PAC_SGA'!S212</f>
        <v>0</v>
      </c>
      <c r="D217" s="1409" t="n">
        <f aca="false">'V_DATOS PAC_SGA'!Y212</f>
        <v>0</v>
      </c>
      <c r="E217" s="1410" t="str">
        <f aca="false">IF('V_DATOS PAC_SGA'!AV212="","Regadio",'V_DATOS PAC_SGA'!AV212)</f>
        <v>Regadio</v>
      </c>
      <c r="F217" s="1411" t="n">
        <f aca="false">'V_DATOS PAC_SGA'!BK212</f>
        <v>0</v>
      </c>
      <c r="G217" s="1412" t="n">
        <f aca="false">'V_DATOS PAC_SGA'!AN212</f>
        <v>0</v>
      </c>
      <c r="H217" s="1413" t="str">
        <f aca="false">IF(B217&gt;0,VLOOKUP(B217,'O_MN, PE_UTA_UGM 2024'!E$3:O$419,10),"")</f>
        <v/>
      </c>
      <c r="I217" s="1359" t="n">
        <f aca="false">'V_DATOS PAC_SGA'!BV212</f>
        <v>0</v>
      </c>
      <c r="J217" s="2" t="str">
        <f aca="false">IF(AND(J$4=$G217,J$6=$F217),$D217*J$5,"")</f>
        <v/>
      </c>
      <c r="K217" s="2" t="str">
        <f aca="false">IF(AND(K$4=$G217,K$6=$F217),$D217*K$5,"")</f>
        <v/>
      </c>
      <c r="L217" s="2" t="str">
        <f aca="false">IF(AND(L$4=$G217,L$6=$F217),$D217*L$5,"")</f>
        <v/>
      </c>
      <c r="M217" s="2" t="str">
        <f aca="false">IF(AND(M$4=$G217,M$6=$F217),$D217*M$5,"")</f>
        <v/>
      </c>
      <c r="N217" s="1414" t="n">
        <f aca="false">VLOOKUP(B217,'O_MN, PE_UTA_UGM 2024'!$E$2:$K$419,IF(G217&gt;1,6,7))</f>
        <v>0</v>
      </c>
      <c r="O217" s="1434" t="str">
        <f aca="false">IF($H217=O$4,$D217*$N217,"")</f>
        <v/>
      </c>
      <c r="P217" s="1435" t="str">
        <f aca="false">IF($H217=P$4,$D217*$N217,"")</f>
        <v/>
      </c>
      <c r="Q217" s="1435" t="str">
        <f aca="false">IF($H217=Q$4,$D217*$N217,"")</f>
        <v/>
      </c>
      <c r="R217" s="1435" t="str">
        <f aca="false">IF($H217=R$4,$D217*$N217,"")</f>
        <v/>
      </c>
      <c r="S217" s="1435" t="str">
        <f aca="false">IF($H217=S$4,$D217*$N217,"")</f>
        <v/>
      </c>
      <c r="T217" s="1435" t="str">
        <f aca="false">IF($H217=T$4,$D217*$N217,"")</f>
        <v/>
      </c>
      <c r="U217" s="1436" t="str">
        <f aca="false">IF($H217=U$4,$D217*$N217,"")</f>
        <v/>
      </c>
      <c r="V217" s="1418"/>
      <c r="W217" s="1419"/>
      <c r="X217" s="1419"/>
      <c r="Y217" s="1419"/>
      <c r="Z217" s="1419"/>
      <c r="AA217" s="1419"/>
      <c r="AB217" s="1420"/>
      <c r="AC217" s="1319"/>
      <c r="AD217" s="2" t="str">
        <f aca="false">IF(AND(AD$4=$G217,AD$6=$F217),$B217,"")</f>
        <v/>
      </c>
      <c r="AE217" s="2" t="str">
        <f aca="false">IF(AND(AE$4=$G217,AE$6=$F217),$B217,"")</f>
        <v/>
      </c>
      <c r="AF217" s="2" t="str">
        <f aca="false">IF(AND(AF$4=$G217,AF$6=$F217),$B217,"")</f>
        <v/>
      </c>
      <c r="AG217" s="2" t="str">
        <f aca="false">IF(AND(AG$4=$G217,AG$6=$F217),$B217,"")</f>
        <v/>
      </c>
      <c r="AI217" s="366"/>
      <c r="AL217" s="367"/>
      <c r="AO217" s="367"/>
      <c r="AP217" s="2" t="str">
        <f aca="false">IF(AT217&gt;0,RANK(AT217,AT$7:AT$423),"")</f>
        <v/>
      </c>
      <c r="AQ217" s="2" t="n">
        <f aca="false">'O_MN, PE_UTA_UGM 2024'!C213</f>
        <v>207</v>
      </c>
      <c r="AR217" s="1421" t="n">
        <v>2030</v>
      </c>
      <c r="AS217" s="2" t="str">
        <f aca="false">IF(AY217&lt;&gt;"",AY217,"")</f>
        <v/>
      </c>
      <c r="AT217" s="1422" t="n">
        <f aca="false">IF(ISNUMBER($AR217),SUMIF(B$7:B$505,AR217,D$7:D$505),"")</f>
        <v>0</v>
      </c>
      <c r="AU217" s="1411" t="n">
        <f aca="false">IF(ISNUMBER($AR217),SUMIF(AD$7:AD$503,$AR217,J$7:J$503),"")</f>
        <v>0</v>
      </c>
      <c r="AV217" s="1411" t="n">
        <f aca="false">IF(ISNUMBER($AR217),SUMIF(AF$7:AF$503,$AR217,L$7:L$503),"")</f>
        <v>0</v>
      </c>
      <c r="AW217" s="1423" t="n">
        <f aca="false">IF(ISNUMBER($AR217),SUMIF(AE$7:AE$503,$AR217,K$7:K$503),"")</f>
        <v>0</v>
      </c>
      <c r="AX217" s="1423" t="n">
        <f aca="false">IF(ISNUMBER($AR217),SUMIF(AG$7:AG$503,$AR217,M$7:M$503),"")</f>
        <v>0</v>
      </c>
      <c r="AY217" s="2" t="str">
        <f aca="false">IF($AT217&gt;0,VLOOKUP($AR217,'O_MN, PE_UTA_UGM 2024'!E213:O629,2),"")</f>
        <v/>
      </c>
      <c r="AZ217" s="1424"/>
      <c r="BA217" s="1424"/>
      <c r="BB217" s="1424" t="str">
        <f aca="false">IF($AT217&gt;0,VLOOKUP($AR217,'O_MN, PE_UTA_UGM 2024'!$E$3:$O$419,BB$6),"")</f>
        <v/>
      </c>
      <c r="BC217" s="1424" t="str">
        <f aca="false">IF($AT217&gt;0,VLOOKUP($AR217,'O_MN, PE_UTA_UGM 2024'!$E$3:$O$419,BC$6),"")</f>
        <v/>
      </c>
      <c r="BD217" s="1424" t="str">
        <f aca="false">IF($AT217&gt;0,VLOOKUP($AR217,'O_MN, PE_UTA_UGM 2024'!$E$3:$O$419,BD$6),"")</f>
        <v/>
      </c>
      <c r="BE217" s="1424" t="str">
        <f aca="false">IF($AT217&gt;0,VLOOKUP($AR217,'O_MN, PE_UTA_UGM 2024'!$E$3:$O$419,BE$6),"")</f>
        <v/>
      </c>
      <c r="BF217" s="1424" t="str">
        <f aca="false">IF($AT217&gt;0,VLOOKUP($AR217,'O_MN, PE_UTA_UGM 2024'!$E$3:$O$419,BF$6),"")</f>
        <v/>
      </c>
      <c r="BG217" s="1424" t="str">
        <f aca="false">IF($AT217&gt;0,VLOOKUP($AR217,'O_MN, PE_UTA_UGM 2024'!$E$3:$O$419,BG$6),"")</f>
        <v/>
      </c>
      <c r="BH217" s="872"/>
      <c r="BI217" s="872"/>
      <c r="BJ217" s="872"/>
      <c r="BK217" s="872"/>
      <c r="BM217" s="1411"/>
      <c r="BN217" s="1411"/>
      <c r="BO217" s="1425" t="str">
        <f aca="false">IF(ISNUMBER($AU217*BB217*1),$AU217*BB217*1,"")</f>
        <v/>
      </c>
      <c r="BP217" s="1425" t="str">
        <f aca="false">IF(ISNUMBER($AV217*BC217*1),$AV217*BC217*1,"")</f>
        <v/>
      </c>
      <c r="BQ217" s="1425" t="str">
        <f aca="false">IF(ISNUMBER($AU217*BD217*1),$AU217*BD217*1,"")</f>
        <v/>
      </c>
      <c r="BR217" s="1425" t="str">
        <f aca="false">IF(ISNUMBER($AV217*BE217*1),$AV217*BE217*1,"")</f>
        <v/>
      </c>
      <c r="BS217" s="1411" t="str">
        <f aca="false">IF(ISNUMBER($AU217*BF217),$AU217*BF217,"")</f>
        <v/>
      </c>
      <c r="BT217" s="1411" t="str">
        <f aca="false">IF(ISNUMBER($AV217*BG217),$AV217*BG217,"")</f>
        <v/>
      </c>
      <c r="BU217" s="1411"/>
      <c r="BV217" s="1411"/>
      <c r="BW217" s="1411"/>
      <c r="BX217" s="1411"/>
      <c r="BZ217" s="1372"/>
      <c r="CA217" s="1372"/>
      <c r="CB217" s="1426" t="str">
        <f aca="false">IF(ISNUMBER($AW217*BB217),$AW217*BB217,"")</f>
        <v/>
      </c>
      <c r="CC217" s="1426" t="str">
        <f aca="false">IF(ISNUMBER($AX217*BC217),$AX217*BC217,"")</f>
        <v/>
      </c>
      <c r="CD217" s="1426" t="str">
        <f aca="false">IF(ISNUMBER($AW217*BD217),$AW217*BD217,"")</f>
        <v/>
      </c>
      <c r="CE217" s="1426" t="str">
        <f aca="false">IF(ISNUMBER($AX217*BE217),$AX217*BE217,"")</f>
        <v/>
      </c>
      <c r="CF217" s="1372" t="str">
        <f aca="false">IF(ISNUMBER($AW217*BF217),$AW217*BF217,"")</f>
        <v/>
      </c>
      <c r="CG217" s="1372" t="str">
        <f aca="false">IF(ISNUMBER($AX217*BG217),$AX217*BG217,"")</f>
        <v/>
      </c>
      <c r="CH217" s="1438"/>
      <c r="CI217" s="1438"/>
      <c r="CJ217" s="1438"/>
      <c r="CK217" s="1438"/>
      <c r="CU217" s="1411"/>
      <c r="CV217" s="1411"/>
      <c r="CW217" s="1425"/>
      <c r="CX217" s="1425"/>
      <c r="CY217" s="1425"/>
      <c r="CZ217" s="1425"/>
      <c r="DA217" s="1411"/>
      <c r="DB217" s="1411"/>
      <c r="DC217" s="1411"/>
      <c r="DD217" s="1411"/>
      <c r="DE217" s="1411"/>
      <c r="DF217" s="1411"/>
      <c r="DH217" s="1432"/>
      <c r="DI217" s="1432"/>
      <c r="DJ217" s="1437"/>
      <c r="DK217" s="1437"/>
      <c r="DL217" s="1437"/>
      <c r="DM217" s="1437"/>
      <c r="DN217" s="1432"/>
      <c r="DO217" s="1432"/>
      <c r="DP217" s="1432"/>
      <c r="DQ217" s="1432"/>
      <c r="DR217" s="1432"/>
      <c r="DS217" s="1432"/>
      <c r="DT217" s="1316"/>
      <c r="DU217" s="1433"/>
      <c r="DV217" s="1433"/>
      <c r="DW217" s="1433"/>
      <c r="DX217" s="1433"/>
      <c r="DY217" s="1433"/>
      <c r="DZ217" s="1433"/>
      <c r="EA217" s="1433"/>
      <c r="EB217" s="1433"/>
    </row>
    <row r="218" customFormat="false" ht="14.25" hidden="false" customHeight="false" outlineLevel="0" collapsed="false">
      <c r="A218" s="2" t="n">
        <f aca="false">'V_DATOS PAC_SGA'!R213</f>
        <v>0</v>
      </c>
      <c r="B218" s="2" t="n">
        <f aca="false">IF(I218="IV",CONCATENATE('V_DATOS PAC_SGA'!R213,"4")+0,CONCATENATE('V_DATOS PAC_SGA'!R213,"0")+0)</f>
        <v>0</v>
      </c>
      <c r="C218" s="2" t="n">
        <f aca="false">'V_DATOS PAC_SGA'!S213</f>
        <v>0</v>
      </c>
      <c r="D218" s="1409" t="n">
        <f aca="false">'V_DATOS PAC_SGA'!Y213</f>
        <v>0</v>
      </c>
      <c r="E218" s="1410" t="str">
        <f aca="false">IF('V_DATOS PAC_SGA'!AV213="","Regadio",'V_DATOS PAC_SGA'!AV213)</f>
        <v>Regadio</v>
      </c>
      <c r="F218" s="1411" t="n">
        <f aca="false">'V_DATOS PAC_SGA'!BK213</f>
        <v>0</v>
      </c>
      <c r="G218" s="1412" t="n">
        <f aca="false">'V_DATOS PAC_SGA'!AN213</f>
        <v>0</v>
      </c>
      <c r="H218" s="1413" t="str">
        <f aca="false">IF(B218&gt;0,VLOOKUP(B218,'O_MN, PE_UTA_UGM 2024'!E$3:O$419,10),"")</f>
        <v/>
      </c>
      <c r="I218" s="1359" t="n">
        <f aca="false">'V_DATOS PAC_SGA'!BV213</f>
        <v>0</v>
      </c>
      <c r="J218" s="2" t="str">
        <f aca="false">IF(AND(J$4=$G218,J$6=$F218),$D218*J$5,"")</f>
        <v/>
      </c>
      <c r="K218" s="2" t="str">
        <f aca="false">IF(AND(K$4=$G218,K$6=$F218),$D218*K$5,"")</f>
        <v/>
      </c>
      <c r="L218" s="2" t="str">
        <f aca="false">IF(AND(L$4=$G218,L$6=$F218),$D218*L$5,"")</f>
        <v/>
      </c>
      <c r="M218" s="2" t="str">
        <f aca="false">IF(AND(M$4=$G218,M$6=$F218),$D218*M$5,"")</f>
        <v/>
      </c>
      <c r="N218" s="1414" t="n">
        <f aca="false">VLOOKUP(B218,'O_MN, PE_UTA_UGM 2024'!$E$2:$K$419,IF(G218&gt;1,6,7))</f>
        <v>0</v>
      </c>
      <c r="O218" s="1434" t="str">
        <f aca="false">IF($H218=O$4,$D218*$N218,"")</f>
        <v/>
      </c>
      <c r="P218" s="1435" t="str">
        <f aca="false">IF($H218=P$4,$D218*$N218,"")</f>
        <v/>
      </c>
      <c r="Q218" s="1435" t="str">
        <f aca="false">IF($H218=Q$4,$D218*$N218,"")</f>
        <v/>
      </c>
      <c r="R218" s="1435" t="str">
        <f aca="false">IF($H218=R$4,$D218*$N218,"")</f>
        <v/>
      </c>
      <c r="S218" s="1435" t="str">
        <f aca="false">IF($H218=S$4,$D218*$N218,"")</f>
        <v/>
      </c>
      <c r="T218" s="1435" t="str">
        <f aca="false">IF($H218=T$4,$D218*$N218,"")</f>
        <v/>
      </c>
      <c r="U218" s="1436" t="str">
        <f aca="false">IF($H218=U$4,$D218*$N218,"")</f>
        <v/>
      </c>
      <c r="V218" s="1418"/>
      <c r="W218" s="1419"/>
      <c r="X218" s="1419"/>
      <c r="Y218" s="1419"/>
      <c r="Z218" s="1419"/>
      <c r="AA218" s="1419"/>
      <c r="AB218" s="1420"/>
      <c r="AC218" s="1319"/>
      <c r="AD218" s="2" t="str">
        <f aca="false">IF(AND(AD$4=$G218,AD$6=$F218),$B218,"")</f>
        <v/>
      </c>
      <c r="AE218" s="2" t="str">
        <f aca="false">IF(AND(AE$4=$G218,AE$6=$F218),$B218,"")</f>
        <v/>
      </c>
      <c r="AF218" s="2" t="str">
        <f aca="false">IF(AND(AF$4=$G218,AF$6=$F218),$B218,"")</f>
        <v/>
      </c>
      <c r="AG218" s="2" t="str">
        <f aca="false">IF(AND(AG$4=$G218,AG$6=$F218),$B218,"")</f>
        <v/>
      </c>
      <c r="AI218" s="366"/>
      <c r="AL218" s="367"/>
      <c r="AO218" s="367"/>
      <c r="AP218" s="2" t="str">
        <f aca="false">IF(AT218&gt;0,RANK(AT218,AT$7:AT$423),"")</f>
        <v/>
      </c>
      <c r="AQ218" s="2" t="n">
        <f aca="false">'O_MN, PE_UTA_UGM 2024'!C214</f>
        <v>208</v>
      </c>
      <c r="AR218" s="1421" t="n">
        <v>2040</v>
      </c>
      <c r="AS218" s="2" t="str">
        <f aca="false">IF(AY218&lt;&gt;"",AY218,"")</f>
        <v/>
      </c>
      <c r="AT218" s="1422" t="n">
        <f aca="false">IF(ISNUMBER($AR218),SUMIF(B$7:B$505,AR218,D$7:D$505),"")</f>
        <v>0</v>
      </c>
      <c r="AU218" s="1411" t="n">
        <f aca="false">IF(ISNUMBER($AR218),SUMIF(AD$7:AD$503,$AR218,J$7:J$503),"")</f>
        <v>0</v>
      </c>
      <c r="AV218" s="1411" t="n">
        <f aca="false">IF(ISNUMBER($AR218),SUMIF(AF$7:AF$503,$AR218,L$7:L$503),"")</f>
        <v>0</v>
      </c>
      <c r="AW218" s="1423" t="n">
        <f aca="false">IF(ISNUMBER($AR218),SUMIF(AE$7:AE$503,$AR218,K$7:K$503),"")</f>
        <v>0</v>
      </c>
      <c r="AX218" s="1423" t="n">
        <f aca="false">IF(ISNUMBER($AR218),SUMIF(AG$7:AG$503,$AR218,M$7:M$503),"")</f>
        <v>0</v>
      </c>
      <c r="AY218" s="2" t="str">
        <f aca="false">IF($AT218&gt;0,VLOOKUP($AR218,'O_MN, PE_UTA_UGM 2024'!E214:O630,2),"")</f>
        <v/>
      </c>
      <c r="AZ218" s="1424"/>
      <c r="BA218" s="1424"/>
      <c r="BB218" s="1424" t="str">
        <f aca="false">IF($AT218&gt;0,VLOOKUP($AR218,'O_MN, PE_UTA_UGM 2024'!$E$3:$O$419,BB$6),"")</f>
        <v/>
      </c>
      <c r="BC218" s="1424" t="str">
        <f aca="false">IF($AT218&gt;0,VLOOKUP($AR218,'O_MN, PE_UTA_UGM 2024'!$E$3:$O$419,BC$6),"")</f>
        <v/>
      </c>
      <c r="BD218" s="1424" t="str">
        <f aca="false">IF($AT218&gt;0,VLOOKUP($AR218,'O_MN, PE_UTA_UGM 2024'!$E$3:$O$419,BD$6),"")</f>
        <v/>
      </c>
      <c r="BE218" s="1424" t="str">
        <f aca="false">IF($AT218&gt;0,VLOOKUP($AR218,'O_MN, PE_UTA_UGM 2024'!$E$3:$O$419,BE$6),"")</f>
        <v/>
      </c>
      <c r="BF218" s="1424" t="str">
        <f aca="false">IF($AT218&gt;0,VLOOKUP($AR218,'O_MN, PE_UTA_UGM 2024'!$E$3:$O$419,BF$6),"")</f>
        <v/>
      </c>
      <c r="BG218" s="1424" t="str">
        <f aca="false">IF($AT218&gt;0,VLOOKUP($AR218,'O_MN, PE_UTA_UGM 2024'!$E$3:$O$419,BG$6),"")</f>
        <v/>
      </c>
      <c r="BH218" s="872"/>
      <c r="BI218" s="872"/>
      <c r="BJ218" s="872"/>
      <c r="BK218" s="872"/>
      <c r="BM218" s="1411"/>
      <c r="BN218" s="1411"/>
      <c r="BO218" s="1425" t="str">
        <f aca="false">IF(ISNUMBER($AU218*BB218*1),$AU218*BB218*1,"")</f>
        <v/>
      </c>
      <c r="BP218" s="1425" t="str">
        <f aca="false">IF(ISNUMBER($AV218*BC218*1),$AV218*BC218*1,"")</f>
        <v/>
      </c>
      <c r="BQ218" s="1425" t="str">
        <f aca="false">IF(ISNUMBER($AU218*BD218*1),$AU218*BD218*1,"")</f>
        <v/>
      </c>
      <c r="BR218" s="1425" t="str">
        <f aca="false">IF(ISNUMBER($AV218*BE218*1),$AV218*BE218*1,"")</f>
        <v/>
      </c>
      <c r="BS218" s="1411" t="str">
        <f aca="false">IF(ISNUMBER($AU218*BF218),$AU218*BF218,"")</f>
        <v/>
      </c>
      <c r="BT218" s="1411" t="str">
        <f aca="false">IF(ISNUMBER($AV218*BG218),$AV218*BG218,"")</f>
        <v/>
      </c>
      <c r="BU218" s="1411"/>
      <c r="BV218" s="1411"/>
      <c r="BW218" s="1411"/>
      <c r="BX218" s="1411"/>
      <c r="BZ218" s="1372"/>
      <c r="CA218" s="1372"/>
      <c r="CB218" s="1426" t="str">
        <f aca="false">IF(ISNUMBER($AW218*BB218),$AW218*BB218,"")</f>
        <v/>
      </c>
      <c r="CC218" s="1426" t="str">
        <f aca="false">IF(ISNUMBER($AX218*BC218),$AX218*BC218,"")</f>
        <v/>
      </c>
      <c r="CD218" s="1426" t="str">
        <f aca="false">IF(ISNUMBER($AW218*BD218),$AW218*BD218,"")</f>
        <v/>
      </c>
      <c r="CE218" s="1426" t="str">
        <f aca="false">IF(ISNUMBER($AX218*BE218),$AX218*BE218,"")</f>
        <v/>
      </c>
      <c r="CF218" s="1372" t="str">
        <f aca="false">IF(ISNUMBER($AW218*BF218),$AW218*BF218,"")</f>
        <v/>
      </c>
      <c r="CG218" s="1372" t="str">
        <f aca="false">IF(ISNUMBER($AX218*BG218),$AX218*BG218,"")</f>
        <v/>
      </c>
      <c r="CH218" s="1438"/>
      <c r="CI218" s="1438"/>
      <c r="CJ218" s="1438"/>
      <c r="CK218" s="1438"/>
      <c r="CU218" s="1411"/>
      <c r="CV218" s="1411"/>
      <c r="CW218" s="1425"/>
      <c r="CX218" s="1425"/>
      <c r="CY218" s="1425"/>
      <c r="CZ218" s="1425"/>
      <c r="DA218" s="1411"/>
      <c r="DB218" s="1411"/>
      <c r="DC218" s="1411"/>
      <c r="DD218" s="1411"/>
      <c r="DE218" s="1411"/>
      <c r="DF218" s="1411"/>
      <c r="DH218" s="1432"/>
      <c r="DI218" s="1432"/>
      <c r="DJ218" s="1437"/>
      <c r="DK218" s="1437"/>
      <c r="DL218" s="1437"/>
      <c r="DM218" s="1437"/>
      <c r="DN218" s="1432"/>
      <c r="DO218" s="1432"/>
      <c r="DP218" s="1432"/>
      <c r="DQ218" s="1432"/>
      <c r="DR218" s="1432"/>
      <c r="DS218" s="1432"/>
      <c r="DT218" s="1316"/>
      <c r="DU218" s="1433"/>
      <c r="DV218" s="1433"/>
      <c r="DW218" s="1433"/>
      <c r="DX218" s="1433"/>
      <c r="DY218" s="1433"/>
      <c r="DZ218" s="1433"/>
      <c r="EA218" s="1433"/>
      <c r="EB218" s="1433"/>
    </row>
    <row r="219" customFormat="false" ht="14.25" hidden="false" customHeight="false" outlineLevel="0" collapsed="false">
      <c r="A219" s="2" t="n">
        <f aca="false">'V_DATOS PAC_SGA'!R214</f>
        <v>0</v>
      </c>
      <c r="B219" s="2" t="n">
        <f aca="false">IF(I219="IV",CONCATENATE('V_DATOS PAC_SGA'!R214,"4")+0,CONCATENATE('V_DATOS PAC_SGA'!R214,"0")+0)</f>
        <v>0</v>
      </c>
      <c r="C219" s="2" t="n">
        <f aca="false">'V_DATOS PAC_SGA'!S214</f>
        <v>0</v>
      </c>
      <c r="D219" s="1409" t="n">
        <f aca="false">'V_DATOS PAC_SGA'!Y214</f>
        <v>0</v>
      </c>
      <c r="E219" s="1410" t="str">
        <f aca="false">IF('V_DATOS PAC_SGA'!AV214="","Regadio",'V_DATOS PAC_SGA'!AV214)</f>
        <v>Regadio</v>
      </c>
      <c r="F219" s="1411" t="n">
        <f aca="false">'V_DATOS PAC_SGA'!BK214</f>
        <v>0</v>
      </c>
      <c r="G219" s="1412" t="n">
        <f aca="false">'V_DATOS PAC_SGA'!AN214</f>
        <v>0</v>
      </c>
      <c r="H219" s="1413" t="str">
        <f aca="false">IF(B219&gt;0,VLOOKUP(B219,'O_MN, PE_UTA_UGM 2024'!E$3:O$419,10),"")</f>
        <v/>
      </c>
      <c r="I219" s="1359" t="n">
        <f aca="false">'V_DATOS PAC_SGA'!BV214</f>
        <v>0</v>
      </c>
      <c r="J219" s="2" t="str">
        <f aca="false">IF(AND(J$4=$G219,J$6=$F219),$D219*J$5,"")</f>
        <v/>
      </c>
      <c r="K219" s="2" t="str">
        <f aca="false">IF(AND(K$4=$G219,K$6=$F219),$D219*K$5,"")</f>
        <v/>
      </c>
      <c r="L219" s="2" t="str">
        <f aca="false">IF(AND(L$4=$G219,L$6=$F219),$D219*L$5,"")</f>
        <v/>
      </c>
      <c r="M219" s="2" t="str">
        <f aca="false">IF(AND(M$4=$G219,M$6=$F219),$D219*M$5,"")</f>
        <v/>
      </c>
      <c r="N219" s="1414" t="n">
        <f aca="false">VLOOKUP(B219,'O_MN, PE_UTA_UGM 2024'!$E$2:$K$419,IF(G219&gt;1,6,7))</f>
        <v>0</v>
      </c>
      <c r="O219" s="1434" t="str">
        <f aca="false">IF($H219=O$4,$D219*$N219,"")</f>
        <v/>
      </c>
      <c r="P219" s="1435" t="str">
        <f aca="false">IF($H219=P$4,$D219*$N219,"")</f>
        <v/>
      </c>
      <c r="Q219" s="1435" t="str">
        <f aca="false">IF($H219=Q$4,$D219*$N219,"")</f>
        <v/>
      </c>
      <c r="R219" s="1435" t="str">
        <f aca="false">IF($H219=R$4,$D219*$N219,"")</f>
        <v/>
      </c>
      <c r="S219" s="1435" t="str">
        <f aca="false">IF($H219=S$4,$D219*$N219,"")</f>
        <v/>
      </c>
      <c r="T219" s="1435" t="str">
        <f aca="false">IF($H219=T$4,$D219*$N219,"")</f>
        <v/>
      </c>
      <c r="U219" s="1436" t="str">
        <f aca="false">IF($H219=U$4,$D219*$N219,"")</f>
        <v/>
      </c>
      <c r="V219" s="1418"/>
      <c r="W219" s="1419"/>
      <c r="X219" s="1419"/>
      <c r="Y219" s="1419"/>
      <c r="Z219" s="1419"/>
      <c r="AA219" s="1419"/>
      <c r="AB219" s="1420"/>
      <c r="AC219" s="1319"/>
      <c r="AD219" s="2" t="str">
        <f aca="false">IF(AND(AD$4=$G219,AD$6=$F219),$B219,"")</f>
        <v/>
      </c>
      <c r="AE219" s="2" t="str">
        <f aca="false">IF(AND(AE$4=$G219,AE$6=$F219),$B219,"")</f>
        <v/>
      </c>
      <c r="AF219" s="2" t="str">
        <f aca="false">IF(AND(AF$4=$G219,AF$6=$F219),$B219,"")</f>
        <v/>
      </c>
      <c r="AG219" s="2" t="str">
        <f aca="false">IF(AND(AG$4=$G219,AG$6=$F219),$B219,"")</f>
        <v/>
      </c>
      <c r="AI219" s="366"/>
      <c r="AL219" s="367"/>
      <c r="AO219" s="367"/>
      <c r="AP219" s="2" t="str">
        <f aca="false">IF(AT219&gt;0,RANK(AT219,AT$7:AT$423),"")</f>
        <v/>
      </c>
      <c r="AQ219" s="2" t="n">
        <f aca="false">'O_MN, PE_UTA_UGM 2024'!C215</f>
        <v>209</v>
      </c>
      <c r="AR219" s="1421" t="n">
        <v>2050</v>
      </c>
      <c r="AS219" s="2" t="str">
        <f aca="false">IF(AY219&lt;&gt;"",AY219,"")</f>
        <v/>
      </c>
      <c r="AT219" s="1422" t="n">
        <f aca="false">IF(ISNUMBER($AR219),SUMIF(B$7:B$505,AR219,D$7:D$505),"")</f>
        <v>0</v>
      </c>
      <c r="AU219" s="1411" t="n">
        <f aca="false">IF(ISNUMBER($AR219),SUMIF(AD$7:AD$503,$AR219,J$7:J$503),"")</f>
        <v>0</v>
      </c>
      <c r="AV219" s="1411" t="n">
        <f aca="false">IF(ISNUMBER($AR219),SUMIF(AF$7:AF$503,$AR219,L$7:L$503),"")</f>
        <v>0</v>
      </c>
      <c r="AW219" s="1423" t="n">
        <f aca="false">IF(ISNUMBER($AR219),SUMIF(AE$7:AE$503,$AR219,K$7:K$503),"")</f>
        <v>0</v>
      </c>
      <c r="AX219" s="1423" t="n">
        <f aca="false">IF(ISNUMBER($AR219),SUMIF(AG$7:AG$503,$AR219,M$7:M$503),"")</f>
        <v>0</v>
      </c>
      <c r="AY219" s="2" t="str">
        <f aca="false">IF($AT219&gt;0,VLOOKUP($AR219,'O_MN, PE_UTA_UGM 2024'!E215:O631,2),"")</f>
        <v/>
      </c>
      <c r="AZ219" s="1424"/>
      <c r="BA219" s="1424"/>
      <c r="BB219" s="1424" t="str">
        <f aca="false">IF($AT219&gt;0,VLOOKUP($AR219,'O_MN, PE_UTA_UGM 2024'!$E$3:$O$419,BB$6),"")</f>
        <v/>
      </c>
      <c r="BC219" s="1424" t="str">
        <f aca="false">IF($AT219&gt;0,VLOOKUP($AR219,'O_MN, PE_UTA_UGM 2024'!$E$3:$O$419,BC$6),"")</f>
        <v/>
      </c>
      <c r="BD219" s="1424" t="str">
        <f aca="false">IF($AT219&gt;0,VLOOKUP($AR219,'O_MN, PE_UTA_UGM 2024'!$E$3:$O$419,BD$6),"")</f>
        <v/>
      </c>
      <c r="BE219" s="1424" t="str">
        <f aca="false">IF($AT219&gt;0,VLOOKUP($AR219,'O_MN, PE_UTA_UGM 2024'!$E$3:$O$419,BE$6),"")</f>
        <v/>
      </c>
      <c r="BF219" s="1424" t="str">
        <f aca="false">IF($AT219&gt;0,VLOOKUP($AR219,'O_MN, PE_UTA_UGM 2024'!$E$3:$O$419,BF$6),"")</f>
        <v/>
      </c>
      <c r="BG219" s="1424" t="str">
        <f aca="false">IF($AT219&gt;0,VLOOKUP($AR219,'O_MN, PE_UTA_UGM 2024'!$E$3:$O$419,BG$6),"")</f>
        <v/>
      </c>
      <c r="BH219" s="872"/>
      <c r="BI219" s="872"/>
      <c r="BJ219" s="872"/>
      <c r="BK219" s="872"/>
      <c r="BM219" s="1411"/>
      <c r="BN219" s="1411"/>
      <c r="BO219" s="1425" t="str">
        <f aca="false">IF(ISNUMBER($AU219*BB219*1),$AU219*BB219*1,"")</f>
        <v/>
      </c>
      <c r="BP219" s="1425" t="str">
        <f aca="false">IF(ISNUMBER($AV219*BC219*1),$AV219*BC219*1,"")</f>
        <v/>
      </c>
      <c r="BQ219" s="1425" t="str">
        <f aca="false">IF(ISNUMBER($AU219*BD219*1),$AU219*BD219*1,"")</f>
        <v/>
      </c>
      <c r="BR219" s="1425" t="str">
        <f aca="false">IF(ISNUMBER($AV219*BE219*1),$AV219*BE219*1,"")</f>
        <v/>
      </c>
      <c r="BS219" s="1411" t="str">
        <f aca="false">IF(ISNUMBER($AU219*BF219),$AU219*BF219,"")</f>
        <v/>
      </c>
      <c r="BT219" s="1411" t="str">
        <f aca="false">IF(ISNUMBER($AV219*BG219),$AV219*BG219,"")</f>
        <v/>
      </c>
      <c r="BU219" s="1411"/>
      <c r="BV219" s="1411"/>
      <c r="BW219" s="1411"/>
      <c r="BX219" s="1411"/>
      <c r="BZ219" s="1372"/>
      <c r="CA219" s="1372"/>
      <c r="CB219" s="1426" t="str">
        <f aca="false">IF(ISNUMBER($AW219*BB219),$AW219*BB219,"")</f>
        <v/>
      </c>
      <c r="CC219" s="1426" t="str">
        <f aca="false">IF(ISNUMBER($AX219*BC219),$AX219*BC219,"")</f>
        <v/>
      </c>
      <c r="CD219" s="1426" t="str">
        <f aca="false">IF(ISNUMBER($AW219*BD219),$AW219*BD219,"")</f>
        <v/>
      </c>
      <c r="CE219" s="1426" t="str">
        <f aca="false">IF(ISNUMBER($AX219*BE219),$AX219*BE219,"")</f>
        <v/>
      </c>
      <c r="CF219" s="1372" t="str">
        <f aca="false">IF(ISNUMBER($AW219*BF219),$AW219*BF219,"")</f>
        <v/>
      </c>
      <c r="CG219" s="1372" t="str">
        <f aca="false">IF(ISNUMBER($AX219*BG219),$AX219*BG219,"")</f>
        <v/>
      </c>
      <c r="CH219" s="1438"/>
      <c r="CI219" s="1438"/>
      <c r="CJ219" s="1438"/>
      <c r="CK219" s="1438"/>
      <c r="CU219" s="1411"/>
      <c r="CV219" s="1411"/>
      <c r="CW219" s="1425"/>
      <c r="CX219" s="1425"/>
      <c r="CY219" s="1425"/>
      <c r="CZ219" s="1425"/>
      <c r="DA219" s="1411"/>
      <c r="DB219" s="1411"/>
      <c r="DC219" s="1411"/>
      <c r="DD219" s="1411"/>
      <c r="DE219" s="1411"/>
      <c r="DF219" s="1411"/>
      <c r="DH219" s="1432"/>
      <c r="DI219" s="1432"/>
      <c r="DJ219" s="1437"/>
      <c r="DK219" s="1437"/>
      <c r="DL219" s="1437"/>
      <c r="DM219" s="1437"/>
      <c r="DN219" s="1432"/>
      <c r="DO219" s="1432"/>
      <c r="DP219" s="1432"/>
      <c r="DQ219" s="1432"/>
      <c r="DR219" s="1432"/>
      <c r="DS219" s="1432"/>
      <c r="DT219" s="1316"/>
      <c r="DU219" s="1433"/>
      <c r="DV219" s="1433"/>
      <c r="DW219" s="1433"/>
      <c r="DX219" s="1433"/>
      <c r="DY219" s="1433"/>
      <c r="DZ219" s="1433"/>
      <c r="EA219" s="1433"/>
      <c r="EB219" s="1433"/>
    </row>
    <row r="220" customFormat="false" ht="14.25" hidden="false" customHeight="false" outlineLevel="0" collapsed="false">
      <c r="A220" s="2" t="n">
        <f aca="false">'V_DATOS PAC_SGA'!R215</f>
        <v>0</v>
      </c>
      <c r="B220" s="2" t="n">
        <f aca="false">IF(I220="IV",CONCATENATE('V_DATOS PAC_SGA'!R215,"4")+0,CONCATENATE('V_DATOS PAC_SGA'!R215,"0")+0)</f>
        <v>0</v>
      </c>
      <c r="C220" s="2" t="n">
        <f aca="false">'V_DATOS PAC_SGA'!S215</f>
        <v>0</v>
      </c>
      <c r="D220" s="1409" t="n">
        <f aca="false">'V_DATOS PAC_SGA'!Y215</f>
        <v>0</v>
      </c>
      <c r="E220" s="1410" t="str">
        <f aca="false">IF('V_DATOS PAC_SGA'!AV215="","Regadio",'V_DATOS PAC_SGA'!AV215)</f>
        <v>Regadio</v>
      </c>
      <c r="F220" s="1411" t="n">
        <f aca="false">'V_DATOS PAC_SGA'!BK215</f>
        <v>0</v>
      </c>
      <c r="G220" s="1412" t="n">
        <f aca="false">'V_DATOS PAC_SGA'!AN215</f>
        <v>0</v>
      </c>
      <c r="H220" s="1413" t="str">
        <f aca="false">IF(B220&gt;0,VLOOKUP(B220,'O_MN, PE_UTA_UGM 2024'!E$3:O$419,10),"")</f>
        <v/>
      </c>
      <c r="I220" s="1359" t="n">
        <f aca="false">'V_DATOS PAC_SGA'!BV215</f>
        <v>0</v>
      </c>
      <c r="J220" s="2" t="str">
        <f aca="false">IF(AND(J$4=$G220,J$6=$F220),$D220*J$5,"")</f>
        <v/>
      </c>
      <c r="K220" s="2" t="str">
        <f aca="false">IF(AND(K$4=$G220,K$6=$F220),$D220*K$5,"")</f>
        <v/>
      </c>
      <c r="L220" s="2" t="str">
        <f aca="false">IF(AND(L$4=$G220,L$6=$F220),$D220*L$5,"")</f>
        <v/>
      </c>
      <c r="M220" s="2" t="str">
        <f aca="false">IF(AND(M$4=$G220,M$6=$F220),$D220*M$5,"")</f>
        <v/>
      </c>
      <c r="N220" s="1414" t="n">
        <f aca="false">VLOOKUP(B220,'O_MN, PE_UTA_UGM 2024'!$E$2:$K$419,IF(G220&gt;1,6,7))</f>
        <v>0</v>
      </c>
      <c r="O220" s="1434" t="str">
        <f aca="false">IF($H220=O$4,$D220*$N220,"")</f>
        <v/>
      </c>
      <c r="P220" s="1435" t="str">
        <f aca="false">IF($H220=P$4,$D220*$N220,"")</f>
        <v/>
      </c>
      <c r="Q220" s="1435" t="str">
        <f aca="false">IF($H220=Q$4,$D220*$N220,"")</f>
        <v/>
      </c>
      <c r="R220" s="1435" t="str">
        <f aca="false">IF($H220=R$4,$D220*$N220,"")</f>
        <v/>
      </c>
      <c r="S220" s="1435" t="str">
        <f aca="false">IF($H220=S$4,$D220*$N220,"")</f>
        <v/>
      </c>
      <c r="T220" s="1435" t="str">
        <f aca="false">IF($H220=T$4,$D220*$N220,"")</f>
        <v/>
      </c>
      <c r="U220" s="1436" t="str">
        <f aca="false">IF($H220=U$4,$D220*$N220,"")</f>
        <v/>
      </c>
      <c r="V220" s="1418"/>
      <c r="W220" s="1419"/>
      <c r="X220" s="1419"/>
      <c r="Y220" s="1419"/>
      <c r="Z220" s="1419"/>
      <c r="AA220" s="1419"/>
      <c r="AB220" s="1420"/>
      <c r="AC220" s="1319"/>
      <c r="AD220" s="2" t="str">
        <f aca="false">IF(AND(AD$4=$G220,AD$6=$F220),$B220,"")</f>
        <v/>
      </c>
      <c r="AE220" s="2" t="str">
        <f aca="false">IF(AND(AE$4=$G220,AE$6=$F220),$B220,"")</f>
        <v/>
      </c>
      <c r="AF220" s="2" t="str">
        <f aca="false">IF(AND(AF$4=$G220,AF$6=$F220),$B220,"")</f>
        <v/>
      </c>
      <c r="AG220" s="2" t="str">
        <f aca="false">IF(AND(AG$4=$G220,AG$6=$F220),$B220,"")</f>
        <v/>
      </c>
      <c r="AI220" s="366"/>
      <c r="AL220" s="367"/>
      <c r="AO220" s="367"/>
      <c r="AP220" s="2" t="str">
        <f aca="false">IF(AT220&gt;0,RANK(AT220,AT$7:AT$423),"")</f>
        <v/>
      </c>
      <c r="AQ220" s="2" t="n">
        <f aca="false">'O_MN, PE_UTA_UGM 2024'!C216</f>
        <v>210</v>
      </c>
      <c r="AR220" s="1421" t="n">
        <v>2060</v>
      </c>
      <c r="AS220" s="2" t="str">
        <f aca="false">IF(AY220&lt;&gt;"",AY220,"")</f>
        <v/>
      </c>
      <c r="AT220" s="1422" t="n">
        <f aca="false">IF(ISNUMBER($AR220),SUMIF(B$7:B$505,AR220,D$7:D$505),"")</f>
        <v>0</v>
      </c>
      <c r="AU220" s="1411" t="n">
        <f aca="false">IF(ISNUMBER($AR220),SUMIF(AD$7:AD$503,$AR220,J$7:J$503),"")</f>
        <v>0</v>
      </c>
      <c r="AV220" s="1411" t="n">
        <f aca="false">IF(ISNUMBER($AR220),SUMIF(AF$7:AF$503,$AR220,L$7:L$503),"")</f>
        <v>0</v>
      </c>
      <c r="AW220" s="1423" t="n">
        <f aca="false">IF(ISNUMBER($AR220),SUMIF(AE$7:AE$503,$AR220,K$7:K$503),"")</f>
        <v>0</v>
      </c>
      <c r="AX220" s="1423" t="n">
        <f aca="false">IF(ISNUMBER($AR220),SUMIF(AG$7:AG$503,$AR220,M$7:M$503),"")</f>
        <v>0</v>
      </c>
      <c r="AY220" s="2" t="str">
        <f aca="false">IF($AT220&gt;0,VLOOKUP($AR220,'O_MN, PE_UTA_UGM 2024'!E216:O632,2),"")</f>
        <v/>
      </c>
      <c r="AZ220" s="1424"/>
      <c r="BA220" s="1424"/>
      <c r="BB220" s="1424" t="str">
        <f aca="false">IF($AT220&gt;0,VLOOKUP($AR220,'O_MN, PE_UTA_UGM 2024'!$E$3:$O$419,BB$6),"")</f>
        <v/>
      </c>
      <c r="BC220" s="1424" t="str">
        <f aca="false">IF($AT220&gt;0,VLOOKUP($AR220,'O_MN, PE_UTA_UGM 2024'!$E$3:$O$419,BC$6),"")</f>
        <v/>
      </c>
      <c r="BD220" s="1424" t="str">
        <f aca="false">IF($AT220&gt;0,VLOOKUP($AR220,'O_MN, PE_UTA_UGM 2024'!$E$3:$O$419,BD$6),"")</f>
        <v/>
      </c>
      <c r="BE220" s="1424" t="str">
        <f aca="false">IF($AT220&gt;0,VLOOKUP($AR220,'O_MN, PE_UTA_UGM 2024'!$E$3:$O$419,BE$6),"")</f>
        <v/>
      </c>
      <c r="BF220" s="1424" t="str">
        <f aca="false">IF($AT220&gt;0,VLOOKUP($AR220,'O_MN, PE_UTA_UGM 2024'!$E$3:$O$419,BF$6),"")</f>
        <v/>
      </c>
      <c r="BG220" s="1424" t="str">
        <f aca="false">IF($AT220&gt;0,VLOOKUP($AR220,'O_MN, PE_UTA_UGM 2024'!$E$3:$O$419,BG$6),"")</f>
        <v/>
      </c>
      <c r="BH220" s="872"/>
      <c r="BI220" s="872"/>
      <c r="BJ220" s="872"/>
      <c r="BK220" s="872"/>
      <c r="BM220" s="1411"/>
      <c r="BN220" s="1411"/>
      <c r="BO220" s="1425" t="str">
        <f aca="false">IF(ISNUMBER($AU220*BB220*1),$AU220*BB220*1,"")</f>
        <v/>
      </c>
      <c r="BP220" s="1425" t="str">
        <f aca="false">IF(ISNUMBER($AV220*BC220*1),$AV220*BC220*1,"")</f>
        <v/>
      </c>
      <c r="BQ220" s="1425" t="str">
        <f aca="false">IF(ISNUMBER($AU220*BD220*1),$AU220*BD220*1,"")</f>
        <v/>
      </c>
      <c r="BR220" s="1425" t="str">
        <f aca="false">IF(ISNUMBER($AV220*BE220*1),$AV220*BE220*1,"")</f>
        <v/>
      </c>
      <c r="BS220" s="1411" t="str">
        <f aca="false">IF(ISNUMBER($AU220*BF220),$AU220*BF220,"")</f>
        <v/>
      </c>
      <c r="BT220" s="1411" t="str">
        <f aca="false">IF(ISNUMBER($AV220*BG220),$AV220*BG220,"")</f>
        <v/>
      </c>
      <c r="BU220" s="1411"/>
      <c r="BV220" s="1411"/>
      <c r="BW220" s="1411"/>
      <c r="BX220" s="1411"/>
      <c r="BZ220" s="1372"/>
      <c r="CA220" s="1372"/>
      <c r="CB220" s="1426" t="str">
        <f aca="false">IF(ISNUMBER($AW220*BB220),$AW220*BB220,"")</f>
        <v/>
      </c>
      <c r="CC220" s="1426" t="str">
        <f aca="false">IF(ISNUMBER($AX220*BC220),$AX220*BC220,"")</f>
        <v/>
      </c>
      <c r="CD220" s="1426" t="str">
        <f aca="false">IF(ISNUMBER($AW220*BD220),$AW220*BD220,"")</f>
        <v/>
      </c>
      <c r="CE220" s="1426" t="str">
        <f aca="false">IF(ISNUMBER($AX220*BE220),$AX220*BE220,"")</f>
        <v/>
      </c>
      <c r="CF220" s="1372" t="str">
        <f aca="false">IF(ISNUMBER($AW220*BF220),$AW220*BF220,"")</f>
        <v/>
      </c>
      <c r="CG220" s="1372" t="str">
        <f aca="false">IF(ISNUMBER($AX220*BG220),$AX220*BG220,"")</f>
        <v/>
      </c>
      <c r="CH220" s="1438"/>
      <c r="CI220" s="1438"/>
      <c r="CJ220" s="1438"/>
      <c r="CK220" s="1438"/>
      <c r="CU220" s="1411"/>
      <c r="CV220" s="1411"/>
      <c r="CW220" s="1425"/>
      <c r="CX220" s="1425"/>
      <c r="CY220" s="1425"/>
      <c r="CZ220" s="1425"/>
      <c r="DA220" s="1411"/>
      <c r="DB220" s="1411"/>
      <c r="DC220" s="1411"/>
      <c r="DD220" s="1411"/>
      <c r="DE220" s="1411"/>
      <c r="DF220" s="1411"/>
      <c r="DH220" s="1432"/>
      <c r="DI220" s="1432"/>
      <c r="DJ220" s="1437"/>
      <c r="DK220" s="1437"/>
      <c r="DL220" s="1437"/>
      <c r="DM220" s="1437"/>
      <c r="DN220" s="1432"/>
      <c r="DO220" s="1432"/>
      <c r="DP220" s="1432"/>
      <c r="DQ220" s="1432"/>
      <c r="DR220" s="1432"/>
      <c r="DS220" s="1432"/>
      <c r="DT220" s="1316"/>
      <c r="DU220" s="1433"/>
      <c r="DV220" s="1433"/>
      <c r="DW220" s="1433"/>
      <c r="DX220" s="1433"/>
      <c r="DY220" s="1433"/>
      <c r="DZ220" s="1433"/>
      <c r="EA220" s="1433"/>
      <c r="EB220" s="1433"/>
    </row>
    <row r="221" customFormat="false" ht="14.25" hidden="false" customHeight="false" outlineLevel="0" collapsed="false">
      <c r="A221" s="2" t="n">
        <f aca="false">'V_DATOS PAC_SGA'!R216</f>
        <v>0</v>
      </c>
      <c r="B221" s="2" t="n">
        <f aca="false">IF(I221="IV",CONCATENATE('V_DATOS PAC_SGA'!R216,"4")+0,CONCATENATE('V_DATOS PAC_SGA'!R216,"0")+0)</f>
        <v>0</v>
      </c>
      <c r="C221" s="2" t="n">
        <f aca="false">'V_DATOS PAC_SGA'!S216</f>
        <v>0</v>
      </c>
      <c r="D221" s="1409" t="n">
        <f aca="false">'V_DATOS PAC_SGA'!Y216</f>
        <v>0</v>
      </c>
      <c r="E221" s="1410" t="str">
        <f aca="false">IF('V_DATOS PAC_SGA'!AV216="","Regadio",'V_DATOS PAC_SGA'!AV216)</f>
        <v>Regadio</v>
      </c>
      <c r="F221" s="1411" t="n">
        <f aca="false">'V_DATOS PAC_SGA'!BK216</f>
        <v>0</v>
      </c>
      <c r="G221" s="1412" t="n">
        <f aca="false">'V_DATOS PAC_SGA'!AN216</f>
        <v>0</v>
      </c>
      <c r="H221" s="1413" t="str">
        <f aca="false">IF(B221&gt;0,VLOOKUP(B221,'O_MN, PE_UTA_UGM 2024'!E$3:O$419,10),"")</f>
        <v/>
      </c>
      <c r="I221" s="1359" t="n">
        <f aca="false">'V_DATOS PAC_SGA'!BV216</f>
        <v>0</v>
      </c>
      <c r="J221" s="2" t="str">
        <f aca="false">IF(AND(J$4=$G221,J$6=$F221),$D221*J$5,"")</f>
        <v/>
      </c>
      <c r="K221" s="2" t="str">
        <f aca="false">IF(AND(K$4=$G221,K$6=$F221),$D221*K$5,"")</f>
        <v/>
      </c>
      <c r="L221" s="2" t="str">
        <f aca="false">IF(AND(L$4=$G221,L$6=$F221),$D221*L$5,"")</f>
        <v/>
      </c>
      <c r="M221" s="2" t="str">
        <f aca="false">IF(AND(M$4=$G221,M$6=$F221),$D221*M$5,"")</f>
        <v/>
      </c>
      <c r="N221" s="1414" t="n">
        <f aca="false">VLOOKUP(B221,'O_MN, PE_UTA_UGM 2024'!$E$2:$K$419,IF(G221&gt;1,6,7))</f>
        <v>0</v>
      </c>
      <c r="O221" s="1434" t="str">
        <f aca="false">IF($H221=O$4,$D221*$N221,"")</f>
        <v/>
      </c>
      <c r="P221" s="1435" t="str">
        <f aca="false">IF($H221=P$4,$D221*$N221,"")</f>
        <v/>
      </c>
      <c r="Q221" s="1435" t="str">
        <f aca="false">IF($H221=Q$4,$D221*$N221,"")</f>
        <v/>
      </c>
      <c r="R221" s="1435" t="str">
        <f aca="false">IF($H221=R$4,$D221*$N221,"")</f>
        <v/>
      </c>
      <c r="S221" s="1435" t="str">
        <f aca="false">IF($H221=S$4,$D221*$N221,"")</f>
        <v/>
      </c>
      <c r="T221" s="1435" t="str">
        <f aca="false">IF($H221=T$4,$D221*$N221,"")</f>
        <v/>
      </c>
      <c r="U221" s="1436" t="str">
        <f aca="false">IF($H221=U$4,$D221*$N221,"")</f>
        <v/>
      </c>
      <c r="V221" s="1418"/>
      <c r="W221" s="1419"/>
      <c r="X221" s="1419"/>
      <c r="Y221" s="1419"/>
      <c r="Z221" s="1419"/>
      <c r="AA221" s="1419"/>
      <c r="AB221" s="1420"/>
      <c r="AC221" s="1319"/>
      <c r="AD221" s="2" t="str">
        <f aca="false">IF(AND(AD$4=$G221,AD$6=$F221),$B221,"")</f>
        <v/>
      </c>
      <c r="AE221" s="2" t="str">
        <f aca="false">IF(AND(AE$4=$G221,AE$6=$F221),$B221,"")</f>
        <v/>
      </c>
      <c r="AF221" s="2" t="str">
        <f aca="false">IF(AND(AF$4=$G221,AF$6=$F221),$B221,"")</f>
        <v/>
      </c>
      <c r="AG221" s="2" t="str">
        <f aca="false">IF(AND(AG$4=$G221,AG$6=$F221),$B221,"")</f>
        <v/>
      </c>
      <c r="AI221" s="366"/>
      <c r="AL221" s="367"/>
      <c r="AO221" s="367"/>
      <c r="AP221" s="2" t="str">
        <f aca="false">IF(AT221&gt;0,RANK(AT221,AT$7:AT$423),"")</f>
        <v/>
      </c>
      <c r="AQ221" s="2" t="n">
        <f aca="false">'O_MN, PE_UTA_UGM 2024'!C217</f>
        <v>211</v>
      </c>
      <c r="AR221" s="1421" t="n">
        <v>2070</v>
      </c>
      <c r="AS221" s="2" t="str">
        <f aca="false">IF(AY221&lt;&gt;"",AY221,"")</f>
        <v/>
      </c>
      <c r="AT221" s="1422" t="n">
        <f aca="false">IF(ISNUMBER($AR221),SUMIF(B$7:B$505,AR221,D$7:D$505),"")</f>
        <v>0</v>
      </c>
      <c r="AU221" s="1411" t="n">
        <f aca="false">IF(ISNUMBER($AR221),SUMIF(AD$7:AD$503,$AR221,J$7:J$503),"")</f>
        <v>0</v>
      </c>
      <c r="AV221" s="1411" t="n">
        <f aca="false">IF(ISNUMBER($AR221),SUMIF(AF$7:AF$503,$AR221,L$7:L$503),"")</f>
        <v>0</v>
      </c>
      <c r="AW221" s="1423" t="n">
        <f aca="false">IF(ISNUMBER($AR221),SUMIF(AE$7:AE$503,$AR221,K$7:K$503),"")</f>
        <v>0</v>
      </c>
      <c r="AX221" s="1423" t="n">
        <f aca="false">IF(ISNUMBER($AR221),SUMIF(AG$7:AG$503,$AR221,M$7:M$503),"")</f>
        <v>0</v>
      </c>
      <c r="AY221" s="2" t="str">
        <f aca="false">IF($AT221&gt;0,VLOOKUP($AR221,'O_MN, PE_UTA_UGM 2024'!E217:O633,2),"")</f>
        <v/>
      </c>
      <c r="AZ221" s="1424"/>
      <c r="BA221" s="1424"/>
      <c r="BB221" s="1424" t="str">
        <f aca="false">IF($AT221&gt;0,VLOOKUP($AR221,'O_MN, PE_UTA_UGM 2024'!$E$3:$O$419,BB$6),"")</f>
        <v/>
      </c>
      <c r="BC221" s="1424" t="str">
        <f aca="false">IF($AT221&gt;0,VLOOKUP($AR221,'O_MN, PE_UTA_UGM 2024'!$E$3:$O$419,BC$6),"")</f>
        <v/>
      </c>
      <c r="BD221" s="1424" t="str">
        <f aca="false">IF($AT221&gt;0,VLOOKUP($AR221,'O_MN, PE_UTA_UGM 2024'!$E$3:$O$419,BD$6),"")</f>
        <v/>
      </c>
      <c r="BE221" s="1424" t="str">
        <f aca="false">IF($AT221&gt;0,VLOOKUP($AR221,'O_MN, PE_UTA_UGM 2024'!$E$3:$O$419,BE$6),"")</f>
        <v/>
      </c>
      <c r="BF221" s="1424" t="str">
        <f aca="false">IF($AT221&gt;0,VLOOKUP($AR221,'O_MN, PE_UTA_UGM 2024'!$E$3:$O$419,BF$6),"")</f>
        <v/>
      </c>
      <c r="BG221" s="1424" t="str">
        <f aca="false">IF($AT221&gt;0,VLOOKUP($AR221,'O_MN, PE_UTA_UGM 2024'!$E$3:$O$419,BG$6),"")</f>
        <v/>
      </c>
      <c r="BH221" s="872"/>
      <c r="BI221" s="872"/>
      <c r="BJ221" s="872"/>
      <c r="BK221" s="872"/>
      <c r="BM221" s="1411"/>
      <c r="BN221" s="1411"/>
      <c r="BO221" s="1425" t="str">
        <f aca="false">IF(ISNUMBER($AU221*BB221*1),$AU221*BB221*1,"")</f>
        <v/>
      </c>
      <c r="BP221" s="1425" t="str">
        <f aca="false">IF(ISNUMBER($AV221*BC221*1),$AV221*BC221*1,"")</f>
        <v/>
      </c>
      <c r="BQ221" s="1425" t="str">
        <f aca="false">IF(ISNUMBER($AU221*BD221*1),$AU221*BD221*1,"")</f>
        <v/>
      </c>
      <c r="BR221" s="1425" t="str">
        <f aca="false">IF(ISNUMBER($AV221*BE221*1),$AV221*BE221*1,"")</f>
        <v/>
      </c>
      <c r="BS221" s="1411" t="str">
        <f aca="false">IF(ISNUMBER($AU221*BF221),$AU221*BF221,"")</f>
        <v/>
      </c>
      <c r="BT221" s="1411" t="str">
        <f aca="false">IF(ISNUMBER($AV221*BG221),$AV221*BG221,"")</f>
        <v/>
      </c>
      <c r="BU221" s="1411"/>
      <c r="BV221" s="1411"/>
      <c r="BW221" s="1411"/>
      <c r="BX221" s="1411"/>
      <c r="BZ221" s="1372"/>
      <c r="CA221" s="1372"/>
      <c r="CB221" s="1426" t="str">
        <f aca="false">IF(ISNUMBER($AW221*BB221),$AW221*BB221,"")</f>
        <v/>
      </c>
      <c r="CC221" s="1426" t="str">
        <f aca="false">IF(ISNUMBER($AX221*BC221),$AX221*BC221,"")</f>
        <v/>
      </c>
      <c r="CD221" s="1426" t="str">
        <f aca="false">IF(ISNUMBER($AW221*BD221),$AW221*BD221,"")</f>
        <v/>
      </c>
      <c r="CE221" s="1426" t="str">
        <f aca="false">IF(ISNUMBER($AX221*BE221),$AX221*BE221,"")</f>
        <v/>
      </c>
      <c r="CF221" s="1372" t="str">
        <f aca="false">IF(ISNUMBER($AW221*BF221),$AW221*BF221,"")</f>
        <v/>
      </c>
      <c r="CG221" s="1372" t="str">
        <f aca="false">IF(ISNUMBER($AX221*BG221),$AX221*BG221,"")</f>
        <v/>
      </c>
      <c r="CH221" s="1438"/>
      <c r="CI221" s="1438"/>
      <c r="CJ221" s="1438"/>
      <c r="CK221" s="1438"/>
      <c r="CU221" s="1411"/>
      <c r="CV221" s="1411"/>
      <c r="CW221" s="1425"/>
      <c r="CX221" s="1425"/>
      <c r="CY221" s="1425"/>
      <c r="CZ221" s="1425"/>
      <c r="DA221" s="1411"/>
      <c r="DB221" s="1411"/>
      <c r="DC221" s="1411"/>
      <c r="DD221" s="1411"/>
      <c r="DE221" s="1411"/>
      <c r="DF221" s="1411"/>
      <c r="DH221" s="1432"/>
      <c r="DI221" s="1432"/>
      <c r="DJ221" s="1437"/>
      <c r="DK221" s="1437"/>
      <c r="DL221" s="1437"/>
      <c r="DM221" s="1437"/>
      <c r="DN221" s="1432"/>
      <c r="DO221" s="1432"/>
      <c r="DP221" s="1432"/>
      <c r="DQ221" s="1432"/>
      <c r="DR221" s="1432"/>
      <c r="DS221" s="1432"/>
      <c r="DT221" s="1316"/>
      <c r="DU221" s="1433"/>
      <c r="DV221" s="1433"/>
      <c r="DW221" s="1433"/>
      <c r="DX221" s="1433"/>
      <c r="DY221" s="1433"/>
      <c r="DZ221" s="1433"/>
      <c r="EA221" s="1433"/>
      <c r="EB221" s="1433"/>
    </row>
    <row r="222" customFormat="false" ht="14.25" hidden="false" customHeight="false" outlineLevel="0" collapsed="false">
      <c r="A222" s="2" t="n">
        <f aca="false">'V_DATOS PAC_SGA'!R217</f>
        <v>0</v>
      </c>
      <c r="B222" s="2" t="n">
        <f aca="false">IF(I222="IV",CONCATENATE('V_DATOS PAC_SGA'!R217,"4")+0,CONCATENATE('V_DATOS PAC_SGA'!R217,"0")+0)</f>
        <v>0</v>
      </c>
      <c r="C222" s="2" t="n">
        <f aca="false">'V_DATOS PAC_SGA'!S217</f>
        <v>0</v>
      </c>
      <c r="D222" s="1409" t="n">
        <f aca="false">'V_DATOS PAC_SGA'!Y217</f>
        <v>0</v>
      </c>
      <c r="E222" s="1410" t="str">
        <f aca="false">IF('V_DATOS PAC_SGA'!AV217="","Regadio",'V_DATOS PAC_SGA'!AV217)</f>
        <v>Regadio</v>
      </c>
      <c r="F222" s="1411" t="n">
        <f aca="false">'V_DATOS PAC_SGA'!BK217</f>
        <v>0</v>
      </c>
      <c r="G222" s="1412" t="n">
        <f aca="false">'V_DATOS PAC_SGA'!AN217</f>
        <v>0</v>
      </c>
      <c r="H222" s="1413" t="str">
        <f aca="false">IF(B222&gt;0,VLOOKUP(B222,'O_MN, PE_UTA_UGM 2024'!E$3:O$419,10),"")</f>
        <v/>
      </c>
      <c r="I222" s="1359" t="n">
        <f aca="false">'V_DATOS PAC_SGA'!BV217</f>
        <v>0</v>
      </c>
      <c r="J222" s="2" t="str">
        <f aca="false">IF(AND(J$4=$G222,J$6=$F222),$D222*J$5,"")</f>
        <v/>
      </c>
      <c r="K222" s="2" t="str">
        <f aca="false">IF(AND(K$4=$G222,K$6=$F222),$D222*K$5,"")</f>
        <v/>
      </c>
      <c r="L222" s="2" t="str">
        <f aca="false">IF(AND(L$4=$G222,L$6=$F222),$D222*L$5,"")</f>
        <v/>
      </c>
      <c r="M222" s="2" t="str">
        <f aca="false">IF(AND(M$4=$G222,M$6=$F222),$D222*M$5,"")</f>
        <v/>
      </c>
      <c r="N222" s="1414" t="n">
        <f aca="false">VLOOKUP(B222,'O_MN, PE_UTA_UGM 2024'!$E$2:$K$419,IF(G222&gt;1,6,7))</f>
        <v>0</v>
      </c>
      <c r="O222" s="1434" t="str">
        <f aca="false">IF($H222=O$4,$D222*$N222,"")</f>
        <v/>
      </c>
      <c r="P222" s="1435" t="str">
        <f aca="false">IF($H222=P$4,$D222*$N222,"")</f>
        <v/>
      </c>
      <c r="Q222" s="1435" t="str">
        <f aca="false">IF($H222=Q$4,$D222*$N222,"")</f>
        <v/>
      </c>
      <c r="R222" s="1435" t="str">
        <f aca="false">IF($H222=R$4,$D222*$N222,"")</f>
        <v/>
      </c>
      <c r="S222" s="1435" t="str">
        <f aca="false">IF($H222=S$4,$D222*$N222,"")</f>
        <v/>
      </c>
      <c r="T222" s="1435" t="str">
        <f aca="false">IF($H222=T$4,$D222*$N222,"")</f>
        <v/>
      </c>
      <c r="U222" s="1436" t="str">
        <f aca="false">IF($H222=U$4,$D222*$N222,"")</f>
        <v/>
      </c>
      <c r="V222" s="1418"/>
      <c r="W222" s="1419"/>
      <c r="X222" s="1419"/>
      <c r="Y222" s="1419"/>
      <c r="Z222" s="1419"/>
      <c r="AA222" s="1419"/>
      <c r="AB222" s="1420"/>
      <c r="AC222" s="1319"/>
      <c r="AD222" s="2" t="str">
        <f aca="false">IF(AND(AD$4=$G222,AD$6=$F222),$B222,"")</f>
        <v/>
      </c>
      <c r="AE222" s="2" t="str">
        <f aca="false">IF(AND(AE$4=$G222,AE$6=$F222),$B222,"")</f>
        <v/>
      </c>
      <c r="AF222" s="2" t="str">
        <f aca="false">IF(AND(AF$4=$G222,AF$6=$F222),$B222,"")</f>
        <v/>
      </c>
      <c r="AG222" s="2" t="str">
        <f aca="false">IF(AND(AG$4=$G222,AG$6=$F222),$B222,"")</f>
        <v/>
      </c>
      <c r="AI222" s="366"/>
      <c r="AL222" s="367"/>
      <c r="AO222" s="367"/>
      <c r="AP222" s="2" t="str">
        <f aca="false">IF(AT222&gt;0,RANK(AT222,AT$7:AT$423),"")</f>
        <v/>
      </c>
      <c r="AQ222" s="2" t="n">
        <f aca="false">'O_MN, PE_UTA_UGM 2024'!C218</f>
        <v>212</v>
      </c>
      <c r="AR222" s="1421" t="n">
        <v>2080</v>
      </c>
      <c r="AS222" s="2" t="str">
        <f aca="false">IF(AY222&lt;&gt;"",AY222,"")</f>
        <v/>
      </c>
      <c r="AT222" s="1422" t="n">
        <f aca="false">IF(ISNUMBER($AR222),SUMIF(B$7:B$505,AR222,D$7:D$505),"")</f>
        <v>0</v>
      </c>
      <c r="AU222" s="1411" t="n">
        <f aca="false">IF(ISNUMBER($AR222),SUMIF(AD$7:AD$503,$AR222,J$7:J$503),"")</f>
        <v>0</v>
      </c>
      <c r="AV222" s="1411" t="n">
        <f aca="false">IF(ISNUMBER($AR222),SUMIF(AF$7:AF$503,$AR222,L$7:L$503),"")</f>
        <v>0</v>
      </c>
      <c r="AW222" s="1423" t="n">
        <f aca="false">IF(ISNUMBER($AR222),SUMIF(AE$7:AE$503,$AR222,K$7:K$503),"")</f>
        <v>0</v>
      </c>
      <c r="AX222" s="1423" t="n">
        <f aca="false">IF(ISNUMBER($AR222),SUMIF(AG$7:AG$503,$AR222,M$7:M$503),"")</f>
        <v>0</v>
      </c>
      <c r="AY222" s="2" t="str">
        <f aca="false">IF($AT222&gt;0,VLOOKUP($AR222,'O_MN, PE_UTA_UGM 2024'!E218:O634,2),"")</f>
        <v/>
      </c>
      <c r="AZ222" s="1424"/>
      <c r="BA222" s="1424"/>
      <c r="BB222" s="1424" t="str">
        <f aca="false">IF($AT222&gt;0,VLOOKUP($AR222,'O_MN, PE_UTA_UGM 2024'!$E$3:$O$419,BB$6),"")</f>
        <v/>
      </c>
      <c r="BC222" s="1424" t="str">
        <f aca="false">IF($AT222&gt;0,VLOOKUP($AR222,'O_MN, PE_UTA_UGM 2024'!$E$3:$O$419,BC$6),"")</f>
        <v/>
      </c>
      <c r="BD222" s="1424" t="str">
        <f aca="false">IF($AT222&gt;0,VLOOKUP($AR222,'O_MN, PE_UTA_UGM 2024'!$E$3:$O$419,BD$6),"")</f>
        <v/>
      </c>
      <c r="BE222" s="1424" t="str">
        <f aca="false">IF($AT222&gt;0,VLOOKUP($AR222,'O_MN, PE_UTA_UGM 2024'!$E$3:$O$419,BE$6),"")</f>
        <v/>
      </c>
      <c r="BF222" s="1424" t="str">
        <f aca="false">IF($AT222&gt;0,VLOOKUP($AR222,'O_MN, PE_UTA_UGM 2024'!$E$3:$O$419,BF$6),"")</f>
        <v/>
      </c>
      <c r="BG222" s="1424" t="str">
        <f aca="false">IF($AT222&gt;0,VLOOKUP($AR222,'O_MN, PE_UTA_UGM 2024'!$E$3:$O$419,BG$6),"")</f>
        <v/>
      </c>
      <c r="BH222" s="872"/>
      <c r="BI222" s="872"/>
      <c r="BJ222" s="872"/>
      <c r="BK222" s="872"/>
      <c r="BM222" s="1411"/>
      <c r="BN222" s="1411"/>
      <c r="BO222" s="1425" t="str">
        <f aca="false">IF(ISNUMBER($AU222*BB222*1),$AU222*BB222*1,"")</f>
        <v/>
      </c>
      <c r="BP222" s="1425" t="str">
        <f aca="false">IF(ISNUMBER($AV222*BC222*1),$AV222*BC222*1,"")</f>
        <v/>
      </c>
      <c r="BQ222" s="1425" t="str">
        <f aca="false">IF(ISNUMBER($AU222*BD222*1),$AU222*BD222*1,"")</f>
        <v/>
      </c>
      <c r="BR222" s="1425" t="str">
        <f aca="false">IF(ISNUMBER($AV222*BE222*1),$AV222*BE222*1,"")</f>
        <v/>
      </c>
      <c r="BS222" s="1411" t="str">
        <f aca="false">IF(ISNUMBER($AU222*BF222),$AU222*BF222,"")</f>
        <v/>
      </c>
      <c r="BT222" s="1411" t="str">
        <f aca="false">IF(ISNUMBER($AV222*BG222),$AV222*BG222,"")</f>
        <v/>
      </c>
      <c r="BU222" s="1411"/>
      <c r="BV222" s="1411"/>
      <c r="BW222" s="1411"/>
      <c r="BX222" s="1411"/>
      <c r="BZ222" s="1372"/>
      <c r="CA222" s="1372"/>
      <c r="CB222" s="1426" t="str">
        <f aca="false">IF(ISNUMBER($AW222*BB222),$AW222*BB222,"")</f>
        <v/>
      </c>
      <c r="CC222" s="1426" t="str">
        <f aca="false">IF(ISNUMBER($AX222*BC222),$AX222*BC222,"")</f>
        <v/>
      </c>
      <c r="CD222" s="1426" t="str">
        <f aca="false">IF(ISNUMBER($AW222*BD222),$AW222*BD222,"")</f>
        <v/>
      </c>
      <c r="CE222" s="1426" t="str">
        <f aca="false">IF(ISNUMBER($AX222*BE222),$AX222*BE222,"")</f>
        <v/>
      </c>
      <c r="CF222" s="1372" t="str">
        <f aca="false">IF(ISNUMBER($AW222*BF222),$AW222*BF222,"")</f>
        <v/>
      </c>
      <c r="CG222" s="1372" t="str">
        <f aca="false">IF(ISNUMBER($AX222*BG222),$AX222*BG222,"")</f>
        <v/>
      </c>
      <c r="CH222" s="1438"/>
      <c r="CI222" s="1438"/>
      <c r="CJ222" s="1438"/>
      <c r="CK222" s="1438"/>
      <c r="CU222" s="1411"/>
      <c r="CV222" s="1411"/>
      <c r="CW222" s="1425"/>
      <c r="CX222" s="1425"/>
      <c r="CY222" s="1425"/>
      <c r="CZ222" s="1425"/>
      <c r="DA222" s="1411"/>
      <c r="DB222" s="1411"/>
      <c r="DC222" s="1411"/>
      <c r="DD222" s="1411"/>
      <c r="DE222" s="1411"/>
      <c r="DF222" s="1411"/>
      <c r="DH222" s="1432"/>
      <c r="DI222" s="1432"/>
      <c r="DJ222" s="1437"/>
      <c r="DK222" s="1437"/>
      <c r="DL222" s="1437"/>
      <c r="DM222" s="1437"/>
      <c r="DN222" s="1432"/>
      <c r="DO222" s="1432"/>
      <c r="DP222" s="1432"/>
      <c r="DQ222" s="1432"/>
      <c r="DR222" s="1432"/>
      <c r="DS222" s="1432"/>
      <c r="DT222" s="1316"/>
      <c r="DU222" s="1433"/>
      <c r="DV222" s="1433"/>
      <c r="DW222" s="1433"/>
      <c r="DX222" s="1433"/>
      <c r="DY222" s="1433"/>
      <c r="DZ222" s="1433"/>
      <c r="EA222" s="1433"/>
      <c r="EB222" s="1433"/>
    </row>
    <row r="223" customFormat="false" ht="14.25" hidden="false" customHeight="false" outlineLevel="0" collapsed="false">
      <c r="A223" s="2" t="n">
        <f aca="false">'V_DATOS PAC_SGA'!R218</f>
        <v>0</v>
      </c>
      <c r="B223" s="2" t="n">
        <f aca="false">IF(I223="IV",CONCATENATE('V_DATOS PAC_SGA'!R218,"4")+0,CONCATENATE('V_DATOS PAC_SGA'!R218,"0")+0)</f>
        <v>0</v>
      </c>
      <c r="C223" s="2" t="n">
        <f aca="false">'V_DATOS PAC_SGA'!S218</f>
        <v>0</v>
      </c>
      <c r="D223" s="1409" t="n">
        <f aca="false">'V_DATOS PAC_SGA'!Y218</f>
        <v>0</v>
      </c>
      <c r="E223" s="1410" t="str">
        <f aca="false">IF('V_DATOS PAC_SGA'!AV218="","Regadio",'V_DATOS PAC_SGA'!AV218)</f>
        <v>Regadio</v>
      </c>
      <c r="F223" s="1411" t="n">
        <f aca="false">'V_DATOS PAC_SGA'!BK218</f>
        <v>0</v>
      </c>
      <c r="G223" s="1412" t="n">
        <f aca="false">'V_DATOS PAC_SGA'!AN218</f>
        <v>0</v>
      </c>
      <c r="H223" s="1413" t="str">
        <f aca="false">IF(B223&gt;0,VLOOKUP(B223,'O_MN, PE_UTA_UGM 2024'!E$3:O$419,10),"")</f>
        <v/>
      </c>
      <c r="I223" s="1359" t="n">
        <f aca="false">'V_DATOS PAC_SGA'!BV218</f>
        <v>0</v>
      </c>
      <c r="J223" s="2" t="str">
        <f aca="false">IF(AND(J$4=$G223,J$6=$F223),$D223*J$5,"")</f>
        <v/>
      </c>
      <c r="K223" s="2" t="str">
        <f aca="false">IF(AND(K$4=$G223,K$6=$F223),$D223*K$5,"")</f>
        <v/>
      </c>
      <c r="L223" s="2" t="str">
        <f aca="false">IF(AND(L$4=$G223,L$6=$F223),$D223*L$5,"")</f>
        <v/>
      </c>
      <c r="M223" s="2" t="str">
        <f aca="false">IF(AND(M$4=$G223,M$6=$F223),$D223*M$5,"")</f>
        <v/>
      </c>
      <c r="N223" s="1414" t="n">
        <f aca="false">VLOOKUP(B223,'O_MN, PE_UTA_UGM 2024'!$E$2:$K$419,IF(G223&gt;1,6,7))</f>
        <v>0</v>
      </c>
      <c r="O223" s="1434" t="str">
        <f aca="false">IF($H223=O$4,$D223*$N223,"")</f>
        <v/>
      </c>
      <c r="P223" s="1435" t="str">
        <f aca="false">IF($H223=P$4,$D223*$N223,"")</f>
        <v/>
      </c>
      <c r="Q223" s="1435" t="str">
        <f aca="false">IF($H223=Q$4,$D223*$N223,"")</f>
        <v/>
      </c>
      <c r="R223" s="1435" t="str">
        <f aca="false">IF($H223=R$4,$D223*$N223,"")</f>
        <v/>
      </c>
      <c r="S223" s="1435" t="str">
        <f aca="false">IF($H223=S$4,$D223*$N223,"")</f>
        <v/>
      </c>
      <c r="T223" s="1435" t="str">
        <f aca="false">IF($H223=T$4,$D223*$N223,"")</f>
        <v/>
      </c>
      <c r="U223" s="1436" t="str">
        <f aca="false">IF($H223=U$4,$D223*$N223,"")</f>
        <v/>
      </c>
      <c r="V223" s="1418"/>
      <c r="W223" s="1419"/>
      <c r="X223" s="1419"/>
      <c r="Y223" s="1419"/>
      <c r="Z223" s="1419"/>
      <c r="AA223" s="1419"/>
      <c r="AB223" s="1420"/>
      <c r="AC223" s="1319"/>
      <c r="AD223" s="2" t="str">
        <f aca="false">IF(AND(AD$4=$G223,AD$6=$F223),$B223,"")</f>
        <v/>
      </c>
      <c r="AE223" s="2" t="str">
        <f aca="false">IF(AND(AE$4=$G223,AE$6=$F223),$B223,"")</f>
        <v/>
      </c>
      <c r="AF223" s="2" t="str">
        <f aca="false">IF(AND(AF$4=$G223,AF$6=$F223),$B223,"")</f>
        <v/>
      </c>
      <c r="AG223" s="2" t="str">
        <f aca="false">IF(AND(AG$4=$G223,AG$6=$F223),$B223,"")</f>
        <v/>
      </c>
      <c r="AI223" s="366"/>
      <c r="AL223" s="367"/>
      <c r="AO223" s="367"/>
      <c r="AP223" s="2" t="str">
        <f aca="false">IF(AT223&gt;0,RANK(AT223,AT$7:AT$423),"")</f>
        <v/>
      </c>
      <c r="AQ223" s="2" t="n">
        <f aca="false">'O_MN, PE_UTA_UGM 2024'!C219</f>
        <v>213</v>
      </c>
      <c r="AR223" s="1421" t="n">
        <v>2090</v>
      </c>
      <c r="AS223" s="2" t="str">
        <f aca="false">IF(AY223&lt;&gt;"",AY223,"")</f>
        <v/>
      </c>
      <c r="AT223" s="1422" t="n">
        <f aca="false">IF(ISNUMBER($AR223),SUMIF(B$7:B$505,AR223,D$7:D$505),"")</f>
        <v>0</v>
      </c>
      <c r="AU223" s="1411" t="n">
        <f aca="false">IF(ISNUMBER($AR223),SUMIF(AD$7:AD$503,$AR223,J$7:J$503),"")</f>
        <v>0</v>
      </c>
      <c r="AV223" s="1411" t="n">
        <f aca="false">IF(ISNUMBER($AR223),SUMIF(AF$7:AF$503,$AR223,L$7:L$503),"")</f>
        <v>0</v>
      </c>
      <c r="AW223" s="1423" t="n">
        <f aca="false">IF(ISNUMBER($AR223),SUMIF(AE$7:AE$503,$AR223,K$7:K$503),"")</f>
        <v>0</v>
      </c>
      <c r="AX223" s="1423" t="n">
        <f aca="false">IF(ISNUMBER($AR223),SUMIF(AG$7:AG$503,$AR223,M$7:M$503),"")</f>
        <v>0</v>
      </c>
      <c r="AY223" s="2" t="str">
        <f aca="false">IF($AT223&gt;0,VLOOKUP($AR223,'O_MN, PE_UTA_UGM 2024'!E219:O635,2),"")</f>
        <v/>
      </c>
      <c r="AZ223" s="1424"/>
      <c r="BA223" s="1424"/>
      <c r="BB223" s="1424" t="str">
        <f aca="false">IF($AT223&gt;0,VLOOKUP($AR223,'O_MN, PE_UTA_UGM 2024'!$E$3:$O$419,BB$6),"")</f>
        <v/>
      </c>
      <c r="BC223" s="1424" t="str">
        <f aca="false">IF($AT223&gt;0,VLOOKUP($AR223,'O_MN, PE_UTA_UGM 2024'!$E$3:$O$419,BC$6),"")</f>
        <v/>
      </c>
      <c r="BD223" s="1424" t="str">
        <f aca="false">IF($AT223&gt;0,VLOOKUP($AR223,'O_MN, PE_UTA_UGM 2024'!$E$3:$O$419,BD$6),"")</f>
        <v/>
      </c>
      <c r="BE223" s="1424" t="str">
        <f aca="false">IF($AT223&gt;0,VLOOKUP($AR223,'O_MN, PE_UTA_UGM 2024'!$E$3:$O$419,BE$6),"")</f>
        <v/>
      </c>
      <c r="BF223" s="1424" t="str">
        <f aca="false">IF($AT223&gt;0,VLOOKUP($AR223,'O_MN, PE_UTA_UGM 2024'!$E$3:$O$419,BF$6),"")</f>
        <v/>
      </c>
      <c r="BG223" s="1424" t="str">
        <f aca="false">IF($AT223&gt;0,VLOOKUP($AR223,'O_MN, PE_UTA_UGM 2024'!$E$3:$O$419,BG$6),"")</f>
        <v/>
      </c>
      <c r="BH223" s="872"/>
      <c r="BI223" s="872"/>
      <c r="BJ223" s="872"/>
      <c r="BK223" s="872"/>
      <c r="BM223" s="1411"/>
      <c r="BN223" s="1411"/>
      <c r="BO223" s="1425" t="str">
        <f aca="false">IF(ISNUMBER($AU223*BB223*1),$AU223*BB223*1,"")</f>
        <v/>
      </c>
      <c r="BP223" s="1425" t="str">
        <f aca="false">IF(ISNUMBER($AV223*BC223*1),$AV223*BC223*1,"")</f>
        <v/>
      </c>
      <c r="BQ223" s="1425" t="str">
        <f aca="false">IF(ISNUMBER($AU223*BD223*1),$AU223*BD223*1,"")</f>
        <v/>
      </c>
      <c r="BR223" s="1425" t="str">
        <f aca="false">IF(ISNUMBER($AV223*BE223*1),$AV223*BE223*1,"")</f>
        <v/>
      </c>
      <c r="BS223" s="1411" t="str">
        <f aca="false">IF(ISNUMBER($AU223*BF223),$AU223*BF223,"")</f>
        <v/>
      </c>
      <c r="BT223" s="1411" t="str">
        <f aca="false">IF(ISNUMBER($AV223*BG223),$AV223*BG223,"")</f>
        <v/>
      </c>
      <c r="BU223" s="1411"/>
      <c r="BV223" s="1411"/>
      <c r="BW223" s="1411"/>
      <c r="BX223" s="1411"/>
      <c r="BZ223" s="1372"/>
      <c r="CA223" s="1372"/>
      <c r="CB223" s="1426" t="str">
        <f aca="false">IF(ISNUMBER($AW223*BB223),$AW223*BB223,"")</f>
        <v/>
      </c>
      <c r="CC223" s="1426" t="str">
        <f aca="false">IF(ISNUMBER($AX223*BC223),$AX223*BC223,"")</f>
        <v/>
      </c>
      <c r="CD223" s="1426" t="str">
        <f aca="false">IF(ISNUMBER($AW223*BD223),$AW223*BD223,"")</f>
        <v/>
      </c>
      <c r="CE223" s="1426" t="str">
        <f aca="false">IF(ISNUMBER($AX223*BE223),$AX223*BE223,"")</f>
        <v/>
      </c>
      <c r="CF223" s="1372" t="str">
        <f aca="false">IF(ISNUMBER($AW223*BF223),$AW223*BF223,"")</f>
        <v/>
      </c>
      <c r="CG223" s="1372" t="str">
        <f aca="false">IF(ISNUMBER($AX223*BG223),$AX223*BG223,"")</f>
        <v/>
      </c>
      <c r="CH223" s="1438"/>
      <c r="CI223" s="1438"/>
      <c r="CJ223" s="1438"/>
      <c r="CK223" s="1438"/>
      <c r="CU223" s="1411"/>
      <c r="CV223" s="1411"/>
      <c r="CW223" s="1425"/>
      <c r="CX223" s="1425"/>
      <c r="CY223" s="1425"/>
      <c r="CZ223" s="1425"/>
      <c r="DA223" s="1411"/>
      <c r="DB223" s="1411"/>
      <c r="DC223" s="1411"/>
      <c r="DD223" s="1411"/>
      <c r="DE223" s="1411"/>
      <c r="DF223" s="1411"/>
      <c r="DH223" s="1432"/>
      <c r="DI223" s="1432"/>
      <c r="DJ223" s="1437"/>
      <c r="DK223" s="1437"/>
      <c r="DL223" s="1437"/>
      <c r="DM223" s="1437"/>
      <c r="DN223" s="1432"/>
      <c r="DO223" s="1432"/>
      <c r="DP223" s="1432"/>
      <c r="DQ223" s="1432"/>
      <c r="DR223" s="1432"/>
      <c r="DS223" s="1432"/>
      <c r="DT223" s="1316"/>
      <c r="DU223" s="1433"/>
      <c r="DV223" s="1433"/>
      <c r="DW223" s="1433"/>
      <c r="DX223" s="1433"/>
      <c r="DY223" s="1433"/>
      <c r="DZ223" s="1433"/>
      <c r="EA223" s="1433"/>
      <c r="EB223" s="1433"/>
    </row>
    <row r="224" customFormat="false" ht="14.25" hidden="false" customHeight="false" outlineLevel="0" collapsed="false">
      <c r="A224" s="2" t="n">
        <f aca="false">'V_DATOS PAC_SGA'!R219</f>
        <v>0</v>
      </c>
      <c r="B224" s="2" t="n">
        <f aca="false">IF(I224="IV",CONCATENATE('V_DATOS PAC_SGA'!R219,"4")+0,CONCATENATE('V_DATOS PAC_SGA'!R219,"0")+0)</f>
        <v>0</v>
      </c>
      <c r="C224" s="2" t="n">
        <f aca="false">'V_DATOS PAC_SGA'!S219</f>
        <v>0</v>
      </c>
      <c r="D224" s="1409" t="n">
        <f aca="false">'V_DATOS PAC_SGA'!Y219</f>
        <v>0</v>
      </c>
      <c r="E224" s="1410" t="str">
        <f aca="false">IF('V_DATOS PAC_SGA'!AV219="","Regadio",'V_DATOS PAC_SGA'!AV219)</f>
        <v>Regadio</v>
      </c>
      <c r="F224" s="1411" t="n">
        <f aca="false">'V_DATOS PAC_SGA'!BK219</f>
        <v>0</v>
      </c>
      <c r="G224" s="1412" t="n">
        <f aca="false">'V_DATOS PAC_SGA'!AN219</f>
        <v>0</v>
      </c>
      <c r="H224" s="1413" t="str">
        <f aca="false">IF(B224&gt;0,VLOOKUP(B224,'O_MN, PE_UTA_UGM 2024'!E$3:O$419,10),"")</f>
        <v/>
      </c>
      <c r="I224" s="1359" t="n">
        <f aca="false">'V_DATOS PAC_SGA'!BV219</f>
        <v>0</v>
      </c>
      <c r="J224" s="2" t="str">
        <f aca="false">IF(AND(J$4=$G224,J$6=$F224),$D224*J$5,"")</f>
        <v/>
      </c>
      <c r="K224" s="2" t="str">
        <f aca="false">IF(AND(K$4=$G224,K$6=$F224),$D224*K$5,"")</f>
        <v/>
      </c>
      <c r="L224" s="2" t="str">
        <f aca="false">IF(AND(L$4=$G224,L$6=$F224),$D224*L$5,"")</f>
        <v/>
      </c>
      <c r="M224" s="2" t="str">
        <f aca="false">IF(AND(M$4=$G224,M$6=$F224),$D224*M$5,"")</f>
        <v/>
      </c>
      <c r="N224" s="1414" t="n">
        <f aca="false">VLOOKUP(B224,'O_MN, PE_UTA_UGM 2024'!$E$2:$K$419,IF(G224&gt;1,6,7))</f>
        <v>0</v>
      </c>
      <c r="O224" s="1434" t="str">
        <f aca="false">IF($H224=O$4,$D224*$N224,"")</f>
        <v/>
      </c>
      <c r="P224" s="1435" t="str">
        <f aca="false">IF($H224=P$4,$D224*$N224,"")</f>
        <v/>
      </c>
      <c r="Q224" s="1435" t="str">
        <f aca="false">IF($H224=Q$4,$D224*$N224,"")</f>
        <v/>
      </c>
      <c r="R224" s="1435" t="str">
        <f aca="false">IF($H224=R$4,$D224*$N224,"")</f>
        <v/>
      </c>
      <c r="S224" s="1435" t="str">
        <f aca="false">IF($H224=S$4,$D224*$N224,"")</f>
        <v/>
      </c>
      <c r="T224" s="1435" t="str">
        <f aca="false">IF($H224=T$4,$D224*$N224,"")</f>
        <v/>
      </c>
      <c r="U224" s="1436" t="str">
        <f aca="false">IF($H224=U$4,$D224*$N224,"")</f>
        <v/>
      </c>
      <c r="V224" s="1418"/>
      <c r="W224" s="1419"/>
      <c r="X224" s="1419"/>
      <c r="Y224" s="1419"/>
      <c r="Z224" s="1419"/>
      <c r="AA224" s="1419"/>
      <c r="AB224" s="1420"/>
      <c r="AC224" s="1319"/>
      <c r="AD224" s="2" t="str">
        <f aca="false">IF(AND(AD$4=$G224,AD$6=$F224),$B224,"")</f>
        <v/>
      </c>
      <c r="AE224" s="2" t="str">
        <f aca="false">IF(AND(AE$4=$G224,AE$6=$F224),$B224,"")</f>
        <v/>
      </c>
      <c r="AF224" s="2" t="str">
        <f aca="false">IF(AND(AF$4=$G224,AF$6=$F224),$B224,"")</f>
        <v/>
      </c>
      <c r="AG224" s="2" t="str">
        <f aca="false">IF(AND(AG$4=$G224,AG$6=$F224),$B224,"")</f>
        <v/>
      </c>
      <c r="AI224" s="366"/>
      <c r="AL224" s="367"/>
      <c r="AO224" s="367"/>
      <c r="AP224" s="2" t="str">
        <f aca="false">IF(AT224&gt;0,RANK(AT224,AT$7:AT$423),"")</f>
        <v/>
      </c>
      <c r="AQ224" s="2" t="n">
        <f aca="false">'O_MN, PE_UTA_UGM 2024'!C220</f>
        <v>214</v>
      </c>
      <c r="AR224" s="1421" t="n">
        <v>2100</v>
      </c>
      <c r="AS224" s="2" t="str">
        <f aca="false">IF(AY224&lt;&gt;"",AY224,"")</f>
        <v/>
      </c>
      <c r="AT224" s="1422" t="n">
        <f aca="false">IF(ISNUMBER($AR224),SUMIF(B$7:B$505,AR224,D$7:D$505),"")</f>
        <v>0</v>
      </c>
      <c r="AU224" s="1411" t="n">
        <f aca="false">IF(ISNUMBER($AR224),SUMIF(AD$7:AD$503,$AR224,J$7:J$503),"")</f>
        <v>0</v>
      </c>
      <c r="AV224" s="1411" t="n">
        <f aca="false">IF(ISNUMBER($AR224),SUMIF(AF$7:AF$503,$AR224,L$7:L$503),"")</f>
        <v>0</v>
      </c>
      <c r="AW224" s="1423" t="n">
        <f aca="false">IF(ISNUMBER($AR224),SUMIF(AE$7:AE$503,$AR224,K$7:K$503),"")</f>
        <v>0</v>
      </c>
      <c r="AX224" s="1423" t="n">
        <f aca="false">IF(ISNUMBER($AR224),SUMIF(AG$7:AG$503,$AR224,M$7:M$503),"")</f>
        <v>0</v>
      </c>
      <c r="AY224" s="2" t="str">
        <f aca="false">IF($AT224&gt;0,VLOOKUP($AR224,'O_MN, PE_UTA_UGM 2024'!E220:O636,2),"")</f>
        <v/>
      </c>
      <c r="AZ224" s="1424"/>
      <c r="BA224" s="1424"/>
      <c r="BB224" s="1424" t="str">
        <f aca="false">IF($AT224&gt;0,VLOOKUP($AR224,'O_MN, PE_UTA_UGM 2024'!$E$3:$O$419,BB$6),"")</f>
        <v/>
      </c>
      <c r="BC224" s="1424" t="str">
        <f aca="false">IF($AT224&gt;0,VLOOKUP($AR224,'O_MN, PE_UTA_UGM 2024'!$E$3:$O$419,BC$6),"")</f>
        <v/>
      </c>
      <c r="BD224" s="1424" t="str">
        <f aca="false">IF($AT224&gt;0,VLOOKUP($AR224,'O_MN, PE_UTA_UGM 2024'!$E$3:$O$419,BD$6),"")</f>
        <v/>
      </c>
      <c r="BE224" s="1424" t="str">
        <f aca="false">IF($AT224&gt;0,VLOOKUP($AR224,'O_MN, PE_UTA_UGM 2024'!$E$3:$O$419,BE$6),"")</f>
        <v/>
      </c>
      <c r="BF224" s="1424" t="str">
        <f aca="false">IF($AT224&gt;0,VLOOKUP($AR224,'O_MN, PE_UTA_UGM 2024'!$E$3:$O$419,BF$6),"")</f>
        <v/>
      </c>
      <c r="BG224" s="1424" t="str">
        <f aca="false">IF($AT224&gt;0,VLOOKUP($AR224,'O_MN, PE_UTA_UGM 2024'!$E$3:$O$419,BG$6),"")</f>
        <v/>
      </c>
      <c r="BH224" s="872"/>
      <c r="BI224" s="872"/>
      <c r="BJ224" s="872"/>
      <c r="BK224" s="872"/>
      <c r="BM224" s="1411"/>
      <c r="BN224" s="1411"/>
      <c r="BO224" s="1425" t="str">
        <f aca="false">IF(ISNUMBER($AU224*BB224*1),$AU224*BB224*1,"")</f>
        <v/>
      </c>
      <c r="BP224" s="1425" t="str">
        <f aca="false">IF(ISNUMBER($AV224*BC224*1),$AV224*BC224*1,"")</f>
        <v/>
      </c>
      <c r="BQ224" s="1425" t="str">
        <f aca="false">IF(ISNUMBER($AU224*BD224*1),$AU224*BD224*1,"")</f>
        <v/>
      </c>
      <c r="BR224" s="1425" t="str">
        <f aca="false">IF(ISNUMBER($AV224*BE224*1),$AV224*BE224*1,"")</f>
        <v/>
      </c>
      <c r="BS224" s="1411" t="str">
        <f aca="false">IF(ISNUMBER($AU224*BF224),$AU224*BF224,"")</f>
        <v/>
      </c>
      <c r="BT224" s="1411" t="str">
        <f aca="false">IF(ISNUMBER($AV224*BG224),$AV224*BG224,"")</f>
        <v/>
      </c>
      <c r="BU224" s="1411"/>
      <c r="BV224" s="1411"/>
      <c r="BW224" s="1411"/>
      <c r="BX224" s="1411"/>
      <c r="BZ224" s="1372"/>
      <c r="CA224" s="1372"/>
      <c r="CB224" s="1426" t="str">
        <f aca="false">IF(ISNUMBER($AW224*BB224),$AW224*BB224,"")</f>
        <v/>
      </c>
      <c r="CC224" s="1426" t="str">
        <f aca="false">IF(ISNUMBER($AX224*BC224),$AX224*BC224,"")</f>
        <v/>
      </c>
      <c r="CD224" s="1426" t="str">
        <f aca="false">IF(ISNUMBER($AW224*BD224),$AW224*BD224,"")</f>
        <v/>
      </c>
      <c r="CE224" s="1426" t="str">
        <f aca="false">IF(ISNUMBER($AX224*BE224),$AX224*BE224,"")</f>
        <v/>
      </c>
      <c r="CF224" s="1372" t="str">
        <f aca="false">IF(ISNUMBER($AW224*BF224),$AW224*BF224,"")</f>
        <v/>
      </c>
      <c r="CG224" s="1372" t="str">
        <f aca="false">IF(ISNUMBER($AX224*BG224),$AX224*BG224,"")</f>
        <v/>
      </c>
      <c r="CH224" s="1438"/>
      <c r="CI224" s="1438"/>
      <c r="CJ224" s="1438"/>
      <c r="CK224" s="1438"/>
      <c r="CU224" s="1411"/>
      <c r="CV224" s="1411"/>
      <c r="CW224" s="1425"/>
      <c r="CX224" s="1425"/>
      <c r="CY224" s="1425"/>
      <c r="CZ224" s="1425"/>
      <c r="DA224" s="1411"/>
      <c r="DB224" s="1411"/>
      <c r="DC224" s="1411"/>
      <c r="DD224" s="1411"/>
      <c r="DE224" s="1411"/>
      <c r="DF224" s="1411"/>
      <c r="DH224" s="1432"/>
      <c r="DI224" s="1432"/>
      <c r="DJ224" s="1437"/>
      <c r="DK224" s="1437"/>
      <c r="DL224" s="1437"/>
      <c r="DM224" s="1437"/>
      <c r="DN224" s="1432"/>
      <c r="DO224" s="1432"/>
      <c r="DP224" s="1432"/>
      <c r="DQ224" s="1432"/>
      <c r="DR224" s="1432"/>
      <c r="DS224" s="1432"/>
      <c r="DT224" s="1316"/>
      <c r="DU224" s="1433"/>
      <c r="DV224" s="1433"/>
      <c r="DW224" s="1433"/>
      <c r="DX224" s="1433"/>
      <c r="DY224" s="1433"/>
      <c r="DZ224" s="1433"/>
      <c r="EA224" s="1433"/>
      <c r="EB224" s="1433"/>
    </row>
    <row r="225" customFormat="false" ht="14.25" hidden="false" customHeight="false" outlineLevel="0" collapsed="false">
      <c r="A225" s="2" t="n">
        <f aca="false">'V_DATOS PAC_SGA'!R220</f>
        <v>0</v>
      </c>
      <c r="B225" s="2" t="n">
        <f aca="false">IF(I225="IV",CONCATENATE('V_DATOS PAC_SGA'!R220,"4")+0,CONCATENATE('V_DATOS PAC_SGA'!R220,"0")+0)</f>
        <v>0</v>
      </c>
      <c r="C225" s="2" t="n">
        <f aca="false">'V_DATOS PAC_SGA'!S220</f>
        <v>0</v>
      </c>
      <c r="D225" s="1409" t="n">
        <f aca="false">'V_DATOS PAC_SGA'!Y220</f>
        <v>0</v>
      </c>
      <c r="E225" s="1410" t="str">
        <f aca="false">IF('V_DATOS PAC_SGA'!AV220="","Regadio",'V_DATOS PAC_SGA'!AV220)</f>
        <v>Regadio</v>
      </c>
      <c r="F225" s="1411" t="n">
        <f aca="false">'V_DATOS PAC_SGA'!BK220</f>
        <v>0</v>
      </c>
      <c r="G225" s="1412" t="n">
        <f aca="false">'V_DATOS PAC_SGA'!AN220</f>
        <v>0</v>
      </c>
      <c r="H225" s="1413" t="str">
        <f aca="false">IF(B225&gt;0,VLOOKUP(B225,'O_MN, PE_UTA_UGM 2024'!E$3:O$419,10),"")</f>
        <v/>
      </c>
      <c r="I225" s="1359" t="n">
        <f aca="false">'V_DATOS PAC_SGA'!BV220</f>
        <v>0</v>
      </c>
      <c r="J225" s="2" t="str">
        <f aca="false">IF(AND(J$4=$G225,J$6=$F225),$D225*J$5,"")</f>
        <v/>
      </c>
      <c r="K225" s="2" t="str">
        <f aca="false">IF(AND(K$4=$G225,K$6=$F225),$D225*K$5,"")</f>
        <v/>
      </c>
      <c r="L225" s="2" t="str">
        <f aca="false">IF(AND(L$4=$G225,L$6=$F225),$D225*L$5,"")</f>
        <v/>
      </c>
      <c r="M225" s="2" t="str">
        <f aca="false">IF(AND(M$4=$G225,M$6=$F225),$D225*M$5,"")</f>
        <v/>
      </c>
      <c r="N225" s="1414" t="n">
        <f aca="false">VLOOKUP(B225,'O_MN, PE_UTA_UGM 2024'!$E$2:$K$419,IF(G225&gt;1,6,7))</f>
        <v>0</v>
      </c>
      <c r="O225" s="1434" t="str">
        <f aca="false">IF($H225=O$4,$D225*$N225,"")</f>
        <v/>
      </c>
      <c r="P225" s="1435" t="str">
        <f aca="false">IF($H225=P$4,$D225*$N225,"")</f>
        <v/>
      </c>
      <c r="Q225" s="1435" t="str">
        <f aca="false">IF($H225=Q$4,$D225*$N225,"")</f>
        <v/>
      </c>
      <c r="R225" s="1435" t="str">
        <f aca="false">IF($H225=R$4,$D225*$N225,"")</f>
        <v/>
      </c>
      <c r="S225" s="1435" t="str">
        <f aca="false">IF($H225=S$4,$D225*$N225,"")</f>
        <v/>
      </c>
      <c r="T225" s="1435" t="str">
        <f aca="false">IF($H225=T$4,$D225*$N225,"")</f>
        <v/>
      </c>
      <c r="U225" s="1436" t="str">
        <f aca="false">IF($H225=U$4,$D225*$N225,"")</f>
        <v/>
      </c>
      <c r="V225" s="1418"/>
      <c r="W225" s="1419"/>
      <c r="X225" s="1419"/>
      <c r="Y225" s="1419"/>
      <c r="Z225" s="1419"/>
      <c r="AA225" s="1419"/>
      <c r="AB225" s="1420"/>
      <c r="AC225" s="1319"/>
      <c r="AD225" s="2" t="str">
        <f aca="false">IF(AND(AD$4=$G225,AD$6=$F225),$B225,"")</f>
        <v/>
      </c>
      <c r="AE225" s="2" t="str">
        <f aca="false">IF(AND(AE$4=$G225,AE$6=$F225),$B225,"")</f>
        <v/>
      </c>
      <c r="AF225" s="2" t="str">
        <f aca="false">IF(AND(AF$4=$G225,AF$6=$F225),$B225,"")</f>
        <v/>
      </c>
      <c r="AG225" s="2" t="str">
        <f aca="false">IF(AND(AG$4=$G225,AG$6=$F225),$B225,"")</f>
        <v/>
      </c>
      <c r="AI225" s="366"/>
      <c r="AL225" s="367"/>
      <c r="AO225" s="367"/>
      <c r="AP225" s="2" t="str">
        <f aca="false">IF(AT225&gt;0,RANK(AT225,AT$7:AT$423),"")</f>
        <v/>
      </c>
      <c r="AQ225" s="2" t="n">
        <f aca="false">'O_MN, PE_UTA_UGM 2024'!C221</f>
        <v>215</v>
      </c>
      <c r="AR225" s="1421" t="n">
        <v>2110</v>
      </c>
      <c r="AS225" s="2" t="str">
        <f aca="false">IF(AY225&lt;&gt;"",AY225,"")</f>
        <v/>
      </c>
      <c r="AT225" s="1422" t="n">
        <f aca="false">IF(ISNUMBER($AR225),SUMIF(B$7:B$505,AR225,D$7:D$505),"")</f>
        <v>0</v>
      </c>
      <c r="AU225" s="1411" t="n">
        <f aca="false">IF(ISNUMBER($AR225),SUMIF(AD$7:AD$503,$AR225,J$7:J$503),"")</f>
        <v>0</v>
      </c>
      <c r="AV225" s="1411" t="n">
        <f aca="false">IF(ISNUMBER($AR225),SUMIF(AF$7:AF$503,$AR225,L$7:L$503),"")</f>
        <v>0</v>
      </c>
      <c r="AW225" s="1423" t="n">
        <f aca="false">IF(ISNUMBER($AR225),SUMIF(AE$7:AE$503,$AR225,K$7:K$503),"")</f>
        <v>0</v>
      </c>
      <c r="AX225" s="1423" t="n">
        <f aca="false">IF(ISNUMBER($AR225),SUMIF(AG$7:AG$503,$AR225,M$7:M$503),"")</f>
        <v>0</v>
      </c>
      <c r="AY225" s="2" t="str">
        <f aca="false">IF($AT225&gt;0,VLOOKUP($AR225,'O_MN, PE_UTA_UGM 2024'!E221:O637,2),"")</f>
        <v/>
      </c>
      <c r="AZ225" s="1424"/>
      <c r="BA225" s="1424"/>
      <c r="BB225" s="1424" t="str">
        <f aca="false">IF($AT225&gt;0,VLOOKUP($AR225,'O_MN, PE_UTA_UGM 2024'!$E$3:$O$419,BB$6),"")</f>
        <v/>
      </c>
      <c r="BC225" s="1424" t="str">
        <f aca="false">IF($AT225&gt;0,VLOOKUP($AR225,'O_MN, PE_UTA_UGM 2024'!$E$3:$O$419,BC$6),"")</f>
        <v/>
      </c>
      <c r="BD225" s="1424" t="str">
        <f aca="false">IF($AT225&gt;0,VLOOKUP($AR225,'O_MN, PE_UTA_UGM 2024'!$E$3:$O$419,BD$6),"")</f>
        <v/>
      </c>
      <c r="BE225" s="1424" t="str">
        <f aca="false">IF($AT225&gt;0,VLOOKUP($AR225,'O_MN, PE_UTA_UGM 2024'!$E$3:$O$419,BE$6),"")</f>
        <v/>
      </c>
      <c r="BF225" s="1424" t="str">
        <f aca="false">IF($AT225&gt;0,VLOOKUP($AR225,'O_MN, PE_UTA_UGM 2024'!$E$3:$O$419,BF$6),"")</f>
        <v/>
      </c>
      <c r="BG225" s="1424" t="str">
        <f aca="false">IF($AT225&gt;0,VLOOKUP($AR225,'O_MN, PE_UTA_UGM 2024'!$E$3:$O$419,BG$6),"")</f>
        <v/>
      </c>
      <c r="BH225" s="872"/>
      <c r="BI225" s="872"/>
      <c r="BJ225" s="872"/>
      <c r="BK225" s="872"/>
      <c r="BM225" s="1411"/>
      <c r="BN225" s="1411"/>
      <c r="BO225" s="1425" t="str">
        <f aca="false">IF(ISNUMBER($AU225*BB225*1),$AU225*BB225*1,"")</f>
        <v/>
      </c>
      <c r="BP225" s="1425" t="str">
        <f aca="false">IF(ISNUMBER($AV225*BC225*1),$AV225*BC225*1,"")</f>
        <v/>
      </c>
      <c r="BQ225" s="1425" t="str">
        <f aca="false">IF(ISNUMBER($AU225*BD225*1),$AU225*BD225*1,"")</f>
        <v/>
      </c>
      <c r="BR225" s="1425" t="str">
        <f aca="false">IF(ISNUMBER($AV225*BE225*1),$AV225*BE225*1,"")</f>
        <v/>
      </c>
      <c r="BS225" s="1411" t="str">
        <f aca="false">IF(ISNUMBER($AU225*BF225),$AU225*BF225,"")</f>
        <v/>
      </c>
      <c r="BT225" s="1411" t="str">
        <f aca="false">IF(ISNUMBER($AV225*BG225),$AV225*BG225,"")</f>
        <v/>
      </c>
      <c r="BU225" s="1411"/>
      <c r="BV225" s="1411"/>
      <c r="BW225" s="1411"/>
      <c r="BX225" s="1411"/>
      <c r="BZ225" s="1372"/>
      <c r="CA225" s="1372"/>
      <c r="CB225" s="1426" t="str">
        <f aca="false">IF(ISNUMBER($AW225*BB225),$AW225*BB225,"")</f>
        <v/>
      </c>
      <c r="CC225" s="1426" t="str">
        <f aca="false">IF(ISNUMBER($AX225*BC225),$AX225*BC225,"")</f>
        <v/>
      </c>
      <c r="CD225" s="1426" t="str">
        <f aca="false">IF(ISNUMBER($AW225*BD225),$AW225*BD225,"")</f>
        <v/>
      </c>
      <c r="CE225" s="1426" t="str">
        <f aca="false">IF(ISNUMBER($AX225*BE225),$AX225*BE225,"")</f>
        <v/>
      </c>
      <c r="CF225" s="1372" t="str">
        <f aca="false">IF(ISNUMBER($AW225*BF225),$AW225*BF225,"")</f>
        <v/>
      </c>
      <c r="CG225" s="1372" t="str">
        <f aca="false">IF(ISNUMBER($AX225*BG225),$AX225*BG225,"")</f>
        <v/>
      </c>
      <c r="CH225" s="1438"/>
      <c r="CI225" s="1438"/>
      <c r="CJ225" s="1438"/>
      <c r="CK225" s="1438"/>
      <c r="CU225" s="1411"/>
      <c r="CV225" s="1411"/>
      <c r="CW225" s="1425"/>
      <c r="CX225" s="1425"/>
      <c r="CY225" s="1425"/>
      <c r="CZ225" s="1425"/>
      <c r="DA225" s="1411"/>
      <c r="DB225" s="1411"/>
      <c r="DC225" s="1411"/>
      <c r="DD225" s="1411"/>
      <c r="DE225" s="1411"/>
      <c r="DF225" s="1411"/>
      <c r="DH225" s="1432"/>
      <c r="DI225" s="1432"/>
      <c r="DJ225" s="1437"/>
      <c r="DK225" s="1437"/>
      <c r="DL225" s="1437"/>
      <c r="DM225" s="1437"/>
      <c r="DN225" s="1432"/>
      <c r="DO225" s="1432"/>
      <c r="DP225" s="1432"/>
      <c r="DQ225" s="1432"/>
      <c r="DR225" s="1432"/>
      <c r="DS225" s="1432"/>
      <c r="DT225" s="1316"/>
      <c r="DU225" s="1433"/>
      <c r="DV225" s="1433"/>
      <c r="DW225" s="1433"/>
      <c r="DX225" s="1433"/>
      <c r="DY225" s="1433"/>
      <c r="DZ225" s="1433"/>
      <c r="EA225" s="1433"/>
      <c r="EB225" s="1433"/>
    </row>
    <row r="226" customFormat="false" ht="14.25" hidden="false" customHeight="false" outlineLevel="0" collapsed="false">
      <c r="A226" s="2" t="n">
        <f aca="false">'V_DATOS PAC_SGA'!R221</f>
        <v>0</v>
      </c>
      <c r="B226" s="2" t="n">
        <f aca="false">IF(I226="IV",CONCATENATE('V_DATOS PAC_SGA'!R221,"4")+0,CONCATENATE('V_DATOS PAC_SGA'!R221,"0")+0)</f>
        <v>0</v>
      </c>
      <c r="C226" s="2" t="n">
        <f aca="false">'V_DATOS PAC_SGA'!S221</f>
        <v>0</v>
      </c>
      <c r="D226" s="1409" t="n">
        <f aca="false">'V_DATOS PAC_SGA'!Y221</f>
        <v>0</v>
      </c>
      <c r="E226" s="1410" t="str">
        <f aca="false">IF('V_DATOS PAC_SGA'!AV221="","Regadio",'V_DATOS PAC_SGA'!AV221)</f>
        <v>Regadio</v>
      </c>
      <c r="F226" s="1411" t="n">
        <f aca="false">'V_DATOS PAC_SGA'!BK221</f>
        <v>0</v>
      </c>
      <c r="G226" s="1412" t="n">
        <f aca="false">'V_DATOS PAC_SGA'!AN221</f>
        <v>0</v>
      </c>
      <c r="H226" s="1413" t="str">
        <f aca="false">IF(B226&gt;0,VLOOKUP(B226,'O_MN, PE_UTA_UGM 2024'!E$3:O$419,10),"")</f>
        <v/>
      </c>
      <c r="I226" s="1359" t="n">
        <f aca="false">'V_DATOS PAC_SGA'!BV221</f>
        <v>0</v>
      </c>
      <c r="J226" s="2" t="str">
        <f aca="false">IF(AND(J$4=$G226,J$6=$F226),$D226*J$5,"")</f>
        <v/>
      </c>
      <c r="K226" s="2" t="str">
        <f aca="false">IF(AND(K$4=$G226,K$6=$F226),$D226*K$5,"")</f>
        <v/>
      </c>
      <c r="L226" s="2" t="str">
        <f aca="false">IF(AND(L$4=$G226,L$6=$F226),$D226*L$5,"")</f>
        <v/>
      </c>
      <c r="M226" s="2" t="str">
        <f aca="false">IF(AND(M$4=$G226,M$6=$F226),$D226*M$5,"")</f>
        <v/>
      </c>
      <c r="N226" s="1414" t="n">
        <f aca="false">VLOOKUP(B226,'O_MN, PE_UTA_UGM 2024'!$E$2:$K$419,IF(G226&gt;1,6,7))</f>
        <v>0</v>
      </c>
      <c r="O226" s="1434" t="str">
        <f aca="false">IF($H226=O$4,$D226*$N226,"")</f>
        <v/>
      </c>
      <c r="P226" s="1435" t="str">
        <f aca="false">IF($H226=P$4,$D226*$N226,"")</f>
        <v/>
      </c>
      <c r="Q226" s="1435" t="str">
        <f aca="false">IF($H226=Q$4,$D226*$N226,"")</f>
        <v/>
      </c>
      <c r="R226" s="1435" t="str">
        <f aca="false">IF($H226=R$4,$D226*$N226,"")</f>
        <v/>
      </c>
      <c r="S226" s="1435" t="str">
        <f aca="false">IF($H226=S$4,$D226*$N226,"")</f>
        <v/>
      </c>
      <c r="T226" s="1435" t="str">
        <f aca="false">IF($H226=T$4,$D226*$N226,"")</f>
        <v/>
      </c>
      <c r="U226" s="1436" t="str">
        <f aca="false">IF($H226=U$4,$D226*$N226,"")</f>
        <v/>
      </c>
      <c r="V226" s="1418"/>
      <c r="W226" s="1419"/>
      <c r="X226" s="1419"/>
      <c r="Y226" s="1419"/>
      <c r="Z226" s="1419"/>
      <c r="AA226" s="1419"/>
      <c r="AB226" s="1420"/>
      <c r="AC226" s="1319"/>
      <c r="AD226" s="2" t="str">
        <f aca="false">IF(AND(AD$4=$G226,AD$6=$F226),$B226,"")</f>
        <v/>
      </c>
      <c r="AE226" s="2" t="str">
        <f aca="false">IF(AND(AE$4=$G226,AE$6=$F226),$B226,"")</f>
        <v/>
      </c>
      <c r="AF226" s="2" t="str">
        <f aca="false">IF(AND(AF$4=$G226,AF$6=$F226),$B226,"")</f>
        <v/>
      </c>
      <c r="AG226" s="2" t="str">
        <f aca="false">IF(AND(AG$4=$G226,AG$6=$F226),$B226,"")</f>
        <v/>
      </c>
      <c r="AI226" s="366"/>
      <c r="AL226" s="367"/>
      <c r="AO226" s="367"/>
      <c r="AP226" s="2" t="str">
        <f aca="false">IF(AT226&gt;0,RANK(AT226,AT$7:AT$423),"")</f>
        <v/>
      </c>
      <c r="AQ226" s="2" t="n">
        <f aca="false">'O_MN, PE_UTA_UGM 2024'!C222</f>
        <v>215</v>
      </c>
      <c r="AR226" s="1421" t="n">
        <v>2120</v>
      </c>
      <c r="AS226" s="2" t="str">
        <f aca="false">IF(AY226&lt;&gt;"",AY226,"")</f>
        <v/>
      </c>
      <c r="AT226" s="1422" t="n">
        <f aca="false">IF(ISNUMBER($AR226),SUMIF(B$7:B$505,AR226,D$7:D$505),"")</f>
        <v>0</v>
      </c>
      <c r="AU226" s="1411" t="n">
        <f aca="false">IF(ISNUMBER($AR226),SUMIF(AD$7:AD$503,$AR226,J$7:J$503),"")</f>
        <v>0</v>
      </c>
      <c r="AV226" s="1411" t="n">
        <f aca="false">IF(ISNUMBER($AR226),SUMIF(AF$7:AF$503,$AR226,L$7:L$503),"")</f>
        <v>0</v>
      </c>
      <c r="AW226" s="1423" t="n">
        <f aca="false">IF(ISNUMBER($AR226),SUMIF(AE$7:AE$503,$AR226,K$7:K$503),"")</f>
        <v>0</v>
      </c>
      <c r="AX226" s="1423" t="n">
        <f aca="false">IF(ISNUMBER($AR226),SUMIF(AG$7:AG$503,$AR226,M$7:M$503),"")</f>
        <v>0</v>
      </c>
      <c r="AY226" s="2" t="str">
        <f aca="false">IF($AT226&gt;0,VLOOKUP($AR226,'O_MN, PE_UTA_UGM 2024'!E222:O638,2),"")</f>
        <v/>
      </c>
      <c r="AZ226" s="1424"/>
      <c r="BA226" s="1424"/>
      <c r="BB226" s="1424" t="str">
        <f aca="false">IF($AT226&gt;0,VLOOKUP($AR226,'O_MN, PE_UTA_UGM 2024'!$E$3:$O$419,BB$6),"")</f>
        <v/>
      </c>
      <c r="BC226" s="1424" t="str">
        <f aca="false">IF($AT226&gt;0,VLOOKUP($AR226,'O_MN, PE_UTA_UGM 2024'!$E$3:$O$419,BC$6),"")</f>
        <v/>
      </c>
      <c r="BD226" s="1424" t="str">
        <f aca="false">IF($AT226&gt;0,VLOOKUP($AR226,'O_MN, PE_UTA_UGM 2024'!$E$3:$O$419,BD$6),"")</f>
        <v/>
      </c>
      <c r="BE226" s="1424" t="str">
        <f aca="false">IF($AT226&gt;0,VLOOKUP($AR226,'O_MN, PE_UTA_UGM 2024'!$E$3:$O$419,BE$6),"")</f>
        <v/>
      </c>
      <c r="BF226" s="1424" t="str">
        <f aca="false">IF($AT226&gt;0,VLOOKUP($AR226,'O_MN, PE_UTA_UGM 2024'!$E$3:$O$419,BF$6),"")</f>
        <v/>
      </c>
      <c r="BG226" s="1424" t="str">
        <f aca="false">IF($AT226&gt;0,VLOOKUP($AR226,'O_MN, PE_UTA_UGM 2024'!$E$3:$O$419,BG$6),"")</f>
        <v/>
      </c>
      <c r="BH226" s="872"/>
      <c r="BI226" s="872"/>
      <c r="BJ226" s="872"/>
      <c r="BK226" s="872"/>
      <c r="BM226" s="1411"/>
      <c r="BN226" s="1411"/>
      <c r="BO226" s="1425" t="str">
        <f aca="false">IF(ISNUMBER($AU226*BB226*1),$AU226*BB226*1,"")</f>
        <v/>
      </c>
      <c r="BP226" s="1425" t="str">
        <f aca="false">IF(ISNUMBER($AV226*BC226*1),$AV226*BC226*1,"")</f>
        <v/>
      </c>
      <c r="BQ226" s="1425" t="str">
        <f aca="false">IF(ISNUMBER($AU226*BD226*1),$AU226*BD226*1,"")</f>
        <v/>
      </c>
      <c r="BR226" s="1425" t="str">
        <f aca="false">IF(ISNUMBER($AV226*BE226*1),$AV226*BE226*1,"")</f>
        <v/>
      </c>
      <c r="BS226" s="1411" t="str">
        <f aca="false">IF(ISNUMBER($AU226*BF226),$AU226*BF226,"")</f>
        <v/>
      </c>
      <c r="BT226" s="1411" t="str">
        <f aca="false">IF(ISNUMBER($AV226*BG226),$AV226*BG226,"")</f>
        <v/>
      </c>
      <c r="BU226" s="1411"/>
      <c r="BV226" s="1411"/>
      <c r="BW226" s="1411"/>
      <c r="BX226" s="1411"/>
      <c r="BZ226" s="1372"/>
      <c r="CA226" s="1372"/>
      <c r="CB226" s="1426" t="str">
        <f aca="false">IF(ISNUMBER($AW226*BB226),$AW226*BB226,"")</f>
        <v/>
      </c>
      <c r="CC226" s="1426" t="str">
        <f aca="false">IF(ISNUMBER($AX226*BC226),$AX226*BC226,"")</f>
        <v/>
      </c>
      <c r="CD226" s="1426" t="str">
        <f aca="false">IF(ISNUMBER($AW226*BD226),$AW226*BD226,"")</f>
        <v/>
      </c>
      <c r="CE226" s="1426" t="str">
        <f aca="false">IF(ISNUMBER($AX226*BE226),$AX226*BE226,"")</f>
        <v/>
      </c>
      <c r="CF226" s="1372" t="str">
        <f aca="false">IF(ISNUMBER($AW226*BF226),$AW226*BF226,"")</f>
        <v/>
      </c>
      <c r="CG226" s="1372" t="str">
        <f aca="false">IF(ISNUMBER($AX226*BG226),$AX226*BG226,"")</f>
        <v/>
      </c>
      <c r="CH226" s="1438"/>
      <c r="CI226" s="1438"/>
      <c r="CJ226" s="1438"/>
      <c r="CK226" s="1438"/>
      <c r="CU226" s="1411"/>
      <c r="CV226" s="1411"/>
      <c r="CW226" s="1425"/>
      <c r="CX226" s="1425"/>
      <c r="CY226" s="1425"/>
      <c r="CZ226" s="1425"/>
      <c r="DA226" s="1411"/>
      <c r="DB226" s="1411"/>
      <c r="DC226" s="1411"/>
      <c r="DD226" s="1411"/>
      <c r="DE226" s="1411"/>
      <c r="DF226" s="1411"/>
      <c r="DH226" s="1432"/>
      <c r="DI226" s="1432"/>
      <c r="DJ226" s="1437"/>
      <c r="DK226" s="1437"/>
      <c r="DL226" s="1437"/>
      <c r="DM226" s="1437"/>
      <c r="DN226" s="1432"/>
      <c r="DO226" s="1432"/>
      <c r="DP226" s="1432"/>
      <c r="DQ226" s="1432"/>
      <c r="DR226" s="1432"/>
      <c r="DS226" s="1432"/>
      <c r="DT226" s="1316"/>
      <c r="DU226" s="1433"/>
      <c r="DV226" s="1433"/>
      <c r="DW226" s="1433"/>
      <c r="DX226" s="1433"/>
      <c r="DY226" s="1433"/>
      <c r="DZ226" s="1433"/>
      <c r="EA226" s="1433"/>
      <c r="EB226" s="1433"/>
    </row>
    <row r="227" customFormat="false" ht="14.25" hidden="false" customHeight="false" outlineLevel="0" collapsed="false">
      <c r="A227" s="2" t="n">
        <f aca="false">'V_DATOS PAC_SGA'!R222</f>
        <v>0</v>
      </c>
      <c r="B227" s="2" t="n">
        <f aca="false">IF(I227="IV",CONCATENATE('V_DATOS PAC_SGA'!R222,"4")+0,CONCATENATE('V_DATOS PAC_SGA'!R222,"0")+0)</f>
        <v>0</v>
      </c>
      <c r="C227" s="2" t="n">
        <f aca="false">'V_DATOS PAC_SGA'!S222</f>
        <v>0</v>
      </c>
      <c r="D227" s="1409" t="n">
        <f aca="false">'V_DATOS PAC_SGA'!Y222</f>
        <v>0</v>
      </c>
      <c r="E227" s="1410" t="str">
        <f aca="false">IF('V_DATOS PAC_SGA'!AV222="","Regadio",'V_DATOS PAC_SGA'!AV222)</f>
        <v>Regadio</v>
      </c>
      <c r="F227" s="1411" t="n">
        <f aca="false">'V_DATOS PAC_SGA'!BK222</f>
        <v>0</v>
      </c>
      <c r="G227" s="1412" t="n">
        <f aca="false">'V_DATOS PAC_SGA'!AN222</f>
        <v>0</v>
      </c>
      <c r="H227" s="1413" t="str">
        <f aca="false">IF(B227&gt;0,VLOOKUP(B227,'O_MN, PE_UTA_UGM 2024'!E$3:O$419,10),"")</f>
        <v/>
      </c>
      <c r="I227" s="1359" t="n">
        <f aca="false">'V_DATOS PAC_SGA'!BV222</f>
        <v>0</v>
      </c>
      <c r="J227" s="2" t="str">
        <f aca="false">IF(AND(J$4=$G227,J$6=$F227),$D227*J$5,"")</f>
        <v/>
      </c>
      <c r="K227" s="2" t="str">
        <f aca="false">IF(AND(K$4=$G227,K$6=$F227),$D227*K$5,"")</f>
        <v/>
      </c>
      <c r="L227" s="2" t="str">
        <f aca="false">IF(AND(L$4=$G227,L$6=$F227),$D227*L$5,"")</f>
        <v/>
      </c>
      <c r="M227" s="2" t="str">
        <f aca="false">IF(AND(M$4=$G227,M$6=$F227),$D227*M$5,"")</f>
        <v/>
      </c>
      <c r="N227" s="1414" t="n">
        <f aca="false">VLOOKUP(B227,'O_MN, PE_UTA_UGM 2024'!$E$2:$K$419,IF(G227&gt;1,6,7))</f>
        <v>0</v>
      </c>
      <c r="O227" s="1434" t="str">
        <f aca="false">IF($H227=O$4,$D227*$N227,"")</f>
        <v/>
      </c>
      <c r="P227" s="1435" t="str">
        <f aca="false">IF($H227=P$4,$D227*$N227,"")</f>
        <v/>
      </c>
      <c r="Q227" s="1435" t="str">
        <f aca="false">IF($H227=Q$4,$D227*$N227,"")</f>
        <v/>
      </c>
      <c r="R227" s="1435" t="str">
        <f aca="false">IF($H227=R$4,$D227*$N227,"")</f>
        <v/>
      </c>
      <c r="S227" s="1435" t="str">
        <f aca="false">IF($H227=S$4,$D227*$N227,"")</f>
        <v/>
      </c>
      <c r="T227" s="1435" t="str">
        <f aca="false">IF($H227=T$4,$D227*$N227,"")</f>
        <v/>
      </c>
      <c r="U227" s="1436" t="str">
        <f aca="false">IF($H227=U$4,$D227*$N227,"")</f>
        <v/>
      </c>
      <c r="V227" s="1418"/>
      <c r="W227" s="1419"/>
      <c r="X227" s="1419"/>
      <c r="Y227" s="1419"/>
      <c r="Z227" s="1419"/>
      <c r="AA227" s="1419"/>
      <c r="AB227" s="1420"/>
      <c r="AC227" s="1319"/>
      <c r="AD227" s="2" t="str">
        <f aca="false">IF(AND(AD$4=$G227,AD$6=$F227),$B227,"")</f>
        <v/>
      </c>
      <c r="AE227" s="2" t="str">
        <f aca="false">IF(AND(AE$4=$G227,AE$6=$F227),$B227,"")</f>
        <v/>
      </c>
      <c r="AF227" s="2" t="str">
        <f aca="false">IF(AND(AF$4=$G227,AF$6=$F227),$B227,"")</f>
        <v/>
      </c>
      <c r="AG227" s="2" t="str">
        <f aca="false">IF(AND(AG$4=$G227,AG$6=$F227),$B227,"")</f>
        <v/>
      </c>
      <c r="AI227" s="366"/>
      <c r="AL227" s="367"/>
      <c r="AO227" s="367"/>
      <c r="AP227" s="2" t="str">
        <f aca="false">IF(AT227&gt;0,RANK(AT227,AT$7:AT$423),"")</f>
        <v/>
      </c>
      <c r="AQ227" s="2" t="n">
        <f aca="false">'O_MN, PE_UTA_UGM 2024'!C223</f>
        <v>215</v>
      </c>
      <c r="AR227" s="1421" t="n">
        <v>2130</v>
      </c>
      <c r="AS227" s="2" t="str">
        <f aca="false">IF(AY227&lt;&gt;"",AY227,"")</f>
        <v/>
      </c>
      <c r="AT227" s="1422" t="n">
        <f aca="false">IF(ISNUMBER($AR227),SUMIF(B$7:B$505,AR227,D$7:D$505),"")</f>
        <v>0</v>
      </c>
      <c r="AU227" s="1411" t="n">
        <f aca="false">IF(ISNUMBER($AR227),SUMIF(AD$7:AD$503,$AR227,J$7:J$503),"")</f>
        <v>0</v>
      </c>
      <c r="AV227" s="1411" t="n">
        <f aca="false">IF(ISNUMBER($AR227),SUMIF(AF$7:AF$503,$AR227,L$7:L$503),"")</f>
        <v>0</v>
      </c>
      <c r="AW227" s="1423" t="n">
        <f aca="false">IF(ISNUMBER($AR227),SUMIF(AE$7:AE$503,$AR227,K$7:K$503),"")</f>
        <v>0</v>
      </c>
      <c r="AX227" s="1423" t="n">
        <f aca="false">IF(ISNUMBER($AR227),SUMIF(AG$7:AG$503,$AR227,M$7:M$503),"")</f>
        <v>0</v>
      </c>
      <c r="AY227" s="2" t="str">
        <f aca="false">IF($AT227&gt;0,VLOOKUP($AR227,'O_MN, PE_UTA_UGM 2024'!E223:O639,2),"")</f>
        <v/>
      </c>
      <c r="AZ227" s="1424"/>
      <c r="BA227" s="1424"/>
      <c r="BB227" s="1424" t="str">
        <f aca="false">IF($AT227&gt;0,VLOOKUP($AR227,'O_MN, PE_UTA_UGM 2024'!$E$3:$O$419,BB$6),"")</f>
        <v/>
      </c>
      <c r="BC227" s="1424" t="str">
        <f aca="false">IF($AT227&gt;0,VLOOKUP($AR227,'O_MN, PE_UTA_UGM 2024'!$E$3:$O$419,BC$6),"")</f>
        <v/>
      </c>
      <c r="BD227" s="1424" t="str">
        <f aca="false">IF($AT227&gt;0,VLOOKUP($AR227,'O_MN, PE_UTA_UGM 2024'!$E$3:$O$419,BD$6),"")</f>
        <v/>
      </c>
      <c r="BE227" s="1424" t="str">
        <f aca="false">IF($AT227&gt;0,VLOOKUP($AR227,'O_MN, PE_UTA_UGM 2024'!$E$3:$O$419,BE$6),"")</f>
        <v/>
      </c>
      <c r="BF227" s="1424" t="str">
        <f aca="false">IF($AT227&gt;0,VLOOKUP($AR227,'O_MN, PE_UTA_UGM 2024'!$E$3:$O$419,BF$6),"")</f>
        <v/>
      </c>
      <c r="BG227" s="1424" t="str">
        <f aca="false">IF($AT227&gt;0,VLOOKUP($AR227,'O_MN, PE_UTA_UGM 2024'!$E$3:$O$419,BG$6),"")</f>
        <v/>
      </c>
      <c r="BH227" s="872"/>
      <c r="BI227" s="872"/>
      <c r="BJ227" s="872"/>
      <c r="BK227" s="872"/>
      <c r="BM227" s="1411"/>
      <c r="BN227" s="1411"/>
      <c r="BO227" s="1425" t="str">
        <f aca="false">IF(ISNUMBER($AU227*BB227*1),$AU227*BB227*1,"")</f>
        <v/>
      </c>
      <c r="BP227" s="1425" t="str">
        <f aca="false">IF(ISNUMBER($AV227*BC227*1),$AV227*BC227*1,"")</f>
        <v/>
      </c>
      <c r="BQ227" s="1425" t="str">
        <f aca="false">IF(ISNUMBER($AU227*BD227*1),$AU227*BD227*1,"")</f>
        <v/>
      </c>
      <c r="BR227" s="1425" t="str">
        <f aca="false">IF(ISNUMBER($AV227*BE227*1),$AV227*BE227*1,"")</f>
        <v/>
      </c>
      <c r="BS227" s="1411" t="str">
        <f aca="false">IF(ISNUMBER($AU227*BF227),$AU227*BF227,"")</f>
        <v/>
      </c>
      <c r="BT227" s="1411" t="str">
        <f aca="false">IF(ISNUMBER($AV227*BG227),$AV227*BG227,"")</f>
        <v/>
      </c>
      <c r="BU227" s="1411"/>
      <c r="BV227" s="1411"/>
      <c r="BW227" s="1411"/>
      <c r="BX227" s="1411"/>
      <c r="BZ227" s="1372"/>
      <c r="CA227" s="1372"/>
      <c r="CB227" s="1426" t="str">
        <f aca="false">IF(ISNUMBER($AW227*BB227),$AW227*BB227,"")</f>
        <v/>
      </c>
      <c r="CC227" s="1426" t="str">
        <f aca="false">IF(ISNUMBER($AX227*BC227),$AX227*BC227,"")</f>
        <v/>
      </c>
      <c r="CD227" s="1426" t="str">
        <f aca="false">IF(ISNUMBER($AW227*BD227),$AW227*BD227,"")</f>
        <v/>
      </c>
      <c r="CE227" s="1426" t="str">
        <f aca="false">IF(ISNUMBER($AX227*BE227),$AX227*BE227,"")</f>
        <v/>
      </c>
      <c r="CF227" s="1372" t="str">
        <f aca="false">IF(ISNUMBER($AW227*BF227),$AW227*BF227,"")</f>
        <v/>
      </c>
      <c r="CG227" s="1372" t="str">
        <f aca="false">IF(ISNUMBER($AX227*BG227),$AX227*BG227,"")</f>
        <v/>
      </c>
      <c r="CH227" s="1438"/>
      <c r="CI227" s="1438"/>
      <c r="CJ227" s="1438"/>
      <c r="CK227" s="1438"/>
      <c r="CU227" s="1411"/>
      <c r="CV227" s="1411"/>
      <c r="CW227" s="1425"/>
      <c r="CX227" s="1425"/>
      <c r="CY227" s="1425"/>
      <c r="CZ227" s="1425"/>
      <c r="DA227" s="1411"/>
      <c r="DB227" s="1411"/>
      <c r="DC227" s="1411"/>
      <c r="DD227" s="1411"/>
      <c r="DE227" s="1411"/>
      <c r="DF227" s="1411"/>
      <c r="DH227" s="1432"/>
      <c r="DI227" s="1432"/>
      <c r="DJ227" s="1437"/>
      <c r="DK227" s="1437"/>
      <c r="DL227" s="1437"/>
      <c r="DM227" s="1437"/>
      <c r="DN227" s="1432"/>
      <c r="DO227" s="1432"/>
      <c r="DP227" s="1432"/>
      <c r="DQ227" s="1432"/>
      <c r="DR227" s="1432"/>
      <c r="DS227" s="1432"/>
      <c r="DT227" s="1316"/>
      <c r="DU227" s="1433"/>
      <c r="DV227" s="1433"/>
      <c r="DW227" s="1433"/>
      <c r="DX227" s="1433"/>
      <c r="DY227" s="1433"/>
      <c r="DZ227" s="1433"/>
      <c r="EA227" s="1433"/>
      <c r="EB227" s="1433"/>
    </row>
    <row r="228" customFormat="false" ht="14.25" hidden="false" customHeight="false" outlineLevel="0" collapsed="false">
      <c r="A228" s="2" t="n">
        <f aca="false">'V_DATOS PAC_SGA'!R223</f>
        <v>0</v>
      </c>
      <c r="B228" s="2" t="n">
        <f aca="false">IF(I228="IV",CONCATENATE('V_DATOS PAC_SGA'!R223,"4")+0,CONCATENATE('V_DATOS PAC_SGA'!R223,"0")+0)</f>
        <v>0</v>
      </c>
      <c r="C228" s="2" t="n">
        <f aca="false">'V_DATOS PAC_SGA'!S223</f>
        <v>0</v>
      </c>
      <c r="D228" s="1409" t="n">
        <f aca="false">'V_DATOS PAC_SGA'!Y223</f>
        <v>0</v>
      </c>
      <c r="E228" s="1410" t="str">
        <f aca="false">IF('V_DATOS PAC_SGA'!AV223="","Regadio",'V_DATOS PAC_SGA'!AV223)</f>
        <v>Regadio</v>
      </c>
      <c r="F228" s="1411" t="n">
        <f aca="false">'V_DATOS PAC_SGA'!BK223</f>
        <v>0</v>
      </c>
      <c r="G228" s="1412" t="n">
        <f aca="false">'V_DATOS PAC_SGA'!AN223</f>
        <v>0</v>
      </c>
      <c r="H228" s="1413" t="str">
        <f aca="false">IF(B228&gt;0,VLOOKUP(B228,'O_MN, PE_UTA_UGM 2024'!E$3:O$419,10),"")</f>
        <v/>
      </c>
      <c r="I228" s="1359" t="n">
        <f aca="false">'V_DATOS PAC_SGA'!BV223</f>
        <v>0</v>
      </c>
      <c r="J228" s="2" t="str">
        <f aca="false">IF(AND(J$4=$G228,J$6=$F228),$D228*J$5,"")</f>
        <v/>
      </c>
      <c r="K228" s="2" t="str">
        <f aca="false">IF(AND(K$4=$G228,K$6=$F228),$D228*K$5,"")</f>
        <v/>
      </c>
      <c r="L228" s="2" t="str">
        <f aca="false">IF(AND(L$4=$G228,L$6=$F228),$D228*L$5,"")</f>
        <v/>
      </c>
      <c r="M228" s="2" t="str">
        <f aca="false">IF(AND(M$4=$G228,M$6=$F228),$D228*M$5,"")</f>
        <v/>
      </c>
      <c r="N228" s="1414" t="n">
        <f aca="false">VLOOKUP(B228,'O_MN, PE_UTA_UGM 2024'!$E$2:$K$419,IF(G228&gt;1,6,7))</f>
        <v>0</v>
      </c>
      <c r="O228" s="1434" t="str">
        <f aca="false">IF($H228=O$4,$D228*$N228,"")</f>
        <v/>
      </c>
      <c r="P228" s="1435" t="str">
        <f aca="false">IF($H228=P$4,$D228*$N228,"")</f>
        <v/>
      </c>
      <c r="Q228" s="1435" t="str">
        <f aca="false">IF($H228=Q$4,$D228*$N228,"")</f>
        <v/>
      </c>
      <c r="R228" s="1435" t="str">
        <f aca="false">IF($H228=R$4,$D228*$N228,"")</f>
        <v/>
      </c>
      <c r="S228" s="1435" t="str">
        <f aca="false">IF($H228=S$4,$D228*$N228,"")</f>
        <v/>
      </c>
      <c r="T228" s="1435" t="str">
        <f aca="false">IF($H228=T$4,$D228*$N228,"")</f>
        <v/>
      </c>
      <c r="U228" s="1436" t="str">
        <f aca="false">IF($H228=U$4,$D228*$N228,"")</f>
        <v/>
      </c>
      <c r="V228" s="1418"/>
      <c r="W228" s="1419"/>
      <c r="X228" s="1419"/>
      <c r="Y228" s="1419"/>
      <c r="Z228" s="1419"/>
      <c r="AA228" s="1419"/>
      <c r="AB228" s="1420"/>
      <c r="AC228" s="1319"/>
      <c r="AD228" s="2" t="str">
        <f aca="false">IF(AND(AD$4=$G228,AD$6=$F228),$B228,"")</f>
        <v/>
      </c>
      <c r="AE228" s="2" t="str">
        <f aca="false">IF(AND(AE$4=$G228,AE$6=$F228),$B228,"")</f>
        <v/>
      </c>
      <c r="AF228" s="2" t="str">
        <f aca="false">IF(AND(AF$4=$G228,AF$6=$F228),$B228,"")</f>
        <v/>
      </c>
      <c r="AG228" s="2" t="str">
        <f aca="false">IF(AND(AG$4=$G228,AG$6=$F228),$B228,"")</f>
        <v/>
      </c>
      <c r="AI228" s="366"/>
      <c r="AL228" s="367"/>
      <c r="AO228" s="367"/>
      <c r="AP228" s="2" t="str">
        <f aca="false">IF(AT228&gt;0,RANK(AT228,AT$7:AT$423),"")</f>
        <v/>
      </c>
      <c r="AQ228" s="2" t="n">
        <f aca="false">'O_MN, PE_UTA_UGM 2024'!C224</f>
        <v>216</v>
      </c>
      <c r="AR228" s="1421" t="n">
        <v>2140</v>
      </c>
      <c r="AS228" s="2" t="str">
        <f aca="false">IF(AY228&lt;&gt;"",AY228,"")</f>
        <v/>
      </c>
      <c r="AT228" s="1422" t="n">
        <f aca="false">IF(ISNUMBER($AR228),SUMIF(B$7:B$505,AR228,D$7:D$505),"")</f>
        <v>0</v>
      </c>
      <c r="AU228" s="1411" t="n">
        <f aca="false">IF(ISNUMBER($AR228),SUMIF(AD$7:AD$503,$AR228,J$7:J$503),"")</f>
        <v>0</v>
      </c>
      <c r="AV228" s="1411" t="n">
        <f aca="false">IF(ISNUMBER($AR228),SUMIF(AF$7:AF$503,$AR228,L$7:L$503),"")</f>
        <v>0</v>
      </c>
      <c r="AW228" s="1423" t="n">
        <f aca="false">IF(ISNUMBER($AR228),SUMIF(AE$7:AE$503,$AR228,K$7:K$503),"")</f>
        <v>0</v>
      </c>
      <c r="AX228" s="1423" t="n">
        <f aca="false">IF(ISNUMBER($AR228),SUMIF(AG$7:AG$503,$AR228,M$7:M$503),"")</f>
        <v>0</v>
      </c>
      <c r="AY228" s="2" t="str">
        <f aca="false">IF($AT228&gt;0,VLOOKUP($AR228,'O_MN, PE_UTA_UGM 2024'!E224:O640,2),"")</f>
        <v/>
      </c>
      <c r="AZ228" s="1424"/>
      <c r="BA228" s="1424"/>
      <c r="BB228" s="1424" t="str">
        <f aca="false">IF($AT228&gt;0,VLOOKUP($AR228,'O_MN, PE_UTA_UGM 2024'!$E$3:$O$419,BB$6),"")</f>
        <v/>
      </c>
      <c r="BC228" s="1424" t="str">
        <f aca="false">IF($AT228&gt;0,VLOOKUP($AR228,'O_MN, PE_UTA_UGM 2024'!$E$3:$O$419,BC$6),"")</f>
        <v/>
      </c>
      <c r="BD228" s="1424" t="str">
        <f aca="false">IF($AT228&gt;0,VLOOKUP($AR228,'O_MN, PE_UTA_UGM 2024'!$E$3:$O$419,BD$6),"")</f>
        <v/>
      </c>
      <c r="BE228" s="1424" t="str">
        <f aca="false">IF($AT228&gt;0,VLOOKUP($AR228,'O_MN, PE_UTA_UGM 2024'!$E$3:$O$419,BE$6),"")</f>
        <v/>
      </c>
      <c r="BF228" s="1424" t="str">
        <f aca="false">IF($AT228&gt;0,VLOOKUP($AR228,'O_MN, PE_UTA_UGM 2024'!$E$3:$O$419,BF$6),"")</f>
        <v/>
      </c>
      <c r="BG228" s="1424" t="str">
        <f aca="false">IF($AT228&gt;0,VLOOKUP($AR228,'O_MN, PE_UTA_UGM 2024'!$E$3:$O$419,BG$6),"")</f>
        <v/>
      </c>
      <c r="BH228" s="872"/>
      <c r="BI228" s="872"/>
      <c r="BJ228" s="872"/>
      <c r="BK228" s="872"/>
      <c r="BM228" s="1411"/>
      <c r="BN228" s="1411"/>
      <c r="BO228" s="1425" t="str">
        <f aca="false">IF(ISNUMBER($AU228*BB228*1),$AU228*BB228*1,"")</f>
        <v/>
      </c>
      <c r="BP228" s="1425" t="str">
        <f aca="false">IF(ISNUMBER($AV228*BC228*1),$AV228*BC228*1,"")</f>
        <v/>
      </c>
      <c r="BQ228" s="1425" t="str">
        <f aca="false">IF(ISNUMBER($AU228*BD228*1),$AU228*BD228*1,"")</f>
        <v/>
      </c>
      <c r="BR228" s="1425" t="str">
        <f aca="false">IF(ISNUMBER($AV228*BE228*1),$AV228*BE228*1,"")</f>
        <v/>
      </c>
      <c r="BS228" s="1411" t="str">
        <f aca="false">IF(ISNUMBER($AU228*BF228),$AU228*BF228,"")</f>
        <v/>
      </c>
      <c r="BT228" s="1411" t="str">
        <f aca="false">IF(ISNUMBER($AV228*BG228),$AV228*BG228,"")</f>
        <v/>
      </c>
      <c r="BU228" s="1411"/>
      <c r="BV228" s="1411"/>
      <c r="BW228" s="1411"/>
      <c r="BX228" s="1411"/>
      <c r="BZ228" s="1372"/>
      <c r="CA228" s="1372"/>
      <c r="CB228" s="1426" t="str">
        <f aca="false">IF(ISNUMBER($AW228*BB228),$AW228*BB228,"")</f>
        <v/>
      </c>
      <c r="CC228" s="1426" t="str">
        <f aca="false">IF(ISNUMBER($AX228*BC228),$AX228*BC228,"")</f>
        <v/>
      </c>
      <c r="CD228" s="1426" t="str">
        <f aca="false">IF(ISNUMBER($AW228*BD228),$AW228*BD228,"")</f>
        <v/>
      </c>
      <c r="CE228" s="1426" t="str">
        <f aca="false">IF(ISNUMBER($AX228*BE228),$AX228*BE228,"")</f>
        <v/>
      </c>
      <c r="CF228" s="1372" t="str">
        <f aca="false">IF(ISNUMBER($AW228*BF228),$AW228*BF228,"")</f>
        <v/>
      </c>
      <c r="CG228" s="1372" t="str">
        <f aca="false">IF(ISNUMBER($AX228*BG228),$AX228*BG228,"")</f>
        <v/>
      </c>
      <c r="CH228" s="1438"/>
      <c r="CI228" s="1438"/>
      <c r="CJ228" s="1438"/>
      <c r="CK228" s="1438"/>
      <c r="CU228" s="1411"/>
      <c r="CV228" s="1411"/>
      <c r="CW228" s="1425"/>
      <c r="CX228" s="1425"/>
      <c r="CY228" s="1425"/>
      <c r="CZ228" s="1425"/>
      <c r="DA228" s="1411"/>
      <c r="DB228" s="1411"/>
      <c r="DC228" s="1411"/>
      <c r="DD228" s="1411"/>
      <c r="DE228" s="1411"/>
      <c r="DF228" s="1411"/>
      <c r="DH228" s="1432"/>
      <c r="DI228" s="1432"/>
      <c r="DJ228" s="1437"/>
      <c r="DK228" s="1437"/>
      <c r="DL228" s="1437"/>
      <c r="DM228" s="1437"/>
      <c r="DN228" s="1432"/>
      <c r="DO228" s="1432"/>
      <c r="DP228" s="1432"/>
      <c r="DQ228" s="1432"/>
      <c r="DR228" s="1432"/>
      <c r="DS228" s="1432"/>
      <c r="DT228" s="1316"/>
      <c r="DU228" s="1433"/>
      <c r="DV228" s="1433"/>
      <c r="DW228" s="1433"/>
      <c r="DX228" s="1433"/>
      <c r="DY228" s="1433"/>
      <c r="DZ228" s="1433"/>
      <c r="EA228" s="1433"/>
      <c r="EB228" s="1433"/>
    </row>
    <row r="229" customFormat="false" ht="14.25" hidden="false" customHeight="false" outlineLevel="0" collapsed="false">
      <c r="A229" s="2" t="n">
        <f aca="false">'V_DATOS PAC_SGA'!R224</f>
        <v>0</v>
      </c>
      <c r="B229" s="2" t="n">
        <f aca="false">IF(I229="IV",CONCATENATE('V_DATOS PAC_SGA'!R224,"4")+0,CONCATENATE('V_DATOS PAC_SGA'!R224,"0")+0)</f>
        <v>0</v>
      </c>
      <c r="C229" s="2" t="n">
        <f aca="false">'V_DATOS PAC_SGA'!S224</f>
        <v>0</v>
      </c>
      <c r="D229" s="1409" t="n">
        <f aca="false">'V_DATOS PAC_SGA'!Y224</f>
        <v>0</v>
      </c>
      <c r="E229" s="1410" t="str">
        <f aca="false">IF('V_DATOS PAC_SGA'!AV224="","Regadio",'V_DATOS PAC_SGA'!AV224)</f>
        <v>Regadio</v>
      </c>
      <c r="F229" s="1411" t="n">
        <f aca="false">'V_DATOS PAC_SGA'!BK224</f>
        <v>0</v>
      </c>
      <c r="G229" s="1412" t="n">
        <f aca="false">'V_DATOS PAC_SGA'!AN224</f>
        <v>0</v>
      </c>
      <c r="H229" s="1413" t="str">
        <f aca="false">IF(B229&gt;0,VLOOKUP(B229,'O_MN, PE_UTA_UGM 2024'!E$3:O$419,10),"")</f>
        <v/>
      </c>
      <c r="I229" s="1359" t="n">
        <f aca="false">'V_DATOS PAC_SGA'!BV224</f>
        <v>0</v>
      </c>
      <c r="J229" s="2" t="str">
        <f aca="false">IF(AND(J$4=$G229,J$6=$F229),$D229*J$5,"")</f>
        <v/>
      </c>
      <c r="K229" s="2" t="str">
        <f aca="false">IF(AND(K$4=$G229,K$6=$F229),$D229*K$5,"")</f>
        <v/>
      </c>
      <c r="L229" s="2" t="str">
        <f aca="false">IF(AND(L$4=$G229,L$6=$F229),$D229*L$5,"")</f>
        <v/>
      </c>
      <c r="M229" s="2" t="str">
        <f aca="false">IF(AND(M$4=$G229,M$6=$F229),$D229*M$5,"")</f>
        <v/>
      </c>
      <c r="N229" s="1414" t="n">
        <f aca="false">VLOOKUP(B229,'O_MN, PE_UTA_UGM 2024'!$E$2:$K$419,IF(G229&gt;1,6,7))</f>
        <v>0</v>
      </c>
      <c r="O229" s="1434" t="str">
        <f aca="false">IF($H229=O$4,$D229*$N229,"")</f>
        <v/>
      </c>
      <c r="P229" s="1435" t="str">
        <f aca="false">IF($H229=P$4,$D229*$N229,"")</f>
        <v/>
      </c>
      <c r="Q229" s="1435" t="str">
        <f aca="false">IF($H229=Q$4,$D229*$N229,"")</f>
        <v/>
      </c>
      <c r="R229" s="1435" t="str">
        <f aca="false">IF($H229=R$4,$D229*$N229,"")</f>
        <v/>
      </c>
      <c r="S229" s="1435" t="str">
        <f aca="false">IF($H229=S$4,$D229*$N229,"")</f>
        <v/>
      </c>
      <c r="T229" s="1435" t="str">
        <f aca="false">IF($H229=T$4,$D229*$N229,"")</f>
        <v/>
      </c>
      <c r="U229" s="1436" t="str">
        <f aca="false">IF($H229=U$4,$D229*$N229,"")</f>
        <v/>
      </c>
      <c r="V229" s="1418"/>
      <c r="W229" s="1419"/>
      <c r="X229" s="1419"/>
      <c r="Y229" s="1419"/>
      <c r="Z229" s="1419"/>
      <c r="AA229" s="1419"/>
      <c r="AB229" s="1420"/>
      <c r="AC229" s="1319"/>
      <c r="AD229" s="2" t="str">
        <f aca="false">IF(AND(AD$4=$G229,AD$6=$F229),$B229,"")</f>
        <v/>
      </c>
      <c r="AE229" s="2" t="str">
        <f aca="false">IF(AND(AE$4=$G229,AE$6=$F229),$B229,"")</f>
        <v/>
      </c>
      <c r="AF229" s="2" t="str">
        <f aca="false">IF(AND(AF$4=$G229,AF$6=$F229),$B229,"")</f>
        <v/>
      </c>
      <c r="AG229" s="2" t="str">
        <f aca="false">IF(AND(AG$4=$G229,AG$6=$F229),$B229,"")</f>
        <v/>
      </c>
      <c r="AI229" s="366"/>
      <c r="AL229" s="367"/>
      <c r="AO229" s="367"/>
      <c r="AP229" s="2" t="str">
        <f aca="false">IF(AT229&gt;0,RANK(AT229,AT$7:AT$423),"")</f>
        <v/>
      </c>
      <c r="AQ229" s="2" t="n">
        <f aca="false">'O_MN, PE_UTA_UGM 2024'!C225</f>
        <v>216</v>
      </c>
      <c r="AR229" s="1421" t="n">
        <v>2150</v>
      </c>
      <c r="AS229" s="2" t="str">
        <f aca="false">IF(AY229&lt;&gt;"",AY229,"")</f>
        <v/>
      </c>
      <c r="AT229" s="1422" t="n">
        <f aca="false">IF(ISNUMBER($AR229),SUMIF(B$7:B$505,AR229,D$7:D$505),"")</f>
        <v>0</v>
      </c>
      <c r="AU229" s="1411" t="n">
        <f aca="false">IF(ISNUMBER($AR229),SUMIF(AD$7:AD$503,$AR229,J$7:J$503),"")</f>
        <v>0</v>
      </c>
      <c r="AV229" s="1411" t="n">
        <f aca="false">IF(ISNUMBER($AR229),SUMIF(AF$7:AF$503,$AR229,L$7:L$503),"")</f>
        <v>0</v>
      </c>
      <c r="AW229" s="1423" t="n">
        <f aca="false">IF(ISNUMBER($AR229),SUMIF(AE$7:AE$503,$AR229,K$7:K$503),"")</f>
        <v>0</v>
      </c>
      <c r="AX229" s="1423" t="n">
        <f aca="false">IF(ISNUMBER($AR229),SUMIF(AG$7:AG$503,$AR229,M$7:M$503),"")</f>
        <v>0</v>
      </c>
      <c r="AY229" s="2" t="str">
        <f aca="false">IF($AT229&gt;0,VLOOKUP($AR229,'O_MN, PE_UTA_UGM 2024'!E225:O641,2),"")</f>
        <v/>
      </c>
      <c r="AZ229" s="1424"/>
      <c r="BA229" s="1424"/>
      <c r="BB229" s="1424" t="str">
        <f aca="false">IF($AT229&gt;0,VLOOKUP($AR229,'O_MN, PE_UTA_UGM 2024'!$E$3:$O$419,BB$6),"")</f>
        <v/>
      </c>
      <c r="BC229" s="1424" t="str">
        <f aca="false">IF($AT229&gt;0,VLOOKUP($AR229,'O_MN, PE_UTA_UGM 2024'!$E$3:$O$419,BC$6),"")</f>
        <v/>
      </c>
      <c r="BD229" s="1424" t="str">
        <f aca="false">IF($AT229&gt;0,VLOOKUP($AR229,'O_MN, PE_UTA_UGM 2024'!$E$3:$O$419,BD$6),"")</f>
        <v/>
      </c>
      <c r="BE229" s="1424" t="str">
        <f aca="false">IF($AT229&gt;0,VLOOKUP($AR229,'O_MN, PE_UTA_UGM 2024'!$E$3:$O$419,BE$6),"")</f>
        <v/>
      </c>
      <c r="BF229" s="1424" t="str">
        <f aca="false">IF($AT229&gt;0,VLOOKUP($AR229,'O_MN, PE_UTA_UGM 2024'!$E$3:$O$419,BF$6),"")</f>
        <v/>
      </c>
      <c r="BG229" s="1424" t="str">
        <f aca="false">IF($AT229&gt;0,VLOOKUP($AR229,'O_MN, PE_UTA_UGM 2024'!$E$3:$O$419,BG$6),"")</f>
        <v/>
      </c>
      <c r="BH229" s="872"/>
      <c r="BI229" s="872"/>
      <c r="BJ229" s="872"/>
      <c r="BK229" s="872"/>
      <c r="BM229" s="1411"/>
      <c r="BN229" s="1411"/>
      <c r="BO229" s="1425" t="str">
        <f aca="false">IF(ISNUMBER($AU229*BB229*1),$AU229*BB229*1,"")</f>
        <v/>
      </c>
      <c r="BP229" s="1425" t="str">
        <f aca="false">IF(ISNUMBER($AV229*BC229*1),$AV229*BC229*1,"")</f>
        <v/>
      </c>
      <c r="BQ229" s="1425" t="str">
        <f aca="false">IF(ISNUMBER($AU229*BD229*1),$AU229*BD229*1,"")</f>
        <v/>
      </c>
      <c r="BR229" s="1425" t="str">
        <f aca="false">IF(ISNUMBER($AV229*BE229*1),$AV229*BE229*1,"")</f>
        <v/>
      </c>
      <c r="BS229" s="1411" t="str">
        <f aca="false">IF(ISNUMBER($AU229*BF229),$AU229*BF229,"")</f>
        <v/>
      </c>
      <c r="BT229" s="1411" t="str">
        <f aca="false">IF(ISNUMBER($AV229*BG229),$AV229*BG229,"")</f>
        <v/>
      </c>
      <c r="BU229" s="1411"/>
      <c r="BV229" s="1411"/>
      <c r="BW229" s="1411"/>
      <c r="BX229" s="1411"/>
      <c r="BZ229" s="1372"/>
      <c r="CA229" s="1372"/>
      <c r="CB229" s="1426" t="str">
        <f aca="false">IF(ISNUMBER($AW229*BB229),$AW229*BB229,"")</f>
        <v/>
      </c>
      <c r="CC229" s="1426" t="str">
        <f aca="false">IF(ISNUMBER($AX229*BC229),$AX229*BC229,"")</f>
        <v/>
      </c>
      <c r="CD229" s="1426" t="str">
        <f aca="false">IF(ISNUMBER($AW229*BD229),$AW229*BD229,"")</f>
        <v/>
      </c>
      <c r="CE229" s="1426" t="str">
        <f aca="false">IF(ISNUMBER($AX229*BE229),$AX229*BE229,"")</f>
        <v/>
      </c>
      <c r="CF229" s="1372" t="str">
        <f aca="false">IF(ISNUMBER($AW229*BF229),$AW229*BF229,"")</f>
        <v/>
      </c>
      <c r="CG229" s="1372" t="str">
        <f aca="false">IF(ISNUMBER($AX229*BG229),$AX229*BG229,"")</f>
        <v/>
      </c>
      <c r="CH229" s="1438"/>
      <c r="CI229" s="1438"/>
      <c r="CJ229" s="1438"/>
      <c r="CK229" s="1438"/>
      <c r="CU229" s="1411"/>
      <c r="CV229" s="1411"/>
      <c r="CW229" s="1425"/>
      <c r="CX229" s="1425"/>
      <c r="CY229" s="1425"/>
      <c r="CZ229" s="1425"/>
      <c r="DA229" s="1411"/>
      <c r="DB229" s="1411"/>
      <c r="DC229" s="1411"/>
      <c r="DD229" s="1411"/>
      <c r="DE229" s="1411"/>
      <c r="DF229" s="1411"/>
      <c r="DH229" s="1432"/>
      <c r="DI229" s="1432"/>
      <c r="DJ229" s="1437"/>
      <c r="DK229" s="1437"/>
      <c r="DL229" s="1437"/>
      <c r="DM229" s="1437"/>
      <c r="DN229" s="1432"/>
      <c r="DO229" s="1432"/>
      <c r="DP229" s="1432"/>
      <c r="DQ229" s="1432"/>
      <c r="DR229" s="1432"/>
      <c r="DS229" s="1432"/>
      <c r="DT229" s="1316"/>
      <c r="DU229" s="1433"/>
      <c r="DV229" s="1433"/>
      <c r="DW229" s="1433"/>
      <c r="DX229" s="1433"/>
      <c r="DY229" s="1433"/>
      <c r="DZ229" s="1433"/>
      <c r="EA229" s="1433"/>
      <c r="EB229" s="1433"/>
    </row>
    <row r="230" customFormat="false" ht="14.25" hidden="false" customHeight="false" outlineLevel="0" collapsed="false">
      <c r="A230" s="2" t="n">
        <f aca="false">'V_DATOS PAC_SGA'!R225</f>
        <v>0</v>
      </c>
      <c r="B230" s="2" t="n">
        <f aca="false">IF(I230="IV",CONCATENATE('V_DATOS PAC_SGA'!R225,"4")+0,CONCATENATE('V_DATOS PAC_SGA'!R225,"0")+0)</f>
        <v>0</v>
      </c>
      <c r="C230" s="2" t="n">
        <f aca="false">'V_DATOS PAC_SGA'!S225</f>
        <v>0</v>
      </c>
      <c r="D230" s="1409" t="n">
        <f aca="false">'V_DATOS PAC_SGA'!Y225</f>
        <v>0</v>
      </c>
      <c r="E230" s="1410" t="str">
        <f aca="false">IF('V_DATOS PAC_SGA'!AV225="","Regadio",'V_DATOS PAC_SGA'!AV225)</f>
        <v>Regadio</v>
      </c>
      <c r="F230" s="1411" t="n">
        <f aca="false">'V_DATOS PAC_SGA'!BK225</f>
        <v>0</v>
      </c>
      <c r="G230" s="1412" t="n">
        <f aca="false">'V_DATOS PAC_SGA'!AN225</f>
        <v>0</v>
      </c>
      <c r="H230" s="1413" t="str">
        <f aca="false">IF(B230&gt;0,VLOOKUP(B230,'O_MN, PE_UTA_UGM 2024'!E$3:O$419,10),"")</f>
        <v/>
      </c>
      <c r="I230" s="1359" t="n">
        <f aca="false">'V_DATOS PAC_SGA'!BV225</f>
        <v>0</v>
      </c>
      <c r="J230" s="2" t="str">
        <f aca="false">IF(AND(J$4=$G230,J$6=$F230),$D230*J$5,"")</f>
        <v/>
      </c>
      <c r="K230" s="2" t="str">
        <f aca="false">IF(AND(K$4=$G230,K$6=$F230),$D230*K$5,"")</f>
        <v/>
      </c>
      <c r="L230" s="2" t="str">
        <f aca="false">IF(AND(L$4=$G230,L$6=$F230),$D230*L$5,"")</f>
        <v/>
      </c>
      <c r="M230" s="2" t="str">
        <f aca="false">IF(AND(M$4=$G230,M$6=$F230),$D230*M$5,"")</f>
        <v/>
      </c>
      <c r="N230" s="1414" t="n">
        <f aca="false">VLOOKUP(B230,'O_MN, PE_UTA_UGM 2024'!$E$2:$K$419,IF(G230&gt;1,6,7))</f>
        <v>0</v>
      </c>
      <c r="O230" s="1434" t="str">
        <f aca="false">IF($H230=O$4,$D230*$N230,"")</f>
        <v/>
      </c>
      <c r="P230" s="1435" t="str">
        <f aca="false">IF($H230=P$4,$D230*$N230,"")</f>
        <v/>
      </c>
      <c r="Q230" s="1435" t="str">
        <f aca="false">IF($H230=Q$4,$D230*$N230,"")</f>
        <v/>
      </c>
      <c r="R230" s="1435" t="str">
        <f aca="false">IF($H230=R$4,$D230*$N230,"")</f>
        <v/>
      </c>
      <c r="S230" s="1435" t="str">
        <f aca="false">IF($H230=S$4,$D230*$N230,"")</f>
        <v/>
      </c>
      <c r="T230" s="1435" t="str">
        <f aca="false">IF($H230=T$4,$D230*$N230,"")</f>
        <v/>
      </c>
      <c r="U230" s="1436" t="str">
        <f aca="false">IF($H230=U$4,$D230*$N230,"")</f>
        <v/>
      </c>
      <c r="V230" s="1418"/>
      <c r="W230" s="1419"/>
      <c r="X230" s="1419"/>
      <c r="Y230" s="1419"/>
      <c r="Z230" s="1419"/>
      <c r="AA230" s="1419"/>
      <c r="AB230" s="1420"/>
      <c r="AC230" s="1319"/>
      <c r="AD230" s="2" t="str">
        <f aca="false">IF(AND(AD$4=$G230,AD$6=$F230),$B230,"")</f>
        <v/>
      </c>
      <c r="AE230" s="2" t="str">
        <f aca="false">IF(AND(AE$4=$G230,AE$6=$F230),$B230,"")</f>
        <v/>
      </c>
      <c r="AF230" s="2" t="str">
        <f aca="false">IF(AND(AF$4=$G230,AF$6=$F230),$B230,"")</f>
        <v/>
      </c>
      <c r="AG230" s="2" t="str">
        <f aca="false">IF(AND(AG$4=$G230,AG$6=$F230),$B230,"")</f>
        <v/>
      </c>
      <c r="AI230" s="366"/>
      <c r="AL230" s="367"/>
      <c r="AO230" s="367"/>
      <c r="AP230" s="2" t="str">
        <f aca="false">IF(AT230&gt;0,RANK(AT230,AT$7:AT$423),"")</f>
        <v/>
      </c>
      <c r="AQ230" s="2" t="n">
        <f aca="false">'O_MN, PE_UTA_UGM 2024'!C226</f>
        <v>216</v>
      </c>
      <c r="AR230" s="1421" t="n">
        <v>2154</v>
      </c>
      <c r="AS230" s="2" t="str">
        <f aca="false">IF(AY230&lt;&gt;"",AY230,"")</f>
        <v/>
      </c>
      <c r="AT230" s="1422" t="n">
        <f aca="false">IF(ISNUMBER($AR230),SUMIF(B$7:B$505,AR230,D$7:D$505),"")</f>
        <v>0</v>
      </c>
      <c r="AU230" s="1411" t="n">
        <f aca="false">IF(ISNUMBER($AR230),SUMIF(AD$7:AD$503,$AR230,J$7:J$503),"")</f>
        <v>0</v>
      </c>
      <c r="AV230" s="1411" t="n">
        <f aca="false">IF(ISNUMBER($AR230),SUMIF(AF$7:AF$503,$AR230,L$7:L$503),"")</f>
        <v>0</v>
      </c>
      <c r="AW230" s="1423" t="n">
        <f aca="false">IF(ISNUMBER($AR230),SUMIF(AE$7:AE$503,$AR230,K$7:K$503),"")</f>
        <v>0</v>
      </c>
      <c r="AX230" s="1423" t="n">
        <f aca="false">IF(ISNUMBER($AR230),SUMIF(AG$7:AG$503,$AR230,M$7:M$503),"")</f>
        <v>0</v>
      </c>
      <c r="AY230" s="2" t="str">
        <f aca="false">IF($AT230&gt;0,VLOOKUP($AR230,'O_MN, PE_UTA_UGM 2024'!E226:O642,2),"")</f>
        <v/>
      </c>
      <c r="AZ230" s="1424"/>
      <c r="BA230" s="1424"/>
      <c r="BB230" s="1424" t="str">
        <f aca="false">IF($AT230&gt;0,VLOOKUP($AR230,'O_MN, PE_UTA_UGM 2024'!$E$3:$O$419,BB$6),"")</f>
        <v/>
      </c>
      <c r="BC230" s="1424" t="str">
        <f aca="false">IF($AT230&gt;0,VLOOKUP($AR230,'O_MN, PE_UTA_UGM 2024'!$E$3:$O$419,BC$6),"")</f>
        <v/>
      </c>
      <c r="BD230" s="1424" t="str">
        <f aca="false">IF($AT230&gt;0,VLOOKUP($AR230,'O_MN, PE_UTA_UGM 2024'!$E$3:$O$419,BD$6),"")</f>
        <v/>
      </c>
      <c r="BE230" s="1424" t="str">
        <f aca="false">IF($AT230&gt;0,VLOOKUP($AR230,'O_MN, PE_UTA_UGM 2024'!$E$3:$O$419,BE$6),"")</f>
        <v/>
      </c>
      <c r="BF230" s="1424" t="str">
        <f aca="false">IF($AT230&gt;0,VLOOKUP($AR230,'O_MN, PE_UTA_UGM 2024'!$E$3:$O$419,BF$6),"")</f>
        <v/>
      </c>
      <c r="BG230" s="1424" t="str">
        <f aca="false">IF($AT230&gt;0,VLOOKUP($AR230,'O_MN, PE_UTA_UGM 2024'!$E$3:$O$419,BG$6),"")</f>
        <v/>
      </c>
      <c r="BH230" s="872"/>
      <c r="BI230" s="872"/>
      <c r="BJ230" s="872"/>
      <c r="BK230" s="872"/>
      <c r="BM230" s="1411"/>
      <c r="BN230" s="1411"/>
      <c r="BO230" s="1425" t="str">
        <f aca="false">IF(ISNUMBER($AU230*BB230*1),$AU230*BB230*1,"")</f>
        <v/>
      </c>
      <c r="BP230" s="1425" t="str">
        <f aca="false">IF(ISNUMBER($AV230*BC230*1),$AV230*BC230*1,"")</f>
        <v/>
      </c>
      <c r="BQ230" s="1425" t="str">
        <f aca="false">IF(ISNUMBER($AU230*BD230*1),$AU230*BD230*1,"")</f>
        <v/>
      </c>
      <c r="BR230" s="1425" t="str">
        <f aca="false">IF(ISNUMBER($AV230*BE230*1),$AV230*BE230*1,"")</f>
        <v/>
      </c>
      <c r="BS230" s="1411" t="str">
        <f aca="false">IF(ISNUMBER($AU230*BF230),$AU230*BF230,"")</f>
        <v/>
      </c>
      <c r="BT230" s="1411" t="str">
        <f aca="false">IF(ISNUMBER($AV230*BG230),$AV230*BG230,"")</f>
        <v/>
      </c>
      <c r="BU230" s="1411"/>
      <c r="BV230" s="1411"/>
      <c r="BW230" s="1411"/>
      <c r="BX230" s="1411"/>
      <c r="BZ230" s="1372"/>
      <c r="CA230" s="1372"/>
      <c r="CB230" s="1426" t="str">
        <f aca="false">IF(ISNUMBER($AW230*BB230),$AW230*BB230,"")</f>
        <v/>
      </c>
      <c r="CC230" s="1426" t="str">
        <f aca="false">IF(ISNUMBER($AX230*BC230),$AX230*BC230,"")</f>
        <v/>
      </c>
      <c r="CD230" s="1426" t="str">
        <f aca="false">IF(ISNUMBER($AW230*BD230),$AW230*BD230,"")</f>
        <v/>
      </c>
      <c r="CE230" s="1426" t="str">
        <f aca="false">IF(ISNUMBER($AX230*BE230),$AX230*BE230,"")</f>
        <v/>
      </c>
      <c r="CF230" s="1372" t="str">
        <f aca="false">IF(ISNUMBER($AW230*BF230),$AW230*BF230,"")</f>
        <v/>
      </c>
      <c r="CG230" s="1372" t="str">
        <f aca="false">IF(ISNUMBER($AX230*BG230),$AX230*BG230,"")</f>
        <v/>
      </c>
      <c r="CH230" s="1438"/>
      <c r="CI230" s="1438"/>
      <c r="CJ230" s="1438"/>
      <c r="CK230" s="1438"/>
      <c r="CU230" s="1411"/>
      <c r="CV230" s="1411"/>
      <c r="CW230" s="1425"/>
      <c r="CX230" s="1425"/>
      <c r="CY230" s="1425"/>
      <c r="CZ230" s="1425"/>
      <c r="DA230" s="1411"/>
      <c r="DB230" s="1411"/>
      <c r="DC230" s="1411"/>
      <c r="DD230" s="1411"/>
      <c r="DE230" s="1411"/>
      <c r="DF230" s="1411"/>
      <c r="DH230" s="1432"/>
      <c r="DI230" s="1432"/>
      <c r="DJ230" s="1437"/>
      <c r="DK230" s="1437"/>
      <c r="DL230" s="1437"/>
      <c r="DM230" s="1437"/>
      <c r="DN230" s="1432"/>
      <c r="DO230" s="1432"/>
      <c r="DP230" s="1432"/>
      <c r="DQ230" s="1432"/>
      <c r="DR230" s="1432"/>
      <c r="DS230" s="1432"/>
      <c r="DT230" s="1316"/>
      <c r="DU230" s="1433"/>
      <c r="DV230" s="1433"/>
      <c r="DW230" s="1433"/>
      <c r="DX230" s="1433"/>
      <c r="DY230" s="1433"/>
      <c r="DZ230" s="1433"/>
      <c r="EA230" s="1433"/>
      <c r="EB230" s="1433"/>
    </row>
    <row r="231" customFormat="false" ht="14.25" hidden="false" customHeight="false" outlineLevel="0" collapsed="false">
      <c r="A231" s="2" t="n">
        <f aca="false">'V_DATOS PAC_SGA'!R226</f>
        <v>0</v>
      </c>
      <c r="B231" s="2" t="n">
        <f aca="false">IF(I231="IV",CONCATENATE('V_DATOS PAC_SGA'!R226,"4")+0,CONCATENATE('V_DATOS PAC_SGA'!R226,"0")+0)</f>
        <v>0</v>
      </c>
      <c r="C231" s="2" t="n">
        <f aca="false">'V_DATOS PAC_SGA'!S226</f>
        <v>0</v>
      </c>
      <c r="D231" s="1409" t="n">
        <f aca="false">'V_DATOS PAC_SGA'!Y226</f>
        <v>0</v>
      </c>
      <c r="E231" s="1410" t="str">
        <f aca="false">IF('V_DATOS PAC_SGA'!AV226="","Regadio",'V_DATOS PAC_SGA'!AV226)</f>
        <v>Regadio</v>
      </c>
      <c r="F231" s="1411" t="n">
        <f aca="false">'V_DATOS PAC_SGA'!BK226</f>
        <v>0</v>
      </c>
      <c r="G231" s="1412" t="n">
        <f aca="false">'V_DATOS PAC_SGA'!AN226</f>
        <v>0</v>
      </c>
      <c r="H231" s="1413" t="str">
        <f aca="false">IF(B231&gt;0,VLOOKUP(B231,'O_MN, PE_UTA_UGM 2024'!E$3:O$419,10),"")</f>
        <v/>
      </c>
      <c r="I231" s="1359" t="n">
        <f aca="false">'V_DATOS PAC_SGA'!BV226</f>
        <v>0</v>
      </c>
      <c r="J231" s="2" t="str">
        <f aca="false">IF(AND(J$4=$G231,J$6=$F231),$D231*J$5,"")</f>
        <v/>
      </c>
      <c r="K231" s="2" t="str">
        <f aca="false">IF(AND(K$4=$G231,K$6=$F231),$D231*K$5,"")</f>
        <v/>
      </c>
      <c r="L231" s="2" t="str">
        <f aca="false">IF(AND(L$4=$G231,L$6=$F231),$D231*L$5,"")</f>
        <v/>
      </c>
      <c r="M231" s="2" t="str">
        <f aca="false">IF(AND(M$4=$G231,M$6=$F231),$D231*M$5,"")</f>
        <v/>
      </c>
      <c r="N231" s="1414" t="n">
        <f aca="false">VLOOKUP(B231,'O_MN, PE_UTA_UGM 2024'!$E$2:$K$419,IF(G231&gt;1,6,7))</f>
        <v>0</v>
      </c>
      <c r="O231" s="1434" t="str">
        <f aca="false">IF($H231=O$4,$D231*$N231,"")</f>
        <v/>
      </c>
      <c r="P231" s="1435" t="str">
        <f aca="false">IF($H231=P$4,$D231*$N231,"")</f>
        <v/>
      </c>
      <c r="Q231" s="1435" t="str">
        <f aca="false">IF($H231=Q$4,$D231*$N231,"")</f>
        <v/>
      </c>
      <c r="R231" s="1435" t="str">
        <f aca="false">IF($H231=R$4,$D231*$N231,"")</f>
        <v/>
      </c>
      <c r="S231" s="1435" t="str">
        <f aca="false">IF($H231=S$4,$D231*$N231,"")</f>
        <v/>
      </c>
      <c r="T231" s="1435" t="str">
        <f aca="false">IF($H231=T$4,$D231*$N231,"")</f>
        <v/>
      </c>
      <c r="U231" s="1436" t="str">
        <f aca="false">IF($H231=U$4,$D231*$N231,"")</f>
        <v/>
      </c>
      <c r="V231" s="1418"/>
      <c r="W231" s="1419"/>
      <c r="X231" s="1419"/>
      <c r="Y231" s="1419"/>
      <c r="Z231" s="1419"/>
      <c r="AA231" s="1419"/>
      <c r="AB231" s="1420"/>
      <c r="AC231" s="1319"/>
      <c r="AD231" s="2" t="str">
        <f aca="false">IF(AND(AD$4=$G231,AD$6=$F231),$B231,"")</f>
        <v/>
      </c>
      <c r="AE231" s="2" t="str">
        <f aca="false">IF(AND(AE$4=$G231,AE$6=$F231),$B231,"")</f>
        <v/>
      </c>
      <c r="AF231" s="2" t="str">
        <f aca="false">IF(AND(AF$4=$G231,AF$6=$F231),$B231,"")</f>
        <v/>
      </c>
      <c r="AG231" s="2" t="str">
        <f aca="false">IF(AND(AG$4=$G231,AG$6=$F231),$B231,"")</f>
        <v/>
      </c>
      <c r="AI231" s="366"/>
      <c r="AL231" s="367"/>
      <c r="AO231" s="367"/>
      <c r="AP231" s="2" t="str">
        <f aca="false">IF(AT231&gt;0,RANK(AT231,AT$7:AT$423),"")</f>
        <v/>
      </c>
      <c r="AQ231" s="2" t="n">
        <f aca="false">'O_MN, PE_UTA_UGM 2024'!C227</f>
        <v>217</v>
      </c>
      <c r="AR231" s="1421" t="n">
        <v>2159</v>
      </c>
      <c r="AS231" s="2" t="str">
        <f aca="false">IF(AY231&lt;&gt;"",AY231,"")</f>
        <v/>
      </c>
      <c r="AT231" s="1422" t="n">
        <f aca="false">IF(ISNUMBER($AR231),SUMIF(B$7:B$505,AR231,D$7:D$505),"")</f>
        <v>0</v>
      </c>
      <c r="AU231" s="1411" t="n">
        <f aca="false">IF(ISNUMBER($AR231),SUMIF(AD$7:AD$503,$AR231,J$7:J$503),"")</f>
        <v>0</v>
      </c>
      <c r="AV231" s="1411" t="n">
        <f aca="false">IF(ISNUMBER($AR231),SUMIF(AF$7:AF$503,$AR231,L$7:L$503),"")</f>
        <v>0</v>
      </c>
      <c r="AW231" s="1423" t="n">
        <f aca="false">IF(ISNUMBER($AR231),SUMIF(AE$7:AE$503,$AR231,K$7:K$503),"")</f>
        <v>0</v>
      </c>
      <c r="AX231" s="1423" t="n">
        <f aca="false">IF(ISNUMBER($AR231),SUMIF(AG$7:AG$503,$AR231,M$7:M$503),"")</f>
        <v>0</v>
      </c>
      <c r="AY231" s="2" t="str">
        <f aca="false">IF($AT231&gt;0,VLOOKUP($AR231,'O_MN, PE_UTA_UGM 2024'!E227:O643,2),"")</f>
        <v/>
      </c>
      <c r="AZ231" s="1424"/>
      <c r="BA231" s="1424"/>
      <c r="BB231" s="1424" t="str">
        <f aca="false">IF($AT231&gt;0,VLOOKUP($AR231,'O_MN, PE_UTA_UGM 2024'!$E$3:$O$419,BB$6),"")</f>
        <v/>
      </c>
      <c r="BC231" s="1424" t="str">
        <f aca="false">IF($AT231&gt;0,VLOOKUP($AR231,'O_MN, PE_UTA_UGM 2024'!$E$3:$O$419,BC$6),"")</f>
        <v/>
      </c>
      <c r="BD231" s="1424" t="str">
        <f aca="false">IF($AT231&gt;0,VLOOKUP($AR231,'O_MN, PE_UTA_UGM 2024'!$E$3:$O$419,BD$6),"")</f>
        <v/>
      </c>
      <c r="BE231" s="1424" t="str">
        <f aca="false">IF($AT231&gt;0,VLOOKUP($AR231,'O_MN, PE_UTA_UGM 2024'!$E$3:$O$419,BE$6),"")</f>
        <v/>
      </c>
      <c r="BF231" s="1424" t="str">
        <f aca="false">IF($AT231&gt;0,VLOOKUP($AR231,'O_MN, PE_UTA_UGM 2024'!$E$3:$O$419,BF$6),"")</f>
        <v/>
      </c>
      <c r="BG231" s="1424" t="str">
        <f aca="false">IF($AT231&gt;0,VLOOKUP($AR231,'O_MN, PE_UTA_UGM 2024'!$E$3:$O$419,BG$6),"")</f>
        <v/>
      </c>
      <c r="BH231" s="872"/>
      <c r="BI231" s="872"/>
      <c r="BJ231" s="872"/>
      <c r="BK231" s="872"/>
      <c r="BM231" s="1411"/>
      <c r="BN231" s="1411"/>
      <c r="BO231" s="1425" t="str">
        <f aca="false">IF(ISNUMBER($AU231*BB231*1),$AU231*BB231*1,"")</f>
        <v/>
      </c>
      <c r="BP231" s="1425" t="str">
        <f aca="false">IF(ISNUMBER($AV231*BC231*1),$AV231*BC231*1,"")</f>
        <v/>
      </c>
      <c r="BQ231" s="1425" t="str">
        <f aca="false">IF(ISNUMBER($AU231*BD231*1),$AU231*BD231*1,"")</f>
        <v/>
      </c>
      <c r="BR231" s="1425" t="str">
        <f aca="false">IF(ISNUMBER($AV231*BE231*1),$AV231*BE231*1,"")</f>
        <v/>
      </c>
      <c r="BS231" s="1411" t="str">
        <f aca="false">IF(ISNUMBER($AU231*BF231),$AU231*BF231,"")</f>
        <v/>
      </c>
      <c r="BT231" s="1411" t="str">
        <f aca="false">IF(ISNUMBER($AV231*BG231),$AV231*BG231,"")</f>
        <v/>
      </c>
      <c r="BU231" s="1411"/>
      <c r="BV231" s="1411"/>
      <c r="BW231" s="1411"/>
      <c r="BX231" s="1411"/>
      <c r="BZ231" s="1372"/>
      <c r="CA231" s="1372"/>
      <c r="CB231" s="1426" t="str">
        <f aca="false">IF(ISNUMBER($AW231*BB231),$AW231*BB231,"")</f>
        <v/>
      </c>
      <c r="CC231" s="1426" t="str">
        <f aca="false">IF(ISNUMBER($AX231*BC231),$AX231*BC231,"")</f>
        <v/>
      </c>
      <c r="CD231" s="1426" t="str">
        <f aca="false">IF(ISNUMBER($AW231*BD231),$AW231*BD231,"")</f>
        <v/>
      </c>
      <c r="CE231" s="1426" t="str">
        <f aca="false">IF(ISNUMBER($AX231*BE231),$AX231*BE231,"")</f>
        <v/>
      </c>
      <c r="CF231" s="1372" t="str">
        <f aca="false">IF(ISNUMBER($AW231*BF231),$AW231*BF231,"")</f>
        <v/>
      </c>
      <c r="CG231" s="1372" t="str">
        <f aca="false">IF(ISNUMBER($AX231*BG231),$AX231*BG231,"")</f>
        <v/>
      </c>
      <c r="CH231" s="1438"/>
      <c r="CI231" s="1438"/>
      <c r="CJ231" s="1438"/>
      <c r="CK231" s="1438"/>
      <c r="CU231" s="1411"/>
      <c r="CV231" s="1411"/>
      <c r="CW231" s="1425"/>
      <c r="CX231" s="1425"/>
      <c r="CY231" s="1425"/>
      <c r="CZ231" s="1425"/>
      <c r="DA231" s="1411"/>
      <c r="DB231" s="1411"/>
      <c r="DC231" s="1411"/>
      <c r="DD231" s="1411"/>
      <c r="DE231" s="1411"/>
      <c r="DF231" s="1411"/>
      <c r="DH231" s="1432"/>
      <c r="DI231" s="1432"/>
      <c r="DJ231" s="1437"/>
      <c r="DK231" s="1437"/>
      <c r="DL231" s="1437"/>
      <c r="DM231" s="1437"/>
      <c r="DN231" s="1432"/>
      <c r="DO231" s="1432"/>
      <c r="DP231" s="1432"/>
      <c r="DQ231" s="1432"/>
      <c r="DR231" s="1432"/>
      <c r="DS231" s="1432"/>
      <c r="DT231" s="1316"/>
      <c r="DU231" s="1433"/>
      <c r="DV231" s="1433"/>
      <c r="DW231" s="1433"/>
      <c r="DX231" s="1433"/>
      <c r="DY231" s="1433"/>
      <c r="DZ231" s="1433"/>
      <c r="EA231" s="1433"/>
      <c r="EB231" s="1433"/>
    </row>
    <row r="232" customFormat="false" ht="14.25" hidden="false" customHeight="false" outlineLevel="0" collapsed="false">
      <c r="A232" s="2" t="n">
        <f aca="false">'V_DATOS PAC_SGA'!R227</f>
        <v>0</v>
      </c>
      <c r="B232" s="2" t="n">
        <f aca="false">IF(I232="IV",CONCATENATE('V_DATOS PAC_SGA'!R227,"4")+0,CONCATENATE('V_DATOS PAC_SGA'!R227,"0")+0)</f>
        <v>0</v>
      </c>
      <c r="C232" s="2" t="n">
        <f aca="false">'V_DATOS PAC_SGA'!S227</f>
        <v>0</v>
      </c>
      <c r="D232" s="1409" t="n">
        <f aca="false">'V_DATOS PAC_SGA'!Y227</f>
        <v>0</v>
      </c>
      <c r="E232" s="1410" t="str">
        <f aca="false">IF('V_DATOS PAC_SGA'!AV227="","Regadio",'V_DATOS PAC_SGA'!AV227)</f>
        <v>Regadio</v>
      </c>
      <c r="F232" s="1411" t="n">
        <f aca="false">'V_DATOS PAC_SGA'!BK227</f>
        <v>0</v>
      </c>
      <c r="G232" s="1412" t="n">
        <f aca="false">'V_DATOS PAC_SGA'!AN227</f>
        <v>0</v>
      </c>
      <c r="H232" s="1413" t="str">
        <f aca="false">IF(B232&gt;0,VLOOKUP(B232,'O_MN, PE_UTA_UGM 2024'!E$3:O$419,10),"")</f>
        <v/>
      </c>
      <c r="I232" s="1359" t="n">
        <f aca="false">'V_DATOS PAC_SGA'!BV227</f>
        <v>0</v>
      </c>
      <c r="J232" s="2" t="str">
        <f aca="false">IF(AND(J$4=$G232,J$6=$F232),$D232*J$5,"")</f>
        <v/>
      </c>
      <c r="K232" s="2" t="str">
        <f aca="false">IF(AND(K$4=$G232,K$6=$F232),$D232*K$5,"")</f>
        <v/>
      </c>
      <c r="L232" s="2" t="str">
        <f aca="false">IF(AND(L$4=$G232,L$6=$F232),$D232*L$5,"")</f>
        <v/>
      </c>
      <c r="M232" s="2" t="str">
        <f aca="false">IF(AND(M$4=$G232,M$6=$F232),$D232*M$5,"")</f>
        <v/>
      </c>
      <c r="N232" s="1414" t="n">
        <f aca="false">VLOOKUP(B232,'O_MN, PE_UTA_UGM 2024'!$E$2:$K$419,IF(G232&gt;1,6,7))</f>
        <v>0</v>
      </c>
      <c r="O232" s="1434" t="str">
        <f aca="false">IF($H232=O$4,$D232*$N232,"")</f>
        <v/>
      </c>
      <c r="P232" s="1435" t="str">
        <f aca="false">IF($H232=P$4,$D232*$N232,"")</f>
        <v/>
      </c>
      <c r="Q232" s="1435" t="str">
        <f aca="false">IF($H232=Q$4,$D232*$N232,"")</f>
        <v/>
      </c>
      <c r="R232" s="1435" t="str">
        <f aca="false">IF($H232=R$4,$D232*$N232,"")</f>
        <v/>
      </c>
      <c r="S232" s="1435" t="str">
        <f aca="false">IF($H232=S$4,$D232*$N232,"")</f>
        <v/>
      </c>
      <c r="T232" s="1435" t="str">
        <f aca="false">IF($H232=T$4,$D232*$N232,"")</f>
        <v/>
      </c>
      <c r="U232" s="1436" t="str">
        <f aca="false">IF($H232=U$4,$D232*$N232,"")</f>
        <v/>
      </c>
      <c r="V232" s="1418"/>
      <c r="W232" s="1419"/>
      <c r="X232" s="1419"/>
      <c r="Y232" s="1419"/>
      <c r="Z232" s="1419"/>
      <c r="AA232" s="1419"/>
      <c r="AB232" s="1420"/>
      <c r="AC232" s="1319"/>
      <c r="AD232" s="2" t="str">
        <f aca="false">IF(AND(AD$4=$G232,AD$6=$F232),$B232,"")</f>
        <v/>
      </c>
      <c r="AE232" s="2" t="str">
        <f aca="false">IF(AND(AE$4=$G232,AE$6=$F232),$B232,"")</f>
        <v/>
      </c>
      <c r="AF232" s="2" t="str">
        <f aca="false">IF(AND(AF$4=$G232,AF$6=$F232),$B232,"")</f>
        <v/>
      </c>
      <c r="AG232" s="2" t="str">
        <f aca="false">IF(AND(AG$4=$G232,AG$6=$F232),$B232,"")</f>
        <v/>
      </c>
      <c r="AI232" s="366"/>
      <c r="AL232" s="367"/>
      <c r="AO232" s="367"/>
      <c r="AP232" s="2" t="str">
        <f aca="false">IF(AT232&gt;0,RANK(AT232,AT$7:AT$423),"")</f>
        <v/>
      </c>
      <c r="AQ232" s="2" t="n">
        <f aca="false">'O_MN, PE_UTA_UGM 2024'!C228</f>
        <v>217</v>
      </c>
      <c r="AR232" s="1421" t="n">
        <v>2160</v>
      </c>
      <c r="AS232" s="2" t="str">
        <f aca="false">IF(AY232&lt;&gt;"",AY232,"")</f>
        <v/>
      </c>
      <c r="AT232" s="1422" t="n">
        <f aca="false">IF(ISNUMBER($AR232),SUMIF(B$7:B$505,AR232,D$7:D$505),"")</f>
        <v>0</v>
      </c>
      <c r="AU232" s="1411" t="n">
        <f aca="false">IF(ISNUMBER($AR232),SUMIF(AD$7:AD$503,$AR232,J$7:J$503),"")</f>
        <v>0</v>
      </c>
      <c r="AV232" s="1411" t="n">
        <f aca="false">IF(ISNUMBER($AR232),SUMIF(AF$7:AF$503,$AR232,L$7:L$503),"")</f>
        <v>0</v>
      </c>
      <c r="AW232" s="1423" t="n">
        <f aca="false">IF(ISNUMBER($AR232),SUMIF(AE$7:AE$503,$AR232,K$7:K$503),"")</f>
        <v>0</v>
      </c>
      <c r="AX232" s="1423" t="n">
        <f aca="false">IF(ISNUMBER($AR232),SUMIF(AG$7:AG$503,$AR232,M$7:M$503),"")</f>
        <v>0</v>
      </c>
      <c r="AY232" s="2" t="str">
        <f aca="false">IF($AT232&gt;0,VLOOKUP($AR232,'O_MN, PE_UTA_UGM 2024'!E228:O644,2),"")</f>
        <v/>
      </c>
      <c r="AZ232" s="1424"/>
      <c r="BA232" s="1424"/>
      <c r="BB232" s="1424" t="str">
        <f aca="false">IF($AT232&gt;0,VLOOKUP($AR232,'O_MN, PE_UTA_UGM 2024'!$E$3:$O$419,BB$6),"")</f>
        <v/>
      </c>
      <c r="BC232" s="1424" t="str">
        <f aca="false">IF($AT232&gt;0,VLOOKUP($AR232,'O_MN, PE_UTA_UGM 2024'!$E$3:$O$419,BC$6),"")</f>
        <v/>
      </c>
      <c r="BD232" s="1424" t="str">
        <f aca="false">IF($AT232&gt;0,VLOOKUP($AR232,'O_MN, PE_UTA_UGM 2024'!$E$3:$O$419,BD$6),"")</f>
        <v/>
      </c>
      <c r="BE232" s="1424" t="str">
        <f aca="false">IF($AT232&gt;0,VLOOKUP($AR232,'O_MN, PE_UTA_UGM 2024'!$E$3:$O$419,BE$6),"")</f>
        <v/>
      </c>
      <c r="BF232" s="1424" t="str">
        <f aca="false">IF($AT232&gt;0,VLOOKUP($AR232,'O_MN, PE_UTA_UGM 2024'!$E$3:$O$419,BF$6),"")</f>
        <v/>
      </c>
      <c r="BG232" s="1424" t="str">
        <f aca="false">IF($AT232&gt;0,VLOOKUP($AR232,'O_MN, PE_UTA_UGM 2024'!$E$3:$O$419,BG$6),"")</f>
        <v/>
      </c>
      <c r="BH232" s="872"/>
      <c r="BI232" s="872"/>
      <c r="BJ232" s="872"/>
      <c r="BK232" s="872"/>
      <c r="BM232" s="1411"/>
      <c r="BN232" s="1411"/>
      <c r="BO232" s="1425" t="str">
        <f aca="false">IF(ISNUMBER($AU232*BB232*1),$AU232*BB232*1,"")</f>
        <v/>
      </c>
      <c r="BP232" s="1425" t="str">
        <f aca="false">IF(ISNUMBER($AV232*BC232*1),$AV232*BC232*1,"")</f>
        <v/>
      </c>
      <c r="BQ232" s="1425" t="str">
        <f aca="false">IF(ISNUMBER($AU232*BD232*1),$AU232*BD232*1,"")</f>
        <v/>
      </c>
      <c r="BR232" s="1425" t="str">
        <f aca="false">IF(ISNUMBER($AV232*BE232*1),$AV232*BE232*1,"")</f>
        <v/>
      </c>
      <c r="BS232" s="1411" t="str">
        <f aca="false">IF(ISNUMBER($AU232*BF232),$AU232*BF232,"")</f>
        <v/>
      </c>
      <c r="BT232" s="1411" t="str">
        <f aca="false">IF(ISNUMBER($AV232*BG232),$AV232*BG232,"")</f>
        <v/>
      </c>
      <c r="BU232" s="1411"/>
      <c r="BV232" s="1411"/>
      <c r="BW232" s="1411"/>
      <c r="BX232" s="1411"/>
      <c r="BZ232" s="1372"/>
      <c r="CA232" s="1372"/>
      <c r="CB232" s="1426" t="str">
        <f aca="false">IF(ISNUMBER($AW232*BB232),$AW232*BB232,"")</f>
        <v/>
      </c>
      <c r="CC232" s="1426" t="str">
        <f aca="false">IF(ISNUMBER($AX232*BC232),$AX232*BC232,"")</f>
        <v/>
      </c>
      <c r="CD232" s="1426" t="str">
        <f aca="false">IF(ISNUMBER($AW232*BD232),$AW232*BD232,"")</f>
        <v/>
      </c>
      <c r="CE232" s="1426" t="str">
        <f aca="false">IF(ISNUMBER($AX232*BE232),$AX232*BE232,"")</f>
        <v/>
      </c>
      <c r="CF232" s="1372" t="str">
        <f aca="false">IF(ISNUMBER($AW232*BF232),$AW232*BF232,"")</f>
        <v/>
      </c>
      <c r="CG232" s="1372" t="str">
        <f aca="false">IF(ISNUMBER($AX232*BG232),$AX232*BG232,"")</f>
        <v/>
      </c>
      <c r="CH232" s="1438"/>
      <c r="CI232" s="1438"/>
      <c r="CJ232" s="1438"/>
      <c r="CK232" s="1438"/>
      <c r="CU232" s="1411"/>
      <c r="CV232" s="1411"/>
      <c r="CW232" s="1425"/>
      <c r="CX232" s="1425"/>
      <c r="CY232" s="1425"/>
      <c r="CZ232" s="1425"/>
      <c r="DA232" s="1411"/>
      <c r="DB232" s="1411"/>
      <c r="DC232" s="1411"/>
      <c r="DD232" s="1411"/>
      <c r="DE232" s="1411"/>
      <c r="DF232" s="1411"/>
      <c r="DH232" s="1432"/>
      <c r="DI232" s="1432"/>
      <c r="DJ232" s="1437"/>
      <c r="DK232" s="1437"/>
      <c r="DL232" s="1437"/>
      <c r="DM232" s="1437"/>
      <c r="DN232" s="1432"/>
      <c r="DO232" s="1432"/>
      <c r="DP232" s="1432"/>
      <c r="DQ232" s="1432"/>
      <c r="DR232" s="1432"/>
      <c r="DS232" s="1432"/>
      <c r="DT232" s="1316"/>
      <c r="DU232" s="1433"/>
      <c r="DV232" s="1433"/>
      <c r="DW232" s="1433"/>
      <c r="DX232" s="1433"/>
      <c r="DY232" s="1433"/>
      <c r="DZ232" s="1433"/>
      <c r="EA232" s="1433"/>
      <c r="EB232" s="1433"/>
    </row>
    <row r="233" customFormat="false" ht="14.25" hidden="false" customHeight="false" outlineLevel="0" collapsed="false">
      <c r="A233" s="2" t="n">
        <f aca="false">'V_DATOS PAC_SGA'!R228</f>
        <v>0</v>
      </c>
      <c r="B233" s="2" t="n">
        <f aca="false">IF(I233="IV",CONCATENATE('V_DATOS PAC_SGA'!R228,"4")+0,CONCATENATE('V_DATOS PAC_SGA'!R228,"0")+0)</f>
        <v>0</v>
      </c>
      <c r="C233" s="2" t="n">
        <f aca="false">'V_DATOS PAC_SGA'!S228</f>
        <v>0</v>
      </c>
      <c r="D233" s="1409" t="n">
        <f aca="false">'V_DATOS PAC_SGA'!Y228</f>
        <v>0</v>
      </c>
      <c r="E233" s="1410" t="str">
        <f aca="false">IF('V_DATOS PAC_SGA'!AV228="","Regadio",'V_DATOS PAC_SGA'!AV228)</f>
        <v>Regadio</v>
      </c>
      <c r="F233" s="1411" t="n">
        <f aca="false">'V_DATOS PAC_SGA'!BK228</f>
        <v>0</v>
      </c>
      <c r="G233" s="1412" t="n">
        <f aca="false">'V_DATOS PAC_SGA'!AN228</f>
        <v>0</v>
      </c>
      <c r="H233" s="1413" t="str">
        <f aca="false">IF(B233&gt;0,VLOOKUP(B233,'O_MN, PE_UTA_UGM 2024'!E$3:O$419,10),"")</f>
        <v/>
      </c>
      <c r="I233" s="1359" t="n">
        <f aca="false">'V_DATOS PAC_SGA'!BV228</f>
        <v>0</v>
      </c>
      <c r="J233" s="2" t="str">
        <f aca="false">IF(AND(J$4=$G233,J$6=$F233),$D233*J$5,"")</f>
        <v/>
      </c>
      <c r="K233" s="2" t="str">
        <f aca="false">IF(AND(K$4=$G233,K$6=$F233),$D233*K$5,"")</f>
        <v/>
      </c>
      <c r="L233" s="2" t="str">
        <f aca="false">IF(AND(L$4=$G233,L$6=$F233),$D233*L$5,"")</f>
        <v/>
      </c>
      <c r="M233" s="2" t="str">
        <f aca="false">IF(AND(M$4=$G233,M$6=$F233),$D233*M$5,"")</f>
        <v/>
      </c>
      <c r="N233" s="1414" t="n">
        <f aca="false">VLOOKUP(B233,'O_MN, PE_UTA_UGM 2024'!$E$2:$K$419,IF(G233&gt;1,6,7))</f>
        <v>0</v>
      </c>
      <c r="O233" s="1434" t="str">
        <f aca="false">IF($H233=O$4,$D233*$N233,"")</f>
        <v/>
      </c>
      <c r="P233" s="1435" t="str">
        <f aca="false">IF($H233=P$4,$D233*$N233,"")</f>
        <v/>
      </c>
      <c r="Q233" s="1435" t="str">
        <f aca="false">IF($H233=Q$4,$D233*$N233,"")</f>
        <v/>
      </c>
      <c r="R233" s="1435" t="str">
        <f aca="false">IF($H233=R$4,$D233*$N233,"")</f>
        <v/>
      </c>
      <c r="S233" s="1435" t="str">
        <f aca="false">IF($H233=S$4,$D233*$N233,"")</f>
        <v/>
      </c>
      <c r="T233" s="1435" t="str">
        <f aca="false">IF($H233=T$4,$D233*$N233,"")</f>
        <v/>
      </c>
      <c r="U233" s="1436" t="str">
        <f aca="false">IF($H233=U$4,$D233*$N233,"")</f>
        <v/>
      </c>
      <c r="V233" s="1418"/>
      <c r="W233" s="1419"/>
      <c r="X233" s="1419"/>
      <c r="Y233" s="1419"/>
      <c r="Z233" s="1419"/>
      <c r="AA233" s="1419"/>
      <c r="AB233" s="1420"/>
      <c r="AC233" s="1319"/>
      <c r="AD233" s="2" t="str">
        <f aca="false">IF(AND(AD$4=$G233,AD$6=$F233),$B233,"")</f>
        <v/>
      </c>
      <c r="AE233" s="2" t="str">
        <f aca="false">IF(AND(AE$4=$G233,AE$6=$F233),$B233,"")</f>
        <v/>
      </c>
      <c r="AF233" s="2" t="str">
        <f aca="false">IF(AND(AF$4=$G233,AF$6=$F233),$B233,"")</f>
        <v/>
      </c>
      <c r="AG233" s="2" t="str">
        <f aca="false">IF(AND(AG$4=$G233,AG$6=$F233),$B233,"")</f>
        <v/>
      </c>
      <c r="AI233" s="366"/>
      <c r="AL233" s="367"/>
      <c r="AO233" s="367"/>
      <c r="AP233" s="2" t="str">
        <f aca="false">IF(AT233&gt;0,RANK(AT233,AT$7:AT$423),"")</f>
        <v/>
      </c>
      <c r="AQ233" s="2" t="n">
        <f aca="false">'O_MN, PE_UTA_UGM 2024'!C229</f>
        <v>217</v>
      </c>
      <c r="AR233" s="1421" t="n">
        <v>2164</v>
      </c>
      <c r="AS233" s="2" t="str">
        <f aca="false">IF(AY233&lt;&gt;"",AY233,"")</f>
        <v/>
      </c>
      <c r="AT233" s="1422" t="n">
        <f aca="false">IF(ISNUMBER($AR233),SUMIF(B$7:B$505,AR233,D$7:D$505),"")</f>
        <v>0</v>
      </c>
      <c r="AU233" s="1411" t="n">
        <f aca="false">IF(ISNUMBER($AR233),SUMIF(AD$7:AD$503,$AR233,J$7:J$503),"")</f>
        <v>0</v>
      </c>
      <c r="AV233" s="1411" t="n">
        <f aca="false">IF(ISNUMBER($AR233),SUMIF(AF$7:AF$503,$AR233,L$7:L$503),"")</f>
        <v>0</v>
      </c>
      <c r="AW233" s="1423" t="n">
        <f aca="false">IF(ISNUMBER($AR233),SUMIF(AE$7:AE$503,$AR233,K$7:K$503),"")</f>
        <v>0</v>
      </c>
      <c r="AX233" s="1423" t="n">
        <f aca="false">IF(ISNUMBER($AR233),SUMIF(AG$7:AG$503,$AR233,M$7:M$503),"")</f>
        <v>0</v>
      </c>
      <c r="AY233" s="2" t="str">
        <f aca="false">IF($AT233&gt;0,VLOOKUP($AR233,'O_MN, PE_UTA_UGM 2024'!E229:O645,2),"")</f>
        <v/>
      </c>
      <c r="AZ233" s="1424"/>
      <c r="BA233" s="1424"/>
      <c r="BB233" s="1424" t="str">
        <f aca="false">IF($AT233&gt;0,VLOOKUP($AR233,'O_MN, PE_UTA_UGM 2024'!$E$3:$O$419,BB$6),"")</f>
        <v/>
      </c>
      <c r="BC233" s="1424" t="str">
        <f aca="false">IF($AT233&gt;0,VLOOKUP($AR233,'O_MN, PE_UTA_UGM 2024'!$E$3:$O$419,BC$6),"")</f>
        <v/>
      </c>
      <c r="BD233" s="1424" t="str">
        <f aca="false">IF($AT233&gt;0,VLOOKUP($AR233,'O_MN, PE_UTA_UGM 2024'!$E$3:$O$419,BD$6),"")</f>
        <v/>
      </c>
      <c r="BE233" s="1424" t="str">
        <f aca="false">IF($AT233&gt;0,VLOOKUP($AR233,'O_MN, PE_UTA_UGM 2024'!$E$3:$O$419,BE$6),"")</f>
        <v/>
      </c>
      <c r="BF233" s="1424" t="str">
        <f aca="false">IF($AT233&gt;0,VLOOKUP($AR233,'O_MN, PE_UTA_UGM 2024'!$E$3:$O$419,BF$6),"")</f>
        <v/>
      </c>
      <c r="BG233" s="1424" t="str">
        <f aca="false">IF($AT233&gt;0,VLOOKUP($AR233,'O_MN, PE_UTA_UGM 2024'!$E$3:$O$419,BG$6),"")</f>
        <v/>
      </c>
      <c r="BH233" s="872"/>
      <c r="BI233" s="872"/>
      <c r="BJ233" s="872"/>
      <c r="BK233" s="872"/>
      <c r="BM233" s="1411"/>
      <c r="BN233" s="1411"/>
      <c r="BO233" s="1425" t="str">
        <f aca="false">IF(ISNUMBER($AU233*BB233*1),$AU233*BB233*1,"")</f>
        <v/>
      </c>
      <c r="BP233" s="1425" t="str">
        <f aca="false">IF(ISNUMBER($AV233*BC233*1),$AV233*BC233*1,"")</f>
        <v/>
      </c>
      <c r="BQ233" s="1425" t="str">
        <f aca="false">IF(ISNUMBER($AU233*BD233*1),$AU233*BD233*1,"")</f>
        <v/>
      </c>
      <c r="BR233" s="1425" t="str">
        <f aca="false">IF(ISNUMBER($AV233*BE233*1),$AV233*BE233*1,"")</f>
        <v/>
      </c>
      <c r="BS233" s="1411" t="str">
        <f aca="false">IF(ISNUMBER($AU233*BF233),$AU233*BF233,"")</f>
        <v/>
      </c>
      <c r="BT233" s="1411" t="str">
        <f aca="false">IF(ISNUMBER($AV233*BG233),$AV233*BG233,"")</f>
        <v/>
      </c>
      <c r="BU233" s="1411"/>
      <c r="BV233" s="1411"/>
      <c r="BW233" s="1411"/>
      <c r="BX233" s="1411"/>
      <c r="BZ233" s="1372"/>
      <c r="CA233" s="1372"/>
      <c r="CB233" s="1426" t="str">
        <f aca="false">IF(ISNUMBER($AW233*BB233),$AW233*BB233,"")</f>
        <v/>
      </c>
      <c r="CC233" s="1426" t="str">
        <f aca="false">IF(ISNUMBER($AX233*BC233),$AX233*BC233,"")</f>
        <v/>
      </c>
      <c r="CD233" s="1426" t="str">
        <f aca="false">IF(ISNUMBER($AW233*BD233),$AW233*BD233,"")</f>
        <v/>
      </c>
      <c r="CE233" s="1426" t="str">
        <f aca="false">IF(ISNUMBER($AX233*BE233),$AX233*BE233,"")</f>
        <v/>
      </c>
      <c r="CF233" s="1372" t="str">
        <f aca="false">IF(ISNUMBER($AW233*BF233),$AW233*BF233,"")</f>
        <v/>
      </c>
      <c r="CG233" s="1372" t="str">
        <f aca="false">IF(ISNUMBER($AX233*BG233),$AX233*BG233,"")</f>
        <v/>
      </c>
      <c r="CH233" s="1438"/>
      <c r="CI233" s="1438"/>
      <c r="CJ233" s="1438"/>
      <c r="CK233" s="1438"/>
      <c r="CU233" s="1411"/>
      <c r="CV233" s="1411"/>
      <c r="CW233" s="1425"/>
      <c r="CX233" s="1425"/>
      <c r="CY233" s="1425"/>
      <c r="CZ233" s="1425"/>
      <c r="DA233" s="1411"/>
      <c r="DB233" s="1411"/>
      <c r="DC233" s="1411"/>
      <c r="DD233" s="1411"/>
      <c r="DE233" s="1411"/>
      <c r="DF233" s="1411"/>
      <c r="DH233" s="1432"/>
      <c r="DI233" s="1432"/>
      <c r="DJ233" s="1437"/>
      <c r="DK233" s="1437"/>
      <c r="DL233" s="1437"/>
      <c r="DM233" s="1437"/>
      <c r="DN233" s="1432"/>
      <c r="DO233" s="1432"/>
      <c r="DP233" s="1432"/>
      <c r="DQ233" s="1432"/>
      <c r="DR233" s="1432"/>
      <c r="DS233" s="1432"/>
      <c r="DT233" s="1316"/>
      <c r="DU233" s="1433"/>
      <c r="DV233" s="1433"/>
      <c r="DW233" s="1433"/>
      <c r="DX233" s="1433"/>
      <c r="DY233" s="1433"/>
      <c r="DZ233" s="1433"/>
      <c r="EA233" s="1433"/>
      <c r="EB233" s="1433"/>
    </row>
    <row r="234" customFormat="false" ht="14.25" hidden="false" customHeight="false" outlineLevel="0" collapsed="false">
      <c r="A234" s="2" t="n">
        <f aca="false">'V_DATOS PAC_SGA'!R229</f>
        <v>0</v>
      </c>
      <c r="B234" s="2" t="n">
        <f aca="false">IF(I234="IV",CONCATENATE('V_DATOS PAC_SGA'!R229,"4")+0,CONCATENATE('V_DATOS PAC_SGA'!R229,"0")+0)</f>
        <v>0</v>
      </c>
      <c r="C234" s="2" t="n">
        <f aca="false">'V_DATOS PAC_SGA'!S229</f>
        <v>0</v>
      </c>
      <c r="D234" s="1409" t="n">
        <f aca="false">'V_DATOS PAC_SGA'!Y229</f>
        <v>0</v>
      </c>
      <c r="E234" s="1410" t="str">
        <f aca="false">IF('V_DATOS PAC_SGA'!AV229="","Regadio",'V_DATOS PAC_SGA'!AV229)</f>
        <v>Regadio</v>
      </c>
      <c r="F234" s="1411" t="n">
        <f aca="false">'V_DATOS PAC_SGA'!BK229</f>
        <v>0</v>
      </c>
      <c r="G234" s="1412" t="n">
        <f aca="false">'V_DATOS PAC_SGA'!AN229</f>
        <v>0</v>
      </c>
      <c r="H234" s="1413" t="str">
        <f aca="false">IF(B234&gt;0,VLOOKUP(B234,'O_MN, PE_UTA_UGM 2024'!E$3:O$419,10),"")</f>
        <v/>
      </c>
      <c r="I234" s="1359" t="n">
        <f aca="false">'V_DATOS PAC_SGA'!BV229</f>
        <v>0</v>
      </c>
      <c r="J234" s="2" t="str">
        <f aca="false">IF(AND(J$4=$G234,J$6=$F234),$D234*J$5,"")</f>
        <v/>
      </c>
      <c r="K234" s="2" t="str">
        <f aca="false">IF(AND(K$4=$G234,K$6=$F234),$D234*K$5,"")</f>
        <v/>
      </c>
      <c r="L234" s="2" t="str">
        <f aca="false">IF(AND(L$4=$G234,L$6=$F234),$D234*L$5,"")</f>
        <v/>
      </c>
      <c r="M234" s="2" t="str">
        <f aca="false">IF(AND(M$4=$G234,M$6=$F234),$D234*M$5,"")</f>
        <v/>
      </c>
      <c r="N234" s="1414" t="n">
        <f aca="false">VLOOKUP(B234,'O_MN, PE_UTA_UGM 2024'!$E$2:$K$419,IF(G234&gt;1,6,7))</f>
        <v>0</v>
      </c>
      <c r="O234" s="1434" t="str">
        <f aca="false">IF($H234=O$4,$D234*$N234,"")</f>
        <v/>
      </c>
      <c r="P234" s="1435" t="str">
        <f aca="false">IF($H234=P$4,$D234*$N234,"")</f>
        <v/>
      </c>
      <c r="Q234" s="1435" t="str">
        <f aca="false">IF($H234=Q$4,$D234*$N234,"")</f>
        <v/>
      </c>
      <c r="R234" s="1435" t="str">
        <f aca="false">IF($H234=R$4,$D234*$N234,"")</f>
        <v/>
      </c>
      <c r="S234" s="1435" t="str">
        <f aca="false">IF($H234=S$4,$D234*$N234,"")</f>
        <v/>
      </c>
      <c r="T234" s="1435" t="str">
        <f aca="false">IF($H234=T$4,$D234*$N234,"")</f>
        <v/>
      </c>
      <c r="U234" s="1436" t="str">
        <f aca="false">IF($H234=U$4,$D234*$N234,"")</f>
        <v/>
      </c>
      <c r="V234" s="1418"/>
      <c r="W234" s="1419"/>
      <c r="X234" s="1419"/>
      <c r="Y234" s="1419"/>
      <c r="Z234" s="1419"/>
      <c r="AA234" s="1419"/>
      <c r="AB234" s="1420"/>
      <c r="AC234" s="1319"/>
      <c r="AD234" s="2" t="str">
        <f aca="false">IF(AND(AD$4=$G234,AD$6=$F234),$B234,"")</f>
        <v/>
      </c>
      <c r="AE234" s="2" t="str">
        <f aca="false">IF(AND(AE$4=$G234,AE$6=$F234),$B234,"")</f>
        <v/>
      </c>
      <c r="AF234" s="2" t="str">
        <f aca="false">IF(AND(AF$4=$G234,AF$6=$F234),$B234,"")</f>
        <v/>
      </c>
      <c r="AG234" s="2" t="str">
        <f aca="false">IF(AND(AG$4=$G234,AG$6=$F234),$B234,"")</f>
        <v/>
      </c>
      <c r="AI234" s="366"/>
      <c r="AL234" s="367"/>
      <c r="AO234" s="367"/>
      <c r="AP234" s="2" t="str">
        <f aca="false">IF(AT234&gt;0,RANK(AT234,AT$7:AT$423),"")</f>
        <v/>
      </c>
      <c r="AQ234" s="2" t="n">
        <f aca="false">'O_MN, PE_UTA_UGM 2024'!C230</f>
        <v>218</v>
      </c>
      <c r="AR234" s="1421" t="n">
        <v>2169</v>
      </c>
      <c r="AS234" s="2" t="str">
        <f aca="false">IF(AY234&lt;&gt;"",AY234,"")</f>
        <v/>
      </c>
      <c r="AT234" s="1422" t="n">
        <f aca="false">IF(ISNUMBER($AR234),SUMIF(B$7:B$505,AR234,D$7:D$505),"")</f>
        <v>0</v>
      </c>
      <c r="AU234" s="1411" t="n">
        <f aca="false">IF(ISNUMBER($AR234),SUMIF(AD$7:AD$503,$AR234,J$7:J$503),"")</f>
        <v>0</v>
      </c>
      <c r="AV234" s="1411" t="n">
        <f aca="false">IF(ISNUMBER($AR234),SUMIF(AF$7:AF$503,$AR234,L$7:L$503),"")</f>
        <v>0</v>
      </c>
      <c r="AW234" s="1423" t="n">
        <f aca="false">IF(ISNUMBER($AR234),SUMIF(AE$7:AE$503,$AR234,K$7:K$503),"")</f>
        <v>0</v>
      </c>
      <c r="AX234" s="1423" t="n">
        <f aca="false">IF(ISNUMBER($AR234),SUMIF(AG$7:AG$503,$AR234,M$7:M$503),"")</f>
        <v>0</v>
      </c>
      <c r="AY234" s="2" t="str">
        <f aca="false">IF($AT234&gt;0,VLOOKUP($AR234,'O_MN, PE_UTA_UGM 2024'!E230:O646,2),"")</f>
        <v/>
      </c>
      <c r="AZ234" s="1424"/>
      <c r="BA234" s="1424"/>
      <c r="BB234" s="1424" t="str">
        <f aca="false">IF($AT234&gt;0,VLOOKUP($AR234,'O_MN, PE_UTA_UGM 2024'!$E$3:$O$419,BB$6),"")</f>
        <v/>
      </c>
      <c r="BC234" s="1424" t="str">
        <f aca="false">IF($AT234&gt;0,VLOOKUP($AR234,'O_MN, PE_UTA_UGM 2024'!$E$3:$O$419,BC$6),"")</f>
        <v/>
      </c>
      <c r="BD234" s="1424" t="str">
        <f aca="false">IF($AT234&gt;0,VLOOKUP($AR234,'O_MN, PE_UTA_UGM 2024'!$E$3:$O$419,BD$6),"")</f>
        <v/>
      </c>
      <c r="BE234" s="1424" t="str">
        <f aca="false">IF($AT234&gt;0,VLOOKUP($AR234,'O_MN, PE_UTA_UGM 2024'!$E$3:$O$419,BE$6),"")</f>
        <v/>
      </c>
      <c r="BF234" s="1424" t="str">
        <f aca="false">IF($AT234&gt;0,VLOOKUP($AR234,'O_MN, PE_UTA_UGM 2024'!$E$3:$O$419,BF$6),"")</f>
        <v/>
      </c>
      <c r="BG234" s="1424" t="str">
        <f aca="false">IF($AT234&gt;0,VLOOKUP($AR234,'O_MN, PE_UTA_UGM 2024'!$E$3:$O$419,BG$6),"")</f>
        <v/>
      </c>
      <c r="BH234" s="872"/>
      <c r="BI234" s="872"/>
      <c r="BJ234" s="872"/>
      <c r="BK234" s="872"/>
      <c r="BM234" s="1411"/>
      <c r="BN234" s="1411"/>
      <c r="BO234" s="1425" t="str">
        <f aca="false">IF(ISNUMBER($AU234*BB234*1),$AU234*BB234*1,"")</f>
        <v/>
      </c>
      <c r="BP234" s="1425" t="str">
        <f aca="false">IF(ISNUMBER($AV234*BC234*1),$AV234*BC234*1,"")</f>
        <v/>
      </c>
      <c r="BQ234" s="1425" t="str">
        <f aca="false">IF(ISNUMBER($AU234*BD234*1),$AU234*BD234*1,"")</f>
        <v/>
      </c>
      <c r="BR234" s="1425" t="str">
        <f aca="false">IF(ISNUMBER($AV234*BE234*1),$AV234*BE234*1,"")</f>
        <v/>
      </c>
      <c r="BS234" s="1411" t="str">
        <f aca="false">IF(ISNUMBER($AU234*BF234),$AU234*BF234,"")</f>
        <v/>
      </c>
      <c r="BT234" s="1411" t="str">
        <f aca="false">IF(ISNUMBER($AV234*BG234),$AV234*BG234,"")</f>
        <v/>
      </c>
      <c r="BU234" s="1411"/>
      <c r="BV234" s="1411"/>
      <c r="BW234" s="1411"/>
      <c r="BX234" s="1411"/>
      <c r="BZ234" s="1372"/>
      <c r="CA234" s="1372"/>
      <c r="CB234" s="1426" t="str">
        <f aca="false">IF(ISNUMBER($AW234*BB234),$AW234*BB234,"")</f>
        <v/>
      </c>
      <c r="CC234" s="1426" t="str">
        <f aca="false">IF(ISNUMBER($AX234*BC234),$AX234*BC234,"")</f>
        <v/>
      </c>
      <c r="CD234" s="1426" t="str">
        <f aca="false">IF(ISNUMBER($AW234*BD234),$AW234*BD234,"")</f>
        <v/>
      </c>
      <c r="CE234" s="1426" t="str">
        <f aca="false">IF(ISNUMBER($AX234*BE234),$AX234*BE234,"")</f>
        <v/>
      </c>
      <c r="CF234" s="1372" t="str">
        <f aca="false">IF(ISNUMBER($AW234*BF234),$AW234*BF234,"")</f>
        <v/>
      </c>
      <c r="CG234" s="1372" t="str">
        <f aca="false">IF(ISNUMBER($AX234*BG234),$AX234*BG234,"")</f>
        <v/>
      </c>
      <c r="CH234" s="1438"/>
      <c r="CI234" s="1438"/>
      <c r="CJ234" s="1438"/>
      <c r="CK234" s="1438"/>
      <c r="CU234" s="1411"/>
      <c r="CV234" s="1411"/>
      <c r="CW234" s="1425"/>
      <c r="CX234" s="1425"/>
      <c r="CY234" s="1425"/>
      <c r="CZ234" s="1425"/>
      <c r="DA234" s="1411"/>
      <c r="DB234" s="1411"/>
      <c r="DC234" s="1411"/>
      <c r="DD234" s="1411"/>
      <c r="DE234" s="1411"/>
      <c r="DF234" s="1411"/>
      <c r="DH234" s="1432"/>
      <c r="DI234" s="1432"/>
      <c r="DJ234" s="1437"/>
      <c r="DK234" s="1437"/>
      <c r="DL234" s="1437"/>
      <c r="DM234" s="1437"/>
      <c r="DN234" s="1432"/>
      <c r="DO234" s="1432"/>
      <c r="DP234" s="1432"/>
      <c r="DQ234" s="1432"/>
      <c r="DR234" s="1432"/>
      <c r="DS234" s="1432"/>
      <c r="DT234" s="1316"/>
      <c r="DU234" s="1433"/>
      <c r="DV234" s="1433"/>
      <c r="DW234" s="1433"/>
      <c r="DX234" s="1433"/>
      <c r="DY234" s="1433"/>
      <c r="DZ234" s="1433"/>
      <c r="EA234" s="1433"/>
      <c r="EB234" s="1433"/>
    </row>
    <row r="235" customFormat="false" ht="14.25" hidden="false" customHeight="false" outlineLevel="0" collapsed="false">
      <c r="A235" s="2" t="n">
        <f aca="false">'V_DATOS PAC_SGA'!R230</f>
        <v>0</v>
      </c>
      <c r="B235" s="2" t="n">
        <f aca="false">IF(I235="IV",CONCATENATE('V_DATOS PAC_SGA'!R230,"4")+0,CONCATENATE('V_DATOS PAC_SGA'!R230,"0")+0)</f>
        <v>0</v>
      </c>
      <c r="C235" s="2" t="n">
        <f aca="false">'V_DATOS PAC_SGA'!S230</f>
        <v>0</v>
      </c>
      <c r="D235" s="1409" t="n">
        <f aca="false">'V_DATOS PAC_SGA'!Y230</f>
        <v>0</v>
      </c>
      <c r="E235" s="1410" t="str">
        <f aca="false">IF('V_DATOS PAC_SGA'!AV230="","Regadio",'V_DATOS PAC_SGA'!AV230)</f>
        <v>Regadio</v>
      </c>
      <c r="F235" s="1411" t="n">
        <f aca="false">'V_DATOS PAC_SGA'!BK230</f>
        <v>0</v>
      </c>
      <c r="G235" s="1412" t="n">
        <f aca="false">'V_DATOS PAC_SGA'!AN230</f>
        <v>0</v>
      </c>
      <c r="H235" s="1413" t="str">
        <f aca="false">IF(B235&gt;0,VLOOKUP(B235,'O_MN, PE_UTA_UGM 2024'!E$3:O$419,10),"")</f>
        <v/>
      </c>
      <c r="I235" s="1359" t="n">
        <f aca="false">'V_DATOS PAC_SGA'!BV230</f>
        <v>0</v>
      </c>
      <c r="J235" s="2" t="str">
        <f aca="false">IF(AND(J$4=$G235,J$6=$F235),$D235*J$5,"")</f>
        <v/>
      </c>
      <c r="K235" s="2" t="str">
        <f aca="false">IF(AND(K$4=$G235,K$6=$F235),$D235*K$5,"")</f>
        <v/>
      </c>
      <c r="L235" s="2" t="str">
        <f aca="false">IF(AND(L$4=$G235,L$6=$F235),$D235*L$5,"")</f>
        <v/>
      </c>
      <c r="M235" s="2" t="str">
        <f aca="false">IF(AND(M$4=$G235,M$6=$F235),$D235*M$5,"")</f>
        <v/>
      </c>
      <c r="N235" s="1414" t="n">
        <f aca="false">VLOOKUP(B235,'O_MN, PE_UTA_UGM 2024'!$E$2:$K$419,IF(G235&gt;1,6,7))</f>
        <v>0</v>
      </c>
      <c r="O235" s="1434" t="str">
        <f aca="false">IF($H235=O$4,$D235*$N235,"")</f>
        <v/>
      </c>
      <c r="P235" s="1435" t="str">
        <f aca="false">IF($H235=P$4,$D235*$N235,"")</f>
        <v/>
      </c>
      <c r="Q235" s="1435" t="str">
        <f aca="false">IF($H235=Q$4,$D235*$N235,"")</f>
        <v/>
      </c>
      <c r="R235" s="1435" t="str">
        <f aca="false">IF($H235=R$4,$D235*$N235,"")</f>
        <v/>
      </c>
      <c r="S235" s="1435" t="str">
        <f aca="false">IF($H235=S$4,$D235*$N235,"")</f>
        <v/>
      </c>
      <c r="T235" s="1435" t="str">
        <f aca="false">IF($H235=T$4,$D235*$N235,"")</f>
        <v/>
      </c>
      <c r="U235" s="1436" t="str">
        <f aca="false">IF($H235=U$4,$D235*$N235,"")</f>
        <v/>
      </c>
      <c r="V235" s="1418"/>
      <c r="W235" s="1419"/>
      <c r="X235" s="1419"/>
      <c r="Y235" s="1419"/>
      <c r="Z235" s="1419"/>
      <c r="AA235" s="1419"/>
      <c r="AB235" s="1420"/>
      <c r="AC235" s="1319"/>
      <c r="AD235" s="2" t="str">
        <f aca="false">IF(AND(AD$4=$G235,AD$6=$F235),$B235,"")</f>
        <v/>
      </c>
      <c r="AE235" s="2" t="str">
        <f aca="false">IF(AND(AE$4=$G235,AE$6=$F235),$B235,"")</f>
        <v/>
      </c>
      <c r="AF235" s="2" t="str">
        <f aca="false">IF(AND(AF$4=$G235,AF$6=$F235),$B235,"")</f>
        <v/>
      </c>
      <c r="AG235" s="2" t="str">
        <f aca="false">IF(AND(AG$4=$G235,AG$6=$F235),$B235,"")</f>
        <v/>
      </c>
      <c r="AI235" s="366"/>
      <c r="AL235" s="367"/>
      <c r="AO235" s="367"/>
      <c r="AP235" s="2" t="str">
        <f aca="false">IF(AT235&gt;0,RANK(AT235,AT$7:AT$423),"")</f>
        <v/>
      </c>
      <c r="AQ235" s="2" t="n">
        <f aca="false">'O_MN, PE_UTA_UGM 2024'!C231</f>
        <v>218</v>
      </c>
      <c r="AR235" s="1421" t="n">
        <v>2170</v>
      </c>
      <c r="AS235" s="2" t="str">
        <f aca="false">IF(AY235&lt;&gt;"",AY235,"")</f>
        <v/>
      </c>
      <c r="AT235" s="1422" t="n">
        <f aca="false">IF(ISNUMBER($AR235),SUMIF(B$7:B$505,AR235,D$7:D$505),"")</f>
        <v>0</v>
      </c>
      <c r="AU235" s="1411" t="n">
        <f aca="false">IF(ISNUMBER($AR235),SUMIF(AD$7:AD$503,$AR235,J$7:J$503),"")</f>
        <v>0</v>
      </c>
      <c r="AV235" s="1411" t="n">
        <f aca="false">IF(ISNUMBER($AR235),SUMIF(AF$7:AF$503,$AR235,L$7:L$503),"")</f>
        <v>0</v>
      </c>
      <c r="AW235" s="1423" t="n">
        <f aca="false">IF(ISNUMBER($AR235),SUMIF(AE$7:AE$503,$AR235,K$7:K$503),"")</f>
        <v>0</v>
      </c>
      <c r="AX235" s="1423" t="n">
        <f aca="false">IF(ISNUMBER($AR235),SUMIF(AG$7:AG$503,$AR235,M$7:M$503),"")</f>
        <v>0</v>
      </c>
      <c r="AY235" s="2" t="str">
        <f aca="false">IF($AT235&gt;0,VLOOKUP($AR235,'O_MN, PE_UTA_UGM 2024'!E231:O647,2),"")</f>
        <v/>
      </c>
      <c r="AZ235" s="1424"/>
      <c r="BA235" s="1424"/>
      <c r="BB235" s="1424" t="str">
        <f aca="false">IF($AT235&gt;0,VLOOKUP($AR235,'O_MN, PE_UTA_UGM 2024'!$E$3:$O$419,BB$6),"")</f>
        <v/>
      </c>
      <c r="BC235" s="1424" t="str">
        <f aca="false">IF($AT235&gt;0,VLOOKUP($AR235,'O_MN, PE_UTA_UGM 2024'!$E$3:$O$419,BC$6),"")</f>
        <v/>
      </c>
      <c r="BD235" s="1424" t="str">
        <f aca="false">IF($AT235&gt;0,VLOOKUP($AR235,'O_MN, PE_UTA_UGM 2024'!$E$3:$O$419,BD$6),"")</f>
        <v/>
      </c>
      <c r="BE235" s="1424" t="str">
        <f aca="false">IF($AT235&gt;0,VLOOKUP($AR235,'O_MN, PE_UTA_UGM 2024'!$E$3:$O$419,BE$6),"")</f>
        <v/>
      </c>
      <c r="BF235" s="1424" t="str">
        <f aca="false">IF($AT235&gt;0,VLOOKUP($AR235,'O_MN, PE_UTA_UGM 2024'!$E$3:$O$419,BF$6),"")</f>
        <v/>
      </c>
      <c r="BG235" s="1424" t="str">
        <f aca="false">IF($AT235&gt;0,VLOOKUP($AR235,'O_MN, PE_UTA_UGM 2024'!$E$3:$O$419,BG$6),"")</f>
        <v/>
      </c>
      <c r="BH235" s="872"/>
      <c r="BI235" s="872"/>
      <c r="BJ235" s="872"/>
      <c r="BK235" s="872"/>
      <c r="BM235" s="1411"/>
      <c r="BN235" s="1411"/>
      <c r="BO235" s="1425" t="str">
        <f aca="false">IF(ISNUMBER($AU235*BB235*1),$AU235*BB235*1,"")</f>
        <v/>
      </c>
      <c r="BP235" s="1425" t="str">
        <f aca="false">IF(ISNUMBER($AV235*BC235*1),$AV235*BC235*1,"")</f>
        <v/>
      </c>
      <c r="BQ235" s="1425" t="str">
        <f aca="false">IF(ISNUMBER($AU235*BD235*1),$AU235*BD235*1,"")</f>
        <v/>
      </c>
      <c r="BR235" s="1425" t="str">
        <f aca="false">IF(ISNUMBER($AV235*BE235*1),$AV235*BE235*1,"")</f>
        <v/>
      </c>
      <c r="BS235" s="1411" t="str">
        <f aca="false">IF(ISNUMBER($AU235*BF235),$AU235*BF235,"")</f>
        <v/>
      </c>
      <c r="BT235" s="1411" t="str">
        <f aca="false">IF(ISNUMBER($AV235*BG235),$AV235*BG235,"")</f>
        <v/>
      </c>
      <c r="BU235" s="1411"/>
      <c r="BV235" s="1411"/>
      <c r="BW235" s="1411"/>
      <c r="BX235" s="1411"/>
      <c r="BZ235" s="1372"/>
      <c r="CA235" s="1372"/>
      <c r="CB235" s="1426" t="str">
        <f aca="false">IF(ISNUMBER($AW235*BB235),$AW235*BB235,"")</f>
        <v/>
      </c>
      <c r="CC235" s="1426" t="str">
        <f aca="false">IF(ISNUMBER($AX235*BC235),$AX235*BC235,"")</f>
        <v/>
      </c>
      <c r="CD235" s="1426" t="str">
        <f aca="false">IF(ISNUMBER($AW235*BD235),$AW235*BD235,"")</f>
        <v/>
      </c>
      <c r="CE235" s="1426" t="str">
        <f aca="false">IF(ISNUMBER($AX235*BE235),$AX235*BE235,"")</f>
        <v/>
      </c>
      <c r="CF235" s="1372" t="str">
        <f aca="false">IF(ISNUMBER($AW235*BF235),$AW235*BF235,"")</f>
        <v/>
      </c>
      <c r="CG235" s="1372" t="str">
        <f aca="false">IF(ISNUMBER($AX235*BG235),$AX235*BG235,"")</f>
        <v/>
      </c>
      <c r="CH235" s="1438"/>
      <c r="CI235" s="1438"/>
      <c r="CJ235" s="1438"/>
      <c r="CK235" s="1438"/>
      <c r="CU235" s="1411"/>
      <c r="CV235" s="1411"/>
      <c r="CW235" s="1425"/>
      <c r="CX235" s="1425"/>
      <c r="CY235" s="1425"/>
      <c r="CZ235" s="1425"/>
      <c r="DA235" s="1411"/>
      <c r="DB235" s="1411"/>
      <c r="DC235" s="1411"/>
      <c r="DD235" s="1411"/>
      <c r="DE235" s="1411"/>
      <c r="DF235" s="1411"/>
      <c r="DH235" s="1432"/>
      <c r="DI235" s="1432"/>
      <c r="DJ235" s="1437"/>
      <c r="DK235" s="1437"/>
      <c r="DL235" s="1437"/>
      <c r="DM235" s="1437"/>
      <c r="DN235" s="1432"/>
      <c r="DO235" s="1432"/>
      <c r="DP235" s="1432"/>
      <c r="DQ235" s="1432"/>
      <c r="DR235" s="1432"/>
      <c r="DS235" s="1432"/>
      <c r="DT235" s="1316"/>
      <c r="DU235" s="1433"/>
      <c r="DV235" s="1433"/>
      <c r="DW235" s="1433"/>
      <c r="DX235" s="1433"/>
      <c r="DY235" s="1433"/>
      <c r="DZ235" s="1433"/>
      <c r="EA235" s="1433"/>
      <c r="EB235" s="1433"/>
    </row>
    <row r="236" customFormat="false" ht="14.25" hidden="false" customHeight="false" outlineLevel="0" collapsed="false">
      <c r="A236" s="2" t="n">
        <f aca="false">'V_DATOS PAC_SGA'!R231</f>
        <v>0</v>
      </c>
      <c r="B236" s="2" t="n">
        <f aca="false">IF(I236="IV",CONCATENATE('V_DATOS PAC_SGA'!R231,"4")+0,CONCATENATE('V_DATOS PAC_SGA'!R231,"0")+0)</f>
        <v>0</v>
      </c>
      <c r="C236" s="2" t="n">
        <f aca="false">'V_DATOS PAC_SGA'!S231</f>
        <v>0</v>
      </c>
      <c r="D236" s="1409" t="n">
        <f aca="false">'V_DATOS PAC_SGA'!Y231</f>
        <v>0</v>
      </c>
      <c r="E236" s="1410" t="str">
        <f aca="false">IF('V_DATOS PAC_SGA'!AV231="","Regadio",'V_DATOS PAC_SGA'!AV231)</f>
        <v>Regadio</v>
      </c>
      <c r="F236" s="1411" t="n">
        <f aca="false">'V_DATOS PAC_SGA'!BK231</f>
        <v>0</v>
      </c>
      <c r="G236" s="1412" t="n">
        <f aca="false">'V_DATOS PAC_SGA'!AN231</f>
        <v>0</v>
      </c>
      <c r="H236" s="1413" t="str">
        <f aca="false">IF(B236&gt;0,VLOOKUP(B236,'O_MN, PE_UTA_UGM 2024'!E$3:O$419,10),"")</f>
        <v/>
      </c>
      <c r="I236" s="1359" t="n">
        <f aca="false">'V_DATOS PAC_SGA'!BV231</f>
        <v>0</v>
      </c>
      <c r="J236" s="2" t="str">
        <f aca="false">IF(AND(J$4=$G236,J$6=$F236),$D236*J$5,"")</f>
        <v/>
      </c>
      <c r="K236" s="2" t="str">
        <f aca="false">IF(AND(K$4=$G236,K$6=$F236),$D236*K$5,"")</f>
        <v/>
      </c>
      <c r="L236" s="2" t="str">
        <f aca="false">IF(AND(L$4=$G236,L$6=$F236),$D236*L$5,"")</f>
        <v/>
      </c>
      <c r="M236" s="2" t="str">
        <f aca="false">IF(AND(M$4=$G236,M$6=$F236),$D236*M$5,"")</f>
        <v/>
      </c>
      <c r="N236" s="1414" t="n">
        <f aca="false">VLOOKUP(B236,'O_MN, PE_UTA_UGM 2024'!$E$2:$K$419,IF(G236&gt;1,6,7))</f>
        <v>0</v>
      </c>
      <c r="O236" s="1434" t="str">
        <f aca="false">IF($H236=O$4,$D236*$N236,"")</f>
        <v/>
      </c>
      <c r="P236" s="1435" t="str">
        <f aca="false">IF($H236=P$4,$D236*$N236,"")</f>
        <v/>
      </c>
      <c r="Q236" s="1435" t="str">
        <f aca="false">IF($H236=Q$4,$D236*$N236,"")</f>
        <v/>
      </c>
      <c r="R236" s="1435" t="str">
        <f aca="false">IF($H236=R$4,$D236*$N236,"")</f>
        <v/>
      </c>
      <c r="S236" s="1435" t="str">
        <f aca="false">IF($H236=S$4,$D236*$N236,"")</f>
        <v/>
      </c>
      <c r="T236" s="1435" t="str">
        <f aca="false">IF($H236=T$4,$D236*$N236,"")</f>
        <v/>
      </c>
      <c r="U236" s="1436" t="str">
        <f aca="false">IF($H236=U$4,$D236*$N236,"")</f>
        <v/>
      </c>
      <c r="V236" s="1418"/>
      <c r="W236" s="1419"/>
      <c r="X236" s="1419"/>
      <c r="Y236" s="1419"/>
      <c r="Z236" s="1419"/>
      <c r="AA236" s="1419"/>
      <c r="AB236" s="1420"/>
      <c r="AC236" s="1319"/>
      <c r="AD236" s="2" t="str">
        <f aca="false">IF(AND(AD$4=$G236,AD$6=$F236),$B236,"")</f>
        <v/>
      </c>
      <c r="AE236" s="2" t="str">
        <f aca="false">IF(AND(AE$4=$G236,AE$6=$F236),$B236,"")</f>
        <v/>
      </c>
      <c r="AF236" s="2" t="str">
        <f aca="false">IF(AND(AF$4=$G236,AF$6=$F236),$B236,"")</f>
        <v/>
      </c>
      <c r="AG236" s="2" t="str">
        <f aca="false">IF(AND(AG$4=$G236,AG$6=$F236),$B236,"")</f>
        <v/>
      </c>
      <c r="AI236" s="366"/>
      <c r="AL236" s="367"/>
      <c r="AO236" s="367"/>
      <c r="AP236" s="2" t="str">
        <f aca="false">IF(AT236&gt;0,RANK(AT236,AT$7:AT$423),"")</f>
        <v/>
      </c>
      <c r="AQ236" s="2" t="n">
        <f aca="false">'O_MN, PE_UTA_UGM 2024'!C232</f>
        <v>218</v>
      </c>
      <c r="AR236" s="1421" t="n">
        <v>2174</v>
      </c>
      <c r="AS236" s="2" t="str">
        <f aca="false">IF(AY236&lt;&gt;"",AY236,"")</f>
        <v/>
      </c>
      <c r="AT236" s="1422" t="n">
        <f aca="false">IF(ISNUMBER($AR236),SUMIF(B$7:B$505,AR236,D$7:D$505),"")</f>
        <v>0</v>
      </c>
      <c r="AU236" s="1411" t="n">
        <f aca="false">IF(ISNUMBER($AR236),SUMIF(AD$7:AD$503,$AR236,J$7:J$503),"")</f>
        <v>0</v>
      </c>
      <c r="AV236" s="1411" t="n">
        <f aca="false">IF(ISNUMBER($AR236),SUMIF(AF$7:AF$503,$AR236,L$7:L$503),"")</f>
        <v>0</v>
      </c>
      <c r="AW236" s="1423" t="n">
        <f aca="false">IF(ISNUMBER($AR236),SUMIF(AE$7:AE$503,$AR236,K$7:K$503),"")</f>
        <v>0</v>
      </c>
      <c r="AX236" s="1423" t="n">
        <f aca="false">IF(ISNUMBER($AR236),SUMIF(AG$7:AG$503,$AR236,M$7:M$503),"")</f>
        <v>0</v>
      </c>
      <c r="AY236" s="2" t="str">
        <f aca="false">IF($AT236&gt;0,VLOOKUP($AR236,'O_MN, PE_UTA_UGM 2024'!E232:O648,2),"")</f>
        <v/>
      </c>
      <c r="AZ236" s="1424"/>
      <c r="BA236" s="1424"/>
      <c r="BB236" s="1424" t="str">
        <f aca="false">IF($AT236&gt;0,VLOOKUP($AR236,'O_MN, PE_UTA_UGM 2024'!$E$3:$O$419,BB$6),"")</f>
        <v/>
      </c>
      <c r="BC236" s="1424" t="str">
        <f aca="false">IF($AT236&gt;0,VLOOKUP($AR236,'O_MN, PE_UTA_UGM 2024'!$E$3:$O$419,BC$6),"")</f>
        <v/>
      </c>
      <c r="BD236" s="1424" t="str">
        <f aca="false">IF($AT236&gt;0,VLOOKUP($AR236,'O_MN, PE_UTA_UGM 2024'!$E$3:$O$419,BD$6),"")</f>
        <v/>
      </c>
      <c r="BE236" s="1424" t="str">
        <f aca="false">IF($AT236&gt;0,VLOOKUP($AR236,'O_MN, PE_UTA_UGM 2024'!$E$3:$O$419,BE$6),"")</f>
        <v/>
      </c>
      <c r="BF236" s="1424" t="str">
        <f aca="false">IF($AT236&gt;0,VLOOKUP($AR236,'O_MN, PE_UTA_UGM 2024'!$E$3:$O$419,BF$6),"")</f>
        <v/>
      </c>
      <c r="BG236" s="1424" t="str">
        <f aca="false">IF($AT236&gt;0,VLOOKUP($AR236,'O_MN, PE_UTA_UGM 2024'!$E$3:$O$419,BG$6),"")</f>
        <v/>
      </c>
      <c r="BH236" s="872"/>
      <c r="BI236" s="872"/>
      <c r="BJ236" s="872"/>
      <c r="BK236" s="872"/>
      <c r="BM236" s="1411"/>
      <c r="BN236" s="1411"/>
      <c r="BO236" s="1425" t="str">
        <f aca="false">IF(ISNUMBER($AU236*BB236*1),$AU236*BB236*1,"")</f>
        <v/>
      </c>
      <c r="BP236" s="1425" t="str">
        <f aca="false">IF(ISNUMBER($AV236*BC236*1),$AV236*BC236*1,"")</f>
        <v/>
      </c>
      <c r="BQ236" s="1425" t="str">
        <f aca="false">IF(ISNUMBER($AU236*BD236*1),$AU236*BD236*1,"")</f>
        <v/>
      </c>
      <c r="BR236" s="1425" t="str">
        <f aca="false">IF(ISNUMBER($AV236*BE236*1),$AV236*BE236*1,"")</f>
        <v/>
      </c>
      <c r="BS236" s="1411" t="str">
        <f aca="false">IF(ISNUMBER($AU236*BF236),$AU236*BF236,"")</f>
        <v/>
      </c>
      <c r="BT236" s="1411" t="str">
        <f aca="false">IF(ISNUMBER($AV236*BG236),$AV236*BG236,"")</f>
        <v/>
      </c>
      <c r="BU236" s="1411"/>
      <c r="BV236" s="1411"/>
      <c r="BW236" s="1411"/>
      <c r="BX236" s="1411"/>
      <c r="BZ236" s="1372"/>
      <c r="CA236" s="1372"/>
      <c r="CB236" s="1426" t="str">
        <f aca="false">IF(ISNUMBER($AW236*BB236),$AW236*BB236,"")</f>
        <v/>
      </c>
      <c r="CC236" s="1426" t="str">
        <f aca="false">IF(ISNUMBER($AX236*BC236),$AX236*BC236,"")</f>
        <v/>
      </c>
      <c r="CD236" s="1426" t="str">
        <f aca="false">IF(ISNUMBER($AW236*BD236),$AW236*BD236,"")</f>
        <v/>
      </c>
      <c r="CE236" s="1426" t="str">
        <f aca="false">IF(ISNUMBER($AX236*BE236),$AX236*BE236,"")</f>
        <v/>
      </c>
      <c r="CF236" s="1372" t="str">
        <f aca="false">IF(ISNUMBER($AW236*BF236),$AW236*BF236,"")</f>
        <v/>
      </c>
      <c r="CG236" s="1372" t="str">
        <f aca="false">IF(ISNUMBER($AX236*BG236),$AX236*BG236,"")</f>
        <v/>
      </c>
      <c r="CH236" s="1438"/>
      <c r="CI236" s="1438"/>
      <c r="CJ236" s="1438"/>
      <c r="CK236" s="1438"/>
      <c r="CU236" s="1411"/>
      <c r="CV236" s="1411"/>
      <c r="CW236" s="1425"/>
      <c r="CX236" s="1425"/>
      <c r="CY236" s="1425"/>
      <c r="CZ236" s="1425"/>
      <c r="DA236" s="1411"/>
      <c r="DB236" s="1411"/>
      <c r="DC236" s="1411"/>
      <c r="DD236" s="1411"/>
      <c r="DE236" s="1411"/>
      <c r="DF236" s="1411"/>
      <c r="DH236" s="1432"/>
      <c r="DI236" s="1432"/>
      <c r="DJ236" s="1437"/>
      <c r="DK236" s="1437"/>
      <c r="DL236" s="1437"/>
      <c r="DM236" s="1437"/>
      <c r="DN236" s="1432"/>
      <c r="DO236" s="1432"/>
      <c r="DP236" s="1432"/>
      <c r="DQ236" s="1432"/>
      <c r="DR236" s="1432"/>
      <c r="DS236" s="1432"/>
      <c r="DT236" s="1316"/>
      <c r="DU236" s="1433"/>
      <c r="DV236" s="1433"/>
      <c r="DW236" s="1433"/>
      <c r="DX236" s="1433"/>
      <c r="DY236" s="1433"/>
      <c r="DZ236" s="1433"/>
      <c r="EA236" s="1433"/>
      <c r="EB236" s="1433"/>
    </row>
    <row r="237" customFormat="false" ht="14.25" hidden="false" customHeight="false" outlineLevel="0" collapsed="false">
      <c r="A237" s="2" t="n">
        <f aca="false">'V_DATOS PAC_SGA'!R232</f>
        <v>0</v>
      </c>
      <c r="B237" s="2" t="n">
        <f aca="false">IF(I237="IV",CONCATENATE('V_DATOS PAC_SGA'!R232,"4")+0,CONCATENATE('V_DATOS PAC_SGA'!R232,"0")+0)</f>
        <v>0</v>
      </c>
      <c r="C237" s="2" t="n">
        <f aca="false">'V_DATOS PAC_SGA'!S232</f>
        <v>0</v>
      </c>
      <c r="D237" s="1409" t="n">
        <f aca="false">'V_DATOS PAC_SGA'!Y232</f>
        <v>0</v>
      </c>
      <c r="E237" s="1410" t="str">
        <f aca="false">IF('V_DATOS PAC_SGA'!AV232="","Regadio",'V_DATOS PAC_SGA'!AV232)</f>
        <v>Regadio</v>
      </c>
      <c r="F237" s="1411" t="n">
        <f aca="false">'V_DATOS PAC_SGA'!BK232</f>
        <v>0</v>
      </c>
      <c r="G237" s="1412" t="n">
        <f aca="false">'V_DATOS PAC_SGA'!AN232</f>
        <v>0</v>
      </c>
      <c r="H237" s="1413" t="str">
        <f aca="false">IF(B237&gt;0,VLOOKUP(B237,'O_MN, PE_UTA_UGM 2024'!E$3:O$419,10),"")</f>
        <v/>
      </c>
      <c r="I237" s="1359" t="n">
        <f aca="false">'V_DATOS PAC_SGA'!BV232</f>
        <v>0</v>
      </c>
      <c r="J237" s="2" t="str">
        <f aca="false">IF(AND(J$4=$G237,J$6=$F237),$D237*J$5,"")</f>
        <v/>
      </c>
      <c r="K237" s="2" t="str">
        <f aca="false">IF(AND(K$4=$G237,K$6=$F237),$D237*K$5,"")</f>
        <v/>
      </c>
      <c r="L237" s="2" t="str">
        <f aca="false">IF(AND(L$4=$G237,L$6=$F237),$D237*L$5,"")</f>
        <v/>
      </c>
      <c r="M237" s="2" t="str">
        <f aca="false">IF(AND(M$4=$G237,M$6=$F237),$D237*M$5,"")</f>
        <v/>
      </c>
      <c r="N237" s="1414" t="n">
        <f aca="false">VLOOKUP(B237,'O_MN, PE_UTA_UGM 2024'!$E$2:$K$419,IF(G237&gt;1,6,7))</f>
        <v>0</v>
      </c>
      <c r="O237" s="1434" t="str">
        <f aca="false">IF($H237=O$4,$D237*$N237,"")</f>
        <v/>
      </c>
      <c r="P237" s="1435" t="str">
        <f aca="false">IF($H237=P$4,$D237*$N237,"")</f>
        <v/>
      </c>
      <c r="Q237" s="1435" t="str">
        <f aca="false">IF($H237=Q$4,$D237*$N237,"")</f>
        <v/>
      </c>
      <c r="R237" s="1435" t="str">
        <f aca="false">IF($H237=R$4,$D237*$N237,"")</f>
        <v/>
      </c>
      <c r="S237" s="1435" t="str">
        <f aca="false">IF($H237=S$4,$D237*$N237,"")</f>
        <v/>
      </c>
      <c r="T237" s="1435" t="str">
        <f aca="false">IF($H237=T$4,$D237*$N237,"")</f>
        <v/>
      </c>
      <c r="U237" s="1436" t="str">
        <f aca="false">IF($H237=U$4,$D237*$N237,"")</f>
        <v/>
      </c>
      <c r="V237" s="1418"/>
      <c r="W237" s="1419"/>
      <c r="X237" s="1419"/>
      <c r="Y237" s="1419"/>
      <c r="Z237" s="1419"/>
      <c r="AA237" s="1419"/>
      <c r="AB237" s="1420"/>
      <c r="AC237" s="1319"/>
      <c r="AD237" s="2" t="str">
        <f aca="false">IF(AND(AD$4=$G237,AD$6=$F237),$B237,"")</f>
        <v/>
      </c>
      <c r="AE237" s="2" t="str">
        <f aca="false">IF(AND(AE$4=$G237,AE$6=$F237),$B237,"")</f>
        <v/>
      </c>
      <c r="AF237" s="2" t="str">
        <f aca="false">IF(AND(AF$4=$G237,AF$6=$F237),$B237,"")</f>
        <v/>
      </c>
      <c r="AG237" s="2" t="str">
        <f aca="false">IF(AND(AG$4=$G237,AG$6=$F237),$B237,"")</f>
        <v/>
      </c>
      <c r="AI237" s="366"/>
      <c r="AL237" s="367"/>
      <c r="AO237" s="367"/>
      <c r="AP237" s="2" t="str">
        <f aca="false">IF(AT237&gt;0,RANK(AT237,AT$7:AT$423),"")</f>
        <v/>
      </c>
      <c r="AQ237" s="2" t="n">
        <f aca="false">'O_MN, PE_UTA_UGM 2024'!C233</f>
        <v>219</v>
      </c>
      <c r="AR237" s="1421" t="n">
        <v>2179</v>
      </c>
      <c r="AS237" s="2" t="str">
        <f aca="false">IF(AY237&lt;&gt;"",AY237,"")</f>
        <v/>
      </c>
      <c r="AT237" s="1422" t="n">
        <f aca="false">IF(ISNUMBER($AR237),SUMIF(B$7:B$505,AR237,D$7:D$505),"")</f>
        <v>0</v>
      </c>
      <c r="AU237" s="1411" t="n">
        <f aca="false">IF(ISNUMBER($AR237),SUMIF(AD$7:AD$503,$AR237,J$7:J$503),"")</f>
        <v>0</v>
      </c>
      <c r="AV237" s="1411" t="n">
        <f aca="false">IF(ISNUMBER($AR237),SUMIF(AF$7:AF$503,$AR237,L$7:L$503),"")</f>
        <v>0</v>
      </c>
      <c r="AW237" s="1423" t="n">
        <f aca="false">IF(ISNUMBER($AR237),SUMIF(AE$7:AE$503,$AR237,K$7:K$503),"")</f>
        <v>0</v>
      </c>
      <c r="AX237" s="1423" t="n">
        <f aca="false">IF(ISNUMBER($AR237),SUMIF(AG$7:AG$503,$AR237,M$7:M$503),"")</f>
        <v>0</v>
      </c>
      <c r="AY237" s="2" t="str">
        <f aca="false">IF($AT237&gt;0,VLOOKUP($AR237,'O_MN, PE_UTA_UGM 2024'!E233:O649,2),"")</f>
        <v/>
      </c>
      <c r="AZ237" s="1424"/>
      <c r="BA237" s="1424"/>
      <c r="BB237" s="1424" t="str">
        <f aca="false">IF($AT237&gt;0,VLOOKUP($AR237,'O_MN, PE_UTA_UGM 2024'!$E$3:$O$419,BB$6),"")</f>
        <v/>
      </c>
      <c r="BC237" s="1424" t="str">
        <f aca="false">IF($AT237&gt;0,VLOOKUP($AR237,'O_MN, PE_UTA_UGM 2024'!$E$3:$O$419,BC$6),"")</f>
        <v/>
      </c>
      <c r="BD237" s="1424" t="str">
        <f aca="false">IF($AT237&gt;0,VLOOKUP($AR237,'O_MN, PE_UTA_UGM 2024'!$E$3:$O$419,BD$6),"")</f>
        <v/>
      </c>
      <c r="BE237" s="1424" t="str">
        <f aca="false">IF($AT237&gt;0,VLOOKUP($AR237,'O_MN, PE_UTA_UGM 2024'!$E$3:$O$419,BE$6),"")</f>
        <v/>
      </c>
      <c r="BF237" s="1424" t="str">
        <f aca="false">IF($AT237&gt;0,VLOOKUP($AR237,'O_MN, PE_UTA_UGM 2024'!$E$3:$O$419,BF$6),"")</f>
        <v/>
      </c>
      <c r="BG237" s="1424" t="str">
        <f aca="false">IF($AT237&gt;0,VLOOKUP($AR237,'O_MN, PE_UTA_UGM 2024'!$E$3:$O$419,BG$6),"")</f>
        <v/>
      </c>
      <c r="BH237" s="872"/>
      <c r="BI237" s="872"/>
      <c r="BJ237" s="872"/>
      <c r="BK237" s="872"/>
      <c r="BM237" s="1411"/>
      <c r="BN237" s="1411"/>
      <c r="BO237" s="1425" t="str">
        <f aca="false">IF(ISNUMBER($AU237*BB237*1),$AU237*BB237*1,"")</f>
        <v/>
      </c>
      <c r="BP237" s="1425" t="str">
        <f aca="false">IF(ISNUMBER($AV237*BC237*1),$AV237*BC237*1,"")</f>
        <v/>
      </c>
      <c r="BQ237" s="1425" t="str">
        <f aca="false">IF(ISNUMBER($AU237*BD237*1),$AU237*BD237*1,"")</f>
        <v/>
      </c>
      <c r="BR237" s="1425" t="str">
        <f aca="false">IF(ISNUMBER($AV237*BE237*1),$AV237*BE237*1,"")</f>
        <v/>
      </c>
      <c r="BS237" s="1411" t="str">
        <f aca="false">IF(ISNUMBER($AU237*BF237),$AU237*BF237,"")</f>
        <v/>
      </c>
      <c r="BT237" s="1411" t="str">
        <f aca="false">IF(ISNUMBER($AV237*BG237),$AV237*BG237,"")</f>
        <v/>
      </c>
      <c r="BU237" s="1411"/>
      <c r="BV237" s="1411"/>
      <c r="BW237" s="1411"/>
      <c r="BX237" s="1411"/>
      <c r="BZ237" s="1372"/>
      <c r="CA237" s="1372"/>
      <c r="CB237" s="1426" t="str">
        <f aca="false">IF(ISNUMBER($AW237*BB237),$AW237*BB237,"")</f>
        <v/>
      </c>
      <c r="CC237" s="1426" t="str">
        <f aca="false">IF(ISNUMBER($AX237*BC237),$AX237*BC237,"")</f>
        <v/>
      </c>
      <c r="CD237" s="1426" t="str">
        <f aca="false">IF(ISNUMBER($AW237*BD237),$AW237*BD237,"")</f>
        <v/>
      </c>
      <c r="CE237" s="1426" t="str">
        <f aca="false">IF(ISNUMBER($AX237*BE237),$AX237*BE237,"")</f>
        <v/>
      </c>
      <c r="CF237" s="1372" t="str">
        <f aca="false">IF(ISNUMBER($AW237*BF237),$AW237*BF237,"")</f>
        <v/>
      </c>
      <c r="CG237" s="1372" t="str">
        <f aca="false">IF(ISNUMBER($AX237*BG237),$AX237*BG237,"")</f>
        <v/>
      </c>
      <c r="CH237" s="1438"/>
      <c r="CI237" s="1438"/>
      <c r="CJ237" s="1438"/>
      <c r="CK237" s="1438"/>
      <c r="CU237" s="1411"/>
      <c r="CV237" s="1411"/>
      <c r="CW237" s="1425"/>
      <c r="CX237" s="1425"/>
      <c r="CY237" s="1425"/>
      <c r="CZ237" s="1425"/>
      <c r="DA237" s="1411"/>
      <c r="DB237" s="1411"/>
      <c r="DC237" s="1411"/>
      <c r="DD237" s="1411"/>
      <c r="DE237" s="1411"/>
      <c r="DF237" s="1411"/>
      <c r="DH237" s="1432"/>
      <c r="DI237" s="1432"/>
      <c r="DJ237" s="1437"/>
      <c r="DK237" s="1437"/>
      <c r="DL237" s="1437"/>
      <c r="DM237" s="1437"/>
      <c r="DN237" s="1432"/>
      <c r="DO237" s="1432"/>
      <c r="DP237" s="1432"/>
      <c r="DQ237" s="1432"/>
      <c r="DR237" s="1432"/>
      <c r="DS237" s="1432"/>
      <c r="DT237" s="1316"/>
      <c r="DU237" s="1433"/>
      <c r="DV237" s="1433"/>
      <c r="DW237" s="1433"/>
      <c r="DX237" s="1433"/>
      <c r="DY237" s="1433"/>
      <c r="DZ237" s="1433"/>
      <c r="EA237" s="1433"/>
      <c r="EB237" s="1433"/>
    </row>
    <row r="238" customFormat="false" ht="14.25" hidden="false" customHeight="false" outlineLevel="0" collapsed="false">
      <c r="A238" s="2" t="n">
        <f aca="false">'V_DATOS PAC_SGA'!R233</f>
        <v>0</v>
      </c>
      <c r="B238" s="2" t="n">
        <f aca="false">IF(I238="IV",CONCATENATE('V_DATOS PAC_SGA'!R233,"4")+0,CONCATENATE('V_DATOS PAC_SGA'!R233,"0")+0)</f>
        <v>0</v>
      </c>
      <c r="C238" s="2" t="n">
        <f aca="false">'V_DATOS PAC_SGA'!S233</f>
        <v>0</v>
      </c>
      <c r="D238" s="1409" t="n">
        <f aca="false">'V_DATOS PAC_SGA'!Y233</f>
        <v>0</v>
      </c>
      <c r="E238" s="1410" t="str">
        <f aca="false">IF('V_DATOS PAC_SGA'!AV233="","Regadio",'V_DATOS PAC_SGA'!AV233)</f>
        <v>Regadio</v>
      </c>
      <c r="F238" s="1411" t="n">
        <f aca="false">'V_DATOS PAC_SGA'!BK233</f>
        <v>0</v>
      </c>
      <c r="G238" s="1412" t="n">
        <f aca="false">'V_DATOS PAC_SGA'!AN233</f>
        <v>0</v>
      </c>
      <c r="H238" s="1413" t="str">
        <f aca="false">IF(B238&gt;0,VLOOKUP(B238,'O_MN, PE_UTA_UGM 2024'!E$3:O$419,10),"")</f>
        <v/>
      </c>
      <c r="I238" s="1359" t="n">
        <f aca="false">'V_DATOS PAC_SGA'!BV233</f>
        <v>0</v>
      </c>
      <c r="J238" s="2" t="str">
        <f aca="false">IF(AND(J$4=$G238,J$6=$F238),$D238*J$5,"")</f>
        <v/>
      </c>
      <c r="K238" s="2" t="str">
        <f aca="false">IF(AND(K$4=$G238,K$6=$F238),$D238*K$5,"")</f>
        <v/>
      </c>
      <c r="L238" s="2" t="str">
        <f aca="false">IF(AND(L$4=$G238,L$6=$F238),$D238*L$5,"")</f>
        <v/>
      </c>
      <c r="M238" s="2" t="str">
        <f aca="false">IF(AND(M$4=$G238,M$6=$F238),$D238*M$5,"")</f>
        <v/>
      </c>
      <c r="N238" s="1414" t="n">
        <f aca="false">VLOOKUP(B238,'O_MN, PE_UTA_UGM 2024'!$E$2:$K$419,IF(G238&gt;1,6,7))</f>
        <v>0</v>
      </c>
      <c r="O238" s="1434" t="str">
        <f aca="false">IF($H238=O$4,$D238*$N238,"")</f>
        <v/>
      </c>
      <c r="P238" s="1435" t="str">
        <f aca="false">IF($H238=P$4,$D238*$N238,"")</f>
        <v/>
      </c>
      <c r="Q238" s="1435" t="str">
        <f aca="false">IF($H238=Q$4,$D238*$N238,"")</f>
        <v/>
      </c>
      <c r="R238" s="1435" t="str">
        <f aca="false">IF($H238=R$4,$D238*$N238,"")</f>
        <v/>
      </c>
      <c r="S238" s="1435" t="str">
        <f aca="false">IF($H238=S$4,$D238*$N238,"")</f>
        <v/>
      </c>
      <c r="T238" s="1435" t="str">
        <f aca="false">IF($H238=T$4,$D238*$N238,"")</f>
        <v/>
      </c>
      <c r="U238" s="1436" t="str">
        <f aca="false">IF($H238=U$4,$D238*$N238,"")</f>
        <v/>
      </c>
      <c r="V238" s="1418"/>
      <c r="W238" s="1419"/>
      <c r="X238" s="1419"/>
      <c r="Y238" s="1419"/>
      <c r="Z238" s="1419"/>
      <c r="AA238" s="1419"/>
      <c r="AB238" s="1420"/>
      <c r="AC238" s="1319"/>
      <c r="AD238" s="2" t="str">
        <f aca="false">IF(AND(AD$4=$G238,AD$6=$F238),$B238,"")</f>
        <v/>
      </c>
      <c r="AE238" s="2" t="str">
        <f aca="false">IF(AND(AE$4=$G238,AE$6=$F238),$B238,"")</f>
        <v/>
      </c>
      <c r="AF238" s="2" t="str">
        <f aca="false">IF(AND(AF$4=$G238,AF$6=$F238),$B238,"")</f>
        <v/>
      </c>
      <c r="AG238" s="2" t="str">
        <f aca="false">IF(AND(AG$4=$G238,AG$6=$F238),$B238,"")</f>
        <v/>
      </c>
      <c r="AI238" s="366"/>
      <c r="AL238" s="367"/>
      <c r="AO238" s="367"/>
      <c r="AP238" s="2" t="str">
        <f aca="false">IF(AT238&gt;0,RANK(AT238,AT$7:AT$423),"")</f>
        <v/>
      </c>
      <c r="AQ238" s="2" t="n">
        <f aca="false">'O_MN, PE_UTA_UGM 2024'!C234</f>
        <v>219</v>
      </c>
      <c r="AR238" s="1421" t="n">
        <v>2180</v>
      </c>
      <c r="AS238" s="2" t="str">
        <f aca="false">IF(AY238&lt;&gt;"",AY238,"")</f>
        <v/>
      </c>
      <c r="AT238" s="1422" t="n">
        <f aca="false">IF(ISNUMBER($AR238),SUMIF(B$7:B$505,AR238,D$7:D$505),"")</f>
        <v>0</v>
      </c>
      <c r="AU238" s="1411" t="n">
        <f aca="false">IF(ISNUMBER($AR238),SUMIF(AD$7:AD$503,$AR238,J$7:J$503),"")</f>
        <v>0</v>
      </c>
      <c r="AV238" s="1411" t="n">
        <f aca="false">IF(ISNUMBER($AR238),SUMIF(AF$7:AF$503,$AR238,L$7:L$503),"")</f>
        <v>0</v>
      </c>
      <c r="AW238" s="1423" t="n">
        <f aca="false">IF(ISNUMBER($AR238),SUMIF(AE$7:AE$503,$AR238,K$7:K$503),"")</f>
        <v>0</v>
      </c>
      <c r="AX238" s="1423" t="n">
        <f aca="false">IF(ISNUMBER($AR238),SUMIF(AG$7:AG$503,$AR238,M$7:M$503),"")</f>
        <v>0</v>
      </c>
      <c r="AY238" s="2" t="str">
        <f aca="false">IF($AT238&gt;0,VLOOKUP($AR238,'O_MN, PE_UTA_UGM 2024'!E234:O650,2),"")</f>
        <v/>
      </c>
      <c r="AZ238" s="1424"/>
      <c r="BA238" s="1424"/>
      <c r="BB238" s="1424" t="str">
        <f aca="false">IF($AT238&gt;0,VLOOKUP($AR238,'O_MN, PE_UTA_UGM 2024'!$E$3:$O$419,BB$6),"")</f>
        <v/>
      </c>
      <c r="BC238" s="1424" t="str">
        <f aca="false">IF($AT238&gt;0,VLOOKUP($AR238,'O_MN, PE_UTA_UGM 2024'!$E$3:$O$419,BC$6),"")</f>
        <v/>
      </c>
      <c r="BD238" s="1424" t="str">
        <f aca="false">IF($AT238&gt;0,VLOOKUP($AR238,'O_MN, PE_UTA_UGM 2024'!$E$3:$O$419,BD$6),"")</f>
        <v/>
      </c>
      <c r="BE238" s="1424" t="str">
        <f aca="false">IF($AT238&gt;0,VLOOKUP($AR238,'O_MN, PE_UTA_UGM 2024'!$E$3:$O$419,BE$6),"")</f>
        <v/>
      </c>
      <c r="BF238" s="1424" t="str">
        <f aca="false">IF($AT238&gt;0,VLOOKUP($AR238,'O_MN, PE_UTA_UGM 2024'!$E$3:$O$419,BF$6),"")</f>
        <v/>
      </c>
      <c r="BG238" s="1424" t="str">
        <f aca="false">IF($AT238&gt;0,VLOOKUP($AR238,'O_MN, PE_UTA_UGM 2024'!$E$3:$O$419,BG$6),"")</f>
        <v/>
      </c>
      <c r="BH238" s="872"/>
      <c r="BI238" s="872"/>
      <c r="BJ238" s="872"/>
      <c r="BK238" s="872"/>
      <c r="BM238" s="1411"/>
      <c r="BN238" s="1411"/>
      <c r="BO238" s="1425" t="str">
        <f aca="false">IF(ISNUMBER($AU238*BB238*1),$AU238*BB238*1,"")</f>
        <v/>
      </c>
      <c r="BP238" s="1425" t="str">
        <f aca="false">IF(ISNUMBER($AV238*BC238*1),$AV238*BC238*1,"")</f>
        <v/>
      </c>
      <c r="BQ238" s="1425" t="str">
        <f aca="false">IF(ISNUMBER($AU238*BD238*1),$AU238*BD238*1,"")</f>
        <v/>
      </c>
      <c r="BR238" s="1425" t="str">
        <f aca="false">IF(ISNUMBER($AV238*BE238*1),$AV238*BE238*1,"")</f>
        <v/>
      </c>
      <c r="BS238" s="1411" t="str">
        <f aca="false">IF(ISNUMBER($AU238*BF238),$AU238*BF238,"")</f>
        <v/>
      </c>
      <c r="BT238" s="1411" t="str">
        <f aca="false">IF(ISNUMBER($AV238*BG238),$AV238*BG238,"")</f>
        <v/>
      </c>
      <c r="BU238" s="1411"/>
      <c r="BV238" s="1411"/>
      <c r="BW238" s="1411"/>
      <c r="BX238" s="1411"/>
      <c r="BZ238" s="1372"/>
      <c r="CA238" s="1372"/>
      <c r="CB238" s="1426" t="str">
        <f aca="false">IF(ISNUMBER($AW238*BB238),$AW238*BB238,"")</f>
        <v/>
      </c>
      <c r="CC238" s="1426" t="str">
        <f aca="false">IF(ISNUMBER($AX238*BC238),$AX238*BC238,"")</f>
        <v/>
      </c>
      <c r="CD238" s="1426" t="str">
        <f aca="false">IF(ISNUMBER($AW238*BD238),$AW238*BD238,"")</f>
        <v/>
      </c>
      <c r="CE238" s="1426" t="str">
        <f aca="false">IF(ISNUMBER($AX238*BE238),$AX238*BE238,"")</f>
        <v/>
      </c>
      <c r="CF238" s="1372" t="str">
        <f aca="false">IF(ISNUMBER($AW238*BF238),$AW238*BF238,"")</f>
        <v/>
      </c>
      <c r="CG238" s="1372" t="str">
        <f aca="false">IF(ISNUMBER($AX238*BG238),$AX238*BG238,"")</f>
        <v/>
      </c>
      <c r="CH238" s="1438"/>
      <c r="CI238" s="1438"/>
      <c r="CJ238" s="1438"/>
      <c r="CK238" s="1438"/>
      <c r="CU238" s="1411"/>
      <c r="CV238" s="1411"/>
      <c r="CW238" s="1425"/>
      <c r="CX238" s="1425"/>
      <c r="CY238" s="1425"/>
      <c r="CZ238" s="1425"/>
      <c r="DA238" s="1411"/>
      <c r="DB238" s="1411"/>
      <c r="DC238" s="1411"/>
      <c r="DD238" s="1411"/>
      <c r="DE238" s="1411"/>
      <c r="DF238" s="1411"/>
      <c r="DH238" s="1432"/>
      <c r="DI238" s="1432"/>
      <c r="DJ238" s="1437"/>
      <c r="DK238" s="1437"/>
      <c r="DL238" s="1437"/>
      <c r="DM238" s="1437"/>
      <c r="DN238" s="1432"/>
      <c r="DO238" s="1432"/>
      <c r="DP238" s="1432"/>
      <c r="DQ238" s="1432"/>
      <c r="DR238" s="1432"/>
      <c r="DS238" s="1432"/>
      <c r="DT238" s="1316"/>
      <c r="DU238" s="1433"/>
      <c r="DV238" s="1433"/>
      <c r="DW238" s="1433"/>
      <c r="DX238" s="1433"/>
      <c r="DY238" s="1433"/>
      <c r="DZ238" s="1433"/>
      <c r="EA238" s="1433"/>
      <c r="EB238" s="1433"/>
    </row>
    <row r="239" customFormat="false" ht="14.25" hidden="false" customHeight="false" outlineLevel="0" collapsed="false">
      <c r="A239" s="2" t="n">
        <f aca="false">'V_DATOS PAC_SGA'!R234</f>
        <v>0</v>
      </c>
      <c r="B239" s="2" t="n">
        <f aca="false">IF(I239="IV",CONCATENATE('V_DATOS PAC_SGA'!R234,"4")+0,CONCATENATE('V_DATOS PAC_SGA'!R234,"0")+0)</f>
        <v>0</v>
      </c>
      <c r="C239" s="2" t="n">
        <f aca="false">'V_DATOS PAC_SGA'!S234</f>
        <v>0</v>
      </c>
      <c r="D239" s="1409" t="n">
        <f aca="false">'V_DATOS PAC_SGA'!Y234</f>
        <v>0</v>
      </c>
      <c r="E239" s="1410" t="str">
        <f aca="false">IF('V_DATOS PAC_SGA'!AV234="","Regadio",'V_DATOS PAC_SGA'!AV234)</f>
        <v>Regadio</v>
      </c>
      <c r="F239" s="1411" t="n">
        <f aca="false">'V_DATOS PAC_SGA'!BK234</f>
        <v>0</v>
      </c>
      <c r="G239" s="1412" t="n">
        <f aca="false">'V_DATOS PAC_SGA'!AN234</f>
        <v>0</v>
      </c>
      <c r="H239" s="1413" t="str">
        <f aca="false">IF(B239&gt;0,VLOOKUP(B239,'O_MN, PE_UTA_UGM 2024'!E$3:O$419,10),"")</f>
        <v/>
      </c>
      <c r="I239" s="1359" t="n">
        <f aca="false">'V_DATOS PAC_SGA'!BV234</f>
        <v>0</v>
      </c>
      <c r="J239" s="2" t="str">
        <f aca="false">IF(AND(J$4=$G239,J$6=$F239),$D239*J$5,"")</f>
        <v/>
      </c>
      <c r="K239" s="2" t="str">
        <f aca="false">IF(AND(K$4=$G239,K$6=$F239),$D239*K$5,"")</f>
        <v/>
      </c>
      <c r="L239" s="2" t="str">
        <f aca="false">IF(AND(L$4=$G239,L$6=$F239),$D239*L$5,"")</f>
        <v/>
      </c>
      <c r="M239" s="2" t="str">
        <f aca="false">IF(AND(M$4=$G239,M$6=$F239),$D239*M$5,"")</f>
        <v/>
      </c>
      <c r="N239" s="1414" t="n">
        <f aca="false">VLOOKUP(B239,'O_MN, PE_UTA_UGM 2024'!$E$2:$K$419,IF(G239&gt;1,6,7))</f>
        <v>0</v>
      </c>
      <c r="O239" s="1434" t="str">
        <f aca="false">IF($H239=O$4,$D239*$N239,"")</f>
        <v/>
      </c>
      <c r="P239" s="1435" t="str">
        <f aca="false">IF($H239=P$4,$D239*$N239,"")</f>
        <v/>
      </c>
      <c r="Q239" s="1435" t="str">
        <f aca="false">IF($H239=Q$4,$D239*$N239,"")</f>
        <v/>
      </c>
      <c r="R239" s="1435" t="str">
        <f aca="false">IF($H239=R$4,$D239*$N239,"")</f>
        <v/>
      </c>
      <c r="S239" s="1435" t="str">
        <f aca="false">IF($H239=S$4,$D239*$N239,"")</f>
        <v/>
      </c>
      <c r="T239" s="1435" t="str">
        <f aca="false">IF($H239=T$4,$D239*$N239,"")</f>
        <v/>
      </c>
      <c r="U239" s="1436" t="str">
        <f aca="false">IF($H239=U$4,$D239*$N239,"")</f>
        <v/>
      </c>
      <c r="V239" s="1418"/>
      <c r="W239" s="1419"/>
      <c r="X239" s="1419"/>
      <c r="Y239" s="1419"/>
      <c r="Z239" s="1419"/>
      <c r="AA239" s="1419"/>
      <c r="AB239" s="1420"/>
      <c r="AC239" s="1319"/>
      <c r="AD239" s="2" t="str">
        <f aca="false">IF(AND(AD$4=$G239,AD$6=$F239),$B239,"")</f>
        <v/>
      </c>
      <c r="AE239" s="2" t="str">
        <f aca="false">IF(AND(AE$4=$G239,AE$6=$F239),$B239,"")</f>
        <v/>
      </c>
      <c r="AF239" s="2" t="str">
        <f aca="false">IF(AND(AF$4=$G239,AF$6=$F239),$B239,"")</f>
        <v/>
      </c>
      <c r="AG239" s="2" t="str">
        <f aca="false">IF(AND(AG$4=$G239,AG$6=$F239),$B239,"")</f>
        <v/>
      </c>
      <c r="AI239" s="366"/>
      <c r="AL239" s="367"/>
      <c r="AO239" s="367"/>
      <c r="AP239" s="2" t="str">
        <f aca="false">IF(AT239&gt;0,RANK(AT239,AT$7:AT$423),"")</f>
        <v/>
      </c>
      <c r="AQ239" s="2" t="n">
        <f aca="false">'O_MN, PE_UTA_UGM 2024'!C235</f>
        <v>219</v>
      </c>
      <c r="AR239" s="1421" t="n">
        <v>2184</v>
      </c>
      <c r="AS239" s="2" t="str">
        <f aca="false">IF(AY239&lt;&gt;"",AY239,"")</f>
        <v/>
      </c>
      <c r="AT239" s="1422" t="n">
        <f aca="false">IF(ISNUMBER($AR239),SUMIF(B$7:B$505,AR239,D$7:D$505),"")</f>
        <v>0</v>
      </c>
      <c r="AU239" s="1411" t="n">
        <f aca="false">IF(ISNUMBER($AR239),SUMIF(AD$7:AD$503,$AR239,J$7:J$503),"")</f>
        <v>0</v>
      </c>
      <c r="AV239" s="1411" t="n">
        <f aca="false">IF(ISNUMBER($AR239),SUMIF(AF$7:AF$503,$AR239,L$7:L$503),"")</f>
        <v>0</v>
      </c>
      <c r="AW239" s="1423" t="n">
        <f aca="false">IF(ISNUMBER($AR239),SUMIF(AE$7:AE$503,$AR239,K$7:K$503),"")</f>
        <v>0</v>
      </c>
      <c r="AX239" s="1423" t="n">
        <f aca="false">IF(ISNUMBER($AR239),SUMIF(AG$7:AG$503,$AR239,M$7:M$503),"")</f>
        <v>0</v>
      </c>
      <c r="AY239" s="2" t="str">
        <f aca="false">IF($AT239&gt;0,VLOOKUP($AR239,'O_MN, PE_UTA_UGM 2024'!E235:O651,2),"")</f>
        <v/>
      </c>
      <c r="AZ239" s="1424"/>
      <c r="BA239" s="1424"/>
      <c r="BB239" s="1424" t="str">
        <f aca="false">IF($AT239&gt;0,VLOOKUP($AR239,'O_MN, PE_UTA_UGM 2024'!$E$3:$O$419,BB$6),"")</f>
        <v/>
      </c>
      <c r="BC239" s="1424" t="str">
        <f aca="false">IF($AT239&gt;0,VLOOKUP($AR239,'O_MN, PE_UTA_UGM 2024'!$E$3:$O$419,BC$6),"")</f>
        <v/>
      </c>
      <c r="BD239" s="1424" t="str">
        <f aca="false">IF($AT239&gt;0,VLOOKUP($AR239,'O_MN, PE_UTA_UGM 2024'!$E$3:$O$419,BD$6),"")</f>
        <v/>
      </c>
      <c r="BE239" s="1424" t="str">
        <f aca="false">IF($AT239&gt;0,VLOOKUP($AR239,'O_MN, PE_UTA_UGM 2024'!$E$3:$O$419,BE$6),"")</f>
        <v/>
      </c>
      <c r="BF239" s="1424" t="str">
        <f aca="false">IF($AT239&gt;0,VLOOKUP($AR239,'O_MN, PE_UTA_UGM 2024'!$E$3:$O$419,BF$6),"")</f>
        <v/>
      </c>
      <c r="BG239" s="1424" t="str">
        <f aca="false">IF($AT239&gt;0,VLOOKUP($AR239,'O_MN, PE_UTA_UGM 2024'!$E$3:$O$419,BG$6),"")</f>
        <v/>
      </c>
      <c r="BH239" s="872"/>
      <c r="BI239" s="872"/>
      <c r="BJ239" s="872"/>
      <c r="BK239" s="872"/>
      <c r="BM239" s="1411"/>
      <c r="BN239" s="1411"/>
      <c r="BO239" s="1425" t="str">
        <f aca="false">IF(ISNUMBER($AU239*BB239*1),$AU239*BB239*1,"")</f>
        <v/>
      </c>
      <c r="BP239" s="1425" t="str">
        <f aca="false">IF(ISNUMBER($AV239*BC239*1),$AV239*BC239*1,"")</f>
        <v/>
      </c>
      <c r="BQ239" s="1425" t="str">
        <f aca="false">IF(ISNUMBER($AU239*BD239*1),$AU239*BD239*1,"")</f>
        <v/>
      </c>
      <c r="BR239" s="1425" t="str">
        <f aca="false">IF(ISNUMBER($AV239*BE239*1),$AV239*BE239*1,"")</f>
        <v/>
      </c>
      <c r="BS239" s="1411" t="str">
        <f aca="false">IF(ISNUMBER($AU239*BF239),$AU239*BF239,"")</f>
        <v/>
      </c>
      <c r="BT239" s="1411" t="str">
        <f aca="false">IF(ISNUMBER($AV239*BG239),$AV239*BG239,"")</f>
        <v/>
      </c>
      <c r="BU239" s="1411"/>
      <c r="BV239" s="1411"/>
      <c r="BW239" s="1411"/>
      <c r="BX239" s="1411"/>
      <c r="BZ239" s="1372"/>
      <c r="CA239" s="1372"/>
      <c r="CB239" s="1426" t="str">
        <f aca="false">IF(ISNUMBER($AW239*BB239),$AW239*BB239,"")</f>
        <v/>
      </c>
      <c r="CC239" s="1426" t="str">
        <f aca="false">IF(ISNUMBER($AX239*BC239),$AX239*BC239,"")</f>
        <v/>
      </c>
      <c r="CD239" s="1426" t="str">
        <f aca="false">IF(ISNUMBER($AW239*BD239),$AW239*BD239,"")</f>
        <v/>
      </c>
      <c r="CE239" s="1426" t="str">
        <f aca="false">IF(ISNUMBER($AX239*BE239),$AX239*BE239,"")</f>
        <v/>
      </c>
      <c r="CF239" s="1372" t="str">
        <f aca="false">IF(ISNUMBER($AW239*BF239),$AW239*BF239,"")</f>
        <v/>
      </c>
      <c r="CG239" s="1372" t="str">
        <f aca="false">IF(ISNUMBER($AX239*BG239),$AX239*BG239,"")</f>
        <v/>
      </c>
      <c r="CH239" s="1438"/>
      <c r="CI239" s="1438"/>
      <c r="CJ239" s="1438"/>
      <c r="CK239" s="1438"/>
      <c r="CU239" s="1411"/>
      <c r="CV239" s="1411"/>
      <c r="CW239" s="1425"/>
      <c r="CX239" s="1425"/>
      <c r="CY239" s="1425"/>
      <c r="CZ239" s="1425"/>
      <c r="DA239" s="1411"/>
      <c r="DB239" s="1411"/>
      <c r="DC239" s="1411"/>
      <c r="DD239" s="1411"/>
      <c r="DE239" s="1411"/>
      <c r="DF239" s="1411"/>
      <c r="DH239" s="1432"/>
      <c r="DI239" s="1432"/>
      <c r="DJ239" s="1437"/>
      <c r="DK239" s="1437"/>
      <c r="DL239" s="1437"/>
      <c r="DM239" s="1437"/>
      <c r="DN239" s="1432"/>
      <c r="DO239" s="1432"/>
      <c r="DP239" s="1432"/>
      <c r="DQ239" s="1432"/>
      <c r="DR239" s="1432"/>
      <c r="DS239" s="1432"/>
      <c r="DT239" s="1316"/>
      <c r="DU239" s="1433"/>
      <c r="DV239" s="1433"/>
      <c r="DW239" s="1433"/>
      <c r="DX239" s="1433"/>
      <c r="DY239" s="1433"/>
      <c r="DZ239" s="1433"/>
      <c r="EA239" s="1433"/>
      <c r="EB239" s="1433"/>
    </row>
    <row r="240" customFormat="false" ht="14.25" hidden="false" customHeight="false" outlineLevel="0" collapsed="false">
      <c r="A240" s="2" t="n">
        <f aca="false">'V_DATOS PAC_SGA'!R235</f>
        <v>0</v>
      </c>
      <c r="B240" s="2" t="n">
        <f aca="false">IF(I240="IV",CONCATENATE('V_DATOS PAC_SGA'!R235,"4")+0,CONCATENATE('V_DATOS PAC_SGA'!R235,"0")+0)</f>
        <v>0</v>
      </c>
      <c r="C240" s="2" t="n">
        <f aca="false">'V_DATOS PAC_SGA'!S235</f>
        <v>0</v>
      </c>
      <c r="D240" s="1409" t="n">
        <f aca="false">'V_DATOS PAC_SGA'!Y235</f>
        <v>0</v>
      </c>
      <c r="E240" s="1410" t="str">
        <f aca="false">IF('V_DATOS PAC_SGA'!AV235="","Regadio",'V_DATOS PAC_SGA'!AV235)</f>
        <v>Regadio</v>
      </c>
      <c r="F240" s="1411" t="n">
        <f aca="false">'V_DATOS PAC_SGA'!BK235</f>
        <v>0</v>
      </c>
      <c r="G240" s="1412" t="n">
        <f aca="false">'V_DATOS PAC_SGA'!AN235</f>
        <v>0</v>
      </c>
      <c r="H240" s="1413" t="str">
        <f aca="false">IF(B240&gt;0,VLOOKUP(B240,'O_MN, PE_UTA_UGM 2024'!E$3:O$419,10),"")</f>
        <v/>
      </c>
      <c r="I240" s="1359" t="n">
        <f aca="false">'V_DATOS PAC_SGA'!BV235</f>
        <v>0</v>
      </c>
      <c r="J240" s="2" t="str">
        <f aca="false">IF(AND(J$4=$G240,J$6=$F240),$D240*J$5,"")</f>
        <v/>
      </c>
      <c r="K240" s="2" t="str">
        <f aca="false">IF(AND(K$4=$G240,K$6=$F240),$D240*K$5,"")</f>
        <v/>
      </c>
      <c r="L240" s="2" t="str">
        <f aca="false">IF(AND(L$4=$G240,L$6=$F240),$D240*L$5,"")</f>
        <v/>
      </c>
      <c r="M240" s="2" t="str">
        <f aca="false">IF(AND(M$4=$G240,M$6=$F240),$D240*M$5,"")</f>
        <v/>
      </c>
      <c r="N240" s="1414" t="n">
        <f aca="false">VLOOKUP(B240,'O_MN, PE_UTA_UGM 2024'!$E$2:$K$419,IF(G240&gt;1,6,7))</f>
        <v>0</v>
      </c>
      <c r="O240" s="1434" t="str">
        <f aca="false">IF($H240=O$4,$D240*$N240,"")</f>
        <v/>
      </c>
      <c r="P240" s="1435" t="str">
        <f aca="false">IF($H240=P$4,$D240*$N240,"")</f>
        <v/>
      </c>
      <c r="Q240" s="1435" t="str">
        <f aca="false">IF($H240=Q$4,$D240*$N240,"")</f>
        <v/>
      </c>
      <c r="R240" s="1435" t="str">
        <f aca="false">IF($H240=R$4,$D240*$N240,"")</f>
        <v/>
      </c>
      <c r="S240" s="1435" t="str">
        <f aca="false">IF($H240=S$4,$D240*$N240,"")</f>
        <v/>
      </c>
      <c r="T240" s="1435" t="str">
        <f aca="false">IF($H240=T$4,$D240*$N240,"")</f>
        <v/>
      </c>
      <c r="U240" s="1436" t="str">
        <f aca="false">IF($H240=U$4,$D240*$N240,"")</f>
        <v/>
      </c>
      <c r="V240" s="1418"/>
      <c r="W240" s="1419"/>
      <c r="X240" s="1419"/>
      <c r="Y240" s="1419"/>
      <c r="Z240" s="1419"/>
      <c r="AA240" s="1419"/>
      <c r="AB240" s="1420"/>
      <c r="AC240" s="1319"/>
      <c r="AD240" s="2" t="str">
        <f aca="false">IF(AND(AD$4=$G240,AD$6=$F240),$B240,"")</f>
        <v/>
      </c>
      <c r="AE240" s="2" t="str">
        <f aca="false">IF(AND(AE$4=$G240,AE$6=$F240),$B240,"")</f>
        <v/>
      </c>
      <c r="AF240" s="2" t="str">
        <f aca="false">IF(AND(AF$4=$G240,AF$6=$F240),$B240,"")</f>
        <v/>
      </c>
      <c r="AG240" s="2" t="str">
        <f aca="false">IF(AND(AG$4=$G240,AG$6=$F240),$B240,"")</f>
        <v/>
      </c>
      <c r="AI240" s="366"/>
      <c r="AL240" s="367"/>
      <c r="AO240" s="367"/>
      <c r="AP240" s="2" t="str">
        <f aca="false">IF(AT240&gt;0,RANK(AT240,AT$7:AT$423),"")</f>
        <v/>
      </c>
      <c r="AQ240" s="2" t="n">
        <f aca="false">'O_MN, PE_UTA_UGM 2024'!C236</f>
        <v>220</v>
      </c>
      <c r="AR240" s="1421" t="n">
        <v>2189</v>
      </c>
      <c r="AS240" s="2" t="str">
        <f aca="false">IF(AY240&lt;&gt;"",AY240,"")</f>
        <v/>
      </c>
      <c r="AT240" s="1422" t="n">
        <f aca="false">IF(ISNUMBER($AR240),SUMIF(B$7:B$505,AR240,D$7:D$505),"")</f>
        <v>0</v>
      </c>
      <c r="AU240" s="1411" t="n">
        <f aca="false">IF(ISNUMBER($AR240),SUMIF(AD$7:AD$503,$AR240,J$7:J$503),"")</f>
        <v>0</v>
      </c>
      <c r="AV240" s="1411" t="n">
        <f aca="false">IF(ISNUMBER($AR240),SUMIF(AF$7:AF$503,$AR240,L$7:L$503),"")</f>
        <v>0</v>
      </c>
      <c r="AW240" s="1423" t="n">
        <f aca="false">IF(ISNUMBER($AR240),SUMIF(AE$7:AE$503,$AR240,K$7:K$503),"")</f>
        <v>0</v>
      </c>
      <c r="AX240" s="1423" t="n">
        <f aca="false">IF(ISNUMBER($AR240),SUMIF(AG$7:AG$503,$AR240,M$7:M$503),"")</f>
        <v>0</v>
      </c>
      <c r="AY240" s="2" t="str">
        <f aca="false">IF($AT240&gt;0,VLOOKUP($AR240,'O_MN, PE_UTA_UGM 2024'!E236:O652,2),"")</f>
        <v/>
      </c>
      <c r="AZ240" s="1424"/>
      <c r="BA240" s="1424"/>
      <c r="BB240" s="1424" t="str">
        <f aca="false">IF($AT240&gt;0,VLOOKUP($AR240,'O_MN, PE_UTA_UGM 2024'!$E$3:$O$419,BB$6),"")</f>
        <v/>
      </c>
      <c r="BC240" s="1424" t="str">
        <f aca="false">IF($AT240&gt;0,VLOOKUP($AR240,'O_MN, PE_UTA_UGM 2024'!$E$3:$O$419,BC$6),"")</f>
        <v/>
      </c>
      <c r="BD240" s="1424" t="str">
        <f aca="false">IF($AT240&gt;0,VLOOKUP($AR240,'O_MN, PE_UTA_UGM 2024'!$E$3:$O$419,BD$6),"")</f>
        <v/>
      </c>
      <c r="BE240" s="1424" t="str">
        <f aca="false">IF($AT240&gt;0,VLOOKUP($AR240,'O_MN, PE_UTA_UGM 2024'!$E$3:$O$419,BE$6),"")</f>
        <v/>
      </c>
      <c r="BF240" s="1424" t="str">
        <f aca="false">IF($AT240&gt;0,VLOOKUP($AR240,'O_MN, PE_UTA_UGM 2024'!$E$3:$O$419,BF$6),"")</f>
        <v/>
      </c>
      <c r="BG240" s="1424" t="str">
        <f aca="false">IF($AT240&gt;0,VLOOKUP($AR240,'O_MN, PE_UTA_UGM 2024'!$E$3:$O$419,BG$6),"")</f>
        <v/>
      </c>
      <c r="BH240" s="872"/>
      <c r="BI240" s="872"/>
      <c r="BJ240" s="872"/>
      <c r="BK240" s="872"/>
      <c r="BM240" s="1411"/>
      <c r="BN240" s="1411"/>
      <c r="BO240" s="1425" t="str">
        <f aca="false">IF(ISNUMBER($AU240*BB240*1),$AU240*BB240*1,"")</f>
        <v/>
      </c>
      <c r="BP240" s="1425" t="str">
        <f aca="false">IF(ISNUMBER($AV240*BC240*1),$AV240*BC240*1,"")</f>
        <v/>
      </c>
      <c r="BQ240" s="1425" t="str">
        <f aca="false">IF(ISNUMBER($AU240*BD240*1),$AU240*BD240*1,"")</f>
        <v/>
      </c>
      <c r="BR240" s="1425" t="str">
        <f aca="false">IF(ISNUMBER($AV240*BE240*1),$AV240*BE240*1,"")</f>
        <v/>
      </c>
      <c r="BS240" s="1411" t="str">
        <f aca="false">IF(ISNUMBER($AU240*BF240),$AU240*BF240,"")</f>
        <v/>
      </c>
      <c r="BT240" s="1411" t="str">
        <f aca="false">IF(ISNUMBER($AV240*BG240),$AV240*BG240,"")</f>
        <v/>
      </c>
      <c r="BU240" s="1411"/>
      <c r="BV240" s="1411"/>
      <c r="BW240" s="1411"/>
      <c r="BX240" s="1411"/>
      <c r="BZ240" s="1372"/>
      <c r="CA240" s="1372"/>
      <c r="CB240" s="1426" t="str">
        <f aca="false">IF(ISNUMBER($AW240*BB240),$AW240*BB240,"")</f>
        <v/>
      </c>
      <c r="CC240" s="1426" t="str">
        <f aca="false">IF(ISNUMBER($AX240*BC240),$AX240*BC240,"")</f>
        <v/>
      </c>
      <c r="CD240" s="1426" t="str">
        <f aca="false">IF(ISNUMBER($AW240*BD240),$AW240*BD240,"")</f>
        <v/>
      </c>
      <c r="CE240" s="1426" t="str">
        <f aca="false">IF(ISNUMBER($AX240*BE240),$AX240*BE240,"")</f>
        <v/>
      </c>
      <c r="CF240" s="1372" t="str">
        <f aca="false">IF(ISNUMBER($AW240*BF240),$AW240*BF240,"")</f>
        <v/>
      </c>
      <c r="CG240" s="1372" t="str">
        <f aca="false">IF(ISNUMBER($AX240*BG240),$AX240*BG240,"")</f>
        <v/>
      </c>
      <c r="CH240" s="1438"/>
      <c r="CI240" s="1438"/>
      <c r="CJ240" s="1438"/>
      <c r="CK240" s="1438"/>
      <c r="CU240" s="1411"/>
      <c r="CV240" s="1411"/>
      <c r="CW240" s="1425"/>
      <c r="CX240" s="1425"/>
      <c r="CY240" s="1425"/>
      <c r="CZ240" s="1425"/>
      <c r="DA240" s="1411"/>
      <c r="DB240" s="1411"/>
      <c r="DC240" s="1411"/>
      <c r="DD240" s="1411"/>
      <c r="DE240" s="1411"/>
      <c r="DF240" s="1411"/>
      <c r="DH240" s="1432"/>
      <c r="DI240" s="1432"/>
      <c r="DJ240" s="1437"/>
      <c r="DK240" s="1437"/>
      <c r="DL240" s="1437"/>
      <c r="DM240" s="1437"/>
      <c r="DN240" s="1432"/>
      <c r="DO240" s="1432"/>
      <c r="DP240" s="1432"/>
      <c r="DQ240" s="1432"/>
      <c r="DR240" s="1432"/>
      <c r="DS240" s="1432"/>
      <c r="DT240" s="1316"/>
      <c r="DU240" s="1433"/>
      <c r="DV240" s="1433"/>
      <c r="DW240" s="1433"/>
      <c r="DX240" s="1433"/>
      <c r="DY240" s="1433"/>
      <c r="DZ240" s="1433"/>
      <c r="EA240" s="1433"/>
      <c r="EB240" s="1433"/>
    </row>
    <row r="241" customFormat="false" ht="14.25" hidden="false" customHeight="false" outlineLevel="0" collapsed="false">
      <c r="A241" s="2" t="n">
        <f aca="false">'V_DATOS PAC_SGA'!R236</f>
        <v>0</v>
      </c>
      <c r="B241" s="2" t="n">
        <f aca="false">IF(I241="IV",CONCATENATE('V_DATOS PAC_SGA'!R236,"4")+0,CONCATENATE('V_DATOS PAC_SGA'!R236,"0")+0)</f>
        <v>0</v>
      </c>
      <c r="C241" s="2" t="n">
        <f aca="false">'V_DATOS PAC_SGA'!S236</f>
        <v>0</v>
      </c>
      <c r="D241" s="1409" t="n">
        <f aca="false">'V_DATOS PAC_SGA'!Y236</f>
        <v>0</v>
      </c>
      <c r="E241" s="1410" t="str">
        <f aca="false">IF('V_DATOS PAC_SGA'!AV236="","Regadio",'V_DATOS PAC_SGA'!AV236)</f>
        <v>Regadio</v>
      </c>
      <c r="F241" s="1411" t="n">
        <f aca="false">'V_DATOS PAC_SGA'!BK236</f>
        <v>0</v>
      </c>
      <c r="G241" s="1412" t="n">
        <f aca="false">'V_DATOS PAC_SGA'!AN236</f>
        <v>0</v>
      </c>
      <c r="H241" s="1413" t="str">
        <f aca="false">IF(B241&gt;0,VLOOKUP(B241,'O_MN, PE_UTA_UGM 2024'!E$3:O$419,10),"")</f>
        <v/>
      </c>
      <c r="I241" s="1359" t="n">
        <f aca="false">'V_DATOS PAC_SGA'!BV236</f>
        <v>0</v>
      </c>
      <c r="J241" s="2" t="str">
        <f aca="false">IF(AND(J$4=$G241,J$6=$F241),$D241*J$5,"")</f>
        <v/>
      </c>
      <c r="K241" s="2" t="str">
        <f aca="false">IF(AND(K$4=$G241,K$6=$F241),$D241*K$5,"")</f>
        <v/>
      </c>
      <c r="L241" s="2" t="str">
        <f aca="false">IF(AND(L$4=$G241,L$6=$F241),$D241*L$5,"")</f>
        <v/>
      </c>
      <c r="M241" s="2" t="str">
        <f aca="false">IF(AND(M$4=$G241,M$6=$F241),$D241*M$5,"")</f>
        <v/>
      </c>
      <c r="N241" s="1414" t="n">
        <f aca="false">VLOOKUP(B241,'O_MN, PE_UTA_UGM 2024'!$E$2:$K$419,IF(G241&gt;1,6,7))</f>
        <v>0</v>
      </c>
      <c r="O241" s="1434" t="str">
        <f aca="false">IF($H241=O$4,$D241*$N241,"")</f>
        <v/>
      </c>
      <c r="P241" s="1435" t="str">
        <f aca="false">IF($H241=P$4,$D241*$N241,"")</f>
        <v/>
      </c>
      <c r="Q241" s="1435" t="str">
        <f aca="false">IF($H241=Q$4,$D241*$N241,"")</f>
        <v/>
      </c>
      <c r="R241" s="1435" t="str">
        <f aca="false">IF($H241=R$4,$D241*$N241,"")</f>
        <v/>
      </c>
      <c r="S241" s="1435" t="str">
        <f aca="false">IF($H241=S$4,$D241*$N241,"")</f>
        <v/>
      </c>
      <c r="T241" s="1435" t="str">
        <f aca="false">IF($H241=T$4,$D241*$N241,"")</f>
        <v/>
      </c>
      <c r="U241" s="1436" t="str">
        <f aca="false">IF($H241=U$4,$D241*$N241,"")</f>
        <v/>
      </c>
      <c r="V241" s="1418"/>
      <c r="W241" s="1419"/>
      <c r="X241" s="1419"/>
      <c r="Y241" s="1419"/>
      <c r="Z241" s="1419"/>
      <c r="AA241" s="1419"/>
      <c r="AB241" s="1420"/>
      <c r="AC241" s="1319"/>
      <c r="AD241" s="2" t="str">
        <f aca="false">IF(AND(AD$4=$G241,AD$6=$F241),$B241,"")</f>
        <v/>
      </c>
      <c r="AE241" s="2" t="str">
        <f aca="false">IF(AND(AE$4=$G241,AE$6=$F241),$B241,"")</f>
        <v/>
      </c>
      <c r="AF241" s="2" t="str">
        <f aca="false">IF(AND(AF$4=$G241,AF$6=$F241),$B241,"")</f>
        <v/>
      </c>
      <c r="AG241" s="2" t="str">
        <f aca="false">IF(AND(AG$4=$G241,AG$6=$F241),$B241,"")</f>
        <v/>
      </c>
      <c r="AI241" s="366"/>
      <c r="AL241" s="367"/>
      <c r="AO241" s="367"/>
      <c r="AP241" s="2" t="str">
        <f aca="false">IF(AT241&gt;0,RANK(AT241,AT$7:AT$423),"")</f>
        <v/>
      </c>
      <c r="AQ241" s="2" t="n">
        <f aca="false">'O_MN, PE_UTA_UGM 2024'!C237</f>
        <v>222</v>
      </c>
      <c r="AR241" s="1421" t="n">
        <v>2190</v>
      </c>
      <c r="AS241" s="2" t="str">
        <f aca="false">IF(AY241&lt;&gt;"",AY241,"")</f>
        <v/>
      </c>
      <c r="AT241" s="1422" t="n">
        <f aca="false">IF(ISNUMBER($AR241),SUMIF(B$7:B$505,AR241,D$7:D$505),"")</f>
        <v>0</v>
      </c>
      <c r="AU241" s="1411" t="n">
        <f aca="false">IF(ISNUMBER($AR241),SUMIF(AD$7:AD$503,$AR241,J$7:J$503),"")</f>
        <v>0</v>
      </c>
      <c r="AV241" s="1411" t="n">
        <f aca="false">IF(ISNUMBER($AR241),SUMIF(AF$7:AF$503,$AR241,L$7:L$503),"")</f>
        <v>0</v>
      </c>
      <c r="AW241" s="1423" t="n">
        <f aca="false">IF(ISNUMBER($AR241),SUMIF(AE$7:AE$503,$AR241,K$7:K$503),"")</f>
        <v>0</v>
      </c>
      <c r="AX241" s="1423" t="n">
        <f aca="false">IF(ISNUMBER($AR241),SUMIF(AG$7:AG$503,$AR241,M$7:M$503),"")</f>
        <v>0</v>
      </c>
      <c r="AY241" s="2" t="str">
        <f aca="false">IF($AT241&gt;0,VLOOKUP($AR241,'O_MN, PE_UTA_UGM 2024'!E237:O653,2),"")</f>
        <v/>
      </c>
      <c r="AZ241" s="1424"/>
      <c r="BA241" s="1424"/>
      <c r="BB241" s="1424" t="str">
        <f aca="false">IF($AT241&gt;0,VLOOKUP($AR241,'O_MN, PE_UTA_UGM 2024'!$E$3:$O$419,BB$6),"")</f>
        <v/>
      </c>
      <c r="BC241" s="1424" t="str">
        <f aca="false">IF($AT241&gt;0,VLOOKUP($AR241,'O_MN, PE_UTA_UGM 2024'!$E$3:$O$419,BC$6),"")</f>
        <v/>
      </c>
      <c r="BD241" s="1424" t="str">
        <f aca="false">IF($AT241&gt;0,VLOOKUP($AR241,'O_MN, PE_UTA_UGM 2024'!$E$3:$O$419,BD$6),"")</f>
        <v/>
      </c>
      <c r="BE241" s="1424" t="str">
        <f aca="false">IF($AT241&gt;0,VLOOKUP($AR241,'O_MN, PE_UTA_UGM 2024'!$E$3:$O$419,BE$6),"")</f>
        <v/>
      </c>
      <c r="BF241" s="1424" t="str">
        <f aca="false">IF($AT241&gt;0,VLOOKUP($AR241,'O_MN, PE_UTA_UGM 2024'!$E$3:$O$419,BF$6),"")</f>
        <v/>
      </c>
      <c r="BG241" s="1424" t="str">
        <f aca="false">IF($AT241&gt;0,VLOOKUP($AR241,'O_MN, PE_UTA_UGM 2024'!$E$3:$O$419,BG$6),"")</f>
        <v/>
      </c>
      <c r="BH241" s="872"/>
      <c r="BI241" s="872"/>
      <c r="BJ241" s="872"/>
      <c r="BK241" s="872"/>
      <c r="BM241" s="1411"/>
      <c r="BN241" s="1411"/>
      <c r="BO241" s="1425" t="str">
        <f aca="false">IF(ISNUMBER($AU241*BB241*1),$AU241*BB241*1,"")</f>
        <v/>
      </c>
      <c r="BP241" s="1425" t="str">
        <f aca="false">IF(ISNUMBER($AV241*BC241*1),$AV241*BC241*1,"")</f>
        <v/>
      </c>
      <c r="BQ241" s="1425" t="str">
        <f aca="false">IF(ISNUMBER($AU241*BD241*1),$AU241*BD241*1,"")</f>
        <v/>
      </c>
      <c r="BR241" s="1425" t="str">
        <f aca="false">IF(ISNUMBER($AV241*BE241*1),$AV241*BE241*1,"")</f>
        <v/>
      </c>
      <c r="BS241" s="1411" t="str">
        <f aca="false">IF(ISNUMBER($AU241*BF241),$AU241*BF241,"")</f>
        <v/>
      </c>
      <c r="BT241" s="1411" t="str">
        <f aca="false">IF(ISNUMBER($AV241*BG241),$AV241*BG241,"")</f>
        <v/>
      </c>
      <c r="BU241" s="1411"/>
      <c r="BV241" s="1411"/>
      <c r="BW241" s="1411"/>
      <c r="BX241" s="1411"/>
      <c r="BZ241" s="1372"/>
      <c r="CA241" s="1372"/>
      <c r="CB241" s="1426" t="str">
        <f aca="false">IF(ISNUMBER($AW241*BB241),$AW241*BB241,"")</f>
        <v/>
      </c>
      <c r="CC241" s="1426" t="str">
        <f aca="false">IF(ISNUMBER($AX241*BC241),$AX241*BC241,"")</f>
        <v/>
      </c>
      <c r="CD241" s="1426" t="str">
        <f aca="false">IF(ISNUMBER($AW241*BD241),$AW241*BD241,"")</f>
        <v/>
      </c>
      <c r="CE241" s="1426" t="str">
        <f aca="false">IF(ISNUMBER($AX241*BE241),$AX241*BE241,"")</f>
        <v/>
      </c>
      <c r="CF241" s="1372" t="str">
        <f aca="false">IF(ISNUMBER($AW241*BF241),$AW241*BF241,"")</f>
        <v/>
      </c>
      <c r="CG241" s="1372" t="str">
        <f aca="false">IF(ISNUMBER($AX241*BG241),$AX241*BG241,"")</f>
        <v/>
      </c>
      <c r="CH241" s="1438"/>
      <c r="CI241" s="1438"/>
      <c r="CJ241" s="1438"/>
      <c r="CK241" s="1438"/>
      <c r="CU241" s="1411"/>
      <c r="CV241" s="1411"/>
      <c r="CW241" s="1425"/>
      <c r="CX241" s="1425"/>
      <c r="CY241" s="1425"/>
      <c r="CZ241" s="1425"/>
      <c r="DA241" s="1411"/>
      <c r="DB241" s="1411"/>
      <c r="DC241" s="1411"/>
      <c r="DD241" s="1411"/>
      <c r="DE241" s="1411"/>
      <c r="DF241" s="1411"/>
      <c r="DH241" s="1432"/>
      <c r="DI241" s="1432"/>
      <c r="DJ241" s="1437"/>
      <c r="DK241" s="1437"/>
      <c r="DL241" s="1437"/>
      <c r="DM241" s="1437"/>
      <c r="DN241" s="1432"/>
      <c r="DO241" s="1432"/>
      <c r="DP241" s="1432"/>
      <c r="DQ241" s="1432"/>
      <c r="DR241" s="1432"/>
      <c r="DS241" s="1432"/>
      <c r="DT241" s="1316"/>
      <c r="DU241" s="1433"/>
      <c r="DV241" s="1433"/>
      <c r="DW241" s="1433"/>
      <c r="DX241" s="1433"/>
      <c r="DY241" s="1433"/>
      <c r="DZ241" s="1433"/>
      <c r="EA241" s="1433"/>
      <c r="EB241" s="1433"/>
    </row>
    <row r="242" customFormat="false" ht="14.25" hidden="false" customHeight="false" outlineLevel="0" collapsed="false">
      <c r="A242" s="2" t="n">
        <f aca="false">'V_DATOS PAC_SGA'!R237</f>
        <v>0</v>
      </c>
      <c r="B242" s="2" t="n">
        <f aca="false">IF(I242="IV",CONCATENATE('V_DATOS PAC_SGA'!R237,"4")+0,CONCATENATE('V_DATOS PAC_SGA'!R237,"0")+0)</f>
        <v>0</v>
      </c>
      <c r="C242" s="2" t="n">
        <f aca="false">'V_DATOS PAC_SGA'!S237</f>
        <v>0</v>
      </c>
      <c r="D242" s="1409" t="n">
        <f aca="false">'V_DATOS PAC_SGA'!Y237</f>
        <v>0</v>
      </c>
      <c r="E242" s="1410" t="str">
        <f aca="false">IF('V_DATOS PAC_SGA'!AV237="","Regadio",'V_DATOS PAC_SGA'!AV237)</f>
        <v>Regadio</v>
      </c>
      <c r="F242" s="1411" t="n">
        <f aca="false">'V_DATOS PAC_SGA'!BK237</f>
        <v>0</v>
      </c>
      <c r="G242" s="1412" t="n">
        <f aca="false">'V_DATOS PAC_SGA'!AN237</f>
        <v>0</v>
      </c>
      <c r="H242" s="1413" t="str">
        <f aca="false">IF(B242&gt;0,VLOOKUP(B242,'O_MN, PE_UTA_UGM 2024'!E$3:O$419,10),"")</f>
        <v/>
      </c>
      <c r="I242" s="1359" t="n">
        <f aca="false">'V_DATOS PAC_SGA'!BV237</f>
        <v>0</v>
      </c>
      <c r="J242" s="2" t="str">
        <f aca="false">IF(AND(J$4=$G242,J$6=$F242),$D242*J$5,"")</f>
        <v/>
      </c>
      <c r="K242" s="2" t="str">
        <f aca="false">IF(AND(K$4=$G242,K$6=$F242),$D242*K$5,"")</f>
        <v/>
      </c>
      <c r="L242" s="2" t="str">
        <f aca="false">IF(AND(L$4=$G242,L$6=$F242),$D242*L$5,"")</f>
        <v/>
      </c>
      <c r="M242" s="2" t="str">
        <f aca="false">IF(AND(M$4=$G242,M$6=$F242),$D242*M$5,"")</f>
        <v/>
      </c>
      <c r="N242" s="1414" t="n">
        <f aca="false">VLOOKUP(B242,'O_MN, PE_UTA_UGM 2024'!$E$2:$K$419,IF(G242&gt;1,6,7))</f>
        <v>0</v>
      </c>
      <c r="O242" s="1434" t="str">
        <f aca="false">IF($H242=O$4,$D242*$N242,"")</f>
        <v/>
      </c>
      <c r="P242" s="1435" t="str">
        <f aca="false">IF($H242=P$4,$D242*$N242,"")</f>
        <v/>
      </c>
      <c r="Q242" s="1435" t="str">
        <f aca="false">IF($H242=Q$4,$D242*$N242,"")</f>
        <v/>
      </c>
      <c r="R242" s="1435" t="str">
        <f aca="false">IF($H242=R$4,$D242*$N242,"")</f>
        <v/>
      </c>
      <c r="S242" s="1435" t="str">
        <f aca="false">IF($H242=S$4,$D242*$N242,"")</f>
        <v/>
      </c>
      <c r="T242" s="1435" t="str">
        <f aca="false">IF($H242=T$4,$D242*$N242,"")</f>
        <v/>
      </c>
      <c r="U242" s="1436" t="str">
        <f aca="false">IF($H242=U$4,$D242*$N242,"")</f>
        <v/>
      </c>
      <c r="V242" s="1418"/>
      <c r="W242" s="1419"/>
      <c r="X242" s="1419"/>
      <c r="Y242" s="1419"/>
      <c r="Z242" s="1419"/>
      <c r="AA242" s="1419"/>
      <c r="AB242" s="1420"/>
      <c r="AC242" s="1319"/>
      <c r="AD242" s="2" t="str">
        <f aca="false">IF(AND(AD$4=$G242,AD$6=$F242),$B242,"")</f>
        <v/>
      </c>
      <c r="AE242" s="2" t="str">
        <f aca="false">IF(AND(AE$4=$G242,AE$6=$F242),$B242,"")</f>
        <v/>
      </c>
      <c r="AF242" s="2" t="str">
        <f aca="false">IF(AND(AF$4=$G242,AF$6=$F242),$B242,"")</f>
        <v/>
      </c>
      <c r="AG242" s="2" t="str">
        <f aca="false">IF(AND(AG$4=$G242,AG$6=$F242),$B242,"")</f>
        <v/>
      </c>
      <c r="AI242" s="366"/>
      <c r="AL242" s="367"/>
      <c r="AO242" s="367"/>
      <c r="AP242" s="2" t="str">
        <f aca="false">IF(AT242&gt;0,RANK(AT242,AT$7:AT$423),"")</f>
        <v/>
      </c>
      <c r="AQ242" s="2" t="n">
        <f aca="false">'O_MN, PE_UTA_UGM 2024'!C238</f>
        <v>223</v>
      </c>
      <c r="AR242" s="1421" t="n">
        <v>2194</v>
      </c>
      <c r="AS242" s="2" t="str">
        <f aca="false">IF(AY242&lt;&gt;"",AY242,"")</f>
        <v/>
      </c>
      <c r="AT242" s="1422" t="n">
        <f aca="false">IF(ISNUMBER($AR242),SUMIF(B$7:B$505,AR242,D$7:D$505),"")</f>
        <v>0</v>
      </c>
      <c r="AU242" s="1411" t="n">
        <f aca="false">IF(ISNUMBER($AR242),SUMIF(AD$7:AD$503,$AR242,J$7:J$503),"")</f>
        <v>0</v>
      </c>
      <c r="AV242" s="1411" t="n">
        <f aca="false">IF(ISNUMBER($AR242),SUMIF(AF$7:AF$503,$AR242,L$7:L$503),"")</f>
        <v>0</v>
      </c>
      <c r="AW242" s="1423" t="n">
        <f aca="false">IF(ISNUMBER($AR242),SUMIF(AE$7:AE$503,$AR242,K$7:K$503),"")</f>
        <v>0</v>
      </c>
      <c r="AX242" s="1423" t="n">
        <f aca="false">IF(ISNUMBER($AR242),SUMIF(AG$7:AG$503,$AR242,M$7:M$503),"")</f>
        <v>0</v>
      </c>
      <c r="AY242" s="2" t="str">
        <f aca="false">IF($AT242&gt;0,VLOOKUP($AR242,'O_MN, PE_UTA_UGM 2024'!E238:O654,2),"")</f>
        <v/>
      </c>
      <c r="AZ242" s="1424"/>
      <c r="BA242" s="1424"/>
      <c r="BB242" s="1424" t="str">
        <f aca="false">IF($AT242&gt;0,VLOOKUP($AR242,'O_MN, PE_UTA_UGM 2024'!$E$3:$O$419,BB$6),"")</f>
        <v/>
      </c>
      <c r="BC242" s="1424" t="str">
        <f aca="false">IF($AT242&gt;0,VLOOKUP($AR242,'O_MN, PE_UTA_UGM 2024'!$E$3:$O$419,BC$6),"")</f>
        <v/>
      </c>
      <c r="BD242" s="1424" t="str">
        <f aca="false">IF($AT242&gt;0,VLOOKUP($AR242,'O_MN, PE_UTA_UGM 2024'!$E$3:$O$419,BD$6),"")</f>
        <v/>
      </c>
      <c r="BE242" s="1424" t="str">
        <f aca="false">IF($AT242&gt;0,VLOOKUP($AR242,'O_MN, PE_UTA_UGM 2024'!$E$3:$O$419,BE$6),"")</f>
        <v/>
      </c>
      <c r="BF242" s="1424" t="str">
        <f aca="false">IF($AT242&gt;0,VLOOKUP($AR242,'O_MN, PE_UTA_UGM 2024'!$E$3:$O$419,BF$6),"")</f>
        <v/>
      </c>
      <c r="BG242" s="1424" t="str">
        <f aca="false">IF($AT242&gt;0,VLOOKUP($AR242,'O_MN, PE_UTA_UGM 2024'!$E$3:$O$419,BG$6),"")</f>
        <v/>
      </c>
      <c r="BH242" s="872"/>
      <c r="BI242" s="872"/>
      <c r="BJ242" s="872"/>
      <c r="BK242" s="872"/>
      <c r="BM242" s="1411"/>
      <c r="BN242" s="1411"/>
      <c r="BO242" s="1425" t="str">
        <f aca="false">IF(ISNUMBER($AU242*BB242*1),$AU242*BB242*1,"")</f>
        <v/>
      </c>
      <c r="BP242" s="1425" t="str">
        <f aca="false">IF(ISNUMBER($AV242*BC242*1),$AV242*BC242*1,"")</f>
        <v/>
      </c>
      <c r="BQ242" s="1425" t="str">
        <f aca="false">IF(ISNUMBER($AU242*BD242*1),$AU242*BD242*1,"")</f>
        <v/>
      </c>
      <c r="BR242" s="1425" t="str">
        <f aca="false">IF(ISNUMBER($AV242*BE242*1),$AV242*BE242*1,"")</f>
        <v/>
      </c>
      <c r="BS242" s="1411" t="str">
        <f aca="false">IF(ISNUMBER($AU242*BF242),$AU242*BF242,"")</f>
        <v/>
      </c>
      <c r="BT242" s="1411" t="str">
        <f aca="false">IF(ISNUMBER($AV242*BG242),$AV242*BG242,"")</f>
        <v/>
      </c>
      <c r="BU242" s="1411"/>
      <c r="BV242" s="1411"/>
      <c r="BW242" s="1411"/>
      <c r="BX242" s="1411"/>
      <c r="BZ242" s="1372"/>
      <c r="CA242" s="1372"/>
      <c r="CB242" s="1426" t="str">
        <f aca="false">IF(ISNUMBER($AW242*BB242),$AW242*BB242,"")</f>
        <v/>
      </c>
      <c r="CC242" s="1426" t="str">
        <f aca="false">IF(ISNUMBER($AX242*BC242),$AX242*BC242,"")</f>
        <v/>
      </c>
      <c r="CD242" s="1426" t="str">
        <f aca="false">IF(ISNUMBER($AW242*BD242),$AW242*BD242,"")</f>
        <v/>
      </c>
      <c r="CE242" s="1426" t="str">
        <f aca="false">IF(ISNUMBER($AX242*BE242),$AX242*BE242,"")</f>
        <v/>
      </c>
      <c r="CF242" s="1372" t="str">
        <f aca="false">IF(ISNUMBER($AW242*BF242),$AW242*BF242,"")</f>
        <v/>
      </c>
      <c r="CG242" s="1372" t="str">
        <f aca="false">IF(ISNUMBER($AX242*BG242),$AX242*BG242,"")</f>
        <v/>
      </c>
      <c r="CH242" s="1438"/>
      <c r="CI242" s="1438"/>
      <c r="CJ242" s="1438"/>
      <c r="CK242" s="1438"/>
      <c r="CU242" s="1411"/>
      <c r="CV242" s="1411"/>
      <c r="CW242" s="1425"/>
      <c r="CX242" s="1425"/>
      <c r="CY242" s="1425"/>
      <c r="CZ242" s="1425"/>
      <c r="DA242" s="1411"/>
      <c r="DB242" s="1411"/>
      <c r="DC242" s="1411"/>
      <c r="DD242" s="1411"/>
      <c r="DE242" s="1411"/>
      <c r="DF242" s="1411"/>
      <c r="DH242" s="1432"/>
      <c r="DI242" s="1432"/>
      <c r="DJ242" s="1437"/>
      <c r="DK242" s="1437"/>
      <c r="DL242" s="1437"/>
      <c r="DM242" s="1437"/>
      <c r="DN242" s="1432"/>
      <c r="DO242" s="1432"/>
      <c r="DP242" s="1432"/>
      <c r="DQ242" s="1432"/>
      <c r="DR242" s="1432"/>
      <c r="DS242" s="1432"/>
      <c r="DT242" s="1316"/>
      <c r="DU242" s="1433"/>
      <c r="DV242" s="1433"/>
      <c r="DW242" s="1433"/>
      <c r="DX242" s="1433"/>
      <c r="DY242" s="1433"/>
      <c r="DZ242" s="1433"/>
      <c r="EA242" s="1433"/>
      <c r="EB242" s="1433"/>
    </row>
    <row r="243" customFormat="false" ht="14.25" hidden="false" customHeight="false" outlineLevel="0" collapsed="false">
      <c r="A243" s="2" t="n">
        <f aca="false">'V_DATOS PAC_SGA'!R238</f>
        <v>0</v>
      </c>
      <c r="B243" s="2" t="n">
        <f aca="false">IF(I243="IV",CONCATENATE('V_DATOS PAC_SGA'!R238,"4")+0,CONCATENATE('V_DATOS PAC_SGA'!R238,"0")+0)</f>
        <v>0</v>
      </c>
      <c r="C243" s="2" t="n">
        <f aca="false">'V_DATOS PAC_SGA'!S238</f>
        <v>0</v>
      </c>
      <c r="D243" s="1409" t="n">
        <f aca="false">'V_DATOS PAC_SGA'!Y238</f>
        <v>0</v>
      </c>
      <c r="E243" s="1410" t="str">
        <f aca="false">IF('V_DATOS PAC_SGA'!AV238="","Regadio",'V_DATOS PAC_SGA'!AV238)</f>
        <v>Regadio</v>
      </c>
      <c r="F243" s="1411" t="n">
        <f aca="false">'V_DATOS PAC_SGA'!BK238</f>
        <v>0</v>
      </c>
      <c r="G243" s="1412" t="n">
        <f aca="false">'V_DATOS PAC_SGA'!AN238</f>
        <v>0</v>
      </c>
      <c r="H243" s="1413" t="str">
        <f aca="false">IF(B243&gt;0,VLOOKUP(B243,'O_MN, PE_UTA_UGM 2024'!E$3:O$419,10),"")</f>
        <v/>
      </c>
      <c r="I243" s="1359" t="n">
        <f aca="false">'V_DATOS PAC_SGA'!BV238</f>
        <v>0</v>
      </c>
      <c r="J243" s="2" t="str">
        <f aca="false">IF(AND(J$4=$G243,J$6=$F243),$D243*J$5,"")</f>
        <v/>
      </c>
      <c r="K243" s="2" t="str">
        <f aca="false">IF(AND(K$4=$G243,K$6=$F243),$D243*K$5,"")</f>
        <v/>
      </c>
      <c r="L243" s="2" t="str">
        <f aca="false">IF(AND(L$4=$G243,L$6=$F243),$D243*L$5,"")</f>
        <v/>
      </c>
      <c r="M243" s="2" t="str">
        <f aca="false">IF(AND(M$4=$G243,M$6=$F243),$D243*M$5,"")</f>
        <v/>
      </c>
      <c r="N243" s="1414" t="n">
        <f aca="false">VLOOKUP(B243,'O_MN, PE_UTA_UGM 2024'!$E$2:$K$419,IF(G243&gt;1,6,7))</f>
        <v>0</v>
      </c>
      <c r="O243" s="1434" t="str">
        <f aca="false">IF($H243=O$4,$D243*$N243,"")</f>
        <v/>
      </c>
      <c r="P243" s="1435" t="str">
        <f aca="false">IF($H243=P$4,$D243*$N243,"")</f>
        <v/>
      </c>
      <c r="Q243" s="1435" t="str">
        <f aca="false">IF($H243=Q$4,$D243*$N243,"")</f>
        <v/>
      </c>
      <c r="R243" s="1435" t="str">
        <f aca="false">IF($H243=R$4,$D243*$N243,"")</f>
        <v/>
      </c>
      <c r="S243" s="1435" t="str">
        <f aca="false">IF($H243=S$4,$D243*$N243,"")</f>
        <v/>
      </c>
      <c r="T243" s="1435" t="str">
        <f aca="false">IF($H243=T$4,$D243*$N243,"")</f>
        <v/>
      </c>
      <c r="U243" s="1436" t="str">
        <f aca="false">IF($H243=U$4,$D243*$N243,"")</f>
        <v/>
      </c>
      <c r="V243" s="1418"/>
      <c r="W243" s="1419"/>
      <c r="X243" s="1419"/>
      <c r="Y243" s="1419"/>
      <c r="Z243" s="1419"/>
      <c r="AA243" s="1419"/>
      <c r="AB243" s="1420"/>
      <c r="AC243" s="1319"/>
      <c r="AD243" s="2" t="str">
        <f aca="false">IF(AND(AD$4=$G243,AD$6=$F243),$B243,"")</f>
        <v/>
      </c>
      <c r="AE243" s="2" t="str">
        <f aca="false">IF(AND(AE$4=$G243,AE$6=$F243),$B243,"")</f>
        <v/>
      </c>
      <c r="AF243" s="2" t="str">
        <f aca="false">IF(AND(AF$4=$G243,AF$6=$F243),$B243,"")</f>
        <v/>
      </c>
      <c r="AG243" s="2" t="str">
        <f aca="false">IF(AND(AG$4=$G243,AG$6=$F243),$B243,"")</f>
        <v/>
      </c>
      <c r="AI243" s="366"/>
      <c r="AL243" s="367"/>
      <c r="AO243" s="367"/>
      <c r="AP243" s="2" t="str">
        <f aca="false">IF(AT243&gt;0,RANK(AT243,AT$7:AT$423),"")</f>
        <v/>
      </c>
      <c r="AQ243" s="2" t="n">
        <f aca="false">'O_MN, PE_UTA_UGM 2024'!C239</f>
        <v>224</v>
      </c>
      <c r="AR243" s="1421" t="n">
        <v>2199</v>
      </c>
      <c r="AS243" s="2" t="str">
        <f aca="false">IF(AY243&lt;&gt;"",AY243,"")</f>
        <v/>
      </c>
      <c r="AT243" s="1422" t="n">
        <f aca="false">IF(ISNUMBER($AR243),SUMIF(B$7:B$505,AR243,D$7:D$505),"")</f>
        <v>0</v>
      </c>
      <c r="AU243" s="1411" t="n">
        <f aca="false">IF(ISNUMBER($AR243),SUMIF(AD$7:AD$503,$AR243,J$7:J$503),"")</f>
        <v>0</v>
      </c>
      <c r="AV243" s="1411" t="n">
        <f aca="false">IF(ISNUMBER($AR243),SUMIF(AF$7:AF$503,$AR243,L$7:L$503),"")</f>
        <v>0</v>
      </c>
      <c r="AW243" s="1423" t="n">
        <f aca="false">IF(ISNUMBER($AR243),SUMIF(AE$7:AE$503,$AR243,K$7:K$503),"")</f>
        <v>0</v>
      </c>
      <c r="AX243" s="1423" t="n">
        <f aca="false">IF(ISNUMBER($AR243),SUMIF(AG$7:AG$503,$AR243,M$7:M$503),"")</f>
        <v>0</v>
      </c>
      <c r="AY243" s="2" t="str">
        <f aca="false">IF($AT243&gt;0,VLOOKUP($AR243,'O_MN, PE_UTA_UGM 2024'!E239:O655,2),"")</f>
        <v/>
      </c>
      <c r="AZ243" s="1424"/>
      <c r="BA243" s="1424"/>
      <c r="BB243" s="1424" t="str">
        <f aca="false">IF($AT243&gt;0,VLOOKUP($AR243,'O_MN, PE_UTA_UGM 2024'!$E$3:$O$419,BB$6),"")</f>
        <v/>
      </c>
      <c r="BC243" s="1424" t="str">
        <f aca="false">IF($AT243&gt;0,VLOOKUP($AR243,'O_MN, PE_UTA_UGM 2024'!$E$3:$O$419,BC$6),"")</f>
        <v/>
      </c>
      <c r="BD243" s="1424" t="str">
        <f aca="false">IF($AT243&gt;0,VLOOKUP($AR243,'O_MN, PE_UTA_UGM 2024'!$E$3:$O$419,BD$6),"")</f>
        <v/>
      </c>
      <c r="BE243" s="1424" t="str">
        <f aca="false">IF($AT243&gt;0,VLOOKUP($AR243,'O_MN, PE_UTA_UGM 2024'!$E$3:$O$419,BE$6),"")</f>
        <v/>
      </c>
      <c r="BF243" s="1424" t="str">
        <f aca="false">IF($AT243&gt;0,VLOOKUP($AR243,'O_MN, PE_UTA_UGM 2024'!$E$3:$O$419,BF$6),"")</f>
        <v/>
      </c>
      <c r="BG243" s="1424" t="str">
        <f aca="false">IF($AT243&gt;0,VLOOKUP($AR243,'O_MN, PE_UTA_UGM 2024'!$E$3:$O$419,BG$6),"")</f>
        <v/>
      </c>
      <c r="BH243" s="872"/>
      <c r="BI243" s="872"/>
      <c r="BJ243" s="872"/>
      <c r="BK243" s="872"/>
      <c r="BM243" s="1411"/>
      <c r="BN243" s="1411"/>
      <c r="BO243" s="1425" t="str">
        <f aca="false">IF(ISNUMBER($AU243*BB243*1),$AU243*BB243*1,"")</f>
        <v/>
      </c>
      <c r="BP243" s="1425" t="str">
        <f aca="false">IF(ISNUMBER($AV243*BC243*1),$AV243*BC243*1,"")</f>
        <v/>
      </c>
      <c r="BQ243" s="1425" t="str">
        <f aca="false">IF(ISNUMBER($AU243*BD243*1),$AU243*BD243*1,"")</f>
        <v/>
      </c>
      <c r="BR243" s="1425" t="str">
        <f aca="false">IF(ISNUMBER($AV243*BE243*1),$AV243*BE243*1,"")</f>
        <v/>
      </c>
      <c r="BS243" s="1411" t="str">
        <f aca="false">IF(ISNUMBER($AU243*BF243),$AU243*BF243,"")</f>
        <v/>
      </c>
      <c r="BT243" s="1411" t="str">
        <f aca="false">IF(ISNUMBER($AV243*BG243),$AV243*BG243,"")</f>
        <v/>
      </c>
      <c r="BU243" s="1411"/>
      <c r="BV243" s="1411"/>
      <c r="BW243" s="1411"/>
      <c r="BX243" s="1411"/>
      <c r="BZ243" s="1372"/>
      <c r="CA243" s="1372"/>
      <c r="CB243" s="1426" t="str">
        <f aca="false">IF(ISNUMBER($AW243*BB243),$AW243*BB243,"")</f>
        <v/>
      </c>
      <c r="CC243" s="1426" t="str">
        <f aca="false">IF(ISNUMBER($AX243*BC243),$AX243*BC243,"")</f>
        <v/>
      </c>
      <c r="CD243" s="1426" t="str">
        <f aca="false">IF(ISNUMBER($AW243*BD243),$AW243*BD243,"")</f>
        <v/>
      </c>
      <c r="CE243" s="1426" t="str">
        <f aca="false">IF(ISNUMBER($AX243*BE243),$AX243*BE243,"")</f>
        <v/>
      </c>
      <c r="CF243" s="1372" t="str">
        <f aca="false">IF(ISNUMBER($AW243*BF243),$AW243*BF243,"")</f>
        <v/>
      </c>
      <c r="CG243" s="1372" t="str">
        <f aca="false">IF(ISNUMBER($AX243*BG243),$AX243*BG243,"")</f>
        <v/>
      </c>
      <c r="CH243" s="1438"/>
      <c r="CI243" s="1438"/>
      <c r="CJ243" s="1438"/>
      <c r="CK243" s="1438"/>
      <c r="CU243" s="1411"/>
      <c r="CV243" s="1411"/>
      <c r="CW243" s="1425"/>
      <c r="CX243" s="1425"/>
      <c r="CY243" s="1425"/>
      <c r="CZ243" s="1425"/>
      <c r="DA243" s="1411"/>
      <c r="DB243" s="1411"/>
      <c r="DC243" s="1411"/>
      <c r="DD243" s="1411"/>
      <c r="DE243" s="1411"/>
      <c r="DF243" s="1411"/>
      <c r="DH243" s="1432"/>
      <c r="DI243" s="1432"/>
      <c r="DJ243" s="1437"/>
      <c r="DK243" s="1437"/>
      <c r="DL243" s="1437"/>
      <c r="DM243" s="1437"/>
      <c r="DN243" s="1432"/>
      <c r="DO243" s="1432"/>
      <c r="DP243" s="1432"/>
      <c r="DQ243" s="1432"/>
      <c r="DR243" s="1432"/>
      <c r="DS243" s="1432"/>
      <c r="DT243" s="1316"/>
      <c r="DU243" s="1433"/>
      <c r="DV243" s="1433"/>
      <c r="DW243" s="1433"/>
      <c r="DX243" s="1433"/>
      <c r="DY243" s="1433"/>
      <c r="DZ243" s="1433"/>
      <c r="EA243" s="1433"/>
      <c r="EB243" s="1433"/>
    </row>
    <row r="244" customFormat="false" ht="14.25" hidden="false" customHeight="false" outlineLevel="0" collapsed="false">
      <c r="A244" s="2" t="n">
        <f aca="false">'V_DATOS PAC_SGA'!R239</f>
        <v>0</v>
      </c>
      <c r="B244" s="2" t="n">
        <f aca="false">IF(I244="IV",CONCATENATE('V_DATOS PAC_SGA'!R239,"4")+0,CONCATENATE('V_DATOS PAC_SGA'!R239,"0")+0)</f>
        <v>0</v>
      </c>
      <c r="C244" s="2" t="n">
        <f aca="false">'V_DATOS PAC_SGA'!S239</f>
        <v>0</v>
      </c>
      <c r="D244" s="1409" t="n">
        <f aca="false">'V_DATOS PAC_SGA'!Y239</f>
        <v>0</v>
      </c>
      <c r="E244" s="1410" t="str">
        <f aca="false">IF('V_DATOS PAC_SGA'!AV239="","Regadio",'V_DATOS PAC_SGA'!AV239)</f>
        <v>Regadio</v>
      </c>
      <c r="F244" s="1411" t="n">
        <f aca="false">'V_DATOS PAC_SGA'!BK239</f>
        <v>0</v>
      </c>
      <c r="G244" s="1412" t="n">
        <f aca="false">'V_DATOS PAC_SGA'!AN239</f>
        <v>0</v>
      </c>
      <c r="H244" s="1413" t="str">
        <f aca="false">IF(B244&gt;0,VLOOKUP(B244,'O_MN, PE_UTA_UGM 2024'!E$3:O$419,10),"")</f>
        <v/>
      </c>
      <c r="I244" s="1359" t="n">
        <f aca="false">'V_DATOS PAC_SGA'!BV239</f>
        <v>0</v>
      </c>
      <c r="J244" s="2" t="str">
        <f aca="false">IF(AND(J$4=$G244,J$6=$F244),$D244*J$5,"")</f>
        <v/>
      </c>
      <c r="K244" s="2" t="str">
        <f aca="false">IF(AND(K$4=$G244,K$6=$F244),$D244*K$5,"")</f>
        <v/>
      </c>
      <c r="L244" s="2" t="str">
        <f aca="false">IF(AND(L$4=$G244,L$6=$F244),$D244*L$5,"")</f>
        <v/>
      </c>
      <c r="M244" s="2" t="str">
        <f aca="false">IF(AND(M$4=$G244,M$6=$F244),$D244*M$5,"")</f>
        <v/>
      </c>
      <c r="N244" s="1414" t="n">
        <f aca="false">VLOOKUP(B244,'O_MN, PE_UTA_UGM 2024'!$E$2:$K$419,IF(G244&gt;1,6,7))</f>
        <v>0</v>
      </c>
      <c r="O244" s="1434" t="str">
        <f aca="false">IF($H244=O$4,$D244*$N244,"")</f>
        <v/>
      </c>
      <c r="P244" s="1435" t="str">
        <f aca="false">IF($H244=P$4,$D244*$N244,"")</f>
        <v/>
      </c>
      <c r="Q244" s="1435" t="str">
        <f aca="false">IF($H244=Q$4,$D244*$N244,"")</f>
        <v/>
      </c>
      <c r="R244" s="1435" t="str">
        <f aca="false">IF($H244=R$4,$D244*$N244,"")</f>
        <v/>
      </c>
      <c r="S244" s="1435" t="str">
        <f aca="false">IF($H244=S$4,$D244*$N244,"")</f>
        <v/>
      </c>
      <c r="T244" s="1435" t="str">
        <f aca="false">IF($H244=T$4,$D244*$N244,"")</f>
        <v/>
      </c>
      <c r="U244" s="1436" t="str">
        <f aca="false">IF($H244=U$4,$D244*$N244,"")</f>
        <v/>
      </c>
      <c r="V244" s="1418"/>
      <c r="W244" s="1419"/>
      <c r="X244" s="1419"/>
      <c r="Y244" s="1419"/>
      <c r="Z244" s="1419"/>
      <c r="AA244" s="1419"/>
      <c r="AB244" s="1420"/>
      <c r="AC244" s="1319"/>
      <c r="AD244" s="2" t="str">
        <f aca="false">IF(AND(AD$4=$G244,AD$6=$F244),$B244,"")</f>
        <v/>
      </c>
      <c r="AE244" s="2" t="str">
        <f aca="false">IF(AND(AE$4=$G244,AE$6=$F244),$B244,"")</f>
        <v/>
      </c>
      <c r="AF244" s="2" t="str">
        <f aca="false">IF(AND(AF$4=$G244,AF$6=$F244),$B244,"")</f>
        <v/>
      </c>
      <c r="AG244" s="2" t="str">
        <f aca="false">IF(AND(AG$4=$G244,AG$6=$F244),$B244,"")</f>
        <v/>
      </c>
      <c r="AI244" s="366"/>
      <c r="AL244" s="367"/>
      <c r="AO244" s="367"/>
      <c r="AP244" s="2" t="str">
        <f aca="false">IF(AT244&gt;0,RANK(AT244,AT$7:AT$423),"")</f>
        <v/>
      </c>
      <c r="AQ244" s="2" t="n">
        <f aca="false">'O_MN, PE_UTA_UGM 2024'!C240</f>
        <v>238</v>
      </c>
      <c r="AR244" s="1421" t="n">
        <v>2200</v>
      </c>
      <c r="AS244" s="2" t="str">
        <f aca="false">IF(AY244&lt;&gt;"",AY244,"")</f>
        <v/>
      </c>
      <c r="AT244" s="1422" t="n">
        <f aca="false">IF(ISNUMBER($AR244),SUMIF(B$7:B$505,AR244,D$7:D$505),"")</f>
        <v>0</v>
      </c>
      <c r="AU244" s="1411" t="n">
        <f aca="false">IF(ISNUMBER($AR244),SUMIF(AD$7:AD$503,$AR244,J$7:J$503),"")</f>
        <v>0</v>
      </c>
      <c r="AV244" s="1411" t="n">
        <f aca="false">IF(ISNUMBER($AR244),SUMIF(AF$7:AF$503,$AR244,L$7:L$503),"")</f>
        <v>0</v>
      </c>
      <c r="AW244" s="1423" t="n">
        <f aca="false">IF(ISNUMBER($AR244),SUMIF(AE$7:AE$503,$AR244,K$7:K$503),"")</f>
        <v>0</v>
      </c>
      <c r="AX244" s="1423" t="n">
        <f aca="false">IF(ISNUMBER($AR244),SUMIF(AG$7:AG$503,$AR244,M$7:M$503),"")</f>
        <v>0</v>
      </c>
      <c r="AY244" s="2" t="str">
        <f aca="false">IF($AT244&gt;0,VLOOKUP($AR244,'O_MN, PE_UTA_UGM 2024'!E240:O656,2),"")</f>
        <v/>
      </c>
      <c r="AZ244" s="1424"/>
      <c r="BA244" s="1424"/>
      <c r="BB244" s="1424" t="str">
        <f aca="false">IF($AT244&gt;0,VLOOKUP($AR244,'O_MN, PE_UTA_UGM 2024'!$E$3:$O$419,BB$6),"")</f>
        <v/>
      </c>
      <c r="BC244" s="1424" t="str">
        <f aca="false">IF($AT244&gt;0,VLOOKUP($AR244,'O_MN, PE_UTA_UGM 2024'!$E$3:$O$419,BC$6),"")</f>
        <v/>
      </c>
      <c r="BD244" s="1424" t="str">
        <f aca="false">IF($AT244&gt;0,VLOOKUP($AR244,'O_MN, PE_UTA_UGM 2024'!$E$3:$O$419,BD$6),"")</f>
        <v/>
      </c>
      <c r="BE244" s="1424" t="str">
        <f aca="false">IF($AT244&gt;0,VLOOKUP($AR244,'O_MN, PE_UTA_UGM 2024'!$E$3:$O$419,BE$6),"")</f>
        <v/>
      </c>
      <c r="BF244" s="1424" t="str">
        <f aca="false">IF($AT244&gt;0,VLOOKUP($AR244,'O_MN, PE_UTA_UGM 2024'!$E$3:$O$419,BF$6),"")</f>
        <v/>
      </c>
      <c r="BG244" s="1424" t="str">
        <f aca="false">IF($AT244&gt;0,VLOOKUP($AR244,'O_MN, PE_UTA_UGM 2024'!$E$3:$O$419,BG$6),"")</f>
        <v/>
      </c>
      <c r="BH244" s="872"/>
      <c r="BI244" s="872"/>
      <c r="BJ244" s="872"/>
      <c r="BK244" s="872"/>
      <c r="BM244" s="1411"/>
      <c r="BN244" s="1411"/>
      <c r="BO244" s="1425" t="str">
        <f aca="false">IF(ISNUMBER($AU244*BB244*1),$AU244*BB244*1,"")</f>
        <v/>
      </c>
      <c r="BP244" s="1425" t="str">
        <f aca="false">IF(ISNUMBER($AV244*BC244*1),$AV244*BC244*1,"")</f>
        <v/>
      </c>
      <c r="BQ244" s="1425" t="str">
        <f aca="false">IF(ISNUMBER($AU244*BD244*1),$AU244*BD244*1,"")</f>
        <v/>
      </c>
      <c r="BR244" s="1425" t="str">
        <f aca="false">IF(ISNUMBER($AV244*BE244*1),$AV244*BE244*1,"")</f>
        <v/>
      </c>
      <c r="BS244" s="1411" t="str">
        <f aca="false">IF(ISNUMBER($AU244*BF244),$AU244*BF244,"")</f>
        <v/>
      </c>
      <c r="BT244" s="1411" t="str">
        <f aca="false">IF(ISNUMBER($AV244*BG244),$AV244*BG244,"")</f>
        <v/>
      </c>
      <c r="BU244" s="1411"/>
      <c r="BV244" s="1411"/>
      <c r="BW244" s="1411"/>
      <c r="BX244" s="1411"/>
      <c r="BZ244" s="1372"/>
      <c r="CA244" s="1372"/>
      <c r="CB244" s="1426" t="str">
        <f aca="false">IF(ISNUMBER($AW244*BB244),$AW244*BB244,"")</f>
        <v/>
      </c>
      <c r="CC244" s="1426" t="str">
        <f aca="false">IF(ISNUMBER($AX244*BC244),$AX244*BC244,"")</f>
        <v/>
      </c>
      <c r="CD244" s="1426" t="str">
        <f aca="false">IF(ISNUMBER($AW244*BD244),$AW244*BD244,"")</f>
        <v/>
      </c>
      <c r="CE244" s="1426" t="str">
        <f aca="false">IF(ISNUMBER($AX244*BE244),$AX244*BE244,"")</f>
        <v/>
      </c>
      <c r="CF244" s="1372" t="str">
        <f aca="false">IF(ISNUMBER($AW244*BF244),$AW244*BF244,"")</f>
        <v/>
      </c>
      <c r="CG244" s="1372" t="str">
        <f aca="false">IF(ISNUMBER($AX244*BG244),$AX244*BG244,"")</f>
        <v/>
      </c>
      <c r="CH244" s="1438"/>
      <c r="CI244" s="1438"/>
      <c r="CJ244" s="1438"/>
      <c r="CK244" s="1438"/>
      <c r="CU244" s="1411"/>
      <c r="CV244" s="1411"/>
      <c r="CW244" s="1425"/>
      <c r="CX244" s="1425"/>
      <c r="CY244" s="1425"/>
      <c r="CZ244" s="1425"/>
      <c r="DA244" s="1411"/>
      <c r="DB244" s="1411"/>
      <c r="DC244" s="1411"/>
      <c r="DD244" s="1411"/>
      <c r="DE244" s="1411"/>
      <c r="DF244" s="1411"/>
      <c r="DH244" s="1432"/>
      <c r="DI244" s="1432"/>
      <c r="DJ244" s="1437"/>
      <c r="DK244" s="1437"/>
      <c r="DL244" s="1437"/>
      <c r="DM244" s="1437"/>
      <c r="DN244" s="1432"/>
      <c r="DO244" s="1432"/>
      <c r="DP244" s="1432"/>
      <c r="DQ244" s="1432"/>
      <c r="DR244" s="1432"/>
      <c r="DS244" s="1432"/>
      <c r="DT244" s="1316"/>
      <c r="DU244" s="1433"/>
      <c r="DV244" s="1433"/>
      <c r="DW244" s="1433"/>
      <c r="DX244" s="1433"/>
      <c r="DY244" s="1433"/>
      <c r="DZ244" s="1433"/>
      <c r="EA244" s="1433"/>
      <c r="EB244" s="1433"/>
    </row>
    <row r="245" customFormat="false" ht="14.25" hidden="false" customHeight="false" outlineLevel="0" collapsed="false">
      <c r="A245" s="2" t="n">
        <f aca="false">'V_DATOS PAC_SGA'!R240</f>
        <v>0</v>
      </c>
      <c r="B245" s="2" t="n">
        <f aca="false">IF(I245="IV",CONCATENATE('V_DATOS PAC_SGA'!R240,"4")+0,CONCATENATE('V_DATOS PAC_SGA'!R240,"0")+0)</f>
        <v>0</v>
      </c>
      <c r="C245" s="2" t="n">
        <f aca="false">'V_DATOS PAC_SGA'!S240</f>
        <v>0</v>
      </c>
      <c r="D245" s="1409" t="n">
        <f aca="false">'V_DATOS PAC_SGA'!Y240</f>
        <v>0</v>
      </c>
      <c r="E245" s="1410" t="str">
        <f aca="false">IF('V_DATOS PAC_SGA'!AV240="","Regadio",'V_DATOS PAC_SGA'!AV240)</f>
        <v>Regadio</v>
      </c>
      <c r="F245" s="1411" t="n">
        <f aca="false">'V_DATOS PAC_SGA'!BK240</f>
        <v>0</v>
      </c>
      <c r="G245" s="1412" t="n">
        <f aca="false">'V_DATOS PAC_SGA'!AN240</f>
        <v>0</v>
      </c>
      <c r="H245" s="1413" t="str">
        <f aca="false">IF(B245&gt;0,VLOOKUP(B245,'O_MN, PE_UTA_UGM 2024'!E$3:O$419,10),"")</f>
        <v/>
      </c>
      <c r="I245" s="1359" t="n">
        <f aca="false">'V_DATOS PAC_SGA'!BV240</f>
        <v>0</v>
      </c>
      <c r="J245" s="2" t="str">
        <f aca="false">IF(AND(J$4=$G245,J$6=$F245),$D245*J$5,"")</f>
        <v/>
      </c>
      <c r="K245" s="2" t="str">
        <f aca="false">IF(AND(K$4=$G245,K$6=$F245),$D245*K$5,"")</f>
        <v/>
      </c>
      <c r="L245" s="2" t="str">
        <f aca="false">IF(AND(L$4=$G245,L$6=$F245),$D245*L$5,"")</f>
        <v/>
      </c>
      <c r="M245" s="2" t="str">
        <f aca="false">IF(AND(M$4=$G245,M$6=$F245),$D245*M$5,"")</f>
        <v/>
      </c>
      <c r="N245" s="1414" t="n">
        <f aca="false">VLOOKUP(B245,'O_MN, PE_UTA_UGM 2024'!$E$2:$K$419,IF(G245&gt;1,6,7))</f>
        <v>0</v>
      </c>
      <c r="O245" s="1434" t="str">
        <f aca="false">IF($H245=O$4,$D245*$N245,"")</f>
        <v/>
      </c>
      <c r="P245" s="1435" t="str">
        <f aca="false">IF($H245=P$4,$D245*$N245,"")</f>
        <v/>
      </c>
      <c r="Q245" s="1435" t="str">
        <f aca="false">IF($H245=Q$4,$D245*$N245,"")</f>
        <v/>
      </c>
      <c r="R245" s="1435" t="str">
        <f aca="false">IF($H245=R$4,$D245*$N245,"")</f>
        <v/>
      </c>
      <c r="S245" s="1435" t="str">
        <f aca="false">IF($H245=S$4,$D245*$N245,"")</f>
        <v/>
      </c>
      <c r="T245" s="1435" t="str">
        <f aca="false">IF($H245=T$4,$D245*$N245,"")</f>
        <v/>
      </c>
      <c r="U245" s="1436" t="str">
        <f aca="false">IF($H245=U$4,$D245*$N245,"")</f>
        <v/>
      </c>
      <c r="V245" s="1418"/>
      <c r="W245" s="1419"/>
      <c r="X245" s="1419"/>
      <c r="Y245" s="1419"/>
      <c r="Z245" s="1419"/>
      <c r="AA245" s="1419"/>
      <c r="AB245" s="1420"/>
      <c r="AC245" s="1319"/>
      <c r="AD245" s="2" t="str">
        <f aca="false">IF(AND(AD$4=$G245,AD$6=$F245),$B245,"")</f>
        <v/>
      </c>
      <c r="AE245" s="2" t="str">
        <f aca="false">IF(AND(AE$4=$G245,AE$6=$F245),$B245,"")</f>
        <v/>
      </c>
      <c r="AF245" s="2" t="str">
        <f aca="false">IF(AND(AF$4=$G245,AF$6=$F245),$B245,"")</f>
        <v/>
      </c>
      <c r="AG245" s="2" t="str">
        <f aca="false">IF(AND(AG$4=$G245,AG$6=$F245),$B245,"")</f>
        <v/>
      </c>
      <c r="AI245" s="366"/>
      <c r="AL245" s="367"/>
      <c r="AO245" s="367"/>
      <c r="AP245" s="2" t="str">
        <f aca="false">IF(AT245&gt;0,RANK(AT245,AT$7:AT$423),"")</f>
        <v/>
      </c>
      <c r="AQ245" s="2" t="n">
        <f aca="false">'O_MN, PE_UTA_UGM 2024'!C241</f>
        <v>239</v>
      </c>
      <c r="AR245" s="1421" t="n">
        <v>2220</v>
      </c>
      <c r="AS245" s="2" t="str">
        <f aca="false">IF(AY245&lt;&gt;"",AY245,"")</f>
        <v/>
      </c>
      <c r="AT245" s="1422" t="n">
        <f aca="false">IF(ISNUMBER($AR245),SUMIF(B$7:B$505,AR245,D$7:D$505),"")</f>
        <v>0</v>
      </c>
      <c r="AU245" s="1411" t="n">
        <f aca="false">IF(ISNUMBER($AR245),SUMIF(AD$7:AD$503,$AR245,J$7:J$503),"")</f>
        <v>0</v>
      </c>
      <c r="AV245" s="1411" t="n">
        <f aca="false">IF(ISNUMBER($AR245),SUMIF(AF$7:AF$503,$AR245,L$7:L$503),"")</f>
        <v>0</v>
      </c>
      <c r="AW245" s="1423" t="n">
        <f aca="false">IF(ISNUMBER($AR245),SUMIF(AE$7:AE$503,$AR245,K$7:K$503),"")</f>
        <v>0</v>
      </c>
      <c r="AX245" s="1423" t="n">
        <f aca="false">IF(ISNUMBER($AR245),SUMIF(AG$7:AG$503,$AR245,M$7:M$503),"")</f>
        <v>0</v>
      </c>
      <c r="AY245" s="2" t="str">
        <f aca="false">IF($AT245&gt;0,VLOOKUP($AR245,'O_MN, PE_UTA_UGM 2024'!E241:O657,2),"")</f>
        <v/>
      </c>
      <c r="AZ245" s="1424"/>
      <c r="BA245" s="1424"/>
      <c r="BB245" s="1424" t="str">
        <f aca="false">IF($AT245&gt;0,VLOOKUP($AR245,'O_MN, PE_UTA_UGM 2024'!$E$3:$O$419,BB$6),"")</f>
        <v/>
      </c>
      <c r="BC245" s="1424" t="str">
        <f aca="false">IF($AT245&gt;0,VLOOKUP($AR245,'O_MN, PE_UTA_UGM 2024'!$E$3:$O$419,BC$6),"")</f>
        <v/>
      </c>
      <c r="BD245" s="1424" t="str">
        <f aca="false">IF($AT245&gt;0,VLOOKUP($AR245,'O_MN, PE_UTA_UGM 2024'!$E$3:$O$419,BD$6),"")</f>
        <v/>
      </c>
      <c r="BE245" s="1424" t="str">
        <f aca="false">IF($AT245&gt;0,VLOOKUP($AR245,'O_MN, PE_UTA_UGM 2024'!$E$3:$O$419,BE$6),"")</f>
        <v/>
      </c>
      <c r="BF245" s="1424" t="str">
        <f aca="false">IF($AT245&gt;0,VLOOKUP($AR245,'O_MN, PE_UTA_UGM 2024'!$E$3:$O$419,BF$6),"")</f>
        <v/>
      </c>
      <c r="BG245" s="1424" t="str">
        <f aca="false">IF($AT245&gt;0,VLOOKUP($AR245,'O_MN, PE_UTA_UGM 2024'!$E$3:$O$419,BG$6),"")</f>
        <v/>
      </c>
      <c r="BH245" s="872"/>
      <c r="BI245" s="872"/>
      <c r="BJ245" s="872"/>
      <c r="BK245" s="872"/>
      <c r="BM245" s="1411"/>
      <c r="BN245" s="1411"/>
      <c r="BO245" s="1425" t="str">
        <f aca="false">IF(ISNUMBER($AU245*BB245*1),$AU245*BB245*1,"")</f>
        <v/>
      </c>
      <c r="BP245" s="1425" t="str">
        <f aca="false">IF(ISNUMBER($AV245*BC245*1),$AV245*BC245*1,"")</f>
        <v/>
      </c>
      <c r="BQ245" s="1425" t="str">
        <f aca="false">IF(ISNUMBER($AU245*BD245*1),$AU245*BD245*1,"")</f>
        <v/>
      </c>
      <c r="BR245" s="1425" t="str">
        <f aca="false">IF(ISNUMBER($AV245*BE245*1),$AV245*BE245*1,"")</f>
        <v/>
      </c>
      <c r="BS245" s="1411" t="str">
        <f aca="false">IF(ISNUMBER($AU245*BF245),$AU245*BF245,"")</f>
        <v/>
      </c>
      <c r="BT245" s="1411" t="str">
        <f aca="false">IF(ISNUMBER($AV245*BG245),$AV245*BG245,"")</f>
        <v/>
      </c>
      <c r="BU245" s="1411"/>
      <c r="BV245" s="1411"/>
      <c r="BW245" s="1411"/>
      <c r="BX245" s="1411"/>
      <c r="BZ245" s="1372"/>
      <c r="CA245" s="1372"/>
      <c r="CB245" s="1426" t="str">
        <f aca="false">IF(ISNUMBER($AW245*BB245),$AW245*BB245,"")</f>
        <v/>
      </c>
      <c r="CC245" s="1426" t="str">
        <f aca="false">IF(ISNUMBER($AX245*BC245),$AX245*BC245,"")</f>
        <v/>
      </c>
      <c r="CD245" s="1426" t="str">
        <f aca="false">IF(ISNUMBER($AW245*BD245),$AW245*BD245,"")</f>
        <v/>
      </c>
      <c r="CE245" s="1426" t="str">
        <f aca="false">IF(ISNUMBER($AX245*BE245),$AX245*BE245,"")</f>
        <v/>
      </c>
      <c r="CF245" s="1372" t="str">
        <f aca="false">IF(ISNUMBER($AW245*BF245),$AW245*BF245,"")</f>
        <v/>
      </c>
      <c r="CG245" s="1372" t="str">
        <f aca="false">IF(ISNUMBER($AX245*BG245),$AX245*BG245,"")</f>
        <v/>
      </c>
      <c r="CH245" s="1438"/>
      <c r="CI245" s="1438"/>
      <c r="CJ245" s="1438"/>
      <c r="CK245" s="1438"/>
      <c r="CU245" s="1411"/>
      <c r="CV245" s="1411"/>
      <c r="CW245" s="1425"/>
      <c r="CX245" s="1425"/>
      <c r="CY245" s="1425"/>
      <c r="CZ245" s="1425"/>
      <c r="DA245" s="1411"/>
      <c r="DB245" s="1411"/>
      <c r="DC245" s="1411"/>
      <c r="DD245" s="1411"/>
      <c r="DE245" s="1411"/>
      <c r="DF245" s="1411"/>
      <c r="DH245" s="1432"/>
      <c r="DI245" s="1432"/>
      <c r="DJ245" s="1437"/>
      <c r="DK245" s="1437"/>
      <c r="DL245" s="1437"/>
      <c r="DM245" s="1437"/>
      <c r="DN245" s="1432"/>
      <c r="DO245" s="1432"/>
      <c r="DP245" s="1432"/>
      <c r="DQ245" s="1432"/>
      <c r="DR245" s="1432"/>
      <c r="DS245" s="1432"/>
      <c r="DT245" s="1316"/>
      <c r="DU245" s="1433"/>
      <c r="DV245" s="1433"/>
      <c r="DW245" s="1433"/>
      <c r="DX245" s="1433"/>
      <c r="DY245" s="1433"/>
      <c r="DZ245" s="1433"/>
      <c r="EA245" s="1433"/>
      <c r="EB245" s="1433"/>
    </row>
    <row r="246" customFormat="false" ht="14.25" hidden="false" customHeight="false" outlineLevel="0" collapsed="false">
      <c r="A246" s="2" t="n">
        <f aca="false">'V_DATOS PAC_SGA'!R241</f>
        <v>0</v>
      </c>
      <c r="B246" s="2" t="n">
        <f aca="false">IF(I246="IV",CONCATENATE('V_DATOS PAC_SGA'!R241,"4")+0,CONCATENATE('V_DATOS PAC_SGA'!R241,"0")+0)</f>
        <v>0</v>
      </c>
      <c r="C246" s="2" t="n">
        <f aca="false">'V_DATOS PAC_SGA'!S241</f>
        <v>0</v>
      </c>
      <c r="D246" s="1409" t="n">
        <f aca="false">'V_DATOS PAC_SGA'!Y241</f>
        <v>0</v>
      </c>
      <c r="E246" s="1410" t="str">
        <f aca="false">IF('V_DATOS PAC_SGA'!AV241="","Regadio",'V_DATOS PAC_SGA'!AV241)</f>
        <v>Regadio</v>
      </c>
      <c r="F246" s="1411" t="n">
        <f aca="false">'V_DATOS PAC_SGA'!BK241</f>
        <v>0</v>
      </c>
      <c r="G246" s="1412" t="n">
        <f aca="false">'V_DATOS PAC_SGA'!AN241</f>
        <v>0</v>
      </c>
      <c r="H246" s="1413" t="str">
        <f aca="false">IF(B246&gt;0,VLOOKUP(B246,'O_MN, PE_UTA_UGM 2024'!E$3:O$419,10),"")</f>
        <v/>
      </c>
      <c r="I246" s="1359" t="n">
        <f aca="false">'V_DATOS PAC_SGA'!BV241</f>
        <v>0</v>
      </c>
      <c r="J246" s="2" t="str">
        <f aca="false">IF(AND(J$4=$G246,J$6=$F246),$D246*J$5,"")</f>
        <v/>
      </c>
      <c r="K246" s="2" t="str">
        <f aca="false">IF(AND(K$4=$G246,K$6=$F246),$D246*K$5,"")</f>
        <v/>
      </c>
      <c r="L246" s="2" t="str">
        <f aca="false">IF(AND(L$4=$G246,L$6=$F246),$D246*L$5,"")</f>
        <v/>
      </c>
      <c r="M246" s="2" t="str">
        <f aca="false">IF(AND(M$4=$G246,M$6=$F246),$D246*M$5,"")</f>
        <v/>
      </c>
      <c r="N246" s="1414" t="n">
        <f aca="false">VLOOKUP(B246,'O_MN, PE_UTA_UGM 2024'!$E$2:$K$419,IF(G246&gt;1,6,7))</f>
        <v>0</v>
      </c>
      <c r="O246" s="1434" t="str">
        <f aca="false">IF($H246=O$4,$D246*$N246,"")</f>
        <v/>
      </c>
      <c r="P246" s="1435" t="str">
        <f aca="false">IF($H246=P$4,$D246*$N246,"")</f>
        <v/>
      </c>
      <c r="Q246" s="1435" t="str">
        <f aca="false">IF($H246=Q$4,$D246*$N246,"")</f>
        <v/>
      </c>
      <c r="R246" s="1435" t="str">
        <f aca="false">IF($H246=R$4,$D246*$N246,"")</f>
        <v/>
      </c>
      <c r="S246" s="1435" t="str">
        <f aca="false">IF($H246=S$4,$D246*$N246,"")</f>
        <v/>
      </c>
      <c r="T246" s="1435" t="str">
        <f aca="false">IF($H246=T$4,$D246*$N246,"")</f>
        <v/>
      </c>
      <c r="U246" s="1436" t="str">
        <f aca="false">IF($H246=U$4,$D246*$N246,"")</f>
        <v/>
      </c>
      <c r="V246" s="1418"/>
      <c r="W246" s="1419"/>
      <c r="X246" s="1419"/>
      <c r="Y246" s="1419"/>
      <c r="Z246" s="1419"/>
      <c r="AA246" s="1419"/>
      <c r="AB246" s="1420"/>
      <c r="AC246" s="1319"/>
      <c r="AD246" s="2" t="str">
        <f aca="false">IF(AND(AD$4=$G246,AD$6=$F246),$B246,"")</f>
        <v/>
      </c>
      <c r="AE246" s="2" t="str">
        <f aca="false">IF(AND(AE$4=$G246,AE$6=$F246),$B246,"")</f>
        <v/>
      </c>
      <c r="AF246" s="2" t="str">
        <f aca="false">IF(AND(AF$4=$G246,AF$6=$F246),$B246,"")</f>
        <v/>
      </c>
      <c r="AG246" s="2" t="str">
        <f aca="false">IF(AND(AG$4=$G246,AG$6=$F246),$B246,"")</f>
        <v/>
      </c>
      <c r="AI246" s="366"/>
      <c r="AL246" s="367"/>
      <c r="AO246" s="367"/>
      <c r="AP246" s="2" t="str">
        <f aca="false">IF(AT246&gt;0,RANK(AT246,AT$7:AT$423),"")</f>
        <v/>
      </c>
      <c r="AQ246" s="2" t="n">
        <f aca="false">'O_MN, PE_UTA_UGM 2024'!C242</f>
        <v>240</v>
      </c>
      <c r="AR246" s="1421" t="n">
        <v>2230</v>
      </c>
      <c r="AS246" s="2" t="str">
        <f aca="false">IF(AY246&lt;&gt;"",AY246,"")</f>
        <v/>
      </c>
      <c r="AT246" s="1422" t="n">
        <f aca="false">IF(ISNUMBER($AR246),SUMIF(B$7:B$505,AR246,D$7:D$505),"")</f>
        <v>0</v>
      </c>
      <c r="AU246" s="1411" t="n">
        <f aca="false">IF(ISNUMBER($AR246),SUMIF(AD$7:AD$503,$AR246,J$7:J$503),"")</f>
        <v>0</v>
      </c>
      <c r="AV246" s="1411" t="n">
        <f aca="false">IF(ISNUMBER($AR246),SUMIF(AF$7:AF$503,$AR246,L$7:L$503),"")</f>
        <v>0</v>
      </c>
      <c r="AW246" s="1423" t="n">
        <f aca="false">IF(ISNUMBER($AR246),SUMIF(AE$7:AE$503,$AR246,K$7:K$503),"")</f>
        <v>0</v>
      </c>
      <c r="AX246" s="1423" t="n">
        <f aca="false">IF(ISNUMBER($AR246),SUMIF(AG$7:AG$503,$AR246,M$7:M$503),"")</f>
        <v>0</v>
      </c>
      <c r="AY246" s="2" t="str">
        <f aca="false">IF($AT246&gt;0,VLOOKUP($AR246,'O_MN, PE_UTA_UGM 2024'!E242:O658,2),"")</f>
        <v/>
      </c>
      <c r="AZ246" s="1424"/>
      <c r="BA246" s="1424"/>
      <c r="BB246" s="1424" t="str">
        <f aca="false">IF($AT246&gt;0,VLOOKUP($AR246,'O_MN, PE_UTA_UGM 2024'!$E$3:$O$419,BB$6),"")</f>
        <v/>
      </c>
      <c r="BC246" s="1424" t="str">
        <f aca="false">IF($AT246&gt;0,VLOOKUP($AR246,'O_MN, PE_UTA_UGM 2024'!$E$3:$O$419,BC$6),"")</f>
        <v/>
      </c>
      <c r="BD246" s="1424" t="str">
        <f aca="false">IF($AT246&gt;0,VLOOKUP($AR246,'O_MN, PE_UTA_UGM 2024'!$E$3:$O$419,BD$6),"")</f>
        <v/>
      </c>
      <c r="BE246" s="1424" t="str">
        <f aca="false">IF($AT246&gt;0,VLOOKUP($AR246,'O_MN, PE_UTA_UGM 2024'!$E$3:$O$419,BE$6),"")</f>
        <v/>
      </c>
      <c r="BF246" s="1424" t="str">
        <f aca="false">IF($AT246&gt;0,VLOOKUP($AR246,'O_MN, PE_UTA_UGM 2024'!$E$3:$O$419,BF$6),"")</f>
        <v/>
      </c>
      <c r="BG246" s="1424" t="str">
        <f aca="false">IF($AT246&gt;0,VLOOKUP($AR246,'O_MN, PE_UTA_UGM 2024'!$E$3:$O$419,BG$6),"")</f>
        <v/>
      </c>
      <c r="BH246" s="872"/>
      <c r="BI246" s="872"/>
      <c r="BJ246" s="872"/>
      <c r="BK246" s="872"/>
      <c r="BM246" s="1411"/>
      <c r="BN246" s="1411"/>
      <c r="BO246" s="1425" t="str">
        <f aca="false">IF(ISNUMBER($AU246*BB246*1),$AU246*BB246*1,"")</f>
        <v/>
      </c>
      <c r="BP246" s="1425" t="str">
        <f aca="false">IF(ISNUMBER($AV246*BC246*1),$AV246*BC246*1,"")</f>
        <v/>
      </c>
      <c r="BQ246" s="1425" t="str">
        <f aca="false">IF(ISNUMBER($AU246*BD246*1),$AU246*BD246*1,"")</f>
        <v/>
      </c>
      <c r="BR246" s="1425" t="str">
        <f aca="false">IF(ISNUMBER($AV246*BE246*1),$AV246*BE246*1,"")</f>
        <v/>
      </c>
      <c r="BS246" s="1411" t="str">
        <f aca="false">IF(ISNUMBER($AU246*BF246),$AU246*BF246,"")</f>
        <v/>
      </c>
      <c r="BT246" s="1411" t="str">
        <f aca="false">IF(ISNUMBER($AV246*BG246),$AV246*BG246,"")</f>
        <v/>
      </c>
      <c r="BU246" s="1411"/>
      <c r="BV246" s="1411"/>
      <c r="BW246" s="1411"/>
      <c r="BX246" s="1411"/>
      <c r="BZ246" s="1372"/>
      <c r="CA246" s="1372"/>
      <c r="CB246" s="1426" t="str">
        <f aca="false">IF(ISNUMBER($AW246*BB246),$AW246*BB246,"")</f>
        <v/>
      </c>
      <c r="CC246" s="1426" t="str">
        <f aca="false">IF(ISNUMBER($AX246*BC246),$AX246*BC246,"")</f>
        <v/>
      </c>
      <c r="CD246" s="1426" t="str">
        <f aca="false">IF(ISNUMBER($AW246*BD246),$AW246*BD246,"")</f>
        <v/>
      </c>
      <c r="CE246" s="1426" t="str">
        <f aca="false">IF(ISNUMBER($AX246*BE246),$AX246*BE246,"")</f>
        <v/>
      </c>
      <c r="CF246" s="1372" t="str">
        <f aca="false">IF(ISNUMBER($AW246*BF246),$AW246*BF246,"")</f>
        <v/>
      </c>
      <c r="CG246" s="1372" t="str">
        <f aca="false">IF(ISNUMBER($AX246*BG246),$AX246*BG246,"")</f>
        <v/>
      </c>
      <c r="CH246" s="1438"/>
      <c r="CI246" s="1438"/>
      <c r="CJ246" s="1438"/>
      <c r="CK246" s="1438"/>
      <c r="CU246" s="1411"/>
      <c r="CV246" s="1411"/>
      <c r="CW246" s="1425"/>
      <c r="CX246" s="1425"/>
      <c r="CY246" s="1425"/>
      <c r="CZ246" s="1425"/>
      <c r="DA246" s="1411"/>
      <c r="DB246" s="1411"/>
      <c r="DC246" s="1411"/>
      <c r="DD246" s="1411"/>
      <c r="DE246" s="1411"/>
      <c r="DF246" s="1411"/>
      <c r="DH246" s="1432"/>
      <c r="DI246" s="1432"/>
      <c r="DJ246" s="1437"/>
      <c r="DK246" s="1437"/>
      <c r="DL246" s="1437"/>
      <c r="DM246" s="1437"/>
      <c r="DN246" s="1432"/>
      <c r="DO246" s="1432"/>
      <c r="DP246" s="1432"/>
      <c r="DQ246" s="1432"/>
      <c r="DR246" s="1432"/>
      <c r="DS246" s="1432"/>
      <c r="DT246" s="1316"/>
      <c r="DU246" s="1433"/>
      <c r="DV246" s="1433"/>
      <c r="DW246" s="1433"/>
      <c r="DX246" s="1433"/>
      <c r="DY246" s="1433"/>
      <c r="DZ246" s="1433"/>
      <c r="EA246" s="1433"/>
      <c r="EB246" s="1433"/>
    </row>
    <row r="247" customFormat="false" ht="14.25" hidden="false" customHeight="false" outlineLevel="0" collapsed="false">
      <c r="A247" s="2" t="n">
        <f aca="false">'V_DATOS PAC_SGA'!R242</f>
        <v>0</v>
      </c>
      <c r="B247" s="2" t="n">
        <f aca="false">IF(I247="IV",CONCATENATE('V_DATOS PAC_SGA'!R242,"4")+0,CONCATENATE('V_DATOS PAC_SGA'!R242,"0")+0)</f>
        <v>0</v>
      </c>
      <c r="C247" s="2" t="n">
        <f aca="false">'V_DATOS PAC_SGA'!S242</f>
        <v>0</v>
      </c>
      <c r="D247" s="1409" t="n">
        <f aca="false">'V_DATOS PAC_SGA'!Y242</f>
        <v>0</v>
      </c>
      <c r="E247" s="1410" t="str">
        <f aca="false">IF('V_DATOS PAC_SGA'!AV242="","Regadio",'V_DATOS PAC_SGA'!AV242)</f>
        <v>Regadio</v>
      </c>
      <c r="F247" s="1411" t="n">
        <f aca="false">'V_DATOS PAC_SGA'!BK242</f>
        <v>0</v>
      </c>
      <c r="G247" s="1412" t="n">
        <f aca="false">'V_DATOS PAC_SGA'!AN242</f>
        <v>0</v>
      </c>
      <c r="H247" s="1413" t="str">
        <f aca="false">IF(B247&gt;0,VLOOKUP(B247,'O_MN, PE_UTA_UGM 2024'!E$3:O$419,10),"")</f>
        <v/>
      </c>
      <c r="I247" s="1359" t="n">
        <f aca="false">'V_DATOS PAC_SGA'!BV242</f>
        <v>0</v>
      </c>
      <c r="J247" s="2" t="str">
        <f aca="false">IF(AND(J$4=$G247,J$6=$F247),$D247*J$5,"")</f>
        <v/>
      </c>
      <c r="K247" s="2" t="str">
        <f aca="false">IF(AND(K$4=$G247,K$6=$F247),$D247*K$5,"")</f>
        <v/>
      </c>
      <c r="L247" s="2" t="str">
        <f aca="false">IF(AND(L$4=$G247,L$6=$F247),$D247*L$5,"")</f>
        <v/>
      </c>
      <c r="M247" s="2" t="str">
        <f aca="false">IF(AND(M$4=$G247,M$6=$F247),$D247*M$5,"")</f>
        <v/>
      </c>
      <c r="N247" s="1414" t="n">
        <f aca="false">VLOOKUP(B247,'O_MN, PE_UTA_UGM 2024'!$E$2:$K$419,IF(G247&gt;1,6,7))</f>
        <v>0</v>
      </c>
      <c r="O247" s="1434" t="str">
        <f aca="false">IF($H247=O$4,$D247*$N247,"")</f>
        <v/>
      </c>
      <c r="P247" s="1435" t="str">
        <f aca="false">IF($H247=P$4,$D247*$N247,"")</f>
        <v/>
      </c>
      <c r="Q247" s="1435" t="str">
        <f aca="false">IF($H247=Q$4,$D247*$N247,"")</f>
        <v/>
      </c>
      <c r="R247" s="1435" t="str">
        <f aca="false">IF($H247=R$4,$D247*$N247,"")</f>
        <v/>
      </c>
      <c r="S247" s="1435" t="str">
        <f aca="false">IF($H247=S$4,$D247*$N247,"")</f>
        <v/>
      </c>
      <c r="T247" s="1435" t="str">
        <f aca="false">IF($H247=T$4,$D247*$N247,"")</f>
        <v/>
      </c>
      <c r="U247" s="1436" t="str">
        <f aca="false">IF($H247=U$4,$D247*$N247,"")</f>
        <v/>
      </c>
      <c r="V247" s="1418"/>
      <c r="W247" s="1419"/>
      <c r="X247" s="1419"/>
      <c r="Y247" s="1419"/>
      <c r="Z247" s="1419"/>
      <c r="AA247" s="1419"/>
      <c r="AB247" s="1420"/>
      <c r="AC247" s="1319"/>
      <c r="AD247" s="2" t="str">
        <f aca="false">IF(AND(AD$4=$G247,AD$6=$F247),$B247,"")</f>
        <v/>
      </c>
      <c r="AE247" s="2" t="str">
        <f aca="false">IF(AND(AE$4=$G247,AE$6=$F247),$B247,"")</f>
        <v/>
      </c>
      <c r="AF247" s="2" t="str">
        <f aca="false">IF(AND(AF$4=$G247,AF$6=$F247),$B247,"")</f>
        <v/>
      </c>
      <c r="AG247" s="2" t="str">
        <f aca="false">IF(AND(AG$4=$G247,AG$6=$F247),$B247,"")</f>
        <v/>
      </c>
      <c r="AI247" s="366"/>
      <c r="AL247" s="367"/>
      <c r="AO247" s="367"/>
      <c r="AP247" s="2" t="str">
        <f aca="false">IF(AT247&gt;0,RANK(AT247,AT$7:AT$423),"")</f>
        <v/>
      </c>
      <c r="AQ247" s="2" t="n">
        <f aca="false">'O_MN, PE_UTA_UGM 2024'!C243</f>
        <v>241</v>
      </c>
      <c r="AR247" s="1421" t="n">
        <v>2240</v>
      </c>
      <c r="AS247" s="2" t="str">
        <f aca="false">IF(AY247&lt;&gt;"",AY247,"")</f>
        <v/>
      </c>
      <c r="AT247" s="1422" t="n">
        <f aca="false">IF(ISNUMBER($AR247),SUMIF(B$7:B$505,AR247,D$7:D$505),"")</f>
        <v>0</v>
      </c>
      <c r="AU247" s="1411" t="n">
        <f aca="false">IF(ISNUMBER($AR247),SUMIF(AD$7:AD$503,$AR247,J$7:J$503),"")</f>
        <v>0</v>
      </c>
      <c r="AV247" s="1411" t="n">
        <f aca="false">IF(ISNUMBER($AR247),SUMIF(AF$7:AF$503,$AR247,L$7:L$503),"")</f>
        <v>0</v>
      </c>
      <c r="AW247" s="1423" t="n">
        <f aca="false">IF(ISNUMBER($AR247),SUMIF(AE$7:AE$503,$AR247,K$7:K$503),"")</f>
        <v>0</v>
      </c>
      <c r="AX247" s="1423" t="n">
        <f aca="false">IF(ISNUMBER($AR247),SUMIF(AG$7:AG$503,$AR247,M$7:M$503),"")</f>
        <v>0</v>
      </c>
      <c r="AY247" s="2" t="str">
        <f aca="false">IF($AT247&gt;0,VLOOKUP($AR247,'O_MN, PE_UTA_UGM 2024'!E243:O659,2),"")</f>
        <v/>
      </c>
      <c r="AZ247" s="1424"/>
      <c r="BA247" s="1424"/>
      <c r="BB247" s="1424" t="str">
        <f aca="false">IF($AT247&gt;0,VLOOKUP($AR247,'O_MN, PE_UTA_UGM 2024'!$E$3:$O$419,BB$6),"")</f>
        <v/>
      </c>
      <c r="BC247" s="1424" t="str">
        <f aca="false">IF($AT247&gt;0,VLOOKUP($AR247,'O_MN, PE_UTA_UGM 2024'!$E$3:$O$419,BC$6),"")</f>
        <v/>
      </c>
      <c r="BD247" s="1424" t="str">
        <f aca="false">IF($AT247&gt;0,VLOOKUP($AR247,'O_MN, PE_UTA_UGM 2024'!$E$3:$O$419,BD$6),"")</f>
        <v/>
      </c>
      <c r="BE247" s="1424" t="str">
        <f aca="false">IF($AT247&gt;0,VLOOKUP($AR247,'O_MN, PE_UTA_UGM 2024'!$E$3:$O$419,BE$6),"")</f>
        <v/>
      </c>
      <c r="BF247" s="1424" t="str">
        <f aca="false">IF($AT247&gt;0,VLOOKUP($AR247,'O_MN, PE_UTA_UGM 2024'!$E$3:$O$419,BF$6),"")</f>
        <v/>
      </c>
      <c r="BG247" s="1424" t="str">
        <f aca="false">IF($AT247&gt;0,VLOOKUP($AR247,'O_MN, PE_UTA_UGM 2024'!$E$3:$O$419,BG$6),"")</f>
        <v/>
      </c>
      <c r="BH247" s="872"/>
      <c r="BI247" s="872"/>
      <c r="BJ247" s="872"/>
      <c r="BK247" s="872"/>
      <c r="BM247" s="1411"/>
      <c r="BN247" s="1411"/>
      <c r="BO247" s="1425" t="str">
        <f aca="false">IF(ISNUMBER($AU247*BB247*1),$AU247*BB247*1,"")</f>
        <v/>
      </c>
      <c r="BP247" s="1425" t="str">
        <f aca="false">IF(ISNUMBER($AV247*BC247*1),$AV247*BC247*1,"")</f>
        <v/>
      </c>
      <c r="BQ247" s="1425" t="str">
        <f aca="false">IF(ISNUMBER($AU247*BD247*1),$AU247*BD247*1,"")</f>
        <v/>
      </c>
      <c r="BR247" s="1425" t="str">
        <f aca="false">IF(ISNUMBER($AV247*BE247*1),$AV247*BE247*1,"")</f>
        <v/>
      </c>
      <c r="BS247" s="1411" t="str">
        <f aca="false">IF(ISNUMBER($AU247*BF247),$AU247*BF247,"")</f>
        <v/>
      </c>
      <c r="BT247" s="1411" t="str">
        <f aca="false">IF(ISNUMBER($AV247*BG247),$AV247*BG247,"")</f>
        <v/>
      </c>
      <c r="BU247" s="1411"/>
      <c r="BV247" s="1411"/>
      <c r="BW247" s="1411"/>
      <c r="BX247" s="1411"/>
      <c r="BZ247" s="1372"/>
      <c r="CA247" s="1372"/>
      <c r="CB247" s="1426" t="str">
        <f aca="false">IF(ISNUMBER($AW247*BB247),$AW247*BB247,"")</f>
        <v/>
      </c>
      <c r="CC247" s="1426" t="str">
        <f aca="false">IF(ISNUMBER($AX247*BC247),$AX247*BC247,"")</f>
        <v/>
      </c>
      <c r="CD247" s="1426" t="str">
        <f aca="false">IF(ISNUMBER($AW247*BD247),$AW247*BD247,"")</f>
        <v/>
      </c>
      <c r="CE247" s="1426" t="str">
        <f aca="false">IF(ISNUMBER($AX247*BE247),$AX247*BE247,"")</f>
        <v/>
      </c>
      <c r="CF247" s="1372" t="str">
        <f aca="false">IF(ISNUMBER($AW247*BF247),$AW247*BF247,"")</f>
        <v/>
      </c>
      <c r="CG247" s="1372" t="str">
        <f aca="false">IF(ISNUMBER($AX247*BG247),$AX247*BG247,"")</f>
        <v/>
      </c>
      <c r="CH247" s="1438"/>
      <c r="CI247" s="1438"/>
      <c r="CJ247" s="1438"/>
      <c r="CK247" s="1438"/>
      <c r="CU247" s="1411"/>
      <c r="CV247" s="1411"/>
      <c r="CW247" s="1425"/>
      <c r="CX247" s="1425"/>
      <c r="CY247" s="1425"/>
      <c r="CZ247" s="1425"/>
      <c r="DA247" s="1411"/>
      <c r="DB247" s="1411"/>
      <c r="DC247" s="1411"/>
      <c r="DD247" s="1411"/>
      <c r="DE247" s="1411"/>
      <c r="DF247" s="1411"/>
      <c r="DH247" s="1432"/>
      <c r="DI247" s="1432"/>
      <c r="DJ247" s="1437"/>
      <c r="DK247" s="1437"/>
      <c r="DL247" s="1437"/>
      <c r="DM247" s="1437"/>
      <c r="DN247" s="1432"/>
      <c r="DO247" s="1432"/>
      <c r="DP247" s="1432"/>
      <c r="DQ247" s="1432"/>
      <c r="DR247" s="1432"/>
      <c r="DS247" s="1432"/>
      <c r="DT247" s="1316"/>
      <c r="DU247" s="1433"/>
      <c r="DV247" s="1433"/>
      <c r="DW247" s="1433"/>
      <c r="DX247" s="1433"/>
      <c r="DY247" s="1433"/>
      <c r="DZ247" s="1433"/>
      <c r="EA247" s="1433"/>
      <c r="EB247" s="1433"/>
    </row>
    <row r="248" customFormat="false" ht="14.25" hidden="false" customHeight="false" outlineLevel="0" collapsed="false">
      <c r="A248" s="2" t="n">
        <f aca="false">'V_DATOS PAC_SGA'!R243</f>
        <v>0</v>
      </c>
      <c r="B248" s="2" t="n">
        <f aca="false">IF(I248="IV",CONCATENATE('V_DATOS PAC_SGA'!R243,"4")+0,CONCATENATE('V_DATOS PAC_SGA'!R243,"0")+0)</f>
        <v>0</v>
      </c>
      <c r="C248" s="2" t="n">
        <f aca="false">'V_DATOS PAC_SGA'!S243</f>
        <v>0</v>
      </c>
      <c r="D248" s="1409" t="n">
        <f aca="false">'V_DATOS PAC_SGA'!Y243</f>
        <v>0</v>
      </c>
      <c r="E248" s="1410" t="str">
        <f aca="false">IF('V_DATOS PAC_SGA'!AV243="","Regadio",'V_DATOS PAC_SGA'!AV243)</f>
        <v>Regadio</v>
      </c>
      <c r="F248" s="1411" t="n">
        <f aca="false">'V_DATOS PAC_SGA'!BK243</f>
        <v>0</v>
      </c>
      <c r="G248" s="1412" t="n">
        <f aca="false">'V_DATOS PAC_SGA'!AN243</f>
        <v>0</v>
      </c>
      <c r="H248" s="1413" t="str">
        <f aca="false">IF(B248&gt;0,VLOOKUP(B248,'O_MN, PE_UTA_UGM 2024'!E$3:O$419,10),"")</f>
        <v/>
      </c>
      <c r="I248" s="1359" t="n">
        <f aca="false">'V_DATOS PAC_SGA'!BV243</f>
        <v>0</v>
      </c>
      <c r="J248" s="2" t="str">
        <f aca="false">IF(AND(J$4=$G248,J$6=$F248),$D248*J$5,"")</f>
        <v/>
      </c>
      <c r="K248" s="2" t="str">
        <f aca="false">IF(AND(K$4=$G248,K$6=$F248),$D248*K$5,"")</f>
        <v/>
      </c>
      <c r="L248" s="2" t="str">
        <f aca="false">IF(AND(L$4=$G248,L$6=$F248),$D248*L$5,"")</f>
        <v/>
      </c>
      <c r="M248" s="2" t="str">
        <f aca="false">IF(AND(M$4=$G248,M$6=$F248),$D248*M$5,"")</f>
        <v/>
      </c>
      <c r="N248" s="1414" t="n">
        <f aca="false">VLOOKUP(B248,'O_MN, PE_UTA_UGM 2024'!$E$2:$K$419,IF(G248&gt;1,6,7))</f>
        <v>0</v>
      </c>
      <c r="O248" s="1434" t="str">
        <f aca="false">IF($H248=O$4,$D248*$N248,"")</f>
        <v/>
      </c>
      <c r="P248" s="1435" t="str">
        <f aca="false">IF($H248=P$4,$D248*$N248,"")</f>
        <v/>
      </c>
      <c r="Q248" s="1435" t="str">
        <f aca="false">IF($H248=Q$4,$D248*$N248,"")</f>
        <v/>
      </c>
      <c r="R248" s="1435" t="str">
        <f aca="false">IF($H248=R$4,$D248*$N248,"")</f>
        <v/>
      </c>
      <c r="S248" s="1435" t="str">
        <f aca="false">IF($H248=S$4,$D248*$N248,"")</f>
        <v/>
      </c>
      <c r="T248" s="1435" t="str">
        <f aca="false">IF($H248=T$4,$D248*$N248,"")</f>
        <v/>
      </c>
      <c r="U248" s="1436" t="str">
        <f aca="false">IF($H248=U$4,$D248*$N248,"")</f>
        <v/>
      </c>
      <c r="V248" s="1418"/>
      <c r="W248" s="1419"/>
      <c r="X248" s="1419"/>
      <c r="Y248" s="1419"/>
      <c r="Z248" s="1419"/>
      <c r="AA248" s="1419"/>
      <c r="AB248" s="1420"/>
      <c r="AC248" s="1319"/>
      <c r="AD248" s="2" t="str">
        <f aca="false">IF(AND(AD$4=$G248,AD$6=$F248),$B248,"")</f>
        <v/>
      </c>
      <c r="AE248" s="2" t="str">
        <f aca="false">IF(AND(AE$4=$G248,AE$6=$F248),$B248,"")</f>
        <v/>
      </c>
      <c r="AF248" s="2" t="str">
        <f aca="false">IF(AND(AF$4=$G248,AF$6=$F248),$B248,"")</f>
        <v/>
      </c>
      <c r="AG248" s="2" t="str">
        <f aca="false">IF(AND(AG$4=$G248,AG$6=$F248),$B248,"")</f>
        <v/>
      </c>
      <c r="AI248" s="366"/>
      <c r="AL248" s="367"/>
      <c r="AO248" s="367"/>
      <c r="AP248" s="2" t="str">
        <f aca="false">IF(AT248&gt;0,RANK(AT248,AT$7:AT$423),"")</f>
        <v/>
      </c>
      <c r="AQ248" s="2" t="n">
        <f aca="false">'O_MN, PE_UTA_UGM 2024'!C244</f>
        <v>242</v>
      </c>
      <c r="AR248" s="1421" t="n">
        <v>2350</v>
      </c>
      <c r="AS248" s="2" t="str">
        <f aca="false">IF(AY248&lt;&gt;"",AY248,"")</f>
        <v/>
      </c>
      <c r="AT248" s="1422" t="n">
        <f aca="false">IF(ISNUMBER($AR248),SUMIF(B$7:B$505,AR248,D$7:D$505),"")</f>
        <v>0</v>
      </c>
      <c r="AU248" s="1411" t="n">
        <f aca="false">IF(ISNUMBER($AR248),SUMIF(AD$7:AD$503,$AR248,J$7:J$503),"")</f>
        <v>0</v>
      </c>
      <c r="AV248" s="1411" t="n">
        <f aca="false">IF(ISNUMBER($AR248),SUMIF(AF$7:AF$503,$AR248,L$7:L$503),"")</f>
        <v>0</v>
      </c>
      <c r="AW248" s="1423" t="n">
        <f aca="false">IF(ISNUMBER($AR248),SUMIF(AE$7:AE$503,$AR248,K$7:K$503),"")</f>
        <v>0</v>
      </c>
      <c r="AX248" s="1423" t="n">
        <f aca="false">IF(ISNUMBER($AR248),SUMIF(AG$7:AG$503,$AR248,M$7:M$503),"")</f>
        <v>0</v>
      </c>
      <c r="AY248" s="2" t="str">
        <f aca="false">IF($AT248&gt;0,VLOOKUP($AR248,'O_MN, PE_UTA_UGM 2024'!E244:O660,2),"")</f>
        <v/>
      </c>
      <c r="AZ248" s="1424"/>
      <c r="BA248" s="1424"/>
      <c r="BB248" s="1424" t="str">
        <f aca="false">IF($AT248&gt;0,VLOOKUP($AR248,'O_MN, PE_UTA_UGM 2024'!$E$3:$O$419,BB$6),"")</f>
        <v/>
      </c>
      <c r="BC248" s="1424" t="str">
        <f aca="false">IF($AT248&gt;0,VLOOKUP($AR248,'O_MN, PE_UTA_UGM 2024'!$E$3:$O$419,BC$6),"")</f>
        <v/>
      </c>
      <c r="BD248" s="1424" t="str">
        <f aca="false">IF($AT248&gt;0,VLOOKUP($AR248,'O_MN, PE_UTA_UGM 2024'!$E$3:$O$419,BD$6),"")</f>
        <v/>
      </c>
      <c r="BE248" s="1424" t="str">
        <f aca="false">IF($AT248&gt;0,VLOOKUP($AR248,'O_MN, PE_UTA_UGM 2024'!$E$3:$O$419,BE$6),"")</f>
        <v/>
      </c>
      <c r="BF248" s="1424" t="str">
        <f aca="false">IF($AT248&gt;0,VLOOKUP($AR248,'O_MN, PE_UTA_UGM 2024'!$E$3:$O$419,BF$6),"")</f>
        <v/>
      </c>
      <c r="BG248" s="1424" t="str">
        <f aca="false">IF($AT248&gt;0,VLOOKUP($AR248,'O_MN, PE_UTA_UGM 2024'!$E$3:$O$419,BG$6),"")</f>
        <v/>
      </c>
      <c r="BH248" s="872"/>
      <c r="BI248" s="872"/>
      <c r="BJ248" s="872"/>
      <c r="BK248" s="872"/>
      <c r="BM248" s="1411"/>
      <c r="BN248" s="1411"/>
      <c r="BO248" s="1425" t="str">
        <f aca="false">IF(ISNUMBER($AU248*BB248*1),$AU248*BB248*1,"")</f>
        <v/>
      </c>
      <c r="BP248" s="1425" t="str">
        <f aca="false">IF(ISNUMBER($AV248*BC248*1),$AV248*BC248*1,"")</f>
        <v/>
      </c>
      <c r="BQ248" s="1425" t="str">
        <f aca="false">IF(ISNUMBER($AU248*BD248*1),$AU248*BD248*1,"")</f>
        <v/>
      </c>
      <c r="BR248" s="1425" t="str">
        <f aca="false">IF(ISNUMBER($AV248*BE248*1),$AV248*BE248*1,"")</f>
        <v/>
      </c>
      <c r="BS248" s="1411" t="str">
        <f aca="false">IF(ISNUMBER($AU248*BF248),$AU248*BF248,"")</f>
        <v/>
      </c>
      <c r="BT248" s="1411" t="str">
        <f aca="false">IF(ISNUMBER($AV248*BG248),$AV248*BG248,"")</f>
        <v/>
      </c>
      <c r="BU248" s="1411"/>
      <c r="BV248" s="1411"/>
      <c r="BW248" s="1411"/>
      <c r="BX248" s="1411"/>
      <c r="BZ248" s="1372"/>
      <c r="CA248" s="1372"/>
      <c r="CB248" s="1426" t="str">
        <f aca="false">IF(ISNUMBER($AW248*BB248),$AW248*BB248,"")</f>
        <v/>
      </c>
      <c r="CC248" s="1426" t="str">
        <f aca="false">IF(ISNUMBER($AX248*BC248),$AX248*BC248,"")</f>
        <v/>
      </c>
      <c r="CD248" s="1426" t="str">
        <f aca="false">IF(ISNUMBER($AW248*BD248),$AW248*BD248,"")</f>
        <v/>
      </c>
      <c r="CE248" s="1426" t="str">
        <f aca="false">IF(ISNUMBER($AX248*BE248),$AX248*BE248,"")</f>
        <v/>
      </c>
      <c r="CF248" s="1372" t="str">
        <f aca="false">IF(ISNUMBER($AW248*BF248),$AW248*BF248,"")</f>
        <v/>
      </c>
      <c r="CG248" s="1372" t="str">
        <f aca="false">IF(ISNUMBER($AX248*BG248),$AX248*BG248,"")</f>
        <v/>
      </c>
      <c r="CH248" s="1438"/>
      <c r="CI248" s="1438"/>
      <c r="CJ248" s="1438"/>
      <c r="CK248" s="1438"/>
      <c r="CU248" s="1411"/>
      <c r="CV248" s="1411"/>
      <c r="CW248" s="1425"/>
      <c r="CX248" s="1425"/>
      <c r="CY248" s="1425"/>
      <c r="CZ248" s="1425"/>
      <c r="DA248" s="1411"/>
      <c r="DB248" s="1411"/>
      <c r="DC248" s="1411"/>
      <c r="DD248" s="1411"/>
      <c r="DE248" s="1411"/>
      <c r="DF248" s="1411"/>
      <c r="DH248" s="1432"/>
      <c r="DI248" s="1432"/>
      <c r="DJ248" s="1437"/>
      <c r="DK248" s="1437"/>
      <c r="DL248" s="1437"/>
      <c r="DM248" s="1437"/>
      <c r="DN248" s="1432"/>
      <c r="DO248" s="1432"/>
      <c r="DP248" s="1432"/>
      <c r="DQ248" s="1432"/>
      <c r="DR248" s="1432"/>
      <c r="DS248" s="1432"/>
      <c r="DT248" s="1316"/>
      <c r="DU248" s="1433"/>
      <c r="DV248" s="1433"/>
      <c r="DW248" s="1433"/>
      <c r="DX248" s="1433"/>
      <c r="DY248" s="1433"/>
      <c r="DZ248" s="1433"/>
      <c r="EA248" s="1433"/>
      <c r="EB248" s="1433"/>
    </row>
    <row r="249" customFormat="false" ht="14.25" hidden="false" customHeight="false" outlineLevel="0" collapsed="false">
      <c r="A249" s="2" t="n">
        <f aca="false">'V_DATOS PAC_SGA'!R244</f>
        <v>0</v>
      </c>
      <c r="B249" s="2" t="n">
        <f aca="false">IF(I249="IV",CONCATENATE('V_DATOS PAC_SGA'!R244,"4")+0,CONCATENATE('V_DATOS PAC_SGA'!R244,"0")+0)</f>
        <v>0</v>
      </c>
      <c r="C249" s="2" t="n">
        <f aca="false">'V_DATOS PAC_SGA'!S244</f>
        <v>0</v>
      </c>
      <c r="D249" s="1409" t="n">
        <f aca="false">'V_DATOS PAC_SGA'!Y244</f>
        <v>0</v>
      </c>
      <c r="E249" s="1410" t="str">
        <f aca="false">IF('V_DATOS PAC_SGA'!AV244="","Regadio",'V_DATOS PAC_SGA'!AV244)</f>
        <v>Regadio</v>
      </c>
      <c r="F249" s="1411" t="n">
        <f aca="false">'V_DATOS PAC_SGA'!BK244</f>
        <v>0</v>
      </c>
      <c r="G249" s="1412" t="n">
        <f aca="false">'V_DATOS PAC_SGA'!AN244</f>
        <v>0</v>
      </c>
      <c r="H249" s="1413" t="str">
        <f aca="false">IF(B249&gt;0,VLOOKUP(B249,'O_MN, PE_UTA_UGM 2024'!E$3:O$419,10),"")</f>
        <v/>
      </c>
      <c r="I249" s="1359" t="n">
        <f aca="false">'V_DATOS PAC_SGA'!BV244</f>
        <v>0</v>
      </c>
      <c r="J249" s="2" t="str">
        <f aca="false">IF(AND(J$4=$G249,J$6=$F249),$D249*J$5,"")</f>
        <v/>
      </c>
      <c r="K249" s="2" t="str">
        <f aca="false">IF(AND(K$4=$G249,K$6=$F249),$D249*K$5,"")</f>
        <v/>
      </c>
      <c r="L249" s="2" t="str">
        <f aca="false">IF(AND(L$4=$G249,L$6=$F249),$D249*L$5,"")</f>
        <v/>
      </c>
      <c r="M249" s="2" t="str">
        <f aca="false">IF(AND(M$4=$G249,M$6=$F249),$D249*M$5,"")</f>
        <v/>
      </c>
      <c r="N249" s="1414" t="n">
        <f aca="false">VLOOKUP(B249,'O_MN, PE_UTA_UGM 2024'!$E$2:$K$419,IF(G249&gt;1,6,7))</f>
        <v>0</v>
      </c>
      <c r="O249" s="1434" t="str">
        <f aca="false">IF($H249=O$4,$D249*$N249,"")</f>
        <v/>
      </c>
      <c r="P249" s="1435" t="str">
        <f aca="false">IF($H249=P$4,$D249*$N249,"")</f>
        <v/>
      </c>
      <c r="Q249" s="1435" t="str">
        <f aca="false">IF($H249=Q$4,$D249*$N249,"")</f>
        <v/>
      </c>
      <c r="R249" s="1435" t="str">
        <f aca="false">IF($H249=R$4,$D249*$N249,"")</f>
        <v/>
      </c>
      <c r="S249" s="1435" t="str">
        <f aca="false">IF($H249=S$4,$D249*$N249,"")</f>
        <v/>
      </c>
      <c r="T249" s="1435" t="str">
        <f aca="false">IF($H249=T$4,$D249*$N249,"")</f>
        <v/>
      </c>
      <c r="U249" s="1436" t="str">
        <f aca="false">IF($H249=U$4,$D249*$N249,"")</f>
        <v/>
      </c>
      <c r="V249" s="1418"/>
      <c r="W249" s="1419"/>
      <c r="X249" s="1419"/>
      <c r="Y249" s="1419"/>
      <c r="Z249" s="1419"/>
      <c r="AA249" s="1419"/>
      <c r="AB249" s="1420"/>
      <c r="AC249" s="1319"/>
      <c r="AD249" s="2" t="str">
        <f aca="false">IF(AND(AD$4=$G249,AD$6=$F249),$B249,"")</f>
        <v/>
      </c>
      <c r="AE249" s="2" t="str">
        <f aca="false">IF(AND(AE$4=$G249,AE$6=$F249),$B249,"")</f>
        <v/>
      </c>
      <c r="AF249" s="2" t="str">
        <f aca="false">IF(AND(AF$4=$G249,AF$6=$F249),$B249,"")</f>
        <v/>
      </c>
      <c r="AG249" s="2" t="str">
        <f aca="false">IF(AND(AG$4=$G249,AG$6=$F249),$B249,"")</f>
        <v/>
      </c>
      <c r="AI249" s="366"/>
      <c r="AL249" s="367"/>
      <c r="AO249" s="367"/>
      <c r="AP249" s="2" t="str">
        <f aca="false">IF(AT249&gt;0,RANK(AT249,AT$7:AT$423),"")</f>
        <v/>
      </c>
      <c r="AQ249" s="2" t="n">
        <f aca="false">'O_MN, PE_UTA_UGM 2024'!C245</f>
        <v>243</v>
      </c>
      <c r="AR249" s="1421" t="n">
        <v>2380</v>
      </c>
      <c r="AS249" s="2" t="str">
        <f aca="false">IF(AY249&lt;&gt;"",AY249,"")</f>
        <v/>
      </c>
      <c r="AT249" s="1422" t="n">
        <f aca="false">IF(ISNUMBER($AR249),SUMIF(B$7:B$505,AR249,D$7:D$505),"")</f>
        <v>0</v>
      </c>
      <c r="AU249" s="1411" t="n">
        <f aca="false">IF(ISNUMBER($AR249),SUMIF(AD$7:AD$503,$AR249,J$7:J$503),"")</f>
        <v>0</v>
      </c>
      <c r="AV249" s="1411" t="n">
        <f aca="false">IF(ISNUMBER($AR249),SUMIF(AF$7:AF$503,$AR249,L$7:L$503),"")</f>
        <v>0</v>
      </c>
      <c r="AW249" s="1423" t="n">
        <f aca="false">IF(ISNUMBER($AR249),SUMIF(AE$7:AE$503,$AR249,K$7:K$503),"")</f>
        <v>0</v>
      </c>
      <c r="AX249" s="1423" t="n">
        <f aca="false">IF(ISNUMBER($AR249),SUMIF(AG$7:AG$503,$AR249,M$7:M$503),"")</f>
        <v>0</v>
      </c>
      <c r="AY249" s="2" t="str">
        <f aca="false">IF($AT249&gt;0,VLOOKUP($AR249,'O_MN, PE_UTA_UGM 2024'!E245:O661,2),"")</f>
        <v/>
      </c>
      <c r="AZ249" s="1424"/>
      <c r="BA249" s="1424"/>
      <c r="BB249" s="1424" t="str">
        <f aca="false">IF($AT249&gt;0,VLOOKUP($AR249,'O_MN, PE_UTA_UGM 2024'!$E$3:$O$419,BB$6),"")</f>
        <v/>
      </c>
      <c r="BC249" s="1424" t="str">
        <f aca="false">IF($AT249&gt;0,VLOOKUP($AR249,'O_MN, PE_UTA_UGM 2024'!$E$3:$O$419,BC$6),"")</f>
        <v/>
      </c>
      <c r="BD249" s="1424" t="str">
        <f aca="false">IF($AT249&gt;0,VLOOKUP($AR249,'O_MN, PE_UTA_UGM 2024'!$E$3:$O$419,BD$6),"")</f>
        <v/>
      </c>
      <c r="BE249" s="1424" t="str">
        <f aca="false">IF($AT249&gt;0,VLOOKUP($AR249,'O_MN, PE_UTA_UGM 2024'!$E$3:$O$419,BE$6),"")</f>
        <v/>
      </c>
      <c r="BF249" s="1424" t="str">
        <f aca="false">IF($AT249&gt;0,VLOOKUP($AR249,'O_MN, PE_UTA_UGM 2024'!$E$3:$O$419,BF$6),"")</f>
        <v/>
      </c>
      <c r="BG249" s="1424" t="str">
        <f aca="false">IF($AT249&gt;0,VLOOKUP($AR249,'O_MN, PE_UTA_UGM 2024'!$E$3:$O$419,BG$6),"")</f>
        <v/>
      </c>
      <c r="BH249" s="872"/>
      <c r="BI249" s="872"/>
      <c r="BJ249" s="872"/>
      <c r="BK249" s="872"/>
      <c r="BM249" s="1411"/>
      <c r="BN249" s="1411"/>
      <c r="BO249" s="1425" t="str">
        <f aca="false">IF(ISNUMBER($AU249*BB249*1),$AU249*BB249*1,"")</f>
        <v/>
      </c>
      <c r="BP249" s="1425" t="str">
        <f aca="false">IF(ISNUMBER($AV249*BC249*1),$AV249*BC249*1,"")</f>
        <v/>
      </c>
      <c r="BQ249" s="1425" t="str">
        <f aca="false">IF(ISNUMBER($AU249*BD249*1),$AU249*BD249*1,"")</f>
        <v/>
      </c>
      <c r="BR249" s="1425" t="str">
        <f aca="false">IF(ISNUMBER($AV249*BE249*1),$AV249*BE249*1,"")</f>
        <v/>
      </c>
      <c r="BS249" s="1411" t="str">
        <f aca="false">IF(ISNUMBER($AU249*BF249),$AU249*BF249,"")</f>
        <v/>
      </c>
      <c r="BT249" s="1411" t="str">
        <f aca="false">IF(ISNUMBER($AV249*BG249),$AV249*BG249,"")</f>
        <v/>
      </c>
      <c r="BU249" s="1411"/>
      <c r="BV249" s="1411"/>
      <c r="BW249" s="1411"/>
      <c r="BX249" s="1411"/>
      <c r="BZ249" s="1372"/>
      <c r="CA249" s="1372"/>
      <c r="CB249" s="1426" t="str">
        <f aca="false">IF(ISNUMBER($AW249*BB249),$AW249*BB249,"")</f>
        <v/>
      </c>
      <c r="CC249" s="1426" t="str">
        <f aca="false">IF(ISNUMBER($AX249*BC249),$AX249*BC249,"")</f>
        <v/>
      </c>
      <c r="CD249" s="1426" t="str">
        <f aca="false">IF(ISNUMBER($AW249*BD249),$AW249*BD249,"")</f>
        <v/>
      </c>
      <c r="CE249" s="1426" t="str">
        <f aca="false">IF(ISNUMBER($AX249*BE249),$AX249*BE249,"")</f>
        <v/>
      </c>
      <c r="CF249" s="1372" t="str">
        <f aca="false">IF(ISNUMBER($AW249*BF249),$AW249*BF249,"")</f>
        <v/>
      </c>
      <c r="CG249" s="1372" t="str">
        <f aca="false">IF(ISNUMBER($AX249*BG249),$AX249*BG249,"")</f>
        <v/>
      </c>
      <c r="CH249" s="1438"/>
      <c r="CI249" s="1438"/>
      <c r="CJ249" s="1438"/>
      <c r="CK249" s="1438"/>
      <c r="CU249" s="1411"/>
      <c r="CV249" s="1411"/>
      <c r="CW249" s="1425"/>
      <c r="CX249" s="1425"/>
      <c r="CY249" s="1425"/>
      <c r="CZ249" s="1425"/>
      <c r="DA249" s="1411"/>
      <c r="DB249" s="1411"/>
      <c r="DC249" s="1411"/>
      <c r="DD249" s="1411"/>
      <c r="DE249" s="1411"/>
      <c r="DF249" s="1411"/>
      <c r="DH249" s="1432"/>
      <c r="DI249" s="1432"/>
      <c r="DJ249" s="1437"/>
      <c r="DK249" s="1437"/>
      <c r="DL249" s="1437"/>
      <c r="DM249" s="1437"/>
      <c r="DN249" s="1432"/>
      <c r="DO249" s="1432"/>
      <c r="DP249" s="1432"/>
      <c r="DQ249" s="1432"/>
      <c r="DR249" s="1432"/>
      <c r="DS249" s="1432"/>
      <c r="DT249" s="1316"/>
      <c r="DU249" s="1433"/>
      <c r="DV249" s="1433"/>
      <c r="DW249" s="1433"/>
      <c r="DX249" s="1433"/>
      <c r="DY249" s="1433"/>
      <c r="DZ249" s="1433"/>
      <c r="EA249" s="1433"/>
      <c r="EB249" s="1433"/>
    </row>
    <row r="250" customFormat="false" ht="14.25" hidden="false" customHeight="false" outlineLevel="0" collapsed="false">
      <c r="A250" s="2" t="n">
        <f aca="false">'V_DATOS PAC_SGA'!R245</f>
        <v>0</v>
      </c>
      <c r="B250" s="2" t="n">
        <f aca="false">IF(I250="IV",CONCATENATE('V_DATOS PAC_SGA'!R245,"4")+0,CONCATENATE('V_DATOS PAC_SGA'!R245,"0")+0)</f>
        <v>0</v>
      </c>
      <c r="C250" s="2" t="n">
        <f aca="false">'V_DATOS PAC_SGA'!S245</f>
        <v>0</v>
      </c>
      <c r="D250" s="1409" t="n">
        <f aca="false">'V_DATOS PAC_SGA'!Y245</f>
        <v>0</v>
      </c>
      <c r="E250" s="1410" t="str">
        <f aca="false">IF('V_DATOS PAC_SGA'!AV245="","Regadio",'V_DATOS PAC_SGA'!AV245)</f>
        <v>Regadio</v>
      </c>
      <c r="F250" s="1411" t="n">
        <f aca="false">'V_DATOS PAC_SGA'!BK245</f>
        <v>0</v>
      </c>
      <c r="G250" s="1412" t="n">
        <f aca="false">'V_DATOS PAC_SGA'!AN245</f>
        <v>0</v>
      </c>
      <c r="H250" s="1413" t="str">
        <f aca="false">IF(B250&gt;0,VLOOKUP(B250,'O_MN, PE_UTA_UGM 2024'!E$3:O$419,10),"")</f>
        <v/>
      </c>
      <c r="I250" s="1359" t="n">
        <f aca="false">'V_DATOS PAC_SGA'!BV245</f>
        <v>0</v>
      </c>
      <c r="J250" s="2" t="str">
        <f aca="false">IF(AND(J$4=$G250,J$6=$F250),$D250*J$5,"")</f>
        <v/>
      </c>
      <c r="K250" s="2" t="str">
        <f aca="false">IF(AND(K$4=$G250,K$6=$F250),$D250*K$5,"")</f>
        <v/>
      </c>
      <c r="L250" s="2" t="str">
        <f aca="false">IF(AND(L$4=$G250,L$6=$F250),$D250*L$5,"")</f>
        <v/>
      </c>
      <c r="M250" s="2" t="str">
        <f aca="false">IF(AND(M$4=$G250,M$6=$F250),$D250*M$5,"")</f>
        <v/>
      </c>
      <c r="N250" s="1414" t="n">
        <f aca="false">VLOOKUP(B250,'O_MN, PE_UTA_UGM 2024'!$E$2:$K$419,IF(G250&gt;1,6,7))</f>
        <v>0</v>
      </c>
      <c r="O250" s="1434" t="str">
        <f aca="false">IF($H250=O$4,$D250*$N250,"")</f>
        <v/>
      </c>
      <c r="P250" s="1435" t="str">
        <f aca="false">IF($H250=P$4,$D250*$N250,"")</f>
        <v/>
      </c>
      <c r="Q250" s="1435" t="str">
        <f aca="false">IF($H250=Q$4,$D250*$N250,"")</f>
        <v/>
      </c>
      <c r="R250" s="1435" t="str">
        <f aca="false">IF($H250=R$4,$D250*$N250,"")</f>
        <v/>
      </c>
      <c r="S250" s="1435" t="str">
        <f aca="false">IF($H250=S$4,$D250*$N250,"")</f>
        <v/>
      </c>
      <c r="T250" s="1435" t="str">
        <f aca="false">IF($H250=T$4,$D250*$N250,"")</f>
        <v/>
      </c>
      <c r="U250" s="1436" t="str">
        <f aca="false">IF($H250=U$4,$D250*$N250,"")</f>
        <v/>
      </c>
      <c r="V250" s="1418"/>
      <c r="W250" s="1419"/>
      <c r="X250" s="1419"/>
      <c r="Y250" s="1419"/>
      <c r="Z250" s="1419"/>
      <c r="AA250" s="1419"/>
      <c r="AB250" s="1420"/>
      <c r="AC250" s="1319"/>
      <c r="AD250" s="2" t="str">
        <f aca="false">IF(AND(AD$4=$G250,AD$6=$F250),$B250,"")</f>
        <v/>
      </c>
      <c r="AE250" s="2" t="str">
        <f aca="false">IF(AND(AE$4=$G250,AE$6=$F250),$B250,"")</f>
        <v/>
      </c>
      <c r="AF250" s="2" t="str">
        <f aca="false">IF(AND(AF$4=$G250,AF$6=$F250),$B250,"")</f>
        <v/>
      </c>
      <c r="AG250" s="2" t="str">
        <f aca="false">IF(AND(AG$4=$G250,AG$6=$F250),$B250,"")</f>
        <v/>
      </c>
      <c r="AI250" s="366"/>
      <c r="AL250" s="367"/>
      <c r="AO250" s="367"/>
      <c r="AP250" s="2" t="str">
        <f aca="false">IF(AT250&gt;0,RANK(AT250,AT$7:AT$423),"")</f>
        <v/>
      </c>
      <c r="AQ250" s="2" t="n">
        <f aca="false">'O_MN, PE_UTA_UGM 2024'!C246</f>
        <v>244</v>
      </c>
      <c r="AR250" s="1421" t="n">
        <v>2390</v>
      </c>
      <c r="AS250" s="2" t="str">
        <f aca="false">IF(AY250&lt;&gt;"",AY250,"")</f>
        <v/>
      </c>
      <c r="AT250" s="1422" t="n">
        <f aca="false">IF(ISNUMBER($AR250),SUMIF(B$7:B$505,AR250,D$7:D$505),"")</f>
        <v>0</v>
      </c>
      <c r="AU250" s="1411" t="n">
        <f aca="false">IF(ISNUMBER($AR250),SUMIF(AD$7:AD$503,$AR250,J$7:J$503),"")</f>
        <v>0</v>
      </c>
      <c r="AV250" s="1411" t="n">
        <f aca="false">IF(ISNUMBER($AR250),SUMIF(AF$7:AF$503,$AR250,L$7:L$503),"")</f>
        <v>0</v>
      </c>
      <c r="AW250" s="1423" t="n">
        <f aca="false">IF(ISNUMBER($AR250),SUMIF(AE$7:AE$503,$AR250,K$7:K$503),"")</f>
        <v>0</v>
      </c>
      <c r="AX250" s="1423" t="n">
        <f aca="false">IF(ISNUMBER($AR250),SUMIF(AG$7:AG$503,$AR250,M$7:M$503),"")</f>
        <v>0</v>
      </c>
      <c r="AY250" s="2" t="str">
        <f aca="false">IF($AT250&gt;0,VLOOKUP($AR250,'O_MN, PE_UTA_UGM 2024'!E246:O662,2),"")</f>
        <v/>
      </c>
      <c r="AZ250" s="1424"/>
      <c r="BA250" s="1424"/>
      <c r="BB250" s="1424" t="str">
        <f aca="false">IF($AT250&gt;0,VLOOKUP($AR250,'O_MN, PE_UTA_UGM 2024'!$E$3:$O$419,BB$6),"")</f>
        <v/>
      </c>
      <c r="BC250" s="1424" t="str">
        <f aca="false">IF($AT250&gt;0,VLOOKUP($AR250,'O_MN, PE_UTA_UGM 2024'!$E$3:$O$419,BC$6),"")</f>
        <v/>
      </c>
      <c r="BD250" s="1424" t="str">
        <f aca="false">IF($AT250&gt;0,VLOOKUP($AR250,'O_MN, PE_UTA_UGM 2024'!$E$3:$O$419,BD$6),"")</f>
        <v/>
      </c>
      <c r="BE250" s="1424" t="str">
        <f aca="false">IF($AT250&gt;0,VLOOKUP($AR250,'O_MN, PE_UTA_UGM 2024'!$E$3:$O$419,BE$6),"")</f>
        <v/>
      </c>
      <c r="BF250" s="1424" t="str">
        <f aca="false">IF($AT250&gt;0,VLOOKUP($AR250,'O_MN, PE_UTA_UGM 2024'!$E$3:$O$419,BF$6),"")</f>
        <v/>
      </c>
      <c r="BG250" s="1424" t="str">
        <f aca="false">IF($AT250&gt;0,VLOOKUP($AR250,'O_MN, PE_UTA_UGM 2024'!$E$3:$O$419,BG$6),"")</f>
        <v/>
      </c>
      <c r="BH250" s="872"/>
      <c r="BI250" s="872"/>
      <c r="BJ250" s="872"/>
      <c r="BK250" s="872"/>
      <c r="BM250" s="1411"/>
      <c r="BN250" s="1411"/>
      <c r="BO250" s="1425" t="str">
        <f aca="false">IF(ISNUMBER($AU250*BB250*1),$AU250*BB250*1,"")</f>
        <v/>
      </c>
      <c r="BP250" s="1425" t="str">
        <f aca="false">IF(ISNUMBER($AV250*BC250*1),$AV250*BC250*1,"")</f>
        <v/>
      </c>
      <c r="BQ250" s="1425" t="str">
        <f aca="false">IF(ISNUMBER($AU250*BD250*1),$AU250*BD250*1,"")</f>
        <v/>
      </c>
      <c r="BR250" s="1425" t="str">
        <f aca="false">IF(ISNUMBER($AV250*BE250*1),$AV250*BE250*1,"")</f>
        <v/>
      </c>
      <c r="BS250" s="1411" t="str">
        <f aca="false">IF(ISNUMBER($AU250*BF250),$AU250*BF250,"")</f>
        <v/>
      </c>
      <c r="BT250" s="1411" t="str">
        <f aca="false">IF(ISNUMBER($AV250*BG250),$AV250*BG250,"")</f>
        <v/>
      </c>
      <c r="BU250" s="1411"/>
      <c r="BV250" s="1411"/>
      <c r="BW250" s="1411"/>
      <c r="BX250" s="1411"/>
      <c r="BZ250" s="1372"/>
      <c r="CA250" s="1372"/>
      <c r="CB250" s="1426" t="str">
        <f aca="false">IF(ISNUMBER($AW250*BB250),$AW250*BB250,"")</f>
        <v/>
      </c>
      <c r="CC250" s="1426" t="str">
        <f aca="false">IF(ISNUMBER($AX250*BC250),$AX250*BC250,"")</f>
        <v/>
      </c>
      <c r="CD250" s="1426" t="str">
        <f aca="false">IF(ISNUMBER($AW250*BD250),$AW250*BD250,"")</f>
        <v/>
      </c>
      <c r="CE250" s="1426" t="str">
        <f aca="false">IF(ISNUMBER($AX250*BE250),$AX250*BE250,"")</f>
        <v/>
      </c>
      <c r="CF250" s="1372" t="str">
        <f aca="false">IF(ISNUMBER($AW250*BF250),$AW250*BF250,"")</f>
        <v/>
      </c>
      <c r="CG250" s="1372" t="str">
        <f aca="false">IF(ISNUMBER($AX250*BG250),$AX250*BG250,"")</f>
        <v/>
      </c>
      <c r="CH250" s="1438"/>
      <c r="CI250" s="1438"/>
      <c r="CJ250" s="1438"/>
      <c r="CK250" s="1438"/>
      <c r="CU250" s="1411"/>
      <c r="CV250" s="1411"/>
      <c r="CW250" s="1425"/>
      <c r="CX250" s="1425"/>
      <c r="CY250" s="1425"/>
      <c r="CZ250" s="1425"/>
      <c r="DA250" s="1411"/>
      <c r="DB250" s="1411"/>
      <c r="DC250" s="1411"/>
      <c r="DD250" s="1411"/>
      <c r="DE250" s="1411"/>
      <c r="DF250" s="1411"/>
      <c r="DH250" s="1432"/>
      <c r="DI250" s="1432"/>
      <c r="DJ250" s="1437"/>
      <c r="DK250" s="1437"/>
      <c r="DL250" s="1437"/>
      <c r="DM250" s="1437"/>
      <c r="DN250" s="1432"/>
      <c r="DO250" s="1432"/>
      <c r="DP250" s="1432"/>
      <c r="DQ250" s="1432"/>
      <c r="DR250" s="1432"/>
      <c r="DS250" s="1432"/>
      <c r="DT250" s="1316"/>
      <c r="DU250" s="1433"/>
      <c r="DV250" s="1433"/>
      <c r="DW250" s="1433"/>
      <c r="DX250" s="1433"/>
      <c r="DY250" s="1433"/>
      <c r="DZ250" s="1433"/>
      <c r="EA250" s="1433"/>
      <c r="EB250" s="1433"/>
    </row>
    <row r="251" customFormat="false" ht="14.25" hidden="false" customHeight="false" outlineLevel="0" collapsed="false">
      <c r="A251" s="2" t="n">
        <f aca="false">'V_DATOS PAC_SGA'!R246</f>
        <v>0</v>
      </c>
      <c r="B251" s="2" t="n">
        <f aca="false">IF(I251="IV",CONCATENATE('V_DATOS PAC_SGA'!R246,"4")+0,CONCATENATE('V_DATOS PAC_SGA'!R246,"0")+0)</f>
        <v>0</v>
      </c>
      <c r="C251" s="2" t="n">
        <f aca="false">'V_DATOS PAC_SGA'!S246</f>
        <v>0</v>
      </c>
      <c r="D251" s="1409" t="n">
        <f aca="false">'V_DATOS PAC_SGA'!Y246</f>
        <v>0</v>
      </c>
      <c r="E251" s="1410" t="str">
        <f aca="false">IF('V_DATOS PAC_SGA'!AV246="","Regadio",'V_DATOS PAC_SGA'!AV246)</f>
        <v>Regadio</v>
      </c>
      <c r="F251" s="1411" t="n">
        <f aca="false">'V_DATOS PAC_SGA'!BK246</f>
        <v>0</v>
      </c>
      <c r="G251" s="1412" t="n">
        <f aca="false">'V_DATOS PAC_SGA'!AN246</f>
        <v>0</v>
      </c>
      <c r="H251" s="1413" t="str">
        <f aca="false">IF(B251&gt;0,VLOOKUP(B251,'O_MN, PE_UTA_UGM 2024'!E$3:O$419,10),"")</f>
        <v/>
      </c>
      <c r="I251" s="1359" t="n">
        <f aca="false">'V_DATOS PAC_SGA'!BV246</f>
        <v>0</v>
      </c>
      <c r="J251" s="2" t="str">
        <f aca="false">IF(AND(J$4=$G251,J$6=$F251),$D251*J$5,"")</f>
        <v/>
      </c>
      <c r="K251" s="2" t="str">
        <f aca="false">IF(AND(K$4=$G251,K$6=$F251),$D251*K$5,"")</f>
        <v/>
      </c>
      <c r="L251" s="2" t="str">
        <f aca="false">IF(AND(L$4=$G251,L$6=$F251),$D251*L$5,"")</f>
        <v/>
      </c>
      <c r="M251" s="2" t="str">
        <f aca="false">IF(AND(M$4=$G251,M$6=$F251),$D251*M$5,"")</f>
        <v/>
      </c>
      <c r="N251" s="1414" t="n">
        <f aca="false">VLOOKUP(B251,'O_MN, PE_UTA_UGM 2024'!$E$2:$K$419,IF(G251&gt;1,6,7))</f>
        <v>0</v>
      </c>
      <c r="O251" s="1434" t="str">
        <f aca="false">IF($H251=O$4,$D251*$N251,"")</f>
        <v/>
      </c>
      <c r="P251" s="1435" t="str">
        <f aca="false">IF($H251=P$4,$D251*$N251,"")</f>
        <v/>
      </c>
      <c r="Q251" s="1435" t="str">
        <f aca="false">IF($H251=Q$4,$D251*$N251,"")</f>
        <v/>
      </c>
      <c r="R251" s="1435" t="str">
        <f aca="false">IF($H251=R$4,$D251*$N251,"")</f>
        <v/>
      </c>
      <c r="S251" s="1435" t="str">
        <f aca="false">IF($H251=S$4,$D251*$N251,"")</f>
        <v/>
      </c>
      <c r="T251" s="1435" t="str">
        <f aca="false">IF($H251=T$4,$D251*$N251,"")</f>
        <v/>
      </c>
      <c r="U251" s="1436" t="str">
        <f aca="false">IF($H251=U$4,$D251*$N251,"")</f>
        <v/>
      </c>
      <c r="V251" s="1418"/>
      <c r="W251" s="1419"/>
      <c r="X251" s="1419"/>
      <c r="Y251" s="1419"/>
      <c r="Z251" s="1419"/>
      <c r="AA251" s="1419"/>
      <c r="AB251" s="1420"/>
      <c r="AC251" s="1319"/>
      <c r="AD251" s="2" t="str">
        <f aca="false">IF(AND(AD$4=$G251,AD$6=$F251),$B251,"")</f>
        <v/>
      </c>
      <c r="AE251" s="2" t="str">
        <f aca="false">IF(AND(AE$4=$G251,AE$6=$F251),$B251,"")</f>
        <v/>
      </c>
      <c r="AF251" s="2" t="str">
        <f aca="false">IF(AND(AF$4=$G251,AF$6=$F251),$B251,"")</f>
        <v/>
      </c>
      <c r="AG251" s="2" t="str">
        <f aca="false">IF(AND(AG$4=$G251,AG$6=$F251),$B251,"")</f>
        <v/>
      </c>
      <c r="AI251" s="366"/>
      <c r="AL251" s="367"/>
      <c r="AO251" s="367"/>
      <c r="AP251" s="2" t="str">
        <f aca="false">IF(AT251&gt;0,RANK(AT251,AT$7:AT$423),"")</f>
        <v/>
      </c>
      <c r="AQ251" s="2" t="n">
        <f aca="false">'O_MN, PE_UTA_UGM 2024'!C247</f>
        <v>245</v>
      </c>
      <c r="AR251" s="1421" t="n">
        <v>2400</v>
      </c>
      <c r="AS251" s="2" t="str">
        <f aca="false">IF(AY251&lt;&gt;"",AY251,"")</f>
        <v/>
      </c>
      <c r="AT251" s="1422" t="n">
        <f aca="false">IF(ISNUMBER($AR251),SUMIF(B$7:B$505,AR251,D$7:D$505),"")</f>
        <v>0</v>
      </c>
      <c r="AU251" s="1411" t="n">
        <f aca="false">IF(ISNUMBER($AR251),SUMIF(AD$7:AD$503,$AR251,J$7:J$503),"")</f>
        <v>0</v>
      </c>
      <c r="AV251" s="1411" t="n">
        <f aca="false">IF(ISNUMBER($AR251),SUMIF(AF$7:AF$503,$AR251,L$7:L$503),"")</f>
        <v>0</v>
      </c>
      <c r="AW251" s="1423" t="n">
        <f aca="false">IF(ISNUMBER($AR251),SUMIF(AE$7:AE$503,$AR251,K$7:K$503),"")</f>
        <v>0</v>
      </c>
      <c r="AX251" s="1423" t="n">
        <f aca="false">IF(ISNUMBER($AR251),SUMIF(AG$7:AG$503,$AR251,M$7:M$503),"")</f>
        <v>0</v>
      </c>
      <c r="AY251" s="2" t="str">
        <f aca="false">IF($AT251&gt;0,VLOOKUP($AR251,'O_MN, PE_UTA_UGM 2024'!E247:O663,2),"")</f>
        <v/>
      </c>
      <c r="AZ251" s="1424"/>
      <c r="BA251" s="1424"/>
      <c r="BB251" s="1424" t="str">
        <f aca="false">IF($AT251&gt;0,VLOOKUP($AR251,'O_MN, PE_UTA_UGM 2024'!$E$3:$O$419,BB$6),"")</f>
        <v/>
      </c>
      <c r="BC251" s="1424" t="str">
        <f aca="false">IF($AT251&gt;0,VLOOKUP($AR251,'O_MN, PE_UTA_UGM 2024'!$E$3:$O$419,BC$6),"")</f>
        <v/>
      </c>
      <c r="BD251" s="1424" t="str">
        <f aca="false">IF($AT251&gt;0,VLOOKUP($AR251,'O_MN, PE_UTA_UGM 2024'!$E$3:$O$419,BD$6),"")</f>
        <v/>
      </c>
      <c r="BE251" s="1424" t="str">
        <f aca="false">IF($AT251&gt;0,VLOOKUP($AR251,'O_MN, PE_UTA_UGM 2024'!$E$3:$O$419,BE$6),"")</f>
        <v/>
      </c>
      <c r="BF251" s="1424" t="str">
        <f aca="false">IF($AT251&gt;0,VLOOKUP($AR251,'O_MN, PE_UTA_UGM 2024'!$E$3:$O$419,BF$6),"")</f>
        <v/>
      </c>
      <c r="BG251" s="1424" t="str">
        <f aca="false">IF($AT251&gt;0,VLOOKUP($AR251,'O_MN, PE_UTA_UGM 2024'!$E$3:$O$419,BG$6),"")</f>
        <v/>
      </c>
      <c r="BH251" s="872"/>
      <c r="BI251" s="872"/>
      <c r="BJ251" s="872"/>
      <c r="BK251" s="872"/>
      <c r="BM251" s="1411"/>
      <c r="BN251" s="1411"/>
      <c r="BO251" s="1425" t="str">
        <f aca="false">IF(ISNUMBER($AU251*BB251*1),$AU251*BB251*1,"")</f>
        <v/>
      </c>
      <c r="BP251" s="1425" t="str">
        <f aca="false">IF(ISNUMBER($AV251*BC251*1),$AV251*BC251*1,"")</f>
        <v/>
      </c>
      <c r="BQ251" s="1425" t="str">
        <f aca="false">IF(ISNUMBER($AU251*BD251*1),$AU251*BD251*1,"")</f>
        <v/>
      </c>
      <c r="BR251" s="1425" t="str">
        <f aca="false">IF(ISNUMBER($AV251*BE251*1),$AV251*BE251*1,"")</f>
        <v/>
      </c>
      <c r="BS251" s="1411" t="str">
        <f aca="false">IF(ISNUMBER($AU251*BF251),$AU251*BF251,"")</f>
        <v/>
      </c>
      <c r="BT251" s="1411" t="str">
        <f aca="false">IF(ISNUMBER($AV251*BG251),$AV251*BG251,"")</f>
        <v/>
      </c>
      <c r="BU251" s="1411"/>
      <c r="BV251" s="1411"/>
      <c r="BW251" s="1411"/>
      <c r="BX251" s="1411"/>
      <c r="BZ251" s="1372"/>
      <c r="CA251" s="1372"/>
      <c r="CB251" s="1426" t="str">
        <f aca="false">IF(ISNUMBER($AW251*BB251),$AW251*BB251,"")</f>
        <v/>
      </c>
      <c r="CC251" s="1426" t="str">
        <f aca="false">IF(ISNUMBER($AX251*BC251),$AX251*BC251,"")</f>
        <v/>
      </c>
      <c r="CD251" s="1426" t="str">
        <f aca="false">IF(ISNUMBER($AW251*BD251),$AW251*BD251,"")</f>
        <v/>
      </c>
      <c r="CE251" s="1426" t="str">
        <f aca="false">IF(ISNUMBER($AX251*BE251),$AX251*BE251,"")</f>
        <v/>
      </c>
      <c r="CF251" s="1372" t="str">
        <f aca="false">IF(ISNUMBER($AW251*BF251),$AW251*BF251,"")</f>
        <v/>
      </c>
      <c r="CG251" s="1372" t="str">
        <f aca="false">IF(ISNUMBER($AX251*BG251),$AX251*BG251,"")</f>
        <v/>
      </c>
      <c r="CH251" s="1438"/>
      <c r="CI251" s="1438"/>
      <c r="CJ251" s="1438"/>
      <c r="CK251" s="1438"/>
      <c r="CU251" s="1411"/>
      <c r="CV251" s="1411"/>
      <c r="CW251" s="1425"/>
      <c r="CX251" s="1425"/>
      <c r="CY251" s="1425"/>
      <c r="CZ251" s="1425"/>
      <c r="DA251" s="1411"/>
      <c r="DB251" s="1411"/>
      <c r="DC251" s="1411"/>
      <c r="DD251" s="1411"/>
      <c r="DE251" s="1411"/>
      <c r="DF251" s="1411"/>
      <c r="DH251" s="1432"/>
      <c r="DI251" s="1432"/>
      <c r="DJ251" s="1437"/>
      <c r="DK251" s="1437"/>
      <c r="DL251" s="1437"/>
      <c r="DM251" s="1437"/>
      <c r="DN251" s="1432"/>
      <c r="DO251" s="1432"/>
      <c r="DP251" s="1432"/>
      <c r="DQ251" s="1432"/>
      <c r="DR251" s="1432"/>
      <c r="DS251" s="1432"/>
      <c r="DT251" s="1316"/>
      <c r="DU251" s="1433"/>
      <c r="DV251" s="1433"/>
      <c r="DW251" s="1433"/>
      <c r="DX251" s="1433"/>
      <c r="DY251" s="1433"/>
      <c r="DZ251" s="1433"/>
      <c r="EA251" s="1433"/>
      <c r="EB251" s="1433"/>
    </row>
    <row r="252" customFormat="false" ht="14.25" hidden="false" customHeight="false" outlineLevel="0" collapsed="false">
      <c r="A252" s="2" t="n">
        <f aca="false">'V_DATOS PAC_SGA'!R247</f>
        <v>0</v>
      </c>
      <c r="B252" s="2" t="n">
        <f aca="false">IF(I252="IV",CONCATENATE('V_DATOS PAC_SGA'!R247,"4")+0,CONCATENATE('V_DATOS PAC_SGA'!R247,"0")+0)</f>
        <v>0</v>
      </c>
      <c r="C252" s="2" t="n">
        <f aca="false">'V_DATOS PAC_SGA'!S247</f>
        <v>0</v>
      </c>
      <c r="D252" s="1409" t="n">
        <f aca="false">'V_DATOS PAC_SGA'!Y247</f>
        <v>0</v>
      </c>
      <c r="E252" s="1410" t="str">
        <f aca="false">IF('V_DATOS PAC_SGA'!AV247="","Regadio",'V_DATOS PAC_SGA'!AV247)</f>
        <v>Regadio</v>
      </c>
      <c r="F252" s="1411" t="n">
        <f aca="false">'V_DATOS PAC_SGA'!BK247</f>
        <v>0</v>
      </c>
      <c r="G252" s="1412" t="n">
        <f aca="false">'V_DATOS PAC_SGA'!AN247</f>
        <v>0</v>
      </c>
      <c r="H252" s="1413" t="str">
        <f aca="false">IF(B252&gt;0,VLOOKUP(B252,'O_MN, PE_UTA_UGM 2024'!E$3:O$419,10),"")</f>
        <v/>
      </c>
      <c r="I252" s="1359" t="n">
        <f aca="false">'V_DATOS PAC_SGA'!BV247</f>
        <v>0</v>
      </c>
      <c r="J252" s="2" t="str">
        <f aca="false">IF(AND(J$4=$G252,J$6=$F252),$D252*J$5,"")</f>
        <v/>
      </c>
      <c r="K252" s="2" t="str">
        <f aca="false">IF(AND(K$4=$G252,K$6=$F252),$D252*K$5,"")</f>
        <v/>
      </c>
      <c r="L252" s="2" t="str">
        <f aca="false">IF(AND(L$4=$G252,L$6=$F252),$D252*L$5,"")</f>
        <v/>
      </c>
      <c r="M252" s="2" t="str">
        <f aca="false">IF(AND(M$4=$G252,M$6=$F252),$D252*M$5,"")</f>
        <v/>
      </c>
      <c r="N252" s="1414" t="n">
        <f aca="false">VLOOKUP(B252,'O_MN, PE_UTA_UGM 2024'!$E$2:$K$419,IF(G252&gt;1,6,7))</f>
        <v>0</v>
      </c>
      <c r="O252" s="1434" t="str">
        <f aca="false">IF($H252=O$4,$D252*$N252,"")</f>
        <v/>
      </c>
      <c r="P252" s="1435" t="str">
        <f aca="false">IF($H252=P$4,$D252*$N252,"")</f>
        <v/>
      </c>
      <c r="Q252" s="1435" t="str">
        <f aca="false">IF($H252=Q$4,$D252*$N252,"")</f>
        <v/>
      </c>
      <c r="R252" s="1435" t="str">
        <f aca="false">IF($H252=R$4,$D252*$N252,"")</f>
        <v/>
      </c>
      <c r="S252" s="1435" t="str">
        <f aca="false">IF($H252=S$4,$D252*$N252,"")</f>
        <v/>
      </c>
      <c r="T252" s="1435" t="str">
        <f aca="false">IF($H252=T$4,$D252*$N252,"")</f>
        <v/>
      </c>
      <c r="U252" s="1436" t="str">
        <f aca="false">IF($H252=U$4,$D252*$N252,"")</f>
        <v/>
      </c>
      <c r="V252" s="1418"/>
      <c r="W252" s="1419"/>
      <c r="X252" s="1419"/>
      <c r="Y252" s="1419"/>
      <c r="Z252" s="1419"/>
      <c r="AA252" s="1419"/>
      <c r="AB252" s="1420"/>
      <c r="AC252" s="1319"/>
      <c r="AD252" s="2" t="str">
        <f aca="false">IF(AND(AD$4=$G252,AD$6=$F252),$B252,"")</f>
        <v/>
      </c>
      <c r="AE252" s="2" t="str">
        <f aca="false">IF(AND(AE$4=$G252,AE$6=$F252),$B252,"")</f>
        <v/>
      </c>
      <c r="AF252" s="2" t="str">
        <f aca="false">IF(AND(AF$4=$G252,AF$6=$F252),$B252,"")</f>
        <v/>
      </c>
      <c r="AG252" s="2" t="str">
        <f aca="false">IF(AND(AG$4=$G252,AG$6=$F252),$B252,"")</f>
        <v/>
      </c>
      <c r="AI252" s="366"/>
      <c r="AL252" s="367"/>
      <c r="AO252" s="367"/>
      <c r="AP252" s="2" t="str">
        <f aca="false">IF(AT252&gt;0,RANK(AT252,AT$7:AT$423),"")</f>
        <v/>
      </c>
      <c r="AQ252" s="2" t="n">
        <f aca="false">'O_MN, PE_UTA_UGM 2024'!C248</f>
        <v>246</v>
      </c>
      <c r="AR252" s="1421" t="n">
        <v>2410</v>
      </c>
      <c r="AS252" s="2" t="str">
        <f aca="false">IF(AY252&lt;&gt;"",AY252,"")</f>
        <v/>
      </c>
      <c r="AT252" s="1422" t="n">
        <f aca="false">IF(ISNUMBER($AR252),SUMIF(B$7:B$505,AR252,D$7:D$505),"")</f>
        <v>0</v>
      </c>
      <c r="AU252" s="1411" t="n">
        <f aca="false">IF(ISNUMBER($AR252),SUMIF(AD$7:AD$503,$AR252,J$7:J$503),"")</f>
        <v>0</v>
      </c>
      <c r="AV252" s="1411" t="n">
        <f aca="false">IF(ISNUMBER($AR252),SUMIF(AF$7:AF$503,$AR252,L$7:L$503),"")</f>
        <v>0</v>
      </c>
      <c r="AW252" s="1423" t="n">
        <f aca="false">IF(ISNUMBER($AR252),SUMIF(AE$7:AE$503,$AR252,K$7:K$503),"")</f>
        <v>0</v>
      </c>
      <c r="AX252" s="1423" t="n">
        <f aca="false">IF(ISNUMBER($AR252),SUMIF(AG$7:AG$503,$AR252,M$7:M$503),"")</f>
        <v>0</v>
      </c>
      <c r="AY252" s="2" t="str">
        <f aca="false">IF($AT252&gt;0,VLOOKUP($AR252,'O_MN, PE_UTA_UGM 2024'!E248:O664,2),"")</f>
        <v/>
      </c>
      <c r="AZ252" s="1424"/>
      <c r="BA252" s="1424"/>
      <c r="BB252" s="1424" t="str">
        <f aca="false">IF($AT252&gt;0,VLOOKUP($AR252,'O_MN, PE_UTA_UGM 2024'!$E$3:$O$419,BB$6),"")</f>
        <v/>
      </c>
      <c r="BC252" s="1424" t="str">
        <f aca="false">IF($AT252&gt;0,VLOOKUP($AR252,'O_MN, PE_UTA_UGM 2024'!$E$3:$O$419,BC$6),"")</f>
        <v/>
      </c>
      <c r="BD252" s="1424" t="str">
        <f aca="false">IF($AT252&gt;0,VLOOKUP($AR252,'O_MN, PE_UTA_UGM 2024'!$E$3:$O$419,BD$6),"")</f>
        <v/>
      </c>
      <c r="BE252" s="1424" t="str">
        <f aca="false">IF($AT252&gt;0,VLOOKUP($AR252,'O_MN, PE_UTA_UGM 2024'!$E$3:$O$419,BE$6),"")</f>
        <v/>
      </c>
      <c r="BF252" s="1424" t="str">
        <f aca="false">IF($AT252&gt;0,VLOOKUP($AR252,'O_MN, PE_UTA_UGM 2024'!$E$3:$O$419,BF$6),"")</f>
        <v/>
      </c>
      <c r="BG252" s="1424" t="str">
        <f aca="false">IF($AT252&gt;0,VLOOKUP($AR252,'O_MN, PE_UTA_UGM 2024'!$E$3:$O$419,BG$6),"")</f>
        <v/>
      </c>
      <c r="BH252" s="872"/>
      <c r="BI252" s="872"/>
      <c r="BJ252" s="872"/>
      <c r="BK252" s="872"/>
      <c r="BM252" s="1411"/>
      <c r="BN252" s="1411"/>
      <c r="BO252" s="1425" t="str">
        <f aca="false">IF(ISNUMBER($AU252*BB252*1),$AU252*BB252*1,"")</f>
        <v/>
      </c>
      <c r="BP252" s="1425" t="str">
        <f aca="false">IF(ISNUMBER($AV252*BC252*1),$AV252*BC252*1,"")</f>
        <v/>
      </c>
      <c r="BQ252" s="1425" t="str">
        <f aca="false">IF(ISNUMBER($AU252*BD252*1),$AU252*BD252*1,"")</f>
        <v/>
      </c>
      <c r="BR252" s="1425" t="str">
        <f aca="false">IF(ISNUMBER($AV252*BE252*1),$AV252*BE252*1,"")</f>
        <v/>
      </c>
      <c r="BS252" s="1411" t="str">
        <f aca="false">IF(ISNUMBER($AU252*BF252),$AU252*BF252,"")</f>
        <v/>
      </c>
      <c r="BT252" s="1411" t="str">
        <f aca="false">IF(ISNUMBER($AV252*BG252),$AV252*BG252,"")</f>
        <v/>
      </c>
      <c r="BU252" s="1411"/>
      <c r="BV252" s="1411"/>
      <c r="BW252" s="1411"/>
      <c r="BX252" s="1411"/>
      <c r="BZ252" s="1372"/>
      <c r="CA252" s="1372"/>
      <c r="CB252" s="1426" t="str">
        <f aca="false">IF(ISNUMBER($AW252*BB252),$AW252*BB252,"")</f>
        <v/>
      </c>
      <c r="CC252" s="1426" t="str">
        <f aca="false">IF(ISNUMBER($AX252*BC252),$AX252*BC252,"")</f>
        <v/>
      </c>
      <c r="CD252" s="1426" t="str">
        <f aca="false">IF(ISNUMBER($AW252*BD252),$AW252*BD252,"")</f>
        <v/>
      </c>
      <c r="CE252" s="1426" t="str">
        <f aca="false">IF(ISNUMBER($AX252*BE252),$AX252*BE252,"")</f>
        <v/>
      </c>
      <c r="CF252" s="1372" t="str">
        <f aca="false">IF(ISNUMBER($AW252*BF252),$AW252*BF252,"")</f>
        <v/>
      </c>
      <c r="CG252" s="1372" t="str">
        <f aca="false">IF(ISNUMBER($AX252*BG252),$AX252*BG252,"")</f>
        <v/>
      </c>
      <c r="CH252" s="1438"/>
      <c r="CI252" s="1438"/>
      <c r="CJ252" s="1438"/>
      <c r="CK252" s="1438"/>
      <c r="CU252" s="1411"/>
      <c r="CV252" s="1411"/>
      <c r="CW252" s="1425"/>
      <c r="CX252" s="1425"/>
      <c r="CY252" s="1425"/>
      <c r="CZ252" s="1425"/>
      <c r="DA252" s="1411"/>
      <c r="DB252" s="1411"/>
      <c r="DC252" s="1411"/>
      <c r="DD252" s="1411"/>
      <c r="DE252" s="1411"/>
      <c r="DF252" s="1411"/>
      <c r="DH252" s="1432"/>
      <c r="DI252" s="1432"/>
      <c r="DJ252" s="1437"/>
      <c r="DK252" s="1437"/>
      <c r="DL252" s="1437"/>
      <c r="DM252" s="1437"/>
      <c r="DN252" s="1432"/>
      <c r="DO252" s="1432"/>
      <c r="DP252" s="1432"/>
      <c r="DQ252" s="1432"/>
      <c r="DR252" s="1432"/>
      <c r="DS252" s="1432"/>
      <c r="DT252" s="1316"/>
      <c r="DU252" s="1433"/>
      <c r="DV252" s="1433"/>
      <c r="DW252" s="1433"/>
      <c r="DX252" s="1433"/>
      <c r="DY252" s="1433"/>
      <c r="DZ252" s="1433"/>
      <c r="EA252" s="1433"/>
      <c r="EB252" s="1433"/>
    </row>
    <row r="253" customFormat="false" ht="14.25" hidden="false" customHeight="false" outlineLevel="0" collapsed="false">
      <c r="A253" s="2" t="n">
        <f aca="false">'V_DATOS PAC_SGA'!R248</f>
        <v>0</v>
      </c>
      <c r="B253" s="2" t="n">
        <f aca="false">IF(I253="IV",CONCATENATE('V_DATOS PAC_SGA'!R248,"4")+0,CONCATENATE('V_DATOS PAC_SGA'!R248,"0")+0)</f>
        <v>0</v>
      </c>
      <c r="C253" s="2" t="n">
        <f aca="false">'V_DATOS PAC_SGA'!S248</f>
        <v>0</v>
      </c>
      <c r="D253" s="1409" t="n">
        <f aca="false">'V_DATOS PAC_SGA'!Y248</f>
        <v>0</v>
      </c>
      <c r="E253" s="1410" t="str">
        <f aca="false">IF('V_DATOS PAC_SGA'!AV248="","Regadio",'V_DATOS PAC_SGA'!AV248)</f>
        <v>Regadio</v>
      </c>
      <c r="F253" s="1411" t="n">
        <f aca="false">'V_DATOS PAC_SGA'!BK248</f>
        <v>0</v>
      </c>
      <c r="G253" s="1412" t="n">
        <f aca="false">'V_DATOS PAC_SGA'!AN248</f>
        <v>0</v>
      </c>
      <c r="H253" s="1413" t="str">
        <f aca="false">IF(B253&gt;0,VLOOKUP(B253,'O_MN, PE_UTA_UGM 2024'!E$3:O$419,10),"")</f>
        <v/>
      </c>
      <c r="I253" s="1359" t="n">
        <f aca="false">'V_DATOS PAC_SGA'!BV248</f>
        <v>0</v>
      </c>
      <c r="J253" s="2" t="str">
        <f aca="false">IF(AND(J$4=$G253,J$6=$F253),$D253*J$5,"")</f>
        <v/>
      </c>
      <c r="K253" s="2" t="str">
        <f aca="false">IF(AND(K$4=$G253,K$6=$F253),$D253*K$5,"")</f>
        <v/>
      </c>
      <c r="L253" s="2" t="str">
        <f aca="false">IF(AND(L$4=$G253,L$6=$F253),$D253*L$5,"")</f>
        <v/>
      </c>
      <c r="M253" s="2" t="str">
        <f aca="false">IF(AND(M$4=$G253,M$6=$F253),$D253*M$5,"")</f>
        <v/>
      </c>
      <c r="N253" s="1414" t="n">
        <f aca="false">VLOOKUP(B253,'O_MN, PE_UTA_UGM 2024'!$E$2:$K$419,IF(G253&gt;1,6,7))</f>
        <v>0</v>
      </c>
      <c r="O253" s="1434" t="str">
        <f aca="false">IF($H253=O$4,$D253*$N253,"")</f>
        <v/>
      </c>
      <c r="P253" s="1435" t="str">
        <f aca="false">IF($H253=P$4,$D253*$N253,"")</f>
        <v/>
      </c>
      <c r="Q253" s="1435" t="str">
        <f aca="false">IF($H253=Q$4,$D253*$N253,"")</f>
        <v/>
      </c>
      <c r="R253" s="1435" t="str">
        <f aca="false">IF($H253=R$4,$D253*$N253,"")</f>
        <v/>
      </c>
      <c r="S253" s="1435" t="str">
        <f aca="false">IF($H253=S$4,$D253*$N253,"")</f>
        <v/>
      </c>
      <c r="T253" s="1435" t="str">
        <f aca="false">IF($H253=T$4,$D253*$N253,"")</f>
        <v/>
      </c>
      <c r="U253" s="1436" t="str">
        <f aca="false">IF($H253=U$4,$D253*$N253,"")</f>
        <v/>
      </c>
      <c r="V253" s="1418"/>
      <c r="W253" s="1419"/>
      <c r="X253" s="1419"/>
      <c r="Y253" s="1419"/>
      <c r="Z253" s="1419"/>
      <c r="AA253" s="1419"/>
      <c r="AB253" s="1420"/>
      <c r="AC253" s="1319"/>
      <c r="AD253" s="2" t="str">
        <f aca="false">IF(AND(AD$4=$G253,AD$6=$F253),$B253,"")</f>
        <v/>
      </c>
      <c r="AE253" s="2" t="str">
        <f aca="false">IF(AND(AE$4=$G253,AE$6=$F253),$B253,"")</f>
        <v/>
      </c>
      <c r="AF253" s="2" t="str">
        <f aca="false">IF(AND(AF$4=$G253,AF$6=$F253),$B253,"")</f>
        <v/>
      </c>
      <c r="AG253" s="2" t="str">
        <f aca="false">IF(AND(AG$4=$G253,AG$6=$F253),$B253,"")</f>
        <v/>
      </c>
      <c r="AI253" s="366"/>
      <c r="AL253" s="367"/>
      <c r="AO253" s="367"/>
      <c r="AP253" s="2" t="str">
        <f aca="false">IF(AT253&gt;0,RANK(AT253,AT$7:AT$423),"")</f>
        <v/>
      </c>
      <c r="AQ253" s="2" t="n">
        <f aca="false">'O_MN, PE_UTA_UGM 2024'!C249</f>
        <v>247</v>
      </c>
      <c r="AR253" s="1421" t="n">
        <v>2420</v>
      </c>
      <c r="AS253" s="2" t="str">
        <f aca="false">IF(AY253&lt;&gt;"",AY253,"")</f>
        <v/>
      </c>
      <c r="AT253" s="1422" t="n">
        <f aca="false">IF(ISNUMBER($AR253),SUMIF(B$7:B$505,AR253,D$7:D$505),"")</f>
        <v>0</v>
      </c>
      <c r="AU253" s="1411" t="n">
        <f aca="false">IF(ISNUMBER($AR253),SUMIF(AD$7:AD$503,$AR253,J$7:J$503),"")</f>
        <v>0</v>
      </c>
      <c r="AV253" s="1411" t="n">
        <f aca="false">IF(ISNUMBER($AR253),SUMIF(AF$7:AF$503,$AR253,L$7:L$503),"")</f>
        <v>0</v>
      </c>
      <c r="AW253" s="1423" t="n">
        <f aca="false">IF(ISNUMBER($AR253),SUMIF(AE$7:AE$503,$AR253,K$7:K$503),"")</f>
        <v>0</v>
      </c>
      <c r="AX253" s="1423" t="n">
        <f aca="false">IF(ISNUMBER($AR253),SUMIF(AG$7:AG$503,$AR253,M$7:M$503),"")</f>
        <v>0</v>
      </c>
      <c r="AY253" s="2" t="str">
        <f aca="false">IF($AT253&gt;0,VLOOKUP($AR253,'O_MN, PE_UTA_UGM 2024'!E249:O665,2),"")</f>
        <v/>
      </c>
      <c r="AZ253" s="1424"/>
      <c r="BA253" s="1424"/>
      <c r="BB253" s="1424" t="str">
        <f aca="false">IF($AT253&gt;0,VLOOKUP($AR253,'O_MN, PE_UTA_UGM 2024'!$E$3:$O$419,BB$6),"")</f>
        <v/>
      </c>
      <c r="BC253" s="1424" t="str">
        <f aca="false">IF($AT253&gt;0,VLOOKUP($AR253,'O_MN, PE_UTA_UGM 2024'!$E$3:$O$419,BC$6),"")</f>
        <v/>
      </c>
      <c r="BD253" s="1424" t="str">
        <f aca="false">IF($AT253&gt;0,VLOOKUP($AR253,'O_MN, PE_UTA_UGM 2024'!$E$3:$O$419,BD$6),"")</f>
        <v/>
      </c>
      <c r="BE253" s="1424" t="str">
        <f aca="false">IF($AT253&gt;0,VLOOKUP($AR253,'O_MN, PE_UTA_UGM 2024'!$E$3:$O$419,BE$6),"")</f>
        <v/>
      </c>
      <c r="BF253" s="1424" t="str">
        <f aca="false">IF($AT253&gt;0,VLOOKUP($AR253,'O_MN, PE_UTA_UGM 2024'!$E$3:$O$419,BF$6),"")</f>
        <v/>
      </c>
      <c r="BG253" s="1424" t="str">
        <f aca="false">IF($AT253&gt;0,VLOOKUP($AR253,'O_MN, PE_UTA_UGM 2024'!$E$3:$O$419,BG$6),"")</f>
        <v/>
      </c>
      <c r="BH253" s="872"/>
      <c r="BI253" s="872"/>
      <c r="BJ253" s="872"/>
      <c r="BK253" s="872"/>
      <c r="BM253" s="1411"/>
      <c r="BN253" s="1411"/>
      <c r="BO253" s="1425" t="str">
        <f aca="false">IF(ISNUMBER($AU253*BB253*1),$AU253*BB253*1,"")</f>
        <v/>
      </c>
      <c r="BP253" s="1425" t="str">
        <f aca="false">IF(ISNUMBER($AV253*BC253*1),$AV253*BC253*1,"")</f>
        <v/>
      </c>
      <c r="BQ253" s="1425" t="str">
        <f aca="false">IF(ISNUMBER($AU253*BD253*1),$AU253*BD253*1,"")</f>
        <v/>
      </c>
      <c r="BR253" s="1425" t="str">
        <f aca="false">IF(ISNUMBER($AV253*BE253*1),$AV253*BE253*1,"")</f>
        <v/>
      </c>
      <c r="BS253" s="1411" t="str">
        <f aca="false">IF(ISNUMBER($AU253*BF253),$AU253*BF253,"")</f>
        <v/>
      </c>
      <c r="BT253" s="1411" t="str">
        <f aca="false">IF(ISNUMBER($AV253*BG253),$AV253*BG253,"")</f>
        <v/>
      </c>
      <c r="BU253" s="1411"/>
      <c r="BV253" s="1411"/>
      <c r="BW253" s="1411"/>
      <c r="BX253" s="1411"/>
      <c r="BZ253" s="1372"/>
      <c r="CA253" s="1372"/>
      <c r="CB253" s="1426" t="str">
        <f aca="false">IF(ISNUMBER($AW253*BB253),$AW253*BB253,"")</f>
        <v/>
      </c>
      <c r="CC253" s="1426" t="str">
        <f aca="false">IF(ISNUMBER($AX253*BC253),$AX253*BC253,"")</f>
        <v/>
      </c>
      <c r="CD253" s="1426" t="str">
        <f aca="false">IF(ISNUMBER($AW253*BD253),$AW253*BD253,"")</f>
        <v/>
      </c>
      <c r="CE253" s="1426" t="str">
        <f aca="false">IF(ISNUMBER($AX253*BE253),$AX253*BE253,"")</f>
        <v/>
      </c>
      <c r="CF253" s="1372" t="str">
        <f aca="false">IF(ISNUMBER($AW253*BF253),$AW253*BF253,"")</f>
        <v/>
      </c>
      <c r="CG253" s="1372" t="str">
        <f aca="false">IF(ISNUMBER($AX253*BG253),$AX253*BG253,"")</f>
        <v/>
      </c>
      <c r="CH253" s="1438"/>
      <c r="CI253" s="1438"/>
      <c r="CJ253" s="1438"/>
      <c r="CK253" s="1438"/>
      <c r="CU253" s="1411"/>
      <c r="CV253" s="1411"/>
      <c r="CW253" s="1425"/>
      <c r="CX253" s="1425"/>
      <c r="CY253" s="1425"/>
      <c r="CZ253" s="1425"/>
      <c r="DA253" s="1411"/>
      <c r="DB253" s="1411"/>
      <c r="DC253" s="1411"/>
      <c r="DD253" s="1411"/>
      <c r="DE253" s="1411"/>
      <c r="DF253" s="1411"/>
      <c r="DH253" s="1432"/>
      <c r="DI253" s="1432"/>
      <c r="DJ253" s="1437"/>
      <c r="DK253" s="1437"/>
      <c r="DL253" s="1437"/>
      <c r="DM253" s="1437"/>
      <c r="DN253" s="1432"/>
      <c r="DO253" s="1432"/>
      <c r="DP253" s="1432"/>
      <c r="DQ253" s="1432"/>
      <c r="DR253" s="1432"/>
      <c r="DS253" s="1432"/>
      <c r="DT253" s="1316"/>
      <c r="DU253" s="1433"/>
      <c r="DV253" s="1433"/>
      <c r="DW253" s="1433"/>
      <c r="DX253" s="1433"/>
      <c r="DY253" s="1433"/>
      <c r="DZ253" s="1433"/>
      <c r="EA253" s="1433"/>
      <c r="EB253" s="1433"/>
    </row>
    <row r="254" customFormat="false" ht="14.25" hidden="false" customHeight="false" outlineLevel="0" collapsed="false">
      <c r="A254" s="2" t="n">
        <f aca="false">'V_DATOS PAC_SGA'!R249</f>
        <v>0</v>
      </c>
      <c r="B254" s="2" t="n">
        <f aca="false">IF(I254="IV",CONCATENATE('V_DATOS PAC_SGA'!R249,"4")+0,CONCATENATE('V_DATOS PAC_SGA'!R249,"0")+0)</f>
        <v>0</v>
      </c>
      <c r="C254" s="2" t="n">
        <f aca="false">'V_DATOS PAC_SGA'!S249</f>
        <v>0</v>
      </c>
      <c r="D254" s="1409" t="n">
        <f aca="false">'V_DATOS PAC_SGA'!Y249</f>
        <v>0</v>
      </c>
      <c r="E254" s="1410" t="str">
        <f aca="false">IF('V_DATOS PAC_SGA'!AV249="","Regadio",'V_DATOS PAC_SGA'!AV249)</f>
        <v>Regadio</v>
      </c>
      <c r="F254" s="1411" t="n">
        <f aca="false">'V_DATOS PAC_SGA'!BK249</f>
        <v>0</v>
      </c>
      <c r="G254" s="1412" t="n">
        <f aca="false">'V_DATOS PAC_SGA'!AN249</f>
        <v>0</v>
      </c>
      <c r="H254" s="1413" t="str">
        <f aca="false">IF(B254&gt;0,VLOOKUP(B254,'O_MN, PE_UTA_UGM 2024'!E$3:O$419,10),"")</f>
        <v/>
      </c>
      <c r="I254" s="1359" t="n">
        <f aca="false">'V_DATOS PAC_SGA'!BV249</f>
        <v>0</v>
      </c>
      <c r="J254" s="2" t="str">
        <f aca="false">IF(AND(J$4=$G254,J$6=$F254),$D254*J$5,"")</f>
        <v/>
      </c>
      <c r="K254" s="2" t="str">
        <f aca="false">IF(AND(K$4=$G254,K$6=$F254),$D254*K$5,"")</f>
        <v/>
      </c>
      <c r="L254" s="2" t="str">
        <f aca="false">IF(AND(L$4=$G254,L$6=$F254),$D254*L$5,"")</f>
        <v/>
      </c>
      <c r="M254" s="2" t="str">
        <f aca="false">IF(AND(M$4=$G254,M$6=$F254),$D254*M$5,"")</f>
        <v/>
      </c>
      <c r="N254" s="1414" t="n">
        <f aca="false">VLOOKUP(B254,'O_MN, PE_UTA_UGM 2024'!$E$2:$K$419,IF(G254&gt;1,6,7))</f>
        <v>0</v>
      </c>
      <c r="O254" s="1434" t="str">
        <f aca="false">IF($H254=O$4,$D254*$N254,"")</f>
        <v/>
      </c>
      <c r="P254" s="1435" t="str">
        <f aca="false">IF($H254=P$4,$D254*$N254,"")</f>
        <v/>
      </c>
      <c r="Q254" s="1435" t="str">
        <f aca="false">IF($H254=Q$4,$D254*$N254,"")</f>
        <v/>
      </c>
      <c r="R254" s="1435" t="str">
        <f aca="false">IF($H254=R$4,$D254*$N254,"")</f>
        <v/>
      </c>
      <c r="S254" s="1435" t="str">
        <f aca="false">IF($H254=S$4,$D254*$N254,"")</f>
        <v/>
      </c>
      <c r="T254" s="1435" t="str">
        <f aca="false">IF($H254=T$4,$D254*$N254,"")</f>
        <v/>
      </c>
      <c r="U254" s="1436" t="str">
        <f aca="false">IF($H254=U$4,$D254*$N254,"")</f>
        <v/>
      </c>
      <c r="V254" s="1418"/>
      <c r="W254" s="1419"/>
      <c r="X254" s="1419"/>
      <c r="Y254" s="1419"/>
      <c r="Z254" s="1419"/>
      <c r="AA254" s="1419"/>
      <c r="AB254" s="1420"/>
      <c r="AC254" s="1319"/>
      <c r="AD254" s="2" t="str">
        <f aca="false">IF(AND(AD$4=$G254,AD$6=$F254),$B254,"")</f>
        <v/>
      </c>
      <c r="AE254" s="2" t="str">
        <f aca="false">IF(AND(AE$4=$G254,AE$6=$F254),$B254,"")</f>
        <v/>
      </c>
      <c r="AF254" s="2" t="str">
        <f aca="false">IF(AND(AF$4=$G254,AF$6=$F254),$B254,"")</f>
        <v/>
      </c>
      <c r="AG254" s="2" t="str">
        <f aca="false">IF(AND(AG$4=$G254,AG$6=$F254),$B254,"")</f>
        <v/>
      </c>
      <c r="AI254" s="366"/>
      <c r="AL254" s="367"/>
      <c r="AO254" s="367"/>
      <c r="AP254" s="2" t="str">
        <f aca="false">IF(AT254&gt;0,RANK(AT254,AT$7:AT$423),"")</f>
        <v/>
      </c>
      <c r="AQ254" s="2" t="n">
        <f aca="false">'O_MN, PE_UTA_UGM 2024'!C250</f>
        <v>248</v>
      </c>
      <c r="AR254" s="1421" t="n">
        <v>2430</v>
      </c>
      <c r="AS254" s="2" t="str">
        <f aca="false">IF(AY254&lt;&gt;"",AY254,"")</f>
        <v/>
      </c>
      <c r="AT254" s="1422" t="n">
        <f aca="false">IF(ISNUMBER($AR254),SUMIF(B$7:B$505,AR254,D$7:D$505),"")</f>
        <v>0</v>
      </c>
      <c r="AU254" s="1411" t="n">
        <f aca="false">IF(ISNUMBER($AR254),SUMIF(AD$7:AD$503,$AR254,J$7:J$503),"")</f>
        <v>0</v>
      </c>
      <c r="AV254" s="1411" t="n">
        <f aca="false">IF(ISNUMBER($AR254),SUMIF(AF$7:AF$503,$AR254,L$7:L$503),"")</f>
        <v>0</v>
      </c>
      <c r="AW254" s="1423" t="n">
        <f aca="false">IF(ISNUMBER($AR254),SUMIF(AE$7:AE$503,$AR254,K$7:K$503),"")</f>
        <v>0</v>
      </c>
      <c r="AX254" s="1423" t="n">
        <f aca="false">IF(ISNUMBER($AR254),SUMIF(AG$7:AG$503,$AR254,M$7:M$503),"")</f>
        <v>0</v>
      </c>
      <c r="AY254" s="2" t="str">
        <f aca="false">IF($AT254&gt;0,VLOOKUP($AR254,'O_MN, PE_UTA_UGM 2024'!E250:O666,2),"")</f>
        <v/>
      </c>
      <c r="AZ254" s="1424"/>
      <c r="BA254" s="1424"/>
      <c r="BB254" s="1424" t="str">
        <f aca="false">IF($AT254&gt;0,VLOOKUP($AR254,'O_MN, PE_UTA_UGM 2024'!$E$3:$O$419,BB$6),"")</f>
        <v/>
      </c>
      <c r="BC254" s="1424" t="str">
        <f aca="false">IF($AT254&gt;0,VLOOKUP($AR254,'O_MN, PE_UTA_UGM 2024'!$E$3:$O$419,BC$6),"")</f>
        <v/>
      </c>
      <c r="BD254" s="1424" t="str">
        <f aca="false">IF($AT254&gt;0,VLOOKUP($AR254,'O_MN, PE_UTA_UGM 2024'!$E$3:$O$419,BD$6),"")</f>
        <v/>
      </c>
      <c r="BE254" s="1424" t="str">
        <f aca="false">IF($AT254&gt;0,VLOOKUP($AR254,'O_MN, PE_UTA_UGM 2024'!$E$3:$O$419,BE$6),"")</f>
        <v/>
      </c>
      <c r="BF254" s="1424" t="str">
        <f aca="false">IF($AT254&gt;0,VLOOKUP($AR254,'O_MN, PE_UTA_UGM 2024'!$E$3:$O$419,BF$6),"")</f>
        <v/>
      </c>
      <c r="BG254" s="1424" t="str">
        <f aca="false">IF($AT254&gt;0,VLOOKUP($AR254,'O_MN, PE_UTA_UGM 2024'!$E$3:$O$419,BG$6),"")</f>
        <v/>
      </c>
      <c r="BH254" s="872"/>
      <c r="BI254" s="872"/>
      <c r="BJ254" s="872"/>
      <c r="BK254" s="872"/>
      <c r="BM254" s="1411"/>
      <c r="BN254" s="1411"/>
      <c r="BO254" s="1425" t="str">
        <f aca="false">IF(ISNUMBER($AU254*BB254*1),$AU254*BB254*1,"")</f>
        <v/>
      </c>
      <c r="BP254" s="1425" t="str">
        <f aca="false">IF(ISNUMBER($AV254*BC254*1),$AV254*BC254*1,"")</f>
        <v/>
      </c>
      <c r="BQ254" s="1425" t="str">
        <f aca="false">IF(ISNUMBER($AU254*BD254*1),$AU254*BD254*1,"")</f>
        <v/>
      </c>
      <c r="BR254" s="1425" t="str">
        <f aca="false">IF(ISNUMBER($AV254*BE254*1),$AV254*BE254*1,"")</f>
        <v/>
      </c>
      <c r="BS254" s="1411" t="str">
        <f aca="false">IF(ISNUMBER($AU254*BF254),$AU254*BF254,"")</f>
        <v/>
      </c>
      <c r="BT254" s="1411" t="str">
        <f aca="false">IF(ISNUMBER($AV254*BG254),$AV254*BG254,"")</f>
        <v/>
      </c>
      <c r="BU254" s="1411"/>
      <c r="BV254" s="1411"/>
      <c r="BW254" s="1411"/>
      <c r="BX254" s="1411"/>
      <c r="BZ254" s="1372"/>
      <c r="CA254" s="1372"/>
      <c r="CB254" s="1426" t="str">
        <f aca="false">IF(ISNUMBER($AW254*BB254),$AW254*BB254,"")</f>
        <v/>
      </c>
      <c r="CC254" s="1426" t="str">
        <f aca="false">IF(ISNUMBER($AX254*BC254),$AX254*BC254,"")</f>
        <v/>
      </c>
      <c r="CD254" s="1426" t="str">
        <f aca="false">IF(ISNUMBER($AW254*BD254),$AW254*BD254,"")</f>
        <v/>
      </c>
      <c r="CE254" s="1426" t="str">
        <f aca="false">IF(ISNUMBER($AX254*BE254),$AX254*BE254,"")</f>
        <v/>
      </c>
      <c r="CF254" s="1372" t="str">
        <f aca="false">IF(ISNUMBER($AW254*BF254),$AW254*BF254,"")</f>
        <v/>
      </c>
      <c r="CG254" s="1372" t="str">
        <f aca="false">IF(ISNUMBER($AX254*BG254),$AX254*BG254,"")</f>
        <v/>
      </c>
      <c r="CH254" s="1438"/>
      <c r="CI254" s="1438"/>
      <c r="CJ254" s="1438"/>
      <c r="CK254" s="1438"/>
      <c r="CU254" s="1411"/>
      <c r="CV254" s="1411"/>
      <c r="CW254" s="1425"/>
      <c r="CX254" s="1425"/>
      <c r="CY254" s="1425"/>
      <c r="CZ254" s="1425"/>
      <c r="DA254" s="1411"/>
      <c r="DB254" s="1411"/>
      <c r="DC254" s="1411"/>
      <c r="DD254" s="1411"/>
      <c r="DE254" s="1411"/>
      <c r="DF254" s="1411"/>
      <c r="DH254" s="1432"/>
      <c r="DI254" s="1432"/>
      <c r="DJ254" s="1437"/>
      <c r="DK254" s="1437"/>
      <c r="DL254" s="1437"/>
      <c r="DM254" s="1437"/>
      <c r="DN254" s="1432"/>
      <c r="DO254" s="1432"/>
      <c r="DP254" s="1432"/>
      <c r="DQ254" s="1432"/>
      <c r="DR254" s="1432"/>
      <c r="DS254" s="1432"/>
      <c r="DT254" s="1316"/>
      <c r="DU254" s="1433"/>
      <c r="DV254" s="1433"/>
      <c r="DW254" s="1433"/>
      <c r="DX254" s="1433"/>
      <c r="DY254" s="1433"/>
      <c r="DZ254" s="1433"/>
      <c r="EA254" s="1433"/>
      <c r="EB254" s="1433"/>
    </row>
    <row r="255" customFormat="false" ht="14.25" hidden="false" customHeight="false" outlineLevel="0" collapsed="false">
      <c r="A255" s="2" t="n">
        <f aca="false">'V_DATOS PAC_SGA'!R250</f>
        <v>0</v>
      </c>
      <c r="B255" s="2" t="n">
        <f aca="false">IF(I255="IV",CONCATENATE('V_DATOS PAC_SGA'!R250,"4")+0,CONCATENATE('V_DATOS PAC_SGA'!R250,"0")+0)</f>
        <v>0</v>
      </c>
      <c r="C255" s="2" t="n">
        <f aca="false">'V_DATOS PAC_SGA'!S250</f>
        <v>0</v>
      </c>
      <c r="D255" s="1409" t="n">
        <f aca="false">'V_DATOS PAC_SGA'!Y250</f>
        <v>0</v>
      </c>
      <c r="E255" s="1410" t="str">
        <f aca="false">IF('V_DATOS PAC_SGA'!AV250="","Regadio",'V_DATOS PAC_SGA'!AV250)</f>
        <v>Regadio</v>
      </c>
      <c r="F255" s="1411" t="n">
        <f aca="false">'V_DATOS PAC_SGA'!BK250</f>
        <v>0</v>
      </c>
      <c r="G255" s="1412" t="n">
        <f aca="false">'V_DATOS PAC_SGA'!AN250</f>
        <v>0</v>
      </c>
      <c r="H255" s="1413" t="str">
        <f aca="false">IF(B255&gt;0,VLOOKUP(B255,'O_MN, PE_UTA_UGM 2024'!E$3:O$419,10),"")</f>
        <v/>
      </c>
      <c r="I255" s="1359" t="n">
        <f aca="false">'V_DATOS PAC_SGA'!BV250</f>
        <v>0</v>
      </c>
      <c r="J255" s="2" t="str">
        <f aca="false">IF(AND(J$4=$G255,J$6=$F255),$D255*J$5,"")</f>
        <v/>
      </c>
      <c r="K255" s="2" t="str">
        <f aca="false">IF(AND(K$4=$G255,K$6=$F255),$D255*K$5,"")</f>
        <v/>
      </c>
      <c r="L255" s="2" t="str">
        <f aca="false">IF(AND(L$4=$G255,L$6=$F255),$D255*L$5,"")</f>
        <v/>
      </c>
      <c r="M255" s="2" t="str">
        <f aca="false">IF(AND(M$4=$G255,M$6=$F255),$D255*M$5,"")</f>
        <v/>
      </c>
      <c r="N255" s="1414" t="n">
        <f aca="false">VLOOKUP(B255,'O_MN, PE_UTA_UGM 2024'!$E$2:$K$419,IF(G255&gt;1,6,7))</f>
        <v>0</v>
      </c>
      <c r="O255" s="1434" t="str">
        <f aca="false">IF($H255=O$4,$D255*$N255,"")</f>
        <v/>
      </c>
      <c r="P255" s="1435" t="str">
        <f aca="false">IF($H255=P$4,$D255*$N255,"")</f>
        <v/>
      </c>
      <c r="Q255" s="1435" t="str">
        <f aca="false">IF($H255=Q$4,$D255*$N255,"")</f>
        <v/>
      </c>
      <c r="R255" s="1435" t="str">
        <f aca="false">IF($H255=R$4,$D255*$N255,"")</f>
        <v/>
      </c>
      <c r="S255" s="1435" t="str">
        <f aca="false">IF($H255=S$4,$D255*$N255,"")</f>
        <v/>
      </c>
      <c r="T255" s="1435" t="str">
        <f aca="false">IF($H255=T$4,$D255*$N255,"")</f>
        <v/>
      </c>
      <c r="U255" s="1436" t="str">
        <f aca="false">IF($H255=U$4,$D255*$N255,"")</f>
        <v/>
      </c>
      <c r="V255" s="1418"/>
      <c r="W255" s="1419"/>
      <c r="X255" s="1419"/>
      <c r="Y255" s="1419"/>
      <c r="Z255" s="1419"/>
      <c r="AA255" s="1419"/>
      <c r="AB255" s="1420"/>
      <c r="AC255" s="1319"/>
      <c r="AD255" s="2" t="str">
        <f aca="false">IF(AND(AD$4=$G255,AD$6=$F255),$B255,"")</f>
        <v/>
      </c>
      <c r="AE255" s="2" t="str">
        <f aca="false">IF(AND(AE$4=$G255,AE$6=$F255),$B255,"")</f>
        <v/>
      </c>
      <c r="AF255" s="2" t="str">
        <f aca="false">IF(AND(AF$4=$G255,AF$6=$F255),$B255,"")</f>
        <v/>
      </c>
      <c r="AG255" s="2" t="str">
        <f aca="false">IF(AND(AG$4=$G255,AG$6=$F255),$B255,"")</f>
        <v/>
      </c>
      <c r="AI255" s="366"/>
      <c r="AL255" s="367"/>
      <c r="AO255" s="367"/>
      <c r="AP255" s="2" t="str">
        <f aca="false">IF(AT255&gt;0,RANK(AT255,AT$7:AT$423),"")</f>
        <v/>
      </c>
      <c r="AQ255" s="2" t="n">
        <f aca="false">'O_MN, PE_UTA_UGM 2024'!C251</f>
        <v>249</v>
      </c>
      <c r="AR255" s="1421" t="n">
        <v>2440</v>
      </c>
      <c r="AS255" s="2" t="str">
        <f aca="false">IF(AY255&lt;&gt;"",AY255,"")</f>
        <v/>
      </c>
      <c r="AT255" s="1422" t="n">
        <f aca="false">IF(ISNUMBER($AR255),SUMIF(B$7:B$505,AR255,D$7:D$505),"")</f>
        <v>0</v>
      </c>
      <c r="AU255" s="1411" t="n">
        <f aca="false">IF(ISNUMBER($AR255),SUMIF(AD$7:AD$503,$AR255,J$7:J$503),"")</f>
        <v>0</v>
      </c>
      <c r="AV255" s="1411" t="n">
        <f aca="false">IF(ISNUMBER($AR255),SUMIF(AF$7:AF$503,$AR255,L$7:L$503),"")</f>
        <v>0</v>
      </c>
      <c r="AW255" s="1423" t="n">
        <f aca="false">IF(ISNUMBER($AR255),SUMIF(AE$7:AE$503,$AR255,K$7:K$503),"")</f>
        <v>0</v>
      </c>
      <c r="AX255" s="1423" t="n">
        <f aca="false">IF(ISNUMBER($AR255),SUMIF(AG$7:AG$503,$AR255,M$7:M$503),"")</f>
        <v>0</v>
      </c>
      <c r="AY255" s="2" t="str">
        <f aca="false">IF($AT255&gt;0,VLOOKUP($AR255,'O_MN, PE_UTA_UGM 2024'!E251:O667,2),"")</f>
        <v/>
      </c>
      <c r="AZ255" s="1424"/>
      <c r="BA255" s="1424"/>
      <c r="BB255" s="1424" t="str">
        <f aca="false">IF($AT255&gt;0,VLOOKUP($AR255,'O_MN, PE_UTA_UGM 2024'!$E$3:$O$419,BB$6),"")</f>
        <v/>
      </c>
      <c r="BC255" s="1424" t="str">
        <f aca="false">IF($AT255&gt;0,VLOOKUP($AR255,'O_MN, PE_UTA_UGM 2024'!$E$3:$O$419,BC$6),"")</f>
        <v/>
      </c>
      <c r="BD255" s="1424" t="str">
        <f aca="false">IF($AT255&gt;0,VLOOKUP($AR255,'O_MN, PE_UTA_UGM 2024'!$E$3:$O$419,BD$6),"")</f>
        <v/>
      </c>
      <c r="BE255" s="1424" t="str">
        <f aca="false">IF($AT255&gt;0,VLOOKUP($AR255,'O_MN, PE_UTA_UGM 2024'!$E$3:$O$419,BE$6),"")</f>
        <v/>
      </c>
      <c r="BF255" s="1424" t="str">
        <f aca="false">IF($AT255&gt;0,VLOOKUP($AR255,'O_MN, PE_UTA_UGM 2024'!$E$3:$O$419,BF$6),"")</f>
        <v/>
      </c>
      <c r="BG255" s="1424" t="str">
        <f aca="false">IF($AT255&gt;0,VLOOKUP($AR255,'O_MN, PE_UTA_UGM 2024'!$E$3:$O$419,BG$6),"")</f>
        <v/>
      </c>
      <c r="BH255" s="872"/>
      <c r="BI255" s="872"/>
      <c r="BJ255" s="872"/>
      <c r="BK255" s="872"/>
      <c r="BM255" s="1411"/>
      <c r="BN255" s="1411"/>
      <c r="BO255" s="1425" t="str">
        <f aca="false">IF(ISNUMBER($AU255*BB255*1),$AU255*BB255*1,"")</f>
        <v/>
      </c>
      <c r="BP255" s="1425" t="str">
        <f aca="false">IF(ISNUMBER($AV255*BC255*1),$AV255*BC255*1,"")</f>
        <v/>
      </c>
      <c r="BQ255" s="1425" t="str">
        <f aca="false">IF(ISNUMBER($AU255*BD255*1),$AU255*BD255*1,"")</f>
        <v/>
      </c>
      <c r="BR255" s="1425" t="str">
        <f aca="false">IF(ISNUMBER($AV255*BE255*1),$AV255*BE255*1,"")</f>
        <v/>
      </c>
      <c r="BS255" s="1411" t="str">
        <f aca="false">IF(ISNUMBER($AU255*BF255),$AU255*BF255,"")</f>
        <v/>
      </c>
      <c r="BT255" s="1411" t="str">
        <f aca="false">IF(ISNUMBER($AV255*BG255),$AV255*BG255,"")</f>
        <v/>
      </c>
      <c r="BU255" s="1411"/>
      <c r="BV255" s="1411"/>
      <c r="BW255" s="1411"/>
      <c r="BX255" s="1411"/>
      <c r="BZ255" s="1372"/>
      <c r="CA255" s="1372"/>
      <c r="CB255" s="1426" t="str">
        <f aca="false">IF(ISNUMBER($AW255*BB255),$AW255*BB255,"")</f>
        <v/>
      </c>
      <c r="CC255" s="1426" t="str">
        <f aca="false">IF(ISNUMBER($AX255*BC255),$AX255*BC255,"")</f>
        <v/>
      </c>
      <c r="CD255" s="1426" t="str">
        <f aca="false">IF(ISNUMBER($AW255*BD255),$AW255*BD255,"")</f>
        <v/>
      </c>
      <c r="CE255" s="1426" t="str">
        <f aca="false">IF(ISNUMBER($AX255*BE255),$AX255*BE255,"")</f>
        <v/>
      </c>
      <c r="CF255" s="1372" t="str">
        <f aca="false">IF(ISNUMBER($AW255*BF255),$AW255*BF255,"")</f>
        <v/>
      </c>
      <c r="CG255" s="1372" t="str">
        <f aca="false">IF(ISNUMBER($AX255*BG255),$AX255*BG255,"")</f>
        <v/>
      </c>
      <c r="CH255" s="1438"/>
      <c r="CI255" s="1438"/>
      <c r="CJ255" s="1438"/>
      <c r="CK255" s="1438"/>
      <c r="CU255" s="1411"/>
      <c r="CV255" s="1411"/>
      <c r="CW255" s="1425"/>
      <c r="CX255" s="1425"/>
      <c r="CY255" s="1425"/>
      <c r="CZ255" s="1425"/>
      <c r="DA255" s="1411"/>
      <c r="DB255" s="1411"/>
      <c r="DC255" s="1411"/>
      <c r="DD255" s="1411"/>
      <c r="DE255" s="1411"/>
      <c r="DF255" s="1411"/>
      <c r="DH255" s="1432"/>
      <c r="DI255" s="1432"/>
      <c r="DJ255" s="1437"/>
      <c r="DK255" s="1437"/>
      <c r="DL255" s="1437"/>
      <c r="DM255" s="1437"/>
      <c r="DN255" s="1432"/>
      <c r="DO255" s="1432"/>
      <c r="DP255" s="1432"/>
      <c r="DQ255" s="1432"/>
      <c r="DR255" s="1432"/>
      <c r="DS255" s="1432"/>
      <c r="DT255" s="1316"/>
      <c r="DU255" s="1433"/>
      <c r="DV255" s="1433"/>
      <c r="DW255" s="1433"/>
      <c r="DX255" s="1433"/>
      <c r="DY255" s="1433"/>
      <c r="DZ255" s="1433"/>
      <c r="EA255" s="1433"/>
      <c r="EB255" s="1433"/>
    </row>
    <row r="256" customFormat="false" ht="14.25" hidden="false" customHeight="false" outlineLevel="0" collapsed="false">
      <c r="A256" s="2" t="n">
        <f aca="false">'V_DATOS PAC_SGA'!R251</f>
        <v>0</v>
      </c>
      <c r="B256" s="2" t="n">
        <f aca="false">IF(I256="IV",CONCATENATE('V_DATOS PAC_SGA'!R251,"4")+0,CONCATENATE('V_DATOS PAC_SGA'!R251,"0")+0)</f>
        <v>0</v>
      </c>
      <c r="C256" s="2" t="n">
        <f aca="false">'V_DATOS PAC_SGA'!S251</f>
        <v>0</v>
      </c>
      <c r="D256" s="1409" t="n">
        <f aca="false">'V_DATOS PAC_SGA'!Y251</f>
        <v>0</v>
      </c>
      <c r="E256" s="1410" t="str">
        <f aca="false">IF('V_DATOS PAC_SGA'!AV251="","Regadio",'V_DATOS PAC_SGA'!AV251)</f>
        <v>Regadio</v>
      </c>
      <c r="F256" s="1411" t="n">
        <f aca="false">'V_DATOS PAC_SGA'!BK251</f>
        <v>0</v>
      </c>
      <c r="G256" s="1412" t="n">
        <f aca="false">'V_DATOS PAC_SGA'!AN251</f>
        <v>0</v>
      </c>
      <c r="H256" s="1413" t="str">
        <f aca="false">IF(B256&gt;0,VLOOKUP(B256,'O_MN, PE_UTA_UGM 2024'!E$3:O$419,10),"")</f>
        <v/>
      </c>
      <c r="I256" s="1359" t="n">
        <f aca="false">'V_DATOS PAC_SGA'!BV251</f>
        <v>0</v>
      </c>
      <c r="J256" s="2" t="str">
        <f aca="false">IF(AND(J$4=$G256,J$6=$F256),$D256*J$5,"")</f>
        <v/>
      </c>
      <c r="K256" s="2" t="str">
        <f aca="false">IF(AND(K$4=$G256,K$6=$F256),$D256*K$5,"")</f>
        <v/>
      </c>
      <c r="L256" s="2" t="str">
        <f aca="false">IF(AND(L$4=$G256,L$6=$F256),$D256*L$5,"")</f>
        <v/>
      </c>
      <c r="M256" s="2" t="str">
        <f aca="false">IF(AND(M$4=$G256,M$6=$F256),$D256*M$5,"")</f>
        <v/>
      </c>
      <c r="N256" s="1414" t="n">
        <f aca="false">VLOOKUP(B256,'O_MN, PE_UTA_UGM 2024'!$E$2:$K$419,IF(G256&gt;1,6,7))</f>
        <v>0</v>
      </c>
      <c r="O256" s="1434" t="str">
        <f aca="false">IF($H256=O$4,$D256*$N256,"")</f>
        <v/>
      </c>
      <c r="P256" s="1435" t="str">
        <f aca="false">IF($H256=P$4,$D256*$N256,"")</f>
        <v/>
      </c>
      <c r="Q256" s="1435" t="str">
        <f aca="false">IF($H256=Q$4,$D256*$N256,"")</f>
        <v/>
      </c>
      <c r="R256" s="1435" t="str">
        <f aca="false">IF($H256=R$4,$D256*$N256,"")</f>
        <v/>
      </c>
      <c r="S256" s="1435" t="str">
        <f aca="false">IF($H256=S$4,$D256*$N256,"")</f>
        <v/>
      </c>
      <c r="T256" s="1435" t="str">
        <f aca="false">IF($H256=T$4,$D256*$N256,"")</f>
        <v/>
      </c>
      <c r="U256" s="1436" t="str">
        <f aca="false">IF($H256=U$4,$D256*$N256,"")</f>
        <v/>
      </c>
      <c r="V256" s="1418"/>
      <c r="W256" s="1419"/>
      <c r="X256" s="1419"/>
      <c r="Y256" s="1419"/>
      <c r="Z256" s="1419"/>
      <c r="AA256" s="1419"/>
      <c r="AB256" s="1420"/>
      <c r="AC256" s="1319"/>
      <c r="AD256" s="2" t="str">
        <f aca="false">IF(AND(AD$4=$G256,AD$6=$F256),$B256,"")</f>
        <v/>
      </c>
      <c r="AE256" s="2" t="str">
        <f aca="false">IF(AND(AE$4=$G256,AE$6=$F256),$B256,"")</f>
        <v/>
      </c>
      <c r="AF256" s="2" t="str">
        <f aca="false">IF(AND(AF$4=$G256,AF$6=$F256),$B256,"")</f>
        <v/>
      </c>
      <c r="AG256" s="2" t="str">
        <f aca="false">IF(AND(AG$4=$G256,AG$6=$F256),$B256,"")</f>
        <v/>
      </c>
      <c r="AI256" s="366"/>
      <c r="AL256" s="367"/>
      <c r="AO256" s="367"/>
      <c r="AP256" s="2" t="str">
        <f aca="false">IF(AT256&gt;0,RANK(AT256,AT$7:AT$423),"")</f>
        <v/>
      </c>
      <c r="AQ256" s="2" t="n">
        <f aca="false">'O_MN, PE_UTA_UGM 2024'!C252</f>
        <v>250</v>
      </c>
      <c r="AR256" s="1421" t="n">
        <v>2450</v>
      </c>
      <c r="AS256" s="2" t="str">
        <f aca="false">IF(AY256&lt;&gt;"",AY256,"")</f>
        <v/>
      </c>
      <c r="AT256" s="1422" t="n">
        <f aca="false">IF(ISNUMBER($AR256),SUMIF(B$7:B$505,AR256,D$7:D$505),"")</f>
        <v>0</v>
      </c>
      <c r="AU256" s="1411" t="n">
        <f aca="false">IF(ISNUMBER($AR256),SUMIF(AD$7:AD$503,$AR256,J$7:J$503),"")</f>
        <v>0</v>
      </c>
      <c r="AV256" s="1411" t="n">
        <f aca="false">IF(ISNUMBER($AR256),SUMIF(AF$7:AF$503,$AR256,L$7:L$503),"")</f>
        <v>0</v>
      </c>
      <c r="AW256" s="1423" t="n">
        <f aca="false">IF(ISNUMBER($AR256),SUMIF(AE$7:AE$503,$AR256,K$7:K$503),"")</f>
        <v>0</v>
      </c>
      <c r="AX256" s="1423" t="n">
        <f aca="false">IF(ISNUMBER($AR256),SUMIF(AG$7:AG$503,$AR256,M$7:M$503),"")</f>
        <v>0</v>
      </c>
      <c r="AY256" s="2" t="str">
        <f aca="false">IF($AT256&gt;0,VLOOKUP($AR256,'O_MN, PE_UTA_UGM 2024'!E252:O668,2),"")</f>
        <v/>
      </c>
      <c r="AZ256" s="1424"/>
      <c r="BA256" s="1424"/>
      <c r="BB256" s="1424" t="str">
        <f aca="false">IF($AT256&gt;0,VLOOKUP($AR256,'O_MN, PE_UTA_UGM 2024'!$E$3:$O$419,BB$6),"")</f>
        <v/>
      </c>
      <c r="BC256" s="1424" t="str">
        <f aca="false">IF($AT256&gt;0,VLOOKUP($AR256,'O_MN, PE_UTA_UGM 2024'!$E$3:$O$419,BC$6),"")</f>
        <v/>
      </c>
      <c r="BD256" s="1424" t="str">
        <f aca="false">IF($AT256&gt;0,VLOOKUP($AR256,'O_MN, PE_UTA_UGM 2024'!$E$3:$O$419,BD$6),"")</f>
        <v/>
      </c>
      <c r="BE256" s="1424" t="str">
        <f aca="false">IF($AT256&gt;0,VLOOKUP($AR256,'O_MN, PE_UTA_UGM 2024'!$E$3:$O$419,BE$6),"")</f>
        <v/>
      </c>
      <c r="BF256" s="1424" t="str">
        <f aca="false">IF($AT256&gt;0,VLOOKUP($AR256,'O_MN, PE_UTA_UGM 2024'!$E$3:$O$419,BF$6),"")</f>
        <v/>
      </c>
      <c r="BG256" s="1424" t="str">
        <f aca="false">IF($AT256&gt;0,VLOOKUP($AR256,'O_MN, PE_UTA_UGM 2024'!$E$3:$O$419,BG$6),"")</f>
        <v/>
      </c>
      <c r="BH256" s="872"/>
      <c r="BI256" s="872"/>
      <c r="BJ256" s="872"/>
      <c r="BK256" s="872"/>
      <c r="BM256" s="1411"/>
      <c r="BN256" s="1411"/>
      <c r="BO256" s="1425" t="str">
        <f aca="false">IF(ISNUMBER($AU256*BB256*1),$AU256*BB256*1,"")</f>
        <v/>
      </c>
      <c r="BP256" s="1425" t="str">
        <f aca="false">IF(ISNUMBER($AV256*BC256*1),$AV256*BC256*1,"")</f>
        <v/>
      </c>
      <c r="BQ256" s="1425" t="str">
        <f aca="false">IF(ISNUMBER($AU256*BD256*1),$AU256*BD256*1,"")</f>
        <v/>
      </c>
      <c r="BR256" s="1425" t="str">
        <f aca="false">IF(ISNUMBER($AV256*BE256*1),$AV256*BE256*1,"")</f>
        <v/>
      </c>
      <c r="BS256" s="1411" t="str">
        <f aca="false">IF(ISNUMBER($AU256*BF256),$AU256*BF256,"")</f>
        <v/>
      </c>
      <c r="BT256" s="1411" t="str">
        <f aca="false">IF(ISNUMBER($AV256*BG256),$AV256*BG256,"")</f>
        <v/>
      </c>
      <c r="BU256" s="1411"/>
      <c r="BV256" s="1411"/>
      <c r="BW256" s="1411"/>
      <c r="BX256" s="1411"/>
      <c r="BZ256" s="1372"/>
      <c r="CA256" s="1372"/>
      <c r="CB256" s="1426" t="str">
        <f aca="false">IF(ISNUMBER($AW256*BB256),$AW256*BB256,"")</f>
        <v/>
      </c>
      <c r="CC256" s="1426" t="str">
        <f aca="false">IF(ISNUMBER($AX256*BC256),$AX256*BC256,"")</f>
        <v/>
      </c>
      <c r="CD256" s="1426" t="str">
        <f aca="false">IF(ISNUMBER($AW256*BD256),$AW256*BD256,"")</f>
        <v/>
      </c>
      <c r="CE256" s="1426" t="str">
        <f aca="false">IF(ISNUMBER($AX256*BE256),$AX256*BE256,"")</f>
        <v/>
      </c>
      <c r="CF256" s="1372" t="str">
        <f aca="false">IF(ISNUMBER($AW256*BF256),$AW256*BF256,"")</f>
        <v/>
      </c>
      <c r="CG256" s="1372" t="str">
        <f aca="false">IF(ISNUMBER($AX256*BG256),$AX256*BG256,"")</f>
        <v/>
      </c>
      <c r="CH256" s="1438"/>
      <c r="CI256" s="1438"/>
      <c r="CJ256" s="1438"/>
      <c r="CK256" s="1438"/>
      <c r="CU256" s="1411"/>
      <c r="CV256" s="1411"/>
      <c r="CW256" s="1425"/>
      <c r="CX256" s="1425"/>
      <c r="CY256" s="1425"/>
      <c r="CZ256" s="1425"/>
      <c r="DA256" s="1411"/>
      <c r="DB256" s="1411"/>
      <c r="DC256" s="1411"/>
      <c r="DD256" s="1411"/>
      <c r="DE256" s="1411"/>
      <c r="DF256" s="1411"/>
      <c r="DH256" s="1432"/>
      <c r="DI256" s="1432"/>
      <c r="DJ256" s="1437"/>
      <c r="DK256" s="1437"/>
      <c r="DL256" s="1437"/>
      <c r="DM256" s="1437"/>
      <c r="DN256" s="1432"/>
      <c r="DO256" s="1432"/>
      <c r="DP256" s="1432"/>
      <c r="DQ256" s="1432"/>
      <c r="DR256" s="1432"/>
      <c r="DS256" s="1432"/>
      <c r="DT256" s="1316"/>
      <c r="DU256" s="1433"/>
      <c r="DV256" s="1433"/>
      <c r="DW256" s="1433"/>
      <c r="DX256" s="1433"/>
      <c r="DY256" s="1433"/>
      <c r="DZ256" s="1433"/>
      <c r="EA256" s="1433"/>
      <c r="EB256" s="1433"/>
    </row>
    <row r="257" customFormat="false" ht="14.25" hidden="false" customHeight="false" outlineLevel="0" collapsed="false">
      <c r="A257" s="2" t="n">
        <f aca="false">'V_DATOS PAC_SGA'!R252</f>
        <v>0</v>
      </c>
      <c r="B257" s="2" t="n">
        <f aca="false">IF(I257="IV",CONCATENATE('V_DATOS PAC_SGA'!R252,"4")+0,CONCATENATE('V_DATOS PAC_SGA'!R252,"0")+0)</f>
        <v>0</v>
      </c>
      <c r="C257" s="2" t="n">
        <f aca="false">'V_DATOS PAC_SGA'!S252</f>
        <v>0</v>
      </c>
      <c r="D257" s="1409" t="n">
        <f aca="false">'V_DATOS PAC_SGA'!Y252</f>
        <v>0</v>
      </c>
      <c r="E257" s="1410" t="str">
        <f aca="false">IF('V_DATOS PAC_SGA'!AV252="","Regadio",'V_DATOS PAC_SGA'!AV252)</f>
        <v>Regadio</v>
      </c>
      <c r="F257" s="1411" t="n">
        <f aca="false">'V_DATOS PAC_SGA'!BK252</f>
        <v>0</v>
      </c>
      <c r="G257" s="1412" t="n">
        <f aca="false">'V_DATOS PAC_SGA'!AN252</f>
        <v>0</v>
      </c>
      <c r="H257" s="1413" t="str">
        <f aca="false">IF(B257&gt;0,VLOOKUP(B257,'O_MN, PE_UTA_UGM 2024'!E$3:O$419,10),"")</f>
        <v/>
      </c>
      <c r="I257" s="1359" t="n">
        <f aca="false">'V_DATOS PAC_SGA'!BV252</f>
        <v>0</v>
      </c>
      <c r="J257" s="2" t="str">
        <f aca="false">IF(AND(J$4=$G257,J$6=$F257),$D257*J$5,"")</f>
        <v/>
      </c>
      <c r="K257" s="2" t="str">
        <f aca="false">IF(AND(K$4=$G257,K$6=$F257),$D257*K$5,"")</f>
        <v/>
      </c>
      <c r="L257" s="2" t="str">
        <f aca="false">IF(AND(L$4=$G257,L$6=$F257),$D257*L$5,"")</f>
        <v/>
      </c>
      <c r="M257" s="2" t="str">
        <f aca="false">IF(AND(M$4=$G257,M$6=$F257),$D257*M$5,"")</f>
        <v/>
      </c>
      <c r="N257" s="1414" t="n">
        <f aca="false">VLOOKUP(B257,'O_MN, PE_UTA_UGM 2024'!$E$2:$K$419,IF(G257&gt;1,6,7))</f>
        <v>0</v>
      </c>
      <c r="O257" s="1434" t="str">
        <f aca="false">IF($H257=O$4,$D257*$N257,"")</f>
        <v/>
      </c>
      <c r="P257" s="1435" t="str">
        <f aca="false">IF($H257=P$4,$D257*$N257,"")</f>
        <v/>
      </c>
      <c r="Q257" s="1435" t="str">
        <f aca="false">IF($H257=Q$4,$D257*$N257,"")</f>
        <v/>
      </c>
      <c r="R257" s="1435" t="str">
        <f aca="false">IF($H257=R$4,$D257*$N257,"")</f>
        <v/>
      </c>
      <c r="S257" s="1435" t="str">
        <f aca="false">IF($H257=S$4,$D257*$N257,"")</f>
        <v/>
      </c>
      <c r="T257" s="1435" t="str">
        <f aca="false">IF($H257=T$4,$D257*$N257,"")</f>
        <v/>
      </c>
      <c r="U257" s="1436" t="str">
        <f aca="false">IF($H257=U$4,$D257*$N257,"")</f>
        <v/>
      </c>
      <c r="V257" s="1418"/>
      <c r="W257" s="1419"/>
      <c r="X257" s="1419"/>
      <c r="Y257" s="1419"/>
      <c r="Z257" s="1419"/>
      <c r="AA257" s="1419"/>
      <c r="AB257" s="1420"/>
      <c r="AC257" s="1319"/>
      <c r="AD257" s="2" t="str">
        <f aca="false">IF(AND(AD$4=$G257,AD$6=$F257),$B257,"")</f>
        <v/>
      </c>
      <c r="AE257" s="2" t="str">
        <f aca="false">IF(AND(AE$4=$G257,AE$6=$F257),$B257,"")</f>
        <v/>
      </c>
      <c r="AF257" s="2" t="str">
        <f aca="false">IF(AND(AF$4=$G257,AF$6=$F257),$B257,"")</f>
        <v/>
      </c>
      <c r="AG257" s="2" t="str">
        <f aca="false">IF(AND(AG$4=$G257,AG$6=$F257),$B257,"")</f>
        <v/>
      </c>
      <c r="AI257" s="366"/>
      <c r="AL257" s="367"/>
      <c r="AO257" s="367"/>
      <c r="AP257" s="2" t="str">
        <f aca="false">IF(AT257&gt;0,RANK(AT257,AT$7:AT$423),"")</f>
        <v/>
      </c>
      <c r="AQ257" s="2" t="n">
        <f aca="false">'O_MN, PE_UTA_UGM 2024'!C253</f>
        <v>251</v>
      </c>
      <c r="AR257" s="1421" t="n">
        <v>2460</v>
      </c>
      <c r="AS257" s="2" t="str">
        <f aca="false">IF(AY257&lt;&gt;"",AY257,"")</f>
        <v/>
      </c>
      <c r="AT257" s="1422" t="n">
        <f aca="false">IF(ISNUMBER($AR257),SUMIF(B$7:B$505,AR257,D$7:D$505),"")</f>
        <v>0</v>
      </c>
      <c r="AU257" s="1411" t="n">
        <f aca="false">IF(ISNUMBER($AR257),SUMIF(AD$7:AD$503,$AR257,J$7:J$503),"")</f>
        <v>0</v>
      </c>
      <c r="AV257" s="1411" t="n">
        <f aca="false">IF(ISNUMBER($AR257),SUMIF(AF$7:AF$503,$AR257,L$7:L$503),"")</f>
        <v>0</v>
      </c>
      <c r="AW257" s="1423" t="n">
        <f aca="false">IF(ISNUMBER($AR257),SUMIF(AE$7:AE$503,$AR257,K$7:K$503),"")</f>
        <v>0</v>
      </c>
      <c r="AX257" s="1423" t="n">
        <f aca="false">IF(ISNUMBER($AR257),SUMIF(AG$7:AG$503,$AR257,M$7:M$503),"")</f>
        <v>0</v>
      </c>
      <c r="AY257" s="2" t="str">
        <f aca="false">IF($AT257&gt;0,VLOOKUP($AR257,'O_MN, PE_UTA_UGM 2024'!E253:O669,2),"")</f>
        <v/>
      </c>
      <c r="AZ257" s="1424"/>
      <c r="BA257" s="1424"/>
      <c r="BB257" s="1424" t="str">
        <f aca="false">IF($AT257&gt;0,VLOOKUP($AR257,'O_MN, PE_UTA_UGM 2024'!$E$3:$O$419,BB$6),"")</f>
        <v/>
      </c>
      <c r="BC257" s="1424" t="str">
        <f aca="false">IF($AT257&gt;0,VLOOKUP($AR257,'O_MN, PE_UTA_UGM 2024'!$E$3:$O$419,BC$6),"")</f>
        <v/>
      </c>
      <c r="BD257" s="1424" t="str">
        <f aca="false">IF($AT257&gt;0,VLOOKUP($AR257,'O_MN, PE_UTA_UGM 2024'!$E$3:$O$419,BD$6),"")</f>
        <v/>
      </c>
      <c r="BE257" s="1424" t="str">
        <f aca="false">IF($AT257&gt;0,VLOOKUP($AR257,'O_MN, PE_UTA_UGM 2024'!$E$3:$O$419,BE$6),"")</f>
        <v/>
      </c>
      <c r="BF257" s="1424" t="str">
        <f aca="false">IF($AT257&gt;0,VLOOKUP($AR257,'O_MN, PE_UTA_UGM 2024'!$E$3:$O$419,BF$6),"")</f>
        <v/>
      </c>
      <c r="BG257" s="1424" t="str">
        <f aca="false">IF($AT257&gt;0,VLOOKUP($AR257,'O_MN, PE_UTA_UGM 2024'!$E$3:$O$419,BG$6),"")</f>
        <v/>
      </c>
      <c r="BH257" s="872"/>
      <c r="BI257" s="872"/>
      <c r="BJ257" s="872"/>
      <c r="BK257" s="872"/>
      <c r="BM257" s="1411"/>
      <c r="BN257" s="1411"/>
      <c r="BO257" s="1425" t="str">
        <f aca="false">IF(ISNUMBER($AU257*BB257*1),$AU257*BB257*1,"")</f>
        <v/>
      </c>
      <c r="BP257" s="1425" t="str">
        <f aca="false">IF(ISNUMBER($AV257*BC257*1),$AV257*BC257*1,"")</f>
        <v/>
      </c>
      <c r="BQ257" s="1425" t="str">
        <f aca="false">IF(ISNUMBER($AU257*BD257*1),$AU257*BD257*1,"")</f>
        <v/>
      </c>
      <c r="BR257" s="1425" t="str">
        <f aca="false">IF(ISNUMBER($AV257*BE257*1),$AV257*BE257*1,"")</f>
        <v/>
      </c>
      <c r="BS257" s="1411" t="str">
        <f aca="false">IF(ISNUMBER($AU257*BF257),$AU257*BF257,"")</f>
        <v/>
      </c>
      <c r="BT257" s="1411" t="str">
        <f aca="false">IF(ISNUMBER($AV257*BG257),$AV257*BG257,"")</f>
        <v/>
      </c>
      <c r="BU257" s="1411"/>
      <c r="BV257" s="1411"/>
      <c r="BW257" s="1411"/>
      <c r="BX257" s="1411"/>
      <c r="BZ257" s="1372"/>
      <c r="CA257" s="1372"/>
      <c r="CB257" s="1426" t="str">
        <f aca="false">IF(ISNUMBER($AW257*BB257),$AW257*BB257,"")</f>
        <v/>
      </c>
      <c r="CC257" s="1426" t="str">
        <f aca="false">IF(ISNUMBER($AX257*BC257),$AX257*BC257,"")</f>
        <v/>
      </c>
      <c r="CD257" s="1426" t="str">
        <f aca="false">IF(ISNUMBER($AW257*BD257),$AW257*BD257,"")</f>
        <v/>
      </c>
      <c r="CE257" s="1426" t="str">
        <f aca="false">IF(ISNUMBER($AX257*BE257),$AX257*BE257,"")</f>
        <v/>
      </c>
      <c r="CF257" s="1372" t="str">
        <f aca="false">IF(ISNUMBER($AW257*BF257),$AW257*BF257,"")</f>
        <v/>
      </c>
      <c r="CG257" s="1372" t="str">
        <f aca="false">IF(ISNUMBER($AX257*BG257),$AX257*BG257,"")</f>
        <v/>
      </c>
      <c r="CH257" s="1438"/>
      <c r="CI257" s="1438"/>
      <c r="CJ257" s="1438"/>
      <c r="CK257" s="1438"/>
      <c r="CU257" s="1411"/>
      <c r="CV257" s="1411"/>
      <c r="CW257" s="1425"/>
      <c r="CX257" s="1425"/>
      <c r="CY257" s="1425"/>
      <c r="CZ257" s="1425"/>
      <c r="DA257" s="1411"/>
      <c r="DB257" s="1411"/>
      <c r="DC257" s="1411"/>
      <c r="DD257" s="1411"/>
      <c r="DE257" s="1411"/>
      <c r="DF257" s="1411"/>
      <c r="DH257" s="1432"/>
      <c r="DI257" s="1432"/>
      <c r="DJ257" s="1437"/>
      <c r="DK257" s="1437"/>
      <c r="DL257" s="1437"/>
      <c r="DM257" s="1437"/>
      <c r="DN257" s="1432"/>
      <c r="DO257" s="1432"/>
      <c r="DP257" s="1432"/>
      <c r="DQ257" s="1432"/>
      <c r="DR257" s="1432"/>
      <c r="DS257" s="1432"/>
      <c r="DT257" s="1316"/>
      <c r="DU257" s="1433"/>
      <c r="DV257" s="1433"/>
      <c r="DW257" s="1433"/>
      <c r="DX257" s="1433"/>
      <c r="DY257" s="1433"/>
      <c r="DZ257" s="1433"/>
      <c r="EA257" s="1433"/>
      <c r="EB257" s="1433"/>
    </row>
    <row r="258" customFormat="false" ht="14.25" hidden="false" customHeight="false" outlineLevel="0" collapsed="false">
      <c r="A258" s="2" t="n">
        <f aca="false">'V_DATOS PAC_SGA'!R253</f>
        <v>0</v>
      </c>
      <c r="B258" s="2" t="n">
        <f aca="false">IF(I258="IV",CONCATENATE('V_DATOS PAC_SGA'!R253,"4")+0,CONCATENATE('V_DATOS PAC_SGA'!R253,"0")+0)</f>
        <v>0</v>
      </c>
      <c r="C258" s="2" t="n">
        <f aca="false">'V_DATOS PAC_SGA'!S253</f>
        <v>0</v>
      </c>
      <c r="D258" s="1409" t="n">
        <f aca="false">'V_DATOS PAC_SGA'!Y253</f>
        <v>0</v>
      </c>
      <c r="E258" s="1410" t="str">
        <f aca="false">IF('V_DATOS PAC_SGA'!AV253="","Regadio",'V_DATOS PAC_SGA'!AV253)</f>
        <v>Regadio</v>
      </c>
      <c r="F258" s="1411" t="n">
        <f aca="false">'V_DATOS PAC_SGA'!BK253</f>
        <v>0</v>
      </c>
      <c r="G258" s="1412" t="n">
        <f aca="false">'V_DATOS PAC_SGA'!AN253</f>
        <v>0</v>
      </c>
      <c r="H258" s="1413" t="str">
        <f aca="false">IF(B258&gt;0,VLOOKUP(B258,'O_MN, PE_UTA_UGM 2024'!E$3:O$419,10),"")</f>
        <v/>
      </c>
      <c r="I258" s="1359" t="n">
        <f aca="false">'V_DATOS PAC_SGA'!BV253</f>
        <v>0</v>
      </c>
      <c r="J258" s="2" t="str">
        <f aca="false">IF(AND(J$4=$G258,J$6=$F258),$D258*J$5,"")</f>
        <v/>
      </c>
      <c r="K258" s="2" t="str">
        <f aca="false">IF(AND(K$4=$G258,K$6=$F258),$D258*K$5,"")</f>
        <v/>
      </c>
      <c r="L258" s="2" t="str">
        <f aca="false">IF(AND(L$4=$G258,L$6=$F258),$D258*L$5,"")</f>
        <v/>
      </c>
      <c r="M258" s="2" t="str">
        <f aca="false">IF(AND(M$4=$G258,M$6=$F258),$D258*M$5,"")</f>
        <v/>
      </c>
      <c r="N258" s="1414" t="n">
        <f aca="false">VLOOKUP(B258,'O_MN, PE_UTA_UGM 2024'!$E$2:$K$419,IF(G258&gt;1,6,7))</f>
        <v>0</v>
      </c>
      <c r="O258" s="1434" t="str">
        <f aca="false">IF($H258=O$4,$D258*$N258,"")</f>
        <v/>
      </c>
      <c r="P258" s="1435" t="str">
        <f aca="false">IF($H258=P$4,$D258*$N258,"")</f>
        <v/>
      </c>
      <c r="Q258" s="1435" t="str">
        <f aca="false">IF($H258=Q$4,$D258*$N258,"")</f>
        <v/>
      </c>
      <c r="R258" s="1435" t="str">
        <f aca="false">IF($H258=R$4,$D258*$N258,"")</f>
        <v/>
      </c>
      <c r="S258" s="1435" t="str">
        <f aca="false">IF($H258=S$4,$D258*$N258,"")</f>
        <v/>
      </c>
      <c r="T258" s="1435" t="str">
        <f aca="false">IF($H258=T$4,$D258*$N258,"")</f>
        <v/>
      </c>
      <c r="U258" s="1436" t="str">
        <f aca="false">IF($H258=U$4,$D258*$N258,"")</f>
        <v/>
      </c>
      <c r="V258" s="1418"/>
      <c r="W258" s="1419"/>
      <c r="X258" s="1419"/>
      <c r="Y258" s="1419"/>
      <c r="Z258" s="1419"/>
      <c r="AA258" s="1419"/>
      <c r="AB258" s="1420"/>
      <c r="AC258" s="1319"/>
      <c r="AD258" s="2" t="str">
        <f aca="false">IF(AND(AD$4=$G258,AD$6=$F258),$B258,"")</f>
        <v/>
      </c>
      <c r="AE258" s="2" t="str">
        <f aca="false">IF(AND(AE$4=$G258,AE$6=$F258),$B258,"")</f>
        <v/>
      </c>
      <c r="AF258" s="2" t="str">
        <f aca="false">IF(AND(AF$4=$G258,AF$6=$F258),$B258,"")</f>
        <v/>
      </c>
      <c r="AG258" s="2" t="str">
        <f aca="false">IF(AND(AG$4=$G258,AG$6=$F258),$B258,"")</f>
        <v/>
      </c>
      <c r="AI258" s="366"/>
      <c r="AL258" s="367"/>
      <c r="AO258" s="367"/>
      <c r="AP258" s="2" t="str">
        <f aca="false">IF(AT258&gt;0,RANK(AT258,AT$7:AT$423),"")</f>
        <v/>
      </c>
      <c r="AQ258" s="2" t="n">
        <f aca="false">'O_MN, PE_UTA_UGM 2024'!C254</f>
        <v>252</v>
      </c>
      <c r="AR258" s="1421" t="n">
        <v>2470</v>
      </c>
      <c r="AS258" s="2" t="str">
        <f aca="false">IF(AY258&lt;&gt;"",AY258,"")</f>
        <v/>
      </c>
      <c r="AT258" s="1422" t="n">
        <f aca="false">IF(ISNUMBER($AR258),SUMIF(B$7:B$505,AR258,D$7:D$505),"")</f>
        <v>0</v>
      </c>
      <c r="AU258" s="1411" t="n">
        <f aca="false">IF(ISNUMBER($AR258),SUMIF(AD$7:AD$503,$AR258,J$7:J$503),"")</f>
        <v>0</v>
      </c>
      <c r="AV258" s="1411" t="n">
        <f aca="false">IF(ISNUMBER($AR258),SUMIF(AF$7:AF$503,$AR258,L$7:L$503),"")</f>
        <v>0</v>
      </c>
      <c r="AW258" s="1423" t="n">
        <f aca="false">IF(ISNUMBER($AR258),SUMIF(AE$7:AE$503,$AR258,K$7:K$503),"")</f>
        <v>0</v>
      </c>
      <c r="AX258" s="1423" t="n">
        <f aca="false">IF(ISNUMBER($AR258),SUMIF(AG$7:AG$503,$AR258,M$7:M$503),"")</f>
        <v>0</v>
      </c>
      <c r="AY258" s="2" t="str">
        <f aca="false">IF($AT258&gt;0,VLOOKUP($AR258,'O_MN, PE_UTA_UGM 2024'!E254:O670,2),"")</f>
        <v/>
      </c>
      <c r="AZ258" s="1424"/>
      <c r="BA258" s="1424"/>
      <c r="BB258" s="1424" t="str">
        <f aca="false">IF($AT258&gt;0,VLOOKUP($AR258,'O_MN, PE_UTA_UGM 2024'!$E$3:$O$419,BB$6),"")</f>
        <v/>
      </c>
      <c r="BC258" s="1424" t="str">
        <f aca="false">IF($AT258&gt;0,VLOOKUP($AR258,'O_MN, PE_UTA_UGM 2024'!$E$3:$O$419,BC$6),"")</f>
        <v/>
      </c>
      <c r="BD258" s="1424" t="str">
        <f aca="false">IF($AT258&gt;0,VLOOKUP($AR258,'O_MN, PE_UTA_UGM 2024'!$E$3:$O$419,BD$6),"")</f>
        <v/>
      </c>
      <c r="BE258" s="1424" t="str">
        <f aca="false">IF($AT258&gt;0,VLOOKUP($AR258,'O_MN, PE_UTA_UGM 2024'!$E$3:$O$419,BE$6),"")</f>
        <v/>
      </c>
      <c r="BF258" s="1424" t="str">
        <f aca="false">IF($AT258&gt;0,VLOOKUP($AR258,'O_MN, PE_UTA_UGM 2024'!$E$3:$O$419,BF$6),"")</f>
        <v/>
      </c>
      <c r="BG258" s="1424" t="str">
        <f aca="false">IF($AT258&gt;0,VLOOKUP($AR258,'O_MN, PE_UTA_UGM 2024'!$E$3:$O$419,BG$6),"")</f>
        <v/>
      </c>
      <c r="BH258" s="872"/>
      <c r="BI258" s="872"/>
      <c r="BJ258" s="872"/>
      <c r="BK258" s="872"/>
      <c r="BM258" s="1411"/>
      <c r="BN258" s="1411"/>
      <c r="BO258" s="1425" t="str">
        <f aca="false">IF(ISNUMBER($AU258*BB258*1),$AU258*BB258*1,"")</f>
        <v/>
      </c>
      <c r="BP258" s="1425" t="str">
        <f aca="false">IF(ISNUMBER($AV258*BC258*1),$AV258*BC258*1,"")</f>
        <v/>
      </c>
      <c r="BQ258" s="1425" t="str">
        <f aca="false">IF(ISNUMBER($AU258*BD258*1),$AU258*BD258*1,"")</f>
        <v/>
      </c>
      <c r="BR258" s="1425" t="str">
        <f aca="false">IF(ISNUMBER($AV258*BE258*1),$AV258*BE258*1,"")</f>
        <v/>
      </c>
      <c r="BS258" s="1411" t="str">
        <f aca="false">IF(ISNUMBER($AU258*BF258),$AU258*BF258,"")</f>
        <v/>
      </c>
      <c r="BT258" s="1411" t="str">
        <f aca="false">IF(ISNUMBER($AV258*BG258),$AV258*BG258,"")</f>
        <v/>
      </c>
      <c r="BU258" s="1411"/>
      <c r="BV258" s="1411"/>
      <c r="BW258" s="1411"/>
      <c r="BX258" s="1411"/>
      <c r="BZ258" s="1372"/>
      <c r="CA258" s="1372"/>
      <c r="CB258" s="1426" t="str">
        <f aca="false">IF(ISNUMBER($AW258*BB258),$AW258*BB258,"")</f>
        <v/>
      </c>
      <c r="CC258" s="1426" t="str">
        <f aca="false">IF(ISNUMBER($AX258*BC258),$AX258*BC258,"")</f>
        <v/>
      </c>
      <c r="CD258" s="1426" t="str">
        <f aca="false">IF(ISNUMBER($AW258*BD258),$AW258*BD258,"")</f>
        <v/>
      </c>
      <c r="CE258" s="1426" t="str">
        <f aca="false">IF(ISNUMBER($AX258*BE258),$AX258*BE258,"")</f>
        <v/>
      </c>
      <c r="CF258" s="1372" t="str">
        <f aca="false">IF(ISNUMBER($AW258*BF258),$AW258*BF258,"")</f>
        <v/>
      </c>
      <c r="CG258" s="1372" t="str">
        <f aca="false">IF(ISNUMBER($AX258*BG258),$AX258*BG258,"")</f>
        <v/>
      </c>
      <c r="CH258" s="1438"/>
      <c r="CI258" s="1438"/>
      <c r="CJ258" s="1438"/>
      <c r="CK258" s="1438"/>
      <c r="CU258" s="1411"/>
      <c r="CV258" s="1411"/>
      <c r="CW258" s="1425"/>
      <c r="CX258" s="1425"/>
      <c r="CY258" s="1425"/>
      <c r="CZ258" s="1425"/>
      <c r="DA258" s="1411"/>
      <c r="DB258" s="1411"/>
      <c r="DC258" s="1411"/>
      <c r="DD258" s="1411"/>
      <c r="DE258" s="1411"/>
      <c r="DF258" s="1411"/>
      <c r="DH258" s="1432"/>
      <c r="DI258" s="1432"/>
      <c r="DJ258" s="1437"/>
      <c r="DK258" s="1437"/>
      <c r="DL258" s="1437"/>
      <c r="DM258" s="1437"/>
      <c r="DN258" s="1432"/>
      <c r="DO258" s="1432"/>
      <c r="DP258" s="1432"/>
      <c r="DQ258" s="1432"/>
      <c r="DR258" s="1432"/>
      <c r="DS258" s="1432"/>
      <c r="DT258" s="1316"/>
      <c r="DU258" s="1433"/>
      <c r="DV258" s="1433"/>
      <c r="DW258" s="1433"/>
      <c r="DX258" s="1433"/>
      <c r="DY258" s="1433"/>
      <c r="DZ258" s="1433"/>
      <c r="EA258" s="1433"/>
      <c r="EB258" s="1433"/>
    </row>
    <row r="259" customFormat="false" ht="14.25" hidden="false" customHeight="false" outlineLevel="0" collapsed="false">
      <c r="A259" s="2" t="n">
        <f aca="false">'V_DATOS PAC_SGA'!R254</f>
        <v>0</v>
      </c>
      <c r="B259" s="2" t="n">
        <f aca="false">IF(I259="IV",CONCATENATE('V_DATOS PAC_SGA'!R254,"4")+0,CONCATENATE('V_DATOS PAC_SGA'!R254,"0")+0)</f>
        <v>0</v>
      </c>
      <c r="C259" s="2" t="n">
        <f aca="false">'V_DATOS PAC_SGA'!S254</f>
        <v>0</v>
      </c>
      <c r="D259" s="1409" t="n">
        <f aca="false">'V_DATOS PAC_SGA'!Y254</f>
        <v>0</v>
      </c>
      <c r="E259" s="1410" t="str">
        <f aca="false">IF('V_DATOS PAC_SGA'!AV254="","Regadio",'V_DATOS PAC_SGA'!AV254)</f>
        <v>Regadio</v>
      </c>
      <c r="F259" s="1411" t="n">
        <f aca="false">'V_DATOS PAC_SGA'!BK254</f>
        <v>0</v>
      </c>
      <c r="G259" s="1412" t="n">
        <f aca="false">'V_DATOS PAC_SGA'!AN254</f>
        <v>0</v>
      </c>
      <c r="H259" s="1413" t="str">
        <f aca="false">IF(B259&gt;0,VLOOKUP(B259,'O_MN, PE_UTA_UGM 2024'!E$3:O$419,10),"")</f>
        <v/>
      </c>
      <c r="I259" s="1359" t="n">
        <f aca="false">'V_DATOS PAC_SGA'!BV254</f>
        <v>0</v>
      </c>
      <c r="J259" s="2" t="str">
        <f aca="false">IF(AND(J$4=$G259,J$6=$F259),$D259*J$5,"")</f>
        <v/>
      </c>
      <c r="K259" s="2" t="str">
        <f aca="false">IF(AND(K$4=$G259,K$6=$F259),$D259*K$5,"")</f>
        <v/>
      </c>
      <c r="L259" s="2" t="str">
        <f aca="false">IF(AND(L$4=$G259,L$6=$F259),$D259*L$5,"")</f>
        <v/>
      </c>
      <c r="M259" s="2" t="str">
        <f aca="false">IF(AND(M$4=$G259,M$6=$F259),$D259*M$5,"")</f>
        <v/>
      </c>
      <c r="N259" s="1414" t="n">
        <f aca="false">VLOOKUP(B259,'O_MN, PE_UTA_UGM 2024'!$E$2:$K$419,IF(G259&gt;1,6,7))</f>
        <v>0</v>
      </c>
      <c r="O259" s="1434" t="str">
        <f aca="false">IF($H259=O$4,$D259*$N259,"")</f>
        <v/>
      </c>
      <c r="P259" s="1435" t="str">
        <f aca="false">IF($H259=P$4,$D259*$N259,"")</f>
        <v/>
      </c>
      <c r="Q259" s="1435" t="str">
        <f aca="false">IF($H259=Q$4,$D259*$N259,"")</f>
        <v/>
      </c>
      <c r="R259" s="1435" t="str">
        <f aca="false">IF($H259=R$4,$D259*$N259,"")</f>
        <v/>
      </c>
      <c r="S259" s="1435" t="str">
        <f aca="false">IF($H259=S$4,$D259*$N259,"")</f>
        <v/>
      </c>
      <c r="T259" s="1435" t="str">
        <f aca="false">IF($H259=T$4,$D259*$N259,"")</f>
        <v/>
      </c>
      <c r="U259" s="1436" t="str">
        <f aca="false">IF($H259=U$4,$D259*$N259,"")</f>
        <v/>
      </c>
      <c r="V259" s="1418"/>
      <c r="W259" s="1419"/>
      <c r="X259" s="1419"/>
      <c r="Y259" s="1419"/>
      <c r="Z259" s="1419"/>
      <c r="AA259" s="1419"/>
      <c r="AB259" s="1420"/>
      <c r="AC259" s="1319"/>
      <c r="AD259" s="2" t="str">
        <f aca="false">IF(AND(AD$4=$G259,AD$6=$F259),$B259,"")</f>
        <v/>
      </c>
      <c r="AE259" s="2" t="str">
        <f aca="false">IF(AND(AE$4=$G259,AE$6=$F259),$B259,"")</f>
        <v/>
      </c>
      <c r="AF259" s="2" t="str">
        <f aca="false">IF(AND(AF$4=$G259,AF$6=$F259),$B259,"")</f>
        <v/>
      </c>
      <c r="AG259" s="2" t="str">
        <f aca="false">IF(AND(AG$4=$G259,AG$6=$F259),$B259,"")</f>
        <v/>
      </c>
      <c r="AI259" s="366"/>
      <c r="AL259" s="367"/>
      <c r="AO259" s="367"/>
      <c r="AP259" s="2" t="str">
        <f aca="false">IF(AT259&gt;0,RANK(AT259,AT$7:AT$423),"")</f>
        <v/>
      </c>
      <c r="AQ259" s="2" t="n">
        <f aca="false">'O_MN, PE_UTA_UGM 2024'!C255</f>
        <v>253</v>
      </c>
      <c r="AR259" s="1421" t="n">
        <v>2480</v>
      </c>
      <c r="AS259" s="2" t="str">
        <f aca="false">IF(AY259&lt;&gt;"",AY259,"")</f>
        <v/>
      </c>
      <c r="AT259" s="1422" t="n">
        <f aca="false">IF(ISNUMBER($AR259),SUMIF(B$7:B$505,AR259,D$7:D$505),"")</f>
        <v>0</v>
      </c>
      <c r="AU259" s="1411" t="n">
        <f aca="false">IF(ISNUMBER($AR259),SUMIF(AD$7:AD$503,$AR259,J$7:J$503),"")</f>
        <v>0</v>
      </c>
      <c r="AV259" s="1411" t="n">
        <f aca="false">IF(ISNUMBER($AR259),SUMIF(AF$7:AF$503,$AR259,L$7:L$503),"")</f>
        <v>0</v>
      </c>
      <c r="AW259" s="1423" t="n">
        <f aca="false">IF(ISNUMBER($AR259),SUMIF(AE$7:AE$503,$AR259,K$7:K$503),"")</f>
        <v>0</v>
      </c>
      <c r="AX259" s="1423" t="n">
        <f aca="false">IF(ISNUMBER($AR259),SUMIF(AG$7:AG$503,$AR259,M$7:M$503),"")</f>
        <v>0</v>
      </c>
      <c r="AY259" s="2" t="str">
        <f aca="false">IF($AT259&gt;0,VLOOKUP($AR259,'O_MN, PE_UTA_UGM 2024'!E255:O671,2),"")</f>
        <v/>
      </c>
      <c r="AZ259" s="1424"/>
      <c r="BA259" s="1424"/>
      <c r="BB259" s="1424" t="str">
        <f aca="false">IF($AT259&gt;0,VLOOKUP($AR259,'O_MN, PE_UTA_UGM 2024'!$E$3:$O$419,BB$6),"")</f>
        <v/>
      </c>
      <c r="BC259" s="1424" t="str">
        <f aca="false">IF($AT259&gt;0,VLOOKUP($AR259,'O_MN, PE_UTA_UGM 2024'!$E$3:$O$419,BC$6),"")</f>
        <v/>
      </c>
      <c r="BD259" s="1424" t="str">
        <f aca="false">IF($AT259&gt;0,VLOOKUP($AR259,'O_MN, PE_UTA_UGM 2024'!$E$3:$O$419,BD$6),"")</f>
        <v/>
      </c>
      <c r="BE259" s="1424" t="str">
        <f aca="false">IF($AT259&gt;0,VLOOKUP($AR259,'O_MN, PE_UTA_UGM 2024'!$E$3:$O$419,BE$6),"")</f>
        <v/>
      </c>
      <c r="BF259" s="1424" t="str">
        <f aca="false">IF($AT259&gt;0,VLOOKUP($AR259,'O_MN, PE_UTA_UGM 2024'!$E$3:$O$419,BF$6),"")</f>
        <v/>
      </c>
      <c r="BG259" s="1424" t="str">
        <f aca="false">IF($AT259&gt;0,VLOOKUP($AR259,'O_MN, PE_UTA_UGM 2024'!$E$3:$O$419,BG$6),"")</f>
        <v/>
      </c>
      <c r="BH259" s="872"/>
      <c r="BI259" s="872"/>
      <c r="BJ259" s="872"/>
      <c r="BK259" s="872"/>
      <c r="BM259" s="1411"/>
      <c r="BN259" s="1411"/>
      <c r="BO259" s="1425" t="str">
        <f aca="false">IF(ISNUMBER($AU259*BB259*1),$AU259*BB259*1,"")</f>
        <v/>
      </c>
      <c r="BP259" s="1425" t="str">
        <f aca="false">IF(ISNUMBER($AV259*BC259*1),$AV259*BC259*1,"")</f>
        <v/>
      </c>
      <c r="BQ259" s="1425" t="str">
        <f aca="false">IF(ISNUMBER($AU259*BD259*1),$AU259*BD259*1,"")</f>
        <v/>
      </c>
      <c r="BR259" s="1425" t="str">
        <f aca="false">IF(ISNUMBER($AV259*BE259*1),$AV259*BE259*1,"")</f>
        <v/>
      </c>
      <c r="BS259" s="1411" t="str">
        <f aca="false">IF(ISNUMBER($AU259*BF259),$AU259*BF259,"")</f>
        <v/>
      </c>
      <c r="BT259" s="1411" t="str">
        <f aca="false">IF(ISNUMBER($AV259*BG259),$AV259*BG259,"")</f>
        <v/>
      </c>
      <c r="BU259" s="1411"/>
      <c r="BV259" s="1411"/>
      <c r="BW259" s="1411"/>
      <c r="BX259" s="1411"/>
      <c r="BZ259" s="1372"/>
      <c r="CA259" s="1372"/>
      <c r="CB259" s="1426" t="str">
        <f aca="false">IF(ISNUMBER($AW259*BB259),$AW259*BB259,"")</f>
        <v/>
      </c>
      <c r="CC259" s="1426" t="str">
        <f aca="false">IF(ISNUMBER($AX259*BC259),$AX259*BC259,"")</f>
        <v/>
      </c>
      <c r="CD259" s="1426" t="str">
        <f aca="false">IF(ISNUMBER($AW259*BD259),$AW259*BD259,"")</f>
        <v/>
      </c>
      <c r="CE259" s="1426" t="str">
        <f aca="false">IF(ISNUMBER($AX259*BE259),$AX259*BE259,"")</f>
        <v/>
      </c>
      <c r="CF259" s="1372" t="str">
        <f aca="false">IF(ISNUMBER($AW259*BF259),$AW259*BF259,"")</f>
        <v/>
      </c>
      <c r="CG259" s="1372" t="str">
        <f aca="false">IF(ISNUMBER($AX259*BG259),$AX259*BG259,"")</f>
        <v/>
      </c>
      <c r="CH259" s="1438"/>
      <c r="CI259" s="1438"/>
      <c r="CJ259" s="1438"/>
      <c r="CK259" s="1438"/>
      <c r="CU259" s="1411"/>
      <c r="CV259" s="1411"/>
      <c r="CW259" s="1425"/>
      <c r="CX259" s="1425"/>
      <c r="CY259" s="1425"/>
      <c r="CZ259" s="1425"/>
      <c r="DA259" s="1411"/>
      <c r="DB259" s="1411"/>
      <c r="DC259" s="1411"/>
      <c r="DD259" s="1411"/>
      <c r="DE259" s="1411"/>
      <c r="DF259" s="1411"/>
      <c r="DH259" s="1432"/>
      <c r="DI259" s="1432"/>
      <c r="DJ259" s="1437"/>
      <c r="DK259" s="1437"/>
      <c r="DL259" s="1437"/>
      <c r="DM259" s="1437"/>
      <c r="DN259" s="1432"/>
      <c r="DO259" s="1432"/>
      <c r="DP259" s="1432"/>
      <c r="DQ259" s="1432"/>
      <c r="DR259" s="1432"/>
      <c r="DS259" s="1432"/>
      <c r="DT259" s="1316"/>
      <c r="DU259" s="1433"/>
      <c r="DV259" s="1433"/>
      <c r="DW259" s="1433"/>
      <c r="DX259" s="1433"/>
      <c r="DY259" s="1433"/>
      <c r="DZ259" s="1433"/>
      <c r="EA259" s="1433"/>
      <c r="EB259" s="1433"/>
    </row>
    <row r="260" customFormat="false" ht="14.25" hidden="false" customHeight="false" outlineLevel="0" collapsed="false">
      <c r="A260" s="2" t="n">
        <f aca="false">'V_DATOS PAC_SGA'!R255</f>
        <v>0</v>
      </c>
      <c r="B260" s="2" t="n">
        <f aca="false">IF(I260="IV",CONCATENATE('V_DATOS PAC_SGA'!R255,"4")+0,CONCATENATE('V_DATOS PAC_SGA'!R255,"0")+0)</f>
        <v>0</v>
      </c>
      <c r="C260" s="2" t="n">
        <f aca="false">'V_DATOS PAC_SGA'!S255</f>
        <v>0</v>
      </c>
      <c r="D260" s="1409" t="n">
        <f aca="false">'V_DATOS PAC_SGA'!Y255</f>
        <v>0</v>
      </c>
      <c r="E260" s="1410" t="str">
        <f aca="false">IF('V_DATOS PAC_SGA'!AV255="","Regadio",'V_DATOS PAC_SGA'!AV255)</f>
        <v>Regadio</v>
      </c>
      <c r="F260" s="1411" t="n">
        <f aca="false">'V_DATOS PAC_SGA'!BK255</f>
        <v>0</v>
      </c>
      <c r="G260" s="1412" t="n">
        <f aca="false">'V_DATOS PAC_SGA'!AN255</f>
        <v>0</v>
      </c>
      <c r="H260" s="1413" t="str">
        <f aca="false">IF(B260&gt;0,VLOOKUP(B260,'O_MN, PE_UTA_UGM 2024'!E$3:O$419,10),"")</f>
        <v/>
      </c>
      <c r="I260" s="1359" t="n">
        <f aca="false">'V_DATOS PAC_SGA'!BV255</f>
        <v>0</v>
      </c>
      <c r="J260" s="2" t="str">
        <f aca="false">IF(AND(J$4=$G260,J$6=$F260),$D260*J$5,"")</f>
        <v/>
      </c>
      <c r="K260" s="2" t="str">
        <f aca="false">IF(AND(K$4=$G260,K$6=$F260),$D260*K$5,"")</f>
        <v/>
      </c>
      <c r="L260" s="2" t="str">
        <f aca="false">IF(AND(L$4=$G260,L$6=$F260),$D260*L$5,"")</f>
        <v/>
      </c>
      <c r="M260" s="2" t="str">
        <f aca="false">IF(AND(M$4=$G260,M$6=$F260),$D260*M$5,"")</f>
        <v/>
      </c>
      <c r="N260" s="1414" t="n">
        <f aca="false">VLOOKUP(B260,'O_MN, PE_UTA_UGM 2024'!$E$2:$K$419,IF(G260&gt;1,6,7))</f>
        <v>0</v>
      </c>
      <c r="O260" s="1434" t="str">
        <f aca="false">IF($H260=O$4,$D260*$N260,"")</f>
        <v/>
      </c>
      <c r="P260" s="1435" t="str">
        <f aca="false">IF($H260=P$4,$D260*$N260,"")</f>
        <v/>
      </c>
      <c r="Q260" s="1435" t="str">
        <f aca="false">IF($H260=Q$4,$D260*$N260,"")</f>
        <v/>
      </c>
      <c r="R260" s="1435" t="str">
        <f aca="false">IF($H260=R$4,$D260*$N260,"")</f>
        <v/>
      </c>
      <c r="S260" s="1435" t="str">
        <f aca="false">IF($H260=S$4,$D260*$N260,"")</f>
        <v/>
      </c>
      <c r="T260" s="1435" t="str">
        <f aca="false">IF($H260=T$4,$D260*$N260,"")</f>
        <v/>
      </c>
      <c r="U260" s="1436" t="str">
        <f aca="false">IF($H260=U$4,$D260*$N260,"")</f>
        <v/>
      </c>
      <c r="V260" s="1418"/>
      <c r="W260" s="1419"/>
      <c r="X260" s="1419"/>
      <c r="Y260" s="1419"/>
      <c r="Z260" s="1419"/>
      <c r="AA260" s="1419"/>
      <c r="AB260" s="1420"/>
      <c r="AC260" s="1319"/>
      <c r="AD260" s="2" t="str">
        <f aca="false">IF(AND(AD$4=$G260,AD$6=$F260),$B260,"")</f>
        <v/>
      </c>
      <c r="AE260" s="2" t="str">
        <f aca="false">IF(AND(AE$4=$G260,AE$6=$F260),$B260,"")</f>
        <v/>
      </c>
      <c r="AF260" s="2" t="str">
        <f aca="false">IF(AND(AF$4=$G260,AF$6=$F260),$B260,"")</f>
        <v/>
      </c>
      <c r="AG260" s="2" t="str">
        <f aca="false">IF(AND(AG$4=$G260,AG$6=$F260),$B260,"")</f>
        <v/>
      </c>
      <c r="AI260" s="366"/>
      <c r="AL260" s="367"/>
      <c r="AO260" s="367"/>
      <c r="AP260" s="2" t="str">
        <f aca="false">IF(AT260&gt;0,RANK(AT260,AT$7:AT$423),"")</f>
        <v/>
      </c>
      <c r="AQ260" s="2" t="n">
        <f aca="false">'O_MN, PE_UTA_UGM 2024'!C256</f>
        <v>254</v>
      </c>
      <c r="AR260" s="1421" t="n">
        <v>2490</v>
      </c>
      <c r="AS260" s="2" t="str">
        <f aca="false">IF(AY260&lt;&gt;"",AY260,"")</f>
        <v/>
      </c>
      <c r="AT260" s="1422" t="n">
        <f aca="false">IF(ISNUMBER($AR260),SUMIF(B$7:B$505,AR260,D$7:D$505),"")</f>
        <v>0</v>
      </c>
      <c r="AU260" s="1411" t="n">
        <f aca="false">IF(ISNUMBER($AR260),SUMIF(AD$7:AD$503,$AR260,J$7:J$503),"")</f>
        <v>0</v>
      </c>
      <c r="AV260" s="1411" t="n">
        <f aca="false">IF(ISNUMBER($AR260),SUMIF(AF$7:AF$503,$AR260,L$7:L$503),"")</f>
        <v>0</v>
      </c>
      <c r="AW260" s="1423" t="n">
        <f aca="false">IF(ISNUMBER($AR260),SUMIF(AE$7:AE$503,$AR260,K$7:K$503),"")</f>
        <v>0</v>
      </c>
      <c r="AX260" s="1423" t="n">
        <f aca="false">IF(ISNUMBER($AR260),SUMIF(AG$7:AG$503,$AR260,M$7:M$503),"")</f>
        <v>0</v>
      </c>
      <c r="AY260" s="2" t="str">
        <f aca="false">IF($AT260&gt;0,VLOOKUP($AR260,'O_MN, PE_UTA_UGM 2024'!E256:O672,2),"")</f>
        <v/>
      </c>
      <c r="AZ260" s="1424"/>
      <c r="BA260" s="1424"/>
      <c r="BB260" s="1424" t="str">
        <f aca="false">IF($AT260&gt;0,VLOOKUP($AR260,'O_MN, PE_UTA_UGM 2024'!$E$3:$O$419,BB$6),"")</f>
        <v/>
      </c>
      <c r="BC260" s="1424" t="str">
        <f aca="false">IF($AT260&gt;0,VLOOKUP($AR260,'O_MN, PE_UTA_UGM 2024'!$E$3:$O$419,BC$6),"")</f>
        <v/>
      </c>
      <c r="BD260" s="1424" t="str">
        <f aca="false">IF($AT260&gt;0,VLOOKUP($AR260,'O_MN, PE_UTA_UGM 2024'!$E$3:$O$419,BD$6),"")</f>
        <v/>
      </c>
      <c r="BE260" s="1424" t="str">
        <f aca="false">IF($AT260&gt;0,VLOOKUP($AR260,'O_MN, PE_UTA_UGM 2024'!$E$3:$O$419,BE$6),"")</f>
        <v/>
      </c>
      <c r="BF260" s="1424" t="str">
        <f aca="false">IF($AT260&gt;0,VLOOKUP($AR260,'O_MN, PE_UTA_UGM 2024'!$E$3:$O$419,BF$6),"")</f>
        <v/>
      </c>
      <c r="BG260" s="1424" t="str">
        <f aca="false">IF($AT260&gt;0,VLOOKUP($AR260,'O_MN, PE_UTA_UGM 2024'!$E$3:$O$419,BG$6),"")</f>
        <v/>
      </c>
      <c r="BH260" s="872"/>
      <c r="BI260" s="872"/>
      <c r="BJ260" s="872"/>
      <c r="BK260" s="872"/>
      <c r="BM260" s="1411"/>
      <c r="BN260" s="1411"/>
      <c r="BO260" s="1425" t="str">
        <f aca="false">IF(ISNUMBER($AU260*BB260*1),$AU260*BB260*1,"")</f>
        <v/>
      </c>
      <c r="BP260" s="1425" t="str">
        <f aca="false">IF(ISNUMBER($AV260*BC260*1),$AV260*BC260*1,"")</f>
        <v/>
      </c>
      <c r="BQ260" s="1425" t="str">
        <f aca="false">IF(ISNUMBER($AU260*BD260*1),$AU260*BD260*1,"")</f>
        <v/>
      </c>
      <c r="BR260" s="1425" t="str">
        <f aca="false">IF(ISNUMBER($AV260*BE260*1),$AV260*BE260*1,"")</f>
        <v/>
      </c>
      <c r="BS260" s="1411" t="str">
        <f aca="false">IF(ISNUMBER($AU260*BF260),$AU260*BF260,"")</f>
        <v/>
      </c>
      <c r="BT260" s="1411" t="str">
        <f aca="false">IF(ISNUMBER($AV260*BG260),$AV260*BG260,"")</f>
        <v/>
      </c>
      <c r="BU260" s="1411"/>
      <c r="BV260" s="1411"/>
      <c r="BW260" s="1411"/>
      <c r="BX260" s="1411"/>
      <c r="BZ260" s="1372"/>
      <c r="CA260" s="1372"/>
      <c r="CB260" s="1426" t="str">
        <f aca="false">IF(ISNUMBER($AW260*BB260),$AW260*BB260,"")</f>
        <v/>
      </c>
      <c r="CC260" s="1426" t="str">
        <f aca="false">IF(ISNUMBER($AX260*BC260),$AX260*BC260,"")</f>
        <v/>
      </c>
      <c r="CD260" s="1426" t="str">
        <f aca="false">IF(ISNUMBER($AW260*BD260),$AW260*BD260,"")</f>
        <v/>
      </c>
      <c r="CE260" s="1426" t="str">
        <f aca="false">IF(ISNUMBER($AX260*BE260),$AX260*BE260,"")</f>
        <v/>
      </c>
      <c r="CF260" s="1372" t="str">
        <f aca="false">IF(ISNUMBER($AW260*BF260),$AW260*BF260,"")</f>
        <v/>
      </c>
      <c r="CG260" s="1372" t="str">
        <f aca="false">IF(ISNUMBER($AX260*BG260),$AX260*BG260,"")</f>
        <v/>
      </c>
      <c r="CH260" s="1438"/>
      <c r="CI260" s="1438"/>
      <c r="CJ260" s="1438"/>
      <c r="CK260" s="1438"/>
      <c r="CU260" s="1411"/>
      <c r="CV260" s="1411"/>
      <c r="CW260" s="1425"/>
      <c r="CX260" s="1425"/>
      <c r="CY260" s="1425"/>
      <c r="CZ260" s="1425"/>
      <c r="DA260" s="1411"/>
      <c r="DB260" s="1411"/>
      <c r="DC260" s="1411"/>
      <c r="DD260" s="1411"/>
      <c r="DE260" s="1411"/>
      <c r="DF260" s="1411"/>
      <c r="DH260" s="1432"/>
      <c r="DI260" s="1432"/>
      <c r="DJ260" s="1437"/>
      <c r="DK260" s="1437"/>
      <c r="DL260" s="1437"/>
      <c r="DM260" s="1437"/>
      <c r="DN260" s="1432"/>
      <c r="DO260" s="1432"/>
      <c r="DP260" s="1432"/>
      <c r="DQ260" s="1432"/>
      <c r="DR260" s="1432"/>
      <c r="DS260" s="1432"/>
      <c r="DT260" s="1316"/>
      <c r="DU260" s="1433"/>
      <c r="DV260" s="1433"/>
      <c r="DW260" s="1433"/>
      <c r="DX260" s="1433"/>
      <c r="DY260" s="1433"/>
      <c r="DZ260" s="1433"/>
      <c r="EA260" s="1433"/>
      <c r="EB260" s="1433"/>
    </row>
    <row r="261" customFormat="false" ht="14.25" hidden="false" customHeight="false" outlineLevel="0" collapsed="false">
      <c r="A261" s="2" t="n">
        <f aca="false">'V_DATOS PAC_SGA'!R256</f>
        <v>0</v>
      </c>
      <c r="B261" s="2" t="n">
        <f aca="false">IF(I261="IV",CONCATENATE('V_DATOS PAC_SGA'!R256,"4")+0,CONCATENATE('V_DATOS PAC_SGA'!R256,"0")+0)</f>
        <v>0</v>
      </c>
      <c r="C261" s="2" t="n">
        <f aca="false">'V_DATOS PAC_SGA'!S256</f>
        <v>0</v>
      </c>
      <c r="D261" s="1409" t="n">
        <f aca="false">'V_DATOS PAC_SGA'!Y256</f>
        <v>0</v>
      </c>
      <c r="E261" s="1410" t="str">
        <f aca="false">IF('V_DATOS PAC_SGA'!AV256="","Regadio",'V_DATOS PAC_SGA'!AV256)</f>
        <v>Regadio</v>
      </c>
      <c r="F261" s="1411" t="n">
        <f aca="false">'V_DATOS PAC_SGA'!BK256</f>
        <v>0</v>
      </c>
      <c r="G261" s="1412" t="n">
        <f aca="false">'V_DATOS PAC_SGA'!AN256</f>
        <v>0</v>
      </c>
      <c r="H261" s="1413" t="str">
        <f aca="false">IF(B261&gt;0,VLOOKUP(B261,'O_MN, PE_UTA_UGM 2024'!E$3:O$419,10),"")</f>
        <v/>
      </c>
      <c r="I261" s="1359" t="n">
        <f aca="false">'V_DATOS PAC_SGA'!BV256</f>
        <v>0</v>
      </c>
      <c r="J261" s="2" t="str">
        <f aca="false">IF(AND(J$4=$G261,J$6=$F261),$D261*J$5,"")</f>
        <v/>
      </c>
      <c r="K261" s="2" t="str">
        <f aca="false">IF(AND(K$4=$G261,K$6=$F261),$D261*K$5,"")</f>
        <v/>
      </c>
      <c r="L261" s="2" t="str">
        <f aca="false">IF(AND(L$4=$G261,L$6=$F261),$D261*L$5,"")</f>
        <v/>
      </c>
      <c r="M261" s="2" t="str">
        <f aca="false">IF(AND(M$4=$G261,M$6=$F261),$D261*M$5,"")</f>
        <v/>
      </c>
      <c r="N261" s="1414" t="n">
        <f aca="false">VLOOKUP(B261,'O_MN, PE_UTA_UGM 2024'!$E$2:$K$419,IF(G261&gt;1,6,7))</f>
        <v>0</v>
      </c>
      <c r="O261" s="1434" t="str">
        <f aca="false">IF($H261=O$4,$D261*$N261,"")</f>
        <v/>
      </c>
      <c r="P261" s="1435" t="str">
        <f aca="false">IF($H261=P$4,$D261*$N261,"")</f>
        <v/>
      </c>
      <c r="Q261" s="1435" t="str">
        <f aca="false">IF($H261=Q$4,$D261*$N261,"")</f>
        <v/>
      </c>
      <c r="R261" s="1435" t="str">
        <f aca="false">IF($H261=R$4,$D261*$N261,"")</f>
        <v/>
      </c>
      <c r="S261" s="1435" t="str">
        <f aca="false">IF($H261=S$4,$D261*$N261,"")</f>
        <v/>
      </c>
      <c r="T261" s="1435" t="str">
        <f aca="false">IF($H261=T$4,$D261*$N261,"")</f>
        <v/>
      </c>
      <c r="U261" s="1436" t="str">
        <f aca="false">IF($H261=U$4,$D261*$N261,"")</f>
        <v/>
      </c>
      <c r="V261" s="1418"/>
      <c r="W261" s="1419"/>
      <c r="X261" s="1419"/>
      <c r="Y261" s="1419"/>
      <c r="Z261" s="1419"/>
      <c r="AA261" s="1419"/>
      <c r="AB261" s="1420"/>
      <c r="AC261" s="1319"/>
      <c r="AD261" s="2" t="str">
        <f aca="false">IF(AND(AD$4=$G261,AD$6=$F261),$B261,"")</f>
        <v/>
      </c>
      <c r="AE261" s="2" t="str">
        <f aca="false">IF(AND(AE$4=$G261,AE$6=$F261),$B261,"")</f>
        <v/>
      </c>
      <c r="AF261" s="2" t="str">
        <f aca="false">IF(AND(AF$4=$G261,AF$6=$F261),$B261,"")</f>
        <v/>
      </c>
      <c r="AG261" s="2" t="str">
        <f aca="false">IF(AND(AG$4=$G261,AG$6=$F261),$B261,"")</f>
        <v/>
      </c>
      <c r="AI261" s="366"/>
      <c r="AL261" s="367"/>
      <c r="AO261" s="367"/>
      <c r="AP261" s="2" t="str">
        <f aca="false">IF(AT261&gt;0,RANK(AT261,AT$7:AT$423),"")</f>
        <v/>
      </c>
      <c r="AQ261" s="2" t="n">
        <f aca="false">'O_MN, PE_UTA_UGM 2024'!C257</f>
        <v>256</v>
      </c>
      <c r="AR261" s="1421" t="n">
        <v>2500</v>
      </c>
      <c r="AS261" s="2" t="str">
        <f aca="false">IF(AY261&lt;&gt;"",AY261,"")</f>
        <v/>
      </c>
      <c r="AT261" s="1422" t="n">
        <f aca="false">IF(ISNUMBER($AR261),SUMIF(B$7:B$505,AR261,D$7:D$505),"")</f>
        <v>0</v>
      </c>
      <c r="AU261" s="1411" t="n">
        <f aca="false">IF(ISNUMBER($AR261),SUMIF(AD$7:AD$503,$AR261,J$7:J$503),"")</f>
        <v>0</v>
      </c>
      <c r="AV261" s="1411" t="n">
        <f aca="false">IF(ISNUMBER($AR261),SUMIF(AF$7:AF$503,$AR261,L$7:L$503),"")</f>
        <v>0</v>
      </c>
      <c r="AW261" s="1423" t="n">
        <f aca="false">IF(ISNUMBER($AR261),SUMIF(AE$7:AE$503,$AR261,K$7:K$503),"")</f>
        <v>0</v>
      </c>
      <c r="AX261" s="1423" t="n">
        <f aca="false">IF(ISNUMBER($AR261),SUMIF(AG$7:AG$503,$AR261,M$7:M$503),"")</f>
        <v>0</v>
      </c>
      <c r="AY261" s="2" t="str">
        <f aca="false">IF($AT261&gt;0,VLOOKUP($AR261,'O_MN, PE_UTA_UGM 2024'!E257:O673,2),"")</f>
        <v/>
      </c>
      <c r="AZ261" s="1424"/>
      <c r="BA261" s="1424"/>
      <c r="BB261" s="1424" t="str">
        <f aca="false">IF($AT261&gt;0,VLOOKUP($AR261,'O_MN, PE_UTA_UGM 2024'!$E$3:$O$419,BB$6),"")</f>
        <v/>
      </c>
      <c r="BC261" s="1424" t="str">
        <f aca="false">IF($AT261&gt;0,VLOOKUP($AR261,'O_MN, PE_UTA_UGM 2024'!$E$3:$O$419,BC$6),"")</f>
        <v/>
      </c>
      <c r="BD261" s="1424" t="str">
        <f aca="false">IF($AT261&gt;0,VLOOKUP($AR261,'O_MN, PE_UTA_UGM 2024'!$E$3:$O$419,BD$6),"")</f>
        <v/>
      </c>
      <c r="BE261" s="1424" t="str">
        <f aca="false">IF($AT261&gt;0,VLOOKUP($AR261,'O_MN, PE_UTA_UGM 2024'!$E$3:$O$419,BE$6),"")</f>
        <v/>
      </c>
      <c r="BF261" s="1424" t="str">
        <f aca="false">IF($AT261&gt;0,VLOOKUP($AR261,'O_MN, PE_UTA_UGM 2024'!$E$3:$O$419,BF$6),"")</f>
        <v/>
      </c>
      <c r="BG261" s="1424" t="str">
        <f aca="false">IF($AT261&gt;0,VLOOKUP($AR261,'O_MN, PE_UTA_UGM 2024'!$E$3:$O$419,BG$6),"")</f>
        <v/>
      </c>
      <c r="BH261" s="872"/>
      <c r="BI261" s="872"/>
      <c r="BJ261" s="872"/>
      <c r="BK261" s="872"/>
      <c r="BM261" s="1411"/>
      <c r="BN261" s="1411"/>
      <c r="BO261" s="1425" t="str">
        <f aca="false">IF(ISNUMBER($AU261*BB261*1),$AU261*BB261*1,"")</f>
        <v/>
      </c>
      <c r="BP261" s="1425" t="str">
        <f aca="false">IF(ISNUMBER($AV261*BC261*1),$AV261*BC261*1,"")</f>
        <v/>
      </c>
      <c r="BQ261" s="1425" t="str">
        <f aca="false">IF(ISNUMBER($AU261*BD261*1),$AU261*BD261*1,"")</f>
        <v/>
      </c>
      <c r="BR261" s="1425" t="str">
        <f aca="false">IF(ISNUMBER($AV261*BE261*1),$AV261*BE261*1,"")</f>
        <v/>
      </c>
      <c r="BS261" s="1411" t="str">
        <f aca="false">IF(ISNUMBER($AU261*BF261),$AU261*BF261,"")</f>
        <v/>
      </c>
      <c r="BT261" s="1411" t="str">
        <f aca="false">IF(ISNUMBER($AV261*BG261),$AV261*BG261,"")</f>
        <v/>
      </c>
      <c r="BU261" s="1411"/>
      <c r="BV261" s="1411"/>
      <c r="BW261" s="1411"/>
      <c r="BX261" s="1411"/>
      <c r="BZ261" s="1372"/>
      <c r="CA261" s="1372"/>
      <c r="CB261" s="1426" t="str">
        <f aca="false">IF(ISNUMBER($AW261*BB261),$AW261*BB261,"")</f>
        <v/>
      </c>
      <c r="CC261" s="1426" t="str">
        <f aca="false">IF(ISNUMBER($AX261*BC261),$AX261*BC261,"")</f>
        <v/>
      </c>
      <c r="CD261" s="1426" t="str">
        <f aca="false">IF(ISNUMBER($AW261*BD261),$AW261*BD261,"")</f>
        <v/>
      </c>
      <c r="CE261" s="1426" t="str">
        <f aca="false">IF(ISNUMBER($AX261*BE261),$AX261*BE261,"")</f>
        <v/>
      </c>
      <c r="CF261" s="1372" t="str">
        <f aca="false">IF(ISNUMBER($AW261*BF261),$AW261*BF261,"")</f>
        <v/>
      </c>
      <c r="CG261" s="1372" t="str">
        <f aca="false">IF(ISNUMBER($AX261*BG261),$AX261*BG261,"")</f>
        <v/>
      </c>
      <c r="CH261" s="1438"/>
      <c r="CI261" s="1438"/>
      <c r="CJ261" s="1438"/>
      <c r="CK261" s="1438"/>
      <c r="CU261" s="1411"/>
      <c r="CV261" s="1411"/>
      <c r="CW261" s="1425"/>
      <c r="CX261" s="1425"/>
      <c r="CY261" s="1425"/>
      <c r="CZ261" s="1425"/>
      <c r="DA261" s="1411"/>
      <c r="DB261" s="1411"/>
      <c r="DC261" s="1411"/>
      <c r="DD261" s="1411"/>
      <c r="DE261" s="1411"/>
      <c r="DF261" s="1411"/>
      <c r="DH261" s="1432"/>
      <c r="DI261" s="1432"/>
      <c r="DJ261" s="1437"/>
      <c r="DK261" s="1437"/>
      <c r="DL261" s="1437"/>
      <c r="DM261" s="1437"/>
      <c r="DN261" s="1432"/>
      <c r="DO261" s="1432"/>
      <c r="DP261" s="1432"/>
      <c r="DQ261" s="1432"/>
      <c r="DR261" s="1432"/>
      <c r="DS261" s="1432"/>
      <c r="DT261" s="1316"/>
      <c r="DU261" s="1433"/>
      <c r="DV261" s="1433"/>
      <c r="DW261" s="1433"/>
      <c r="DX261" s="1433"/>
      <c r="DY261" s="1433"/>
      <c r="DZ261" s="1433"/>
      <c r="EA261" s="1433"/>
      <c r="EB261" s="1433"/>
    </row>
    <row r="262" customFormat="false" ht="14.25" hidden="false" customHeight="false" outlineLevel="0" collapsed="false">
      <c r="A262" s="2" t="n">
        <f aca="false">'V_DATOS PAC_SGA'!R257</f>
        <v>0</v>
      </c>
      <c r="B262" s="2" t="n">
        <f aca="false">IF(I262="IV",CONCATENATE('V_DATOS PAC_SGA'!R257,"4")+0,CONCATENATE('V_DATOS PAC_SGA'!R257,"0")+0)</f>
        <v>0</v>
      </c>
      <c r="C262" s="2" t="n">
        <f aca="false">'V_DATOS PAC_SGA'!S257</f>
        <v>0</v>
      </c>
      <c r="D262" s="1409" t="n">
        <f aca="false">'V_DATOS PAC_SGA'!Y257</f>
        <v>0</v>
      </c>
      <c r="E262" s="1410" t="str">
        <f aca="false">IF('V_DATOS PAC_SGA'!AV257="","Regadio",'V_DATOS PAC_SGA'!AV257)</f>
        <v>Regadio</v>
      </c>
      <c r="F262" s="1411" t="n">
        <f aca="false">'V_DATOS PAC_SGA'!BK257</f>
        <v>0</v>
      </c>
      <c r="G262" s="1412" t="n">
        <f aca="false">'V_DATOS PAC_SGA'!AN257</f>
        <v>0</v>
      </c>
      <c r="H262" s="1413" t="str">
        <f aca="false">IF(B262&gt;0,VLOOKUP(B262,'O_MN, PE_UTA_UGM 2024'!E$3:O$419,10),"")</f>
        <v/>
      </c>
      <c r="I262" s="1359" t="n">
        <f aca="false">'V_DATOS PAC_SGA'!BV257</f>
        <v>0</v>
      </c>
      <c r="J262" s="2" t="str">
        <f aca="false">IF(AND(J$4=$G262,J$6=$F262),$D262*J$5,"")</f>
        <v/>
      </c>
      <c r="K262" s="2" t="str">
        <f aca="false">IF(AND(K$4=$G262,K$6=$F262),$D262*K$5,"")</f>
        <v/>
      </c>
      <c r="L262" s="2" t="str">
        <f aca="false">IF(AND(L$4=$G262,L$6=$F262),$D262*L$5,"")</f>
        <v/>
      </c>
      <c r="M262" s="2" t="str">
        <f aca="false">IF(AND(M$4=$G262,M$6=$F262),$D262*M$5,"")</f>
        <v/>
      </c>
      <c r="N262" s="1414" t="n">
        <f aca="false">VLOOKUP(B262,'O_MN, PE_UTA_UGM 2024'!$E$2:$K$419,IF(G262&gt;1,6,7))</f>
        <v>0</v>
      </c>
      <c r="O262" s="1434" t="str">
        <f aca="false">IF($H262=O$4,$D262*$N262,"")</f>
        <v/>
      </c>
      <c r="P262" s="1435" t="str">
        <f aca="false">IF($H262=P$4,$D262*$N262,"")</f>
        <v/>
      </c>
      <c r="Q262" s="1435" t="str">
        <f aca="false">IF($H262=Q$4,$D262*$N262,"")</f>
        <v/>
      </c>
      <c r="R262" s="1435" t="str">
        <f aca="false">IF($H262=R$4,$D262*$N262,"")</f>
        <v/>
      </c>
      <c r="S262" s="1435" t="str">
        <f aca="false">IF($H262=S$4,$D262*$N262,"")</f>
        <v/>
      </c>
      <c r="T262" s="1435" t="str">
        <f aca="false">IF($H262=T$4,$D262*$N262,"")</f>
        <v/>
      </c>
      <c r="U262" s="1436" t="str">
        <f aca="false">IF($H262=U$4,$D262*$N262,"")</f>
        <v/>
      </c>
      <c r="V262" s="1418"/>
      <c r="W262" s="1419"/>
      <c r="X262" s="1419"/>
      <c r="Y262" s="1419"/>
      <c r="Z262" s="1419"/>
      <c r="AA262" s="1419"/>
      <c r="AB262" s="1420"/>
      <c r="AC262" s="1319"/>
      <c r="AD262" s="2" t="str">
        <f aca="false">IF(AND(AD$4=$G262,AD$6=$F262),$B262,"")</f>
        <v/>
      </c>
      <c r="AE262" s="2" t="str">
        <f aca="false">IF(AND(AE$4=$G262,AE$6=$F262),$B262,"")</f>
        <v/>
      </c>
      <c r="AF262" s="2" t="str">
        <f aca="false">IF(AND(AF$4=$G262,AF$6=$F262),$B262,"")</f>
        <v/>
      </c>
      <c r="AG262" s="2" t="str">
        <f aca="false">IF(AND(AG$4=$G262,AG$6=$F262),$B262,"")</f>
        <v/>
      </c>
      <c r="AI262" s="366"/>
      <c r="AL262" s="367"/>
      <c r="AO262" s="367"/>
      <c r="AP262" s="2" t="str">
        <f aca="false">IF(AT262&gt;0,RANK(AT262,AT$7:AT$423),"")</f>
        <v/>
      </c>
      <c r="AQ262" s="2" t="n">
        <f aca="false">'O_MN, PE_UTA_UGM 2024'!C258</f>
        <v>257</v>
      </c>
      <c r="AR262" s="1421" t="n">
        <v>2510</v>
      </c>
      <c r="AS262" s="2" t="str">
        <f aca="false">IF(AY262&lt;&gt;"",AY262,"")</f>
        <v/>
      </c>
      <c r="AT262" s="1422" t="n">
        <f aca="false">IF(ISNUMBER($AR262),SUMIF(B$7:B$505,AR262,D$7:D$505),"")</f>
        <v>0</v>
      </c>
      <c r="AU262" s="1411" t="n">
        <f aca="false">IF(ISNUMBER($AR262),SUMIF(AD$7:AD$503,$AR262,J$7:J$503),"")</f>
        <v>0</v>
      </c>
      <c r="AV262" s="1411" t="n">
        <f aca="false">IF(ISNUMBER($AR262),SUMIF(AF$7:AF$503,$AR262,L$7:L$503),"")</f>
        <v>0</v>
      </c>
      <c r="AW262" s="1423" t="n">
        <f aca="false">IF(ISNUMBER($AR262),SUMIF(AE$7:AE$503,$AR262,K$7:K$503),"")</f>
        <v>0</v>
      </c>
      <c r="AX262" s="1423" t="n">
        <f aca="false">IF(ISNUMBER($AR262),SUMIF(AG$7:AG$503,$AR262,M$7:M$503),"")</f>
        <v>0</v>
      </c>
      <c r="AY262" s="2" t="str">
        <f aca="false">IF($AT262&gt;0,VLOOKUP($AR262,'O_MN, PE_UTA_UGM 2024'!E258:O674,2),"")</f>
        <v/>
      </c>
      <c r="AZ262" s="1424"/>
      <c r="BA262" s="1424"/>
      <c r="BB262" s="1424" t="str">
        <f aca="false">IF($AT262&gt;0,VLOOKUP($AR262,'O_MN, PE_UTA_UGM 2024'!$E$3:$O$419,BB$6),"")</f>
        <v/>
      </c>
      <c r="BC262" s="1424" t="str">
        <f aca="false">IF($AT262&gt;0,VLOOKUP($AR262,'O_MN, PE_UTA_UGM 2024'!$E$3:$O$419,BC$6),"")</f>
        <v/>
      </c>
      <c r="BD262" s="1424" t="str">
        <f aca="false">IF($AT262&gt;0,VLOOKUP($AR262,'O_MN, PE_UTA_UGM 2024'!$E$3:$O$419,BD$6),"")</f>
        <v/>
      </c>
      <c r="BE262" s="1424" t="str">
        <f aca="false">IF($AT262&gt;0,VLOOKUP($AR262,'O_MN, PE_UTA_UGM 2024'!$E$3:$O$419,BE$6),"")</f>
        <v/>
      </c>
      <c r="BF262" s="1424" t="str">
        <f aca="false">IF($AT262&gt;0,VLOOKUP($AR262,'O_MN, PE_UTA_UGM 2024'!$E$3:$O$419,BF$6),"")</f>
        <v/>
      </c>
      <c r="BG262" s="1424" t="str">
        <f aca="false">IF($AT262&gt;0,VLOOKUP($AR262,'O_MN, PE_UTA_UGM 2024'!$E$3:$O$419,BG$6),"")</f>
        <v/>
      </c>
      <c r="BH262" s="872"/>
      <c r="BI262" s="872"/>
      <c r="BJ262" s="872"/>
      <c r="BK262" s="872"/>
      <c r="BM262" s="1411"/>
      <c r="BN262" s="1411"/>
      <c r="BO262" s="1425" t="str">
        <f aca="false">IF(ISNUMBER($AU262*BB262*1),$AU262*BB262*1,"")</f>
        <v/>
      </c>
      <c r="BP262" s="1425" t="str">
        <f aca="false">IF(ISNUMBER($AV262*BC262*1),$AV262*BC262*1,"")</f>
        <v/>
      </c>
      <c r="BQ262" s="1425" t="str">
        <f aca="false">IF(ISNUMBER($AU262*BD262*1),$AU262*BD262*1,"")</f>
        <v/>
      </c>
      <c r="BR262" s="1425" t="str">
        <f aca="false">IF(ISNUMBER($AV262*BE262*1),$AV262*BE262*1,"")</f>
        <v/>
      </c>
      <c r="BS262" s="1411" t="str">
        <f aca="false">IF(ISNUMBER($AU262*BF262),$AU262*BF262,"")</f>
        <v/>
      </c>
      <c r="BT262" s="1411" t="str">
        <f aca="false">IF(ISNUMBER($AV262*BG262),$AV262*BG262,"")</f>
        <v/>
      </c>
      <c r="BU262" s="1411"/>
      <c r="BV262" s="1411"/>
      <c r="BW262" s="1411"/>
      <c r="BX262" s="1411"/>
      <c r="BZ262" s="1372"/>
      <c r="CA262" s="1372"/>
      <c r="CB262" s="1426" t="str">
        <f aca="false">IF(ISNUMBER($AW262*BB262),$AW262*BB262,"")</f>
        <v/>
      </c>
      <c r="CC262" s="1426" t="str">
        <f aca="false">IF(ISNUMBER($AX262*BC262),$AX262*BC262,"")</f>
        <v/>
      </c>
      <c r="CD262" s="1426" t="str">
        <f aca="false">IF(ISNUMBER($AW262*BD262),$AW262*BD262,"")</f>
        <v/>
      </c>
      <c r="CE262" s="1426" t="str">
        <f aca="false">IF(ISNUMBER($AX262*BE262),$AX262*BE262,"")</f>
        <v/>
      </c>
      <c r="CF262" s="1372" t="str">
        <f aca="false">IF(ISNUMBER($AW262*BF262),$AW262*BF262,"")</f>
        <v/>
      </c>
      <c r="CG262" s="1372" t="str">
        <f aca="false">IF(ISNUMBER($AX262*BG262),$AX262*BG262,"")</f>
        <v/>
      </c>
      <c r="CH262" s="1438"/>
      <c r="CI262" s="1438"/>
      <c r="CJ262" s="1438"/>
      <c r="CK262" s="1438"/>
      <c r="CU262" s="1411"/>
      <c r="CV262" s="1411"/>
      <c r="CW262" s="1425"/>
      <c r="CX262" s="1425"/>
      <c r="CY262" s="1425"/>
      <c r="CZ262" s="1425"/>
      <c r="DA262" s="1411"/>
      <c r="DB262" s="1411"/>
      <c r="DC262" s="1411"/>
      <c r="DD262" s="1411"/>
      <c r="DE262" s="1411"/>
      <c r="DF262" s="1411"/>
      <c r="DH262" s="1432"/>
      <c r="DI262" s="1432"/>
      <c r="DJ262" s="1437"/>
      <c r="DK262" s="1437"/>
      <c r="DL262" s="1437"/>
      <c r="DM262" s="1437"/>
      <c r="DN262" s="1432"/>
      <c r="DO262" s="1432"/>
      <c r="DP262" s="1432"/>
      <c r="DQ262" s="1432"/>
      <c r="DR262" s="1432"/>
      <c r="DS262" s="1432"/>
      <c r="DT262" s="1316"/>
      <c r="DU262" s="1433"/>
      <c r="DV262" s="1433"/>
      <c r="DW262" s="1433"/>
      <c r="DX262" s="1433"/>
      <c r="DY262" s="1433"/>
      <c r="DZ262" s="1433"/>
      <c r="EA262" s="1433"/>
      <c r="EB262" s="1433"/>
    </row>
    <row r="263" customFormat="false" ht="14.25" hidden="false" customHeight="false" outlineLevel="0" collapsed="false">
      <c r="A263" s="2" t="n">
        <f aca="false">'V_DATOS PAC_SGA'!R258</f>
        <v>0</v>
      </c>
      <c r="B263" s="2" t="n">
        <f aca="false">IF(I263="IV",CONCATENATE('V_DATOS PAC_SGA'!R258,"4")+0,CONCATENATE('V_DATOS PAC_SGA'!R258,"0")+0)</f>
        <v>0</v>
      </c>
      <c r="C263" s="2" t="n">
        <f aca="false">'V_DATOS PAC_SGA'!S258</f>
        <v>0</v>
      </c>
      <c r="D263" s="1409" t="n">
        <f aca="false">'V_DATOS PAC_SGA'!Y258</f>
        <v>0</v>
      </c>
      <c r="E263" s="1410" t="str">
        <f aca="false">IF('V_DATOS PAC_SGA'!AV258="","Regadio",'V_DATOS PAC_SGA'!AV258)</f>
        <v>Regadio</v>
      </c>
      <c r="F263" s="1411" t="n">
        <f aca="false">'V_DATOS PAC_SGA'!BK258</f>
        <v>0</v>
      </c>
      <c r="G263" s="1412" t="n">
        <f aca="false">'V_DATOS PAC_SGA'!AN258</f>
        <v>0</v>
      </c>
      <c r="H263" s="1413" t="str">
        <f aca="false">IF(B263&gt;0,VLOOKUP(B263,'O_MN, PE_UTA_UGM 2024'!E$3:O$419,10),"")</f>
        <v/>
      </c>
      <c r="I263" s="1359" t="n">
        <f aca="false">'V_DATOS PAC_SGA'!BV258</f>
        <v>0</v>
      </c>
      <c r="J263" s="2" t="str">
        <f aca="false">IF(AND(J$4=$G263,J$6=$F263),$D263*J$5,"")</f>
        <v/>
      </c>
      <c r="K263" s="2" t="str">
        <f aca="false">IF(AND(K$4=$G263,K$6=$F263),$D263*K$5,"")</f>
        <v/>
      </c>
      <c r="L263" s="2" t="str">
        <f aca="false">IF(AND(L$4=$G263,L$6=$F263),$D263*L$5,"")</f>
        <v/>
      </c>
      <c r="M263" s="2" t="str">
        <f aca="false">IF(AND(M$4=$G263,M$6=$F263),$D263*M$5,"")</f>
        <v/>
      </c>
      <c r="N263" s="1414" t="n">
        <f aca="false">VLOOKUP(B263,'O_MN, PE_UTA_UGM 2024'!$E$2:$K$419,IF(G263&gt;1,6,7))</f>
        <v>0</v>
      </c>
      <c r="O263" s="1434" t="str">
        <f aca="false">IF($H263=O$4,$D263*$N263,"")</f>
        <v/>
      </c>
      <c r="P263" s="1435" t="str">
        <f aca="false">IF($H263=P$4,$D263*$N263,"")</f>
        <v/>
      </c>
      <c r="Q263" s="1435" t="str">
        <f aca="false">IF($H263=Q$4,$D263*$N263,"")</f>
        <v/>
      </c>
      <c r="R263" s="1435" t="str">
        <f aca="false">IF($H263=R$4,$D263*$N263,"")</f>
        <v/>
      </c>
      <c r="S263" s="1435" t="str">
        <f aca="false">IF($H263=S$4,$D263*$N263,"")</f>
        <v/>
      </c>
      <c r="T263" s="1435" t="str">
        <f aca="false">IF($H263=T$4,$D263*$N263,"")</f>
        <v/>
      </c>
      <c r="U263" s="1436" t="str">
        <f aca="false">IF($H263=U$4,$D263*$N263,"")</f>
        <v/>
      </c>
      <c r="V263" s="1418"/>
      <c r="W263" s="1419"/>
      <c r="X263" s="1419"/>
      <c r="Y263" s="1419"/>
      <c r="Z263" s="1419"/>
      <c r="AA263" s="1419"/>
      <c r="AB263" s="1420"/>
      <c r="AC263" s="1319"/>
      <c r="AD263" s="2" t="str">
        <f aca="false">IF(AND(AD$4=$G263,AD$6=$F263),$B263,"")</f>
        <v/>
      </c>
      <c r="AE263" s="2" t="str">
        <f aca="false">IF(AND(AE$4=$G263,AE$6=$F263),$B263,"")</f>
        <v/>
      </c>
      <c r="AF263" s="2" t="str">
        <f aca="false">IF(AND(AF$4=$G263,AF$6=$F263),$B263,"")</f>
        <v/>
      </c>
      <c r="AG263" s="2" t="str">
        <f aca="false">IF(AND(AG$4=$G263,AG$6=$F263),$B263,"")</f>
        <v/>
      </c>
      <c r="AI263" s="366"/>
      <c r="AL263" s="367"/>
      <c r="AO263" s="367"/>
      <c r="AP263" s="2" t="str">
        <f aca="false">IF(AT263&gt;0,RANK(AT263,AT$7:AT$423),"")</f>
        <v/>
      </c>
      <c r="AQ263" s="2" t="n">
        <f aca="false">'O_MN, PE_UTA_UGM 2024'!C259</f>
        <v>258</v>
      </c>
      <c r="AR263" s="1421" t="n">
        <v>2520</v>
      </c>
      <c r="AS263" s="2" t="str">
        <f aca="false">IF(AY263&lt;&gt;"",AY263,"")</f>
        <v/>
      </c>
      <c r="AT263" s="1422" t="n">
        <f aca="false">IF(ISNUMBER($AR263),SUMIF(B$7:B$505,AR263,D$7:D$505),"")</f>
        <v>0</v>
      </c>
      <c r="AU263" s="1411" t="n">
        <f aca="false">IF(ISNUMBER($AR263),SUMIF(AD$7:AD$503,$AR263,J$7:J$503),"")</f>
        <v>0</v>
      </c>
      <c r="AV263" s="1411" t="n">
        <f aca="false">IF(ISNUMBER($AR263),SUMIF(AF$7:AF$503,$AR263,L$7:L$503),"")</f>
        <v>0</v>
      </c>
      <c r="AW263" s="1423" t="n">
        <f aca="false">IF(ISNUMBER($AR263),SUMIF(AE$7:AE$503,$AR263,K$7:K$503),"")</f>
        <v>0</v>
      </c>
      <c r="AX263" s="1423" t="n">
        <f aca="false">IF(ISNUMBER($AR263),SUMIF(AG$7:AG$503,$AR263,M$7:M$503),"")</f>
        <v>0</v>
      </c>
      <c r="AY263" s="2" t="str">
        <f aca="false">IF($AT263&gt;0,VLOOKUP($AR263,'O_MN, PE_UTA_UGM 2024'!E259:O675,2),"")</f>
        <v/>
      </c>
      <c r="AZ263" s="1424"/>
      <c r="BA263" s="1424"/>
      <c r="BB263" s="1424" t="str">
        <f aca="false">IF($AT263&gt;0,VLOOKUP($AR263,'O_MN, PE_UTA_UGM 2024'!$E$3:$O$419,BB$6),"")</f>
        <v/>
      </c>
      <c r="BC263" s="1424" t="str">
        <f aca="false">IF($AT263&gt;0,VLOOKUP($AR263,'O_MN, PE_UTA_UGM 2024'!$E$3:$O$419,BC$6),"")</f>
        <v/>
      </c>
      <c r="BD263" s="1424" t="str">
        <f aca="false">IF($AT263&gt;0,VLOOKUP($AR263,'O_MN, PE_UTA_UGM 2024'!$E$3:$O$419,BD$6),"")</f>
        <v/>
      </c>
      <c r="BE263" s="1424" t="str">
        <f aca="false">IF($AT263&gt;0,VLOOKUP($AR263,'O_MN, PE_UTA_UGM 2024'!$E$3:$O$419,BE$6),"")</f>
        <v/>
      </c>
      <c r="BF263" s="1424" t="str">
        <f aca="false">IF($AT263&gt;0,VLOOKUP($AR263,'O_MN, PE_UTA_UGM 2024'!$E$3:$O$419,BF$6),"")</f>
        <v/>
      </c>
      <c r="BG263" s="1424" t="str">
        <f aca="false">IF($AT263&gt;0,VLOOKUP($AR263,'O_MN, PE_UTA_UGM 2024'!$E$3:$O$419,BG$6),"")</f>
        <v/>
      </c>
      <c r="BH263" s="872"/>
      <c r="BI263" s="872"/>
      <c r="BJ263" s="872"/>
      <c r="BK263" s="872"/>
      <c r="BM263" s="1411"/>
      <c r="BN263" s="1411"/>
      <c r="BO263" s="1425" t="str">
        <f aca="false">IF(ISNUMBER($AU263*BB263*1),$AU263*BB263*1,"")</f>
        <v/>
      </c>
      <c r="BP263" s="1425" t="str">
        <f aca="false">IF(ISNUMBER($AV263*BC263*1),$AV263*BC263*1,"")</f>
        <v/>
      </c>
      <c r="BQ263" s="1425" t="str">
        <f aca="false">IF(ISNUMBER($AU263*BD263*1),$AU263*BD263*1,"")</f>
        <v/>
      </c>
      <c r="BR263" s="1425" t="str">
        <f aca="false">IF(ISNUMBER($AV263*BE263*1),$AV263*BE263*1,"")</f>
        <v/>
      </c>
      <c r="BS263" s="1411" t="str">
        <f aca="false">IF(ISNUMBER($AU263*BF263),$AU263*BF263,"")</f>
        <v/>
      </c>
      <c r="BT263" s="1411" t="str">
        <f aca="false">IF(ISNUMBER($AV263*BG263),$AV263*BG263,"")</f>
        <v/>
      </c>
      <c r="BU263" s="1411"/>
      <c r="BV263" s="1411"/>
      <c r="BW263" s="1411"/>
      <c r="BX263" s="1411"/>
      <c r="BZ263" s="1372"/>
      <c r="CA263" s="1372"/>
      <c r="CB263" s="1426" t="str">
        <f aca="false">IF(ISNUMBER($AW263*BB263),$AW263*BB263,"")</f>
        <v/>
      </c>
      <c r="CC263" s="1426" t="str">
        <f aca="false">IF(ISNUMBER($AX263*BC263),$AX263*BC263,"")</f>
        <v/>
      </c>
      <c r="CD263" s="1426" t="str">
        <f aca="false">IF(ISNUMBER($AW263*BD263),$AW263*BD263,"")</f>
        <v/>
      </c>
      <c r="CE263" s="1426" t="str">
        <f aca="false">IF(ISNUMBER($AX263*BE263),$AX263*BE263,"")</f>
        <v/>
      </c>
      <c r="CF263" s="1372" t="str">
        <f aca="false">IF(ISNUMBER($AW263*BF263),$AW263*BF263,"")</f>
        <v/>
      </c>
      <c r="CG263" s="1372" t="str">
        <f aca="false">IF(ISNUMBER($AX263*BG263),$AX263*BG263,"")</f>
        <v/>
      </c>
      <c r="CH263" s="1438"/>
      <c r="CI263" s="1438"/>
      <c r="CJ263" s="1438"/>
      <c r="CK263" s="1438"/>
      <c r="CU263" s="1411"/>
      <c r="CV263" s="1411"/>
      <c r="CW263" s="1425"/>
      <c r="CX263" s="1425"/>
      <c r="CY263" s="1425"/>
      <c r="CZ263" s="1425"/>
      <c r="DA263" s="1411"/>
      <c r="DB263" s="1411"/>
      <c r="DC263" s="1411"/>
      <c r="DD263" s="1411"/>
      <c r="DE263" s="1411"/>
      <c r="DF263" s="1411"/>
      <c r="DH263" s="1432"/>
      <c r="DI263" s="1432"/>
      <c r="DJ263" s="1437"/>
      <c r="DK263" s="1437"/>
      <c r="DL263" s="1437"/>
      <c r="DM263" s="1437"/>
      <c r="DN263" s="1432"/>
      <c r="DO263" s="1432"/>
      <c r="DP263" s="1432"/>
      <c r="DQ263" s="1432"/>
      <c r="DR263" s="1432"/>
      <c r="DS263" s="1432"/>
      <c r="DT263" s="1316"/>
      <c r="DU263" s="1433"/>
      <c r="DV263" s="1433"/>
      <c r="DW263" s="1433"/>
      <c r="DX263" s="1433"/>
      <c r="DY263" s="1433"/>
      <c r="DZ263" s="1433"/>
      <c r="EA263" s="1433"/>
      <c r="EB263" s="1433"/>
    </row>
    <row r="264" customFormat="false" ht="14.25" hidden="false" customHeight="false" outlineLevel="0" collapsed="false">
      <c r="A264" s="2" t="n">
        <f aca="false">'V_DATOS PAC_SGA'!R259</f>
        <v>0</v>
      </c>
      <c r="B264" s="2" t="n">
        <f aca="false">IF(I264="IV",CONCATENATE('V_DATOS PAC_SGA'!R259,"4")+0,CONCATENATE('V_DATOS PAC_SGA'!R259,"0")+0)</f>
        <v>0</v>
      </c>
      <c r="C264" s="2" t="n">
        <f aca="false">'V_DATOS PAC_SGA'!S259</f>
        <v>0</v>
      </c>
      <c r="D264" s="1409" t="n">
        <f aca="false">'V_DATOS PAC_SGA'!Y259</f>
        <v>0</v>
      </c>
      <c r="E264" s="1410" t="str">
        <f aca="false">IF('V_DATOS PAC_SGA'!AV259="","Regadio",'V_DATOS PAC_SGA'!AV259)</f>
        <v>Regadio</v>
      </c>
      <c r="F264" s="1411" t="n">
        <f aca="false">'V_DATOS PAC_SGA'!BK259</f>
        <v>0</v>
      </c>
      <c r="G264" s="1412" t="n">
        <f aca="false">'V_DATOS PAC_SGA'!AN259</f>
        <v>0</v>
      </c>
      <c r="H264" s="1413" t="str">
        <f aca="false">IF(B264&gt;0,VLOOKUP(B264,'O_MN, PE_UTA_UGM 2024'!E$3:O$419,10),"")</f>
        <v/>
      </c>
      <c r="I264" s="1359" t="n">
        <f aca="false">'V_DATOS PAC_SGA'!BV259</f>
        <v>0</v>
      </c>
      <c r="J264" s="2" t="str">
        <f aca="false">IF(AND(J$4=$G264,J$6=$F264),$D264*J$5,"")</f>
        <v/>
      </c>
      <c r="K264" s="2" t="str">
        <f aca="false">IF(AND(K$4=$G264,K$6=$F264),$D264*K$5,"")</f>
        <v/>
      </c>
      <c r="L264" s="2" t="str">
        <f aca="false">IF(AND(L$4=$G264,L$6=$F264),$D264*L$5,"")</f>
        <v/>
      </c>
      <c r="M264" s="2" t="str">
        <f aca="false">IF(AND(M$4=$G264,M$6=$F264),$D264*M$5,"")</f>
        <v/>
      </c>
      <c r="N264" s="1414" t="n">
        <f aca="false">VLOOKUP(B264,'O_MN, PE_UTA_UGM 2024'!$E$2:$K$419,IF(G264&gt;1,6,7))</f>
        <v>0</v>
      </c>
      <c r="O264" s="1434" t="str">
        <f aca="false">IF($H264=O$4,$D264*$N264,"")</f>
        <v/>
      </c>
      <c r="P264" s="1435" t="str">
        <f aca="false">IF($H264=P$4,$D264*$N264,"")</f>
        <v/>
      </c>
      <c r="Q264" s="1435" t="str">
        <f aca="false">IF($H264=Q$4,$D264*$N264,"")</f>
        <v/>
      </c>
      <c r="R264" s="1435" t="str">
        <f aca="false">IF($H264=R$4,$D264*$N264,"")</f>
        <v/>
      </c>
      <c r="S264" s="1435" t="str">
        <f aca="false">IF($H264=S$4,$D264*$N264,"")</f>
        <v/>
      </c>
      <c r="T264" s="1435" t="str">
        <f aca="false">IF($H264=T$4,$D264*$N264,"")</f>
        <v/>
      </c>
      <c r="U264" s="1436" t="str">
        <f aca="false">IF($H264=U$4,$D264*$N264,"")</f>
        <v/>
      </c>
      <c r="V264" s="1418"/>
      <c r="W264" s="1419"/>
      <c r="X264" s="1419"/>
      <c r="Y264" s="1419"/>
      <c r="Z264" s="1419"/>
      <c r="AA264" s="1419"/>
      <c r="AB264" s="1420"/>
      <c r="AC264" s="1319"/>
      <c r="AD264" s="2" t="str">
        <f aca="false">IF(AND(AD$4=$G264,AD$6=$F264),$B264,"")</f>
        <v/>
      </c>
      <c r="AE264" s="2" t="str">
        <f aca="false">IF(AND(AE$4=$G264,AE$6=$F264),$B264,"")</f>
        <v/>
      </c>
      <c r="AF264" s="2" t="str">
        <f aca="false">IF(AND(AF$4=$G264,AF$6=$F264),$B264,"")</f>
        <v/>
      </c>
      <c r="AG264" s="2" t="str">
        <f aca="false">IF(AND(AG$4=$G264,AG$6=$F264),$B264,"")</f>
        <v/>
      </c>
      <c r="AI264" s="366"/>
      <c r="AL264" s="367"/>
      <c r="AO264" s="367"/>
      <c r="AP264" s="2" t="str">
        <f aca="false">IF(AT264&gt;0,RANK(AT264,AT$7:AT$423),"")</f>
        <v/>
      </c>
      <c r="AQ264" s="2" t="n">
        <f aca="false">'O_MN, PE_UTA_UGM 2024'!C260</f>
        <v>259</v>
      </c>
      <c r="AR264" s="1421" t="n">
        <v>2530</v>
      </c>
      <c r="AS264" s="2" t="str">
        <f aca="false">IF(AY264&lt;&gt;"",AY264,"")</f>
        <v/>
      </c>
      <c r="AT264" s="1422" t="n">
        <f aca="false">IF(ISNUMBER($AR264),SUMIF(B$7:B$505,AR264,D$7:D$505),"")</f>
        <v>0</v>
      </c>
      <c r="AU264" s="1411" t="n">
        <f aca="false">IF(ISNUMBER($AR264),SUMIF(AD$7:AD$503,$AR264,J$7:J$503),"")</f>
        <v>0</v>
      </c>
      <c r="AV264" s="1411" t="n">
        <f aca="false">IF(ISNUMBER($AR264),SUMIF(AF$7:AF$503,$AR264,L$7:L$503),"")</f>
        <v>0</v>
      </c>
      <c r="AW264" s="1423" t="n">
        <f aca="false">IF(ISNUMBER($AR264),SUMIF(AE$7:AE$503,$AR264,K$7:K$503),"")</f>
        <v>0</v>
      </c>
      <c r="AX264" s="1423" t="n">
        <f aca="false">IF(ISNUMBER($AR264),SUMIF(AG$7:AG$503,$AR264,M$7:M$503),"")</f>
        <v>0</v>
      </c>
      <c r="AY264" s="2" t="str">
        <f aca="false">IF($AT264&gt;0,VLOOKUP($AR264,'O_MN, PE_UTA_UGM 2024'!E260:O676,2),"")</f>
        <v/>
      </c>
      <c r="AZ264" s="1424"/>
      <c r="BA264" s="1424"/>
      <c r="BB264" s="1424" t="str">
        <f aca="false">IF($AT264&gt;0,VLOOKUP($AR264,'O_MN, PE_UTA_UGM 2024'!$E$3:$O$419,BB$6),"")</f>
        <v/>
      </c>
      <c r="BC264" s="1424" t="str">
        <f aca="false">IF($AT264&gt;0,VLOOKUP($AR264,'O_MN, PE_UTA_UGM 2024'!$E$3:$O$419,BC$6),"")</f>
        <v/>
      </c>
      <c r="BD264" s="1424" t="str">
        <f aca="false">IF($AT264&gt;0,VLOOKUP($AR264,'O_MN, PE_UTA_UGM 2024'!$E$3:$O$419,BD$6),"")</f>
        <v/>
      </c>
      <c r="BE264" s="1424" t="str">
        <f aca="false">IF($AT264&gt;0,VLOOKUP($AR264,'O_MN, PE_UTA_UGM 2024'!$E$3:$O$419,BE$6),"")</f>
        <v/>
      </c>
      <c r="BF264" s="1424" t="str">
        <f aca="false">IF($AT264&gt;0,VLOOKUP($AR264,'O_MN, PE_UTA_UGM 2024'!$E$3:$O$419,BF$6),"")</f>
        <v/>
      </c>
      <c r="BG264" s="1424" t="str">
        <f aca="false">IF($AT264&gt;0,VLOOKUP($AR264,'O_MN, PE_UTA_UGM 2024'!$E$3:$O$419,BG$6),"")</f>
        <v/>
      </c>
      <c r="BH264" s="872"/>
      <c r="BI264" s="872"/>
      <c r="BJ264" s="872"/>
      <c r="BK264" s="872"/>
      <c r="BM264" s="1411"/>
      <c r="BN264" s="1411"/>
      <c r="BO264" s="1425" t="str">
        <f aca="false">IF(ISNUMBER($AU264*BB264*1),$AU264*BB264*1,"")</f>
        <v/>
      </c>
      <c r="BP264" s="1425" t="str">
        <f aca="false">IF(ISNUMBER($AV264*BC264*1),$AV264*BC264*1,"")</f>
        <v/>
      </c>
      <c r="BQ264" s="1425" t="str">
        <f aca="false">IF(ISNUMBER($AU264*BD264*1),$AU264*BD264*1,"")</f>
        <v/>
      </c>
      <c r="BR264" s="1425" t="str">
        <f aca="false">IF(ISNUMBER($AV264*BE264*1),$AV264*BE264*1,"")</f>
        <v/>
      </c>
      <c r="BS264" s="1411" t="str">
        <f aca="false">IF(ISNUMBER($AU264*BF264),$AU264*BF264,"")</f>
        <v/>
      </c>
      <c r="BT264" s="1411" t="str">
        <f aca="false">IF(ISNUMBER($AV264*BG264),$AV264*BG264,"")</f>
        <v/>
      </c>
      <c r="BU264" s="1411"/>
      <c r="BV264" s="1411"/>
      <c r="BW264" s="1411"/>
      <c r="BX264" s="1411"/>
      <c r="BZ264" s="1372"/>
      <c r="CA264" s="1372"/>
      <c r="CB264" s="1426" t="str">
        <f aca="false">IF(ISNUMBER($AW264*BB264),$AW264*BB264,"")</f>
        <v/>
      </c>
      <c r="CC264" s="1426" t="str">
        <f aca="false">IF(ISNUMBER($AX264*BC264),$AX264*BC264,"")</f>
        <v/>
      </c>
      <c r="CD264" s="1426" t="str">
        <f aca="false">IF(ISNUMBER($AW264*BD264),$AW264*BD264,"")</f>
        <v/>
      </c>
      <c r="CE264" s="1426" t="str">
        <f aca="false">IF(ISNUMBER($AX264*BE264),$AX264*BE264,"")</f>
        <v/>
      </c>
      <c r="CF264" s="1372" t="str">
        <f aca="false">IF(ISNUMBER($AW264*BF264),$AW264*BF264,"")</f>
        <v/>
      </c>
      <c r="CG264" s="1372" t="str">
        <f aca="false">IF(ISNUMBER($AX264*BG264),$AX264*BG264,"")</f>
        <v/>
      </c>
      <c r="CH264" s="1438"/>
      <c r="CI264" s="1438"/>
      <c r="CJ264" s="1438"/>
      <c r="CK264" s="1438"/>
      <c r="CU264" s="1411"/>
      <c r="CV264" s="1411"/>
      <c r="CW264" s="1425"/>
      <c r="CX264" s="1425"/>
      <c r="CY264" s="1425"/>
      <c r="CZ264" s="1425"/>
      <c r="DA264" s="1411"/>
      <c r="DB264" s="1411"/>
      <c r="DC264" s="1411"/>
      <c r="DD264" s="1411"/>
      <c r="DE264" s="1411"/>
      <c r="DF264" s="1411"/>
      <c r="DH264" s="1432"/>
      <c r="DI264" s="1432"/>
      <c r="DJ264" s="1437"/>
      <c r="DK264" s="1437"/>
      <c r="DL264" s="1437"/>
      <c r="DM264" s="1437"/>
      <c r="DN264" s="1432"/>
      <c r="DO264" s="1432"/>
      <c r="DP264" s="1432"/>
      <c r="DQ264" s="1432"/>
      <c r="DR264" s="1432"/>
      <c r="DS264" s="1432"/>
      <c r="DT264" s="1316"/>
      <c r="DU264" s="1433"/>
      <c r="DV264" s="1433"/>
      <c r="DW264" s="1433"/>
      <c r="DX264" s="1433"/>
      <c r="DY264" s="1433"/>
      <c r="DZ264" s="1433"/>
      <c r="EA264" s="1433"/>
      <c r="EB264" s="1433"/>
    </row>
    <row r="265" customFormat="false" ht="14.25" hidden="false" customHeight="false" outlineLevel="0" collapsed="false">
      <c r="A265" s="2" t="n">
        <f aca="false">'V_DATOS PAC_SGA'!R260</f>
        <v>0</v>
      </c>
      <c r="B265" s="2" t="n">
        <f aca="false">IF(I265="IV",CONCATENATE('V_DATOS PAC_SGA'!R260,"4")+0,CONCATENATE('V_DATOS PAC_SGA'!R260,"0")+0)</f>
        <v>0</v>
      </c>
      <c r="C265" s="2" t="n">
        <f aca="false">'V_DATOS PAC_SGA'!S260</f>
        <v>0</v>
      </c>
      <c r="D265" s="1409" t="n">
        <f aca="false">'V_DATOS PAC_SGA'!Y260</f>
        <v>0</v>
      </c>
      <c r="E265" s="1410" t="str">
        <f aca="false">IF('V_DATOS PAC_SGA'!AV260="","Regadio",'V_DATOS PAC_SGA'!AV260)</f>
        <v>Regadio</v>
      </c>
      <c r="F265" s="1411" t="n">
        <f aca="false">'V_DATOS PAC_SGA'!BK260</f>
        <v>0</v>
      </c>
      <c r="G265" s="1412" t="n">
        <f aca="false">'V_DATOS PAC_SGA'!AN260</f>
        <v>0</v>
      </c>
      <c r="H265" s="1413" t="str">
        <f aca="false">IF(B265&gt;0,VLOOKUP(B265,'O_MN, PE_UTA_UGM 2024'!E$3:O$419,10),"")</f>
        <v/>
      </c>
      <c r="I265" s="1359" t="n">
        <f aca="false">'V_DATOS PAC_SGA'!BV260</f>
        <v>0</v>
      </c>
      <c r="J265" s="2" t="str">
        <f aca="false">IF(AND(J$4=$G265,J$6=$F265),$D265*J$5,"")</f>
        <v/>
      </c>
      <c r="K265" s="2" t="str">
        <f aca="false">IF(AND(K$4=$G265,K$6=$F265),$D265*K$5,"")</f>
        <v/>
      </c>
      <c r="L265" s="2" t="str">
        <f aca="false">IF(AND(L$4=$G265,L$6=$F265),$D265*L$5,"")</f>
        <v/>
      </c>
      <c r="M265" s="2" t="str">
        <f aca="false">IF(AND(M$4=$G265,M$6=$F265),$D265*M$5,"")</f>
        <v/>
      </c>
      <c r="N265" s="1414" t="n">
        <f aca="false">VLOOKUP(B265,'O_MN, PE_UTA_UGM 2024'!$E$2:$K$419,IF(G265&gt;1,6,7))</f>
        <v>0</v>
      </c>
      <c r="O265" s="1434" t="str">
        <f aca="false">IF($H265=O$4,$D265*$N265,"")</f>
        <v/>
      </c>
      <c r="P265" s="1435" t="str">
        <f aca="false">IF($H265=P$4,$D265*$N265,"")</f>
        <v/>
      </c>
      <c r="Q265" s="1435" t="str">
        <f aca="false">IF($H265=Q$4,$D265*$N265,"")</f>
        <v/>
      </c>
      <c r="R265" s="1435" t="str">
        <f aca="false">IF($H265=R$4,$D265*$N265,"")</f>
        <v/>
      </c>
      <c r="S265" s="1435" t="str">
        <f aca="false">IF($H265=S$4,$D265*$N265,"")</f>
        <v/>
      </c>
      <c r="T265" s="1435" t="str">
        <f aca="false">IF($H265=T$4,$D265*$N265,"")</f>
        <v/>
      </c>
      <c r="U265" s="1436" t="str">
        <f aca="false">IF($H265=U$4,$D265*$N265,"")</f>
        <v/>
      </c>
      <c r="V265" s="1418"/>
      <c r="W265" s="1419"/>
      <c r="X265" s="1419"/>
      <c r="Y265" s="1419"/>
      <c r="Z265" s="1419"/>
      <c r="AA265" s="1419"/>
      <c r="AB265" s="1420"/>
      <c r="AC265" s="1319"/>
      <c r="AD265" s="2" t="str">
        <f aca="false">IF(AND(AD$4=$G265,AD$6=$F265),$B265,"")</f>
        <v/>
      </c>
      <c r="AE265" s="2" t="str">
        <f aca="false">IF(AND(AE$4=$G265,AE$6=$F265),$B265,"")</f>
        <v/>
      </c>
      <c r="AF265" s="2" t="str">
        <f aca="false">IF(AND(AF$4=$G265,AF$6=$F265),$B265,"")</f>
        <v/>
      </c>
      <c r="AG265" s="2" t="str">
        <f aca="false">IF(AND(AG$4=$G265,AG$6=$F265),$B265,"")</f>
        <v/>
      </c>
      <c r="AI265" s="366"/>
      <c r="AL265" s="367"/>
      <c r="AO265" s="367"/>
      <c r="AP265" s="2" t="str">
        <f aca="false">IF(AT265&gt;0,RANK(AT265,AT$7:AT$423),"")</f>
        <v/>
      </c>
      <c r="AQ265" s="2" t="n">
        <f aca="false">'O_MN, PE_UTA_UGM 2024'!C261</f>
        <v>260</v>
      </c>
      <c r="AR265" s="1421" t="n">
        <v>2540</v>
      </c>
      <c r="AS265" s="2" t="str">
        <f aca="false">IF(AY265&lt;&gt;"",AY265,"")</f>
        <v/>
      </c>
      <c r="AT265" s="1422" t="n">
        <f aca="false">IF(ISNUMBER($AR265),SUMIF(B$7:B$505,AR265,D$7:D$505),"")</f>
        <v>0</v>
      </c>
      <c r="AU265" s="1411" t="n">
        <f aca="false">IF(ISNUMBER($AR265),SUMIF(AD$7:AD$503,$AR265,J$7:J$503),"")</f>
        <v>0</v>
      </c>
      <c r="AV265" s="1411" t="n">
        <f aca="false">IF(ISNUMBER($AR265),SUMIF(AF$7:AF$503,$AR265,L$7:L$503),"")</f>
        <v>0</v>
      </c>
      <c r="AW265" s="1423" t="n">
        <f aca="false">IF(ISNUMBER($AR265),SUMIF(AE$7:AE$503,$AR265,K$7:K$503),"")</f>
        <v>0</v>
      </c>
      <c r="AX265" s="1423" t="n">
        <f aca="false">IF(ISNUMBER($AR265),SUMIF(AG$7:AG$503,$AR265,M$7:M$503),"")</f>
        <v>0</v>
      </c>
      <c r="AY265" s="2" t="str">
        <f aca="false">IF($AT265&gt;0,VLOOKUP($AR265,'O_MN, PE_UTA_UGM 2024'!E261:O677,2),"")</f>
        <v/>
      </c>
      <c r="AZ265" s="1424"/>
      <c r="BA265" s="1424"/>
      <c r="BB265" s="1424" t="str">
        <f aca="false">IF($AT265&gt;0,VLOOKUP($AR265,'O_MN, PE_UTA_UGM 2024'!$E$3:$O$419,BB$6),"")</f>
        <v/>
      </c>
      <c r="BC265" s="1424" t="str">
        <f aca="false">IF($AT265&gt;0,VLOOKUP($AR265,'O_MN, PE_UTA_UGM 2024'!$E$3:$O$419,BC$6),"")</f>
        <v/>
      </c>
      <c r="BD265" s="1424" t="str">
        <f aca="false">IF($AT265&gt;0,VLOOKUP($AR265,'O_MN, PE_UTA_UGM 2024'!$E$3:$O$419,BD$6),"")</f>
        <v/>
      </c>
      <c r="BE265" s="1424" t="str">
        <f aca="false">IF($AT265&gt;0,VLOOKUP($AR265,'O_MN, PE_UTA_UGM 2024'!$E$3:$O$419,BE$6),"")</f>
        <v/>
      </c>
      <c r="BF265" s="1424" t="str">
        <f aca="false">IF($AT265&gt;0,VLOOKUP($AR265,'O_MN, PE_UTA_UGM 2024'!$E$3:$O$419,BF$6),"")</f>
        <v/>
      </c>
      <c r="BG265" s="1424" t="str">
        <f aca="false">IF($AT265&gt;0,VLOOKUP($AR265,'O_MN, PE_UTA_UGM 2024'!$E$3:$O$419,BG$6),"")</f>
        <v/>
      </c>
      <c r="BH265" s="872"/>
      <c r="BI265" s="872"/>
      <c r="BJ265" s="872"/>
      <c r="BK265" s="872"/>
      <c r="BM265" s="1411"/>
      <c r="BN265" s="1411"/>
      <c r="BO265" s="1425" t="str">
        <f aca="false">IF(ISNUMBER($AU265*BB265*1),$AU265*BB265*1,"")</f>
        <v/>
      </c>
      <c r="BP265" s="1425" t="str">
        <f aca="false">IF(ISNUMBER($AV265*BC265*1),$AV265*BC265*1,"")</f>
        <v/>
      </c>
      <c r="BQ265" s="1425" t="str">
        <f aca="false">IF(ISNUMBER($AU265*BD265*1),$AU265*BD265*1,"")</f>
        <v/>
      </c>
      <c r="BR265" s="1425" t="str">
        <f aca="false">IF(ISNUMBER($AV265*BE265*1),$AV265*BE265*1,"")</f>
        <v/>
      </c>
      <c r="BS265" s="1411" t="str">
        <f aca="false">IF(ISNUMBER($AU265*BF265),$AU265*BF265,"")</f>
        <v/>
      </c>
      <c r="BT265" s="1411" t="str">
        <f aca="false">IF(ISNUMBER($AV265*BG265),$AV265*BG265,"")</f>
        <v/>
      </c>
      <c r="BU265" s="1411"/>
      <c r="BV265" s="1411"/>
      <c r="BW265" s="1411"/>
      <c r="BX265" s="1411"/>
      <c r="BZ265" s="1372"/>
      <c r="CA265" s="1372"/>
      <c r="CB265" s="1426" t="str">
        <f aca="false">IF(ISNUMBER($AW265*BB265),$AW265*BB265,"")</f>
        <v/>
      </c>
      <c r="CC265" s="1426" t="str">
        <f aca="false">IF(ISNUMBER($AX265*BC265),$AX265*BC265,"")</f>
        <v/>
      </c>
      <c r="CD265" s="1426" t="str">
        <f aca="false">IF(ISNUMBER($AW265*BD265),$AW265*BD265,"")</f>
        <v/>
      </c>
      <c r="CE265" s="1426" t="str">
        <f aca="false">IF(ISNUMBER($AX265*BE265),$AX265*BE265,"")</f>
        <v/>
      </c>
      <c r="CF265" s="1372" t="str">
        <f aca="false">IF(ISNUMBER($AW265*BF265),$AW265*BF265,"")</f>
        <v/>
      </c>
      <c r="CG265" s="1372" t="str">
        <f aca="false">IF(ISNUMBER($AX265*BG265),$AX265*BG265,"")</f>
        <v/>
      </c>
      <c r="CH265" s="1438"/>
      <c r="CI265" s="1438"/>
      <c r="CJ265" s="1438"/>
      <c r="CK265" s="1438"/>
      <c r="CU265" s="1411"/>
      <c r="CV265" s="1411"/>
      <c r="CW265" s="1425"/>
      <c r="CX265" s="1425"/>
      <c r="CY265" s="1425"/>
      <c r="CZ265" s="1425"/>
      <c r="DA265" s="1411"/>
      <c r="DB265" s="1411"/>
      <c r="DC265" s="1411"/>
      <c r="DD265" s="1411"/>
      <c r="DE265" s="1411"/>
      <c r="DF265" s="1411"/>
      <c r="DH265" s="1432"/>
      <c r="DI265" s="1432"/>
      <c r="DJ265" s="1437"/>
      <c r="DK265" s="1437"/>
      <c r="DL265" s="1437"/>
      <c r="DM265" s="1437"/>
      <c r="DN265" s="1432"/>
      <c r="DO265" s="1432"/>
      <c r="DP265" s="1432"/>
      <c r="DQ265" s="1432"/>
      <c r="DR265" s="1432"/>
      <c r="DS265" s="1432"/>
      <c r="DT265" s="1316"/>
      <c r="DU265" s="1433"/>
      <c r="DV265" s="1433"/>
      <c r="DW265" s="1433"/>
      <c r="DX265" s="1433"/>
      <c r="DY265" s="1433"/>
      <c r="DZ265" s="1433"/>
      <c r="EA265" s="1433"/>
      <c r="EB265" s="1433"/>
    </row>
    <row r="266" customFormat="false" ht="14.25" hidden="false" customHeight="false" outlineLevel="0" collapsed="false">
      <c r="A266" s="2" t="n">
        <f aca="false">'V_DATOS PAC_SGA'!R261</f>
        <v>0</v>
      </c>
      <c r="B266" s="2" t="n">
        <f aca="false">IF(I266="IV",CONCATENATE('V_DATOS PAC_SGA'!R261,"4")+0,CONCATENATE('V_DATOS PAC_SGA'!R261,"0")+0)</f>
        <v>0</v>
      </c>
      <c r="C266" s="2" t="n">
        <f aca="false">'V_DATOS PAC_SGA'!S261</f>
        <v>0</v>
      </c>
      <c r="D266" s="1409" t="n">
        <f aca="false">'V_DATOS PAC_SGA'!Y261</f>
        <v>0</v>
      </c>
      <c r="E266" s="1410" t="str">
        <f aca="false">IF('V_DATOS PAC_SGA'!AV261="","Regadio",'V_DATOS PAC_SGA'!AV261)</f>
        <v>Regadio</v>
      </c>
      <c r="F266" s="1411" t="n">
        <f aca="false">'V_DATOS PAC_SGA'!BK261</f>
        <v>0</v>
      </c>
      <c r="G266" s="1412" t="n">
        <f aca="false">'V_DATOS PAC_SGA'!AN261</f>
        <v>0</v>
      </c>
      <c r="H266" s="1413" t="str">
        <f aca="false">IF(B266&gt;0,VLOOKUP(B266,'O_MN, PE_UTA_UGM 2024'!E$3:O$419,10),"")</f>
        <v/>
      </c>
      <c r="I266" s="1359" t="n">
        <f aca="false">'V_DATOS PAC_SGA'!BV261</f>
        <v>0</v>
      </c>
      <c r="J266" s="2" t="str">
        <f aca="false">IF(AND(J$4=$G266,J$6=$F266),$D266*J$5,"")</f>
        <v/>
      </c>
      <c r="K266" s="2" t="str">
        <f aca="false">IF(AND(K$4=$G266,K$6=$F266),$D266*K$5,"")</f>
        <v/>
      </c>
      <c r="L266" s="2" t="str">
        <f aca="false">IF(AND(L$4=$G266,L$6=$F266),$D266*L$5,"")</f>
        <v/>
      </c>
      <c r="M266" s="2" t="str">
        <f aca="false">IF(AND(M$4=$G266,M$6=$F266),$D266*M$5,"")</f>
        <v/>
      </c>
      <c r="N266" s="1414" t="n">
        <f aca="false">VLOOKUP(B266,'O_MN, PE_UTA_UGM 2024'!$E$2:$K$419,IF(G266&gt;1,6,7))</f>
        <v>0</v>
      </c>
      <c r="O266" s="1434" t="str">
        <f aca="false">IF($H266=O$4,$D266*$N266,"")</f>
        <v/>
      </c>
      <c r="P266" s="1435" t="str">
        <f aca="false">IF($H266=P$4,$D266*$N266,"")</f>
        <v/>
      </c>
      <c r="Q266" s="1435" t="str">
        <f aca="false">IF($H266=Q$4,$D266*$N266,"")</f>
        <v/>
      </c>
      <c r="R266" s="1435" t="str">
        <f aca="false">IF($H266=R$4,$D266*$N266,"")</f>
        <v/>
      </c>
      <c r="S266" s="1435" t="str">
        <f aca="false">IF($H266=S$4,$D266*$N266,"")</f>
        <v/>
      </c>
      <c r="T266" s="1435" t="str">
        <f aca="false">IF($H266=T$4,$D266*$N266,"")</f>
        <v/>
      </c>
      <c r="U266" s="1436" t="str">
        <f aca="false">IF($H266=U$4,$D266*$N266,"")</f>
        <v/>
      </c>
      <c r="V266" s="1418"/>
      <c r="W266" s="1419"/>
      <c r="X266" s="1419"/>
      <c r="Y266" s="1419"/>
      <c r="Z266" s="1419"/>
      <c r="AA266" s="1419"/>
      <c r="AB266" s="1420"/>
      <c r="AC266" s="1319"/>
      <c r="AD266" s="2" t="str">
        <f aca="false">IF(AND(AD$4=$G266,AD$6=$F266),$B266,"")</f>
        <v/>
      </c>
      <c r="AE266" s="2" t="str">
        <f aca="false">IF(AND(AE$4=$G266,AE$6=$F266),$B266,"")</f>
        <v/>
      </c>
      <c r="AF266" s="2" t="str">
        <f aca="false">IF(AND(AF$4=$G266,AF$6=$F266),$B266,"")</f>
        <v/>
      </c>
      <c r="AG266" s="2" t="str">
        <f aca="false">IF(AND(AG$4=$G266,AG$6=$F266),$B266,"")</f>
        <v/>
      </c>
      <c r="AI266" s="366"/>
      <c r="AL266" s="367"/>
      <c r="AO266" s="367"/>
      <c r="AP266" s="2" t="str">
        <f aca="false">IF(AT266&gt;0,RANK(AT266,AT$7:AT$423),"")</f>
        <v/>
      </c>
      <c r="AQ266" s="2" t="n">
        <f aca="false">'O_MN, PE_UTA_UGM 2024'!C262</f>
        <v>261</v>
      </c>
      <c r="AR266" s="1421" t="n">
        <v>2560</v>
      </c>
      <c r="AS266" s="2" t="str">
        <f aca="false">IF(AY266&lt;&gt;"",AY266,"")</f>
        <v/>
      </c>
      <c r="AT266" s="1422" t="n">
        <f aca="false">IF(ISNUMBER($AR266),SUMIF(B$7:B$505,AR266,D$7:D$505),"")</f>
        <v>0</v>
      </c>
      <c r="AU266" s="1411" t="n">
        <f aca="false">IF(ISNUMBER($AR266),SUMIF(AD$7:AD$503,$AR266,J$7:J$503),"")</f>
        <v>0</v>
      </c>
      <c r="AV266" s="1411" t="n">
        <f aca="false">IF(ISNUMBER($AR266),SUMIF(AF$7:AF$503,$AR266,L$7:L$503),"")</f>
        <v>0</v>
      </c>
      <c r="AW266" s="1423" t="n">
        <f aca="false">IF(ISNUMBER($AR266),SUMIF(AE$7:AE$503,$AR266,K$7:K$503),"")</f>
        <v>0</v>
      </c>
      <c r="AX266" s="1423" t="n">
        <f aca="false">IF(ISNUMBER($AR266),SUMIF(AG$7:AG$503,$AR266,M$7:M$503),"")</f>
        <v>0</v>
      </c>
      <c r="AY266" s="2" t="str">
        <f aca="false">IF($AT266&gt;0,VLOOKUP($AR266,'O_MN, PE_UTA_UGM 2024'!E262:O678,2),"")</f>
        <v/>
      </c>
      <c r="AZ266" s="1424"/>
      <c r="BA266" s="1424"/>
      <c r="BB266" s="1424" t="str">
        <f aca="false">IF($AT266&gt;0,VLOOKUP($AR266,'O_MN, PE_UTA_UGM 2024'!$E$3:$O$419,BB$6),"")</f>
        <v/>
      </c>
      <c r="BC266" s="1424" t="str">
        <f aca="false">IF($AT266&gt;0,VLOOKUP($AR266,'O_MN, PE_UTA_UGM 2024'!$E$3:$O$419,BC$6),"")</f>
        <v/>
      </c>
      <c r="BD266" s="1424" t="str">
        <f aca="false">IF($AT266&gt;0,VLOOKUP($AR266,'O_MN, PE_UTA_UGM 2024'!$E$3:$O$419,BD$6),"")</f>
        <v/>
      </c>
      <c r="BE266" s="1424" t="str">
        <f aca="false">IF($AT266&gt;0,VLOOKUP($AR266,'O_MN, PE_UTA_UGM 2024'!$E$3:$O$419,BE$6),"")</f>
        <v/>
      </c>
      <c r="BF266" s="1424" t="str">
        <f aca="false">IF($AT266&gt;0,VLOOKUP($AR266,'O_MN, PE_UTA_UGM 2024'!$E$3:$O$419,BF$6),"")</f>
        <v/>
      </c>
      <c r="BG266" s="1424" t="str">
        <f aca="false">IF($AT266&gt;0,VLOOKUP($AR266,'O_MN, PE_UTA_UGM 2024'!$E$3:$O$419,BG$6),"")</f>
        <v/>
      </c>
      <c r="BH266" s="872"/>
      <c r="BI266" s="872"/>
      <c r="BJ266" s="872"/>
      <c r="BK266" s="872"/>
      <c r="BM266" s="1411"/>
      <c r="BN266" s="1411"/>
      <c r="BO266" s="1425" t="str">
        <f aca="false">IF(ISNUMBER($AU266*BB266*1),$AU266*BB266*1,"")</f>
        <v/>
      </c>
      <c r="BP266" s="1425" t="str">
        <f aca="false">IF(ISNUMBER($AV266*BC266*1),$AV266*BC266*1,"")</f>
        <v/>
      </c>
      <c r="BQ266" s="1425" t="str">
        <f aca="false">IF(ISNUMBER($AU266*BD266*1),$AU266*BD266*1,"")</f>
        <v/>
      </c>
      <c r="BR266" s="1425" t="str">
        <f aca="false">IF(ISNUMBER($AV266*BE266*1),$AV266*BE266*1,"")</f>
        <v/>
      </c>
      <c r="BS266" s="1411" t="str">
        <f aca="false">IF(ISNUMBER($AU266*BF266),$AU266*BF266,"")</f>
        <v/>
      </c>
      <c r="BT266" s="1411" t="str">
        <f aca="false">IF(ISNUMBER($AV266*BG266),$AV266*BG266,"")</f>
        <v/>
      </c>
      <c r="BU266" s="1411"/>
      <c r="BV266" s="1411"/>
      <c r="BW266" s="1411"/>
      <c r="BX266" s="1411"/>
      <c r="BZ266" s="1372"/>
      <c r="CA266" s="1372"/>
      <c r="CB266" s="1426" t="str">
        <f aca="false">IF(ISNUMBER($AW266*BB266),$AW266*BB266,"")</f>
        <v/>
      </c>
      <c r="CC266" s="1426" t="str">
        <f aca="false">IF(ISNUMBER($AX266*BC266),$AX266*BC266,"")</f>
        <v/>
      </c>
      <c r="CD266" s="1426" t="str">
        <f aca="false">IF(ISNUMBER($AW266*BD266),$AW266*BD266,"")</f>
        <v/>
      </c>
      <c r="CE266" s="1426" t="str">
        <f aca="false">IF(ISNUMBER($AX266*BE266),$AX266*BE266,"")</f>
        <v/>
      </c>
      <c r="CF266" s="1372" t="str">
        <f aca="false">IF(ISNUMBER($AW266*BF266),$AW266*BF266,"")</f>
        <v/>
      </c>
      <c r="CG266" s="1372" t="str">
        <f aca="false">IF(ISNUMBER($AX266*BG266),$AX266*BG266,"")</f>
        <v/>
      </c>
      <c r="CH266" s="1438"/>
      <c r="CI266" s="1438"/>
      <c r="CJ266" s="1438"/>
      <c r="CK266" s="1438"/>
      <c r="CU266" s="1411"/>
      <c r="CV266" s="1411"/>
      <c r="CW266" s="1425"/>
      <c r="CX266" s="1425"/>
      <c r="CY266" s="1425"/>
      <c r="CZ266" s="1425"/>
      <c r="DA266" s="1411"/>
      <c r="DB266" s="1411"/>
      <c r="DC266" s="1411"/>
      <c r="DD266" s="1411"/>
      <c r="DE266" s="1411"/>
      <c r="DF266" s="1411"/>
      <c r="DH266" s="1432"/>
      <c r="DI266" s="1432"/>
      <c r="DJ266" s="1437"/>
      <c r="DK266" s="1437"/>
      <c r="DL266" s="1437"/>
      <c r="DM266" s="1437"/>
      <c r="DN266" s="1432"/>
      <c r="DO266" s="1432"/>
      <c r="DP266" s="1432"/>
      <c r="DQ266" s="1432"/>
      <c r="DR266" s="1432"/>
      <c r="DS266" s="1432"/>
      <c r="DT266" s="1316"/>
      <c r="DU266" s="1433"/>
      <c r="DV266" s="1433"/>
      <c r="DW266" s="1433"/>
      <c r="DX266" s="1433"/>
      <c r="DY266" s="1433"/>
      <c r="DZ266" s="1433"/>
      <c r="EA266" s="1433"/>
      <c r="EB266" s="1433"/>
    </row>
    <row r="267" customFormat="false" ht="14.25" hidden="false" customHeight="false" outlineLevel="0" collapsed="false">
      <c r="A267" s="2" t="n">
        <f aca="false">'V_DATOS PAC_SGA'!R262</f>
        <v>0</v>
      </c>
      <c r="B267" s="2" t="n">
        <f aca="false">IF(I267="IV",CONCATENATE('V_DATOS PAC_SGA'!R262,"4")+0,CONCATENATE('V_DATOS PAC_SGA'!R262,"0")+0)</f>
        <v>0</v>
      </c>
      <c r="C267" s="2" t="n">
        <f aca="false">'V_DATOS PAC_SGA'!S262</f>
        <v>0</v>
      </c>
      <c r="D267" s="1409" t="n">
        <f aca="false">'V_DATOS PAC_SGA'!Y262</f>
        <v>0</v>
      </c>
      <c r="E267" s="1410" t="str">
        <f aca="false">IF('V_DATOS PAC_SGA'!AV262="","Regadio",'V_DATOS PAC_SGA'!AV262)</f>
        <v>Regadio</v>
      </c>
      <c r="F267" s="1411" t="n">
        <f aca="false">'V_DATOS PAC_SGA'!BK262</f>
        <v>0</v>
      </c>
      <c r="G267" s="1412" t="n">
        <f aca="false">'V_DATOS PAC_SGA'!AN262</f>
        <v>0</v>
      </c>
      <c r="H267" s="1413" t="str">
        <f aca="false">IF(B267&gt;0,VLOOKUP(B267,'O_MN, PE_UTA_UGM 2024'!E$3:O$419,10),"")</f>
        <v/>
      </c>
      <c r="I267" s="1359" t="n">
        <f aca="false">'V_DATOS PAC_SGA'!BV262</f>
        <v>0</v>
      </c>
      <c r="J267" s="2" t="str">
        <f aca="false">IF(AND(J$4=$G267,J$6=$F267),$D267*J$5,"")</f>
        <v/>
      </c>
      <c r="K267" s="2" t="str">
        <f aca="false">IF(AND(K$4=$G267,K$6=$F267),$D267*K$5,"")</f>
        <v/>
      </c>
      <c r="L267" s="2" t="str">
        <f aca="false">IF(AND(L$4=$G267,L$6=$F267),$D267*L$5,"")</f>
        <v/>
      </c>
      <c r="M267" s="2" t="str">
        <f aca="false">IF(AND(M$4=$G267,M$6=$F267),$D267*M$5,"")</f>
        <v/>
      </c>
      <c r="N267" s="1414" t="n">
        <f aca="false">VLOOKUP(B267,'O_MN, PE_UTA_UGM 2024'!$E$2:$K$419,IF(G267&gt;1,6,7))</f>
        <v>0</v>
      </c>
      <c r="O267" s="1434" t="str">
        <f aca="false">IF($H267=O$4,$D267*$N267,"")</f>
        <v/>
      </c>
      <c r="P267" s="1435" t="str">
        <f aca="false">IF($H267=P$4,$D267*$N267,"")</f>
        <v/>
      </c>
      <c r="Q267" s="1435" t="str">
        <f aca="false">IF($H267=Q$4,$D267*$N267,"")</f>
        <v/>
      </c>
      <c r="R267" s="1435" t="str">
        <f aca="false">IF($H267=R$4,$D267*$N267,"")</f>
        <v/>
      </c>
      <c r="S267" s="1435" t="str">
        <f aca="false">IF($H267=S$4,$D267*$N267,"")</f>
        <v/>
      </c>
      <c r="T267" s="1435" t="str">
        <f aca="false">IF($H267=T$4,$D267*$N267,"")</f>
        <v/>
      </c>
      <c r="U267" s="1436" t="str">
        <f aca="false">IF($H267=U$4,$D267*$N267,"")</f>
        <v/>
      </c>
      <c r="V267" s="1418"/>
      <c r="W267" s="1419"/>
      <c r="X267" s="1419"/>
      <c r="Y267" s="1419"/>
      <c r="Z267" s="1419"/>
      <c r="AA267" s="1419"/>
      <c r="AB267" s="1420"/>
      <c r="AC267" s="1319"/>
      <c r="AD267" s="2" t="str">
        <f aca="false">IF(AND(AD$4=$G267,AD$6=$F267),$B267,"")</f>
        <v/>
      </c>
      <c r="AE267" s="2" t="str">
        <f aca="false">IF(AND(AE$4=$G267,AE$6=$F267),$B267,"")</f>
        <v/>
      </c>
      <c r="AF267" s="2" t="str">
        <f aca="false">IF(AND(AF$4=$G267,AF$6=$F267),$B267,"")</f>
        <v/>
      </c>
      <c r="AG267" s="2" t="str">
        <f aca="false">IF(AND(AG$4=$G267,AG$6=$F267),$B267,"")</f>
        <v/>
      </c>
      <c r="AI267" s="366"/>
      <c r="AL267" s="367"/>
      <c r="AO267" s="367"/>
      <c r="AP267" s="2" t="str">
        <f aca="false">IF(AT267&gt;0,RANK(AT267,AT$7:AT$423),"")</f>
        <v/>
      </c>
      <c r="AQ267" s="2" t="n">
        <f aca="false">'O_MN, PE_UTA_UGM 2024'!C263</f>
        <v>262</v>
      </c>
      <c r="AR267" s="1421" t="n">
        <v>2570</v>
      </c>
      <c r="AS267" s="2" t="str">
        <f aca="false">IF(AY267&lt;&gt;"",AY267,"")</f>
        <v/>
      </c>
      <c r="AT267" s="1422" t="n">
        <f aca="false">IF(ISNUMBER($AR267),SUMIF(B$7:B$505,AR267,D$7:D$505),"")</f>
        <v>0</v>
      </c>
      <c r="AU267" s="1411" t="n">
        <f aca="false">IF(ISNUMBER($AR267),SUMIF(AD$7:AD$503,$AR267,J$7:J$503),"")</f>
        <v>0</v>
      </c>
      <c r="AV267" s="1411" t="n">
        <f aca="false">IF(ISNUMBER($AR267),SUMIF(AF$7:AF$503,$AR267,L$7:L$503),"")</f>
        <v>0</v>
      </c>
      <c r="AW267" s="1423" t="n">
        <f aca="false">IF(ISNUMBER($AR267),SUMIF(AE$7:AE$503,$AR267,K$7:K$503),"")</f>
        <v>0</v>
      </c>
      <c r="AX267" s="1423" t="n">
        <f aca="false">IF(ISNUMBER($AR267),SUMIF(AG$7:AG$503,$AR267,M$7:M$503),"")</f>
        <v>0</v>
      </c>
      <c r="AY267" s="2" t="str">
        <f aca="false">IF($AT267&gt;0,VLOOKUP($AR267,'O_MN, PE_UTA_UGM 2024'!E263:O679,2),"")</f>
        <v/>
      </c>
      <c r="AZ267" s="1424"/>
      <c r="BA267" s="1424"/>
      <c r="BB267" s="1424" t="str">
        <f aca="false">IF($AT267&gt;0,VLOOKUP($AR267,'O_MN, PE_UTA_UGM 2024'!$E$3:$O$419,BB$6),"")</f>
        <v/>
      </c>
      <c r="BC267" s="1424" t="str">
        <f aca="false">IF($AT267&gt;0,VLOOKUP($AR267,'O_MN, PE_UTA_UGM 2024'!$E$3:$O$419,BC$6),"")</f>
        <v/>
      </c>
      <c r="BD267" s="1424" t="str">
        <f aca="false">IF($AT267&gt;0,VLOOKUP($AR267,'O_MN, PE_UTA_UGM 2024'!$E$3:$O$419,BD$6),"")</f>
        <v/>
      </c>
      <c r="BE267" s="1424" t="str">
        <f aca="false">IF($AT267&gt;0,VLOOKUP($AR267,'O_MN, PE_UTA_UGM 2024'!$E$3:$O$419,BE$6),"")</f>
        <v/>
      </c>
      <c r="BF267" s="1424" t="str">
        <f aca="false">IF($AT267&gt;0,VLOOKUP($AR267,'O_MN, PE_UTA_UGM 2024'!$E$3:$O$419,BF$6),"")</f>
        <v/>
      </c>
      <c r="BG267" s="1424" t="str">
        <f aca="false">IF($AT267&gt;0,VLOOKUP($AR267,'O_MN, PE_UTA_UGM 2024'!$E$3:$O$419,BG$6),"")</f>
        <v/>
      </c>
      <c r="BH267" s="872"/>
      <c r="BI267" s="872"/>
      <c r="BJ267" s="872"/>
      <c r="BK267" s="872"/>
      <c r="BM267" s="1411"/>
      <c r="BN267" s="1411"/>
      <c r="BO267" s="1425" t="str">
        <f aca="false">IF(ISNUMBER($AU267*BB267*1),$AU267*BB267*1,"")</f>
        <v/>
      </c>
      <c r="BP267" s="1425" t="str">
        <f aca="false">IF(ISNUMBER($AV267*BC267*1),$AV267*BC267*1,"")</f>
        <v/>
      </c>
      <c r="BQ267" s="1425" t="str">
        <f aca="false">IF(ISNUMBER($AU267*BD267*1),$AU267*BD267*1,"")</f>
        <v/>
      </c>
      <c r="BR267" s="1425" t="str">
        <f aca="false">IF(ISNUMBER($AV267*BE267*1),$AV267*BE267*1,"")</f>
        <v/>
      </c>
      <c r="BS267" s="1411" t="str">
        <f aca="false">IF(ISNUMBER($AU267*BF267),$AU267*BF267,"")</f>
        <v/>
      </c>
      <c r="BT267" s="1411" t="str">
        <f aca="false">IF(ISNUMBER($AV267*BG267),$AV267*BG267,"")</f>
        <v/>
      </c>
      <c r="BU267" s="1411"/>
      <c r="BV267" s="1411"/>
      <c r="BW267" s="1411"/>
      <c r="BX267" s="1411"/>
      <c r="BZ267" s="1372"/>
      <c r="CA267" s="1372"/>
      <c r="CB267" s="1426" t="str">
        <f aca="false">IF(ISNUMBER($AW267*BB267),$AW267*BB267,"")</f>
        <v/>
      </c>
      <c r="CC267" s="1426" t="str">
        <f aca="false">IF(ISNUMBER($AX267*BC267),$AX267*BC267,"")</f>
        <v/>
      </c>
      <c r="CD267" s="1426" t="str">
        <f aca="false">IF(ISNUMBER($AW267*BD267),$AW267*BD267,"")</f>
        <v/>
      </c>
      <c r="CE267" s="1426" t="str">
        <f aca="false">IF(ISNUMBER($AX267*BE267),$AX267*BE267,"")</f>
        <v/>
      </c>
      <c r="CF267" s="1372" t="str">
        <f aca="false">IF(ISNUMBER($AW267*BF267),$AW267*BF267,"")</f>
        <v/>
      </c>
      <c r="CG267" s="1372" t="str">
        <f aca="false">IF(ISNUMBER($AX267*BG267),$AX267*BG267,"")</f>
        <v/>
      </c>
      <c r="CH267" s="1438"/>
      <c r="CI267" s="1438"/>
      <c r="CJ267" s="1438"/>
      <c r="CK267" s="1438"/>
      <c r="CU267" s="1411"/>
      <c r="CV267" s="1411"/>
      <c r="CW267" s="1425"/>
      <c r="CX267" s="1425"/>
      <c r="CY267" s="1425"/>
      <c r="CZ267" s="1425"/>
      <c r="DA267" s="1411"/>
      <c r="DB267" s="1411"/>
      <c r="DC267" s="1411"/>
      <c r="DD267" s="1411"/>
      <c r="DE267" s="1411"/>
      <c r="DF267" s="1411"/>
      <c r="DH267" s="1432"/>
      <c r="DI267" s="1432"/>
      <c r="DJ267" s="1437"/>
      <c r="DK267" s="1437"/>
      <c r="DL267" s="1437"/>
      <c r="DM267" s="1437"/>
      <c r="DN267" s="1432"/>
      <c r="DO267" s="1432"/>
      <c r="DP267" s="1432"/>
      <c r="DQ267" s="1432"/>
      <c r="DR267" s="1432"/>
      <c r="DS267" s="1432"/>
      <c r="DT267" s="1316"/>
      <c r="DU267" s="1433"/>
      <c r="DV267" s="1433"/>
      <c r="DW267" s="1433"/>
      <c r="DX267" s="1433"/>
      <c r="DY267" s="1433"/>
      <c r="DZ267" s="1433"/>
      <c r="EA267" s="1433"/>
      <c r="EB267" s="1433"/>
    </row>
    <row r="268" customFormat="false" ht="14.25" hidden="false" customHeight="false" outlineLevel="0" collapsed="false">
      <c r="A268" s="2" t="n">
        <f aca="false">'V_DATOS PAC_SGA'!R263</f>
        <v>0</v>
      </c>
      <c r="B268" s="2" t="n">
        <f aca="false">IF(I268="IV",CONCATENATE('V_DATOS PAC_SGA'!R263,"4")+0,CONCATENATE('V_DATOS PAC_SGA'!R263,"0")+0)</f>
        <v>0</v>
      </c>
      <c r="C268" s="2" t="n">
        <f aca="false">'V_DATOS PAC_SGA'!S263</f>
        <v>0</v>
      </c>
      <c r="D268" s="1409" t="n">
        <f aca="false">'V_DATOS PAC_SGA'!Y263</f>
        <v>0</v>
      </c>
      <c r="E268" s="1410" t="str">
        <f aca="false">IF('V_DATOS PAC_SGA'!AV263="","Regadio",'V_DATOS PAC_SGA'!AV263)</f>
        <v>Regadio</v>
      </c>
      <c r="F268" s="1411" t="n">
        <f aca="false">'V_DATOS PAC_SGA'!BK263</f>
        <v>0</v>
      </c>
      <c r="G268" s="1412" t="n">
        <f aca="false">'V_DATOS PAC_SGA'!AN263</f>
        <v>0</v>
      </c>
      <c r="H268" s="1413" t="str">
        <f aca="false">IF(B268&gt;0,VLOOKUP(B268,'O_MN, PE_UTA_UGM 2024'!E$3:O$419,10),"")</f>
        <v/>
      </c>
      <c r="I268" s="1359" t="n">
        <f aca="false">'V_DATOS PAC_SGA'!BV263</f>
        <v>0</v>
      </c>
      <c r="J268" s="2" t="str">
        <f aca="false">IF(AND(J$4=$G268,J$6=$F268),$D268*J$5,"")</f>
        <v/>
      </c>
      <c r="K268" s="2" t="str">
        <f aca="false">IF(AND(K$4=$G268,K$6=$F268),$D268*K$5,"")</f>
        <v/>
      </c>
      <c r="L268" s="2" t="str">
        <f aca="false">IF(AND(L$4=$G268,L$6=$F268),$D268*L$5,"")</f>
        <v/>
      </c>
      <c r="M268" s="2" t="str">
        <f aca="false">IF(AND(M$4=$G268,M$6=$F268),$D268*M$5,"")</f>
        <v/>
      </c>
      <c r="N268" s="1414" t="n">
        <f aca="false">VLOOKUP(B268,'O_MN, PE_UTA_UGM 2024'!$E$2:$K$419,IF(G268&gt;1,6,7))</f>
        <v>0</v>
      </c>
      <c r="O268" s="1434" t="str">
        <f aca="false">IF($H268=O$4,$D268*$N268,"")</f>
        <v/>
      </c>
      <c r="P268" s="1435" t="str">
        <f aca="false">IF($H268=P$4,$D268*$N268,"")</f>
        <v/>
      </c>
      <c r="Q268" s="1435" t="str">
        <f aca="false">IF($H268=Q$4,$D268*$N268,"")</f>
        <v/>
      </c>
      <c r="R268" s="1435" t="str">
        <f aca="false">IF($H268=R$4,$D268*$N268,"")</f>
        <v/>
      </c>
      <c r="S268" s="1435" t="str">
        <f aca="false">IF($H268=S$4,$D268*$N268,"")</f>
        <v/>
      </c>
      <c r="T268" s="1435" t="str">
        <f aca="false">IF($H268=T$4,$D268*$N268,"")</f>
        <v/>
      </c>
      <c r="U268" s="1436" t="str">
        <f aca="false">IF($H268=U$4,$D268*$N268,"")</f>
        <v/>
      </c>
      <c r="V268" s="1418"/>
      <c r="W268" s="1419"/>
      <c r="X268" s="1419"/>
      <c r="Y268" s="1419"/>
      <c r="Z268" s="1419"/>
      <c r="AA268" s="1419"/>
      <c r="AB268" s="1420"/>
      <c r="AC268" s="1319"/>
      <c r="AD268" s="2" t="str">
        <f aca="false">IF(AND(AD$4=$G268,AD$6=$F268),$B268,"")</f>
        <v/>
      </c>
      <c r="AE268" s="2" t="str">
        <f aca="false">IF(AND(AE$4=$G268,AE$6=$F268),$B268,"")</f>
        <v/>
      </c>
      <c r="AF268" s="2" t="str">
        <f aca="false">IF(AND(AF$4=$G268,AF$6=$F268),$B268,"")</f>
        <v/>
      </c>
      <c r="AG268" s="2" t="str">
        <f aca="false">IF(AND(AG$4=$G268,AG$6=$F268),$B268,"")</f>
        <v/>
      </c>
      <c r="AI268" s="366"/>
      <c r="AL268" s="367"/>
      <c r="AO268" s="367"/>
      <c r="AP268" s="2" t="str">
        <f aca="false">IF(AT268&gt;0,RANK(AT268,AT$7:AT$423),"")</f>
        <v/>
      </c>
      <c r="AQ268" s="2" t="n">
        <f aca="false">'O_MN, PE_UTA_UGM 2024'!C264</f>
        <v>263</v>
      </c>
      <c r="AR268" s="1421" t="n">
        <v>2580</v>
      </c>
      <c r="AS268" s="2" t="str">
        <f aca="false">IF(AY268&lt;&gt;"",AY268,"")</f>
        <v/>
      </c>
      <c r="AT268" s="1422" t="n">
        <f aca="false">IF(ISNUMBER($AR268),SUMIF(B$7:B$505,AR268,D$7:D$505),"")</f>
        <v>0</v>
      </c>
      <c r="AU268" s="1411" t="n">
        <f aca="false">IF(ISNUMBER($AR268),SUMIF(AD$7:AD$503,$AR268,J$7:J$503),"")</f>
        <v>0</v>
      </c>
      <c r="AV268" s="1411" t="n">
        <f aca="false">IF(ISNUMBER($AR268),SUMIF(AF$7:AF$503,$AR268,L$7:L$503),"")</f>
        <v>0</v>
      </c>
      <c r="AW268" s="1423" t="n">
        <f aca="false">IF(ISNUMBER($AR268),SUMIF(AE$7:AE$503,$AR268,K$7:K$503),"")</f>
        <v>0</v>
      </c>
      <c r="AX268" s="1423" t="n">
        <f aca="false">IF(ISNUMBER($AR268),SUMIF(AG$7:AG$503,$AR268,M$7:M$503),"")</f>
        <v>0</v>
      </c>
      <c r="AY268" s="2" t="str">
        <f aca="false">IF($AT268&gt;0,VLOOKUP($AR268,'O_MN, PE_UTA_UGM 2024'!E264:O680,2),"")</f>
        <v/>
      </c>
      <c r="AZ268" s="1424"/>
      <c r="BA268" s="1424"/>
      <c r="BB268" s="1424" t="str">
        <f aca="false">IF($AT268&gt;0,VLOOKUP($AR268,'O_MN, PE_UTA_UGM 2024'!$E$3:$O$419,BB$6),"")</f>
        <v/>
      </c>
      <c r="BC268" s="1424" t="str">
        <f aca="false">IF($AT268&gt;0,VLOOKUP($AR268,'O_MN, PE_UTA_UGM 2024'!$E$3:$O$419,BC$6),"")</f>
        <v/>
      </c>
      <c r="BD268" s="1424" t="str">
        <f aca="false">IF($AT268&gt;0,VLOOKUP($AR268,'O_MN, PE_UTA_UGM 2024'!$E$3:$O$419,BD$6),"")</f>
        <v/>
      </c>
      <c r="BE268" s="1424" t="str">
        <f aca="false">IF($AT268&gt;0,VLOOKUP($AR268,'O_MN, PE_UTA_UGM 2024'!$E$3:$O$419,BE$6),"")</f>
        <v/>
      </c>
      <c r="BF268" s="1424" t="str">
        <f aca="false">IF($AT268&gt;0,VLOOKUP($AR268,'O_MN, PE_UTA_UGM 2024'!$E$3:$O$419,BF$6),"")</f>
        <v/>
      </c>
      <c r="BG268" s="1424" t="str">
        <f aca="false">IF($AT268&gt;0,VLOOKUP($AR268,'O_MN, PE_UTA_UGM 2024'!$E$3:$O$419,BG$6),"")</f>
        <v/>
      </c>
      <c r="BH268" s="872"/>
      <c r="BI268" s="872"/>
      <c r="BJ268" s="872"/>
      <c r="BK268" s="872"/>
      <c r="BM268" s="1411"/>
      <c r="BN268" s="1411"/>
      <c r="BO268" s="1425" t="str">
        <f aca="false">IF(ISNUMBER($AU268*BB268*1),$AU268*BB268*1,"")</f>
        <v/>
      </c>
      <c r="BP268" s="1425" t="str">
        <f aca="false">IF(ISNUMBER($AV268*BC268*1),$AV268*BC268*1,"")</f>
        <v/>
      </c>
      <c r="BQ268" s="1425" t="str">
        <f aca="false">IF(ISNUMBER($AU268*BD268*1),$AU268*BD268*1,"")</f>
        <v/>
      </c>
      <c r="BR268" s="1425" t="str">
        <f aca="false">IF(ISNUMBER($AV268*BE268*1),$AV268*BE268*1,"")</f>
        <v/>
      </c>
      <c r="BS268" s="1411" t="str">
        <f aca="false">IF(ISNUMBER($AU268*BF268),$AU268*BF268,"")</f>
        <v/>
      </c>
      <c r="BT268" s="1411" t="str">
        <f aca="false">IF(ISNUMBER($AV268*BG268),$AV268*BG268,"")</f>
        <v/>
      </c>
      <c r="BU268" s="1411"/>
      <c r="BV268" s="1411"/>
      <c r="BW268" s="1411"/>
      <c r="BX268" s="1411"/>
      <c r="BZ268" s="1372"/>
      <c r="CA268" s="1372"/>
      <c r="CB268" s="1426" t="str">
        <f aca="false">IF(ISNUMBER($AW268*BB268),$AW268*BB268,"")</f>
        <v/>
      </c>
      <c r="CC268" s="1426" t="str">
        <f aca="false">IF(ISNUMBER($AX268*BC268),$AX268*BC268,"")</f>
        <v/>
      </c>
      <c r="CD268" s="1426" t="str">
        <f aca="false">IF(ISNUMBER($AW268*BD268),$AW268*BD268,"")</f>
        <v/>
      </c>
      <c r="CE268" s="1426" t="str">
        <f aca="false">IF(ISNUMBER($AX268*BE268),$AX268*BE268,"")</f>
        <v/>
      </c>
      <c r="CF268" s="1372" t="str">
        <f aca="false">IF(ISNUMBER($AW268*BF268),$AW268*BF268,"")</f>
        <v/>
      </c>
      <c r="CG268" s="1372" t="str">
        <f aca="false">IF(ISNUMBER($AX268*BG268),$AX268*BG268,"")</f>
        <v/>
      </c>
      <c r="CH268" s="1438"/>
      <c r="CI268" s="1438"/>
      <c r="CJ268" s="1438"/>
      <c r="CK268" s="1438"/>
      <c r="CU268" s="1411"/>
      <c r="CV268" s="1411"/>
      <c r="CW268" s="1425"/>
      <c r="CX268" s="1425"/>
      <c r="CY268" s="1425"/>
      <c r="CZ268" s="1425"/>
      <c r="DA268" s="1411"/>
      <c r="DB268" s="1411"/>
      <c r="DC268" s="1411"/>
      <c r="DD268" s="1411"/>
      <c r="DE268" s="1411"/>
      <c r="DF268" s="1411"/>
      <c r="DH268" s="1432"/>
      <c r="DI268" s="1432"/>
      <c r="DJ268" s="1437"/>
      <c r="DK268" s="1437"/>
      <c r="DL268" s="1437"/>
      <c r="DM268" s="1437"/>
      <c r="DN268" s="1432"/>
      <c r="DO268" s="1432"/>
      <c r="DP268" s="1432"/>
      <c r="DQ268" s="1432"/>
      <c r="DR268" s="1432"/>
      <c r="DS268" s="1432"/>
      <c r="DT268" s="1316"/>
      <c r="DU268" s="1433"/>
      <c r="DV268" s="1433"/>
      <c r="DW268" s="1433"/>
      <c r="DX268" s="1433"/>
      <c r="DY268" s="1433"/>
      <c r="DZ268" s="1433"/>
      <c r="EA268" s="1433"/>
      <c r="EB268" s="1433"/>
    </row>
    <row r="269" customFormat="false" ht="14.25" hidden="false" customHeight="false" outlineLevel="0" collapsed="false">
      <c r="A269" s="2" t="n">
        <f aca="false">'V_DATOS PAC_SGA'!R264</f>
        <v>0</v>
      </c>
      <c r="B269" s="2" t="n">
        <f aca="false">IF(I269="IV",CONCATENATE('V_DATOS PAC_SGA'!R264,"4")+0,CONCATENATE('V_DATOS PAC_SGA'!R264,"0")+0)</f>
        <v>0</v>
      </c>
      <c r="C269" s="2" t="n">
        <f aca="false">'V_DATOS PAC_SGA'!S264</f>
        <v>0</v>
      </c>
      <c r="D269" s="1409" t="n">
        <f aca="false">'V_DATOS PAC_SGA'!Y264</f>
        <v>0</v>
      </c>
      <c r="E269" s="1410" t="str">
        <f aca="false">IF('V_DATOS PAC_SGA'!AV264="","Regadio",'V_DATOS PAC_SGA'!AV264)</f>
        <v>Regadio</v>
      </c>
      <c r="F269" s="1411" t="n">
        <f aca="false">'V_DATOS PAC_SGA'!BK264</f>
        <v>0</v>
      </c>
      <c r="G269" s="1412" t="n">
        <f aca="false">'V_DATOS PAC_SGA'!AN264</f>
        <v>0</v>
      </c>
      <c r="H269" s="1413" t="str">
        <f aca="false">IF(B269&gt;0,VLOOKUP(B269,'O_MN, PE_UTA_UGM 2024'!E$3:O$419,10),"")</f>
        <v/>
      </c>
      <c r="I269" s="1359" t="n">
        <f aca="false">'V_DATOS PAC_SGA'!BV264</f>
        <v>0</v>
      </c>
      <c r="J269" s="2" t="str">
        <f aca="false">IF(AND(J$4=$G269,J$6=$F269),$D269*J$5,"")</f>
        <v/>
      </c>
      <c r="K269" s="2" t="str">
        <f aca="false">IF(AND(K$4=$G269,K$6=$F269),$D269*K$5,"")</f>
        <v/>
      </c>
      <c r="L269" s="2" t="str">
        <f aca="false">IF(AND(L$4=$G269,L$6=$F269),$D269*L$5,"")</f>
        <v/>
      </c>
      <c r="M269" s="2" t="str">
        <f aca="false">IF(AND(M$4=$G269,M$6=$F269),$D269*M$5,"")</f>
        <v/>
      </c>
      <c r="N269" s="1414" t="n">
        <f aca="false">VLOOKUP(B269,'O_MN, PE_UTA_UGM 2024'!$E$2:$K$419,IF(G269&gt;1,6,7))</f>
        <v>0</v>
      </c>
      <c r="O269" s="1434" t="str">
        <f aca="false">IF($H269=O$4,$D269*$N269,"")</f>
        <v/>
      </c>
      <c r="P269" s="1435" t="str">
        <f aca="false">IF($H269=P$4,$D269*$N269,"")</f>
        <v/>
      </c>
      <c r="Q269" s="1435" t="str">
        <f aca="false">IF($H269=Q$4,$D269*$N269,"")</f>
        <v/>
      </c>
      <c r="R269" s="1435" t="str">
        <f aca="false">IF($H269=R$4,$D269*$N269,"")</f>
        <v/>
      </c>
      <c r="S269" s="1435" t="str">
        <f aca="false">IF($H269=S$4,$D269*$N269,"")</f>
        <v/>
      </c>
      <c r="T269" s="1435" t="str">
        <f aca="false">IF($H269=T$4,$D269*$N269,"")</f>
        <v/>
      </c>
      <c r="U269" s="1436" t="str">
        <f aca="false">IF($H269=U$4,$D269*$N269,"")</f>
        <v/>
      </c>
      <c r="V269" s="1418"/>
      <c r="W269" s="1419"/>
      <c r="X269" s="1419"/>
      <c r="Y269" s="1419"/>
      <c r="Z269" s="1419"/>
      <c r="AA269" s="1419"/>
      <c r="AB269" s="1420"/>
      <c r="AC269" s="1319"/>
      <c r="AD269" s="2" t="str">
        <f aca="false">IF(AND(AD$4=$G269,AD$6=$F269),$B269,"")</f>
        <v/>
      </c>
      <c r="AE269" s="2" t="str">
        <f aca="false">IF(AND(AE$4=$G269,AE$6=$F269),$B269,"")</f>
        <v/>
      </c>
      <c r="AF269" s="2" t="str">
        <f aca="false">IF(AND(AF$4=$G269,AF$6=$F269),$B269,"")</f>
        <v/>
      </c>
      <c r="AG269" s="2" t="str">
        <f aca="false">IF(AND(AG$4=$G269,AG$6=$F269),$B269,"")</f>
        <v/>
      </c>
      <c r="AI269" s="366"/>
      <c r="AL269" s="367"/>
      <c r="AO269" s="367"/>
      <c r="AP269" s="2" t="str">
        <f aca="false">IF(AT269&gt;0,RANK(AT269,AT$7:AT$423),"")</f>
        <v/>
      </c>
      <c r="AQ269" s="2" t="n">
        <f aca="false">'O_MN, PE_UTA_UGM 2024'!C265</f>
        <v>264</v>
      </c>
      <c r="AR269" s="1421" t="n">
        <v>2590</v>
      </c>
      <c r="AS269" s="2" t="str">
        <f aca="false">IF(AY269&lt;&gt;"",AY269,"")</f>
        <v/>
      </c>
      <c r="AT269" s="1422" t="n">
        <f aca="false">IF(ISNUMBER($AR269),SUMIF(B$7:B$505,AR269,D$7:D$505),"")</f>
        <v>0</v>
      </c>
      <c r="AU269" s="1411" t="n">
        <f aca="false">IF(ISNUMBER($AR269),SUMIF(AD$7:AD$503,$AR269,J$7:J$503),"")</f>
        <v>0</v>
      </c>
      <c r="AV269" s="1411" t="n">
        <f aca="false">IF(ISNUMBER($AR269),SUMIF(AF$7:AF$503,$AR269,L$7:L$503),"")</f>
        <v>0</v>
      </c>
      <c r="AW269" s="1423" t="n">
        <f aca="false">IF(ISNUMBER($AR269),SUMIF(AE$7:AE$503,$AR269,K$7:K$503),"")</f>
        <v>0</v>
      </c>
      <c r="AX269" s="1423" t="n">
        <f aca="false">IF(ISNUMBER($AR269),SUMIF(AG$7:AG$503,$AR269,M$7:M$503),"")</f>
        <v>0</v>
      </c>
      <c r="AY269" s="2" t="str">
        <f aca="false">IF($AT269&gt;0,VLOOKUP($AR269,'O_MN, PE_UTA_UGM 2024'!E265:O681,2),"")</f>
        <v/>
      </c>
      <c r="AZ269" s="1424"/>
      <c r="BA269" s="1424"/>
      <c r="BB269" s="1424" t="str">
        <f aca="false">IF($AT269&gt;0,VLOOKUP($AR269,'O_MN, PE_UTA_UGM 2024'!$E$3:$O$419,BB$6),"")</f>
        <v/>
      </c>
      <c r="BC269" s="1424" t="str">
        <f aca="false">IF($AT269&gt;0,VLOOKUP($AR269,'O_MN, PE_UTA_UGM 2024'!$E$3:$O$419,BC$6),"")</f>
        <v/>
      </c>
      <c r="BD269" s="1424" t="str">
        <f aca="false">IF($AT269&gt;0,VLOOKUP($AR269,'O_MN, PE_UTA_UGM 2024'!$E$3:$O$419,BD$6),"")</f>
        <v/>
      </c>
      <c r="BE269" s="1424" t="str">
        <f aca="false">IF($AT269&gt;0,VLOOKUP($AR269,'O_MN, PE_UTA_UGM 2024'!$E$3:$O$419,BE$6),"")</f>
        <v/>
      </c>
      <c r="BF269" s="1424" t="str">
        <f aca="false">IF($AT269&gt;0,VLOOKUP($AR269,'O_MN, PE_UTA_UGM 2024'!$E$3:$O$419,BF$6),"")</f>
        <v/>
      </c>
      <c r="BG269" s="1424" t="str">
        <f aca="false">IF($AT269&gt;0,VLOOKUP($AR269,'O_MN, PE_UTA_UGM 2024'!$E$3:$O$419,BG$6),"")</f>
        <v/>
      </c>
      <c r="BH269" s="872"/>
      <c r="BI269" s="872"/>
      <c r="BJ269" s="872"/>
      <c r="BK269" s="872"/>
      <c r="BM269" s="1411"/>
      <c r="BN269" s="1411"/>
      <c r="BO269" s="1425" t="str">
        <f aca="false">IF(ISNUMBER($AU269*BB269*1),$AU269*BB269*1,"")</f>
        <v/>
      </c>
      <c r="BP269" s="1425" t="str">
        <f aca="false">IF(ISNUMBER($AV269*BC269*1),$AV269*BC269*1,"")</f>
        <v/>
      </c>
      <c r="BQ269" s="1425" t="str">
        <f aca="false">IF(ISNUMBER($AU269*BD269*1),$AU269*BD269*1,"")</f>
        <v/>
      </c>
      <c r="BR269" s="1425" t="str">
        <f aca="false">IF(ISNUMBER($AV269*BE269*1),$AV269*BE269*1,"")</f>
        <v/>
      </c>
      <c r="BS269" s="1411" t="str">
        <f aca="false">IF(ISNUMBER($AU269*BF269),$AU269*BF269,"")</f>
        <v/>
      </c>
      <c r="BT269" s="1411" t="str">
        <f aca="false">IF(ISNUMBER($AV269*BG269),$AV269*BG269,"")</f>
        <v/>
      </c>
      <c r="BU269" s="1411"/>
      <c r="BV269" s="1411"/>
      <c r="BW269" s="1411"/>
      <c r="BX269" s="1411"/>
      <c r="BZ269" s="1372"/>
      <c r="CA269" s="1372"/>
      <c r="CB269" s="1426" t="str">
        <f aca="false">IF(ISNUMBER($AW269*BB269),$AW269*BB269,"")</f>
        <v/>
      </c>
      <c r="CC269" s="1426" t="str">
        <f aca="false">IF(ISNUMBER($AX269*BC269),$AX269*BC269,"")</f>
        <v/>
      </c>
      <c r="CD269" s="1426" t="str">
        <f aca="false">IF(ISNUMBER($AW269*BD269),$AW269*BD269,"")</f>
        <v/>
      </c>
      <c r="CE269" s="1426" t="str">
        <f aca="false">IF(ISNUMBER($AX269*BE269),$AX269*BE269,"")</f>
        <v/>
      </c>
      <c r="CF269" s="1372" t="str">
        <f aca="false">IF(ISNUMBER($AW269*BF269),$AW269*BF269,"")</f>
        <v/>
      </c>
      <c r="CG269" s="1372" t="str">
        <f aca="false">IF(ISNUMBER($AX269*BG269),$AX269*BG269,"")</f>
        <v/>
      </c>
      <c r="CH269" s="1438"/>
      <c r="CI269" s="1438"/>
      <c r="CJ269" s="1438"/>
      <c r="CK269" s="1438"/>
      <c r="CU269" s="1411"/>
      <c r="CV269" s="1411"/>
      <c r="CW269" s="1425"/>
      <c r="CX269" s="1425"/>
      <c r="CY269" s="1425"/>
      <c r="CZ269" s="1425"/>
      <c r="DA269" s="1411"/>
      <c r="DB269" s="1411"/>
      <c r="DC269" s="1411"/>
      <c r="DD269" s="1411"/>
      <c r="DE269" s="1411"/>
      <c r="DF269" s="1411"/>
      <c r="DH269" s="1432"/>
      <c r="DI269" s="1432"/>
      <c r="DJ269" s="1437"/>
      <c r="DK269" s="1437"/>
      <c r="DL269" s="1437"/>
      <c r="DM269" s="1437"/>
      <c r="DN269" s="1432"/>
      <c r="DO269" s="1432"/>
      <c r="DP269" s="1432"/>
      <c r="DQ269" s="1432"/>
      <c r="DR269" s="1432"/>
      <c r="DS269" s="1432"/>
      <c r="DT269" s="1316"/>
      <c r="DU269" s="1433"/>
      <c r="DV269" s="1433"/>
      <c r="DW269" s="1433"/>
      <c r="DX269" s="1433"/>
      <c r="DY269" s="1433"/>
      <c r="DZ269" s="1433"/>
      <c r="EA269" s="1433"/>
      <c r="EB269" s="1433"/>
    </row>
    <row r="270" customFormat="false" ht="14.25" hidden="false" customHeight="false" outlineLevel="0" collapsed="false">
      <c r="A270" s="2" t="n">
        <f aca="false">'V_DATOS PAC_SGA'!R265</f>
        <v>0</v>
      </c>
      <c r="B270" s="2" t="n">
        <f aca="false">IF(I270="IV",CONCATENATE('V_DATOS PAC_SGA'!R265,"4")+0,CONCATENATE('V_DATOS PAC_SGA'!R265,"0")+0)</f>
        <v>0</v>
      </c>
      <c r="C270" s="2" t="n">
        <f aca="false">'V_DATOS PAC_SGA'!S265</f>
        <v>0</v>
      </c>
      <c r="D270" s="1409" t="n">
        <f aca="false">'V_DATOS PAC_SGA'!Y265</f>
        <v>0</v>
      </c>
      <c r="E270" s="1410" t="str">
        <f aca="false">IF('V_DATOS PAC_SGA'!AV265="","Regadio",'V_DATOS PAC_SGA'!AV265)</f>
        <v>Regadio</v>
      </c>
      <c r="F270" s="1411" t="n">
        <f aca="false">'V_DATOS PAC_SGA'!BK265</f>
        <v>0</v>
      </c>
      <c r="G270" s="1412" t="n">
        <f aca="false">'V_DATOS PAC_SGA'!AN265</f>
        <v>0</v>
      </c>
      <c r="H270" s="1413" t="str">
        <f aca="false">IF(B270&gt;0,VLOOKUP(B270,'O_MN, PE_UTA_UGM 2024'!E$3:O$419,10),"")</f>
        <v/>
      </c>
      <c r="I270" s="1359" t="n">
        <f aca="false">'V_DATOS PAC_SGA'!BV265</f>
        <v>0</v>
      </c>
      <c r="J270" s="2" t="str">
        <f aca="false">IF(AND(J$4=$G270,J$6=$F270),$D270*J$5,"")</f>
        <v/>
      </c>
      <c r="K270" s="2" t="str">
        <f aca="false">IF(AND(K$4=$G270,K$6=$F270),$D270*K$5,"")</f>
        <v/>
      </c>
      <c r="L270" s="2" t="str">
        <f aca="false">IF(AND(L$4=$G270,L$6=$F270),$D270*L$5,"")</f>
        <v/>
      </c>
      <c r="M270" s="2" t="str">
        <f aca="false">IF(AND(M$4=$G270,M$6=$F270),$D270*M$5,"")</f>
        <v/>
      </c>
      <c r="N270" s="1414" t="n">
        <f aca="false">VLOOKUP(B270,'O_MN, PE_UTA_UGM 2024'!$E$2:$K$419,IF(G270&gt;1,6,7))</f>
        <v>0</v>
      </c>
      <c r="O270" s="1434" t="str">
        <f aca="false">IF($H270=O$4,$D270*$N270,"")</f>
        <v/>
      </c>
      <c r="P270" s="1435" t="str">
        <f aca="false">IF($H270=P$4,$D270*$N270,"")</f>
        <v/>
      </c>
      <c r="Q270" s="1435" t="str">
        <f aca="false">IF($H270=Q$4,$D270*$N270,"")</f>
        <v/>
      </c>
      <c r="R270" s="1435" t="str">
        <f aca="false">IF($H270=R$4,$D270*$N270,"")</f>
        <v/>
      </c>
      <c r="S270" s="1435" t="str">
        <f aca="false">IF($H270=S$4,$D270*$N270,"")</f>
        <v/>
      </c>
      <c r="T270" s="1435" t="str">
        <f aca="false">IF($H270=T$4,$D270*$N270,"")</f>
        <v/>
      </c>
      <c r="U270" s="1436" t="str">
        <f aca="false">IF($H270=U$4,$D270*$N270,"")</f>
        <v/>
      </c>
      <c r="V270" s="1418"/>
      <c r="W270" s="1419"/>
      <c r="X270" s="1419"/>
      <c r="Y270" s="1419"/>
      <c r="Z270" s="1419"/>
      <c r="AA270" s="1419"/>
      <c r="AB270" s="1420"/>
      <c r="AC270" s="1319"/>
      <c r="AD270" s="2" t="str">
        <f aca="false">IF(AND(AD$4=$G270,AD$6=$F270),$B270,"")</f>
        <v/>
      </c>
      <c r="AE270" s="2" t="str">
        <f aca="false">IF(AND(AE$4=$G270,AE$6=$F270),$B270,"")</f>
        <v/>
      </c>
      <c r="AF270" s="2" t="str">
        <f aca="false">IF(AND(AF$4=$G270,AF$6=$F270),$B270,"")</f>
        <v/>
      </c>
      <c r="AG270" s="2" t="str">
        <f aca="false">IF(AND(AG$4=$G270,AG$6=$F270),$B270,"")</f>
        <v/>
      </c>
      <c r="AI270" s="366"/>
      <c r="AL270" s="367"/>
      <c r="AO270" s="367"/>
      <c r="AP270" s="2" t="str">
        <f aca="false">IF(AT270&gt;0,RANK(AT270,AT$7:AT$423),"")</f>
        <v/>
      </c>
      <c r="AQ270" s="2" t="n">
        <f aca="false">'O_MN, PE_UTA_UGM 2024'!C266</f>
        <v>265</v>
      </c>
      <c r="AR270" s="1421" t="n">
        <v>2600</v>
      </c>
      <c r="AS270" s="2" t="str">
        <f aca="false">IF(AY270&lt;&gt;"",AY270,"")</f>
        <v/>
      </c>
      <c r="AT270" s="1422" t="n">
        <f aca="false">IF(ISNUMBER($AR270),SUMIF(B$7:B$505,AR270,D$7:D$505),"")</f>
        <v>0</v>
      </c>
      <c r="AU270" s="1411" t="n">
        <f aca="false">IF(ISNUMBER($AR270),SUMIF(AD$7:AD$503,$AR270,J$7:J$503),"")</f>
        <v>0</v>
      </c>
      <c r="AV270" s="1411" t="n">
        <f aca="false">IF(ISNUMBER($AR270),SUMIF(AF$7:AF$503,$AR270,L$7:L$503),"")</f>
        <v>0</v>
      </c>
      <c r="AW270" s="1423" t="n">
        <f aca="false">IF(ISNUMBER($AR270),SUMIF(AE$7:AE$503,$AR270,K$7:K$503),"")</f>
        <v>0</v>
      </c>
      <c r="AX270" s="1423" t="n">
        <f aca="false">IF(ISNUMBER($AR270),SUMIF(AG$7:AG$503,$AR270,M$7:M$503),"")</f>
        <v>0</v>
      </c>
      <c r="AY270" s="2" t="str">
        <f aca="false">IF($AT270&gt;0,VLOOKUP($AR270,'O_MN, PE_UTA_UGM 2024'!E266:O682,2),"")</f>
        <v/>
      </c>
      <c r="AZ270" s="1424"/>
      <c r="BA270" s="1424"/>
      <c r="BB270" s="1424" t="str">
        <f aca="false">IF($AT270&gt;0,VLOOKUP($AR270,'O_MN, PE_UTA_UGM 2024'!$E$3:$O$419,BB$6),"")</f>
        <v/>
      </c>
      <c r="BC270" s="1424" t="str">
        <f aca="false">IF($AT270&gt;0,VLOOKUP($AR270,'O_MN, PE_UTA_UGM 2024'!$E$3:$O$419,BC$6),"")</f>
        <v/>
      </c>
      <c r="BD270" s="1424" t="str">
        <f aca="false">IF($AT270&gt;0,VLOOKUP($AR270,'O_MN, PE_UTA_UGM 2024'!$E$3:$O$419,BD$6),"")</f>
        <v/>
      </c>
      <c r="BE270" s="1424" t="str">
        <f aca="false">IF($AT270&gt;0,VLOOKUP($AR270,'O_MN, PE_UTA_UGM 2024'!$E$3:$O$419,BE$6),"")</f>
        <v/>
      </c>
      <c r="BF270" s="1424" t="str">
        <f aca="false">IF($AT270&gt;0,VLOOKUP($AR270,'O_MN, PE_UTA_UGM 2024'!$E$3:$O$419,BF$6),"")</f>
        <v/>
      </c>
      <c r="BG270" s="1424" t="str">
        <f aca="false">IF($AT270&gt;0,VLOOKUP($AR270,'O_MN, PE_UTA_UGM 2024'!$E$3:$O$419,BG$6),"")</f>
        <v/>
      </c>
      <c r="BH270" s="872"/>
      <c r="BI270" s="872"/>
      <c r="BJ270" s="872"/>
      <c r="BK270" s="872"/>
      <c r="BM270" s="1411"/>
      <c r="BN270" s="1411"/>
      <c r="BO270" s="1425" t="str">
        <f aca="false">IF(ISNUMBER($AU270*BB270*1),$AU270*BB270*1,"")</f>
        <v/>
      </c>
      <c r="BP270" s="1425" t="str">
        <f aca="false">IF(ISNUMBER($AV270*BC270*1),$AV270*BC270*1,"")</f>
        <v/>
      </c>
      <c r="BQ270" s="1425" t="str">
        <f aca="false">IF(ISNUMBER($AU270*BD270*1),$AU270*BD270*1,"")</f>
        <v/>
      </c>
      <c r="BR270" s="1425" t="str">
        <f aca="false">IF(ISNUMBER($AV270*BE270*1),$AV270*BE270*1,"")</f>
        <v/>
      </c>
      <c r="BS270" s="1411" t="str">
        <f aca="false">IF(ISNUMBER($AU270*BF270),$AU270*BF270,"")</f>
        <v/>
      </c>
      <c r="BT270" s="1411" t="str">
        <f aca="false">IF(ISNUMBER($AV270*BG270),$AV270*BG270,"")</f>
        <v/>
      </c>
      <c r="BU270" s="1411"/>
      <c r="BV270" s="1411"/>
      <c r="BW270" s="1411"/>
      <c r="BX270" s="1411"/>
      <c r="BZ270" s="1372"/>
      <c r="CA270" s="1372"/>
      <c r="CB270" s="1426" t="str">
        <f aca="false">IF(ISNUMBER($AW270*BB270),$AW270*BB270,"")</f>
        <v/>
      </c>
      <c r="CC270" s="1426" t="str">
        <f aca="false">IF(ISNUMBER($AX270*BC270),$AX270*BC270,"")</f>
        <v/>
      </c>
      <c r="CD270" s="1426" t="str">
        <f aca="false">IF(ISNUMBER($AW270*BD270),$AW270*BD270,"")</f>
        <v/>
      </c>
      <c r="CE270" s="1426" t="str">
        <f aca="false">IF(ISNUMBER($AX270*BE270),$AX270*BE270,"")</f>
        <v/>
      </c>
      <c r="CF270" s="1372" t="str">
        <f aca="false">IF(ISNUMBER($AW270*BF270),$AW270*BF270,"")</f>
        <v/>
      </c>
      <c r="CG270" s="1372" t="str">
        <f aca="false">IF(ISNUMBER($AX270*BG270),$AX270*BG270,"")</f>
        <v/>
      </c>
      <c r="CH270" s="1438"/>
      <c r="CI270" s="1438"/>
      <c r="CJ270" s="1438"/>
      <c r="CK270" s="1438"/>
      <c r="CU270" s="1411"/>
      <c r="CV270" s="1411"/>
      <c r="CW270" s="1425"/>
      <c r="CX270" s="1425"/>
      <c r="CY270" s="1425"/>
      <c r="CZ270" s="1425"/>
      <c r="DA270" s="1411"/>
      <c r="DB270" s="1411"/>
      <c r="DC270" s="1411"/>
      <c r="DD270" s="1411"/>
      <c r="DE270" s="1411"/>
      <c r="DF270" s="1411"/>
      <c r="DH270" s="1432"/>
      <c r="DI270" s="1432"/>
      <c r="DJ270" s="1437"/>
      <c r="DK270" s="1437"/>
      <c r="DL270" s="1437"/>
      <c r="DM270" s="1437"/>
      <c r="DN270" s="1432"/>
      <c r="DO270" s="1432"/>
      <c r="DP270" s="1432"/>
      <c r="DQ270" s="1432"/>
      <c r="DR270" s="1432"/>
      <c r="DS270" s="1432"/>
      <c r="DT270" s="1316"/>
      <c r="DU270" s="1433"/>
      <c r="DV270" s="1433"/>
      <c r="DW270" s="1433"/>
      <c r="DX270" s="1433"/>
      <c r="DY270" s="1433"/>
      <c r="DZ270" s="1433"/>
      <c r="EA270" s="1433"/>
      <c r="EB270" s="1433"/>
    </row>
    <row r="271" customFormat="false" ht="14.25" hidden="false" customHeight="false" outlineLevel="0" collapsed="false">
      <c r="A271" s="2" t="n">
        <f aca="false">'V_DATOS PAC_SGA'!R266</f>
        <v>0</v>
      </c>
      <c r="B271" s="2" t="n">
        <f aca="false">IF(I271="IV",CONCATENATE('V_DATOS PAC_SGA'!R266,"4")+0,CONCATENATE('V_DATOS PAC_SGA'!R266,"0")+0)</f>
        <v>0</v>
      </c>
      <c r="C271" s="2" t="n">
        <f aca="false">'V_DATOS PAC_SGA'!S266</f>
        <v>0</v>
      </c>
      <c r="D271" s="1409" t="n">
        <f aca="false">'V_DATOS PAC_SGA'!Y266</f>
        <v>0</v>
      </c>
      <c r="E271" s="1410" t="str">
        <f aca="false">IF('V_DATOS PAC_SGA'!AV266="","Regadio",'V_DATOS PAC_SGA'!AV266)</f>
        <v>Regadio</v>
      </c>
      <c r="F271" s="1411" t="n">
        <f aca="false">'V_DATOS PAC_SGA'!BK266</f>
        <v>0</v>
      </c>
      <c r="G271" s="1412" t="n">
        <f aca="false">'V_DATOS PAC_SGA'!AN266</f>
        <v>0</v>
      </c>
      <c r="H271" s="1413" t="str">
        <f aca="false">IF(B271&gt;0,VLOOKUP(B271,'O_MN, PE_UTA_UGM 2024'!E$3:O$419,10),"")</f>
        <v/>
      </c>
      <c r="I271" s="1359" t="n">
        <f aca="false">'V_DATOS PAC_SGA'!BV266</f>
        <v>0</v>
      </c>
      <c r="J271" s="2" t="str">
        <f aca="false">IF(AND(J$4=$G271,J$6=$F271),$D271*J$5,"")</f>
        <v/>
      </c>
      <c r="K271" s="2" t="str">
        <f aca="false">IF(AND(K$4=$G271,K$6=$F271),$D271*K$5,"")</f>
        <v/>
      </c>
      <c r="L271" s="2" t="str">
        <f aca="false">IF(AND(L$4=$G271,L$6=$F271),$D271*L$5,"")</f>
        <v/>
      </c>
      <c r="M271" s="2" t="str">
        <f aca="false">IF(AND(M$4=$G271,M$6=$F271),$D271*M$5,"")</f>
        <v/>
      </c>
      <c r="N271" s="1414" t="n">
        <f aca="false">VLOOKUP(B271,'O_MN, PE_UTA_UGM 2024'!$E$2:$K$419,IF(G271&gt;1,6,7))</f>
        <v>0</v>
      </c>
      <c r="O271" s="1434" t="str">
        <f aca="false">IF($H271=O$4,$D271*$N271,"")</f>
        <v/>
      </c>
      <c r="P271" s="1435" t="str">
        <f aca="false">IF($H271=P$4,$D271*$N271,"")</f>
        <v/>
      </c>
      <c r="Q271" s="1435" t="str">
        <f aca="false">IF($H271=Q$4,$D271*$N271,"")</f>
        <v/>
      </c>
      <c r="R271" s="1435" t="str">
        <f aca="false">IF($H271=R$4,$D271*$N271,"")</f>
        <v/>
      </c>
      <c r="S271" s="1435" t="str">
        <f aca="false">IF($H271=S$4,$D271*$N271,"")</f>
        <v/>
      </c>
      <c r="T271" s="1435" t="str">
        <f aca="false">IF($H271=T$4,$D271*$N271,"")</f>
        <v/>
      </c>
      <c r="U271" s="1436" t="str">
        <f aca="false">IF($H271=U$4,$D271*$N271,"")</f>
        <v/>
      </c>
      <c r="V271" s="1418"/>
      <c r="W271" s="1419"/>
      <c r="X271" s="1419"/>
      <c r="Y271" s="1419"/>
      <c r="Z271" s="1419"/>
      <c r="AA271" s="1419"/>
      <c r="AB271" s="1420"/>
      <c r="AC271" s="1319"/>
      <c r="AD271" s="2" t="str">
        <f aca="false">IF(AND(AD$4=$G271,AD$6=$F271),$B271,"")</f>
        <v/>
      </c>
      <c r="AE271" s="2" t="str">
        <f aca="false">IF(AND(AE$4=$G271,AE$6=$F271),$B271,"")</f>
        <v/>
      </c>
      <c r="AF271" s="2" t="str">
        <f aca="false">IF(AND(AF$4=$G271,AF$6=$F271),$B271,"")</f>
        <v/>
      </c>
      <c r="AG271" s="2" t="str">
        <f aca="false">IF(AND(AG$4=$G271,AG$6=$F271),$B271,"")</f>
        <v/>
      </c>
      <c r="AI271" s="366"/>
      <c r="AL271" s="367"/>
      <c r="AO271" s="367"/>
      <c r="AP271" s="2" t="str">
        <f aca="false">IF(AT271&gt;0,RANK(AT271,AT$7:AT$423),"")</f>
        <v/>
      </c>
      <c r="AQ271" s="2" t="n">
        <f aca="false">'O_MN, PE_UTA_UGM 2024'!C267</f>
        <v>266</v>
      </c>
      <c r="AR271" s="1421" t="n">
        <v>2610</v>
      </c>
      <c r="AS271" s="2" t="str">
        <f aca="false">IF(AY271&lt;&gt;"",AY271,"")</f>
        <v/>
      </c>
      <c r="AT271" s="1422" t="n">
        <f aca="false">IF(ISNUMBER($AR271),SUMIF(B$7:B$505,AR271,D$7:D$505),"")</f>
        <v>0</v>
      </c>
      <c r="AU271" s="1411" t="n">
        <f aca="false">IF(ISNUMBER($AR271),SUMIF(AD$7:AD$503,$AR271,J$7:J$503),"")</f>
        <v>0</v>
      </c>
      <c r="AV271" s="1411" t="n">
        <f aca="false">IF(ISNUMBER($AR271),SUMIF(AF$7:AF$503,$AR271,L$7:L$503),"")</f>
        <v>0</v>
      </c>
      <c r="AW271" s="1423" t="n">
        <f aca="false">IF(ISNUMBER($AR271),SUMIF(AE$7:AE$503,$AR271,K$7:K$503),"")</f>
        <v>0</v>
      </c>
      <c r="AX271" s="1423" t="n">
        <f aca="false">IF(ISNUMBER($AR271),SUMIF(AG$7:AG$503,$AR271,M$7:M$503),"")</f>
        <v>0</v>
      </c>
      <c r="AY271" s="2" t="str">
        <f aca="false">IF($AT271&gt;0,VLOOKUP($AR271,'O_MN, PE_UTA_UGM 2024'!E267:O683,2),"")</f>
        <v/>
      </c>
      <c r="AZ271" s="1424"/>
      <c r="BA271" s="1424"/>
      <c r="BB271" s="1424" t="str">
        <f aca="false">IF($AT271&gt;0,VLOOKUP($AR271,'O_MN, PE_UTA_UGM 2024'!$E$3:$O$419,BB$6),"")</f>
        <v/>
      </c>
      <c r="BC271" s="1424" t="str">
        <f aca="false">IF($AT271&gt;0,VLOOKUP($AR271,'O_MN, PE_UTA_UGM 2024'!$E$3:$O$419,BC$6),"")</f>
        <v/>
      </c>
      <c r="BD271" s="1424" t="str">
        <f aca="false">IF($AT271&gt;0,VLOOKUP($AR271,'O_MN, PE_UTA_UGM 2024'!$E$3:$O$419,BD$6),"")</f>
        <v/>
      </c>
      <c r="BE271" s="1424" t="str">
        <f aca="false">IF($AT271&gt;0,VLOOKUP($AR271,'O_MN, PE_UTA_UGM 2024'!$E$3:$O$419,BE$6),"")</f>
        <v/>
      </c>
      <c r="BF271" s="1424" t="str">
        <f aca="false">IF($AT271&gt;0,VLOOKUP($AR271,'O_MN, PE_UTA_UGM 2024'!$E$3:$O$419,BF$6),"")</f>
        <v/>
      </c>
      <c r="BG271" s="1424" t="str">
        <f aca="false">IF($AT271&gt;0,VLOOKUP($AR271,'O_MN, PE_UTA_UGM 2024'!$E$3:$O$419,BG$6),"")</f>
        <v/>
      </c>
      <c r="BH271" s="872"/>
      <c r="BI271" s="872"/>
      <c r="BJ271" s="872"/>
      <c r="BK271" s="872"/>
      <c r="BM271" s="1411"/>
      <c r="BN271" s="1411"/>
      <c r="BO271" s="1425" t="str">
        <f aca="false">IF(ISNUMBER($AU271*BB271*1),$AU271*BB271*1,"")</f>
        <v/>
      </c>
      <c r="BP271" s="1425" t="str">
        <f aca="false">IF(ISNUMBER($AV271*BC271*1),$AV271*BC271*1,"")</f>
        <v/>
      </c>
      <c r="BQ271" s="1425" t="str">
        <f aca="false">IF(ISNUMBER($AU271*BD271*1),$AU271*BD271*1,"")</f>
        <v/>
      </c>
      <c r="BR271" s="1425" t="str">
        <f aca="false">IF(ISNUMBER($AV271*BE271*1),$AV271*BE271*1,"")</f>
        <v/>
      </c>
      <c r="BS271" s="1411" t="str">
        <f aca="false">IF(ISNUMBER($AU271*BF271),$AU271*BF271,"")</f>
        <v/>
      </c>
      <c r="BT271" s="1411" t="str">
        <f aca="false">IF(ISNUMBER($AV271*BG271),$AV271*BG271,"")</f>
        <v/>
      </c>
      <c r="BU271" s="1411"/>
      <c r="BV271" s="1411"/>
      <c r="BW271" s="1411"/>
      <c r="BX271" s="1411"/>
      <c r="BZ271" s="1372"/>
      <c r="CA271" s="1372"/>
      <c r="CB271" s="1426" t="str">
        <f aca="false">IF(ISNUMBER($AW271*BB271),$AW271*BB271,"")</f>
        <v/>
      </c>
      <c r="CC271" s="1426" t="str">
        <f aca="false">IF(ISNUMBER($AX271*BC271),$AX271*BC271,"")</f>
        <v/>
      </c>
      <c r="CD271" s="1426" t="str">
        <f aca="false">IF(ISNUMBER($AW271*BD271),$AW271*BD271,"")</f>
        <v/>
      </c>
      <c r="CE271" s="1426" t="str">
        <f aca="false">IF(ISNUMBER($AX271*BE271),$AX271*BE271,"")</f>
        <v/>
      </c>
      <c r="CF271" s="1372" t="str">
        <f aca="false">IF(ISNUMBER($AW271*BF271),$AW271*BF271,"")</f>
        <v/>
      </c>
      <c r="CG271" s="1372" t="str">
        <f aca="false">IF(ISNUMBER($AX271*BG271),$AX271*BG271,"")</f>
        <v/>
      </c>
      <c r="CH271" s="1438"/>
      <c r="CI271" s="1438"/>
      <c r="CJ271" s="1438"/>
      <c r="CK271" s="1438"/>
      <c r="CU271" s="1411"/>
      <c r="CV271" s="1411"/>
      <c r="CW271" s="1425"/>
      <c r="CX271" s="1425"/>
      <c r="CY271" s="1425"/>
      <c r="CZ271" s="1425"/>
      <c r="DA271" s="1411"/>
      <c r="DB271" s="1411"/>
      <c r="DC271" s="1411"/>
      <c r="DD271" s="1411"/>
      <c r="DE271" s="1411"/>
      <c r="DF271" s="1411"/>
      <c r="DH271" s="1432"/>
      <c r="DI271" s="1432"/>
      <c r="DJ271" s="1437"/>
      <c r="DK271" s="1437"/>
      <c r="DL271" s="1437"/>
      <c r="DM271" s="1437"/>
      <c r="DN271" s="1432"/>
      <c r="DO271" s="1432"/>
      <c r="DP271" s="1432"/>
      <c r="DQ271" s="1432"/>
      <c r="DR271" s="1432"/>
      <c r="DS271" s="1432"/>
      <c r="DT271" s="1316"/>
      <c r="DU271" s="1433"/>
      <c r="DV271" s="1433"/>
      <c r="DW271" s="1433"/>
      <c r="DX271" s="1433"/>
      <c r="DY271" s="1433"/>
      <c r="DZ271" s="1433"/>
      <c r="EA271" s="1433"/>
      <c r="EB271" s="1433"/>
    </row>
    <row r="272" customFormat="false" ht="14.25" hidden="false" customHeight="false" outlineLevel="0" collapsed="false">
      <c r="A272" s="2" t="n">
        <f aca="false">'V_DATOS PAC_SGA'!R267</f>
        <v>0</v>
      </c>
      <c r="B272" s="2" t="n">
        <f aca="false">IF(I272="IV",CONCATENATE('V_DATOS PAC_SGA'!R267,"4")+0,CONCATENATE('V_DATOS PAC_SGA'!R267,"0")+0)</f>
        <v>0</v>
      </c>
      <c r="C272" s="2" t="n">
        <f aca="false">'V_DATOS PAC_SGA'!S267</f>
        <v>0</v>
      </c>
      <c r="D272" s="1409" t="n">
        <f aca="false">'V_DATOS PAC_SGA'!Y267</f>
        <v>0</v>
      </c>
      <c r="E272" s="1410" t="str">
        <f aca="false">IF('V_DATOS PAC_SGA'!AV267="","Regadio",'V_DATOS PAC_SGA'!AV267)</f>
        <v>Regadio</v>
      </c>
      <c r="F272" s="1411" t="n">
        <f aca="false">'V_DATOS PAC_SGA'!BK267</f>
        <v>0</v>
      </c>
      <c r="G272" s="1412" t="n">
        <f aca="false">'V_DATOS PAC_SGA'!AN267</f>
        <v>0</v>
      </c>
      <c r="H272" s="1413" t="str">
        <f aca="false">IF(B272&gt;0,VLOOKUP(B272,'O_MN, PE_UTA_UGM 2024'!E$3:O$419,10),"")</f>
        <v/>
      </c>
      <c r="I272" s="1359" t="n">
        <f aca="false">'V_DATOS PAC_SGA'!BV267</f>
        <v>0</v>
      </c>
      <c r="J272" s="2" t="str">
        <f aca="false">IF(AND(J$4=$G272,J$6=$F272),$D272*J$5,"")</f>
        <v/>
      </c>
      <c r="K272" s="2" t="str">
        <f aca="false">IF(AND(K$4=$G272,K$6=$F272),$D272*K$5,"")</f>
        <v/>
      </c>
      <c r="L272" s="2" t="str">
        <f aca="false">IF(AND(L$4=$G272,L$6=$F272),$D272*L$5,"")</f>
        <v/>
      </c>
      <c r="M272" s="2" t="str">
        <f aca="false">IF(AND(M$4=$G272,M$6=$F272),$D272*M$5,"")</f>
        <v/>
      </c>
      <c r="N272" s="1414" t="n">
        <f aca="false">VLOOKUP(B272,'O_MN, PE_UTA_UGM 2024'!$E$2:$K$419,IF(G272&gt;1,6,7))</f>
        <v>0</v>
      </c>
      <c r="O272" s="1434" t="str">
        <f aca="false">IF($H272=O$4,$D272*$N272,"")</f>
        <v/>
      </c>
      <c r="P272" s="1435" t="str">
        <f aca="false">IF($H272=P$4,$D272*$N272,"")</f>
        <v/>
      </c>
      <c r="Q272" s="1435" t="str">
        <f aca="false">IF($H272=Q$4,$D272*$N272,"")</f>
        <v/>
      </c>
      <c r="R272" s="1435" t="str">
        <f aca="false">IF($H272=R$4,$D272*$N272,"")</f>
        <v/>
      </c>
      <c r="S272" s="1435" t="str">
        <f aca="false">IF($H272=S$4,$D272*$N272,"")</f>
        <v/>
      </c>
      <c r="T272" s="1435" t="str">
        <f aca="false">IF($H272=T$4,$D272*$N272,"")</f>
        <v/>
      </c>
      <c r="U272" s="1436" t="str">
        <f aca="false">IF($H272=U$4,$D272*$N272,"")</f>
        <v/>
      </c>
      <c r="V272" s="1418"/>
      <c r="W272" s="1419"/>
      <c r="X272" s="1419"/>
      <c r="Y272" s="1419"/>
      <c r="Z272" s="1419"/>
      <c r="AA272" s="1419"/>
      <c r="AB272" s="1420"/>
      <c r="AC272" s="1319"/>
      <c r="AD272" s="2" t="str">
        <f aca="false">IF(AND(AD$4=$G272,AD$6=$F272),$B272,"")</f>
        <v/>
      </c>
      <c r="AE272" s="2" t="str">
        <f aca="false">IF(AND(AE$4=$G272,AE$6=$F272),$B272,"")</f>
        <v/>
      </c>
      <c r="AF272" s="2" t="str">
        <f aca="false">IF(AND(AF$4=$G272,AF$6=$F272),$B272,"")</f>
        <v/>
      </c>
      <c r="AG272" s="2" t="str">
        <f aca="false">IF(AND(AG$4=$G272,AG$6=$F272),$B272,"")</f>
        <v/>
      </c>
      <c r="AI272" s="366"/>
      <c r="AL272" s="367"/>
      <c r="AO272" s="367"/>
      <c r="AP272" s="2" t="str">
        <f aca="false">IF(AT272&gt;0,RANK(AT272,AT$7:AT$423),"")</f>
        <v/>
      </c>
      <c r="AQ272" s="2" t="n">
        <f aca="false">'O_MN, PE_UTA_UGM 2024'!C268</f>
        <v>267</v>
      </c>
      <c r="AR272" s="1421" t="n">
        <v>2620</v>
      </c>
      <c r="AS272" s="2" t="str">
        <f aca="false">IF(AY272&lt;&gt;"",AY272,"")</f>
        <v/>
      </c>
      <c r="AT272" s="1422" t="n">
        <f aca="false">IF(ISNUMBER($AR272),SUMIF(B$7:B$505,AR272,D$7:D$505),"")</f>
        <v>0</v>
      </c>
      <c r="AU272" s="1411" t="n">
        <f aca="false">IF(ISNUMBER($AR272),SUMIF(AD$7:AD$503,$AR272,J$7:J$503),"")</f>
        <v>0</v>
      </c>
      <c r="AV272" s="1411" t="n">
        <f aca="false">IF(ISNUMBER($AR272),SUMIF(AF$7:AF$503,$AR272,L$7:L$503),"")</f>
        <v>0</v>
      </c>
      <c r="AW272" s="1423" t="n">
        <f aca="false">IF(ISNUMBER($AR272),SUMIF(AE$7:AE$503,$AR272,K$7:K$503),"")</f>
        <v>0</v>
      </c>
      <c r="AX272" s="1423" t="n">
        <f aca="false">IF(ISNUMBER($AR272),SUMIF(AG$7:AG$503,$AR272,M$7:M$503),"")</f>
        <v>0</v>
      </c>
      <c r="AY272" s="2" t="str">
        <f aca="false">IF($AT272&gt;0,VLOOKUP($AR272,'O_MN, PE_UTA_UGM 2024'!E268:O684,2),"")</f>
        <v/>
      </c>
      <c r="AZ272" s="1424"/>
      <c r="BA272" s="1424"/>
      <c r="BB272" s="1424" t="str">
        <f aca="false">IF($AT272&gt;0,VLOOKUP($AR272,'O_MN, PE_UTA_UGM 2024'!$E$3:$O$419,BB$6),"")</f>
        <v/>
      </c>
      <c r="BC272" s="1424" t="str">
        <f aca="false">IF($AT272&gt;0,VLOOKUP($AR272,'O_MN, PE_UTA_UGM 2024'!$E$3:$O$419,BC$6),"")</f>
        <v/>
      </c>
      <c r="BD272" s="1424" t="str">
        <f aca="false">IF($AT272&gt;0,VLOOKUP($AR272,'O_MN, PE_UTA_UGM 2024'!$E$3:$O$419,BD$6),"")</f>
        <v/>
      </c>
      <c r="BE272" s="1424" t="str">
        <f aca="false">IF($AT272&gt;0,VLOOKUP($AR272,'O_MN, PE_UTA_UGM 2024'!$E$3:$O$419,BE$6),"")</f>
        <v/>
      </c>
      <c r="BF272" s="1424" t="str">
        <f aca="false">IF($AT272&gt;0,VLOOKUP($AR272,'O_MN, PE_UTA_UGM 2024'!$E$3:$O$419,BF$6),"")</f>
        <v/>
      </c>
      <c r="BG272" s="1424" t="str">
        <f aca="false">IF($AT272&gt;0,VLOOKUP($AR272,'O_MN, PE_UTA_UGM 2024'!$E$3:$O$419,BG$6),"")</f>
        <v/>
      </c>
      <c r="BH272" s="872"/>
      <c r="BI272" s="872"/>
      <c r="BJ272" s="872"/>
      <c r="BK272" s="872"/>
      <c r="BM272" s="1411"/>
      <c r="BN272" s="1411"/>
      <c r="BO272" s="1425" t="str">
        <f aca="false">IF(ISNUMBER($AU272*BB272*1),$AU272*BB272*1,"")</f>
        <v/>
      </c>
      <c r="BP272" s="1425" t="str">
        <f aca="false">IF(ISNUMBER($AV272*BC272*1),$AV272*BC272*1,"")</f>
        <v/>
      </c>
      <c r="BQ272" s="1425" t="str">
        <f aca="false">IF(ISNUMBER($AU272*BD272*1),$AU272*BD272*1,"")</f>
        <v/>
      </c>
      <c r="BR272" s="1425" t="str">
        <f aca="false">IF(ISNUMBER($AV272*BE272*1),$AV272*BE272*1,"")</f>
        <v/>
      </c>
      <c r="BS272" s="1411" t="str">
        <f aca="false">IF(ISNUMBER($AU272*BF272),$AU272*BF272,"")</f>
        <v/>
      </c>
      <c r="BT272" s="1411" t="str">
        <f aca="false">IF(ISNUMBER($AV272*BG272),$AV272*BG272,"")</f>
        <v/>
      </c>
      <c r="BU272" s="1411"/>
      <c r="BV272" s="1411"/>
      <c r="BW272" s="1411"/>
      <c r="BX272" s="1411"/>
      <c r="BZ272" s="1372"/>
      <c r="CA272" s="1372"/>
      <c r="CB272" s="1426" t="str">
        <f aca="false">IF(ISNUMBER($AW272*BB272),$AW272*BB272,"")</f>
        <v/>
      </c>
      <c r="CC272" s="1426" t="str">
        <f aca="false">IF(ISNUMBER($AX272*BC272),$AX272*BC272,"")</f>
        <v/>
      </c>
      <c r="CD272" s="1426" t="str">
        <f aca="false">IF(ISNUMBER($AW272*BD272),$AW272*BD272,"")</f>
        <v/>
      </c>
      <c r="CE272" s="1426" t="str">
        <f aca="false">IF(ISNUMBER($AX272*BE272),$AX272*BE272,"")</f>
        <v/>
      </c>
      <c r="CF272" s="1372" t="str">
        <f aca="false">IF(ISNUMBER($AW272*BF272),$AW272*BF272,"")</f>
        <v/>
      </c>
      <c r="CG272" s="1372" t="str">
        <f aca="false">IF(ISNUMBER($AX272*BG272),$AX272*BG272,"")</f>
        <v/>
      </c>
      <c r="CH272" s="1438"/>
      <c r="CI272" s="1438"/>
      <c r="CJ272" s="1438"/>
      <c r="CK272" s="1438"/>
      <c r="CU272" s="1411"/>
      <c r="CV272" s="1411"/>
      <c r="CW272" s="1425"/>
      <c r="CX272" s="1425"/>
      <c r="CY272" s="1425"/>
      <c r="CZ272" s="1425"/>
      <c r="DA272" s="1411"/>
      <c r="DB272" s="1411"/>
      <c r="DC272" s="1411"/>
      <c r="DD272" s="1411"/>
      <c r="DE272" s="1411"/>
      <c r="DF272" s="1411"/>
      <c r="DH272" s="1432"/>
      <c r="DI272" s="1432"/>
      <c r="DJ272" s="1437"/>
      <c r="DK272" s="1437"/>
      <c r="DL272" s="1437"/>
      <c r="DM272" s="1437"/>
      <c r="DN272" s="1432"/>
      <c r="DO272" s="1432"/>
      <c r="DP272" s="1432"/>
      <c r="DQ272" s="1432"/>
      <c r="DR272" s="1432"/>
      <c r="DS272" s="1432"/>
      <c r="DT272" s="1316"/>
      <c r="DU272" s="1433"/>
      <c r="DV272" s="1433"/>
      <c r="DW272" s="1433"/>
      <c r="DX272" s="1433"/>
      <c r="DY272" s="1433"/>
      <c r="DZ272" s="1433"/>
      <c r="EA272" s="1433"/>
      <c r="EB272" s="1433"/>
    </row>
    <row r="273" customFormat="false" ht="14.25" hidden="false" customHeight="false" outlineLevel="0" collapsed="false">
      <c r="A273" s="2" t="n">
        <f aca="false">'V_DATOS PAC_SGA'!R268</f>
        <v>0</v>
      </c>
      <c r="B273" s="2" t="n">
        <f aca="false">IF(I273="IV",CONCATENATE('V_DATOS PAC_SGA'!R268,"4")+0,CONCATENATE('V_DATOS PAC_SGA'!R268,"0")+0)</f>
        <v>0</v>
      </c>
      <c r="C273" s="2" t="n">
        <f aca="false">'V_DATOS PAC_SGA'!S268</f>
        <v>0</v>
      </c>
      <c r="D273" s="1409" t="n">
        <f aca="false">'V_DATOS PAC_SGA'!Y268</f>
        <v>0</v>
      </c>
      <c r="E273" s="1410" t="str">
        <f aca="false">IF('V_DATOS PAC_SGA'!AV268="","Regadio",'V_DATOS PAC_SGA'!AV268)</f>
        <v>Regadio</v>
      </c>
      <c r="F273" s="1411" t="n">
        <f aca="false">'V_DATOS PAC_SGA'!BK268</f>
        <v>0</v>
      </c>
      <c r="G273" s="1412" t="n">
        <f aca="false">'V_DATOS PAC_SGA'!AN268</f>
        <v>0</v>
      </c>
      <c r="H273" s="1413" t="str">
        <f aca="false">IF(B273&gt;0,VLOOKUP(B273,'O_MN, PE_UTA_UGM 2024'!E$3:O$419,10),"")</f>
        <v/>
      </c>
      <c r="I273" s="1359" t="n">
        <f aca="false">'V_DATOS PAC_SGA'!BV268</f>
        <v>0</v>
      </c>
      <c r="J273" s="2" t="str">
        <f aca="false">IF(AND(J$4=$G273,J$6=$F273),$D273*J$5,"")</f>
        <v/>
      </c>
      <c r="K273" s="2" t="str">
        <f aca="false">IF(AND(K$4=$G273,K$6=$F273),$D273*K$5,"")</f>
        <v/>
      </c>
      <c r="L273" s="2" t="str">
        <f aca="false">IF(AND(L$4=$G273,L$6=$F273),$D273*L$5,"")</f>
        <v/>
      </c>
      <c r="M273" s="2" t="str">
        <f aca="false">IF(AND(M$4=$G273,M$6=$F273),$D273*M$5,"")</f>
        <v/>
      </c>
      <c r="N273" s="1414" t="n">
        <f aca="false">VLOOKUP(B273,'O_MN, PE_UTA_UGM 2024'!$E$2:$K$419,IF(G273&gt;1,6,7))</f>
        <v>0</v>
      </c>
      <c r="O273" s="1434" t="str">
        <f aca="false">IF($H273=O$4,$D273*$N273,"")</f>
        <v/>
      </c>
      <c r="P273" s="1435" t="str">
        <f aca="false">IF($H273=P$4,$D273*$N273,"")</f>
        <v/>
      </c>
      <c r="Q273" s="1435" t="str">
        <f aca="false">IF($H273=Q$4,$D273*$N273,"")</f>
        <v/>
      </c>
      <c r="R273" s="1435" t="str">
        <f aca="false">IF($H273=R$4,$D273*$N273,"")</f>
        <v/>
      </c>
      <c r="S273" s="1435" t="str">
        <f aca="false">IF($H273=S$4,$D273*$N273,"")</f>
        <v/>
      </c>
      <c r="T273" s="1435" t="str">
        <f aca="false">IF($H273=T$4,$D273*$N273,"")</f>
        <v/>
      </c>
      <c r="U273" s="1436" t="str">
        <f aca="false">IF($H273=U$4,$D273*$N273,"")</f>
        <v/>
      </c>
      <c r="V273" s="1418"/>
      <c r="W273" s="1419"/>
      <c r="X273" s="1419"/>
      <c r="Y273" s="1419"/>
      <c r="Z273" s="1419"/>
      <c r="AA273" s="1419"/>
      <c r="AB273" s="1420"/>
      <c r="AC273" s="1319"/>
      <c r="AD273" s="2" t="str">
        <f aca="false">IF(AND(AD$4=$G273,AD$6=$F273),$B273,"")</f>
        <v/>
      </c>
      <c r="AE273" s="2" t="str">
        <f aca="false">IF(AND(AE$4=$G273,AE$6=$F273),$B273,"")</f>
        <v/>
      </c>
      <c r="AF273" s="2" t="str">
        <f aca="false">IF(AND(AF$4=$G273,AF$6=$F273),$B273,"")</f>
        <v/>
      </c>
      <c r="AG273" s="2" t="str">
        <f aca="false">IF(AND(AG$4=$G273,AG$6=$F273),$B273,"")</f>
        <v/>
      </c>
      <c r="AI273" s="366"/>
      <c r="AL273" s="367"/>
      <c r="AO273" s="367"/>
      <c r="AP273" s="2" t="str">
        <f aca="false">IF(AT273&gt;0,RANK(AT273,AT$7:AT$423),"")</f>
        <v/>
      </c>
      <c r="AQ273" s="2" t="n">
        <f aca="false">'O_MN, PE_UTA_UGM 2024'!C269</f>
        <v>268</v>
      </c>
      <c r="AR273" s="1421" t="n">
        <v>2630</v>
      </c>
      <c r="AS273" s="2" t="str">
        <f aca="false">IF(AY273&lt;&gt;"",AY273,"")</f>
        <v/>
      </c>
      <c r="AT273" s="1422" t="n">
        <f aca="false">IF(ISNUMBER($AR273),SUMIF(B$7:B$505,AR273,D$7:D$505),"")</f>
        <v>0</v>
      </c>
      <c r="AU273" s="1411" t="n">
        <f aca="false">IF(ISNUMBER($AR273),SUMIF(AD$7:AD$503,$AR273,J$7:J$503),"")</f>
        <v>0</v>
      </c>
      <c r="AV273" s="1411" t="n">
        <f aca="false">IF(ISNUMBER($AR273),SUMIF(AF$7:AF$503,$AR273,L$7:L$503),"")</f>
        <v>0</v>
      </c>
      <c r="AW273" s="1423" t="n">
        <f aca="false">IF(ISNUMBER($AR273),SUMIF(AE$7:AE$503,$AR273,K$7:K$503),"")</f>
        <v>0</v>
      </c>
      <c r="AX273" s="1423" t="n">
        <f aca="false">IF(ISNUMBER($AR273),SUMIF(AG$7:AG$503,$AR273,M$7:M$503),"")</f>
        <v>0</v>
      </c>
      <c r="AY273" s="2" t="str">
        <f aca="false">IF($AT273&gt;0,VLOOKUP($AR273,'O_MN, PE_UTA_UGM 2024'!E269:O685,2),"")</f>
        <v/>
      </c>
      <c r="AZ273" s="1424"/>
      <c r="BA273" s="1424"/>
      <c r="BB273" s="1424" t="str">
        <f aca="false">IF($AT273&gt;0,VLOOKUP($AR273,'O_MN, PE_UTA_UGM 2024'!$E$3:$O$419,BB$6),"")</f>
        <v/>
      </c>
      <c r="BC273" s="1424" t="str">
        <f aca="false">IF($AT273&gt;0,VLOOKUP($AR273,'O_MN, PE_UTA_UGM 2024'!$E$3:$O$419,BC$6),"")</f>
        <v/>
      </c>
      <c r="BD273" s="1424" t="str">
        <f aca="false">IF($AT273&gt;0,VLOOKUP($AR273,'O_MN, PE_UTA_UGM 2024'!$E$3:$O$419,BD$6),"")</f>
        <v/>
      </c>
      <c r="BE273" s="1424" t="str">
        <f aca="false">IF($AT273&gt;0,VLOOKUP($AR273,'O_MN, PE_UTA_UGM 2024'!$E$3:$O$419,BE$6),"")</f>
        <v/>
      </c>
      <c r="BF273" s="1424" t="str">
        <f aca="false">IF($AT273&gt;0,VLOOKUP($AR273,'O_MN, PE_UTA_UGM 2024'!$E$3:$O$419,BF$6),"")</f>
        <v/>
      </c>
      <c r="BG273" s="1424" t="str">
        <f aca="false">IF($AT273&gt;0,VLOOKUP($AR273,'O_MN, PE_UTA_UGM 2024'!$E$3:$O$419,BG$6),"")</f>
        <v/>
      </c>
      <c r="BH273" s="872"/>
      <c r="BI273" s="872"/>
      <c r="BJ273" s="872"/>
      <c r="BK273" s="872"/>
      <c r="BM273" s="1411"/>
      <c r="BN273" s="1411"/>
      <c r="BO273" s="1425" t="str">
        <f aca="false">IF(ISNUMBER($AU273*BB273*1),$AU273*BB273*1,"")</f>
        <v/>
      </c>
      <c r="BP273" s="1425" t="str">
        <f aca="false">IF(ISNUMBER($AV273*BC273*1),$AV273*BC273*1,"")</f>
        <v/>
      </c>
      <c r="BQ273" s="1425" t="str">
        <f aca="false">IF(ISNUMBER($AU273*BD273*1),$AU273*BD273*1,"")</f>
        <v/>
      </c>
      <c r="BR273" s="1425" t="str">
        <f aca="false">IF(ISNUMBER($AV273*BE273*1),$AV273*BE273*1,"")</f>
        <v/>
      </c>
      <c r="BS273" s="1411" t="str">
        <f aca="false">IF(ISNUMBER($AU273*BF273),$AU273*BF273,"")</f>
        <v/>
      </c>
      <c r="BT273" s="1411" t="str">
        <f aca="false">IF(ISNUMBER($AV273*BG273),$AV273*BG273,"")</f>
        <v/>
      </c>
      <c r="BU273" s="1411"/>
      <c r="BV273" s="1411"/>
      <c r="BW273" s="1411"/>
      <c r="BX273" s="1411"/>
      <c r="BZ273" s="1372"/>
      <c r="CA273" s="1372"/>
      <c r="CB273" s="1426" t="str">
        <f aca="false">IF(ISNUMBER($AW273*BB273),$AW273*BB273,"")</f>
        <v/>
      </c>
      <c r="CC273" s="1426" t="str">
        <f aca="false">IF(ISNUMBER($AX273*BC273),$AX273*BC273,"")</f>
        <v/>
      </c>
      <c r="CD273" s="1426" t="str">
        <f aca="false">IF(ISNUMBER($AW273*BD273),$AW273*BD273,"")</f>
        <v/>
      </c>
      <c r="CE273" s="1426" t="str">
        <f aca="false">IF(ISNUMBER($AX273*BE273),$AX273*BE273,"")</f>
        <v/>
      </c>
      <c r="CF273" s="1372" t="str">
        <f aca="false">IF(ISNUMBER($AW273*BF273),$AW273*BF273,"")</f>
        <v/>
      </c>
      <c r="CG273" s="1372" t="str">
        <f aca="false">IF(ISNUMBER($AX273*BG273),$AX273*BG273,"")</f>
        <v/>
      </c>
      <c r="CH273" s="1438"/>
      <c r="CI273" s="1438"/>
      <c r="CJ273" s="1438"/>
      <c r="CK273" s="1438"/>
      <c r="CU273" s="1411"/>
      <c r="CV273" s="1411"/>
      <c r="CW273" s="1425"/>
      <c r="CX273" s="1425"/>
      <c r="CY273" s="1425"/>
      <c r="CZ273" s="1425"/>
      <c r="DA273" s="1411"/>
      <c r="DB273" s="1411"/>
      <c r="DC273" s="1411"/>
      <c r="DD273" s="1411"/>
      <c r="DE273" s="1411"/>
      <c r="DF273" s="1411"/>
      <c r="DH273" s="1432"/>
      <c r="DI273" s="1432"/>
      <c r="DJ273" s="1437"/>
      <c r="DK273" s="1437"/>
      <c r="DL273" s="1437"/>
      <c r="DM273" s="1437"/>
      <c r="DN273" s="1432"/>
      <c r="DO273" s="1432"/>
      <c r="DP273" s="1432"/>
      <c r="DQ273" s="1432"/>
      <c r="DR273" s="1432"/>
      <c r="DS273" s="1432"/>
      <c r="DT273" s="1316"/>
      <c r="DU273" s="1433"/>
      <c r="DV273" s="1433"/>
      <c r="DW273" s="1433"/>
      <c r="DX273" s="1433"/>
      <c r="DY273" s="1433"/>
      <c r="DZ273" s="1433"/>
      <c r="EA273" s="1433"/>
      <c r="EB273" s="1433"/>
    </row>
    <row r="274" customFormat="false" ht="14.25" hidden="false" customHeight="false" outlineLevel="0" collapsed="false">
      <c r="A274" s="2" t="n">
        <f aca="false">'V_DATOS PAC_SGA'!R269</f>
        <v>0</v>
      </c>
      <c r="B274" s="2" t="n">
        <f aca="false">IF(I274="IV",CONCATENATE('V_DATOS PAC_SGA'!R269,"4")+0,CONCATENATE('V_DATOS PAC_SGA'!R269,"0")+0)</f>
        <v>0</v>
      </c>
      <c r="C274" s="2" t="n">
        <f aca="false">'V_DATOS PAC_SGA'!S269</f>
        <v>0</v>
      </c>
      <c r="D274" s="1409" t="n">
        <f aca="false">'V_DATOS PAC_SGA'!Y269</f>
        <v>0</v>
      </c>
      <c r="E274" s="1410" t="str">
        <f aca="false">IF('V_DATOS PAC_SGA'!AV269="","Regadio",'V_DATOS PAC_SGA'!AV269)</f>
        <v>Regadio</v>
      </c>
      <c r="F274" s="1411" t="n">
        <f aca="false">'V_DATOS PAC_SGA'!BK269</f>
        <v>0</v>
      </c>
      <c r="G274" s="1412" t="n">
        <f aca="false">'V_DATOS PAC_SGA'!AN269</f>
        <v>0</v>
      </c>
      <c r="H274" s="1413" t="str">
        <f aca="false">IF(B274&gt;0,VLOOKUP(B274,'O_MN, PE_UTA_UGM 2024'!E$3:O$419,10),"")</f>
        <v/>
      </c>
      <c r="I274" s="1359" t="n">
        <f aca="false">'V_DATOS PAC_SGA'!BV269</f>
        <v>0</v>
      </c>
      <c r="J274" s="2" t="str">
        <f aca="false">IF(AND(J$4=$G274,J$6=$F274),$D274*J$5,"")</f>
        <v/>
      </c>
      <c r="K274" s="2" t="str">
        <f aca="false">IF(AND(K$4=$G274,K$6=$F274),$D274*K$5,"")</f>
        <v/>
      </c>
      <c r="L274" s="2" t="str">
        <f aca="false">IF(AND(L$4=$G274,L$6=$F274),$D274*L$5,"")</f>
        <v/>
      </c>
      <c r="M274" s="2" t="str">
        <f aca="false">IF(AND(M$4=$G274,M$6=$F274),$D274*M$5,"")</f>
        <v/>
      </c>
      <c r="N274" s="1414" t="n">
        <f aca="false">VLOOKUP(B274,'O_MN, PE_UTA_UGM 2024'!$E$2:$K$419,IF(G274&gt;1,6,7))</f>
        <v>0</v>
      </c>
      <c r="O274" s="1434" t="str">
        <f aca="false">IF($H274=O$4,$D274*$N274,"")</f>
        <v/>
      </c>
      <c r="P274" s="1435" t="str">
        <f aca="false">IF($H274=P$4,$D274*$N274,"")</f>
        <v/>
      </c>
      <c r="Q274" s="1435" t="str">
        <f aca="false">IF($H274=Q$4,$D274*$N274,"")</f>
        <v/>
      </c>
      <c r="R274" s="1435" t="str">
        <f aca="false">IF($H274=R$4,$D274*$N274,"")</f>
        <v/>
      </c>
      <c r="S274" s="1435" t="str">
        <f aca="false">IF($H274=S$4,$D274*$N274,"")</f>
        <v/>
      </c>
      <c r="T274" s="1435" t="str">
        <f aca="false">IF($H274=T$4,$D274*$N274,"")</f>
        <v/>
      </c>
      <c r="U274" s="1436" t="str">
        <f aca="false">IF($H274=U$4,$D274*$N274,"")</f>
        <v/>
      </c>
      <c r="V274" s="1418"/>
      <c r="W274" s="1419"/>
      <c r="X274" s="1419"/>
      <c r="Y274" s="1419"/>
      <c r="Z274" s="1419"/>
      <c r="AA274" s="1419"/>
      <c r="AB274" s="1420"/>
      <c r="AC274" s="1319"/>
      <c r="AD274" s="2" t="str">
        <f aca="false">IF(AND(AD$4=$G274,AD$6=$F274),$B274,"")</f>
        <v/>
      </c>
      <c r="AE274" s="2" t="str">
        <f aca="false">IF(AND(AE$4=$G274,AE$6=$F274),$B274,"")</f>
        <v/>
      </c>
      <c r="AF274" s="2" t="str">
        <f aca="false">IF(AND(AF$4=$G274,AF$6=$F274),$B274,"")</f>
        <v/>
      </c>
      <c r="AG274" s="2" t="str">
        <f aca="false">IF(AND(AG$4=$G274,AG$6=$F274),$B274,"")</f>
        <v/>
      </c>
      <c r="AI274" s="366"/>
      <c r="AL274" s="367"/>
      <c r="AO274" s="367"/>
      <c r="AP274" s="2" t="str">
        <f aca="false">IF(AT274&gt;0,RANK(AT274,AT$7:AT$423),"")</f>
        <v/>
      </c>
      <c r="AQ274" s="2" t="n">
        <f aca="false">'O_MN, PE_UTA_UGM 2024'!C270</f>
        <v>269</v>
      </c>
      <c r="AR274" s="1421" t="n">
        <v>2640</v>
      </c>
      <c r="AS274" s="2" t="str">
        <f aca="false">IF(AY274&lt;&gt;"",AY274,"")</f>
        <v/>
      </c>
      <c r="AT274" s="1422" t="n">
        <f aca="false">IF(ISNUMBER($AR274),SUMIF(B$7:B$505,AR274,D$7:D$505),"")</f>
        <v>0</v>
      </c>
      <c r="AU274" s="1411" t="n">
        <f aca="false">IF(ISNUMBER($AR274),SUMIF(AD$7:AD$503,$AR274,J$7:J$503),"")</f>
        <v>0</v>
      </c>
      <c r="AV274" s="1411" t="n">
        <f aca="false">IF(ISNUMBER($AR274),SUMIF(AF$7:AF$503,$AR274,L$7:L$503),"")</f>
        <v>0</v>
      </c>
      <c r="AW274" s="1423" t="n">
        <f aca="false">IF(ISNUMBER($AR274),SUMIF(AE$7:AE$503,$AR274,K$7:K$503),"")</f>
        <v>0</v>
      </c>
      <c r="AX274" s="1423" t="n">
        <f aca="false">IF(ISNUMBER($AR274),SUMIF(AG$7:AG$503,$AR274,M$7:M$503),"")</f>
        <v>0</v>
      </c>
      <c r="AY274" s="2" t="str">
        <f aca="false">IF($AT274&gt;0,VLOOKUP($AR274,'O_MN, PE_UTA_UGM 2024'!E270:O686,2),"")</f>
        <v/>
      </c>
      <c r="AZ274" s="1424"/>
      <c r="BA274" s="1424"/>
      <c r="BB274" s="1424" t="str">
        <f aca="false">IF($AT274&gt;0,VLOOKUP($AR274,'O_MN, PE_UTA_UGM 2024'!$E$3:$O$419,BB$6),"")</f>
        <v/>
      </c>
      <c r="BC274" s="1424" t="str">
        <f aca="false">IF($AT274&gt;0,VLOOKUP($AR274,'O_MN, PE_UTA_UGM 2024'!$E$3:$O$419,BC$6),"")</f>
        <v/>
      </c>
      <c r="BD274" s="1424" t="str">
        <f aca="false">IF($AT274&gt;0,VLOOKUP($AR274,'O_MN, PE_UTA_UGM 2024'!$E$3:$O$419,BD$6),"")</f>
        <v/>
      </c>
      <c r="BE274" s="1424" t="str">
        <f aca="false">IF($AT274&gt;0,VLOOKUP($AR274,'O_MN, PE_UTA_UGM 2024'!$E$3:$O$419,BE$6),"")</f>
        <v/>
      </c>
      <c r="BF274" s="1424" t="str">
        <f aca="false">IF($AT274&gt;0,VLOOKUP($AR274,'O_MN, PE_UTA_UGM 2024'!$E$3:$O$419,BF$6),"")</f>
        <v/>
      </c>
      <c r="BG274" s="1424" t="str">
        <f aca="false">IF($AT274&gt;0,VLOOKUP($AR274,'O_MN, PE_UTA_UGM 2024'!$E$3:$O$419,BG$6),"")</f>
        <v/>
      </c>
      <c r="BH274" s="872"/>
      <c r="BI274" s="872"/>
      <c r="BJ274" s="872"/>
      <c r="BK274" s="872"/>
      <c r="BM274" s="1411"/>
      <c r="BN274" s="1411"/>
      <c r="BO274" s="1425" t="str">
        <f aca="false">IF(ISNUMBER($AU274*BB274*1),$AU274*BB274*1,"")</f>
        <v/>
      </c>
      <c r="BP274" s="1425" t="str">
        <f aca="false">IF(ISNUMBER($AV274*BC274*1),$AV274*BC274*1,"")</f>
        <v/>
      </c>
      <c r="BQ274" s="1425" t="str">
        <f aca="false">IF(ISNUMBER($AU274*BD274*1),$AU274*BD274*1,"")</f>
        <v/>
      </c>
      <c r="BR274" s="1425" t="str">
        <f aca="false">IF(ISNUMBER($AV274*BE274*1),$AV274*BE274*1,"")</f>
        <v/>
      </c>
      <c r="BS274" s="1411" t="str">
        <f aca="false">IF(ISNUMBER($AU274*BF274),$AU274*BF274,"")</f>
        <v/>
      </c>
      <c r="BT274" s="1411" t="str">
        <f aca="false">IF(ISNUMBER($AV274*BG274),$AV274*BG274,"")</f>
        <v/>
      </c>
      <c r="BU274" s="1411"/>
      <c r="BV274" s="1411"/>
      <c r="BW274" s="1411"/>
      <c r="BX274" s="1411"/>
      <c r="BZ274" s="1372"/>
      <c r="CA274" s="1372"/>
      <c r="CB274" s="1426" t="str">
        <f aca="false">IF(ISNUMBER($AW274*BB274),$AW274*BB274,"")</f>
        <v/>
      </c>
      <c r="CC274" s="1426" t="str">
        <f aca="false">IF(ISNUMBER($AX274*BC274),$AX274*BC274,"")</f>
        <v/>
      </c>
      <c r="CD274" s="1426" t="str">
        <f aca="false">IF(ISNUMBER($AW274*BD274),$AW274*BD274,"")</f>
        <v/>
      </c>
      <c r="CE274" s="1426" t="str">
        <f aca="false">IF(ISNUMBER($AX274*BE274),$AX274*BE274,"")</f>
        <v/>
      </c>
      <c r="CF274" s="1372" t="str">
        <f aca="false">IF(ISNUMBER($AW274*BF274),$AW274*BF274,"")</f>
        <v/>
      </c>
      <c r="CG274" s="1372" t="str">
        <f aca="false">IF(ISNUMBER($AX274*BG274),$AX274*BG274,"")</f>
        <v/>
      </c>
      <c r="CH274" s="1438"/>
      <c r="CI274" s="1438"/>
      <c r="CJ274" s="1438"/>
      <c r="CK274" s="1438"/>
      <c r="CU274" s="1411"/>
      <c r="CV274" s="1411"/>
      <c r="CW274" s="1425"/>
      <c r="CX274" s="1425"/>
      <c r="CY274" s="1425"/>
      <c r="CZ274" s="1425"/>
      <c r="DA274" s="1411"/>
      <c r="DB274" s="1411"/>
      <c r="DC274" s="1411"/>
      <c r="DD274" s="1411"/>
      <c r="DE274" s="1411"/>
      <c r="DF274" s="1411"/>
      <c r="DH274" s="1432"/>
      <c r="DI274" s="1432"/>
      <c r="DJ274" s="1437"/>
      <c r="DK274" s="1437"/>
      <c r="DL274" s="1437"/>
      <c r="DM274" s="1437"/>
      <c r="DN274" s="1432"/>
      <c r="DO274" s="1432"/>
      <c r="DP274" s="1432"/>
      <c r="DQ274" s="1432"/>
      <c r="DR274" s="1432"/>
      <c r="DS274" s="1432"/>
      <c r="DT274" s="1316"/>
      <c r="DU274" s="1433"/>
      <c r="DV274" s="1433"/>
      <c r="DW274" s="1433"/>
      <c r="DX274" s="1433"/>
      <c r="DY274" s="1433"/>
      <c r="DZ274" s="1433"/>
      <c r="EA274" s="1433"/>
      <c r="EB274" s="1433"/>
    </row>
    <row r="275" customFormat="false" ht="14.25" hidden="false" customHeight="false" outlineLevel="0" collapsed="false">
      <c r="A275" s="2" t="n">
        <f aca="false">'V_DATOS PAC_SGA'!R270</f>
        <v>0</v>
      </c>
      <c r="B275" s="2" t="n">
        <f aca="false">IF(I275="IV",CONCATENATE('V_DATOS PAC_SGA'!R270,"4")+0,CONCATENATE('V_DATOS PAC_SGA'!R270,"0")+0)</f>
        <v>0</v>
      </c>
      <c r="C275" s="2" t="n">
        <f aca="false">'V_DATOS PAC_SGA'!S270</f>
        <v>0</v>
      </c>
      <c r="D275" s="1409" t="n">
        <f aca="false">'V_DATOS PAC_SGA'!Y270</f>
        <v>0</v>
      </c>
      <c r="E275" s="1410" t="str">
        <f aca="false">IF('V_DATOS PAC_SGA'!AV270="","Regadio",'V_DATOS PAC_SGA'!AV270)</f>
        <v>Regadio</v>
      </c>
      <c r="F275" s="1411" t="n">
        <f aca="false">'V_DATOS PAC_SGA'!BK270</f>
        <v>0</v>
      </c>
      <c r="G275" s="1412" t="n">
        <f aca="false">'V_DATOS PAC_SGA'!AN270</f>
        <v>0</v>
      </c>
      <c r="H275" s="1413" t="str">
        <f aca="false">IF(B275&gt;0,VLOOKUP(B275,'O_MN, PE_UTA_UGM 2024'!E$3:O$419,10),"")</f>
        <v/>
      </c>
      <c r="I275" s="1359" t="n">
        <f aca="false">'V_DATOS PAC_SGA'!BV270</f>
        <v>0</v>
      </c>
      <c r="J275" s="2" t="str">
        <f aca="false">IF(AND(J$4=$G275,J$6=$F275),$D275*J$5,"")</f>
        <v/>
      </c>
      <c r="K275" s="2" t="str">
        <f aca="false">IF(AND(K$4=$G275,K$6=$F275),$D275*K$5,"")</f>
        <v/>
      </c>
      <c r="L275" s="2" t="str">
        <f aca="false">IF(AND(L$4=$G275,L$6=$F275),$D275*L$5,"")</f>
        <v/>
      </c>
      <c r="M275" s="2" t="str">
        <f aca="false">IF(AND(M$4=$G275,M$6=$F275),$D275*M$5,"")</f>
        <v/>
      </c>
      <c r="N275" s="1414" t="n">
        <f aca="false">VLOOKUP(B275,'O_MN, PE_UTA_UGM 2024'!$E$2:$K$419,IF(G275&gt;1,6,7))</f>
        <v>0</v>
      </c>
      <c r="O275" s="1434" t="str">
        <f aca="false">IF($H275=O$4,$D275*$N275,"")</f>
        <v/>
      </c>
      <c r="P275" s="1435" t="str">
        <f aca="false">IF($H275=P$4,$D275*$N275,"")</f>
        <v/>
      </c>
      <c r="Q275" s="1435" t="str">
        <f aca="false">IF($H275=Q$4,$D275*$N275,"")</f>
        <v/>
      </c>
      <c r="R275" s="1435" t="str">
        <f aca="false">IF($H275=R$4,$D275*$N275,"")</f>
        <v/>
      </c>
      <c r="S275" s="1435" t="str">
        <f aca="false">IF($H275=S$4,$D275*$N275,"")</f>
        <v/>
      </c>
      <c r="T275" s="1435" t="str">
        <f aca="false">IF($H275=T$4,$D275*$N275,"")</f>
        <v/>
      </c>
      <c r="U275" s="1436" t="str">
        <f aca="false">IF($H275=U$4,$D275*$N275,"")</f>
        <v/>
      </c>
      <c r="V275" s="1418"/>
      <c r="W275" s="1419"/>
      <c r="X275" s="1419"/>
      <c r="Y275" s="1419"/>
      <c r="Z275" s="1419"/>
      <c r="AA275" s="1419"/>
      <c r="AB275" s="1420"/>
      <c r="AC275" s="1319"/>
      <c r="AD275" s="2" t="str">
        <f aca="false">IF(AND(AD$4=$G275,AD$6=$F275),$B275,"")</f>
        <v/>
      </c>
      <c r="AE275" s="2" t="str">
        <f aca="false">IF(AND(AE$4=$G275,AE$6=$F275),$B275,"")</f>
        <v/>
      </c>
      <c r="AF275" s="2" t="str">
        <f aca="false">IF(AND(AF$4=$G275,AF$6=$F275),$B275,"")</f>
        <v/>
      </c>
      <c r="AG275" s="2" t="str">
        <f aca="false">IF(AND(AG$4=$G275,AG$6=$F275),$B275,"")</f>
        <v/>
      </c>
      <c r="AI275" s="366"/>
      <c r="AL275" s="367"/>
      <c r="AO275" s="367"/>
      <c r="AP275" s="2" t="str">
        <f aca="false">IF(AT275&gt;0,RANK(AT275,AT$7:AT$423),"")</f>
        <v/>
      </c>
      <c r="AQ275" s="2" t="n">
        <f aca="false">'O_MN, PE_UTA_UGM 2024'!C271</f>
        <v>270</v>
      </c>
      <c r="AR275" s="1421" t="n">
        <v>2650</v>
      </c>
      <c r="AS275" s="2" t="str">
        <f aca="false">IF(AY275&lt;&gt;"",AY275,"")</f>
        <v/>
      </c>
      <c r="AT275" s="1422" t="n">
        <f aca="false">IF(ISNUMBER($AR275),SUMIF(B$7:B$505,AR275,D$7:D$505),"")</f>
        <v>0</v>
      </c>
      <c r="AU275" s="1411" t="n">
        <f aca="false">IF(ISNUMBER($AR275),SUMIF(AD$7:AD$503,$AR275,J$7:J$503),"")</f>
        <v>0</v>
      </c>
      <c r="AV275" s="1411" t="n">
        <f aca="false">IF(ISNUMBER($AR275),SUMIF(AF$7:AF$503,$AR275,L$7:L$503),"")</f>
        <v>0</v>
      </c>
      <c r="AW275" s="1423" t="n">
        <f aca="false">IF(ISNUMBER($AR275),SUMIF(AE$7:AE$503,$AR275,K$7:K$503),"")</f>
        <v>0</v>
      </c>
      <c r="AX275" s="1423" t="n">
        <f aca="false">IF(ISNUMBER($AR275),SUMIF(AG$7:AG$503,$AR275,M$7:M$503),"")</f>
        <v>0</v>
      </c>
      <c r="AY275" s="2" t="str">
        <f aca="false">IF($AT275&gt;0,VLOOKUP($AR275,'O_MN, PE_UTA_UGM 2024'!E271:O687,2),"")</f>
        <v/>
      </c>
      <c r="AZ275" s="1424"/>
      <c r="BA275" s="1424"/>
      <c r="BB275" s="1424" t="str">
        <f aca="false">IF($AT275&gt;0,VLOOKUP($AR275,'O_MN, PE_UTA_UGM 2024'!$E$3:$O$419,BB$6),"")</f>
        <v/>
      </c>
      <c r="BC275" s="1424" t="str">
        <f aca="false">IF($AT275&gt;0,VLOOKUP($AR275,'O_MN, PE_UTA_UGM 2024'!$E$3:$O$419,BC$6),"")</f>
        <v/>
      </c>
      <c r="BD275" s="1424" t="str">
        <f aca="false">IF($AT275&gt;0,VLOOKUP($AR275,'O_MN, PE_UTA_UGM 2024'!$E$3:$O$419,BD$6),"")</f>
        <v/>
      </c>
      <c r="BE275" s="1424" t="str">
        <f aca="false">IF($AT275&gt;0,VLOOKUP($AR275,'O_MN, PE_UTA_UGM 2024'!$E$3:$O$419,BE$6),"")</f>
        <v/>
      </c>
      <c r="BF275" s="1424" t="str">
        <f aca="false">IF($AT275&gt;0,VLOOKUP($AR275,'O_MN, PE_UTA_UGM 2024'!$E$3:$O$419,BF$6),"")</f>
        <v/>
      </c>
      <c r="BG275" s="1424" t="str">
        <f aca="false">IF($AT275&gt;0,VLOOKUP($AR275,'O_MN, PE_UTA_UGM 2024'!$E$3:$O$419,BG$6),"")</f>
        <v/>
      </c>
      <c r="BH275" s="872"/>
      <c r="BI275" s="872"/>
      <c r="BJ275" s="872"/>
      <c r="BK275" s="872"/>
      <c r="BM275" s="1411"/>
      <c r="BN275" s="1411"/>
      <c r="BO275" s="1425" t="str">
        <f aca="false">IF(ISNUMBER($AU275*BB275*1),$AU275*BB275*1,"")</f>
        <v/>
      </c>
      <c r="BP275" s="1425" t="str">
        <f aca="false">IF(ISNUMBER($AV275*BC275*1),$AV275*BC275*1,"")</f>
        <v/>
      </c>
      <c r="BQ275" s="1425" t="str">
        <f aca="false">IF(ISNUMBER($AU275*BD275*1),$AU275*BD275*1,"")</f>
        <v/>
      </c>
      <c r="BR275" s="1425" t="str">
        <f aca="false">IF(ISNUMBER($AV275*BE275*1),$AV275*BE275*1,"")</f>
        <v/>
      </c>
      <c r="BS275" s="1411" t="str">
        <f aca="false">IF(ISNUMBER($AU275*BF275),$AU275*BF275,"")</f>
        <v/>
      </c>
      <c r="BT275" s="1411" t="str">
        <f aca="false">IF(ISNUMBER($AV275*BG275),$AV275*BG275,"")</f>
        <v/>
      </c>
      <c r="BU275" s="1411"/>
      <c r="BV275" s="1411"/>
      <c r="BW275" s="1411"/>
      <c r="BX275" s="1411"/>
      <c r="BZ275" s="1372"/>
      <c r="CA275" s="1372"/>
      <c r="CB275" s="1426" t="str">
        <f aca="false">IF(ISNUMBER($AW275*BB275),$AW275*BB275,"")</f>
        <v/>
      </c>
      <c r="CC275" s="1426" t="str">
        <f aca="false">IF(ISNUMBER($AX275*BC275),$AX275*BC275,"")</f>
        <v/>
      </c>
      <c r="CD275" s="1426" t="str">
        <f aca="false">IF(ISNUMBER($AW275*BD275),$AW275*BD275,"")</f>
        <v/>
      </c>
      <c r="CE275" s="1426" t="str">
        <f aca="false">IF(ISNUMBER($AX275*BE275),$AX275*BE275,"")</f>
        <v/>
      </c>
      <c r="CF275" s="1372" t="str">
        <f aca="false">IF(ISNUMBER($AW275*BF275),$AW275*BF275,"")</f>
        <v/>
      </c>
      <c r="CG275" s="1372" t="str">
        <f aca="false">IF(ISNUMBER($AX275*BG275),$AX275*BG275,"")</f>
        <v/>
      </c>
      <c r="CH275" s="1438"/>
      <c r="CI275" s="1438"/>
      <c r="CJ275" s="1438"/>
      <c r="CK275" s="1438"/>
      <c r="CU275" s="1411"/>
      <c r="CV275" s="1411"/>
      <c r="CW275" s="1425"/>
      <c r="CX275" s="1425"/>
      <c r="CY275" s="1425"/>
      <c r="CZ275" s="1425"/>
      <c r="DA275" s="1411"/>
      <c r="DB275" s="1411"/>
      <c r="DC275" s="1411"/>
      <c r="DD275" s="1411"/>
      <c r="DE275" s="1411"/>
      <c r="DF275" s="1411"/>
      <c r="DH275" s="1432"/>
      <c r="DI275" s="1432"/>
      <c r="DJ275" s="1437"/>
      <c r="DK275" s="1437"/>
      <c r="DL275" s="1437"/>
      <c r="DM275" s="1437"/>
      <c r="DN275" s="1432"/>
      <c r="DO275" s="1432"/>
      <c r="DP275" s="1432"/>
      <c r="DQ275" s="1432"/>
      <c r="DR275" s="1432"/>
      <c r="DS275" s="1432"/>
      <c r="DT275" s="1316"/>
      <c r="DU275" s="1433"/>
      <c r="DV275" s="1433"/>
      <c r="DW275" s="1433"/>
      <c r="DX275" s="1433"/>
      <c r="DY275" s="1433"/>
      <c r="DZ275" s="1433"/>
      <c r="EA275" s="1433"/>
      <c r="EB275" s="1433"/>
    </row>
    <row r="276" customFormat="false" ht="14.25" hidden="false" customHeight="false" outlineLevel="0" collapsed="false">
      <c r="A276" s="2" t="n">
        <f aca="false">'V_DATOS PAC_SGA'!R271</f>
        <v>0</v>
      </c>
      <c r="B276" s="2" t="n">
        <f aca="false">IF(I276="IV",CONCATENATE('V_DATOS PAC_SGA'!R271,"4")+0,CONCATENATE('V_DATOS PAC_SGA'!R271,"0")+0)</f>
        <v>0</v>
      </c>
      <c r="C276" s="2" t="n">
        <f aca="false">'V_DATOS PAC_SGA'!S271</f>
        <v>0</v>
      </c>
      <c r="D276" s="1409" t="n">
        <f aca="false">'V_DATOS PAC_SGA'!Y271</f>
        <v>0</v>
      </c>
      <c r="E276" s="1410" t="str">
        <f aca="false">IF('V_DATOS PAC_SGA'!AV271="","Regadio",'V_DATOS PAC_SGA'!AV271)</f>
        <v>Regadio</v>
      </c>
      <c r="F276" s="1411" t="n">
        <f aca="false">'V_DATOS PAC_SGA'!BK271</f>
        <v>0</v>
      </c>
      <c r="G276" s="1412" t="n">
        <f aca="false">'V_DATOS PAC_SGA'!AN271</f>
        <v>0</v>
      </c>
      <c r="H276" s="1413" t="str">
        <f aca="false">IF(B276&gt;0,VLOOKUP(B276,'O_MN, PE_UTA_UGM 2024'!E$3:O$419,10),"")</f>
        <v/>
      </c>
      <c r="I276" s="1359" t="n">
        <f aca="false">'V_DATOS PAC_SGA'!BV271</f>
        <v>0</v>
      </c>
      <c r="J276" s="2" t="str">
        <f aca="false">IF(AND(J$4=$G276,J$6=$F276),$D276*J$5,"")</f>
        <v/>
      </c>
      <c r="K276" s="2" t="str">
        <f aca="false">IF(AND(K$4=$G276,K$6=$F276),$D276*K$5,"")</f>
        <v/>
      </c>
      <c r="L276" s="2" t="str">
        <f aca="false">IF(AND(L$4=$G276,L$6=$F276),$D276*L$5,"")</f>
        <v/>
      </c>
      <c r="M276" s="2" t="str">
        <f aca="false">IF(AND(M$4=$G276,M$6=$F276),$D276*M$5,"")</f>
        <v/>
      </c>
      <c r="N276" s="1414" t="n">
        <f aca="false">VLOOKUP(B276,'O_MN, PE_UTA_UGM 2024'!$E$2:$K$419,IF(G276&gt;1,6,7))</f>
        <v>0</v>
      </c>
      <c r="O276" s="1434" t="str">
        <f aca="false">IF($H276=O$4,$D276*$N276,"")</f>
        <v/>
      </c>
      <c r="P276" s="1435" t="str">
        <f aca="false">IF($H276=P$4,$D276*$N276,"")</f>
        <v/>
      </c>
      <c r="Q276" s="1435" t="str">
        <f aca="false">IF($H276=Q$4,$D276*$N276,"")</f>
        <v/>
      </c>
      <c r="R276" s="1435" t="str">
        <f aca="false">IF($H276=R$4,$D276*$N276,"")</f>
        <v/>
      </c>
      <c r="S276" s="1435" t="str">
        <f aca="false">IF($H276=S$4,$D276*$N276,"")</f>
        <v/>
      </c>
      <c r="T276" s="1435" t="str">
        <f aca="false">IF($H276=T$4,$D276*$N276,"")</f>
        <v/>
      </c>
      <c r="U276" s="1436" t="str">
        <f aca="false">IF($H276=U$4,$D276*$N276,"")</f>
        <v/>
      </c>
      <c r="V276" s="1418"/>
      <c r="W276" s="1419"/>
      <c r="X276" s="1419"/>
      <c r="Y276" s="1419"/>
      <c r="Z276" s="1419"/>
      <c r="AA276" s="1419"/>
      <c r="AB276" s="1420"/>
      <c r="AC276" s="1319"/>
      <c r="AD276" s="2" t="str">
        <f aca="false">IF(AND(AD$4=$G276,AD$6=$F276),$B276,"")</f>
        <v/>
      </c>
      <c r="AE276" s="2" t="str">
        <f aca="false">IF(AND(AE$4=$G276,AE$6=$F276),$B276,"")</f>
        <v/>
      </c>
      <c r="AF276" s="2" t="str">
        <f aca="false">IF(AND(AF$4=$G276,AF$6=$F276),$B276,"")</f>
        <v/>
      </c>
      <c r="AG276" s="2" t="str">
        <f aca="false">IF(AND(AG$4=$G276,AG$6=$F276),$B276,"")</f>
        <v/>
      </c>
      <c r="AI276" s="366"/>
      <c r="AL276" s="367"/>
      <c r="AO276" s="367"/>
      <c r="AP276" s="2" t="str">
        <f aca="false">IF(AT276&gt;0,RANK(AT276,AT$7:AT$423),"")</f>
        <v/>
      </c>
      <c r="AQ276" s="2" t="n">
        <f aca="false">'O_MN, PE_UTA_UGM 2024'!C272</f>
        <v>271</v>
      </c>
      <c r="AR276" s="1421" t="n">
        <v>2660</v>
      </c>
      <c r="AS276" s="2" t="str">
        <f aca="false">IF(AY276&lt;&gt;"",AY276,"")</f>
        <v/>
      </c>
      <c r="AT276" s="1422" t="n">
        <f aca="false">IF(ISNUMBER($AR276),SUMIF(B$7:B$505,AR276,D$7:D$505),"")</f>
        <v>0</v>
      </c>
      <c r="AU276" s="1411" t="n">
        <f aca="false">IF(ISNUMBER($AR276),SUMIF(AD$7:AD$503,$AR276,J$7:J$503),"")</f>
        <v>0</v>
      </c>
      <c r="AV276" s="1411" t="n">
        <f aca="false">IF(ISNUMBER($AR276),SUMIF(AF$7:AF$503,$AR276,L$7:L$503),"")</f>
        <v>0</v>
      </c>
      <c r="AW276" s="1423" t="n">
        <f aca="false">IF(ISNUMBER($AR276),SUMIF(AE$7:AE$503,$AR276,K$7:K$503),"")</f>
        <v>0</v>
      </c>
      <c r="AX276" s="1423" t="n">
        <f aca="false">IF(ISNUMBER($AR276),SUMIF(AG$7:AG$503,$AR276,M$7:M$503),"")</f>
        <v>0</v>
      </c>
      <c r="AY276" s="2" t="str">
        <f aca="false">IF($AT276&gt;0,VLOOKUP($AR276,'O_MN, PE_UTA_UGM 2024'!E272:O688,2),"")</f>
        <v/>
      </c>
      <c r="AZ276" s="1424"/>
      <c r="BA276" s="1424"/>
      <c r="BB276" s="1424" t="str">
        <f aca="false">IF($AT276&gt;0,VLOOKUP($AR276,'O_MN, PE_UTA_UGM 2024'!$E$3:$O$419,BB$6),"")</f>
        <v/>
      </c>
      <c r="BC276" s="1424" t="str">
        <f aca="false">IF($AT276&gt;0,VLOOKUP($AR276,'O_MN, PE_UTA_UGM 2024'!$E$3:$O$419,BC$6),"")</f>
        <v/>
      </c>
      <c r="BD276" s="1424" t="str">
        <f aca="false">IF($AT276&gt;0,VLOOKUP($AR276,'O_MN, PE_UTA_UGM 2024'!$E$3:$O$419,BD$6),"")</f>
        <v/>
      </c>
      <c r="BE276" s="1424" t="str">
        <f aca="false">IF($AT276&gt;0,VLOOKUP($AR276,'O_MN, PE_UTA_UGM 2024'!$E$3:$O$419,BE$6),"")</f>
        <v/>
      </c>
      <c r="BF276" s="1424" t="str">
        <f aca="false">IF($AT276&gt;0,VLOOKUP($AR276,'O_MN, PE_UTA_UGM 2024'!$E$3:$O$419,BF$6),"")</f>
        <v/>
      </c>
      <c r="BG276" s="1424" t="str">
        <f aca="false">IF($AT276&gt;0,VLOOKUP($AR276,'O_MN, PE_UTA_UGM 2024'!$E$3:$O$419,BG$6),"")</f>
        <v/>
      </c>
      <c r="BH276" s="872"/>
      <c r="BI276" s="872"/>
      <c r="BJ276" s="872"/>
      <c r="BK276" s="872"/>
      <c r="BM276" s="1411"/>
      <c r="BN276" s="1411"/>
      <c r="BO276" s="1425" t="str">
        <f aca="false">IF(ISNUMBER($AU276*BB276*1),$AU276*BB276*1,"")</f>
        <v/>
      </c>
      <c r="BP276" s="1425" t="str">
        <f aca="false">IF(ISNUMBER($AV276*BC276*1),$AV276*BC276*1,"")</f>
        <v/>
      </c>
      <c r="BQ276" s="1425" t="str">
        <f aca="false">IF(ISNUMBER($AU276*BD276*1),$AU276*BD276*1,"")</f>
        <v/>
      </c>
      <c r="BR276" s="1425" t="str">
        <f aca="false">IF(ISNUMBER($AV276*BE276*1),$AV276*BE276*1,"")</f>
        <v/>
      </c>
      <c r="BS276" s="1411" t="str">
        <f aca="false">IF(ISNUMBER($AU276*BF276),$AU276*BF276,"")</f>
        <v/>
      </c>
      <c r="BT276" s="1411" t="str">
        <f aca="false">IF(ISNUMBER($AV276*BG276),$AV276*BG276,"")</f>
        <v/>
      </c>
      <c r="BU276" s="1411"/>
      <c r="BV276" s="1411"/>
      <c r="BW276" s="1411"/>
      <c r="BX276" s="1411"/>
      <c r="BZ276" s="1372"/>
      <c r="CA276" s="1372"/>
      <c r="CB276" s="1426" t="str">
        <f aca="false">IF(ISNUMBER($AW276*BB276),$AW276*BB276,"")</f>
        <v/>
      </c>
      <c r="CC276" s="1426" t="str">
        <f aca="false">IF(ISNUMBER($AX276*BC276),$AX276*BC276,"")</f>
        <v/>
      </c>
      <c r="CD276" s="1426" t="str">
        <f aca="false">IF(ISNUMBER($AW276*BD276),$AW276*BD276,"")</f>
        <v/>
      </c>
      <c r="CE276" s="1426" t="str">
        <f aca="false">IF(ISNUMBER($AX276*BE276),$AX276*BE276,"")</f>
        <v/>
      </c>
      <c r="CF276" s="1372" t="str">
        <f aca="false">IF(ISNUMBER($AW276*BF276),$AW276*BF276,"")</f>
        <v/>
      </c>
      <c r="CG276" s="1372" t="str">
        <f aca="false">IF(ISNUMBER($AX276*BG276),$AX276*BG276,"")</f>
        <v/>
      </c>
      <c r="CH276" s="1438"/>
      <c r="CI276" s="1438"/>
      <c r="CJ276" s="1438"/>
      <c r="CK276" s="1438"/>
      <c r="CU276" s="1411"/>
      <c r="CV276" s="1411"/>
      <c r="CW276" s="1425"/>
      <c r="CX276" s="1425"/>
      <c r="CY276" s="1425"/>
      <c r="CZ276" s="1425"/>
      <c r="DA276" s="1411"/>
      <c r="DB276" s="1411"/>
      <c r="DC276" s="1411"/>
      <c r="DD276" s="1411"/>
      <c r="DE276" s="1411"/>
      <c r="DF276" s="1411"/>
      <c r="DH276" s="1432"/>
      <c r="DI276" s="1432"/>
      <c r="DJ276" s="1437"/>
      <c r="DK276" s="1437"/>
      <c r="DL276" s="1437"/>
      <c r="DM276" s="1437"/>
      <c r="DN276" s="1432"/>
      <c r="DO276" s="1432"/>
      <c r="DP276" s="1432"/>
      <c r="DQ276" s="1432"/>
      <c r="DR276" s="1432"/>
      <c r="DS276" s="1432"/>
      <c r="DT276" s="1316"/>
      <c r="DU276" s="1433"/>
      <c r="DV276" s="1433"/>
      <c r="DW276" s="1433"/>
      <c r="DX276" s="1433"/>
      <c r="DY276" s="1433"/>
      <c r="DZ276" s="1433"/>
      <c r="EA276" s="1433"/>
      <c r="EB276" s="1433"/>
    </row>
    <row r="277" customFormat="false" ht="14.25" hidden="false" customHeight="false" outlineLevel="0" collapsed="false">
      <c r="A277" s="2" t="n">
        <f aca="false">'V_DATOS PAC_SGA'!R272</f>
        <v>0</v>
      </c>
      <c r="B277" s="2" t="n">
        <f aca="false">IF(I277="IV",CONCATENATE('V_DATOS PAC_SGA'!R272,"4")+0,CONCATENATE('V_DATOS PAC_SGA'!R272,"0")+0)</f>
        <v>0</v>
      </c>
      <c r="C277" s="2" t="n">
        <f aca="false">'V_DATOS PAC_SGA'!S272</f>
        <v>0</v>
      </c>
      <c r="D277" s="1409" t="n">
        <f aca="false">'V_DATOS PAC_SGA'!Y272</f>
        <v>0</v>
      </c>
      <c r="E277" s="1410" t="str">
        <f aca="false">IF('V_DATOS PAC_SGA'!AV272="","Regadio",'V_DATOS PAC_SGA'!AV272)</f>
        <v>Regadio</v>
      </c>
      <c r="F277" s="1411" t="n">
        <f aca="false">'V_DATOS PAC_SGA'!BK272</f>
        <v>0</v>
      </c>
      <c r="G277" s="1412" t="n">
        <f aca="false">'V_DATOS PAC_SGA'!AN272</f>
        <v>0</v>
      </c>
      <c r="H277" s="1413" t="str">
        <f aca="false">IF(B277&gt;0,VLOOKUP(B277,'O_MN, PE_UTA_UGM 2024'!E$3:O$419,10),"")</f>
        <v/>
      </c>
      <c r="I277" s="1359" t="n">
        <f aca="false">'V_DATOS PAC_SGA'!BV272</f>
        <v>0</v>
      </c>
      <c r="J277" s="2" t="str">
        <f aca="false">IF(AND(J$4=$G277,J$6=$F277),$D277*J$5,"")</f>
        <v/>
      </c>
      <c r="K277" s="2" t="str">
        <f aca="false">IF(AND(K$4=$G277,K$6=$F277),$D277*K$5,"")</f>
        <v/>
      </c>
      <c r="L277" s="2" t="str">
        <f aca="false">IF(AND(L$4=$G277,L$6=$F277),$D277*L$5,"")</f>
        <v/>
      </c>
      <c r="M277" s="2" t="str">
        <f aca="false">IF(AND(M$4=$G277,M$6=$F277),$D277*M$5,"")</f>
        <v/>
      </c>
      <c r="N277" s="1414" t="n">
        <f aca="false">VLOOKUP(B277,'O_MN, PE_UTA_UGM 2024'!$E$2:$K$419,IF(G277&gt;1,6,7))</f>
        <v>0</v>
      </c>
      <c r="O277" s="1434" t="str">
        <f aca="false">IF($H277=O$4,$D277*$N277,"")</f>
        <v/>
      </c>
      <c r="P277" s="1435" t="str">
        <f aca="false">IF($H277=P$4,$D277*$N277,"")</f>
        <v/>
      </c>
      <c r="Q277" s="1435" t="str">
        <f aca="false">IF($H277=Q$4,$D277*$N277,"")</f>
        <v/>
      </c>
      <c r="R277" s="1435" t="str">
        <f aca="false">IF($H277=R$4,$D277*$N277,"")</f>
        <v/>
      </c>
      <c r="S277" s="1435" t="str">
        <f aca="false">IF($H277=S$4,$D277*$N277,"")</f>
        <v/>
      </c>
      <c r="T277" s="1435" t="str">
        <f aca="false">IF($H277=T$4,$D277*$N277,"")</f>
        <v/>
      </c>
      <c r="U277" s="1436" t="str">
        <f aca="false">IF($H277=U$4,$D277*$N277,"")</f>
        <v/>
      </c>
      <c r="V277" s="1418"/>
      <c r="W277" s="1419"/>
      <c r="X277" s="1419"/>
      <c r="Y277" s="1419"/>
      <c r="Z277" s="1419"/>
      <c r="AA277" s="1419"/>
      <c r="AB277" s="1420"/>
      <c r="AC277" s="1319"/>
      <c r="AD277" s="2" t="str">
        <f aca="false">IF(AND(AD$4=$G277,AD$6=$F277),$B277,"")</f>
        <v/>
      </c>
      <c r="AE277" s="2" t="str">
        <f aca="false">IF(AND(AE$4=$G277,AE$6=$F277),$B277,"")</f>
        <v/>
      </c>
      <c r="AF277" s="2" t="str">
        <f aca="false">IF(AND(AF$4=$G277,AF$6=$F277),$B277,"")</f>
        <v/>
      </c>
      <c r="AG277" s="2" t="str">
        <f aca="false">IF(AND(AG$4=$G277,AG$6=$F277),$B277,"")</f>
        <v/>
      </c>
      <c r="AI277" s="366"/>
      <c r="AL277" s="367"/>
      <c r="AO277" s="367"/>
      <c r="AP277" s="2" t="str">
        <f aca="false">IF(AT277&gt;0,RANK(AT277,AT$7:AT$423),"")</f>
        <v/>
      </c>
      <c r="AQ277" s="2" t="n">
        <f aca="false">'O_MN, PE_UTA_UGM 2024'!C273</f>
        <v>272</v>
      </c>
      <c r="AR277" s="1421" t="n">
        <v>2670</v>
      </c>
      <c r="AS277" s="2" t="str">
        <f aca="false">IF(AY277&lt;&gt;"",AY277,"")</f>
        <v/>
      </c>
      <c r="AT277" s="1422" t="n">
        <f aca="false">IF(ISNUMBER($AR277),SUMIF(B$7:B$505,AR277,D$7:D$505),"")</f>
        <v>0</v>
      </c>
      <c r="AU277" s="1411" t="n">
        <f aca="false">IF(ISNUMBER($AR277),SUMIF(AD$7:AD$503,$AR277,J$7:J$503),"")</f>
        <v>0</v>
      </c>
      <c r="AV277" s="1411" t="n">
        <f aca="false">IF(ISNUMBER($AR277),SUMIF(AF$7:AF$503,$AR277,L$7:L$503),"")</f>
        <v>0</v>
      </c>
      <c r="AW277" s="1423" t="n">
        <f aca="false">IF(ISNUMBER($AR277),SUMIF(AE$7:AE$503,$AR277,K$7:K$503),"")</f>
        <v>0</v>
      </c>
      <c r="AX277" s="1423" t="n">
        <f aca="false">IF(ISNUMBER($AR277),SUMIF(AG$7:AG$503,$AR277,M$7:M$503),"")</f>
        <v>0</v>
      </c>
      <c r="AY277" s="2" t="str">
        <f aca="false">IF($AT277&gt;0,VLOOKUP($AR277,'O_MN, PE_UTA_UGM 2024'!E273:O689,2),"")</f>
        <v/>
      </c>
      <c r="AZ277" s="1424"/>
      <c r="BA277" s="1424"/>
      <c r="BB277" s="1424" t="str">
        <f aca="false">IF($AT277&gt;0,VLOOKUP($AR277,'O_MN, PE_UTA_UGM 2024'!$E$3:$O$419,BB$6),"")</f>
        <v/>
      </c>
      <c r="BC277" s="1424" t="str">
        <f aca="false">IF($AT277&gt;0,VLOOKUP($AR277,'O_MN, PE_UTA_UGM 2024'!$E$3:$O$419,BC$6),"")</f>
        <v/>
      </c>
      <c r="BD277" s="1424" t="str">
        <f aca="false">IF($AT277&gt;0,VLOOKUP($AR277,'O_MN, PE_UTA_UGM 2024'!$E$3:$O$419,BD$6),"")</f>
        <v/>
      </c>
      <c r="BE277" s="1424" t="str">
        <f aca="false">IF($AT277&gt;0,VLOOKUP($AR277,'O_MN, PE_UTA_UGM 2024'!$E$3:$O$419,BE$6),"")</f>
        <v/>
      </c>
      <c r="BF277" s="1424" t="str">
        <f aca="false">IF($AT277&gt;0,VLOOKUP($AR277,'O_MN, PE_UTA_UGM 2024'!$E$3:$O$419,BF$6),"")</f>
        <v/>
      </c>
      <c r="BG277" s="1424" t="str">
        <f aca="false">IF($AT277&gt;0,VLOOKUP($AR277,'O_MN, PE_UTA_UGM 2024'!$E$3:$O$419,BG$6),"")</f>
        <v/>
      </c>
      <c r="BH277" s="872"/>
      <c r="BI277" s="872"/>
      <c r="BJ277" s="872"/>
      <c r="BK277" s="872"/>
      <c r="BM277" s="1411"/>
      <c r="BN277" s="1411"/>
      <c r="BO277" s="1425" t="str">
        <f aca="false">IF(ISNUMBER($AU277*BB277*1),$AU277*BB277*1,"")</f>
        <v/>
      </c>
      <c r="BP277" s="1425" t="str">
        <f aca="false">IF(ISNUMBER($AV277*BC277*1),$AV277*BC277*1,"")</f>
        <v/>
      </c>
      <c r="BQ277" s="1425" t="str">
        <f aca="false">IF(ISNUMBER($AU277*BD277*1),$AU277*BD277*1,"")</f>
        <v/>
      </c>
      <c r="BR277" s="1425" t="str">
        <f aca="false">IF(ISNUMBER($AV277*BE277*1),$AV277*BE277*1,"")</f>
        <v/>
      </c>
      <c r="BS277" s="1411" t="str">
        <f aca="false">IF(ISNUMBER($AU277*BF277),$AU277*BF277,"")</f>
        <v/>
      </c>
      <c r="BT277" s="1411" t="str">
        <f aca="false">IF(ISNUMBER($AV277*BG277),$AV277*BG277,"")</f>
        <v/>
      </c>
      <c r="BU277" s="1411"/>
      <c r="BV277" s="1411"/>
      <c r="BW277" s="1411"/>
      <c r="BX277" s="1411"/>
      <c r="BZ277" s="1372"/>
      <c r="CA277" s="1372"/>
      <c r="CB277" s="1426" t="str">
        <f aca="false">IF(ISNUMBER($AW277*BB277),$AW277*BB277,"")</f>
        <v/>
      </c>
      <c r="CC277" s="1426" t="str">
        <f aca="false">IF(ISNUMBER($AX277*BC277),$AX277*BC277,"")</f>
        <v/>
      </c>
      <c r="CD277" s="1426" t="str">
        <f aca="false">IF(ISNUMBER($AW277*BD277),$AW277*BD277,"")</f>
        <v/>
      </c>
      <c r="CE277" s="1426" t="str">
        <f aca="false">IF(ISNUMBER($AX277*BE277),$AX277*BE277,"")</f>
        <v/>
      </c>
      <c r="CF277" s="1372" t="str">
        <f aca="false">IF(ISNUMBER($AW277*BF277),$AW277*BF277,"")</f>
        <v/>
      </c>
      <c r="CG277" s="1372" t="str">
        <f aca="false">IF(ISNUMBER($AX277*BG277),$AX277*BG277,"")</f>
        <v/>
      </c>
      <c r="CH277" s="1438"/>
      <c r="CI277" s="1438"/>
      <c r="CJ277" s="1438"/>
      <c r="CK277" s="1438"/>
      <c r="CU277" s="1411"/>
      <c r="CV277" s="1411"/>
      <c r="CW277" s="1425"/>
      <c r="CX277" s="1425"/>
      <c r="CY277" s="1425"/>
      <c r="CZ277" s="1425"/>
      <c r="DA277" s="1411"/>
      <c r="DB277" s="1411"/>
      <c r="DC277" s="1411"/>
      <c r="DD277" s="1411"/>
      <c r="DE277" s="1411"/>
      <c r="DF277" s="1411"/>
      <c r="DH277" s="1432"/>
      <c r="DI277" s="1432"/>
      <c r="DJ277" s="1437"/>
      <c r="DK277" s="1437"/>
      <c r="DL277" s="1437"/>
      <c r="DM277" s="1437"/>
      <c r="DN277" s="1432"/>
      <c r="DO277" s="1432"/>
      <c r="DP277" s="1432"/>
      <c r="DQ277" s="1432"/>
      <c r="DR277" s="1432"/>
      <c r="DS277" s="1432"/>
      <c r="DT277" s="1316"/>
      <c r="DU277" s="1433"/>
      <c r="DV277" s="1433"/>
      <c r="DW277" s="1433"/>
      <c r="DX277" s="1433"/>
      <c r="DY277" s="1433"/>
      <c r="DZ277" s="1433"/>
      <c r="EA277" s="1433"/>
      <c r="EB277" s="1433"/>
    </row>
    <row r="278" customFormat="false" ht="14.25" hidden="false" customHeight="false" outlineLevel="0" collapsed="false">
      <c r="A278" s="2" t="n">
        <f aca="false">'V_DATOS PAC_SGA'!R273</f>
        <v>0</v>
      </c>
      <c r="B278" s="2" t="n">
        <f aca="false">IF(I278="IV",CONCATENATE('V_DATOS PAC_SGA'!R273,"4")+0,CONCATENATE('V_DATOS PAC_SGA'!R273,"0")+0)</f>
        <v>0</v>
      </c>
      <c r="C278" s="2" t="n">
        <f aca="false">'V_DATOS PAC_SGA'!S273</f>
        <v>0</v>
      </c>
      <c r="D278" s="1409" t="n">
        <f aca="false">'V_DATOS PAC_SGA'!Y273</f>
        <v>0</v>
      </c>
      <c r="E278" s="1410" t="str">
        <f aca="false">IF('V_DATOS PAC_SGA'!AV273="","Regadio",'V_DATOS PAC_SGA'!AV273)</f>
        <v>Regadio</v>
      </c>
      <c r="F278" s="1411" t="n">
        <f aca="false">'V_DATOS PAC_SGA'!BK273</f>
        <v>0</v>
      </c>
      <c r="G278" s="1412" t="n">
        <f aca="false">'V_DATOS PAC_SGA'!AN273</f>
        <v>0</v>
      </c>
      <c r="H278" s="1413" t="str">
        <f aca="false">IF(B278&gt;0,VLOOKUP(B278,'O_MN, PE_UTA_UGM 2024'!E$3:O$419,10),"")</f>
        <v/>
      </c>
      <c r="I278" s="1359" t="n">
        <f aca="false">'V_DATOS PAC_SGA'!BV273</f>
        <v>0</v>
      </c>
      <c r="J278" s="2" t="str">
        <f aca="false">IF(AND(J$4=$G278,J$6=$F278),$D278*J$5,"")</f>
        <v/>
      </c>
      <c r="K278" s="2" t="str">
        <f aca="false">IF(AND(K$4=$G278,K$6=$F278),$D278*K$5,"")</f>
        <v/>
      </c>
      <c r="L278" s="2" t="str">
        <f aca="false">IF(AND(L$4=$G278,L$6=$F278),$D278*L$5,"")</f>
        <v/>
      </c>
      <c r="M278" s="2" t="str">
        <f aca="false">IF(AND(M$4=$G278,M$6=$F278),$D278*M$5,"")</f>
        <v/>
      </c>
      <c r="N278" s="1414" t="n">
        <f aca="false">VLOOKUP(B278,'O_MN, PE_UTA_UGM 2024'!$E$2:$K$419,IF(G278&gt;1,6,7))</f>
        <v>0</v>
      </c>
      <c r="O278" s="1434" t="str">
        <f aca="false">IF($H278=O$4,$D278*$N278,"")</f>
        <v/>
      </c>
      <c r="P278" s="1435" t="str">
        <f aca="false">IF($H278=P$4,$D278*$N278,"")</f>
        <v/>
      </c>
      <c r="Q278" s="1435" t="str">
        <f aca="false">IF($H278=Q$4,$D278*$N278,"")</f>
        <v/>
      </c>
      <c r="R278" s="1435" t="str">
        <f aca="false">IF($H278=R$4,$D278*$N278,"")</f>
        <v/>
      </c>
      <c r="S278" s="1435" t="str">
        <f aca="false">IF($H278=S$4,$D278*$N278,"")</f>
        <v/>
      </c>
      <c r="T278" s="1435" t="str">
        <f aca="false">IF($H278=T$4,$D278*$N278,"")</f>
        <v/>
      </c>
      <c r="U278" s="1436" t="str">
        <f aca="false">IF($H278=U$4,$D278*$N278,"")</f>
        <v/>
      </c>
      <c r="V278" s="1418"/>
      <c r="W278" s="1419"/>
      <c r="X278" s="1419"/>
      <c r="Y278" s="1419"/>
      <c r="Z278" s="1419"/>
      <c r="AA278" s="1419"/>
      <c r="AB278" s="1420"/>
      <c r="AC278" s="1319"/>
      <c r="AD278" s="2" t="str">
        <f aca="false">IF(AND(AD$4=$G278,AD$6=$F278),$B278,"")</f>
        <v/>
      </c>
      <c r="AE278" s="2" t="str">
        <f aca="false">IF(AND(AE$4=$G278,AE$6=$F278),$B278,"")</f>
        <v/>
      </c>
      <c r="AF278" s="2" t="str">
        <f aca="false">IF(AND(AF$4=$G278,AF$6=$F278),$B278,"")</f>
        <v/>
      </c>
      <c r="AG278" s="2" t="str">
        <f aca="false">IF(AND(AG$4=$G278,AG$6=$F278),$B278,"")</f>
        <v/>
      </c>
      <c r="AI278" s="366"/>
      <c r="AL278" s="367"/>
      <c r="AO278" s="367"/>
      <c r="AP278" s="2" t="str">
        <f aca="false">IF(AT278&gt;0,RANK(AT278,AT$7:AT$423),"")</f>
        <v/>
      </c>
      <c r="AQ278" s="2" t="n">
        <f aca="false">'O_MN, PE_UTA_UGM 2024'!C274</f>
        <v>273</v>
      </c>
      <c r="AR278" s="1421" t="n">
        <v>2680</v>
      </c>
      <c r="AS278" s="2" t="str">
        <f aca="false">IF(AY278&lt;&gt;"",AY278,"")</f>
        <v/>
      </c>
      <c r="AT278" s="1422" t="n">
        <f aca="false">IF(ISNUMBER($AR278),SUMIF(B$7:B$505,AR278,D$7:D$505),"")</f>
        <v>0</v>
      </c>
      <c r="AU278" s="1411" t="n">
        <f aca="false">IF(ISNUMBER($AR278),SUMIF(AD$7:AD$503,$AR278,J$7:J$503),"")</f>
        <v>0</v>
      </c>
      <c r="AV278" s="1411" t="n">
        <f aca="false">IF(ISNUMBER($AR278),SUMIF(AF$7:AF$503,$AR278,L$7:L$503),"")</f>
        <v>0</v>
      </c>
      <c r="AW278" s="1423" t="n">
        <f aca="false">IF(ISNUMBER($AR278),SUMIF(AE$7:AE$503,$AR278,K$7:K$503),"")</f>
        <v>0</v>
      </c>
      <c r="AX278" s="1423" t="n">
        <f aca="false">IF(ISNUMBER($AR278),SUMIF(AG$7:AG$503,$AR278,M$7:M$503),"")</f>
        <v>0</v>
      </c>
      <c r="AY278" s="2" t="str">
        <f aca="false">IF($AT278&gt;0,VLOOKUP($AR278,'O_MN, PE_UTA_UGM 2024'!E274:O690,2),"")</f>
        <v/>
      </c>
      <c r="AZ278" s="1424"/>
      <c r="BA278" s="1424"/>
      <c r="BB278" s="1424" t="str">
        <f aca="false">IF($AT278&gt;0,VLOOKUP($AR278,'O_MN, PE_UTA_UGM 2024'!$E$3:$O$419,BB$6),"")</f>
        <v/>
      </c>
      <c r="BC278" s="1424" t="str">
        <f aca="false">IF($AT278&gt;0,VLOOKUP($AR278,'O_MN, PE_UTA_UGM 2024'!$E$3:$O$419,BC$6),"")</f>
        <v/>
      </c>
      <c r="BD278" s="1424" t="str">
        <f aca="false">IF($AT278&gt;0,VLOOKUP($AR278,'O_MN, PE_UTA_UGM 2024'!$E$3:$O$419,BD$6),"")</f>
        <v/>
      </c>
      <c r="BE278" s="1424" t="str">
        <f aca="false">IF($AT278&gt;0,VLOOKUP($AR278,'O_MN, PE_UTA_UGM 2024'!$E$3:$O$419,BE$6),"")</f>
        <v/>
      </c>
      <c r="BF278" s="1424" t="str">
        <f aca="false">IF($AT278&gt;0,VLOOKUP($AR278,'O_MN, PE_UTA_UGM 2024'!$E$3:$O$419,BF$6),"")</f>
        <v/>
      </c>
      <c r="BG278" s="1424" t="str">
        <f aca="false">IF($AT278&gt;0,VLOOKUP($AR278,'O_MN, PE_UTA_UGM 2024'!$E$3:$O$419,BG$6),"")</f>
        <v/>
      </c>
      <c r="BH278" s="872"/>
      <c r="BI278" s="872"/>
      <c r="BJ278" s="872"/>
      <c r="BK278" s="872"/>
      <c r="BM278" s="1411"/>
      <c r="BN278" s="1411"/>
      <c r="BO278" s="1425" t="str">
        <f aca="false">IF(ISNUMBER($AU278*BB278*1),$AU278*BB278*1,"")</f>
        <v/>
      </c>
      <c r="BP278" s="1425" t="str">
        <f aca="false">IF(ISNUMBER($AV278*BC278*1),$AV278*BC278*1,"")</f>
        <v/>
      </c>
      <c r="BQ278" s="1425" t="str">
        <f aca="false">IF(ISNUMBER($AU278*BD278*1),$AU278*BD278*1,"")</f>
        <v/>
      </c>
      <c r="BR278" s="1425" t="str">
        <f aca="false">IF(ISNUMBER($AV278*BE278*1),$AV278*BE278*1,"")</f>
        <v/>
      </c>
      <c r="BS278" s="1411" t="str">
        <f aca="false">IF(ISNUMBER($AU278*BF278),$AU278*BF278,"")</f>
        <v/>
      </c>
      <c r="BT278" s="1411" t="str">
        <f aca="false">IF(ISNUMBER($AV278*BG278),$AV278*BG278,"")</f>
        <v/>
      </c>
      <c r="BU278" s="1411"/>
      <c r="BV278" s="1411"/>
      <c r="BW278" s="1411"/>
      <c r="BX278" s="1411"/>
      <c r="BZ278" s="1372"/>
      <c r="CA278" s="1372"/>
      <c r="CB278" s="1426" t="str">
        <f aca="false">IF(ISNUMBER($AW278*BB278),$AW278*BB278,"")</f>
        <v/>
      </c>
      <c r="CC278" s="1426" t="str">
        <f aca="false">IF(ISNUMBER($AX278*BC278),$AX278*BC278,"")</f>
        <v/>
      </c>
      <c r="CD278" s="1426" t="str">
        <f aca="false">IF(ISNUMBER($AW278*BD278),$AW278*BD278,"")</f>
        <v/>
      </c>
      <c r="CE278" s="1426" t="str">
        <f aca="false">IF(ISNUMBER($AX278*BE278),$AX278*BE278,"")</f>
        <v/>
      </c>
      <c r="CF278" s="1372" t="str">
        <f aca="false">IF(ISNUMBER($AW278*BF278),$AW278*BF278,"")</f>
        <v/>
      </c>
      <c r="CG278" s="1372" t="str">
        <f aca="false">IF(ISNUMBER($AX278*BG278),$AX278*BG278,"")</f>
        <v/>
      </c>
      <c r="CH278" s="1438"/>
      <c r="CI278" s="1438"/>
      <c r="CJ278" s="1438"/>
      <c r="CK278" s="1438"/>
      <c r="CU278" s="1411"/>
      <c r="CV278" s="1411"/>
      <c r="CW278" s="1425"/>
      <c r="CX278" s="1425"/>
      <c r="CY278" s="1425"/>
      <c r="CZ278" s="1425"/>
      <c r="DA278" s="1411"/>
      <c r="DB278" s="1411"/>
      <c r="DC278" s="1411"/>
      <c r="DD278" s="1411"/>
      <c r="DE278" s="1411"/>
      <c r="DF278" s="1411"/>
      <c r="DH278" s="1432"/>
      <c r="DI278" s="1432"/>
      <c r="DJ278" s="1437"/>
      <c r="DK278" s="1437"/>
      <c r="DL278" s="1437"/>
      <c r="DM278" s="1437"/>
      <c r="DN278" s="1432"/>
      <c r="DO278" s="1432"/>
      <c r="DP278" s="1432"/>
      <c r="DQ278" s="1432"/>
      <c r="DR278" s="1432"/>
      <c r="DS278" s="1432"/>
      <c r="DT278" s="1316"/>
      <c r="DU278" s="1433"/>
      <c r="DV278" s="1433"/>
      <c r="DW278" s="1433"/>
      <c r="DX278" s="1433"/>
      <c r="DY278" s="1433"/>
      <c r="DZ278" s="1433"/>
      <c r="EA278" s="1433"/>
      <c r="EB278" s="1433"/>
    </row>
    <row r="279" customFormat="false" ht="14.25" hidden="false" customHeight="false" outlineLevel="0" collapsed="false">
      <c r="A279" s="2" t="n">
        <f aca="false">'V_DATOS PAC_SGA'!R274</f>
        <v>0</v>
      </c>
      <c r="B279" s="2" t="n">
        <f aca="false">IF(I279="IV",CONCATENATE('V_DATOS PAC_SGA'!R274,"4")+0,CONCATENATE('V_DATOS PAC_SGA'!R274,"0")+0)</f>
        <v>0</v>
      </c>
      <c r="C279" s="2" t="n">
        <f aca="false">'V_DATOS PAC_SGA'!S274</f>
        <v>0</v>
      </c>
      <c r="D279" s="1409" t="n">
        <f aca="false">'V_DATOS PAC_SGA'!Y274</f>
        <v>0</v>
      </c>
      <c r="E279" s="1410" t="str">
        <f aca="false">IF('V_DATOS PAC_SGA'!AV274="","Regadio",'V_DATOS PAC_SGA'!AV274)</f>
        <v>Regadio</v>
      </c>
      <c r="F279" s="1411" t="n">
        <f aca="false">'V_DATOS PAC_SGA'!BK274</f>
        <v>0</v>
      </c>
      <c r="G279" s="1412" t="n">
        <f aca="false">'V_DATOS PAC_SGA'!AN274</f>
        <v>0</v>
      </c>
      <c r="H279" s="1413" t="str">
        <f aca="false">IF(B279&gt;0,VLOOKUP(B279,'O_MN, PE_UTA_UGM 2024'!E$3:O$419,10),"")</f>
        <v/>
      </c>
      <c r="I279" s="1359" t="n">
        <f aca="false">'V_DATOS PAC_SGA'!BV274</f>
        <v>0</v>
      </c>
      <c r="J279" s="2" t="str">
        <f aca="false">IF(AND(J$4=$G279,J$6=$F279),$D279*J$5,"")</f>
        <v/>
      </c>
      <c r="K279" s="2" t="str">
        <f aca="false">IF(AND(K$4=$G279,K$6=$F279),$D279*K$5,"")</f>
        <v/>
      </c>
      <c r="L279" s="2" t="str">
        <f aca="false">IF(AND(L$4=$G279,L$6=$F279),$D279*L$5,"")</f>
        <v/>
      </c>
      <c r="M279" s="2" t="str">
        <f aca="false">IF(AND(M$4=$G279,M$6=$F279),$D279*M$5,"")</f>
        <v/>
      </c>
      <c r="N279" s="1414" t="n">
        <f aca="false">VLOOKUP(B279,'O_MN, PE_UTA_UGM 2024'!$E$2:$K$419,IF(G279&gt;1,6,7))</f>
        <v>0</v>
      </c>
      <c r="O279" s="1434" t="str">
        <f aca="false">IF($H279=O$4,$D279*$N279,"")</f>
        <v/>
      </c>
      <c r="P279" s="1435" t="str">
        <f aca="false">IF($H279=P$4,$D279*$N279,"")</f>
        <v/>
      </c>
      <c r="Q279" s="1435" t="str">
        <f aca="false">IF($H279=Q$4,$D279*$N279,"")</f>
        <v/>
      </c>
      <c r="R279" s="1435" t="str">
        <f aca="false">IF($H279=R$4,$D279*$N279,"")</f>
        <v/>
      </c>
      <c r="S279" s="1435" t="str">
        <f aca="false">IF($H279=S$4,$D279*$N279,"")</f>
        <v/>
      </c>
      <c r="T279" s="1435" t="str">
        <f aca="false">IF($H279=T$4,$D279*$N279,"")</f>
        <v/>
      </c>
      <c r="U279" s="1436" t="str">
        <f aca="false">IF($H279=U$4,$D279*$N279,"")</f>
        <v/>
      </c>
      <c r="V279" s="1418"/>
      <c r="W279" s="1419"/>
      <c r="X279" s="1419"/>
      <c r="Y279" s="1419"/>
      <c r="Z279" s="1419"/>
      <c r="AA279" s="1419"/>
      <c r="AB279" s="1420"/>
      <c r="AC279" s="1319"/>
      <c r="AD279" s="2" t="str">
        <f aca="false">IF(AND(AD$4=$G279,AD$6=$F279),$B279,"")</f>
        <v/>
      </c>
      <c r="AE279" s="2" t="str">
        <f aca="false">IF(AND(AE$4=$G279,AE$6=$F279),$B279,"")</f>
        <v/>
      </c>
      <c r="AF279" s="2" t="str">
        <f aca="false">IF(AND(AF$4=$G279,AF$6=$F279),$B279,"")</f>
        <v/>
      </c>
      <c r="AG279" s="2" t="str">
        <f aca="false">IF(AND(AG$4=$G279,AG$6=$F279),$B279,"")</f>
        <v/>
      </c>
      <c r="AI279" s="366"/>
      <c r="AL279" s="367"/>
      <c r="AO279" s="367"/>
      <c r="AP279" s="2" t="str">
        <f aca="false">IF(AT279&gt;0,RANK(AT279,AT$7:AT$423),"")</f>
        <v/>
      </c>
      <c r="AQ279" s="2" t="n">
        <f aca="false">'O_MN, PE_UTA_UGM 2024'!C275</f>
        <v>274</v>
      </c>
      <c r="AR279" s="1421" t="n">
        <v>2690</v>
      </c>
      <c r="AS279" s="2" t="str">
        <f aca="false">IF(AY279&lt;&gt;"",AY279,"")</f>
        <v/>
      </c>
      <c r="AT279" s="1422" t="n">
        <f aca="false">IF(ISNUMBER($AR279),SUMIF(B$7:B$505,AR279,D$7:D$505),"")</f>
        <v>0</v>
      </c>
      <c r="AU279" s="1411" t="n">
        <f aca="false">IF(ISNUMBER($AR279),SUMIF(AD$7:AD$503,$AR279,J$7:J$503),"")</f>
        <v>0</v>
      </c>
      <c r="AV279" s="1411" t="n">
        <f aca="false">IF(ISNUMBER($AR279),SUMIF(AF$7:AF$503,$AR279,L$7:L$503),"")</f>
        <v>0</v>
      </c>
      <c r="AW279" s="1423" t="n">
        <f aca="false">IF(ISNUMBER($AR279),SUMIF(AE$7:AE$503,$AR279,K$7:K$503),"")</f>
        <v>0</v>
      </c>
      <c r="AX279" s="1423" t="n">
        <f aca="false">IF(ISNUMBER($AR279),SUMIF(AG$7:AG$503,$AR279,M$7:M$503),"")</f>
        <v>0</v>
      </c>
      <c r="AY279" s="2" t="str">
        <f aca="false">IF($AT279&gt;0,VLOOKUP($AR279,'O_MN, PE_UTA_UGM 2024'!E275:O691,2),"")</f>
        <v/>
      </c>
      <c r="AZ279" s="1424"/>
      <c r="BA279" s="1424"/>
      <c r="BB279" s="1424" t="str">
        <f aca="false">IF($AT279&gt;0,VLOOKUP($AR279,'O_MN, PE_UTA_UGM 2024'!$E$3:$O$419,BB$6),"")</f>
        <v/>
      </c>
      <c r="BC279" s="1424" t="str">
        <f aca="false">IF($AT279&gt;0,VLOOKUP($AR279,'O_MN, PE_UTA_UGM 2024'!$E$3:$O$419,BC$6),"")</f>
        <v/>
      </c>
      <c r="BD279" s="1424" t="str">
        <f aca="false">IF($AT279&gt;0,VLOOKUP($AR279,'O_MN, PE_UTA_UGM 2024'!$E$3:$O$419,BD$6),"")</f>
        <v/>
      </c>
      <c r="BE279" s="1424" t="str">
        <f aca="false">IF($AT279&gt;0,VLOOKUP($AR279,'O_MN, PE_UTA_UGM 2024'!$E$3:$O$419,BE$6),"")</f>
        <v/>
      </c>
      <c r="BF279" s="1424" t="str">
        <f aca="false">IF($AT279&gt;0,VLOOKUP($AR279,'O_MN, PE_UTA_UGM 2024'!$E$3:$O$419,BF$6),"")</f>
        <v/>
      </c>
      <c r="BG279" s="1424" t="str">
        <f aca="false">IF($AT279&gt;0,VLOOKUP($AR279,'O_MN, PE_UTA_UGM 2024'!$E$3:$O$419,BG$6),"")</f>
        <v/>
      </c>
      <c r="BH279" s="872"/>
      <c r="BI279" s="872"/>
      <c r="BJ279" s="872"/>
      <c r="BK279" s="872"/>
      <c r="BM279" s="1411"/>
      <c r="BN279" s="1411"/>
      <c r="BO279" s="1425" t="str">
        <f aca="false">IF(ISNUMBER($AU279*BB279*1),$AU279*BB279*1,"")</f>
        <v/>
      </c>
      <c r="BP279" s="1425" t="str">
        <f aca="false">IF(ISNUMBER($AV279*BC279*1),$AV279*BC279*1,"")</f>
        <v/>
      </c>
      <c r="BQ279" s="1425" t="str">
        <f aca="false">IF(ISNUMBER($AU279*BD279*1),$AU279*BD279*1,"")</f>
        <v/>
      </c>
      <c r="BR279" s="1425" t="str">
        <f aca="false">IF(ISNUMBER($AV279*BE279*1),$AV279*BE279*1,"")</f>
        <v/>
      </c>
      <c r="BS279" s="1411" t="str">
        <f aca="false">IF(ISNUMBER($AU279*BF279),$AU279*BF279,"")</f>
        <v/>
      </c>
      <c r="BT279" s="1411" t="str">
        <f aca="false">IF(ISNUMBER($AV279*BG279),$AV279*BG279,"")</f>
        <v/>
      </c>
      <c r="BU279" s="1411"/>
      <c r="BV279" s="1411"/>
      <c r="BW279" s="1411"/>
      <c r="BX279" s="1411"/>
      <c r="BZ279" s="1372"/>
      <c r="CA279" s="1372"/>
      <c r="CB279" s="1426" t="str">
        <f aca="false">IF(ISNUMBER($AW279*BB279),$AW279*BB279,"")</f>
        <v/>
      </c>
      <c r="CC279" s="1426" t="str">
        <f aca="false">IF(ISNUMBER($AX279*BC279),$AX279*BC279,"")</f>
        <v/>
      </c>
      <c r="CD279" s="1426" t="str">
        <f aca="false">IF(ISNUMBER($AW279*BD279),$AW279*BD279,"")</f>
        <v/>
      </c>
      <c r="CE279" s="1426" t="str">
        <f aca="false">IF(ISNUMBER($AX279*BE279),$AX279*BE279,"")</f>
        <v/>
      </c>
      <c r="CF279" s="1372" t="str">
        <f aca="false">IF(ISNUMBER($AW279*BF279),$AW279*BF279,"")</f>
        <v/>
      </c>
      <c r="CG279" s="1372" t="str">
        <f aca="false">IF(ISNUMBER($AX279*BG279),$AX279*BG279,"")</f>
        <v/>
      </c>
      <c r="CH279" s="1438"/>
      <c r="CI279" s="1438"/>
      <c r="CJ279" s="1438"/>
      <c r="CK279" s="1438"/>
      <c r="CU279" s="1411"/>
      <c r="CV279" s="1411"/>
      <c r="CW279" s="1425"/>
      <c r="CX279" s="1425"/>
      <c r="CY279" s="1425"/>
      <c r="CZ279" s="1425"/>
      <c r="DA279" s="1411"/>
      <c r="DB279" s="1411"/>
      <c r="DC279" s="1411"/>
      <c r="DD279" s="1411"/>
      <c r="DE279" s="1411"/>
      <c r="DF279" s="1411"/>
      <c r="DH279" s="1432"/>
      <c r="DI279" s="1432"/>
      <c r="DJ279" s="1437"/>
      <c r="DK279" s="1437"/>
      <c r="DL279" s="1437"/>
      <c r="DM279" s="1437"/>
      <c r="DN279" s="1432"/>
      <c r="DO279" s="1432"/>
      <c r="DP279" s="1432"/>
      <c r="DQ279" s="1432"/>
      <c r="DR279" s="1432"/>
      <c r="DS279" s="1432"/>
      <c r="DT279" s="1316"/>
      <c r="DU279" s="1433"/>
      <c r="DV279" s="1433"/>
      <c r="DW279" s="1433"/>
      <c r="DX279" s="1433"/>
      <c r="DY279" s="1433"/>
      <c r="DZ279" s="1433"/>
      <c r="EA279" s="1433"/>
      <c r="EB279" s="1433"/>
    </row>
    <row r="280" customFormat="false" ht="14.25" hidden="false" customHeight="false" outlineLevel="0" collapsed="false">
      <c r="A280" s="2" t="n">
        <f aca="false">'V_DATOS PAC_SGA'!R275</f>
        <v>0</v>
      </c>
      <c r="B280" s="2" t="n">
        <f aca="false">IF(I280="IV",CONCATENATE('V_DATOS PAC_SGA'!R275,"4")+0,CONCATENATE('V_DATOS PAC_SGA'!R275,"0")+0)</f>
        <v>0</v>
      </c>
      <c r="C280" s="2" t="n">
        <f aca="false">'V_DATOS PAC_SGA'!S275</f>
        <v>0</v>
      </c>
      <c r="D280" s="1409" t="n">
        <f aca="false">'V_DATOS PAC_SGA'!Y275</f>
        <v>0</v>
      </c>
      <c r="E280" s="1410" t="str">
        <f aca="false">IF('V_DATOS PAC_SGA'!AV275="","Regadio",'V_DATOS PAC_SGA'!AV275)</f>
        <v>Regadio</v>
      </c>
      <c r="F280" s="1411" t="n">
        <f aca="false">'V_DATOS PAC_SGA'!BK275</f>
        <v>0</v>
      </c>
      <c r="G280" s="1412" t="n">
        <f aca="false">'V_DATOS PAC_SGA'!AN275</f>
        <v>0</v>
      </c>
      <c r="H280" s="1413" t="str">
        <f aca="false">IF(B280&gt;0,VLOOKUP(B280,'O_MN, PE_UTA_UGM 2024'!E$3:O$419,10),"")</f>
        <v/>
      </c>
      <c r="I280" s="1359" t="n">
        <f aca="false">'V_DATOS PAC_SGA'!BV275</f>
        <v>0</v>
      </c>
      <c r="J280" s="2" t="str">
        <f aca="false">IF(AND(J$4=$G280,J$6=$F280),$D280*J$5,"")</f>
        <v/>
      </c>
      <c r="K280" s="2" t="str">
        <f aca="false">IF(AND(K$4=$G280,K$6=$F280),$D280*K$5,"")</f>
        <v/>
      </c>
      <c r="L280" s="2" t="str">
        <f aca="false">IF(AND(L$4=$G280,L$6=$F280),$D280*L$5,"")</f>
        <v/>
      </c>
      <c r="M280" s="2" t="str">
        <f aca="false">IF(AND(M$4=$G280,M$6=$F280),$D280*M$5,"")</f>
        <v/>
      </c>
      <c r="N280" s="1414" t="n">
        <f aca="false">VLOOKUP(B280,'O_MN, PE_UTA_UGM 2024'!$E$2:$K$419,IF(G280&gt;1,6,7))</f>
        <v>0</v>
      </c>
      <c r="O280" s="1434" t="str">
        <f aca="false">IF($H280=O$4,$D280*$N280,"")</f>
        <v/>
      </c>
      <c r="P280" s="1435" t="str">
        <f aca="false">IF($H280=P$4,$D280*$N280,"")</f>
        <v/>
      </c>
      <c r="Q280" s="1435" t="str">
        <f aca="false">IF($H280=Q$4,$D280*$N280,"")</f>
        <v/>
      </c>
      <c r="R280" s="1435" t="str">
        <f aca="false">IF($H280=R$4,$D280*$N280,"")</f>
        <v/>
      </c>
      <c r="S280" s="1435" t="str">
        <f aca="false">IF($H280=S$4,$D280*$N280,"")</f>
        <v/>
      </c>
      <c r="T280" s="1435" t="str">
        <f aca="false">IF($H280=T$4,$D280*$N280,"")</f>
        <v/>
      </c>
      <c r="U280" s="1436" t="str">
        <f aca="false">IF($H280=U$4,$D280*$N280,"")</f>
        <v/>
      </c>
      <c r="V280" s="1418"/>
      <c r="W280" s="1419"/>
      <c r="X280" s="1419"/>
      <c r="Y280" s="1419"/>
      <c r="Z280" s="1419"/>
      <c r="AA280" s="1419"/>
      <c r="AB280" s="1420"/>
      <c r="AC280" s="1319"/>
      <c r="AD280" s="2" t="str">
        <f aca="false">IF(AND(AD$4=$G280,AD$6=$F280),$B280,"")</f>
        <v/>
      </c>
      <c r="AE280" s="2" t="str">
        <f aca="false">IF(AND(AE$4=$G280,AE$6=$F280),$B280,"")</f>
        <v/>
      </c>
      <c r="AF280" s="2" t="str">
        <f aca="false">IF(AND(AF$4=$G280,AF$6=$F280),$B280,"")</f>
        <v/>
      </c>
      <c r="AG280" s="2" t="str">
        <f aca="false">IF(AND(AG$4=$G280,AG$6=$F280),$B280,"")</f>
        <v/>
      </c>
      <c r="AI280" s="366"/>
      <c r="AL280" s="367"/>
      <c r="AO280" s="367"/>
      <c r="AP280" s="2" t="str">
        <f aca="false">IF(AT280&gt;0,RANK(AT280,AT$7:AT$423),"")</f>
        <v/>
      </c>
      <c r="AQ280" s="2" t="n">
        <f aca="false">'O_MN, PE_UTA_UGM 2024'!C276</f>
        <v>275</v>
      </c>
      <c r="AR280" s="1421" t="n">
        <v>2700</v>
      </c>
      <c r="AS280" s="2" t="str">
        <f aca="false">IF(AY280&lt;&gt;"",AY280,"")</f>
        <v/>
      </c>
      <c r="AT280" s="1422" t="n">
        <f aca="false">IF(ISNUMBER($AR280),SUMIF(B$7:B$505,AR280,D$7:D$505),"")</f>
        <v>0</v>
      </c>
      <c r="AU280" s="1411" t="n">
        <f aca="false">IF(ISNUMBER($AR280),SUMIF(AD$7:AD$503,$AR280,J$7:J$503),"")</f>
        <v>0</v>
      </c>
      <c r="AV280" s="1411" t="n">
        <f aca="false">IF(ISNUMBER($AR280),SUMIF(AF$7:AF$503,$AR280,L$7:L$503),"")</f>
        <v>0</v>
      </c>
      <c r="AW280" s="1423" t="n">
        <f aca="false">IF(ISNUMBER($AR280),SUMIF(AE$7:AE$503,$AR280,K$7:K$503),"")</f>
        <v>0</v>
      </c>
      <c r="AX280" s="1423" t="n">
        <f aca="false">IF(ISNUMBER($AR280),SUMIF(AG$7:AG$503,$AR280,M$7:M$503),"")</f>
        <v>0</v>
      </c>
      <c r="AY280" s="2" t="str">
        <f aca="false">IF($AT280&gt;0,VLOOKUP($AR280,'O_MN, PE_UTA_UGM 2024'!E276:O692,2),"")</f>
        <v/>
      </c>
      <c r="AZ280" s="1424"/>
      <c r="BA280" s="1424"/>
      <c r="BB280" s="1424" t="str">
        <f aca="false">IF($AT280&gt;0,VLOOKUP($AR280,'O_MN, PE_UTA_UGM 2024'!$E$3:$O$419,BB$6),"")</f>
        <v/>
      </c>
      <c r="BC280" s="1424" t="str">
        <f aca="false">IF($AT280&gt;0,VLOOKUP($AR280,'O_MN, PE_UTA_UGM 2024'!$E$3:$O$419,BC$6),"")</f>
        <v/>
      </c>
      <c r="BD280" s="1424" t="str">
        <f aca="false">IF($AT280&gt;0,VLOOKUP($AR280,'O_MN, PE_UTA_UGM 2024'!$E$3:$O$419,BD$6),"")</f>
        <v/>
      </c>
      <c r="BE280" s="1424" t="str">
        <f aca="false">IF($AT280&gt;0,VLOOKUP($AR280,'O_MN, PE_UTA_UGM 2024'!$E$3:$O$419,BE$6),"")</f>
        <v/>
      </c>
      <c r="BF280" s="1424" t="str">
        <f aca="false">IF($AT280&gt;0,VLOOKUP($AR280,'O_MN, PE_UTA_UGM 2024'!$E$3:$O$419,BF$6),"")</f>
        <v/>
      </c>
      <c r="BG280" s="1424" t="str">
        <f aca="false">IF($AT280&gt;0,VLOOKUP($AR280,'O_MN, PE_UTA_UGM 2024'!$E$3:$O$419,BG$6),"")</f>
        <v/>
      </c>
      <c r="BH280" s="872"/>
      <c r="BI280" s="872"/>
      <c r="BJ280" s="872"/>
      <c r="BK280" s="872"/>
      <c r="BM280" s="1411"/>
      <c r="BN280" s="1411"/>
      <c r="BO280" s="1425" t="str">
        <f aca="false">IF(ISNUMBER($AU280*BB280*1),$AU280*BB280*1,"")</f>
        <v/>
      </c>
      <c r="BP280" s="1425" t="str">
        <f aca="false">IF(ISNUMBER($AV280*BC280*1),$AV280*BC280*1,"")</f>
        <v/>
      </c>
      <c r="BQ280" s="1425" t="str">
        <f aca="false">IF(ISNUMBER($AU280*BD280*1),$AU280*BD280*1,"")</f>
        <v/>
      </c>
      <c r="BR280" s="1425" t="str">
        <f aca="false">IF(ISNUMBER($AV280*BE280*1),$AV280*BE280*1,"")</f>
        <v/>
      </c>
      <c r="BS280" s="1411" t="str">
        <f aca="false">IF(ISNUMBER($AU280*BF280),$AU280*BF280,"")</f>
        <v/>
      </c>
      <c r="BT280" s="1411" t="str">
        <f aca="false">IF(ISNUMBER($AV280*BG280),$AV280*BG280,"")</f>
        <v/>
      </c>
      <c r="BU280" s="1411"/>
      <c r="BV280" s="1411"/>
      <c r="BW280" s="1411"/>
      <c r="BX280" s="1411"/>
      <c r="BZ280" s="1372"/>
      <c r="CA280" s="1372"/>
      <c r="CB280" s="1426" t="str">
        <f aca="false">IF(ISNUMBER($AW280*BB280),$AW280*BB280,"")</f>
        <v/>
      </c>
      <c r="CC280" s="1426" t="str">
        <f aca="false">IF(ISNUMBER($AX280*BC280),$AX280*BC280,"")</f>
        <v/>
      </c>
      <c r="CD280" s="1426" t="str">
        <f aca="false">IF(ISNUMBER($AW280*BD280),$AW280*BD280,"")</f>
        <v/>
      </c>
      <c r="CE280" s="1426" t="str">
        <f aca="false">IF(ISNUMBER($AX280*BE280),$AX280*BE280,"")</f>
        <v/>
      </c>
      <c r="CF280" s="1372" t="str">
        <f aca="false">IF(ISNUMBER($AW280*BF280),$AW280*BF280,"")</f>
        <v/>
      </c>
      <c r="CG280" s="1372" t="str">
        <f aca="false">IF(ISNUMBER($AX280*BG280),$AX280*BG280,"")</f>
        <v/>
      </c>
      <c r="CH280" s="1438"/>
      <c r="CI280" s="1438"/>
      <c r="CJ280" s="1438"/>
      <c r="CK280" s="1438"/>
      <c r="CU280" s="1411"/>
      <c r="CV280" s="1411"/>
      <c r="CW280" s="1425"/>
      <c r="CX280" s="1425"/>
      <c r="CY280" s="1425"/>
      <c r="CZ280" s="1425"/>
      <c r="DA280" s="1411"/>
      <c r="DB280" s="1411"/>
      <c r="DC280" s="1411"/>
      <c r="DD280" s="1411"/>
      <c r="DE280" s="1411"/>
      <c r="DF280" s="1411"/>
      <c r="DH280" s="1432"/>
      <c r="DI280" s="1432"/>
      <c r="DJ280" s="1437"/>
      <c r="DK280" s="1437"/>
      <c r="DL280" s="1437"/>
      <c r="DM280" s="1437"/>
      <c r="DN280" s="1432"/>
      <c r="DO280" s="1432"/>
      <c r="DP280" s="1432"/>
      <c r="DQ280" s="1432"/>
      <c r="DR280" s="1432"/>
      <c r="DS280" s="1432"/>
      <c r="DT280" s="1316"/>
      <c r="DU280" s="1433"/>
      <c r="DV280" s="1433"/>
      <c r="DW280" s="1433"/>
      <c r="DX280" s="1433"/>
      <c r="DY280" s="1433"/>
      <c r="DZ280" s="1433"/>
      <c r="EA280" s="1433"/>
      <c r="EB280" s="1433"/>
    </row>
    <row r="281" customFormat="false" ht="14.25" hidden="false" customHeight="false" outlineLevel="0" collapsed="false">
      <c r="A281" s="2" t="n">
        <f aca="false">'V_DATOS PAC_SGA'!R276</f>
        <v>0</v>
      </c>
      <c r="B281" s="2" t="n">
        <f aca="false">IF(I281="IV",CONCATENATE('V_DATOS PAC_SGA'!R276,"4")+0,CONCATENATE('V_DATOS PAC_SGA'!R276,"0")+0)</f>
        <v>0</v>
      </c>
      <c r="C281" s="2" t="n">
        <f aca="false">'V_DATOS PAC_SGA'!S276</f>
        <v>0</v>
      </c>
      <c r="D281" s="1409" t="n">
        <f aca="false">'V_DATOS PAC_SGA'!Y276</f>
        <v>0</v>
      </c>
      <c r="E281" s="1410" t="str">
        <f aca="false">IF('V_DATOS PAC_SGA'!AV276="","Regadio",'V_DATOS PAC_SGA'!AV276)</f>
        <v>Regadio</v>
      </c>
      <c r="F281" s="1411" t="n">
        <f aca="false">'V_DATOS PAC_SGA'!BK276</f>
        <v>0</v>
      </c>
      <c r="G281" s="1412" t="n">
        <f aca="false">'V_DATOS PAC_SGA'!AN276</f>
        <v>0</v>
      </c>
      <c r="H281" s="1413" t="str">
        <f aca="false">IF(B281&gt;0,VLOOKUP(B281,'O_MN, PE_UTA_UGM 2024'!E$3:O$419,10),"")</f>
        <v/>
      </c>
      <c r="I281" s="1359" t="n">
        <f aca="false">'V_DATOS PAC_SGA'!BV276</f>
        <v>0</v>
      </c>
      <c r="J281" s="2" t="str">
        <f aca="false">IF(AND(J$4=$G281,J$6=$F281),$D281*J$5,"")</f>
        <v/>
      </c>
      <c r="K281" s="2" t="str">
        <f aca="false">IF(AND(K$4=$G281,K$6=$F281),$D281*K$5,"")</f>
        <v/>
      </c>
      <c r="L281" s="2" t="str">
        <f aca="false">IF(AND(L$4=$G281,L$6=$F281),$D281*L$5,"")</f>
        <v/>
      </c>
      <c r="M281" s="2" t="str">
        <f aca="false">IF(AND(M$4=$G281,M$6=$F281),$D281*M$5,"")</f>
        <v/>
      </c>
      <c r="N281" s="1414" t="n">
        <f aca="false">VLOOKUP(B281,'O_MN, PE_UTA_UGM 2024'!$E$2:$K$419,IF(G281&gt;1,6,7))</f>
        <v>0</v>
      </c>
      <c r="O281" s="1434" t="str">
        <f aca="false">IF($H281=O$4,$D281*$N281,"")</f>
        <v/>
      </c>
      <c r="P281" s="1435" t="str">
        <f aca="false">IF($H281=P$4,$D281*$N281,"")</f>
        <v/>
      </c>
      <c r="Q281" s="1435" t="str">
        <f aca="false">IF($H281=Q$4,$D281*$N281,"")</f>
        <v/>
      </c>
      <c r="R281" s="1435" t="str">
        <f aca="false">IF($H281=R$4,$D281*$N281,"")</f>
        <v/>
      </c>
      <c r="S281" s="1435" t="str">
        <f aca="false">IF($H281=S$4,$D281*$N281,"")</f>
        <v/>
      </c>
      <c r="T281" s="1435" t="str">
        <f aca="false">IF($H281=T$4,$D281*$N281,"")</f>
        <v/>
      </c>
      <c r="U281" s="1436" t="str">
        <f aca="false">IF($H281=U$4,$D281*$N281,"")</f>
        <v/>
      </c>
      <c r="V281" s="1418"/>
      <c r="W281" s="1419"/>
      <c r="X281" s="1419"/>
      <c r="Y281" s="1419"/>
      <c r="Z281" s="1419"/>
      <c r="AA281" s="1419"/>
      <c r="AB281" s="1420"/>
      <c r="AC281" s="1319"/>
      <c r="AD281" s="2" t="str">
        <f aca="false">IF(AND(AD$4=$G281,AD$6=$F281),$B281,"")</f>
        <v/>
      </c>
      <c r="AE281" s="2" t="str">
        <f aca="false">IF(AND(AE$4=$G281,AE$6=$F281),$B281,"")</f>
        <v/>
      </c>
      <c r="AF281" s="2" t="str">
        <f aca="false">IF(AND(AF$4=$G281,AF$6=$F281),$B281,"")</f>
        <v/>
      </c>
      <c r="AG281" s="2" t="str">
        <f aca="false">IF(AND(AG$4=$G281,AG$6=$F281),$B281,"")</f>
        <v/>
      </c>
      <c r="AI281" s="366"/>
      <c r="AL281" s="367"/>
      <c r="AO281" s="367"/>
      <c r="AP281" s="2" t="str">
        <f aca="false">IF(AT281&gt;0,RANK(AT281,AT$7:AT$423),"")</f>
        <v/>
      </c>
      <c r="AQ281" s="2" t="n">
        <f aca="false">'O_MN, PE_UTA_UGM 2024'!C277</f>
        <v>276</v>
      </c>
      <c r="AR281" s="1421" t="n">
        <v>2710</v>
      </c>
      <c r="AS281" s="2" t="str">
        <f aca="false">IF(AY281&lt;&gt;"",AY281,"")</f>
        <v/>
      </c>
      <c r="AT281" s="1422" t="n">
        <f aca="false">IF(ISNUMBER($AR281),SUMIF(B$7:B$505,AR281,D$7:D$505),"")</f>
        <v>0</v>
      </c>
      <c r="AU281" s="1411" t="n">
        <f aca="false">IF(ISNUMBER($AR281),SUMIF(AD$7:AD$503,$AR281,J$7:J$503),"")</f>
        <v>0</v>
      </c>
      <c r="AV281" s="1411" t="n">
        <f aca="false">IF(ISNUMBER($AR281),SUMIF(AF$7:AF$503,$AR281,L$7:L$503),"")</f>
        <v>0</v>
      </c>
      <c r="AW281" s="1423" t="n">
        <f aca="false">IF(ISNUMBER($AR281),SUMIF(AE$7:AE$503,$AR281,K$7:K$503),"")</f>
        <v>0</v>
      </c>
      <c r="AX281" s="1423" t="n">
        <f aca="false">IF(ISNUMBER($AR281),SUMIF(AG$7:AG$503,$AR281,M$7:M$503),"")</f>
        <v>0</v>
      </c>
      <c r="AY281" s="2" t="str">
        <f aca="false">IF($AT281&gt;0,VLOOKUP($AR281,'O_MN, PE_UTA_UGM 2024'!E277:O693,2),"")</f>
        <v/>
      </c>
      <c r="AZ281" s="1424"/>
      <c r="BA281" s="1424"/>
      <c r="BB281" s="1424" t="str">
        <f aca="false">IF($AT281&gt;0,VLOOKUP($AR281,'O_MN, PE_UTA_UGM 2024'!$E$3:$O$419,BB$6),"")</f>
        <v/>
      </c>
      <c r="BC281" s="1424" t="str">
        <f aca="false">IF($AT281&gt;0,VLOOKUP($AR281,'O_MN, PE_UTA_UGM 2024'!$E$3:$O$419,BC$6),"")</f>
        <v/>
      </c>
      <c r="BD281" s="1424" t="str">
        <f aca="false">IF($AT281&gt;0,VLOOKUP($AR281,'O_MN, PE_UTA_UGM 2024'!$E$3:$O$419,BD$6),"")</f>
        <v/>
      </c>
      <c r="BE281" s="1424" t="str">
        <f aca="false">IF($AT281&gt;0,VLOOKUP($AR281,'O_MN, PE_UTA_UGM 2024'!$E$3:$O$419,BE$6),"")</f>
        <v/>
      </c>
      <c r="BF281" s="1424" t="str">
        <f aca="false">IF($AT281&gt;0,VLOOKUP($AR281,'O_MN, PE_UTA_UGM 2024'!$E$3:$O$419,BF$6),"")</f>
        <v/>
      </c>
      <c r="BG281" s="1424" t="str">
        <f aca="false">IF($AT281&gt;0,VLOOKUP($AR281,'O_MN, PE_UTA_UGM 2024'!$E$3:$O$419,BG$6),"")</f>
        <v/>
      </c>
      <c r="BH281" s="872"/>
      <c r="BI281" s="872"/>
      <c r="BJ281" s="872"/>
      <c r="BK281" s="872"/>
      <c r="BM281" s="1411"/>
      <c r="BN281" s="1411"/>
      <c r="BO281" s="1425" t="str">
        <f aca="false">IF(ISNUMBER($AU281*BB281*1),$AU281*BB281*1,"")</f>
        <v/>
      </c>
      <c r="BP281" s="1425" t="str">
        <f aca="false">IF(ISNUMBER($AV281*BC281*1),$AV281*BC281*1,"")</f>
        <v/>
      </c>
      <c r="BQ281" s="1425" t="str">
        <f aca="false">IF(ISNUMBER($AU281*BD281*1),$AU281*BD281*1,"")</f>
        <v/>
      </c>
      <c r="BR281" s="1425" t="str">
        <f aca="false">IF(ISNUMBER($AV281*BE281*1),$AV281*BE281*1,"")</f>
        <v/>
      </c>
      <c r="BS281" s="1411" t="str">
        <f aca="false">IF(ISNUMBER($AU281*BF281),$AU281*BF281,"")</f>
        <v/>
      </c>
      <c r="BT281" s="1411" t="str">
        <f aca="false">IF(ISNUMBER($AV281*BG281),$AV281*BG281,"")</f>
        <v/>
      </c>
      <c r="BU281" s="1411"/>
      <c r="BV281" s="1411"/>
      <c r="BW281" s="1411"/>
      <c r="BX281" s="1411"/>
      <c r="BZ281" s="1372"/>
      <c r="CA281" s="1372"/>
      <c r="CB281" s="1426" t="str">
        <f aca="false">IF(ISNUMBER($AW281*BB281),$AW281*BB281,"")</f>
        <v/>
      </c>
      <c r="CC281" s="1426" t="str">
        <f aca="false">IF(ISNUMBER($AX281*BC281),$AX281*BC281,"")</f>
        <v/>
      </c>
      <c r="CD281" s="1426" t="str">
        <f aca="false">IF(ISNUMBER($AW281*BD281),$AW281*BD281,"")</f>
        <v/>
      </c>
      <c r="CE281" s="1426" t="str">
        <f aca="false">IF(ISNUMBER($AX281*BE281),$AX281*BE281,"")</f>
        <v/>
      </c>
      <c r="CF281" s="1372" t="str">
        <f aca="false">IF(ISNUMBER($AW281*BF281),$AW281*BF281,"")</f>
        <v/>
      </c>
      <c r="CG281" s="1372" t="str">
        <f aca="false">IF(ISNUMBER($AX281*BG281),$AX281*BG281,"")</f>
        <v/>
      </c>
      <c r="CH281" s="1438"/>
      <c r="CI281" s="1438"/>
      <c r="CJ281" s="1438"/>
      <c r="CK281" s="1438"/>
      <c r="CU281" s="1411"/>
      <c r="CV281" s="1411"/>
      <c r="CW281" s="1425"/>
      <c r="CX281" s="1425"/>
      <c r="CY281" s="1425"/>
      <c r="CZ281" s="1425"/>
      <c r="DA281" s="1411"/>
      <c r="DB281" s="1411"/>
      <c r="DC281" s="1411"/>
      <c r="DD281" s="1411"/>
      <c r="DE281" s="1411"/>
      <c r="DF281" s="1411"/>
      <c r="DH281" s="1432"/>
      <c r="DI281" s="1432"/>
      <c r="DJ281" s="1437"/>
      <c r="DK281" s="1437"/>
      <c r="DL281" s="1437"/>
      <c r="DM281" s="1437"/>
      <c r="DN281" s="1432"/>
      <c r="DO281" s="1432"/>
      <c r="DP281" s="1432"/>
      <c r="DQ281" s="1432"/>
      <c r="DR281" s="1432"/>
      <c r="DS281" s="1432"/>
      <c r="DT281" s="1316"/>
      <c r="DU281" s="1433"/>
      <c r="DV281" s="1433"/>
      <c r="DW281" s="1433"/>
      <c r="DX281" s="1433"/>
      <c r="DY281" s="1433"/>
      <c r="DZ281" s="1433"/>
      <c r="EA281" s="1433"/>
      <c r="EB281" s="1433"/>
    </row>
    <row r="282" customFormat="false" ht="14.25" hidden="false" customHeight="false" outlineLevel="0" collapsed="false">
      <c r="A282" s="2" t="n">
        <f aca="false">'V_DATOS PAC_SGA'!R277</f>
        <v>0</v>
      </c>
      <c r="B282" s="2" t="n">
        <f aca="false">IF(I282="IV",CONCATENATE('V_DATOS PAC_SGA'!R277,"4")+0,CONCATENATE('V_DATOS PAC_SGA'!R277,"0")+0)</f>
        <v>0</v>
      </c>
      <c r="C282" s="2" t="n">
        <f aca="false">'V_DATOS PAC_SGA'!S277</f>
        <v>0</v>
      </c>
      <c r="D282" s="1409" t="n">
        <f aca="false">'V_DATOS PAC_SGA'!Y277</f>
        <v>0</v>
      </c>
      <c r="E282" s="1410" t="str">
        <f aca="false">IF('V_DATOS PAC_SGA'!AV277="","Regadio",'V_DATOS PAC_SGA'!AV277)</f>
        <v>Regadio</v>
      </c>
      <c r="F282" s="1411" t="n">
        <f aca="false">'V_DATOS PAC_SGA'!BK277</f>
        <v>0</v>
      </c>
      <c r="G282" s="1412" t="n">
        <f aca="false">'V_DATOS PAC_SGA'!AN277</f>
        <v>0</v>
      </c>
      <c r="H282" s="1413" t="str">
        <f aca="false">IF(B282&gt;0,VLOOKUP(B282,'O_MN, PE_UTA_UGM 2024'!E$3:O$419,10),"")</f>
        <v/>
      </c>
      <c r="I282" s="1359" t="n">
        <f aca="false">'V_DATOS PAC_SGA'!BV277</f>
        <v>0</v>
      </c>
      <c r="J282" s="2" t="str">
        <f aca="false">IF(AND(J$4=$G282,J$6=$F282),$D282*J$5,"")</f>
        <v/>
      </c>
      <c r="K282" s="2" t="str">
        <f aca="false">IF(AND(K$4=$G282,K$6=$F282),$D282*K$5,"")</f>
        <v/>
      </c>
      <c r="L282" s="2" t="str">
        <f aca="false">IF(AND(L$4=$G282,L$6=$F282),$D282*L$5,"")</f>
        <v/>
      </c>
      <c r="M282" s="2" t="str">
        <f aca="false">IF(AND(M$4=$G282,M$6=$F282),$D282*M$5,"")</f>
        <v/>
      </c>
      <c r="N282" s="1414" t="n">
        <f aca="false">VLOOKUP(B282,'O_MN, PE_UTA_UGM 2024'!$E$2:$K$419,IF(G282&gt;1,6,7))</f>
        <v>0</v>
      </c>
      <c r="O282" s="1434" t="str">
        <f aca="false">IF($H282=O$4,$D282*$N282,"")</f>
        <v/>
      </c>
      <c r="P282" s="1435" t="str">
        <f aca="false">IF($H282=P$4,$D282*$N282,"")</f>
        <v/>
      </c>
      <c r="Q282" s="1435" t="str">
        <f aca="false">IF($H282=Q$4,$D282*$N282,"")</f>
        <v/>
      </c>
      <c r="R282" s="1435" t="str">
        <f aca="false">IF($H282=R$4,$D282*$N282,"")</f>
        <v/>
      </c>
      <c r="S282" s="1435" t="str">
        <f aca="false">IF($H282=S$4,$D282*$N282,"")</f>
        <v/>
      </c>
      <c r="T282" s="1435" t="str">
        <f aca="false">IF($H282=T$4,$D282*$N282,"")</f>
        <v/>
      </c>
      <c r="U282" s="1436" t="str">
        <f aca="false">IF($H282=U$4,$D282*$N282,"")</f>
        <v/>
      </c>
      <c r="V282" s="1418"/>
      <c r="W282" s="1419"/>
      <c r="X282" s="1419"/>
      <c r="Y282" s="1419"/>
      <c r="Z282" s="1419"/>
      <c r="AA282" s="1419"/>
      <c r="AB282" s="1420"/>
      <c r="AC282" s="1319"/>
      <c r="AD282" s="2" t="str">
        <f aca="false">IF(AND(AD$4=$G282,AD$6=$F282),$B282,"")</f>
        <v/>
      </c>
      <c r="AE282" s="2" t="str">
        <f aca="false">IF(AND(AE$4=$G282,AE$6=$F282),$B282,"")</f>
        <v/>
      </c>
      <c r="AF282" s="2" t="str">
        <f aca="false">IF(AND(AF$4=$G282,AF$6=$F282),$B282,"")</f>
        <v/>
      </c>
      <c r="AG282" s="2" t="str">
        <f aca="false">IF(AND(AG$4=$G282,AG$6=$F282),$B282,"")</f>
        <v/>
      </c>
      <c r="AI282" s="366"/>
      <c r="AL282" s="367"/>
      <c r="AO282" s="367"/>
      <c r="AP282" s="2" t="str">
        <f aca="false">IF(AT282&gt;0,RANK(AT282,AT$7:AT$423),"")</f>
        <v/>
      </c>
      <c r="AQ282" s="2" t="n">
        <f aca="false">'O_MN, PE_UTA_UGM 2024'!C278</f>
        <v>277</v>
      </c>
      <c r="AR282" s="1421" t="n">
        <v>2720</v>
      </c>
      <c r="AS282" s="2" t="str">
        <f aca="false">IF(AY282&lt;&gt;"",AY282,"")</f>
        <v/>
      </c>
      <c r="AT282" s="1422" t="n">
        <f aca="false">IF(ISNUMBER($AR282),SUMIF(B$7:B$505,AR282,D$7:D$505),"")</f>
        <v>0</v>
      </c>
      <c r="AU282" s="1411" t="n">
        <f aca="false">IF(ISNUMBER($AR282),SUMIF(AD$7:AD$503,$AR282,J$7:J$503),"")</f>
        <v>0</v>
      </c>
      <c r="AV282" s="1411" t="n">
        <f aca="false">IF(ISNUMBER($AR282),SUMIF(AF$7:AF$503,$AR282,L$7:L$503),"")</f>
        <v>0</v>
      </c>
      <c r="AW282" s="1423" t="n">
        <f aca="false">IF(ISNUMBER($AR282),SUMIF(AE$7:AE$503,$AR282,K$7:K$503),"")</f>
        <v>0</v>
      </c>
      <c r="AX282" s="1423" t="n">
        <f aca="false">IF(ISNUMBER($AR282),SUMIF(AG$7:AG$503,$AR282,M$7:M$503),"")</f>
        <v>0</v>
      </c>
      <c r="AY282" s="2" t="str">
        <f aca="false">IF($AT282&gt;0,VLOOKUP($AR282,'O_MN, PE_UTA_UGM 2024'!E278:O694,2),"")</f>
        <v/>
      </c>
      <c r="AZ282" s="1424"/>
      <c r="BA282" s="1424"/>
      <c r="BB282" s="1424" t="str">
        <f aca="false">IF($AT282&gt;0,VLOOKUP($AR282,'O_MN, PE_UTA_UGM 2024'!$E$3:$O$419,BB$6),"")</f>
        <v/>
      </c>
      <c r="BC282" s="1424" t="str">
        <f aca="false">IF($AT282&gt;0,VLOOKUP($AR282,'O_MN, PE_UTA_UGM 2024'!$E$3:$O$419,BC$6),"")</f>
        <v/>
      </c>
      <c r="BD282" s="1424" t="str">
        <f aca="false">IF($AT282&gt;0,VLOOKUP($AR282,'O_MN, PE_UTA_UGM 2024'!$E$3:$O$419,BD$6),"")</f>
        <v/>
      </c>
      <c r="BE282" s="1424" t="str">
        <f aca="false">IF($AT282&gt;0,VLOOKUP($AR282,'O_MN, PE_UTA_UGM 2024'!$E$3:$O$419,BE$6),"")</f>
        <v/>
      </c>
      <c r="BF282" s="1424" t="str">
        <f aca="false">IF($AT282&gt;0,VLOOKUP($AR282,'O_MN, PE_UTA_UGM 2024'!$E$3:$O$419,BF$6),"")</f>
        <v/>
      </c>
      <c r="BG282" s="1424" t="str">
        <f aca="false">IF($AT282&gt;0,VLOOKUP($AR282,'O_MN, PE_UTA_UGM 2024'!$E$3:$O$419,BG$6),"")</f>
        <v/>
      </c>
      <c r="BH282" s="872"/>
      <c r="BI282" s="872"/>
      <c r="BJ282" s="872"/>
      <c r="BK282" s="872"/>
      <c r="BM282" s="1411"/>
      <c r="BN282" s="1411"/>
      <c r="BO282" s="1425" t="str">
        <f aca="false">IF(ISNUMBER($AU282*BB282*1),$AU282*BB282*1,"")</f>
        <v/>
      </c>
      <c r="BP282" s="1425" t="str">
        <f aca="false">IF(ISNUMBER($AV282*BC282*1),$AV282*BC282*1,"")</f>
        <v/>
      </c>
      <c r="BQ282" s="1425" t="str">
        <f aca="false">IF(ISNUMBER($AU282*BD282*1),$AU282*BD282*1,"")</f>
        <v/>
      </c>
      <c r="BR282" s="1425" t="str">
        <f aca="false">IF(ISNUMBER($AV282*BE282*1),$AV282*BE282*1,"")</f>
        <v/>
      </c>
      <c r="BS282" s="1411" t="str">
        <f aca="false">IF(ISNUMBER($AU282*BF282),$AU282*BF282,"")</f>
        <v/>
      </c>
      <c r="BT282" s="1411" t="str">
        <f aca="false">IF(ISNUMBER($AV282*BG282),$AV282*BG282,"")</f>
        <v/>
      </c>
      <c r="BU282" s="1411"/>
      <c r="BV282" s="1411"/>
      <c r="BW282" s="1411"/>
      <c r="BX282" s="1411"/>
      <c r="BZ282" s="1372"/>
      <c r="CA282" s="1372"/>
      <c r="CB282" s="1426" t="str">
        <f aca="false">IF(ISNUMBER($AW282*BB282),$AW282*BB282,"")</f>
        <v/>
      </c>
      <c r="CC282" s="1426" t="str">
        <f aca="false">IF(ISNUMBER($AX282*BC282),$AX282*BC282,"")</f>
        <v/>
      </c>
      <c r="CD282" s="1426" t="str">
        <f aca="false">IF(ISNUMBER($AW282*BD282),$AW282*BD282,"")</f>
        <v/>
      </c>
      <c r="CE282" s="1426" t="str">
        <f aca="false">IF(ISNUMBER($AX282*BE282),$AX282*BE282,"")</f>
        <v/>
      </c>
      <c r="CF282" s="1372" t="str">
        <f aca="false">IF(ISNUMBER($AW282*BF282),$AW282*BF282,"")</f>
        <v/>
      </c>
      <c r="CG282" s="1372" t="str">
        <f aca="false">IF(ISNUMBER($AX282*BG282),$AX282*BG282,"")</f>
        <v/>
      </c>
      <c r="CH282" s="1438"/>
      <c r="CI282" s="1438"/>
      <c r="CJ282" s="1438"/>
      <c r="CK282" s="1438"/>
      <c r="CU282" s="1411"/>
      <c r="CV282" s="1411"/>
      <c r="CW282" s="1425"/>
      <c r="CX282" s="1425"/>
      <c r="CY282" s="1425"/>
      <c r="CZ282" s="1425"/>
      <c r="DA282" s="1411"/>
      <c r="DB282" s="1411"/>
      <c r="DC282" s="1411"/>
      <c r="DD282" s="1411"/>
      <c r="DE282" s="1411"/>
      <c r="DF282" s="1411"/>
      <c r="DH282" s="1432"/>
      <c r="DI282" s="1432"/>
      <c r="DJ282" s="1437"/>
      <c r="DK282" s="1437"/>
      <c r="DL282" s="1437"/>
      <c r="DM282" s="1437"/>
      <c r="DN282" s="1432"/>
      <c r="DO282" s="1432"/>
      <c r="DP282" s="1432"/>
      <c r="DQ282" s="1432"/>
      <c r="DR282" s="1432"/>
      <c r="DS282" s="1432"/>
      <c r="DT282" s="1316"/>
      <c r="DU282" s="1433"/>
      <c r="DV282" s="1433"/>
      <c r="DW282" s="1433"/>
      <c r="DX282" s="1433"/>
      <c r="DY282" s="1433"/>
      <c r="DZ282" s="1433"/>
      <c r="EA282" s="1433"/>
      <c r="EB282" s="1433"/>
    </row>
    <row r="283" customFormat="false" ht="14.25" hidden="false" customHeight="false" outlineLevel="0" collapsed="false">
      <c r="A283" s="2" t="n">
        <f aca="false">'V_DATOS PAC_SGA'!R278</f>
        <v>0</v>
      </c>
      <c r="B283" s="2" t="n">
        <f aca="false">IF(I283="IV",CONCATENATE('V_DATOS PAC_SGA'!R278,"4")+0,CONCATENATE('V_DATOS PAC_SGA'!R278,"0")+0)</f>
        <v>0</v>
      </c>
      <c r="C283" s="2" t="n">
        <f aca="false">'V_DATOS PAC_SGA'!S278</f>
        <v>0</v>
      </c>
      <c r="D283" s="1409" t="n">
        <f aca="false">'V_DATOS PAC_SGA'!Y278</f>
        <v>0</v>
      </c>
      <c r="E283" s="1410" t="str">
        <f aca="false">IF('V_DATOS PAC_SGA'!AV278="","Regadio",'V_DATOS PAC_SGA'!AV278)</f>
        <v>Regadio</v>
      </c>
      <c r="F283" s="1411" t="n">
        <f aca="false">'V_DATOS PAC_SGA'!BK278</f>
        <v>0</v>
      </c>
      <c r="G283" s="1412" t="n">
        <f aca="false">'V_DATOS PAC_SGA'!AN278</f>
        <v>0</v>
      </c>
      <c r="H283" s="1413" t="str">
        <f aca="false">IF(B283&gt;0,VLOOKUP(B283,'O_MN, PE_UTA_UGM 2024'!E$3:O$419,10),"")</f>
        <v/>
      </c>
      <c r="I283" s="1359" t="n">
        <f aca="false">'V_DATOS PAC_SGA'!BV278</f>
        <v>0</v>
      </c>
      <c r="J283" s="2" t="str">
        <f aca="false">IF(AND(J$4=$G283,J$6=$F283),$D283*J$5,"")</f>
        <v/>
      </c>
      <c r="K283" s="2" t="str">
        <f aca="false">IF(AND(K$4=$G283,K$6=$F283),$D283*K$5,"")</f>
        <v/>
      </c>
      <c r="L283" s="2" t="str">
        <f aca="false">IF(AND(L$4=$G283,L$6=$F283),$D283*L$5,"")</f>
        <v/>
      </c>
      <c r="M283" s="2" t="str">
        <f aca="false">IF(AND(M$4=$G283,M$6=$F283),$D283*M$5,"")</f>
        <v/>
      </c>
      <c r="N283" s="1414" t="n">
        <f aca="false">VLOOKUP(B283,'O_MN, PE_UTA_UGM 2024'!$E$2:$K$419,IF(G283&gt;1,6,7))</f>
        <v>0</v>
      </c>
      <c r="O283" s="1434" t="str">
        <f aca="false">IF($H283=O$4,$D283*$N283,"")</f>
        <v/>
      </c>
      <c r="P283" s="1435" t="str">
        <f aca="false">IF($H283=P$4,$D283*$N283,"")</f>
        <v/>
      </c>
      <c r="Q283" s="1435" t="str">
        <f aca="false">IF($H283=Q$4,$D283*$N283,"")</f>
        <v/>
      </c>
      <c r="R283" s="1435" t="str">
        <f aca="false">IF($H283=R$4,$D283*$N283,"")</f>
        <v/>
      </c>
      <c r="S283" s="1435" t="str">
        <f aca="false">IF($H283=S$4,$D283*$N283,"")</f>
        <v/>
      </c>
      <c r="T283" s="1435" t="str">
        <f aca="false">IF($H283=T$4,$D283*$N283,"")</f>
        <v/>
      </c>
      <c r="U283" s="1436" t="str">
        <f aca="false">IF($H283=U$4,$D283*$N283,"")</f>
        <v/>
      </c>
      <c r="V283" s="1418"/>
      <c r="W283" s="1419"/>
      <c r="X283" s="1419"/>
      <c r="Y283" s="1419"/>
      <c r="Z283" s="1419"/>
      <c r="AA283" s="1419"/>
      <c r="AB283" s="1420"/>
      <c r="AC283" s="1319"/>
      <c r="AD283" s="2" t="str">
        <f aca="false">IF(AND(AD$4=$G283,AD$6=$F283),$B283,"")</f>
        <v/>
      </c>
      <c r="AE283" s="2" t="str">
        <f aca="false">IF(AND(AE$4=$G283,AE$6=$F283),$B283,"")</f>
        <v/>
      </c>
      <c r="AF283" s="2" t="str">
        <f aca="false">IF(AND(AF$4=$G283,AF$6=$F283),$B283,"")</f>
        <v/>
      </c>
      <c r="AG283" s="2" t="str">
        <f aca="false">IF(AND(AG$4=$G283,AG$6=$F283),$B283,"")</f>
        <v/>
      </c>
      <c r="AI283" s="366"/>
      <c r="AL283" s="367"/>
      <c r="AO283" s="367"/>
      <c r="AP283" s="2" t="str">
        <f aca="false">IF(AT283&gt;0,RANK(AT283,AT$7:AT$423),"")</f>
        <v/>
      </c>
      <c r="AQ283" s="2" t="n">
        <f aca="false">'O_MN, PE_UTA_UGM 2024'!C279</f>
        <v>278</v>
      </c>
      <c r="AR283" s="1421" t="n">
        <v>2730</v>
      </c>
      <c r="AS283" s="2" t="str">
        <f aca="false">IF(AY283&lt;&gt;"",AY283,"")</f>
        <v/>
      </c>
      <c r="AT283" s="1422" t="n">
        <f aca="false">IF(ISNUMBER($AR283),SUMIF(B$7:B$505,AR283,D$7:D$505),"")</f>
        <v>0</v>
      </c>
      <c r="AU283" s="1411" t="n">
        <f aca="false">IF(ISNUMBER($AR283),SUMIF(AD$7:AD$503,$AR283,J$7:J$503),"")</f>
        <v>0</v>
      </c>
      <c r="AV283" s="1411" t="n">
        <f aca="false">IF(ISNUMBER($AR283),SUMIF(AF$7:AF$503,$AR283,L$7:L$503),"")</f>
        <v>0</v>
      </c>
      <c r="AW283" s="1423" t="n">
        <f aca="false">IF(ISNUMBER($AR283),SUMIF(AE$7:AE$503,$AR283,K$7:K$503),"")</f>
        <v>0</v>
      </c>
      <c r="AX283" s="1423" t="n">
        <f aca="false">IF(ISNUMBER($AR283),SUMIF(AG$7:AG$503,$AR283,M$7:M$503),"")</f>
        <v>0</v>
      </c>
      <c r="AY283" s="2" t="str">
        <f aca="false">IF($AT283&gt;0,VLOOKUP($AR283,'O_MN, PE_UTA_UGM 2024'!E279:O695,2),"")</f>
        <v/>
      </c>
      <c r="AZ283" s="1424"/>
      <c r="BA283" s="1424"/>
      <c r="BB283" s="1424" t="str">
        <f aca="false">IF($AT283&gt;0,VLOOKUP($AR283,'O_MN, PE_UTA_UGM 2024'!$E$3:$O$419,BB$6),"")</f>
        <v/>
      </c>
      <c r="BC283" s="1424" t="str">
        <f aca="false">IF($AT283&gt;0,VLOOKUP($AR283,'O_MN, PE_UTA_UGM 2024'!$E$3:$O$419,BC$6),"")</f>
        <v/>
      </c>
      <c r="BD283" s="1424" t="str">
        <f aca="false">IF($AT283&gt;0,VLOOKUP($AR283,'O_MN, PE_UTA_UGM 2024'!$E$3:$O$419,BD$6),"")</f>
        <v/>
      </c>
      <c r="BE283" s="1424" t="str">
        <f aca="false">IF($AT283&gt;0,VLOOKUP($AR283,'O_MN, PE_UTA_UGM 2024'!$E$3:$O$419,BE$6),"")</f>
        <v/>
      </c>
      <c r="BF283" s="1424" t="str">
        <f aca="false">IF($AT283&gt;0,VLOOKUP($AR283,'O_MN, PE_UTA_UGM 2024'!$E$3:$O$419,BF$6),"")</f>
        <v/>
      </c>
      <c r="BG283" s="1424" t="str">
        <f aca="false">IF($AT283&gt;0,VLOOKUP($AR283,'O_MN, PE_UTA_UGM 2024'!$E$3:$O$419,BG$6),"")</f>
        <v/>
      </c>
      <c r="BH283" s="872"/>
      <c r="BI283" s="872"/>
      <c r="BJ283" s="872"/>
      <c r="BK283" s="872"/>
      <c r="BM283" s="1411"/>
      <c r="BN283" s="1411"/>
      <c r="BO283" s="1425" t="str">
        <f aca="false">IF(ISNUMBER($AU283*BB283*1),$AU283*BB283*1,"")</f>
        <v/>
      </c>
      <c r="BP283" s="1425" t="str">
        <f aca="false">IF(ISNUMBER($AV283*BC283*1),$AV283*BC283*1,"")</f>
        <v/>
      </c>
      <c r="BQ283" s="1425" t="str">
        <f aca="false">IF(ISNUMBER($AU283*BD283*1),$AU283*BD283*1,"")</f>
        <v/>
      </c>
      <c r="BR283" s="1425" t="str">
        <f aca="false">IF(ISNUMBER($AV283*BE283*1),$AV283*BE283*1,"")</f>
        <v/>
      </c>
      <c r="BS283" s="1411" t="str">
        <f aca="false">IF(ISNUMBER($AU283*BF283),$AU283*BF283,"")</f>
        <v/>
      </c>
      <c r="BT283" s="1411" t="str">
        <f aca="false">IF(ISNUMBER($AV283*BG283),$AV283*BG283,"")</f>
        <v/>
      </c>
      <c r="BU283" s="1411"/>
      <c r="BV283" s="1411"/>
      <c r="BW283" s="1411"/>
      <c r="BX283" s="1411"/>
      <c r="BZ283" s="1372"/>
      <c r="CA283" s="1372"/>
      <c r="CB283" s="1426" t="str">
        <f aca="false">IF(ISNUMBER($AW283*BB283),$AW283*BB283,"")</f>
        <v/>
      </c>
      <c r="CC283" s="1426" t="str">
        <f aca="false">IF(ISNUMBER($AX283*BC283),$AX283*BC283,"")</f>
        <v/>
      </c>
      <c r="CD283" s="1426" t="str">
        <f aca="false">IF(ISNUMBER($AW283*BD283),$AW283*BD283,"")</f>
        <v/>
      </c>
      <c r="CE283" s="1426" t="str">
        <f aca="false">IF(ISNUMBER($AX283*BE283),$AX283*BE283,"")</f>
        <v/>
      </c>
      <c r="CF283" s="1372" t="str">
        <f aca="false">IF(ISNUMBER($AW283*BF283),$AW283*BF283,"")</f>
        <v/>
      </c>
      <c r="CG283" s="1372" t="str">
        <f aca="false">IF(ISNUMBER($AX283*BG283),$AX283*BG283,"")</f>
        <v/>
      </c>
      <c r="CH283" s="1438"/>
      <c r="CI283" s="1438"/>
      <c r="CJ283" s="1438"/>
      <c r="CK283" s="1438"/>
      <c r="CU283" s="1411"/>
      <c r="CV283" s="1411"/>
      <c r="CW283" s="1425"/>
      <c r="CX283" s="1425"/>
      <c r="CY283" s="1425"/>
      <c r="CZ283" s="1425"/>
      <c r="DA283" s="1411"/>
      <c r="DB283" s="1411"/>
      <c r="DC283" s="1411"/>
      <c r="DD283" s="1411"/>
      <c r="DE283" s="1411"/>
      <c r="DF283" s="1411"/>
      <c r="DH283" s="1432"/>
      <c r="DI283" s="1432"/>
      <c r="DJ283" s="1437"/>
      <c r="DK283" s="1437"/>
      <c r="DL283" s="1437"/>
      <c r="DM283" s="1437"/>
      <c r="DN283" s="1432"/>
      <c r="DO283" s="1432"/>
      <c r="DP283" s="1432"/>
      <c r="DQ283" s="1432"/>
      <c r="DR283" s="1432"/>
      <c r="DS283" s="1432"/>
      <c r="DT283" s="1316"/>
      <c r="DU283" s="1433"/>
      <c r="DV283" s="1433"/>
      <c r="DW283" s="1433"/>
      <c r="DX283" s="1433"/>
      <c r="DY283" s="1433"/>
      <c r="DZ283" s="1433"/>
      <c r="EA283" s="1433"/>
      <c r="EB283" s="1433"/>
    </row>
    <row r="284" customFormat="false" ht="14.25" hidden="false" customHeight="false" outlineLevel="0" collapsed="false">
      <c r="A284" s="2" t="n">
        <f aca="false">'V_DATOS PAC_SGA'!R279</f>
        <v>0</v>
      </c>
      <c r="B284" s="2" t="n">
        <f aca="false">IF(I284="IV",CONCATENATE('V_DATOS PAC_SGA'!R279,"4")+0,CONCATENATE('V_DATOS PAC_SGA'!R279,"0")+0)</f>
        <v>0</v>
      </c>
      <c r="C284" s="2" t="n">
        <f aca="false">'V_DATOS PAC_SGA'!S279</f>
        <v>0</v>
      </c>
      <c r="D284" s="1409" t="n">
        <f aca="false">'V_DATOS PAC_SGA'!Y279</f>
        <v>0</v>
      </c>
      <c r="E284" s="1410" t="str">
        <f aca="false">IF('V_DATOS PAC_SGA'!AV279="","Regadio",'V_DATOS PAC_SGA'!AV279)</f>
        <v>Regadio</v>
      </c>
      <c r="F284" s="1411" t="n">
        <f aca="false">'V_DATOS PAC_SGA'!BK279</f>
        <v>0</v>
      </c>
      <c r="G284" s="1412" t="n">
        <f aca="false">'V_DATOS PAC_SGA'!AN279</f>
        <v>0</v>
      </c>
      <c r="H284" s="1413" t="str">
        <f aca="false">IF(B284&gt;0,VLOOKUP(B284,'O_MN, PE_UTA_UGM 2024'!E$3:O$419,10),"")</f>
        <v/>
      </c>
      <c r="I284" s="1359" t="n">
        <f aca="false">'V_DATOS PAC_SGA'!BV279</f>
        <v>0</v>
      </c>
      <c r="J284" s="2" t="str">
        <f aca="false">IF(AND(J$4=$G284,J$6=$F284),$D284*J$5,"")</f>
        <v/>
      </c>
      <c r="K284" s="2" t="str">
        <f aca="false">IF(AND(K$4=$G284,K$6=$F284),$D284*K$5,"")</f>
        <v/>
      </c>
      <c r="L284" s="2" t="str">
        <f aca="false">IF(AND(L$4=$G284,L$6=$F284),$D284*L$5,"")</f>
        <v/>
      </c>
      <c r="M284" s="2" t="str">
        <f aca="false">IF(AND(M$4=$G284,M$6=$F284),$D284*M$5,"")</f>
        <v/>
      </c>
      <c r="N284" s="1414" t="n">
        <f aca="false">VLOOKUP(B284,'O_MN, PE_UTA_UGM 2024'!$E$2:$K$419,IF(G284&gt;1,6,7))</f>
        <v>0</v>
      </c>
      <c r="O284" s="1434" t="str">
        <f aca="false">IF($H284=O$4,$D284*$N284,"")</f>
        <v/>
      </c>
      <c r="P284" s="1435" t="str">
        <f aca="false">IF($H284=P$4,$D284*$N284,"")</f>
        <v/>
      </c>
      <c r="Q284" s="1435" t="str">
        <f aca="false">IF($H284=Q$4,$D284*$N284,"")</f>
        <v/>
      </c>
      <c r="R284" s="1435" t="str">
        <f aca="false">IF($H284=R$4,$D284*$N284,"")</f>
        <v/>
      </c>
      <c r="S284" s="1435" t="str">
        <f aca="false">IF($H284=S$4,$D284*$N284,"")</f>
        <v/>
      </c>
      <c r="T284" s="1435" t="str">
        <f aca="false">IF($H284=T$4,$D284*$N284,"")</f>
        <v/>
      </c>
      <c r="U284" s="1436" t="str">
        <f aca="false">IF($H284=U$4,$D284*$N284,"")</f>
        <v/>
      </c>
      <c r="V284" s="1418"/>
      <c r="W284" s="1419"/>
      <c r="X284" s="1419"/>
      <c r="Y284" s="1419"/>
      <c r="Z284" s="1419"/>
      <c r="AA284" s="1419"/>
      <c r="AB284" s="1420"/>
      <c r="AC284" s="1319"/>
      <c r="AD284" s="2" t="str">
        <f aca="false">IF(AND(AD$4=$G284,AD$6=$F284),$B284,"")</f>
        <v/>
      </c>
      <c r="AE284" s="2" t="str">
        <f aca="false">IF(AND(AE$4=$G284,AE$6=$F284),$B284,"")</f>
        <v/>
      </c>
      <c r="AF284" s="2" t="str">
        <f aca="false">IF(AND(AF$4=$G284,AF$6=$F284),$B284,"")</f>
        <v/>
      </c>
      <c r="AG284" s="2" t="str">
        <f aca="false">IF(AND(AG$4=$G284,AG$6=$F284),$B284,"")</f>
        <v/>
      </c>
      <c r="AI284" s="366"/>
      <c r="AL284" s="367"/>
      <c r="AO284" s="367"/>
      <c r="AP284" s="2" t="str">
        <f aca="false">IF(AT284&gt;0,RANK(AT284,AT$7:AT$423),"")</f>
        <v/>
      </c>
      <c r="AQ284" s="2" t="n">
        <f aca="false">'O_MN, PE_UTA_UGM 2024'!C280</f>
        <v>279</v>
      </c>
      <c r="AR284" s="1421" t="n">
        <v>2740</v>
      </c>
      <c r="AS284" s="2" t="str">
        <f aca="false">IF(AY284&lt;&gt;"",AY284,"")</f>
        <v/>
      </c>
      <c r="AT284" s="1422" t="n">
        <f aca="false">IF(ISNUMBER($AR284),SUMIF(B$7:B$505,AR284,D$7:D$505),"")</f>
        <v>0</v>
      </c>
      <c r="AU284" s="1411" t="n">
        <f aca="false">IF(ISNUMBER($AR284),SUMIF(AD$7:AD$503,$AR284,J$7:J$503),"")</f>
        <v>0</v>
      </c>
      <c r="AV284" s="1411" t="n">
        <f aca="false">IF(ISNUMBER($AR284),SUMIF(AF$7:AF$503,$AR284,L$7:L$503),"")</f>
        <v>0</v>
      </c>
      <c r="AW284" s="1423" t="n">
        <f aca="false">IF(ISNUMBER($AR284),SUMIF(AE$7:AE$503,$AR284,K$7:K$503),"")</f>
        <v>0</v>
      </c>
      <c r="AX284" s="1423" t="n">
        <f aca="false">IF(ISNUMBER($AR284),SUMIF(AG$7:AG$503,$AR284,M$7:M$503),"")</f>
        <v>0</v>
      </c>
      <c r="AY284" s="2" t="str">
        <f aca="false">IF($AT284&gt;0,VLOOKUP($AR284,'O_MN, PE_UTA_UGM 2024'!E280:O696,2),"")</f>
        <v/>
      </c>
      <c r="AZ284" s="1424"/>
      <c r="BA284" s="1424"/>
      <c r="BB284" s="1424" t="str">
        <f aca="false">IF($AT284&gt;0,VLOOKUP($AR284,'O_MN, PE_UTA_UGM 2024'!$E$3:$O$419,BB$6),"")</f>
        <v/>
      </c>
      <c r="BC284" s="1424" t="str">
        <f aca="false">IF($AT284&gt;0,VLOOKUP($AR284,'O_MN, PE_UTA_UGM 2024'!$E$3:$O$419,BC$6),"")</f>
        <v/>
      </c>
      <c r="BD284" s="1424" t="str">
        <f aca="false">IF($AT284&gt;0,VLOOKUP($AR284,'O_MN, PE_UTA_UGM 2024'!$E$3:$O$419,BD$6),"")</f>
        <v/>
      </c>
      <c r="BE284" s="1424" t="str">
        <f aca="false">IF($AT284&gt;0,VLOOKUP($AR284,'O_MN, PE_UTA_UGM 2024'!$E$3:$O$419,BE$6),"")</f>
        <v/>
      </c>
      <c r="BF284" s="1424" t="str">
        <f aca="false">IF($AT284&gt;0,VLOOKUP($AR284,'O_MN, PE_UTA_UGM 2024'!$E$3:$O$419,BF$6),"")</f>
        <v/>
      </c>
      <c r="BG284" s="1424" t="str">
        <f aca="false">IF($AT284&gt;0,VLOOKUP($AR284,'O_MN, PE_UTA_UGM 2024'!$E$3:$O$419,BG$6),"")</f>
        <v/>
      </c>
      <c r="BH284" s="872"/>
      <c r="BI284" s="872"/>
      <c r="BJ284" s="872"/>
      <c r="BK284" s="872"/>
      <c r="BM284" s="1411"/>
      <c r="BN284" s="1411"/>
      <c r="BO284" s="1425" t="str">
        <f aca="false">IF(ISNUMBER($AU284*BB284*1),$AU284*BB284*1,"")</f>
        <v/>
      </c>
      <c r="BP284" s="1425" t="str">
        <f aca="false">IF(ISNUMBER($AV284*BC284*1),$AV284*BC284*1,"")</f>
        <v/>
      </c>
      <c r="BQ284" s="1425" t="str">
        <f aca="false">IF(ISNUMBER($AU284*BD284*1),$AU284*BD284*1,"")</f>
        <v/>
      </c>
      <c r="BR284" s="1425" t="str">
        <f aca="false">IF(ISNUMBER($AV284*BE284*1),$AV284*BE284*1,"")</f>
        <v/>
      </c>
      <c r="BS284" s="1411" t="str">
        <f aca="false">IF(ISNUMBER($AU284*BF284),$AU284*BF284,"")</f>
        <v/>
      </c>
      <c r="BT284" s="1411" t="str">
        <f aca="false">IF(ISNUMBER($AV284*BG284),$AV284*BG284,"")</f>
        <v/>
      </c>
      <c r="BU284" s="1411"/>
      <c r="BV284" s="1411"/>
      <c r="BW284" s="1411"/>
      <c r="BX284" s="1411"/>
      <c r="BZ284" s="1372"/>
      <c r="CA284" s="1372"/>
      <c r="CB284" s="1426" t="str">
        <f aca="false">IF(ISNUMBER($AW284*BB284),$AW284*BB284,"")</f>
        <v/>
      </c>
      <c r="CC284" s="1426" t="str">
        <f aca="false">IF(ISNUMBER($AX284*BC284),$AX284*BC284,"")</f>
        <v/>
      </c>
      <c r="CD284" s="1426" t="str">
        <f aca="false">IF(ISNUMBER($AW284*BD284),$AW284*BD284,"")</f>
        <v/>
      </c>
      <c r="CE284" s="1426" t="str">
        <f aca="false">IF(ISNUMBER($AX284*BE284),$AX284*BE284,"")</f>
        <v/>
      </c>
      <c r="CF284" s="1372" t="str">
        <f aca="false">IF(ISNUMBER($AW284*BF284),$AW284*BF284,"")</f>
        <v/>
      </c>
      <c r="CG284" s="1372" t="str">
        <f aca="false">IF(ISNUMBER($AX284*BG284),$AX284*BG284,"")</f>
        <v/>
      </c>
      <c r="CH284" s="1438"/>
      <c r="CI284" s="1438"/>
      <c r="CJ284" s="1438"/>
      <c r="CK284" s="1438"/>
      <c r="CU284" s="1411"/>
      <c r="CV284" s="1411"/>
      <c r="CW284" s="1425"/>
      <c r="CX284" s="1425"/>
      <c r="CY284" s="1425"/>
      <c r="CZ284" s="1425"/>
      <c r="DA284" s="1411"/>
      <c r="DB284" s="1411"/>
      <c r="DC284" s="1411"/>
      <c r="DD284" s="1411"/>
      <c r="DE284" s="1411"/>
      <c r="DF284" s="1411"/>
      <c r="DH284" s="1432"/>
      <c r="DI284" s="1432"/>
      <c r="DJ284" s="1437"/>
      <c r="DK284" s="1437"/>
      <c r="DL284" s="1437"/>
      <c r="DM284" s="1437"/>
      <c r="DN284" s="1432"/>
      <c r="DO284" s="1432"/>
      <c r="DP284" s="1432"/>
      <c r="DQ284" s="1432"/>
      <c r="DR284" s="1432"/>
      <c r="DS284" s="1432"/>
      <c r="DT284" s="1316"/>
      <c r="DU284" s="1433"/>
      <c r="DV284" s="1433"/>
      <c r="DW284" s="1433"/>
      <c r="DX284" s="1433"/>
      <c r="DY284" s="1433"/>
      <c r="DZ284" s="1433"/>
      <c r="EA284" s="1433"/>
      <c r="EB284" s="1433"/>
    </row>
    <row r="285" customFormat="false" ht="14.25" hidden="false" customHeight="false" outlineLevel="0" collapsed="false">
      <c r="A285" s="2" t="n">
        <f aca="false">'V_DATOS PAC_SGA'!R280</f>
        <v>0</v>
      </c>
      <c r="B285" s="2" t="n">
        <f aca="false">IF(I285="IV",CONCATENATE('V_DATOS PAC_SGA'!R280,"4")+0,CONCATENATE('V_DATOS PAC_SGA'!R280,"0")+0)</f>
        <v>0</v>
      </c>
      <c r="C285" s="2" t="n">
        <f aca="false">'V_DATOS PAC_SGA'!S280</f>
        <v>0</v>
      </c>
      <c r="D285" s="1409" t="n">
        <f aca="false">'V_DATOS PAC_SGA'!Y280</f>
        <v>0</v>
      </c>
      <c r="E285" s="1410" t="str">
        <f aca="false">IF('V_DATOS PAC_SGA'!AV280="","Regadio",'V_DATOS PAC_SGA'!AV280)</f>
        <v>Regadio</v>
      </c>
      <c r="F285" s="1411" t="n">
        <f aca="false">'V_DATOS PAC_SGA'!BK280</f>
        <v>0</v>
      </c>
      <c r="G285" s="1412" t="n">
        <f aca="false">'V_DATOS PAC_SGA'!AN280</f>
        <v>0</v>
      </c>
      <c r="H285" s="1413" t="str">
        <f aca="false">IF(B285&gt;0,VLOOKUP(B285,'O_MN, PE_UTA_UGM 2024'!E$3:O$419,10),"")</f>
        <v/>
      </c>
      <c r="I285" s="1359" t="n">
        <f aca="false">'V_DATOS PAC_SGA'!BV280</f>
        <v>0</v>
      </c>
      <c r="J285" s="2" t="str">
        <f aca="false">IF(AND(J$4=$G285,J$6=$F285),$D285*J$5,"")</f>
        <v/>
      </c>
      <c r="K285" s="2" t="str">
        <f aca="false">IF(AND(K$4=$G285,K$6=$F285),$D285*K$5,"")</f>
        <v/>
      </c>
      <c r="L285" s="2" t="str">
        <f aca="false">IF(AND(L$4=$G285,L$6=$F285),$D285*L$5,"")</f>
        <v/>
      </c>
      <c r="M285" s="2" t="str">
        <f aca="false">IF(AND(M$4=$G285,M$6=$F285),$D285*M$5,"")</f>
        <v/>
      </c>
      <c r="N285" s="1414" t="n">
        <f aca="false">VLOOKUP(B285,'O_MN, PE_UTA_UGM 2024'!$E$2:$K$419,IF(G285&gt;1,6,7))</f>
        <v>0</v>
      </c>
      <c r="O285" s="1434" t="str">
        <f aca="false">IF($H285=O$4,$D285*$N285,"")</f>
        <v/>
      </c>
      <c r="P285" s="1435" t="str">
        <f aca="false">IF($H285=P$4,$D285*$N285,"")</f>
        <v/>
      </c>
      <c r="Q285" s="1435" t="str">
        <f aca="false">IF($H285=Q$4,$D285*$N285,"")</f>
        <v/>
      </c>
      <c r="R285" s="1435" t="str">
        <f aca="false">IF($H285=R$4,$D285*$N285,"")</f>
        <v/>
      </c>
      <c r="S285" s="1435" t="str">
        <f aca="false">IF($H285=S$4,$D285*$N285,"")</f>
        <v/>
      </c>
      <c r="T285" s="1435" t="str">
        <f aca="false">IF($H285=T$4,$D285*$N285,"")</f>
        <v/>
      </c>
      <c r="U285" s="1436" t="str">
        <f aca="false">IF($H285=U$4,$D285*$N285,"")</f>
        <v/>
      </c>
      <c r="V285" s="1418"/>
      <c r="W285" s="1419"/>
      <c r="X285" s="1419"/>
      <c r="Y285" s="1419"/>
      <c r="Z285" s="1419"/>
      <c r="AA285" s="1419"/>
      <c r="AB285" s="1420"/>
      <c r="AC285" s="1319"/>
      <c r="AD285" s="2" t="str">
        <f aca="false">IF(AND(AD$4=$G285,AD$6=$F285),$B285,"")</f>
        <v/>
      </c>
      <c r="AE285" s="2" t="str">
        <f aca="false">IF(AND(AE$4=$G285,AE$6=$F285),$B285,"")</f>
        <v/>
      </c>
      <c r="AF285" s="2" t="str">
        <f aca="false">IF(AND(AF$4=$G285,AF$6=$F285),$B285,"")</f>
        <v/>
      </c>
      <c r="AG285" s="2" t="str">
        <f aca="false">IF(AND(AG$4=$G285,AG$6=$F285),$B285,"")</f>
        <v/>
      </c>
      <c r="AI285" s="366"/>
      <c r="AL285" s="367"/>
      <c r="AO285" s="367"/>
      <c r="AP285" s="2" t="str">
        <f aca="false">IF(AT285&gt;0,RANK(AT285,AT$7:AT$423),"")</f>
        <v/>
      </c>
      <c r="AQ285" s="2" t="n">
        <f aca="false">'O_MN, PE_UTA_UGM 2024'!C281</f>
        <v>279</v>
      </c>
      <c r="AR285" s="1421" t="n">
        <v>2750</v>
      </c>
      <c r="AS285" s="2" t="str">
        <f aca="false">IF(AY285&lt;&gt;"",AY285,"")</f>
        <v/>
      </c>
      <c r="AT285" s="1422" t="n">
        <f aca="false">IF(ISNUMBER($AR285),SUMIF(B$7:B$505,AR285,D$7:D$505),"")</f>
        <v>0</v>
      </c>
      <c r="AU285" s="1411" t="n">
        <f aca="false">IF(ISNUMBER($AR285),SUMIF(AD$7:AD$503,$AR285,J$7:J$503),"")</f>
        <v>0</v>
      </c>
      <c r="AV285" s="1411" t="n">
        <f aca="false">IF(ISNUMBER($AR285),SUMIF(AF$7:AF$503,$AR285,L$7:L$503),"")</f>
        <v>0</v>
      </c>
      <c r="AW285" s="1423" t="n">
        <f aca="false">IF(ISNUMBER($AR285),SUMIF(AE$7:AE$503,$AR285,K$7:K$503),"")</f>
        <v>0</v>
      </c>
      <c r="AX285" s="1423" t="n">
        <f aca="false">IF(ISNUMBER($AR285),SUMIF(AG$7:AG$503,$AR285,M$7:M$503),"")</f>
        <v>0</v>
      </c>
      <c r="AY285" s="2" t="str">
        <f aca="false">IF($AT285&gt;0,VLOOKUP($AR285,'O_MN, PE_UTA_UGM 2024'!E281:O697,2),"")</f>
        <v/>
      </c>
      <c r="AZ285" s="1424"/>
      <c r="BA285" s="1424"/>
      <c r="BB285" s="1424" t="str">
        <f aca="false">IF($AT285&gt;0,VLOOKUP($AR285,'O_MN, PE_UTA_UGM 2024'!$E$3:$O$419,BB$6),"")</f>
        <v/>
      </c>
      <c r="BC285" s="1424" t="str">
        <f aca="false">IF($AT285&gt;0,VLOOKUP($AR285,'O_MN, PE_UTA_UGM 2024'!$E$3:$O$419,BC$6),"")</f>
        <v/>
      </c>
      <c r="BD285" s="1424" t="str">
        <f aca="false">IF($AT285&gt;0,VLOOKUP($AR285,'O_MN, PE_UTA_UGM 2024'!$E$3:$O$419,BD$6),"")</f>
        <v/>
      </c>
      <c r="BE285" s="1424" t="str">
        <f aca="false">IF($AT285&gt;0,VLOOKUP($AR285,'O_MN, PE_UTA_UGM 2024'!$E$3:$O$419,BE$6),"")</f>
        <v/>
      </c>
      <c r="BF285" s="1424" t="str">
        <f aca="false">IF($AT285&gt;0,VLOOKUP($AR285,'O_MN, PE_UTA_UGM 2024'!$E$3:$O$419,BF$6),"")</f>
        <v/>
      </c>
      <c r="BG285" s="1424" t="str">
        <f aca="false">IF($AT285&gt;0,VLOOKUP($AR285,'O_MN, PE_UTA_UGM 2024'!$E$3:$O$419,BG$6),"")</f>
        <v/>
      </c>
      <c r="BH285" s="872"/>
      <c r="BI285" s="872"/>
      <c r="BJ285" s="872"/>
      <c r="BK285" s="872"/>
      <c r="BM285" s="1411"/>
      <c r="BN285" s="1411"/>
      <c r="BO285" s="1425" t="str">
        <f aca="false">IF(ISNUMBER($AU285*BB285*1),$AU285*BB285*1,"")</f>
        <v/>
      </c>
      <c r="BP285" s="1425" t="str">
        <f aca="false">IF(ISNUMBER($AV285*BC285*1),$AV285*BC285*1,"")</f>
        <v/>
      </c>
      <c r="BQ285" s="1425" t="str">
        <f aca="false">IF(ISNUMBER($AU285*BD285*1),$AU285*BD285*1,"")</f>
        <v/>
      </c>
      <c r="BR285" s="1425" t="str">
        <f aca="false">IF(ISNUMBER($AV285*BE285*1),$AV285*BE285*1,"")</f>
        <v/>
      </c>
      <c r="BS285" s="1411" t="str">
        <f aca="false">IF(ISNUMBER($AU285*BF285),$AU285*BF285,"")</f>
        <v/>
      </c>
      <c r="BT285" s="1411" t="str">
        <f aca="false">IF(ISNUMBER($AV285*BG285),$AV285*BG285,"")</f>
        <v/>
      </c>
      <c r="BU285" s="1411"/>
      <c r="BV285" s="1411"/>
      <c r="BW285" s="1411"/>
      <c r="BX285" s="1411"/>
      <c r="BZ285" s="1372"/>
      <c r="CA285" s="1372"/>
      <c r="CB285" s="1426" t="str">
        <f aca="false">IF(ISNUMBER($AW285*BB285),$AW285*BB285,"")</f>
        <v/>
      </c>
      <c r="CC285" s="1426" t="str">
        <f aca="false">IF(ISNUMBER($AX285*BC285),$AX285*BC285,"")</f>
        <v/>
      </c>
      <c r="CD285" s="1426" t="str">
        <f aca="false">IF(ISNUMBER($AW285*BD285),$AW285*BD285,"")</f>
        <v/>
      </c>
      <c r="CE285" s="1426" t="str">
        <f aca="false">IF(ISNUMBER($AX285*BE285),$AX285*BE285,"")</f>
        <v/>
      </c>
      <c r="CF285" s="1372" t="str">
        <f aca="false">IF(ISNUMBER($AW285*BF285),$AW285*BF285,"")</f>
        <v/>
      </c>
      <c r="CG285" s="1372" t="str">
        <f aca="false">IF(ISNUMBER($AX285*BG285),$AX285*BG285,"")</f>
        <v/>
      </c>
      <c r="CH285" s="1438"/>
      <c r="CI285" s="1438"/>
      <c r="CJ285" s="1438"/>
      <c r="CK285" s="1438"/>
      <c r="CU285" s="1411"/>
      <c r="CV285" s="1411"/>
      <c r="CW285" s="1425"/>
      <c r="CX285" s="1425"/>
      <c r="CY285" s="1425"/>
      <c r="CZ285" s="1425"/>
      <c r="DA285" s="1411"/>
      <c r="DB285" s="1411"/>
      <c r="DC285" s="1411"/>
      <c r="DD285" s="1411"/>
      <c r="DE285" s="1411"/>
      <c r="DF285" s="1411"/>
      <c r="DH285" s="1432"/>
      <c r="DI285" s="1432"/>
      <c r="DJ285" s="1437"/>
      <c r="DK285" s="1437"/>
      <c r="DL285" s="1437"/>
      <c r="DM285" s="1437"/>
      <c r="DN285" s="1432"/>
      <c r="DO285" s="1432"/>
      <c r="DP285" s="1432"/>
      <c r="DQ285" s="1432"/>
      <c r="DR285" s="1432"/>
      <c r="DS285" s="1432"/>
      <c r="DT285" s="1316"/>
      <c r="DU285" s="1433"/>
      <c r="DV285" s="1433"/>
      <c r="DW285" s="1433"/>
      <c r="DX285" s="1433"/>
      <c r="DY285" s="1433"/>
      <c r="DZ285" s="1433"/>
      <c r="EA285" s="1433"/>
      <c r="EB285" s="1433"/>
    </row>
    <row r="286" customFormat="false" ht="14.25" hidden="false" customHeight="false" outlineLevel="0" collapsed="false">
      <c r="A286" s="2" t="n">
        <f aca="false">'V_DATOS PAC_SGA'!R281</f>
        <v>0</v>
      </c>
      <c r="B286" s="2" t="n">
        <f aca="false">IF(I286="IV",CONCATENATE('V_DATOS PAC_SGA'!R281,"4")+0,CONCATENATE('V_DATOS PAC_SGA'!R281,"0")+0)</f>
        <v>0</v>
      </c>
      <c r="C286" s="2" t="n">
        <f aca="false">'V_DATOS PAC_SGA'!S281</f>
        <v>0</v>
      </c>
      <c r="D286" s="1409" t="n">
        <f aca="false">'V_DATOS PAC_SGA'!Y281</f>
        <v>0</v>
      </c>
      <c r="E286" s="1410" t="str">
        <f aca="false">IF('V_DATOS PAC_SGA'!AV281="","Regadio",'V_DATOS PAC_SGA'!AV281)</f>
        <v>Regadio</v>
      </c>
      <c r="F286" s="1411" t="n">
        <f aca="false">'V_DATOS PAC_SGA'!BK281</f>
        <v>0</v>
      </c>
      <c r="G286" s="1412" t="n">
        <f aca="false">'V_DATOS PAC_SGA'!AN281</f>
        <v>0</v>
      </c>
      <c r="H286" s="1413" t="str">
        <f aca="false">IF(B286&gt;0,VLOOKUP(B286,'O_MN, PE_UTA_UGM 2024'!E$3:O$419,10),"")</f>
        <v/>
      </c>
      <c r="I286" s="1359" t="n">
        <f aca="false">'V_DATOS PAC_SGA'!BV281</f>
        <v>0</v>
      </c>
      <c r="J286" s="2" t="str">
        <f aca="false">IF(AND(J$4=$G286,J$6=$F286),$D286*J$5,"")</f>
        <v/>
      </c>
      <c r="K286" s="2" t="str">
        <f aca="false">IF(AND(K$4=$G286,K$6=$F286),$D286*K$5,"")</f>
        <v/>
      </c>
      <c r="L286" s="2" t="str">
        <f aca="false">IF(AND(L$4=$G286,L$6=$F286),$D286*L$5,"")</f>
        <v/>
      </c>
      <c r="M286" s="2" t="str">
        <f aca="false">IF(AND(M$4=$G286,M$6=$F286),$D286*M$5,"")</f>
        <v/>
      </c>
      <c r="N286" s="1414" t="n">
        <f aca="false">VLOOKUP(B286,'O_MN, PE_UTA_UGM 2024'!$E$2:$K$419,IF(G286&gt;1,6,7))</f>
        <v>0</v>
      </c>
      <c r="O286" s="1434" t="str">
        <f aca="false">IF($H286=O$4,$D286*$N286,"")</f>
        <v/>
      </c>
      <c r="P286" s="1435" t="str">
        <f aca="false">IF($H286=P$4,$D286*$N286,"")</f>
        <v/>
      </c>
      <c r="Q286" s="1435" t="str">
        <f aca="false">IF($H286=Q$4,$D286*$N286,"")</f>
        <v/>
      </c>
      <c r="R286" s="1435" t="str">
        <f aca="false">IF($H286=R$4,$D286*$N286,"")</f>
        <v/>
      </c>
      <c r="S286" s="1435" t="str">
        <f aca="false">IF($H286=S$4,$D286*$N286,"")</f>
        <v/>
      </c>
      <c r="T286" s="1435" t="str">
        <f aca="false">IF($H286=T$4,$D286*$N286,"")</f>
        <v/>
      </c>
      <c r="U286" s="1436" t="str">
        <f aca="false">IF($H286=U$4,$D286*$N286,"")</f>
        <v/>
      </c>
      <c r="V286" s="1418"/>
      <c r="W286" s="1419"/>
      <c r="X286" s="1419"/>
      <c r="Y286" s="1419"/>
      <c r="Z286" s="1419"/>
      <c r="AA286" s="1419"/>
      <c r="AB286" s="1420"/>
      <c r="AC286" s="1319"/>
      <c r="AD286" s="2" t="str">
        <f aca="false">IF(AND(AD$4=$G286,AD$6=$F286),$B286,"")</f>
        <v/>
      </c>
      <c r="AE286" s="2" t="str">
        <f aca="false">IF(AND(AE$4=$G286,AE$6=$F286),$B286,"")</f>
        <v/>
      </c>
      <c r="AF286" s="2" t="str">
        <f aca="false">IF(AND(AF$4=$G286,AF$6=$F286),$B286,"")</f>
        <v/>
      </c>
      <c r="AG286" s="2" t="str">
        <f aca="false">IF(AND(AG$4=$G286,AG$6=$F286),$B286,"")</f>
        <v/>
      </c>
      <c r="AI286" s="366"/>
      <c r="AL286" s="367"/>
      <c r="AO286" s="367"/>
      <c r="AP286" s="2" t="str">
        <f aca="false">IF(AT286&gt;0,RANK(AT286,AT$7:AT$423),"")</f>
        <v/>
      </c>
      <c r="AQ286" s="2" t="n">
        <f aca="false">'O_MN, PE_UTA_UGM 2024'!C282</f>
        <v>279</v>
      </c>
      <c r="AR286" s="1421" t="n">
        <v>2760</v>
      </c>
      <c r="AS286" s="2" t="str">
        <f aca="false">IF(AY286&lt;&gt;"",AY286,"")</f>
        <v/>
      </c>
      <c r="AT286" s="1422" t="n">
        <f aca="false">IF(ISNUMBER($AR286),SUMIF(B$7:B$505,AR286,D$7:D$505),"")</f>
        <v>0</v>
      </c>
      <c r="AU286" s="1411" t="n">
        <f aca="false">IF(ISNUMBER($AR286),SUMIF(AD$7:AD$503,$AR286,J$7:J$503),"")</f>
        <v>0</v>
      </c>
      <c r="AV286" s="1411" t="n">
        <f aca="false">IF(ISNUMBER($AR286),SUMIF(AF$7:AF$503,$AR286,L$7:L$503),"")</f>
        <v>0</v>
      </c>
      <c r="AW286" s="1423" t="n">
        <f aca="false">IF(ISNUMBER($AR286),SUMIF(AE$7:AE$503,$AR286,K$7:K$503),"")</f>
        <v>0</v>
      </c>
      <c r="AX286" s="1423" t="n">
        <f aca="false">IF(ISNUMBER($AR286),SUMIF(AG$7:AG$503,$AR286,M$7:M$503),"")</f>
        <v>0</v>
      </c>
      <c r="AY286" s="2" t="str">
        <f aca="false">IF($AT286&gt;0,VLOOKUP($AR286,'O_MN, PE_UTA_UGM 2024'!E282:O698,2),"")</f>
        <v/>
      </c>
      <c r="AZ286" s="1424"/>
      <c r="BA286" s="1424"/>
      <c r="BB286" s="1424" t="str">
        <f aca="false">IF($AT286&gt;0,VLOOKUP($AR286,'O_MN, PE_UTA_UGM 2024'!$E$3:$O$419,BB$6),"")</f>
        <v/>
      </c>
      <c r="BC286" s="1424" t="str">
        <f aca="false">IF($AT286&gt;0,VLOOKUP($AR286,'O_MN, PE_UTA_UGM 2024'!$E$3:$O$419,BC$6),"")</f>
        <v/>
      </c>
      <c r="BD286" s="1424" t="str">
        <f aca="false">IF($AT286&gt;0,VLOOKUP($AR286,'O_MN, PE_UTA_UGM 2024'!$E$3:$O$419,BD$6),"")</f>
        <v/>
      </c>
      <c r="BE286" s="1424" t="str">
        <f aca="false">IF($AT286&gt;0,VLOOKUP($AR286,'O_MN, PE_UTA_UGM 2024'!$E$3:$O$419,BE$6),"")</f>
        <v/>
      </c>
      <c r="BF286" s="1424" t="str">
        <f aca="false">IF($AT286&gt;0,VLOOKUP($AR286,'O_MN, PE_UTA_UGM 2024'!$E$3:$O$419,BF$6),"")</f>
        <v/>
      </c>
      <c r="BG286" s="1424" t="str">
        <f aca="false">IF($AT286&gt;0,VLOOKUP($AR286,'O_MN, PE_UTA_UGM 2024'!$E$3:$O$419,BG$6),"")</f>
        <v/>
      </c>
      <c r="BH286" s="872"/>
      <c r="BI286" s="872"/>
      <c r="BJ286" s="872"/>
      <c r="BK286" s="872"/>
      <c r="BM286" s="1411"/>
      <c r="BN286" s="1411"/>
      <c r="BO286" s="1425" t="str">
        <f aca="false">IF(ISNUMBER($AU286*BB286*1),$AU286*BB286*1,"")</f>
        <v/>
      </c>
      <c r="BP286" s="1425" t="str">
        <f aca="false">IF(ISNUMBER($AV286*BC286*1),$AV286*BC286*1,"")</f>
        <v/>
      </c>
      <c r="BQ286" s="1425" t="str">
        <f aca="false">IF(ISNUMBER($AU286*BD286*1),$AU286*BD286*1,"")</f>
        <v/>
      </c>
      <c r="BR286" s="1425" t="str">
        <f aca="false">IF(ISNUMBER($AV286*BE286*1),$AV286*BE286*1,"")</f>
        <v/>
      </c>
      <c r="BS286" s="1411" t="str">
        <f aca="false">IF(ISNUMBER($AU286*BF286),$AU286*BF286,"")</f>
        <v/>
      </c>
      <c r="BT286" s="1411" t="str">
        <f aca="false">IF(ISNUMBER($AV286*BG286),$AV286*BG286,"")</f>
        <v/>
      </c>
      <c r="BU286" s="1411"/>
      <c r="BV286" s="1411"/>
      <c r="BW286" s="1411"/>
      <c r="BX286" s="1411"/>
      <c r="BZ286" s="1372"/>
      <c r="CA286" s="1372"/>
      <c r="CB286" s="1426" t="str">
        <f aca="false">IF(ISNUMBER($AW286*BB286),$AW286*BB286,"")</f>
        <v/>
      </c>
      <c r="CC286" s="1426" t="str">
        <f aca="false">IF(ISNUMBER($AX286*BC286),$AX286*BC286,"")</f>
        <v/>
      </c>
      <c r="CD286" s="1426" t="str">
        <f aca="false">IF(ISNUMBER($AW286*BD286),$AW286*BD286,"")</f>
        <v/>
      </c>
      <c r="CE286" s="1426" t="str">
        <f aca="false">IF(ISNUMBER($AX286*BE286),$AX286*BE286,"")</f>
        <v/>
      </c>
      <c r="CF286" s="1372" t="str">
        <f aca="false">IF(ISNUMBER($AW286*BF286),$AW286*BF286,"")</f>
        <v/>
      </c>
      <c r="CG286" s="1372" t="str">
        <f aca="false">IF(ISNUMBER($AX286*BG286),$AX286*BG286,"")</f>
        <v/>
      </c>
      <c r="CH286" s="1438"/>
      <c r="CI286" s="1438"/>
      <c r="CJ286" s="1438"/>
      <c r="CK286" s="1438"/>
      <c r="CU286" s="1411"/>
      <c r="CV286" s="1411"/>
      <c r="CW286" s="1425"/>
      <c r="CX286" s="1425"/>
      <c r="CY286" s="1425"/>
      <c r="CZ286" s="1425"/>
      <c r="DA286" s="1411"/>
      <c r="DB286" s="1411"/>
      <c r="DC286" s="1411"/>
      <c r="DD286" s="1411"/>
      <c r="DE286" s="1411"/>
      <c r="DF286" s="1411"/>
      <c r="DH286" s="1432"/>
      <c r="DI286" s="1432"/>
      <c r="DJ286" s="1437"/>
      <c r="DK286" s="1437"/>
      <c r="DL286" s="1437"/>
      <c r="DM286" s="1437"/>
      <c r="DN286" s="1432"/>
      <c r="DO286" s="1432"/>
      <c r="DP286" s="1432"/>
      <c r="DQ286" s="1432"/>
      <c r="DR286" s="1432"/>
      <c r="DS286" s="1432"/>
      <c r="DT286" s="1316"/>
      <c r="DU286" s="1433"/>
      <c r="DV286" s="1433"/>
      <c r="DW286" s="1433"/>
      <c r="DX286" s="1433"/>
      <c r="DY286" s="1433"/>
      <c r="DZ286" s="1433"/>
      <c r="EA286" s="1433"/>
      <c r="EB286" s="1433"/>
    </row>
    <row r="287" customFormat="false" ht="14.25" hidden="false" customHeight="false" outlineLevel="0" collapsed="false">
      <c r="A287" s="2" t="n">
        <f aca="false">'V_DATOS PAC_SGA'!R282</f>
        <v>0</v>
      </c>
      <c r="B287" s="2" t="n">
        <f aca="false">IF(I287="IV",CONCATENATE('V_DATOS PAC_SGA'!R282,"4")+0,CONCATENATE('V_DATOS PAC_SGA'!R282,"0")+0)</f>
        <v>0</v>
      </c>
      <c r="C287" s="2" t="n">
        <f aca="false">'V_DATOS PAC_SGA'!S282</f>
        <v>0</v>
      </c>
      <c r="D287" s="1409" t="n">
        <f aca="false">'V_DATOS PAC_SGA'!Y282</f>
        <v>0</v>
      </c>
      <c r="E287" s="1410" t="str">
        <f aca="false">IF('V_DATOS PAC_SGA'!AV282="","Regadio",'V_DATOS PAC_SGA'!AV282)</f>
        <v>Regadio</v>
      </c>
      <c r="F287" s="1411" t="n">
        <f aca="false">'V_DATOS PAC_SGA'!BK282</f>
        <v>0</v>
      </c>
      <c r="G287" s="1412" t="n">
        <f aca="false">'V_DATOS PAC_SGA'!AN282</f>
        <v>0</v>
      </c>
      <c r="H287" s="1413" t="str">
        <f aca="false">IF(B287&gt;0,VLOOKUP(B287,'O_MN, PE_UTA_UGM 2024'!E$3:O$419,10),"")</f>
        <v/>
      </c>
      <c r="I287" s="1359" t="n">
        <f aca="false">'V_DATOS PAC_SGA'!BV282</f>
        <v>0</v>
      </c>
      <c r="J287" s="2" t="str">
        <f aca="false">IF(AND(J$4=$G287,J$6=$F287),$D287*J$5,"")</f>
        <v/>
      </c>
      <c r="K287" s="2" t="str">
        <f aca="false">IF(AND(K$4=$G287,K$6=$F287),$D287*K$5,"")</f>
        <v/>
      </c>
      <c r="L287" s="2" t="str">
        <f aca="false">IF(AND(L$4=$G287,L$6=$F287),$D287*L$5,"")</f>
        <v/>
      </c>
      <c r="M287" s="2" t="str">
        <f aca="false">IF(AND(M$4=$G287,M$6=$F287),$D287*M$5,"")</f>
        <v/>
      </c>
      <c r="N287" s="1414" t="n">
        <f aca="false">VLOOKUP(B287,'O_MN, PE_UTA_UGM 2024'!$E$2:$K$419,IF(G287&gt;1,6,7))</f>
        <v>0</v>
      </c>
      <c r="O287" s="1434" t="str">
        <f aca="false">IF($H287=O$4,$D287*$N287,"")</f>
        <v/>
      </c>
      <c r="P287" s="1435" t="str">
        <f aca="false">IF($H287=P$4,$D287*$N287,"")</f>
        <v/>
      </c>
      <c r="Q287" s="1435" t="str">
        <f aca="false">IF($H287=Q$4,$D287*$N287,"")</f>
        <v/>
      </c>
      <c r="R287" s="1435" t="str">
        <f aca="false">IF($H287=R$4,$D287*$N287,"")</f>
        <v/>
      </c>
      <c r="S287" s="1435" t="str">
        <f aca="false">IF($H287=S$4,$D287*$N287,"")</f>
        <v/>
      </c>
      <c r="T287" s="1435" t="str">
        <f aca="false">IF($H287=T$4,$D287*$N287,"")</f>
        <v/>
      </c>
      <c r="U287" s="1436" t="str">
        <f aca="false">IF($H287=U$4,$D287*$N287,"")</f>
        <v/>
      </c>
      <c r="V287" s="1418"/>
      <c r="W287" s="1419"/>
      <c r="X287" s="1419"/>
      <c r="Y287" s="1419"/>
      <c r="Z287" s="1419"/>
      <c r="AA287" s="1419"/>
      <c r="AB287" s="1420"/>
      <c r="AC287" s="1319"/>
      <c r="AD287" s="2" t="str">
        <f aca="false">IF(AND(AD$4=$G287,AD$6=$F287),$B287,"")</f>
        <v/>
      </c>
      <c r="AE287" s="2" t="str">
        <f aca="false">IF(AND(AE$4=$G287,AE$6=$F287),$B287,"")</f>
        <v/>
      </c>
      <c r="AF287" s="2" t="str">
        <f aca="false">IF(AND(AF$4=$G287,AF$6=$F287),$B287,"")</f>
        <v/>
      </c>
      <c r="AG287" s="2" t="str">
        <f aca="false">IF(AND(AG$4=$G287,AG$6=$F287),$B287,"")</f>
        <v/>
      </c>
      <c r="AI287" s="366"/>
      <c r="AL287" s="367"/>
      <c r="AO287" s="367"/>
      <c r="AP287" s="2" t="str">
        <f aca="false">IF(AT287&gt;0,RANK(AT287,AT$7:AT$423),"")</f>
        <v/>
      </c>
      <c r="AQ287" s="2" t="n">
        <f aca="false">'O_MN, PE_UTA_UGM 2024'!C283</f>
        <v>280</v>
      </c>
      <c r="AR287" s="1421" t="n">
        <v>2770</v>
      </c>
      <c r="AS287" s="2" t="str">
        <f aca="false">IF(AY287&lt;&gt;"",AY287,"")</f>
        <v/>
      </c>
      <c r="AT287" s="1422" t="n">
        <f aca="false">IF(ISNUMBER($AR287),SUMIF(B$7:B$505,AR287,D$7:D$505),"")</f>
        <v>0</v>
      </c>
      <c r="AU287" s="1411" t="n">
        <f aca="false">IF(ISNUMBER($AR287),SUMIF(AD$7:AD$503,$AR287,J$7:J$503),"")</f>
        <v>0</v>
      </c>
      <c r="AV287" s="1411" t="n">
        <f aca="false">IF(ISNUMBER($AR287),SUMIF(AF$7:AF$503,$AR287,L$7:L$503),"")</f>
        <v>0</v>
      </c>
      <c r="AW287" s="1423" t="n">
        <f aca="false">IF(ISNUMBER($AR287),SUMIF(AE$7:AE$503,$AR287,K$7:K$503),"")</f>
        <v>0</v>
      </c>
      <c r="AX287" s="1423" t="n">
        <f aca="false">IF(ISNUMBER($AR287),SUMIF(AG$7:AG$503,$AR287,M$7:M$503),"")</f>
        <v>0</v>
      </c>
      <c r="AY287" s="2" t="str">
        <f aca="false">IF($AT287&gt;0,VLOOKUP($AR287,'O_MN, PE_UTA_UGM 2024'!E283:O699,2),"")</f>
        <v/>
      </c>
      <c r="AZ287" s="1424"/>
      <c r="BA287" s="1424"/>
      <c r="BB287" s="1424" t="str">
        <f aca="false">IF($AT287&gt;0,VLOOKUP($AR287,'O_MN, PE_UTA_UGM 2024'!$E$3:$O$419,BB$6),"")</f>
        <v/>
      </c>
      <c r="BC287" s="1424" t="str">
        <f aca="false">IF($AT287&gt;0,VLOOKUP($AR287,'O_MN, PE_UTA_UGM 2024'!$E$3:$O$419,BC$6),"")</f>
        <v/>
      </c>
      <c r="BD287" s="1424" t="str">
        <f aca="false">IF($AT287&gt;0,VLOOKUP($AR287,'O_MN, PE_UTA_UGM 2024'!$E$3:$O$419,BD$6),"")</f>
        <v/>
      </c>
      <c r="BE287" s="1424" t="str">
        <f aca="false">IF($AT287&gt;0,VLOOKUP($AR287,'O_MN, PE_UTA_UGM 2024'!$E$3:$O$419,BE$6),"")</f>
        <v/>
      </c>
      <c r="BF287" s="1424" t="str">
        <f aca="false">IF($AT287&gt;0,VLOOKUP($AR287,'O_MN, PE_UTA_UGM 2024'!$E$3:$O$419,BF$6),"")</f>
        <v/>
      </c>
      <c r="BG287" s="1424" t="str">
        <f aca="false">IF($AT287&gt;0,VLOOKUP($AR287,'O_MN, PE_UTA_UGM 2024'!$E$3:$O$419,BG$6),"")</f>
        <v/>
      </c>
      <c r="BH287" s="872"/>
      <c r="BI287" s="872"/>
      <c r="BJ287" s="872"/>
      <c r="BK287" s="872"/>
      <c r="BM287" s="1411"/>
      <c r="BN287" s="1411"/>
      <c r="BO287" s="1425" t="str">
        <f aca="false">IF(ISNUMBER($AU287*BB287*1),$AU287*BB287*1,"")</f>
        <v/>
      </c>
      <c r="BP287" s="1425" t="str">
        <f aca="false">IF(ISNUMBER($AV287*BC287*1),$AV287*BC287*1,"")</f>
        <v/>
      </c>
      <c r="BQ287" s="1425" t="str">
        <f aca="false">IF(ISNUMBER($AU287*BD287*1),$AU287*BD287*1,"")</f>
        <v/>
      </c>
      <c r="BR287" s="1425" t="str">
        <f aca="false">IF(ISNUMBER($AV287*BE287*1),$AV287*BE287*1,"")</f>
        <v/>
      </c>
      <c r="BS287" s="1411" t="str">
        <f aca="false">IF(ISNUMBER($AU287*BF287),$AU287*BF287,"")</f>
        <v/>
      </c>
      <c r="BT287" s="1411" t="str">
        <f aca="false">IF(ISNUMBER($AV287*BG287),$AV287*BG287,"")</f>
        <v/>
      </c>
      <c r="BU287" s="1411"/>
      <c r="BV287" s="1411"/>
      <c r="BW287" s="1411"/>
      <c r="BX287" s="1411"/>
      <c r="BZ287" s="1372"/>
      <c r="CA287" s="1372"/>
      <c r="CB287" s="1426" t="str">
        <f aca="false">IF(ISNUMBER($AW287*BB287),$AW287*BB287,"")</f>
        <v/>
      </c>
      <c r="CC287" s="1426" t="str">
        <f aca="false">IF(ISNUMBER($AX287*BC287),$AX287*BC287,"")</f>
        <v/>
      </c>
      <c r="CD287" s="1426" t="str">
        <f aca="false">IF(ISNUMBER($AW287*BD287),$AW287*BD287,"")</f>
        <v/>
      </c>
      <c r="CE287" s="1426" t="str">
        <f aca="false">IF(ISNUMBER($AX287*BE287),$AX287*BE287,"")</f>
        <v/>
      </c>
      <c r="CF287" s="1372" t="str">
        <f aca="false">IF(ISNUMBER($AW287*BF287),$AW287*BF287,"")</f>
        <v/>
      </c>
      <c r="CG287" s="1372" t="str">
        <f aca="false">IF(ISNUMBER($AX287*BG287),$AX287*BG287,"")</f>
        <v/>
      </c>
      <c r="CH287" s="1438"/>
      <c r="CI287" s="1438"/>
      <c r="CJ287" s="1438"/>
      <c r="CK287" s="1438"/>
      <c r="CU287" s="1411"/>
      <c r="CV287" s="1411"/>
      <c r="CW287" s="1425"/>
      <c r="CX287" s="1425"/>
      <c r="CY287" s="1425"/>
      <c r="CZ287" s="1425"/>
      <c r="DA287" s="1411"/>
      <c r="DB287" s="1411"/>
      <c r="DC287" s="1411"/>
      <c r="DD287" s="1411"/>
      <c r="DE287" s="1411"/>
      <c r="DF287" s="1411"/>
      <c r="DH287" s="1432"/>
      <c r="DI287" s="1432"/>
      <c r="DJ287" s="1437"/>
      <c r="DK287" s="1437"/>
      <c r="DL287" s="1437"/>
      <c r="DM287" s="1437"/>
      <c r="DN287" s="1432"/>
      <c r="DO287" s="1432"/>
      <c r="DP287" s="1432"/>
      <c r="DQ287" s="1432"/>
      <c r="DR287" s="1432"/>
      <c r="DS287" s="1432"/>
      <c r="DT287" s="1316"/>
      <c r="DU287" s="1433"/>
      <c r="DV287" s="1433"/>
      <c r="DW287" s="1433"/>
      <c r="DX287" s="1433"/>
      <c r="DY287" s="1433"/>
      <c r="DZ287" s="1433"/>
      <c r="EA287" s="1433"/>
      <c r="EB287" s="1433"/>
    </row>
    <row r="288" customFormat="false" ht="14.25" hidden="false" customHeight="false" outlineLevel="0" collapsed="false">
      <c r="A288" s="2" t="n">
        <f aca="false">'V_DATOS PAC_SGA'!R283</f>
        <v>0</v>
      </c>
      <c r="B288" s="2" t="n">
        <f aca="false">IF(I288="IV",CONCATENATE('V_DATOS PAC_SGA'!R283,"4")+0,CONCATENATE('V_DATOS PAC_SGA'!R283,"0")+0)</f>
        <v>0</v>
      </c>
      <c r="C288" s="2" t="n">
        <f aca="false">'V_DATOS PAC_SGA'!S283</f>
        <v>0</v>
      </c>
      <c r="D288" s="1409" t="n">
        <f aca="false">'V_DATOS PAC_SGA'!Y283</f>
        <v>0</v>
      </c>
      <c r="E288" s="1410" t="str">
        <f aca="false">IF('V_DATOS PAC_SGA'!AV283="","Regadio",'V_DATOS PAC_SGA'!AV283)</f>
        <v>Regadio</v>
      </c>
      <c r="F288" s="1411" t="n">
        <f aca="false">'V_DATOS PAC_SGA'!BK283</f>
        <v>0</v>
      </c>
      <c r="G288" s="1412" t="n">
        <f aca="false">'V_DATOS PAC_SGA'!AN283</f>
        <v>0</v>
      </c>
      <c r="H288" s="1413" t="str">
        <f aca="false">IF(B288&gt;0,VLOOKUP(B288,'O_MN, PE_UTA_UGM 2024'!E$3:O$419,10),"")</f>
        <v/>
      </c>
      <c r="I288" s="1359" t="n">
        <f aca="false">'V_DATOS PAC_SGA'!BV283</f>
        <v>0</v>
      </c>
      <c r="J288" s="2" t="str">
        <f aca="false">IF(AND(J$4=$G288,J$6=$F288),$D288*J$5,"")</f>
        <v/>
      </c>
      <c r="K288" s="2" t="str">
        <f aca="false">IF(AND(K$4=$G288,K$6=$F288),$D288*K$5,"")</f>
        <v/>
      </c>
      <c r="L288" s="2" t="str">
        <f aca="false">IF(AND(L$4=$G288,L$6=$F288),$D288*L$5,"")</f>
        <v/>
      </c>
      <c r="M288" s="2" t="str">
        <f aca="false">IF(AND(M$4=$G288,M$6=$F288),$D288*M$5,"")</f>
        <v/>
      </c>
      <c r="N288" s="1414" t="n">
        <f aca="false">VLOOKUP(B288,'O_MN, PE_UTA_UGM 2024'!$E$2:$K$419,IF(G288&gt;1,6,7))</f>
        <v>0</v>
      </c>
      <c r="O288" s="1434" t="str">
        <f aca="false">IF($H288=O$4,$D288*$N288,"")</f>
        <v/>
      </c>
      <c r="P288" s="1435" t="str">
        <f aca="false">IF($H288=P$4,$D288*$N288,"")</f>
        <v/>
      </c>
      <c r="Q288" s="1435" t="str">
        <f aca="false">IF($H288=Q$4,$D288*$N288,"")</f>
        <v/>
      </c>
      <c r="R288" s="1435" t="str">
        <f aca="false">IF($H288=R$4,$D288*$N288,"")</f>
        <v/>
      </c>
      <c r="S288" s="1435" t="str">
        <f aca="false">IF($H288=S$4,$D288*$N288,"")</f>
        <v/>
      </c>
      <c r="T288" s="1435" t="str">
        <f aca="false">IF($H288=T$4,$D288*$N288,"")</f>
        <v/>
      </c>
      <c r="U288" s="1436" t="str">
        <f aca="false">IF($H288=U$4,$D288*$N288,"")</f>
        <v/>
      </c>
      <c r="V288" s="1418"/>
      <c r="W288" s="1419"/>
      <c r="X288" s="1419"/>
      <c r="Y288" s="1419"/>
      <c r="Z288" s="1419"/>
      <c r="AA288" s="1419"/>
      <c r="AB288" s="1420"/>
      <c r="AC288" s="1319"/>
      <c r="AD288" s="2" t="str">
        <f aca="false">IF(AND(AD$4=$G288,AD$6=$F288),$B288,"")</f>
        <v/>
      </c>
      <c r="AE288" s="2" t="str">
        <f aca="false">IF(AND(AE$4=$G288,AE$6=$F288),$B288,"")</f>
        <v/>
      </c>
      <c r="AF288" s="2" t="str">
        <f aca="false">IF(AND(AF$4=$G288,AF$6=$F288),$B288,"")</f>
        <v/>
      </c>
      <c r="AG288" s="2" t="str">
        <f aca="false">IF(AND(AG$4=$G288,AG$6=$F288),$B288,"")</f>
        <v/>
      </c>
      <c r="AI288" s="366"/>
      <c r="AL288" s="367"/>
      <c r="AO288" s="367"/>
      <c r="AP288" s="2" t="str">
        <f aca="false">IF(AT288&gt;0,RANK(AT288,AT$7:AT$423),"")</f>
        <v/>
      </c>
      <c r="AQ288" s="2" t="n">
        <f aca="false">'O_MN, PE_UTA_UGM 2024'!C284</f>
        <v>281</v>
      </c>
      <c r="AR288" s="1421" t="n">
        <v>2780</v>
      </c>
      <c r="AS288" s="2" t="str">
        <f aca="false">IF(AY288&lt;&gt;"",AY288,"")</f>
        <v/>
      </c>
      <c r="AT288" s="1422" t="n">
        <f aca="false">IF(ISNUMBER($AR288),SUMIF(B$7:B$505,AR288,D$7:D$505),"")</f>
        <v>0</v>
      </c>
      <c r="AU288" s="1411" t="n">
        <f aca="false">IF(ISNUMBER($AR288),SUMIF(AD$7:AD$503,$AR288,J$7:J$503),"")</f>
        <v>0</v>
      </c>
      <c r="AV288" s="1411" t="n">
        <f aca="false">IF(ISNUMBER($AR288),SUMIF(AF$7:AF$503,$AR288,L$7:L$503),"")</f>
        <v>0</v>
      </c>
      <c r="AW288" s="1423" t="n">
        <f aca="false">IF(ISNUMBER($AR288),SUMIF(AE$7:AE$503,$AR288,K$7:K$503),"")</f>
        <v>0</v>
      </c>
      <c r="AX288" s="1423" t="n">
        <f aca="false">IF(ISNUMBER($AR288),SUMIF(AG$7:AG$503,$AR288,M$7:M$503),"")</f>
        <v>0</v>
      </c>
      <c r="AY288" s="2" t="str">
        <f aca="false">IF($AT288&gt;0,VLOOKUP($AR288,'O_MN, PE_UTA_UGM 2024'!E284:O700,2),"")</f>
        <v/>
      </c>
      <c r="AZ288" s="1424"/>
      <c r="BA288" s="1424"/>
      <c r="BB288" s="1424" t="str">
        <f aca="false">IF($AT288&gt;0,VLOOKUP($AR288,'O_MN, PE_UTA_UGM 2024'!$E$3:$O$419,BB$6),"")</f>
        <v/>
      </c>
      <c r="BC288" s="1424" t="str">
        <f aca="false">IF($AT288&gt;0,VLOOKUP($AR288,'O_MN, PE_UTA_UGM 2024'!$E$3:$O$419,BC$6),"")</f>
        <v/>
      </c>
      <c r="BD288" s="1424" t="str">
        <f aca="false">IF($AT288&gt;0,VLOOKUP($AR288,'O_MN, PE_UTA_UGM 2024'!$E$3:$O$419,BD$6),"")</f>
        <v/>
      </c>
      <c r="BE288" s="1424" t="str">
        <f aca="false">IF($AT288&gt;0,VLOOKUP($AR288,'O_MN, PE_UTA_UGM 2024'!$E$3:$O$419,BE$6),"")</f>
        <v/>
      </c>
      <c r="BF288" s="1424" t="str">
        <f aca="false">IF($AT288&gt;0,VLOOKUP($AR288,'O_MN, PE_UTA_UGM 2024'!$E$3:$O$419,BF$6),"")</f>
        <v/>
      </c>
      <c r="BG288" s="1424" t="str">
        <f aca="false">IF($AT288&gt;0,VLOOKUP($AR288,'O_MN, PE_UTA_UGM 2024'!$E$3:$O$419,BG$6),"")</f>
        <v/>
      </c>
      <c r="BH288" s="872"/>
      <c r="BI288" s="872"/>
      <c r="BJ288" s="872"/>
      <c r="BK288" s="872"/>
      <c r="BM288" s="1411"/>
      <c r="BN288" s="1411"/>
      <c r="BO288" s="1425" t="str">
        <f aca="false">IF(ISNUMBER($AU288*BB288*1),$AU288*BB288*1,"")</f>
        <v/>
      </c>
      <c r="BP288" s="1425" t="str">
        <f aca="false">IF(ISNUMBER($AV288*BC288*1),$AV288*BC288*1,"")</f>
        <v/>
      </c>
      <c r="BQ288" s="1425" t="str">
        <f aca="false">IF(ISNUMBER($AU288*BD288*1),$AU288*BD288*1,"")</f>
        <v/>
      </c>
      <c r="BR288" s="1425" t="str">
        <f aca="false">IF(ISNUMBER($AV288*BE288*1),$AV288*BE288*1,"")</f>
        <v/>
      </c>
      <c r="BS288" s="1411" t="str">
        <f aca="false">IF(ISNUMBER($AU288*BF288),$AU288*BF288,"")</f>
        <v/>
      </c>
      <c r="BT288" s="1411" t="str">
        <f aca="false">IF(ISNUMBER($AV288*BG288),$AV288*BG288,"")</f>
        <v/>
      </c>
      <c r="BU288" s="1411"/>
      <c r="BV288" s="1411"/>
      <c r="BW288" s="1411"/>
      <c r="BX288" s="1411"/>
      <c r="BZ288" s="1372"/>
      <c r="CA288" s="1372"/>
      <c r="CB288" s="1426" t="str">
        <f aca="false">IF(ISNUMBER($AW288*BB288),$AW288*BB288,"")</f>
        <v/>
      </c>
      <c r="CC288" s="1426" t="str">
        <f aca="false">IF(ISNUMBER($AX288*BC288),$AX288*BC288,"")</f>
        <v/>
      </c>
      <c r="CD288" s="1426" t="str">
        <f aca="false">IF(ISNUMBER($AW288*BD288),$AW288*BD288,"")</f>
        <v/>
      </c>
      <c r="CE288" s="1426" t="str">
        <f aca="false">IF(ISNUMBER($AX288*BE288),$AX288*BE288,"")</f>
        <v/>
      </c>
      <c r="CF288" s="1372" t="str">
        <f aca="false">IF(ISNUMBER($AW288*BF288),$AW288*BF288,"")</f>
        <v/>
      </c>
      <c r="CG288" s="1372" t="str">
        <f aca="false">IF(ISNUMBER($AX288*BG288),$AX288*BG288,"")</f>
        <v/>
      </c>
      <c r="CH288" s="1438"/>
      <c r="CI288" s="1438"/>
      <c r="CJ288" s="1438"/>
      <c r="CK288" s="1438"/>
      <c r="CU288" s="1411"/>
      <c r="CV288" s="1411"/>
      <c r="CW288" s="1425"/>
      <c r="CX288" s="1425"/>
      <c r="CY288" s="1425"/>
      <c r="CZ288" s="1425"/>
      <c r="DA288" s="1411"/>
      <c r="DB288" s="1411"/>
      <c r="DC288" s="1411"/>
      <c r="DD288" s="1411"/>
      <c r="DE288" s="1411"/>
      <c r="DF288" s="1411"/>
      <c r="DH288" s="1432"/>
      <c r="DI288" s="1432"/>
      <c r="DJ288" s="1437"/>
      <c r="DK288" s="1437"/>
      <c r="DL288" s="1437"/>
      <c r="DM288" s="1437"/>
      <c r="DN288" s="1432"/>
      <c r="DO288" s="1432"/>
      <c r="DP288" s="1432"/>
      <c r="DQ288" s="1432"/>
      <c r="DR288" s="1432"/>
      <c r="DS288" s="1432"/>
      <c r="DT288" s="1316"/>
      <c r="DU288" s="1433"/>
      <c r="DV288" s="1433"/>
      <c r="DW288" s="1433"/>
      <c r="DX288" s="1433"/>
      <c r="DY288" s="1433"/>
      <c r="DZ288" s="1433"/>
      <c r="EA288" s="1433"/>
      <c r="EB288" s="1433"/>
    </row>
    <row r="289" customFormat="false" ht="14.25" hidden="false" customHeight="false" outlineLevel="0" collapsed="false">
      <c r="A289" s="2" t="n">
        <f aca="false">'V_DATOS PAC_SGA'!R284</f>
        <v>0</v>
      </c>
      <c r="B289" s="2" t="n">
        <f aca="false">IF(I289="IV",CONCATENATE('V_DATOS PAC_SGA'!R284,"4")+0,CONCATENATE('V_DATOS PAC_SGA'!R284,"0")+0)</f>
        <v>0</v>
      </c>
      <c r="C289" s="2" t="n">
        <f aca="false">'V_DATOS PAC_SGA'!S284</f>
        <v>0</v>
      </c>
      <c r="D289" s="1409" t="n">
        <f aca="false">'V_DATOS PAC_SGA'!Y284</f>
        <v>0</v>
      </c>
      <c r="E289" s="1410" t="str">
        <f aca="false">IF('V_DATOS PAC_SGA'!AV284="","Regadio",'V_DATOS PAC_SGA'!AV284)</f>
        <v>Regadio</v>
      </c>
      <c r="F289" s="1411" t="n">
        <f aca="false">'V_DATOS PAC_SGA'!BK284</f>
        <v>0</v>
      </c>
      <c r="G289" s="1412" t="n">
        <f aca="false">'V_DATOS PAC_SGA'!AN284</f>
        <v>0</v>
      </c>
      <c r="H289" s="1413" t="str">
        <f aca="false">IF(B289&gt;0,VLOOKUP(B289,'O_MN, PE_UTA_UGM 2024'!E$3:O$419,10),"")</f>
        <v/>
      </c>
      <c r="I289" s="1359" t="n">
        <f aca="false">'V_DATOS PAC_SGA'!BV284</f>
        <v>0</v>
      </c>
      <c r="J289" s="2" t="str">
        <f aca="false">IF(AND(J$4=$G289,J$6=$F289),$D289*J$5,"")</f>
        <v/>
      </c>
      <c r="K289" s="2" t="str">
        <f aca="false">IF(AND(K$4=$G289,K$6=$F289),$D289*K$5,"")</f>
        <v/>
      </c>
      <c r="L289" s="2" t="str">
        <f aca="false">IF(AND(L$4=$G289,L$6=$F289),$D289*L$5,"")</f>
        <v/>
      </c>
      <c r="M289" s="2" t="str">
        <f aca="false">IF(AND(M$4=$G289,M$6=$F289),$D289*M$5,"")</f>
        <v/>
      </c>
      <c r="N289" s="1414" t="n">
        <f aca="false">VLOOKUP(B289,'O_MN, PE_UTA_UGM 2024'!$E$2:$K$419,IF(G289&gt;1,6,7))</f>
        <v>0</v>
      </c>
      <c r="O289" s="1434" t="str">
        <f aca="false">IF($H289=O$4,$D289*$N289,"")</f>
        <v/>
      </c>
      <c r="P289" s="1435" t="str">
        <f aca="false">IF($H289=P$4,$D289*$N289,"")</f>
        <v/>
      </c>
      <c r="Q289" s="1435" t="str">
        <f aca="false">IF($H289=Q$4,$D289*$N289,"")</f>
        <v/>
      </c>
      <c r="R289" s="1435" t="str">
        <f aca="false">IF($H289=R$4,$D289*$N289,"")</f>
        <v/>
      </c>
      <c r="S289" s="1435" t="str">
        <f aca="false">IF($H289=S$4,$D289*$N289,"")</f>
        <v/>
      </c>
      <c r="T289" s="1435" t="str">
        <f aca="false">IF($H289=T$4,$D289*$N289,"")</f>
        <v/>
      </c>
      <c r="U289" s="1436" t="str">
        <f aca="false">IF($H289=U$4,$D289*$N289,"")</f>
        <v/>
      </c>
      <c r="V289" s="1418"/>
      <c r="W289" s="1419"/>
      <c r="X289" s="1419"/>
      <c r="Y289" s="1419"/>
      <c r="Z289" s="1419"/>
      <c r="AA289" s="1419"/>
      <c r="AB289" s="1420"/>
      <c r="AC289" s="1319"/>
      <c r="AD289" s="2" t="str">
        <f aca="false">IF(AND(AD$4=$G289,AD$6=$F289),$B289,"")</f>
        <v/>
      </c>
      <c r="AE289" s="2" t="str">
        <f aca="false">IF(AND(AE$4=$G289,AE$6=$F289),$B289,"")</f>
        <v/>
      </c>
      <c r="AF289" s="2" t="str">
        <f aca="false">IF(AND(AF$4=$G289,AF$6=$F289),$B289,"")</f>
        <v/>
      </c>
      <c r="AG289" s="2" t="str">
        <f aca="false">IF(AND(AG$4=$G289,AG$6=$F289),$B289,"")</f>
        <v/>
      </c>
      <c r="AI289" s="366"/>
      <c r="AL289" s="367"/>
      <c r="AO289" s="367"/>
      <c r="AP289" s="2" t="str">
        <f aca="false">IF(AT289&gt;0,RANK(AT289,AT$7:AT$423),"")</f>
        <v/>
      </c>
      <c r="AQ289" s="2" t="n">
        <f aca="false">'O_MN, PE_UTA_UGM 2024'!C285</f>
        <v>282</v>
      </c>
      <c r="AR289" s="1421" t="n">
        <v>2790</v>
      </c>
      <c r="AS289" s="2" t="str">
        <f aca="false">IF(AY289&lt;&gt;"",AY289,"")</f>
        <v/>
      </c>
      <c r="AT289" s="1422" t="n">
        <f aca="false">IF(ISNUMBER($AR289),SUMIF(B$7:B$505,AR289,D$7:D$505),"")</f>
        <v>0</v>
      </c>
      <c r="AU289" s="1411" t="n">
        <f aca="false">IF(ISNUMBER($AR289),SUMIF(AD$7:AD$503,$AR289,J$7:J$503),"")</f>
        <v>0</v>
      </c>
      <c r="AV289" s="1411" t="n">
        <f aca="false">IF(ISNUMBER($AR289),SUMIF(AF$7:AF$503,$AR289,L$7:L$503),"")</f>
        <v>0</v>
      </c>
      <c r="AW289" s="1423" t="n">
        <f aca="false">IF(ISNUMBER($AR289),SUMIF(AE$7:AE$503,$AR289,K$7:K$503),"")</f>
        <v>0</v>
      </c>
      <c r="AX289" s="1423" t="n">
        <f aca="false">IF(ISNUMBER($AR289),SUMIF(AG$7:AG$503,$AR289,M$7:M$503),"")</f>
        <v>0</v>
      </c>
      <c r="AY289" s="2" t="str">
        <f aca="false">IF($AT289&gt;0,VLOOKUP($AR289,'O_MN, PE_UTA_UGM 2024'!E285:O701,2),"")</f>
        <v/>
      </c>
      <c r="AZ289" s="1424"/>
      <c r="BA289" s="1424"/>
      <c r="BB289" s="1424" t="str">
        <f aca="false">IF($AT289&gt;0,VLOOKUP($AR289,'O_MN, PE_UTA_UGM 2024'!$E$3:$O$419,BB$6),"")</f>
        <v/>
      </c>
      <c r="BC289" s="1424" t="str">
        <f aca="false">IF($AT289&gt;0,VLOOKUP($AR289,'O_MN, PE_UTA_UGM 2024'!$E$3:$O$419,BC$6),"")</f>
        <v/>
      </c>
      <c r="BD289" s="1424" t="str">
        <f aca="false">IF($AT289&gt;0,VLOOKUP($AR289,'O_MN, PE_UTA_UGM 2024'!$E$3:$O$419,BD$6),"")</f>
        <v/>
      </c>
      <c r="BE289" s="1424" t="str">
        <f aca="false">IF($AT289&gt;0,VLOOKUP($AR289,'O_MN, PE_UTA_UGM 2024'!$E$3:$O$419,BE$6),"")</f>
        <v/>
      </c>
      <c r="BF289" s="1424" t="str">
        <f aca="false">IF($AT289&gt;0,VLOOKUP($AR289,'O_MN, PE_UTA_UGM 2024'!$E$3:$O$419,BF$6),"")</f>
        <v/>
      </c>
      <c r="BG289" s="1424" t="str">
        <f aca="false">IF($AT289&gt;0,VLOOKUP($AR289,'O_MN, PE_UTA_UGM 2024'!$E$3:$O$419,BG$6),"")</f>
        <v/>
      </c>
      <c r="BH289" s="872"/>
      <c r="BI289" s="872"/>
      <c r="BJ289" s="872"/>
      <c r="BK289" s="872"/>
      <c r="BM289" s="1411"/>
      <c r="BN289" s="1411"/>
      <c r="BO289" s="1425" t="str">
        <f aca="false">IF(ISNUMBER($AU289*BB289*1),$AU289*BB289*1,"")</f>
        <v/>
      </c>
      <c r="BP289" s="1425" t="str">
        <f aca="false">IF(ISNUMBER($AV289*BC289*1),$AV289*BC289*1,"")</f>
        <v/>
      </c>
      <c r="BQ289" s="1425" t="str">
        <f aca="false">IF(ISNUMBER($AU289*BD289*1),$AU289*BD289*1,"")</f>
        <v/>
      </c>
      <c r="BR289" s="1425" t="str">
        <f aca="false">IF(ISNUMBER($AV289*BE289*1),$AV289*BE289*1,"")</f>
        <v/>
      </c>
      <c r="BS289" s="1411" t="str">
        <f aca="false">IF(ISNUMBER($AU289*BF289),$AU289*BF289,"")</f>
        <v/>
      </c>
      <c r="BT289" s="1411" t="str">
        <f aca="false">IF(ISNUMBER($AV289*BG289),$AV289*BG289,"")</f>
        <v/>
      </c>
      <c r="BU289" s="1411"/>
      <c r="BV289" s="1411"/>
      <c r="BW289" s="1411"/>
      <c r="BX289" s="1411"/>
      <c r="BZ289" s="1372"/>
      <c r="CA289" s="1372"/>
      <c r="CB289" s="1426" t="str">
        <f aca="false">IF(ISNUMBER($AW289*BB289),$AW289*BB289,"")</f>
        <v/>
      </c>
      <c r="CC289" s="1426" t="str">
        <f aca="false">IF(ISNUMBER($AX289*BC289),$AX289*BC289,"")</f>
        <v/>
      </c>
      <c r="CD289" s="1426" t="str">
        <f aca="false">IF(ISNUMBER($AW289*BD289),$AW289*BD289,"")</f>
        <v/>
      </c>
      <c r="CE289" s="1426" t="str">
        <f aca="false">IF(ISNUMBER($AX289*BE289),$AX289*BE289,"")</f>
        <v/>
      </c>
      <c r="CF289" s="1372" t="str">
        <f aca="false">IF(ISNUMBER($AW289*BF289),$AW289*BF289,"")</f>
        <v/>
      </c>
      <c r="CG289" s="1372" t="str">
        <f aca="false">IF(ISNUMBER($AX289*BG289),$AX289*BG289,"")</f>
        <v/>
      </c>
      <c r="CH289" s="1438"/>
      <c r="CI289" s="1438"/>
      <c r="CJ289" s="1438"/>
      <c r="CK289" s="1438"/>
      <c r="CU289" s="1411"/>
      <c r="CV289" s="1411"/>
      <c r="CW289" s="1425"/>
      <c r="CX289" s="1425"/>
      <c r="CY289" s="1425"/>
      <c r="CZ289" s="1425"/>
      <c r="DA289" s="1411"/>
      <c r="DB289" s="1411"/>
      <c r="DC289" s="1411"/>
      <c r="DD289" s="1411"/>
      <c r="DE289" s="1411"/>
      <c r="DF289" s="1411"/>
      <c r="DH289" s="1432"/>
      <c r="DI289" s="1432"/>
      <c r="DJ289" s="1437"/>
      <c r="DK289" s="1437"/>
      <c r="DL289" s="1437"/>
      <c r="DM289" s="1437"/>
      <c r="DN289" s="1432"/>
      <c r="DO289" s="1432"/>
      <c r="DP289" s="1432"/>
      <c r="DQ289" s="1432"/>
      <c r="DR289" s="1432"/>
      <c r="DS289" s="1432"/>
      <c r="DT289" s="1316"/>
      <c r="DU289" s="1433"/>
      <c r="DV289" s="1433"/>
      <c r="DW289" s="1433"/>
      <c r="DX289" s="1433"/>
      <c r="DY289" s="1433"/>
      <c r="DZ289" s="1433"/>
      <c r="EA289" s="1433"/>
      <c r="EB289" s="1433"/>
    </row>
    <row r="290" customFormat="false" ht="14.25" hidden="false" customHeight="false" outlineLevel="0" collapsed="false">
      <c r="A290" s="2" t="n">
        <f aca="false">'V_DATOS PAC_SGA'!R285</f>
        <v>0</v>
      </c>
      <c r="B290" s="2" t="n">
        <f aca="false">IF(I290="IV",CONCATENATE('V_DATOS PAC_SGA'!R285,"4")+0,CONCATENATE('V_DATOS PAC_SGA'!R285,"0")+0)</f>
        <v>0</v>
      </c>
      <c r="C290" s="2" t="n">
        <f aca="false">'V_DATOS PAC_SGA'!S285</f>
        <v>0</v>
      </c>
      <c r="D290" s="1409" t="n">
        <f aca="false">'V_DATOS PAC_SGA'!Y285</f>
        <v>0</v>
      </c>
      <c r="E290" s="1410" t="str">
        <f aca="false">IF('V_DATOS PAC_SGA'!AV285="","Regadio",'V_DATOS PAC_SGA'!AV285)</f>
        <v>Regadio</v>
      </c>
      <c r="F290" s="1411" t="n">
        <f aca="false">'V_DATOS PAC_SGA'!BK285</f>
        <v>0</v>
      </c>
      <c r="G290" s="1412" t="n">
        <f aca="false">'V_DATOS PAC_SGA'!AN285</f>
        <v>0</v>
      </c>
      <c r="H290" s="1413" t="str">
        <f aca="false">IF(B290&gt;0,VLOOKUP(B290,'O_MN, PE_UTA_UGM 2024'!E$3:O$419,10),"")</f>
        <v/>
      </c>
      <c r="I290" s="1359" t="n">
        <f aca="false">'V_DATOS PAC_SGA'!BV285</f>
        <v>0</v>
      </c>
      <c r="J290" s="2" t="str">
        <f aca="false">IF(AND(J$4=$G290,J$6=$F290),$D290*J$5,"")</f>
        <v/>
      </c>
      <c r="K290" s="2" t="str">
        <f aca="false">IF(AND(K$4=$G290,K$6=$F290),$D290*K$5,"")</f>
        <v/>
      </c>
      <c r="L290" s="2" t="str">
        <f aca="false">IF(AND(L$4=$G290,L$6=$F290),$D290*L$5,"")</f>
        <v/>
      </c>
      <c r="M290" s="2" t="str">
        <f aca="false">IF(AND(M$4=$G290,M$6=$F290),$D290*M$5,"")</f>
        <v/>
      </c>
      <c r="N290" s="1414" t="n">
        <f aca="false">VLOOKUP(B290,'O_MN, PE_UTA_UGM 2024'!$E$2:$K$419,IF(G290&gt;1,6,7))</f>
        <v>0</v>
      </c>
      <c r="O290" s="1434" t="str">
        <f aca="false">IF($H290=O$4,$D290*$N290,"")</f>
        <v/>
      </c>
      <c r="P290" s="1435" t="str">
        <f aca="false">IF($H290=P$4,$D290*$N290,"")</f>
        <v/>
      </c>
      <c r="Q290" s="1435" t="str">
        <f aca="false">IF($H290=Q$4,$D290*$N290,"")</f>
        <v/>
      </c>
      <c r="R290" s="1435" t="str">
        <f aca="false">IF($H290=R$4,$D290*$N290,"")</f>
        <v/>
      </c>
      <c r="S290" s="1435" t="str">
        <f aca="false">IF($H290=S$4,$D290*$N290,"")</f>
        <v/>
      </c>
      <c r="T290" s="1435" t="str">
        <f aca="false">IF($H290=T$4,$D290*$N290,"")</f>
        <v/>
      </c>
      <c r="U290" s="1436" t="str">
        <f aca="false">IF($H290=U$4,$D290*$N290,"")</f>
        <v/>
      </c>
      <c r="V290" s="1418"/>
      <c r="W290" s="1419"/>
      <c r="X290" s="1419"/>
      <c r="Y290" s="1419"/>
      <c r="Z290" s="1419"/>
      <c r="AA290" s="1419"/>
      <c r="AB290" s="1420"/>
      <c r="AC290" s="1319"/>
      <c r="AD290" s="2" t="str">
        <f aca="false">IF(AND(AD$4=$G290,AD$6=$F290),$B290,"")</f>
        <v/>
      </c>
      <c r="AE290" s="2" t="str">
        <f aca="false">IF(AND(AE$4=$G290,AE$6=$F290),$B290,"")</f>
        <v/>
      </c>
      <c r="AF290" s="2" t="str">
        <f aca="false">IF(AND(AF$4=$G290,AF$6=$F290),$B290,"")</f>
        <v/>
      </c>
      <c r="AG290" s="2" t="str">
        <f aca="false">IF(AND(AG$4=$G290,AG$6=$F290),$B290,"")</f>
        <v/>
      </c>
      <c r="AI290" s="366"/>
      <c r="AL290" s="367"/>
      <c r="AO290" s="367"/>
      <c r="AP290" s="2" t="str">
        <f aca="false">IF(AT290&gt;0,RANK(AT290,AT$7:AT$423),"")</f>
        <v/>
      </c>
      <c r="AQ290" s="2" t="n">
        <f aca="false">'O_MN, PE_UTA_UGM 2024'!C286</f>
        <v>283</v>
      </c>
      <c r="AR290" s="1421" t="n">
        <v>2794</v>
      </c>
      <c r="AS290" s="2" t="str">
        <f aca="false">IF(AY290&lt;&gt;"",AY290,"")</f>
        <v/>
      </c>
      <c r="AT290" s="1422" t="n">
        <f aca="false">IF(ISNUMBER($AR290),SUMIF(B$7:B$505,AR290,D$7:D$505),"")</f>
        <v>0</v>
      </c>
      <c r="AU290" s="1411" t="n">
        <f aca="false">IF(ISNUMBER($AR290),SUMIF(AD$7:AD$503,$AR290,J$7:J$503),"")</f>
        <v>0</v>
      </c>
      <c r="AV290" s="1411" t="n">
        <f aca="false">IF(ISNUMBER($AR290),SUMIF(AF$7:AF$503,$AR290,L$7:L$503),"")</f>
        <v>0</v>
      </c>
      <c r="AW290" s="1423" t="n">
        <f aca="false">IF(ISNUMBER($AR290),SUMIF(AE$7:AE$503,$AR290,K$7:K$503),"")</f>
        <v>0</v>
      </c>
      <c r="AX290" s="1423" t="n">
        <f aca="false">IF(ISNUMBER($AR290),SUMIF(AG$7:AG$503,$AR290,M$7:M$503),"")</f>
        <v>0</v>
      </c>
      <c r="AY290" s="2" t="str">
        <f aca="false">IF($AT290&gt;0,VLOOKUP($AR290,'O_MN, PE_UTA_UGM 2024'!E286:O702,2),"")</f>
        <v/>
      </c>
      <c r="AZ290" s="1424"/>
      <c r="BA290" s="1424"/>
      <c r="BB290" s="1424" t="str">
        <f aca="false">IF($AT290&gt;0,VLOOKUP($AR290,'O_MN, PE_UTA_UGM 2024'!$E$3:$O$419,BB$6),"")</f>
        <v/>
      </c>
      <c r="BC290" s="1424" t="str">
        <f aca="false">IF($AT290&gt;0,VLOOKUP($AR290,'O_MN, PE_UTA_UGM 2024'!$E$3:$O$419,BC$6),"")</f>
        <v/>
      </c>
      <c r="BD290" s="1424" t="str">
        <f aca="false">IF($AT290&gt;0,VLOOKUP($AR290,'O_MN, PE_UTA_UGM 2024'!$E$3:$O$419,BD$6),"")</f>
        <v/>
      </c>
      <c r="BE290" s="1424" t="str">
        <f aca="false">IF($AT290&gt;0,VLOOKUP($AR290,'O_MN, PE_UTA_UGM 2024'!$E$3:$O$419,BE$6),"")</f>
        <v/>
      </c>
      <c r="BF290" s="1424" t="str">
        <f aca="false">IF($AT290&gt;0,VLOOKUP($AR290,'O_MN, PE_UTA_UGM 2024'!$E$3:$O$419,BF$6),"")</f>
        <v/>
      </c>
      <c r="BG290" s="1424" t="str">
        <f aca="false">IF($AT290&gt;0,VLOOKUP($AR290,'O_MN, PE_UTA_UGM 2024'!$E$3:$O$419,BG$6),"")</f>
        <v/>
      </c>
      <c r="BH290" s="872"/>
      <c r="BI290" s="872"/>
      <c r="BJ290" s="872"/>
      <c r="BK290" s="872"/>
      <c r="BM290" s="1411"/>
      <c r="BN290" s="1411"/>
      <c r="BO290" s="1425" t="str">
        <f aca="false">IF(ISNUMBER($AU290*BB290*1),$AU290*BB290*1,"")</f>
        <v/>
      </c>
      <c r="BP290" s="1425" t="str">
        <f aca="false">IF(ISNUMBER($AV290*BC290*1),$AV290*BC290*1,"")</f>
        <v/>
      </c>
      <c r="BQ290" s="1425" t="str">
        <f aca="false">IF(ISNUMBER($AU290*BD290*1),$AU290*BD290*1,"")</f>
        <v/>
      </c>
      <c r="BR290" s="1425" t="str">
        <f aca="false">IF(ISNUMBER($AV290*BE290*1),$AV290*BE290*1,"")</f>
        <v/>
      </c>
      <c r="BS290" s="1411" t="str">
        <f aca="false">IF(ISNUMBER($AU290*BF290),$AU290*BF290,"")</f>
        <v/>
      </c>
      <c r="BT290" s="1411" t="str">
        <f aca="false">IF(ISNUMBER($AV290*BG290),$AV290*BG290,"")</f>
        <v/>
      </c>
      <c r="BU290" s="1411"/>
      <c r="BV290" s="1411"/>
      <c r="BW290" s="1411"/>
      <c r="BX290" s="1411"/>
      <c r="BZ290" s="1372"/>
      <c r="CA290" s="1372"/>
      <c r="CB290" s="1426" t="str">
        <f aca="false">IF(ISNUMBER($AW290*BB290),$AW290*BB290,"")</f>
        <v/>
      </c>
      <c r="CC290" s="1426" t="str">
        <f aca="false">IF(ISNUMBER($AX290*BC290),$AX290*BC290,"")</f>
        <v/>
      </c>
      <c r="CD290" s="1426" t="str">
        <f aca="false">IF(ISNUMBER($AW290*BD290),$AW290*BD290,"")</f>
        <v/>
      </c>
      <c r="CE290" s="1426" t="str">
        <f aca="false">IF(ISNUMBER($AX290*BE290),$AX290*BE290,"")</f>
        <v/>
      </c>
      <c r="CF290" s="1372" t="str">
        <f aca="false">IF(ISNUMBER($AW290*BF290),$AW290*BF290,"")</f>
        <v/>
      </c>
      <c r="CG290" s="1372" t="str">
        <f aca="false">IF(ISNUMBER($AX290*BG290),$AX290*BG290,"")</f>
        <v/>
      </c>
      <c r="CH290" s="1438"/>
      <c r="CI290" s="1438"/>
      <c r="CJ290" s="1438"/>
      <c r="CK290" s="1438"/>
      <c r="CU290" s="1411"/>
      <c r="CV290" s="1411"/>
      <c r="CW290" s="1425"/>
      <c r="CX290" s="1425"/>
      <c r="CY290" s="1425"/>
      <c r="CZ290" s="1425"/>
      <c r="DA290" s="1411"/>
      <c r="DB290" s="1411"/>
      <c r="DC290" s="1411"/>
      <c r="DD290" s="1411"/>
      <c r="DE290" s="1411"/>
      <c r="DF290" s="1411"/>
      <c r="DH290" s="1432"/>
      <c r="DI290" s="1432"/>
      <c r="DJ290" s="1437"/>
      <c r="DK290" s="1437"/>
      <c r="DL290" s="1437"/>
      <c r="DM290" s="1437"/>
      <c r="DN290" s="1432"/>
      <c r="DO290" s="1432"/>
      <c r="DP290" s="1432"/>
      <c r="DQ290" s="1432"/>
      <c r="DR290" s="1432"/>
      <c r="DS290" s="1432"/>
      <c r="DT290" s="1316"/>
      <c r="DU290" s="1433"/>
      <c r="DV290" s="1433"/>
      <c r="DW290" s="1433"/>
      <c r="DX290" s="1433"/>
      <c r="DY290" s="1433"/>
      <c r="DZ290" s="1433"/>
      <c r="EA290" s="1433"/>
      <c r="EB290" s="1433"/>
    </row>
    <row r="291" customFormat="false" ht="14.25" hidden="false" customHeight="false" outlineLevel="0" collapsed="false">
      <c r="A291" s="2" t="n">
        <f aca="false">'V_DATOS PAC_SGA'!R286</f>
        <v>0</v>
      </c>
      <c r="B291" s="2" t="n">
        <f aca="false">IF(I291="IV",CONCATENATE('V_DATOS PAC_SGA'!R286,"4")+0,CONCATENATE('V_DATOS PAC_SGA'!R286,"0")+0)</f>
        <v>0</v>
      </c>
      <c r="C291" s="2" t="n">
        <f aca="false">'V_DATOS PAC_SGA'!S286</f>
        <v>0</v>
      </c>
      <c r="D291" s="1409" t="n">
        <f aca="false">'V_DATOS PAC_SGA'!Y286</f>
        <v>0</v>
      </c>
      <c r="E291" s="1410" t="str">
        <f aca="false">IF('V_DATOS PAC_SGA'!AV286="","Regadio",'V_DATOS PAC_SGA'!AV286)</f>
        <v>Regadio</v>
      </c>
      <c r="F291" s="1411" t="n">
        <f aca="false">'V_DATOS PAC_SGA'!BK286</f>
        <v>0</v>
      </c>
      <c r="G291" s="1412" t="n">
        <f aca="false">'V_DATOS PAC_SGA'!AN286</f>
        <v>0</v>
      </c>
      <c r="H291" s="1413" t="str">
        <f aca="false">IF(B291&gt;0,VLOOKUP(B291,'O_MN, PE_UTA_UGM 2024'!E$3:O$419,10),"")</f>
        <v/>
      </c>
      <c r="I291" s="1359" t="n">
        <f aca="false">'V_DATOS PAC_SGA'!BV286</f>
        <v>0</v>
      </c>
      <c r="J291" s="2" t="str">
        <f aca="false">IF(AND(J$4=$G291,J$6=$F291),$D291*J$5,"")</f>
        <v/>
      </c>
      <c r="K291" s="2" t="str">
        <f aca="false">IF(AND(K$4=$G291,K$6=$F291),$D291*K$5,"")</f>
        <v/>
      </c>
      <c r="L291" s="2" t="str">
        <f aca="false">IF(AND(L$4=$G291,L$6=$F291),$D291*L$5,"")</f>
        <v/>
      </c>
      <c r="M291" s="2" t="str">
        <f aca="false">IF(AND(M$4=$G291,M$6=$F291),$D291*M$5,"")</f>
        <v/>
      </c>
      <c r="N291" s="1414" t="n">
        <f aca="false">VLOOKUP(B291,'O_MN, PE_UTA_UGM 2024'!$E$2:$K$419,IF(G291&gt;1,6,7))</f>
        <v>0</v>
      </c>
      <c r="O291" s="1434" t="str">
        <f aca="false">IF($H291=O$4,$D291*$N291,"")</f>
        <v/>
      </c>
      <c r="P291" s="1435" t="str">
        <f aca="false">IF($H291=P$4,$D291*$N291,"")</f>
        <v/>
      </c>
      <c r="Q291" s="1435" t="str">
        <f aca="false">IF($H291=Q$4,$D291*$N291,"")</f>
        <v/>
      </c>
      <c r="R291" s="1435" t="str">
        <f aca="false">IF($H291=R$4,$D291*$N291,"")</f>
        <v/>
      </c>
      <c r="S291" s="1435" t="str">
        <f aca="false">IF($H291=S$4,$D291*$N291,"")</f>
        <v/>
      </c>
      <c r="T291" s="1435" t="str">
        <f aca="false">IF($H291=T$4,$D291*$N291,"")</f>
        <v/>
      </c>
      <c r="U291" s="1436" t="str">
        <f aca="false">IF($H291=U$4,$D291*$N291,"")</f>
        <v/>
      </c>
      <c r="V291" s="1418"/>
      <c r="W291" s="1419"/>
      <c r="X291" s="1419"/>
      <c r="Y291" s="1419"/>
      <c r="Z291" s="1419"/>
      <c r="AA291" s="1419"/>
      <c r="AB291" s="1420"/>
      <c r="AC291" s="1319"/>
      <c r="AD291" s="2" t="str">
        <f aca="false">IF(AND(AD$4=$G291,AD$6=$F291),$B291,"")</f>
        <v/>
      </c>
      <c r="AE291" s="2" t="str">
        <f aca="false">IF(AND(AE$4=$G291,AE$6=$F291),$B291,"")</f>
        <v/>
      </c>
      <c r="AF291" s="2" t="str">
        <f aca="false">IF(AND(AF$4=$G291,AF$6=$F291),$B291,"")</f>
        <v/>
      </c>
      <c r="AG291" s="2" t="str">
        <f aca="false">IF(AND(AG$4=$G291,AG$6=$F291),$B291,"")</f>
        <v/>
      </c>
      <c r="AI291" s="366"/>
      <c r="AL291" s="367"/>
      <c r="AO291" s="367"/>
      <c r="AP291" s="2" t="str">
        <f aca="false">IF(AT291&gt;0,RANK(AT291,AT$7:AT$423),"")</f>
        <v/>
      </c>
      <c r="AQ291" s="2" t="n">
        <f aca="false">'O_MN, PE_UTA_UGM 2024'!C287</f>
        <v>284</v>
      </c>
      <c r="AR291" s="1421" t="n">
        <v>2799</v>
      </c>
      <c r="AS291" s="2" t="str">
        <f aca="false">IF(AY291&lt;&gt;"",AY291,"")</f>
        <v/>
      </c>
      <c r="AT291" s="1422" t="n">
        <f aca="false">IF(ISNUMBER($AR291),SUMIF(B$7:B$505,AR291,D$7:D$505),"")</f>
        <v>0</v>
      </c>
      <c r="AU291" s="1411" t="n">
        <f aca="false">IF(ISNUMBER($AR291),SUMIF(AD$7:AD$503,$AR291,J$7:J$503),"")</f>
        <v>0</v>
      </c>
      <c r="AV291" s="1411" t="n">
        <f aca="false">IF(ISNUMBER($AR291),SUMIF(AF$7:AF$503,$AR291,L$7:L$503),"")</f>
        <v>0</v>
      </c>
      <c r="AW291" s="1423" t="n">
        <f aca="false">IF(ISNUMBER($AR291),SUMIF(AE$7:AE$503,$AR291,K$7:K$503),"")</f>
        <v>0</v>
      </c>
      <c r="AX291" s="1423" t="n">
        <f aca="false">IF(ISNUMBER($AR291),SUMIF(AG$7:AG$503,$AR291,M$7:M$503),"")</f>
        <v>0</v>
      </c>
      <c r="AY291" s="2" t="str">
        <f aca="false">IF($AT291&gt;0,VLOOKUP($AR291,'O_MN, PE_UTA_UGM 2024'!E287:O703,2),"")</f>
        <v/>
      </c>
      <c r="AZ291" s="1424"/>
      <c r="BA291" s="1424"/>
      <c r="BB291" s="1424" t="str">
        <f aca="false">IF($AT291&gt;0,VLOOKUP($AR291,'O_MN, PE_UTA_UGM 2024'!$E$3:$O$419,BB$6),"")</f>
        <v/>
      </c>
      <c r="BC291" s="1424" t="str">
        <f aca="false">IF($AT291&gt;0,VLOOKUP($AR291,'O_MN, PE_UTA_UGM 2024'!$E$3:$O$419,BC$6),"")</f>
        <v/>
      </c>
      <c r="BD291" s="1424" t="str">
        <f aca="false">IF($AT291&gt;0,VLOOKUP($AR291,'O_MN, PE_UTA_UGM 2024'!$E$3:$O$419,BD$6),"")</f>
        <v/>
      </c>
      <c r="BE291" s="1424" t="str">
        <f aca="false">IF($AT291&gt;0,VLOOKUP($AR291,'O_MN, PE_UTA_UGM 2024'!$E$3:$O$419,BE$6),"")</f>
        <v/>
      </c>
      <c r="BF291" s="1424" t="str">
        <f aca="false">IF($AT291&gt;0,VLOOKUP($AR291,'O_MN, PE_UTA_UGM 2024'!$E$3:$O$419,BF$6),"")</f>
        <v/>
      </c>
      <c r="BG291" s="1424" t="str">
        <f aca="false">IF($AT291&gt;0,VLOOKUP($AR291,'O_MN, PE_UTA_UGM 2024'!$E$3:$O$419,BG$6),"")</f>
        <v/>
      </c>
      <c r="BH291" s="872"/>
      <c r="BI291" s="872"/>
      <c r="BJ291" s="872"/>
      <c r="BK291" s="872"/>
      <c r="BM291" s="1411"/>
      <c r="BN291" s="1411"/>
      <c r="BO291" s="1425" t="str">
        <f aca="false">IF(ISNUMBER($AU291*BB291*1),$AU291*BB291*1,"")</f>
        <v/>
      </c>
      <c r="BP291" s="1425" t="str">
        <f aca="false">IF(ISNUMBER($AV291*BC291*1),$AV291*BC291*1,"")</f>
        <v/>
      </c>
      <c r="BQ291" s="1425" t="str">
        <f aca="false">IF(ISNUMBER($AU291*BD291*1),$AU291*BD291*1,"")</f>
        <v/>
      </c>
      <c r="BR291" s="1425" t="str">
        <f aca="false">IF(ISNUMBER($AV291*BE291*1),$AV291*BE291*1,"")</f>
        <v/>
      </c>
      <c r="BS291" s="1411" t="str">
        <f aca="false">IF(ISNUMBER($AU291*BF291),$AU291*BF291,"")</f>
        <v/>
      </c>
      <c r="BT291" s="1411" t="str">
        <f aca="false">IF(ISNUMBER($AV291*BG291),$AV291*BG291,"")</f>
        <v/>
      </c>
      <c r="BU291" s="1411"/>
      <c r="BV291" s="1411"/>
      <c r="BW291" s="1411"/>
      <c r="BX291" s="1411"/>
      <c r="BZ291" s="1372"/>
      <c r="CA291" s="1372"/>
      <c r="CB291" s="1426" t="str">
        <f aca="false">IF(ISNUMBER($AW291*BB291),$AW291*BB291,"")</f>
        <v/>
      </c>
      <c r="CC291" s="1426" t="str">
        <f aca="false">IF(ISNUMBER($AX291*BC291),$AX291*BC291,"")</f>
        <v/>
      </c>
      <c r="CD291" s="1426" t="str">
        <f aca="false">IF(ISNUMBER($AW291*BD291),$AW291*BD291,"")</f>
        <v/>
      </c>
      <c r="CE291" s="1426" t="str">
        <f aca="false">IF(ISNUMBER($AX291*BE291),$AX291*BE291,"")</f>
        <v/>
      </c>
      <c r="CF291" s="1372" t="str">
        <f aca="false">IF(ISNUMBER($AW291*BF291),$AW291*BF291,"")</f>
        <v/>
      </c>
      <c r="CG291" s="1372" t="str">
        <f aca="false">IF(ISNUMBER($AX291*BG291),$AX291*BG291,"")</f>
        <v/>
      </c>
      <c r="CH291" s="1438"/>
      <c r="CI291" s="1438"/>
      <c r="CJ291" s="1438"/>
      <c r="CK291" s="1438"/>
      <c r="CU291" s="1411"/>
      <c r="CV291" s="1411"/>
      <c r="CW291" s="1425"/>
      <c r="CX291" s="1425"/>
      <c r="CY291" s="1425"/>
      <c r="CZ291" s="1425"/>
      <c r="DA291" s="1411"/>
      <c r="DB291" s="1411"/>
      <c r="DC291" s="1411"/>
      <c r="DD291" s="1411"/>
      <c r="DE291" s="1411"/>
      <c r="DF291" s="1411"/>
      <c r="DH291" s="1432"/>
      <c r="DI291" s="1432"/>
      <c r="DJ291" s="1437"/>
      <c r="DK291" s="1437"/>
      <c r="DL291" s="1437"/>
      <c r="DM291" s="1437"/>
      <c r="DN291" s="1432"/>
      <c r="DO291" s="1432"/>
      <c r="DP291" s="1432"/>
      <c r="DQ291" s="1432"/>
      <c r="DR291" s="1432"/>
      <c r="DS291" s="1432"/>
      <c r="DT291" s="1316"/>
      <c r="DU291" s="1433"/>
      <c r="DV291" s="1433"/>
      <c r="DW291" s="1433"/>
      <c r="DX291" s="1433"/>
      <c r="DY291" s="1433"/>
      <c r="DZ291" s="1433"/>
      <c r="EA291" s="1433"/>
      <c r="EB291" s="1433"/>
    </row>
    <row r="292" customFormat="false" ht="14.25" hidden="false" customHeight="false" outlineLevel="0" collapsed="false">
      <c r="A292" s="2" t="n">
        <f aca="false">'V_DATOS PAC_SGA'!R287</f>
        <v>0</v>
      </c>
      <c r="B292" s="2" t="n">
        <f aca="false">IF(I292="IV",CONCATENATE('V_DATOS PAC_SGA'!R287,"4")+0,CONCATENATE('V_DATOS PAC_SGA'!R287,"0")+0)</f>
        <v>0</v>
      </c>
      <c r="C292" s="2" t="n">
        <f aca="false">'V_DATOS PAC_SGA'!S287</f>
        <v>0</v>
      </c>
      <c r="D292" s="1409" t="n">
        <f aca="false">'V_DATOS PAC_SGA'!Y287</f>
        <v>0</v>
      </c>
      <c r="E292" s="1410" t="str">
        <f aca="false">IF('V_DATOS PAC_SGA'!AV287="","Regadio",'V_DATOS PAC_SGA'!AV287)</f>
        <v>Regadio</v>
      </c>
      <c r="F292" s="1411" t="n">
        <f aca="false">'V_DATOS PAC_SGA'!BK287</f>
        <v>0</v>
      </c>
      <c r="G292" s="1412" t="n">
        <f aca="false">'V_DATOS PAC_SGA'!AN287</f>
        <v>0</v>
      </c>
      <c r="H292" s="1413" t="str">
        <f aca="false">IF(B292&gt;0,VLOOKUP(B292,'O_MN, PE_UTA_UGM 2024'!E$3:O$419,10),"")</f>
        <v/>
      </c>
      <c r="I292" s="1359" t="n">
        <f aca="false">'V_DATOS PAC_SGA'!BV287</f>
        <v>0</v>
      </c>
      <c r="J292" s="2" t="str">
        <f aca="false">IF(AND(J$4=$G292,J$6=$F292),$D292*J$5,"")</f>
        <v/>
      </c>
      <c r="K292" s="2" t="str">
        <f aca="false">IF(AND(K$4=$G292,K$6=$F292),$D292*K$5,"")</f>
        <v/>
      </c>
      <c r="L292" s="2" t="str">
        <f aca="false">IF(AND(L$4=$G292,L$6=$F292),$D292*L$5,"")</f>
        <v/>
      </c>
      <c r="M292" s="2" t="str">
        <f aca="false">IF(AND(M$4=$G292,M$6=$F292),$D292*M$5,"")</f>
        <v/>
      </c>
      <c r="N292" s="1414" t="n">
        <f aca="false">VLOOKUP(B292,'O_MN, PE_UTA_UGM 2024'!$E$2:$K$419,IF(G292&gt;1,6,7))</f>
        <v>0</v>
      </c>
      <c r="O292" s="1434" t="str">
        <f aca="false">IF($H292=O$4,$D292*$N292,"")</f>
        <v/>
      </c>
      <c r="P292" s="1435" t="str">
        <f aca="false">IF($H292=P$4,$D292*$N292,"")</f>
        <v/>
      </c>
      <c r="Q292" s="1435" t="str">
        <f aca="false">IF($H292=Q$4,$D292*$N292,"")</f>
        <v/>
      </c>
      <c r="R292" s="1435" t="str">
        <f aca="false">IF($H292=R$4,$D292*$N292,"")</f>
        <v/>
      </c>
      <c r="S292" s="1435" t="str">
        <f aca="false">IF($H292=S$4,$D292*$N292,"")</f>
        <v/>
      </c>
      <c r="T292" s="1435" t="str">
        <f aca="false">IF($H292=T$4,$D292*$N292,"")</f>
        <v/>
      </c>
      <c r="U292" s="1436" t="str">
        <f aca="false">IF($H292=U$4,$D292*$N292,"")</f>
        <v/>
      </c>
      <c r="V292" s="1418"/>
      <c r="W292" s="1419"/>
      <c r="X292" s="1419"/>
      <c r="Y292" s="1419"/>
      <c r="Z292" s="1419"/>
      <c r="AA292" s="1419"/>
      <c r="AB292" s="1420"/>
      <c r="AC292" s="1319"/>
      <c r="AD292" s="2" t="str">
        <f aca="false">IF(AND(AD$4=$G292,AD$6=$F292),$B292,"")</f>
        <v/>
      </c>
      <c r="AE292" s="2" t="str">
        <f aca="false">IF(AND(AE$4=$G292,AE$6=$F292),$B292,"")</f>
        <v/>
      </c>
      <c r="AF292" s="2" t="str">
        <f aca="false">IF(AND(AF$4=$G292,AF$6=$F292),$B292,"")</f>
        <v/>
      </c>
      <c r="AG292" s="2" t="str">
        <f aca="false">IF(AND(AG$4=$G292,AG$6=$F292),$B292,"")</f>
        <v/>
      </c>
      <c r="AI292" s="366"/>
      <c r="AL292" s="367"/>
      <c r="AO292" s="367"/>
      <c r="AP292" s="2" t="str">
        <f aca="false">IF(AT292&gt;0,RANK(AT292,AT$7:AT$423),"")</f>
        <v/>
      </c>
      <c r="AQ292" s="2" t="n">
        <f aca="false">'O_MN, PE_UTA_UGM 2024'!C288</f>
        <v>285</v>
      </c>
      <c r="AR292" s="1421" t="n">
        <v>2800</v>
      </c>
      <c r="AS292" s="2" t="str">
        <f aca="false">IF(AY292&lt;&gt;"",AY292,"")</f>
        <v/>
      </c>
      <c r="AT292" s="1422" t="n">
        <f aca="false">IF(ISNUMBER($AR292),SUMIF(B$7:B$505,AR292,D$7:D$505),"")</f>
        <v>0</v>
      </c>
      <c r="AU292" s="1411" t="n">
        <f aca="false">IF(ISNUMBER($AR292),SUMIF(AD$7:AD$503,$AR292,J$7:J$503),"")</f>
        <v>0</v>
      </c>
      <c r="AV292" s="1411" t="n">
        <f aca="false">IF(ISNUMBER($AR292),SUMIF(AF$7:AF$503,$AR292,L$7:L$503),"")</f>
        <v>0</v>
      </c>
      <c r="AW292" s="1423" t="n">
        <f aca="false">IF(ISNUMBER($AR292),SUMIF(AE$7:AE$503,$AR292,K$7:K$503),"")</f>
        <v>0</v>
      </c>
      <c r="AX292" s="1423" t="n">
        <f aca="false">IF(ISNUMBER($AR292),SUMIF(AG$7:AG$503,$AR292,M$7:M$503),"")</f>
        <v>0</v>
      </c>
      <c r="AY292" s="2" t="str">
        <f aca="false">IF($AT292&gt;0,VLOOKUP($AR292,'O_MN, PE_UTA_UGM 2024'!E288:O704,2),"")</f>
        <v/>
      </c>
      <c r="AZ292" s="1424"/>
      <c r="BA292" s="1424"/>
      <c r="BB292" s="1424" t="str">
        <f aca="false">IF($AT292&gt;0,VLOOKUP($AR292,'O_MN, PE_UTA_UGM 2024'!$E$3:$O$419,BB$6),"")</f>
        <v/>
      </c>
      <c r="BC292" s="1424" t="str">
        <f aca="false">IF($AT292&gt;0,VLOOKUP($AR292,'O_MN, PE_UTA_UGM 2024'!$E$3:$O$419,BC$6),"")</f>
        <v/>
      </c>
      <c r="BD292" s="1424" t="str">
        <f aca="false">IF($AT292&gt;0,VLOOKUP($AR292,'O_MN, PE_UTA_UGM 2024'!$E$3:$O$419,BD$6),"")</f>
        <v/>
      </c>
      <c r="BE292" s="1424" t="str">
        <f aca="false">IF($AT292&gt;0,VLOOKUP($AR292,'O_MN, PE_UTA_UGM 2024'!$E$3:$O$419,BE$6),"")</f>
        <v/>
      </c>
      <c r="BF292" s="1424" t="str">
        <f aca="false">IF($AT292&gt;0,VLOOKUP($AR292,'O_MN, PE_UTA_UGM 2024'!$E$3:$O$419,BF$6),"")</f>
        <v/>
      </c>
      <c r="BG292" s="1424" t="str">
        <f aca="false">IF($AT292&gt;0,VLOOKUP($AR292,'O_MN, PE_UTA_UGM 2024'!$E$3:$O$419,BG$6),"")</f>
        <v/>
      </c>
      <c r="BH292" s="872"/>
      <c r="BI292" s="872"/>
      <c r="BJ292" s="872"/>
      <c r="BK292" s="872"/>
      <c r="BM292" s="1411"/>
      <c r="BN292" s="1411"/>
      <c r="BO292" s="1425" t="str">
        <f aca="false">IF(ISNUMBER($AU292*BB292*1),$AU292*BB292*1,"")</f>
        <v/>
      </c>
      <c r="BP292" s="1425" t="str">
        <f aca="false">IF(ISNUMBER($AV292*BC292*1),$AV292*BC292*1,"")</f>
        <v/>
      </c>
      <c r="BQ292" s="1425" t="str">
        <f aca="false">IF(ISNUMBER($AU292*BD292*1),$AU292*BD292*1,"")</f>
        <v/>
      </c>
      <c r="BR292" s="1425" t="str">
        <f aca="false">IF(ISNUMBER($AV292*BE292*1),$AV292*BE292*1,"")</f>
        <v/>
      </c>
      <c r="BS292" s="1411" t="str">
        <f aca="false">IF(ISNUMBER($AU292*BF292),$AU292*BF292,"")</f>
        <v/>
      </c>
      <c r="BT292" s="1411" t="str">
        <f aca="false">IF(ISNUMBER($AV292*BG292),$AV292*BG292,"")</f>
        <v/>
      </c>
      <c r="BU292" s="1411"/>
      <c r="BV292" s="1411"/>
      <c r="BW292" s="1411"/>
      <c r="BX292" s="1411"/>
      <c r="BZ292" s="1372"/>
      <c r="CA292" s="1372"/>
      <c r="CB292" s="1426" t="str">
        <f aca="false">IF(ISNUMBER($AW292*BB292),$AW292*BB292,"")</f>
        <v/>
      </c>
      <c r="CC292" s="1426" t="str">
        <f aca="false">IF(ISNUMBER($AX292*BC292),$AX292*BC292,"")</f>
        <v/>
      </c>
      <c r="CD292" s="1426" t="str">
        <f aca="false">IF(ISNUMBER($AW292*BD292),$AW292*BD292,"")</f>
        <v/>
      </c>
      <c r="CE292" s="1426" t="str">
        <f aca="false">IF(ISNUMBER($AX292*BE292),$AX292*BE292,"")</f>
        <v/>
      </c>
      <c r="CF292" s="1372" t="str">
        <f aca="false">IF(ISNUMBER($AW292*BF292),$AW292*BF292,"")</f>
        <v/>
      </c>
      <c r="CG292" s="1372" t="str">
        <f aca="false">IF(ISNUMBER($AX292*BG292),$AX292*BG292,"")</f>
        <v/>
      </c>
      <c r="CH292" s="1438"/>
      <c r="CI292" s="1438"/>
      <c r="CJ292" s="1438"/>
      <c r="CK292" s="1438"/>
      <c r="CU292" s="1411"/>
      <c r="CV292" s="1411"/>
      <c r="CW292" s="1425"/>
      <c r="CX292" s="1425"/>
      <c r="CY292" s="1425"/>
      <c r="CZ292" s="1425"/>
      <c r="DA292" s="1411"/>
      <c r="DB292" s="1411"/>
      <c r="DC292" s="1411"/>
      <c r="DD292" s="1411"/>
      <c r="DE292" s="1411"/>
      <c r="DF292" s="1411"/>
      <c r="DH292" s="1432"/>
      <c r="DI292" s="1432"/>
      <c r="DJ292" s="1437"/>
      <c r="DK292" s="1437"/>
      <c r="DL292" s="1437"/>
      <c r="DM292" s="1437"/>
      <c r="DN292" s="1432"/>
      <c r="DO292" s="1432"/>
      <c r="DP292" s="1432"/>
      <c r="DQ292" s="1432"/>
      <c r="DR292" s="1432"/>
      <c r="DS292" s="1432"/>
      <c r="DT292" s="1316"/>
      <c r="DU292" s="1433"/>
      <c r="DV292" s="1433"/>
      <c r="DW292" s="1433"/>
      <c r="DX292" s="1433"/>
      <c r="DY292" s="1433"/>
      <c r="DZ292" s="1433"/>
      <c r="EA292" s="1433"/>
      <c r="EB292" s="1433"/>
    </row>
    <row r="293" customFormat="false" ht="14.25" hidden="false" customHeight="false" outlineLevel="0" collapsed="false">
      <c r="A293" s="2" t="n">
        <f aca="false">'V_DATOS PAC_SGA'!R288</f>
        <v>0</v>
      </c>
      <c r="B293" s="2" t="n">
        <f aca="false">IF(I293="IV",CONCATENATE('V_DATOS PAC_SGA'!R288,"4")+0,CONCATENATE('V_DATOS PAC_SGA'!R288,"0")+0)</f>
        <v>0</v>
      </c>
      <c r="C293" s="2" t="n">
        <f aca="false">'V_DATOS PAC_SGA'!S288</f>
        <v>0</v>
      </c>
      <c r="D293" s="1409" t="n">
        <f aca="false">'V_DATOS PAC_SGA'!Y288</f>
        <v>0</v>
      </c>
      <c r="E293" s="1410" t="str">
        <f aca="false">IF('V_DATOS PAC_SGA'!AV288="","Regadio",'V_DATOS PAC_SGA'!AV288)</f>
        <v>Regadio</v>
      </c>
      <c r="F293" s="1411" t="n">
        <f aca="false">'V_DATOS PAC_SGA'!BK288</f>
        <v>0</v>
      </c>
      <c r="G293" s="1412" t="n">
        <f aca="false">'V_DATOS PAC_SGA'!AN288</f>
        <v>0</v>
      </c>
      <c r="H293" s="1413" t="str">
        <f aca="false">IF(B293&gt;0,VLOOKUP(B293,'O_MN, PE_UTA_UGM 2024'!E$3:O$419,10),"")</f>
        <v/>
      </c>
      <c r="I293" s="1359" t="n">
        <f aca="false">'V_DATOS PAC_SGA'!BV288</f>
        <v>0</v>
      </c>
      <c r="J293" s="2" t="str">
        <f aca="false">IF(AND(J$4=$G293,J$6=$F293),$D293*J$5,"")</f>
        <v/>
      </c>
      <c r="K293" s="2" t="str">
        <f aca="false">IF(AND(K$4=$G293,K$6=$F293),$D293*K$5,"")</f>
        <v/>
      </c>
      <c r="L293" s="2" t="str">
        <f aca="false">IF(AND(L$4=$G293,L$6=$F293),$D293*L$5,"")</f>
        <v/>
      </c>
      <c r="M293" s="2" t="str">
        <f aca="false">IF(AND(M$4=$G293,M$6=$F293),$D293*M$5,"")</f>
        <v/>
      </c>
      <c r="N293" s="1414" t="n">
        <f aca="false">VLOOKUP(B293,'O_MN, PE_UTA_UGM 2024'!$E$2:$K$419,IF(G293&gt;1,6,7))</f>
        <v>0</v>
      </c>
      <c r="O293" s="1434" t="str">
        <f aca="false">IF($H293=O$4,$D293*$N293,"")</f>
        <v/>
      </c>
      <c r="P293" s="1435" t="str">
        <f aca="false">IF($H293=P$4,$D293*$N293,"")</f>
        <v/>
      </c>
      <c r="Q293" s="1435" t="str">
        <f aca="false">IF($H293=Q$4,$D293*$N293,"")</f>
        <v/>
      </c>
      <c r="R293" s="1435" t="str">
        <f aca="false">IF($H293=R$4,$D293*$N293,"")</f>
        <v/>
      </c>
      <c r="S293" s="1435" t="str">
        <f aca="false">IF($H293=S$4,$D293*$N293,"")</f>
        <v/>
      </c>
      <c r="T293" s="1435" t="str">
        <f aca="false">IF($H293=T$4,$D293*$N293,"")</f>
        <v/>
      </c>
      <c r="U293" s="1436" t="str">
        <f aca="false">IF($H293=U$4,$D293*$N293,"")</f>
        <v/>
      </c>
      <c r="V293" s="1418"/>
      <c r="W293" s="1419"/>
      <c r="X293" s="1419"/>
      <c r="Y293" s="1419"/>
      <c r="Z293" s="1419"/>
      <c r="AA293" s="1419"/>
      <c r="AB293" s="1420"/>
      <c r="AC293" s="1319"/>
      <c r="AD293" s="2" t="str">
        <f aca="false">IF(AND(AD$4=$G293,AD$6=$F293),$B293,"")</f>
        <v/>
      </c>
      <c r="AE293" s="2" t="str">
        <f aca="false">IF(AND(AE$4=$G293,AE$6=$F293),$B293,"")</f>
        <v/>
      </c>
      <c r="AF293" s="2" t="str">
        <f aca="false">IF(AND(AF$4=$G293,AF$6=$F293),$B293,"")</f>
        <v/>
      </c>
      <c r="AG293" s="2" t="str">
        <f aca="false">IF(AND(AG$4=$G293,AG$6=$F293),$B293,"")</f>
        <v/>
      </c>
      <c r="AI293" s="366"/>
      <c r="AL293" s="367"/>
      <c r="AO293" s="367"/>
      <c r="AP293" s="2" t="str">
        <f aca="false">IF(AT293&gt;0,RANK(AT293,AT$7:AT$423),"")</f>
        <v/>
      </c>
      <c r="AQ293" s="2" t="n">
        <f aca="false">'O_MN, PE_UTA_UGM 2024'!C289</f>
        <v>286</v>
      </c>
      <c r="AR293" s="1421" t="n">
        <v>2810</v>
      </c>
      <c r="AS293" s="2" t="str">
        <f aca="false">IF(AY293&lt;&gt;"",AY293,"")</f>
        <v/>
      </c>
      <c r="AT293" s="1422" t="n">
        <f aca="false">IF(ISNUMBER($AR293),SUMIF(B$7:B$505,AR293,D$7:D$505),"")</f>
        <v>0</v>
      </c>
      <c r="AU293" s="1411" t="n">
        <f aca="false">IF(ISNUMBER($AR293),SUMIF(AD$7:AD$503,$AR293,J$7:J$503),"")</f>
        <v>0</v>
      </c>
      <c r="AV293" s="1411" t="n">
        <f aca="false">IF(ISNUMBER($AR293),SUMIF(AF$7:AF$503,$AR293,L$7:L$503),"")</f>
        <v>0</v>
      </c>
      <c r="AW293" s="1423" t="n">
        <f aca="false">IF(ISNUMBER($AR293),SUMIF(AE$7:AE$503,$AR293,K$7:K$503),"")</f>
        <v>0</v>
      </c>
      <c r="AX293" s="1423" t="n">
        <f aca="false">IF(ISNUMBER($AR293),SUMIF(AG$7:AG$503,$AR293,M$7:M$503),"")</f>
        <v>0</v>
      </c>
      <c r="AY293" s="2" t="str">
        <f aca="false">IF($AT293&gt;0,VLOOKUP($AR293,'O_MN, PE_UTA_UGM 2024'!E289:O705,2),"")</f>
        <v/>
      </c>
      <c r="AZ293" s="1424"/>
      <c r="BA293" s="1424"/>
      <c r="BB293" s="1424" t="str">
        <f aca="false">IF($AT293&gt;0,VLOOKUP($AR293,'O_MN, PE_UTA_UGM 2024'!$E$3:$O$419,BB$6),"")</f>
        <v/>
      </c>
      <c r="BC293" s="1424" t="str">
        <f aca="false">IF($AT293&gt;0,VLOOKUP($AR293,'O_MN, PE_UTA_UGM 2024'!$E$3:$O$419,BC$6),"")</f>
        <v/>
      </c>
      <c r="BD293" s="1424" t="str">
        <f aca="false">IF($AT293&gt;0,VLOOKUP($AR293,'O_MN, PE_UTA_UGM 2024'!$E$3:$O$419,BD$6),"")</f>
        <v/>
      </c>
      <c r="BE293" s="1424" t="str">
        <f aca="false">IF($AT293&gt;0,VLOOKUP($AR293,'O_MN, PE_UTA_UGM 2024'!$E$3:$O$419,BE$6),"")</f>
        <v/>
      </c>
      <c r="BF293" s="1424" t="str">
        <f aca="false">IF($AT293&gt;0,VLOOKUP($AR293,'O_MN, PE_UTA_UGM 2024'!$E$3:$O$419,BF$6),"")</f>
        <v/>
      </c>
      <c r="BG293" s="1424" t="str">
        <f aca="false">IF($AT293&gt;0,VLOOKUP($AR293,'O_MN, PE_UTA_UGM 2024'!$E$3:$O$419,BG$6),"")</f>
        <v/>
      </c>
      <c r="BH293" s="872"/>
      <c r="BI293" s="872"/>
      <c r="BJ293" s="872"/>
      <c r="BK293" s="872"/>
      <c r="BM293" s="1411"/>
      <c r="BN293" s="1411"/>
      <c r="BO293" s="1425" t="str">
        <f aca="false">IF(ISNUMBER($AU293*BB293*1),$AU293*BB293*1,"")</f>
        <v/>
      </c>
      <c r="BP293" s="1425" t="str">
        <f aca="false">IF(ISNUMBER($AV293*BC293*1),$AV293*BC293*1,"")</f>
        <v/>
      </c>
      <c r="BQ293" s="1425" t="str">
        <f aca="false">IF(ISNUMBER($AU293*BD293*1),$AU293*BD293*1,"")</f>
        <v/>
      </c>
      <c r="BR293" s="1425" t="str">
        <f aca="false">IF(ISNUMBER($AV293*BE293*1),$AV293*BE293*1,"")</f>
        <v/>
      </c>
      <c r="BS293" s="1411" t="str">
        <f aca="false">IF(ISNUMBER($AU293*BF293),$AU293*BF293,"")</f>
        <v/>
      </c>
      <c r="BT293" s="1411" t="str">
        <f aca="false">IF(ISNUMBER($AV293*BG293),$AV293*BG293,"")</f>
        <v/>
      </c>
      <c r="BU293" s="1411"/>
      <c r="BV293" s="1411"/>
      <c r="BW293" s="1411"/>
      <c r="BX293" s="1411"/>
      <c r="BZ293" s="1372"/>
      <c r="CA293" s="1372"/>
      <c r="CB293" s="1426" t="str">
        <f aca="false">IF(ISNUMBER($AW293*BB293),$AW293*BB293,"")</f>
        <v/>
      </c>
      <c r="CC293" s="1426" t="str">
        <f aca="false">IF(ISNUMBER($AX293*BC293),$AX293*BC293,"")</f>
        <v/>
      </c>
      <c r="CD293" s="1426" t="str">
        <f aca="false">IF(ISNUMBER($AW293*BD293),$AW293*BD293,"")</f>
        <v/>
      </c>
      <c r="CE293" s="1426" t="str">
        <f aca="false">IF(ISNUMBER($AX293*BE293),$AX293*BE293,"")</f>
        <v/>
      </c>
      <c r="CF293" s="1372" t="str">
        <f aca="false">IF(ISNUMBER($AW293*BF293),$AW293*BF293,"")</f>
        <v/>
      </c>
      <c r="CG293" s="1372" t="str">
        <f aca="false">IF(ISNUMBER($AX293*BG293),$AX293*BG293,"")</f>
        <v/>
      </c>
      <c r="CH293" s="1438"/>
      <c r="CI293" s="1438"/>
      <c r="CJ293" s="1438"/>
      <c r="CK293" s="1438"/>
      <c r="CU293" s="1411"/>
      <c r="CV293" s="1411"/>
      <c r="CW293" s="1425"/>
      <c r="CX293" s="1425"/>
      <c r="CY293" s="1425"/>
      <c r="CZ293" s="1425"/>
      <c r="DA293" s="1411"/>
      <c r="DB293" s="1411"/>
      <c r="DC293" s="1411"/>
      <c r="DD293" s="1411"/>
      <c r="DE293" s="1411"/>
      <c r="DF293" s="1411"/>
      <c r="DH293" s="1432"/>
      <c r="DI293" s="1432"/>
      <c r="DJ293" s="1437"/>
      <c r="DK293" s="1437"/>
      <c r="DL293" s="1437"/>
      <c r="DM293" s="1437"/>
      <c r="DN293" s="1432"/>
      <c r="DO293" s="1432"/>
      <c r="DP293" s="1432"/>
      <c r="DQ293" s="1432"/>
      <c r="DR293" s="1432"/>
      <c r="DS293" s="1432"/>
      <c r="DT293" s="1316"/>
      <c r="DU293" s="1433"/>
      <c r="DV293" s="1433"/>
      <c r="DW293" s="1433"/>
      <c r="DX293" s="1433"/>
      <c r="DY293" s="1433"/>
      <c r="DZ293" s="1433"/>
      <c r="EA293" s="1433"/>
      <c r="EB293" s="1433"/>
    </row>
    <row r="294" customFormat="false" ht="14.25" hidden="false" customHeight="false" outlineLevel="0" collapsed="false">
      <c r="A294" s="2" t="n">
        <f aca="false">'V_DATOS PAC_SGA'!R289</f>
        <v>0</v>
      </c>
      <c r="B294" s="2" t="n">
        <f aca="false">IF(I294="IV",CONCATENATE('V_DATOS PAC_SGA'!R289,"4")+0,CONCATENATE('V_DATOS PAC_SGA'!R289,"0")+0)</f>
        <v>0</v>
      </c>
      <c r="C294" s="2" t="n">
        <f aca="false">'V_DATOS PAC_SGA'!S289</f>
        <v>0</v>
      </c>
      <c r="D294" s="1409" t="n">
        <f aca="false">'V_DATOS PAC_SGA'!Y289</f>
        <v>0</v>
      </c>
      <c r="E294" s="1410" t="str">
        <f aca="false">IF('V_DATOS PAC_SGA'!AV289="","Regadio",'V_DATOS PAC_SGA'!AV289)</f>
        <v>Regadio</v>
      </c>
      <c r="F294" s="1411" t="n">
        <f aca="false">'V_DATOS PAC_SGA'!BK289</f>
        <v>0</v>
      </c>
      <c r="G294" s="1412" t="n">
        <f aca="false">'V_DATOS PAC_SGA'!AN289</f>
        <v>0</v>
      </c>
      <c r="H294" s="1413" t="str">
        <f aca="false">IF(B294&gt;0,VLOOKUP(B294,'O_MN, PE_UTA_UGM 2024'!E$3:O$419,10),"")</f>
        <v/>
      </c>
      <c r="I294" s="1359" t="n">
        <f aca="false">'V_DATOS PAC_SGA'!BV289</f>
        <v>0</v>
      </c>
      <c r="J294" s="2" t="str">
        <f aca="false">IF(AND(J$4=$G294,J$6=$F294),$D294*J$5,"")</f>
        <v/>
      </c>
      <c r="K294" s="2" t="str">
        <f aca="false">IF(AND(K$4=$G294,K$6=$F294),$D294*K$5,"")</f>
        <v/>
      </c>
      <c r="L294" s="2" t="str">
        <f aca="false">IF(AND(L$4=$G294,L$6=$F294),$D294*L$5,"")</f>
        <v/>
      </c>
      <c r="M294" s="2" t="str">
        <f aca="false">IF(AND(M$4=$G294,M$6=$F294),$D294*M$5,"")</f>
        <v/>
      </c>
      <c r="N294" s="1414" t="n">
        <f aca="false">VLOOKUP(B294,'O_MN, PE_UTA_UGM 2024'!$E$2:$K$419,IF(G294&gt;1,6,7))</f>
        <v>0</v>
      </c>
      <c r="O294" s="1434" t="str">
        <f aca="false">IF($H294=O$4,$D294*$N294,"")</f>
        <v/>
      </c>
      <c r="P294" s="1435" t="str">
        <f aca="false">IF($H294=P$4,$D294*$N294,"")</f>
        <v/>
      </c>
      <c r="Q294" s="1435" t="str">
        <f aca="false">IF($H294=Q$4,$D294*$N294,"")</f>
        <v/>
      </c>
      <c r="R294" s="1435" t="str">
        <f aca="false">IF($H294=R$4,$D294*$N294,"")</f>
        <v/>
      </c>
      <c r="S294" s="1435" t="str">
        <f aca="false">IF($H294=S$4,$D294*$N294,"")</f>
        <v/>
      </c>
      <c r="T294" s="1435" t="str">
        <f aca="false">IF($H294=T$4,$D294*$N294,"")</f>
        <v/>
      </c>
      <c r="U294" s="1436" t="str">
        <f aca="false">IF($H294=U$4,$D294*$N294,"")</f>
        <v/>
      </c>
      <c r="V294" s="1418"/>
      <c r="W294" s="1419"/>
      <c r="X294" s="1419"/>
      <c r="Y294" s="1419"/>
      <c r="Z294" s="1419"/>
      <c r="AA294" s="1419"/>
      <c r="AB294" s="1420"/>
      <c r="AC294" s="1319"/>
      <c r="AD294" s="2" t="str">
        <f aca="false">IF(AND(AD$4=$G294,AD$6=$F294),$B294,"")</f>
        <v/>
      </c>
      <c r="AE294" s="2" t="str">
        <f aca="false">IF(AND(AE$4=$G294,AE$6=$F294),$B294,"")</f>
        <v/>
      </c>
      <c r="AF294" s="2" t="str">
        <f aca="false">IF(AND(AF$4=$G294,AF$6=$F294),$B294,"")</f>
        <v/>
      </c>
      <c r="AG294" s="2" t="str">
        <f aca="false">IF(AND(AG$4=$G294,AG$6=$F294),$B294,"")</f>
        <v/>
      </c>
      <c r="AI294" s="366"/>
      <c r="AL294" s="367"/>
      <c r="AO294" s="367"/>
      <c r="AP294" s="2" t="str">
        <f aca="false">IF(AT294&gt;0,RANK(AT294,AT$7:AT$423),"")</f>
        <v/>
      </c>
      <c r="AQ294" s="2" t="n">
        <f aca="false">'O_MN, PE_UTA_UGM 2024'!C290</f>
        <v>287</v>
      </c>
      <c r="AR294" s="1421" t="n">
        <v>2820</v>
      </c>
      <c r="AS294" s="2" t="str">
        <f aca="false">IF(AY294&lt;&gt;"",AY294,"")</f>
        <v/>
      </c>
      <c r="AT294" s="1422" t="n">
        <f aca="false">IF(ISNUMBER($AR294),SUMIF(B$7:B$505,AR294,D$7:D$505),"")</f>
        <v>0</v>
      </c>
      <c r="AU294" s="1411" t="n">
        <f aca="false">IF(ISNUMBER($AR294),SUMIF(AD$7:AD$503,$AR294,J$7:J$503),"")</f>
        <v>0</v>
      </c>
      <c r="AV294" s="1411" t="n">
        <f aca="false">IF(ISNUMBER($AR294),SUMIF(AF$7:AF$503,$AR294,L$7:L$503),"")</f>
        <v>0</v>
      </c>
      <c r="AW294" s="1423" t="n">
        <f aca="false">IF(ISNUMBER($AR294),SUMIF(AE$7:AE$503,$AR294,K$7:K$503),"")</f>
        <v>0</v>
      </c>
      <c r="AX294" s="1423" t="n">
        <f aca="false">IF(ISNUMBER($AR294),SUMIF(AG$7:AG$503,$AR294,M$7:M$503),"")</f>
        <v>0</v>
      </c>
      <c r="AY294" s="2" t="str">
        <f aca="false">IF($AT294&gt;0,VLOOKUP($AR294,'O_MN, PE_UTA_UGM 2024'!E290:O706,2),"")</f>
        <v/>
      </c>
      <c r="AZ294" s="1424"/>
      <c r="BA294" s="1424"/>
      <c r="BB294" s="1424" t="str">
        <f aca="false">IF($AT294&gt;0,VLOOKUP($AR294,'O_MN, PE_UTA_UGM 2024'!$E$3:$O$419,BB$6),"")</f>
        <v/>
      </c>
      <c r="BC294" s="1424" t="str">
        <f aca="false">IF($AT294&gt;0,VLOOKUP($AR294,'O_MN, PE_UTA_UGM 2024'!$E$3:$O$419,BC$6),"")</f>
        <v/>
      </c>
      <c r="BD294" s="1424" t="str">
        <f aca="false">IF($AT294&gt;0,VLOOKUP($AR294,'O_MN, PE_UTA_UGM 2024'!$E$3:$O$419,BD$6),"")</f>
        <v/>
      </c>
      <c r="BE294" s="1424" t="str">
        <f aca="false">IF($AT294&gt;0,VLOOKUP($AR294,'O_MN, PE_UTA_UGM 2024'!$E$3:$O$419,BE$6),"")</f>
        <v/>
      </c>
      <c r="BF294" s="1424" t="str">
        <f aca="false">IF($AT294&gt;0,VLOOKUP($AR294,'O_MN, PE_UTA_UGM 2024'!$E$3:$O$419,BF$6),"")</f>
        <v/>
      </c>
      <c r="BG294" s="1424" t="str">
        <f aca="false">IF($AT294&gt;0,VLOOKUP($AR294,'O_MN, PE_UTA_UGM 2024'!$E$3:$O$419,BG$6),"")</f>
        <v/>
      </c>
      <c r="BH294" s="872"/>
      <c r="BI294" s="872"/>
      <c r="BJ294" s="872"/>
      <c r="BK294" s="872"/>
      <c r="BM294" s="1411"/>
      <c r="BN294" s="1411"/>
      <c r="BO294" s="1425" t="str">
        <f aca="false">IF(ISNUMBER($AU294*BB294*1),$AU294*BB294*1,"")</f>
        <v/>
      </c>
      <c r="BP294" s="1425" t="str">
        <f aca="false">IF(ISNUMBER($AV294*BC294*1),$AV294*BC294*1,"")</f>
        <v/>
      </c>
      <c r="BQ294" s="1425" t="str">
        <f aca="false">IF(ISNUMBER($AU294*BD294*1),$AU294*BD294*1,"")</f>
        <v/>
      </c>
      <c r="BR294" s="1425" t="str">
        <f aca="false">IF(ISNUMBER($AV294*BE294*1),$AV294*BE294*1,"")</f>
        <v/>
      </c>
      <c r="BS294" s="1411" t="str">
        <f aca="false">IF(ISNUMBER($AU294*BF294),$AU294*BF294,"")</f>
        <v/>
      </c>
      <c r="BT294" s="1411" t="str">
        <f aca="false">IF(ISNUMBER($AV294*BG294),$AV294*BG294,"")</f>
        <v/>
      </c>
      <c r="BU294" s="1411"/>
      <c r="BV294" s="1411"/>
      <c r="BW294" s="1411"/>
      <c r="BX294" s="1411"/>
      <c r="BZ294" s="1372"/>
      <c r="CA294" s="1372"/>
      <c r="CB294" s="1426" t="str">
        <f aca="false">IF(ISNUMBER($AW294*BB294),$AW294*BB294,"")</f>
        <v/>
      </c>
      <c r="CC294" s="1426" t="str">
        <f aca="false">IF(ISNUMBER($AX294*BC294),$AX294*BC294,"")</f>
        <v/>
      </c>
      <c r="CD294" s="1426" t="str">
        <f aca="false">IF(ISNUMBER($AW294*BD294),$AW294*BD294,"")</f>
        <v/>
      </c>
      <c r="CE294" s="1426" t="str">
        <f aca="false">IF(ISNUMBER($AX294*BE294),$AX294*BE294,"")</f>
        <v/>
      </c>
      <c r="CF294" s="1372" t="str">
        <f aca="false">IF(ISNUMBER($AW294*BF294),$AW294*BF294,"")</f>
        <v/>
      </c>
      <c r="CG294" s="1372" t="str">
        <f aca="false">IF(ISNUMBER($AX294*BG294),$AX294*BG294,"")</f>
        <v/>
      </c>
      <c r="CH294" s="1438"/>
      <c r="CI294" s="1438"/>
      <c r="CJ294" s="1438"/>
      <c r="CK294" s="1438"/>
      <c r="CU294" s="1411"/>
      <c r="CV294" s="1411"/>
      <c r="CW294" s="1425"/>
      <c r="CX294" s="1425"/>
      <c r="CY294" s="1425"/>
      <c r="CZ294" s="1425"/>
      <c r="DA294" s="1411"/>
      <c r="DB294" s="1411"/>
      <c r="DC294" s="1411"/>
      <c r="DD294" s="1411"/>
      <c r="DE294" s="1411"/>
      <c r="DF294" s="1411"/>
      <c r="DH294" s="1432"/>
      <c r="DI294" s="1432"/>
      <c r="DJ294" s="1437"/>
      <c r="DK294" s="1437"/>
      <c r="DL294" s="1437"/>
      <c r="DM294" s="1437"/>
      <c r="DN294" s="1432"/>
      <c r="DO294" s="1432"/>
      <c r="DP294" s="1432"/>
      <c r="DQ294" s="1432"/>
      <c r="DR294" s="1432"/>
      <c r="DS294" s="1432"/>
      <c r="DT294" s="1316"/>
      <c r="DU294" s="1433"/>
      <c r="DV294" s="1433"/>
      <c r="DW294" s="1433"/>
      <c r="DX294" s="1433"/>
      <c r="DY294" s="1433"/>
      <c r="DZ294" s="1433"/>
      <c r="EA294" s="1433"/>
      <c r="EB294" s="1433"/>
    </row>
    <row r="295" customFormat="false" ht="14.25" hidden="false" customHeight="false" outlineLevel="0" collapsed="false">
      <c r="A295" s="2" t="n">
        <f aca="false">'V_DATOS PAC_SGA'!R290</f>
        <v>0</v>
      </c>
      <c r="B295" s="2" t="n">
        <f aca="false">IF(I295="IV",CONCATENATE('V_DATOS PAC_SGA'!R290,"4")+0,CONCATENATE('V_DATOS PAC_SGA'!R290,"0")+0)</f>
        <v>0</v>
      </c>
      <c r="C295" s="2" t="n">
        <f aca="false">'V_DATOS PAC_SGA'!S290</f>
        <v>0</v>
      </c>
      <c r="D295" s="1409" t="n">
        <f aca="false">'V_DATOS PAC_SGA'!Y290</f>
        <v>0</v>
      </c>
      <c r="E295" s="1410" t="str">
        <f aca="false">IF('V_DATOS PAC_SGA'!AV290="","Regadio",'V_DATOS PAC_SGA'!AV290)</f>
        <v>Regadio</v>
      </c>
      <c r="F295" s="1411" t="n">
        <f aca="false">'V_DATOS PAC_SGA'!BK290</f>
        <v>0</v>
      </c>
      <c r="G295" s="1412" t="n">
        <f aca="false">'V_DATOS PAC_SGA'!AN290</f>
        <v>0</v>
      </c>
      <c r="H295" s="1413" t="str">
        <f aca="false">IF(B295&gt;0,VLOOKUP(B295,'O_MN, PE_UTA_UGM 2024'!E$3:O$419,10),"")</f>
        <v/>
      </c>
      <c r="I295" s="1359" t="n">
        <f aca="false">'V_DATOS PAC_SGA'!BV290</f>
        <v>0</v>
      </c>
      <c r="J295" s="2" t="str">
        <f aca="false">IF(AND(J$4=$G295,J$6=$F295),$D295*J$5,"")</f>
        <v/>
      </c>
      <c r="K295" s="2" t="str">
        <f aca="false">IF(AND(K$4=$G295,K$6=$F295),$D295*K$5,"")</f>
        <v/>
      </c>
      <c r="L295" s="2" t="str">
        <f aca="false">IF(AND(L$4=$G295,L$6=$F295),$D295*L$5,"")</f>
        <v/>
      </c>
      <c r="M295" s="2" t="str">
        <f aca="false">IF(AND(M$4=$G295,M$6=$F295),$D295*M$5,"")</f>
        <v/>
      </c>
      <c r="N295" s="1414" t="n">
        <f aca="false">VLOOKUP(B295,'O_MN, PE_UTA_UGM 2024'!$E$2:$K$419,IF(G295&gt;1,6,7))</f>
        <v>0</v>
      </c>
      <c r="O295" s="1434" t="str">
        <f aca="false">IF($H295=O$4,$D295*$N295,"")</f>
        <v/>
      </c>
      <c r="P295" s="1435" t="str">
        <f aca="false">IF($H295=P$4,$D295*$N295,"")</f>
        <v/>
      </c>
      <c r="Q295" s="1435" t="str">
        <f aca="false">IF($H295=Q$4,$D295*$N295,"")</f>
        <v/>
      </c>
      <c r="R295" s="1435" t="str">
        <f aca="false">IF($H295=R$4,$D295*$N295,"")</f>
        <v/>
      </c>
      <c r="S295" s="1435" t="str">
        <f aca="false">IF($H295=S$4,$D295*$N295,"")</f>
        <v/>
      </c>
      <c r="T295" s="1435" t="str">
        <f aca="false">IF($H295=T$4,$D295*$N295,"")</f>
        <v/>
      </c>
      <c r="U295" s="1436" t="str">
        <f aca="false">IF($H295=U$4,$D295*$N295,"")</f>
        <v/>
      </c>
      <c r="V295" s="1418"/>
      <c r="W295" s="1419"/>
      <c r="X295" s="1419"/>
      <c r="Y295" s="1419"/>
      <c r="Z295" s="1419"/>
      <c r="AA295" s="1419"/>
      <c r="AB295" s="1420"/>
      <c r="AC295" s="1319"/>
      <c r="AD295" s="2" t="str">
        <f aca="false">IF(AND(AD$4=$G295,AD$6=$F295),$B295,"")</f>
        <v/>
      </c>
      <c r="AE295" s="2" t="str">
        <f aca="false">IF(AND(AE$4=$G295,AE$6=$F295),$B295,"")</f>
        <v/>
      </c>
      <c r="AF295" s="2" t="str">
        <f aca="false">IF(AND(AF$4=$G295,AF$6=$F295),$B295,"")</f>
        <v/>
      </c>
      <c r="AG295" s="2" t="str">
        <f aca="false">IF(AND(AG$4=$G295,AG$6=$F295),$B295,"")</f>
        <v/>
      </c>
      <c r="AI295" s="366"/>
      <c r="AL295" s="367"/>
      <c r="AO295" s="367"/>
      <c r="AP295" s="2" t="str">
        <f aca="false">IF(AT295&gt;0,RANK(AT295,AT$7:AT$423),"")</f>
        <v/>
      </c>
      <c r="AQ295" s="2" t="n">
        <f aca="false">'O_MN, PE_UTA_UGM 2024'!C291</f>
        <v>288</v>
      </c>
      <c r="AR295" s="1421" t="n">
        <v>2830</v>
      </c>
      <c r="AS295" s="2" t="str">
        <f aca="false">IF(AY295&lt;&gt;"",AY295,"")</f>
        <v/>
      </c>
      <c r="AT295" s="1422" t="n">
        <f aca="false">IF(ISNUMBER($AR295),SUMIF(B$7:B$505,AR295,D$7:D$505),"")</f>
        <v>0</v>
      </c>
      <c r="AU295" s="1411" t="n">
        <f aca="false">IF(ISNUMBER($AR295),SUMIF(AD$7:AD$503,$AR295,J$7:J$503),"")</f>
        <v>0</v>
      </c>
      <c r="AV295" s="1411" t="n">
        <f aca="false">IF(ISNUMBER($AR295),SUMIF(AF$7:AF$503,$AR295,L$7:L$503),"")</f>
        <v>0</v>
      </c>
      <c r="AW295" s="1423" t="n">
        <f aca="false">IF(ISNUMBER($AR295),SUMIF(AE$7:AE$503,$AR295,K$7:K$503),"")</f>
        <v>0</v>
      </c>
      <c r="AX295" s="1423" t="n">
        <f aca="false">IF(ISNUMBER($AR295),SUMIF(AG$7:AG$503,$AR295,M$7:M$503),"")</f>
        <v>0</v>
      </c>
      <c r="AY295" s="2" t="str">
        <f aca="false">IF($AT295&gt;0,VLOOKUP($AR295,'O_MN, PE_UTA_UGM 2024'!E291:O707,2),"")</f>
        <v/>
      </c>
      <c r="AZ295" s="1424"/>
      <c r="BA295" s="1424"/>
      <c r="BB295" s="1424" t="str">
        <f aca="false">IF($AT295&gt;0,VLOOKUP($AR295,'O_MN, PE_UTA_UGM 2024'!$E$3:$O$419,BB$6),"")</f>
        <v/>
      </c>
      <c r="BC295" s="1424" t="str">
        <f aca="false">IF($AT295&gt;0,VLOOKUP($AR295,'O_MN, PE_UTA_UGM 2024'!$E$3:$O$419,BC$6),"")</f>
        <v/>
      </c>
      <c r="BD295" s="1424" t="str">
        <f aca="false">IF($AT295&gt;0,VLOOKUP($AR295,'O_MN, PE_UTA_UGM 2024'!$E$3:$O$419,BD$6),"")</f>
        <v/>
      </c>
      <c r="BE295" s="1424" t="str">
        <f aca="false">IF($AT295&gt;0,VLOOKUP($AR295,'O_MN, PE_UTA_UGM 2024'!$E$3:$O$419,BE$6),"")</f>
        <v/>
      </c>
      <c r="BF295" s="1424" t="str">
        <f aca="false">IF($AT295&gt;0,VLOOKUP($AR295,'O_MN, PE_UTA_UGM 2024'!$E$3:$O$419,BF$6),"")</f>
        <v/>
      </c>
      <c r="BG295" s="1424" t="str">
        <f aca="false">IF($AT295&gt;0,VLOOKUP($AR295,'O_MN, PE_UTA_UGM 2024'!$E$3:$O$419,BG$6),"")</f>
        <v/>
      </c>
      <c r="BH295" s="872"/>
      <c r="BI295" s="872"/>
      <c r="BJ295" s="872"/>
      <c r="BK295" s="872"/>
      <c r="BM295" s="1411"/>
      <c r="BN295" s="1411"/>
      <c r="BO295" s="1425" t="str">
        <f aca="false">IF(ISNUMBER($AU295*BB295*1),$AU295*BB295*1,"")</f>
        <v/>
      </c>
      <c r="BP295" s="1425" t="str">
        <f aca="false">IF(ISNUMBER($AV295*BC295*1),$AV295*BC295*1,"")</f>
        <v/>
      </c>
      <c r="BQ295" s="1425" t="str">
        <f aca="false">IF(ISNUMBER($AU295*BD295*1),$AU295*BD295*1,"")</f>
        <v/>
      </c>
      <c r="BR295" s="1425" t="str">
        <f aca="false">IF(ISNUMBER($AV295*BE295*1),$AV295*BE295*1,"")</f>
        <v/>
      </c>
      <c r="BS295" s="1411" t="str">
        <f aca="false">IF(ISNUMBER($AU295*BF295),$AU295*BF295,"")</f>
        <v/>
      </c>
      <c r="BT295" s="1411" t="str">
        <f aca="false">IF(ISNUMBER($AV295*BG295),$AV295*BG295,"")</f>
        <v/>
      </c>
      <c r="BU295" s="1411"/>
      <c r="BV295" s="1411"/>
      <c r="BW295" s="1411"/>
      <c r="BX295" s="1411"/>
      <c r="BZ295" s="1372"/>
      <c r="CA295" s="1372"/>
      <c r="CB295" s="1426" t="str">
        <f aca="false">IF(ISNUMBER($AW295*BB295),$AW295*BB295,"")</f>
        <v/>
      </c>
      <c r="CC295" s="1426" t="str">
        <f aca="false">IF(ISNUMBER($AX295*BC295),$AX295*BC295,"")</f>
        <v/>
      </c>
      <c r="CD295" s="1426" t="str">
        <f aca="false">IF(ISNUMBER($AW295*BD295),$AW295*BD295,"")</f>
        <v/>
      </c>
      <c r="CE295" s="1426" t="str">
        <f aca="false">IF(ISNUMBER($AX295*BE295),$AX295*BE295,"")</f>
        <v/>
      </c>
      <c r="CF295" s="1372" t="str">
        <f aca="false">IF(ISNUMBER($AW295*BF295),$AW295*BF295,"")</f>
        <v/>
      </c>
      <c r="CG295" s="1372" t="str">
        <f aca="false">IF(ISNUMBER($AX295*BG295),$AX295*BG295,"")</f>
        <v/>
      </c>
      <c r="CH295" s="1438"/>
      <c r="CI295" s="1438"/>
      <c r="CJ295" s="1438"/>
      <c r="CK295" s="1438"/>
      <c r="CU295" s="1411"/>
      <c r="CV295" s="1411"/>
      <c r="CW295" s="1425"/>
      <c r="CX295" s="1425"/>
      <c r="CY295" s="1425"/>
      <c r="CZ295" s="1425"/>
      <c r="DA295" s="1411"/>
      <c r="DB295" s="1411"/>
      <c r="DC295" s="1411"/>
      <c r="DD295" s="1411"/>
      <c r="DE295" s="1411"/>
      <c r="DF295" s="1411"/>
      <c r="DH295" s="1432"/>
      <c r="DI295" s="1432"/>
      <c r="DJ295" s="1437"/>
      <c r="DK295" s="1437"/>
      <c r="DL295" s="1437"/>
      <c r="DM295" s="1437"/>
      <c r="DN295" s="1432"/>
      <c r="DO295" s="1432"/>
      <c r="DP295" s="1432"/>
      <c r="DQ295" s="1432"/>
      <c r="DR295" s="1432"/>
      <c r="DS295" s="1432"/>
      <c r="DT295" s="1316"/>
      <c r="DU295" s="1433"/>
      <c r="DV295" s="1433"/>
      <c r="DW295" s="1433"/>
      <c r="DX295" s="1433"/>
      <c r="DY295" s="1433"/>
      <c r="DZ295" s="1433"/>
      <c r="EA295" s="1433"/>
      <c r="EB295" s="1433"/>
    </row>
    <row r="296" customFormat="false" ht="14.25" hidden="false" customHeight="false" outlineLevel="0" collapsed="false">
      <c r="A296" s="2" t="n">
        <f aca="false">'V_DATOS PAC_SGA'!R291</f>
        <v>0</v>
      </c>
      <c r="B296" s="2" t="n">
        <f aca="false">IF(I296="IV",CONCATENATE('V_DATOS PAC_SGA'!R291,"4")+0,CONCATENATE('V_DATOS PAC_SGA'!R291,"0")+0)</f>
        <v>0</v>
      </c>
      <c r="C296" s="2" t="n">
        <f aca="false">'V_DATOS PAC_SGA'!S291</f>
        <v>0</v>
      </c>
      <c r="D296" s="1409" t="n">
        <f aca="false">'V_DATOS PAC_SGA'!Y291</f>
        <v>0</v>
      </c>
      <c r="E296" s="1410" t="str">
        <f aca="false">IF('V_DATOS PAC_SGA'!AV291="","Regadio",'V_DATOS PAC_SGA'!AV291)</f>
        <v>Regadio</v>
      </c>
      <c r="F296" s="1411" t="n">
        <f aca="false">'V_DATOS PAC_SGA'!BK291</f>
        <v>0</v>
      </c>
      <c r="G296" s="1412" t="n">
        <f aca="false">'V_DATOS PAC_SGA'!AN291</f>
        <v>0</v>
      </c>
      <c r="H296" s="1413" t="str">
        <f aca="false">IF(B296&gt;0,VLOOKUP(B296,'O_MN, PE_UTA_UGM 2024'!E$3:O$419,10),"")</f>
        <v/>
      </c>
      <c r="I296" s="1359" t="n">
        <f aca="false">'V_DATOS PAC_SGA'!BV291</f>
        <v>0</v>
      </c>
      <c r="J296" s="2" t="str">
        <f aca="false">IF(AND(J$4=$G296,J$6=$F296),$D296*J$5,"")</f>
        <v/>
      </c>
      <c r="K296" s="2" t="str">
        <f aca="false">IF(AND(K$4=$G296,K$6=$F296),$D296*K$5,"")</f>
        <v/>
      </c>
      <c r="L296" s="2" t="str">
        <f aca="false">IF(AND(L$4=$G296,L$6=$F296),$D296*L$5,"")</f>
        <v/>
      </c>
      <c r="M296" s="2" t="str">
        <f aca="false">IF(AND(M$4=$G296,M$6=$F296),$D296*M$5,"")</f>
        <v/>
      </c>
      <c r="N296" s="1414" t="n">
        <f aca="false">VLOOKUP(B296,'O_MN, PE_UTA_UGM 2024'!$E$2:$K$419,IF(G296&gt;1,6,7))</f>
        <v>0</v>
      </c>
      <c r="O296" s="1434" t="str">
        <f aca="false">IF($H296=O$4,$D296*$N296,"")</f>
        <v/>
      </c>
      <c r="P296" s="1435" t="str">
        <f aca="false">IF($H296=P$4,$D296*$N296,"")</f>
        <v/>
      </c>
      <c r="Q296" s="1435" t="str">
        <f aca="false">IF($H296=Q$4,$D296*$N296,"")</f>
        <v/>
      </c>
      <c r="R296" s="1435" t="str">
        <f aca="false">IF($H296=R$4,$D296*$N296,"")</f>
        <v/>
      </c>
      <c r="S296" s="1435" t="str">
        <f aca="false">IF($H296=S$4,$D296*$N296,"")</f>
        <v/>
      </c>
      <c r="T296" s="1435" t="str">
        <f aca="false">IF($H296=T$4,$D296*$N296,"")</f>
        <v/>
      </c>
      <c r="U296" s="1436" t="str">
        <f aca="false">IF($H296=U$4,$D296*$N296,"")</f>
        <v/>
      </c>
      <c r="V296" s="1418"/>
      <c r="W296" s="1419"/>
      <c r="X296" s="1419"/>
      <c r="Y296" s="1419"/>
      <c r="Z296" s="1419"/>
      <c r="AA296" s="1419"/>
      <c r="AB296" s="1420"/>
      <c r="AC296" s="1319"/>
      <c r="AD296" s="2" t="str">
        <f aca="false">IF(AND(AD$4=$G296,AD$6=$F296),$B296,"")</f>
        <v/>
      </c>
      <c r="AE296" s="2" t="str">
        <f aca="false">IF(AND(AE$4=$G296,AE$6=$F296),$B296,"")</f>
        <v/>
      </c>
      <c r="AF296" s="2" t="str">
        <f aca="false">IF(AND(AF$4=$G296,AF$6=$F296),$B296,"")</f>
        <v/>
      </c>
      <c r="AG296" s="2" t="str">
        <f aca="false">IF(AND(AG$4=$G296,AG$6=$F296),$B296,"")</f>
        <v/>
      </c>
      <c r="AI296" s="366"/>
      <c r="AL296" s="367"/>
      <c r="AO296" s="367"/>
      <c r="AP296" s="2" t="str">
        <f aca="false">IF(AT296&gt;0,RANK(AT296,AT$7:AT$423),"")</f>
        <v/>
      </c>
      <c r="AQ296" s="2" t="n">
        <f aca="false">'O_MN, PE_UTA_UGM 2024'!C292</f>
        <v>289</v>
      </c>
      <c r="AR296" s="1421" t="n">
        <v>2840</v>
      </c>
      <c r="AS296" s="2" t="str">
        <f aca="false">IF(AY296&lt;&gt;"",AY296,"")</f>
        <v/>
      </c>
      <c r="AT296" s="1422" t="n">
        <f aca="false">IF(ISNUMBER($AR296),SUMIF(B$7:B$505,AR296,D$7:D$505),"")</f>
        <v>0</v>
      </c>
      <c r="AU296" s="1411" t="n">
        <f aca="false">IF(ISNUMBER($AR296),SUMIF(AD$7:AD$503,$AR296,J$7:J$503),"")</f>
        <v>0</v>
      </c>
      <c r="AV296" s="1411" t="n">
        <f aca="false">IF(ISNUMBER($AR296),SUMIF(AF$7:AF$503,$AR296,L$7:L$503),"")</f>
        <v>0</v>
      </c>
      <c r="AW296" s="1423" t="n">
        <f aca="false">IF(ISNUMBER($AR296),SUMIF(AE$7:AE$503,$AR296,K$7:K$503),"")</f>
        <v>0</v>
      </c>
      <c r="AX296" s="1423" t="n">
        <f aca="false">IF(ISNUMBER($AR296),SUMIF(AG$7:AG$503,$AR296,M$7:M$503),"")</f>
        <v>0</v>
      </c>
      <c r="AY296" s="2" t="str">
        <f aca="false">IF($AT296&gt;0,VLOOKUP($AR296,'O_MN, PE_UTA_UGM 2024'!E292:O708,2),"")</f>
        <v/>
      </c>
      <c r="AZ296" s="1424"/>
      <c r="BA296" s="1424"/>
      <c r="BB296" s="1424" t="str">
        <f aca="false">IF($AT296&gt;0,VLOOKUP($AR296,'O_MN, PE_UTA_UGM 2024'!$E$3:$O$419,BB$6),"")</f>
        <v/>
      </c>
      <c r="BC296" s="1424" t="str">
        <f aca="false">IF($AT296&gt;0,VLOOKUP($AR296,'O_MN, PE_UTA_UGM 2024'!$E$3:$O$419,BC$6),"")</f>
        <v/>
      </c>
      <c r="BD296" s="1424" t="str">
        <f aca="false">IF($AT296&gt;0,VLOOKUP($AR296,'O_MN, PE_UTA_UGM 2024'!$E$3:$O$419,BD$6),"")</f>
        <v/>
      </c>
      <c r="BE296" s="1424" t="str">
        <f aca="false">IF($AT296&gt;0,VLOOKUP($AR296,'O_MN, PE_UTA_UGM 2024'!$E$3:$O$419,BE$6),"")</f>
        <v/>
      </c>
      <c r="BF296" s="1424" t="str">
        <f aca="false">IF($AT296&gt;0,VLOOKUP($AR296,'O_MN, PE_UTA_UGM 2024'!$E$3:$O$419,BF$6),"")</f>
        <v/>
      </c>
      <c r="BG296" s="1424" t="str">
        <f aca="false">IF($AT296&gt;0,VLOOKUP($AR296,'O_MN, PE_UTA_UGM 2024'!$E$3:$O$419,BG$6),"")</f>
        <v/>
      </c>
      <c r="BH296" s="872"/>
      <c r="BI296" s="872"/>
      <c r="BJ296" s="872"/>
      <c r="BK296" s="872"/>
      <c r="BM296" s="1411"/>
      <c r="BN296" s="1411"/>
      <c r="BO296" s="1425" t="str">
        <f aca="false">IF(ISNUMBER($AU296*BB296*1),$AU296*BB296*1,"")</f>
        <v/>
      </c>
      <c r="BP296" s="1425" t="str">
        <f aca="false">IF(ISNUMBER($AV296*BC296*1),$AV296*BC296*1,"")</f>
        <v/>
      </c>
      <c r="BQ296" s="1425" t="str">
        <f aca="false">IF(ISNUMBER($AU296*BD296*1),$AU296*BD296*1,"")</f>
        <v/>
      </c>
      <c r="BR296" s="1425" t="str">
        <f aca="false">IF(ISNUMBER($AV296*BE296*1),$AV296*BE296*1,"")</f>
        <v/>
      </c>
      <c r="BS296" s="1411" t="str">
        <f aca="false">IF(ISNUMBER($AU296*BF296),$AU296*BF296,"")</f>
        <v/>
      </c>
      <c r="BT296" s="1411" t="str">
        <f aca="false">IF(ISNUMBER($AV296*BG296),$AV296*BG296,"")</f>
        <v/>
      </c>
      <c r="BU296" s="1411"/>
      <c r="BV296" s="1411"/>
      <c r="BW296" s="1411"/>
      <c r="BX296" s="1411"/>
      <c r="BZ296" s="1372"/>
      <c r="CA296" s="1372"/>
      <c r="CB296" s="1426" t="str">
        <f aca="false">IF(ISNUMBER($AW296*BB296),$AW296*BB296,"")</f>
        <v/>
      </c>
      <c r="CC296" s="1426" t="str">
        <f aca="false">IF(ISNUMBER($AX296*BC296),$AX296*BC296,"")</f>
        <v/>
      </c>
      <c r="CD296" s="1426" t="str">
        <f aca="false">IF(ISNUMBER($AW296*BD296),$AW296*BD296,"")</f>
        <v/>
      </c>
      <c r="CE296" s="1426" t="str">
        <f aca="false">IF(ISNUMBER($AX296*BE296),$AX296*BE296,"")</f>
        <v/>
      </c>
      <c r="CF296" s="1372" t="str">
        <f aca="false">IF(ISNUMBER($AW296*BF296),$AW296*BF296,"")</f>
        <v/>
      </c>
      <c r="CG296" s="1372" t="str">
        <f aca="false">IF(ISNUMBER($AX296*BG296),$AX296*BG296,"")</f>
        <v/>
      </c>
      <c r="CH296" s="1438"/>
      <c r="CI296" s="1438"/>
      <c r="CJ296" s="1438"/>
      <c r="CK296" s="1438"/>
      <c r="CU296" s="1411"/>
      <c r="CV296" s="1411"/>
      <c r="CW296" s="1425"/>
      <c r="CX296" s="1425"/>
      <c r="CY296" s="1425"/>
      <c r="CZ296" s="1425"/>
      <c r="DA296" s="1411"/>
      <c r="DB296" s="1411"/>
      <c r="DC296" s="1411"/>
      <c r="DD296" s="1411"/>
      <c r="DE296" s="1411"/>
      <c r="DF296" s="1411"/>
      <c r="DH296" s="1432"/>
      <c r="DI296" s="1432"/>
      <c r="DJ296" s="1437"/>
      <c r="DK296" s="1437"/>
      <c r="DL296" s="1437"/>
      <c r="DM296" s="1437"/>
      <c r="DN296" s="1432"/>
      <c r="DO296" s="1432"/>
      <c r="DP296" s="1432"/>
      <c r="DQ296" s="1432"/>
      <c r="DR296" s="1432"/>
      <c r="DS296" s="1432"/>
      <c r="DT296" s="1316"/>
      <c r="DU296" s="1433"/>
      <c r="DV296" s="1433"/>
      <c r="DW296" s="1433"/>
      <c r="DX296" s="1433"/>
      <c r="DY296" s="1433"/>
      <c r="DZ296" s="1433"/>
      <c r="EA296" s="1433"/>
      <c r="EB296" s="1433"/>
    </row>
    <row r="297" customFormat="false" ht="14.25" hidden="false" customHeight="false" outlineLevel="0" collapsed="false">
      <c r="A297" s="2" t="n">
        <f aca="false">'V_DATOS PAC_SGA'!R292</f>
        <v>0</v>
      </c>
      <c r="B297" s="2" t="n">
        <f aca="false">IF(I297="IV",CONCATENATE('V_DATOS PAC_SGA'!R292,"4")+0,CONCATENATE('V_DATOS PAC_SGA'!R292,"0")+0)</f>
        <v>0</v>
      </c>
      <c r="C297" s="2" t="n">
        <f aca="false">'V_DATOS PAC_SGA'!S292</f>
        <v>0</v>
      </c>
      <c r="D297" s="1409" t="n">
        <f aca="false">'V_DATOS PAC_SGA'!Y292</f>
        <v>0</v>
      </c>
      <c r="E297" s="1410" t="str">
        <f aca="false">IF('V_DATOS PAC_SGA'!AV292="","Regadio",'V_DATOS PAC_SGA'!AV292)</f>
        <v>Regadio</v>
      </c>
      <c r="F297" s="1411" t="n">
        <f aca="false">'V_DATOS PAC_SGA'!BK292</f>
        <v>0</v>
      </c>
      <c r="G297" s="1412" t="n">
        <f aca="false">'V_DATOS PAC_SGA'!AN292</f>
        <v>0</v>
      </c>
      <c r="H297" s="1413" t="str">
        <f aca="false">IF(B297&gt;0,VLOOKUP(B297,'O_MN, PE_UTA_UGM 2024'!E$3:O$419,10),"")</f>
        <v/>
      </c>
      <c r="I297" s="1359" t="n">
        <f aca="false">'V_DATOS PAC_SGA'!BV292</f>
        <v>0</v>
      </c>
      <c r="J297" s="2" t="str">
        <f aca="false">IF(AND(J$4=$G297,J$6=$F297),$D297*J$5,"")</f>
        <v/>
      </c>
      <c r="K297" s="2" t="str">
        <f aca="false">IF(AND(K$4=$G297,K$6=$F297),$D297*K$5,"")</f>
        <v/>
      </c>
      <c r="L297" s="2" t="str">
        <f aca="false">IF(AND(L$4=$G297,L$6=$F297),$D297*L$5,"")</f>
        <v/>
      </c>
      <c r="M297" s="2" t="str">
        <f aca="false">IF(AND(M$4=$G297,M$6=$F297),$D297*M$5,"")</f>
        <v/>
      </c>
      <c r="N297" s="1414" t="n">
        <f aca="false">VLOOKUP(B297,'O_MN, PE_UTA_UGM 2024'!$E$2:$K$419,IF(G297&gt;1,6,7))</f>
        <v>0</v>
      </c>
      <c r="O297" s="1434" t="str">
        <f aca="false">IF($H297=O$4,$D297*$N297,"")</f>
        <v/>
      </c>
      <c r="P297" s="1435" t="str">
        <f aca="false">IF($H297=P$4,$D297*$N297,"")</f>
        <v/>
      </c>
      <c r="Q297" s="1435" t="str">
        <f aca="false">IF($H297=Q$4,$D297*$N297,"")</f>
        <v/>
      </c>
      <c r="R297" s="1435" t="str">
        <f aca="false">IF($H297=R$4,$D297*$N297,"")</f>
        <v/>
      </c>
      <c r="S297" s="1435" t="str">
        <f aca="false">IF($H297=S$4,$D297*$N297,"")</f>
        <v/>
      </c>
      <c r="T297" s="1435" t="str">
        <f aca="false">IF($H297=T$4,$D297*$N297,"")</f>
        <v/>
      </c>
      <c r="U297" s="1436" t="str">
        <f aca="false">IF($H297=U$4,$D297*$N297,"")</f>
        <v/>
      </c>
      <c r="V297" s="1418"/>
      <c r="W297" s="1419"/>
      <c r="X297" s="1419"/>
      <c r="Y297" s="1419"/>
      <c r="Z297" s="1419"/>
      <c r="AA297" s="1419"/>
      <c r="AB297" s="1420"/>
      <c r="AC297" s="1319"/>
      <c r="AD297" s="2" t="str">
        <f aca="false">IF(AND(AD$4=$G297,AD$6=$F297),$B297,"")</f>
        <v/>
      </c>
      <c r="AE297" s="2" t="str">
        <f aca="false">IF(AND(AE$4=$G297,AE$6=$F297),$B297,"")</f>
        <v/>
      </c>
      <c r="AF297" s="2" t="str">
        <f aca="false">IF(AND(AF$4=$G297,AF$6=$F297),$B297,"")</f>
        <v/>
      </c>
      <c r="AG297" s="2" t="str">
        <f aca="false">IF(AND(AG$4=$G297,AG$6=$F297),$B297,"")</f>
        <v/>
      </c>
      <c r="AI297" s="366"/>
      <c r="AL297" s="367"/>
      <c r="AO297" s="367"/>
      <c r="AP297" s="2" t="str">
        <f aca="false">IF(AT297&gt;0,RANK(AT297,AT$7:AT$423),"")</f>
        <v/>
      </c>
      <c r="AQ297" s="2" t="n">
        <f aca="false">'O_MN, PE_UTA_UGM 2024'!C293</f>
        <v>298</v>
      </c>
      <c r="AR297" s="1421" t="n">
        <v>2850</v>
      </c>
      <c r="AS297" s="2" t="str">
        <f aca="false">IF(AY297&lt;&gt;"",AY297,"")</f>
        <v/>
      </c>
      <c r="AT297" s="1422" t="n">
        <f aca="false">IF(ISNUMBER($AR297),SUMIF(B$7:B$505,AR297,D$7:D$505),"")</f>
        <v>0</v>
      </c>
      <c r="AU297" s="1411" t="n">
        <f aca="false">IF(ISNUMBER($AR297),SUMIF(AD$7:AD$503,$AR297,J$7:J$503),"")</f>
        <v>0</v>
      </c>
      <c r="AV297" s="1411" t="n">
        <f aca="false">IF(ISNUMBER($AR297),SUMIF(AF$7:AF$503,$AR297,L$7:L$503),"")</f>
        <v>0</v>
      </c>
      <c r="AW297" s="1423" t="n">
        <f aca="false">IF(ISNUMBER($AR297),SUMIF(AE$7:AE$503,$AR297,K$7:K$503),"")</f>
        <v>0</v>
      </c>
      <c r="AX297" s="1423" t="n">
        <f aca="false">IF(ISNUMBER($AR297),SUMIF(AG$7:AG$503,$AR297,M$7:M$503),"")</f>
        <v>0</v>
      </c>
      <c r="AY297" s="2" t="str">
        <f aca="false">IF($AT297&gt;0,VLOOKUP($AR297,'O_MN, PE_UTA_UGM 2024'!E293:O709,2),"")</f>
        <v/>
      </c>
      <c r="AZ297" s="1424"/>
      <c r="BA297" s="1424"/>
      <c r="BB297" s="1424" t="str">
        <f aca="false">IF($AT297&gt;0,VLOOKUP($AR297,'O_MN, PE_UTA_UGM 2024'!$E$3:$O$419,BB$6),"")</f>
        <v/>
      </c>
      <c r="BC297" s="1424" t="str">
        <f aca="false">IF($AT297&gt;0,VLOOKUP($AR297,'O_MN, PE_UTA_UGM 2024'!$E$3:$O$419,BC$6),"")</f>
        <v/>
      </c>
      <c r="BD297" s="1424" t="str">
        <f aca="false">IF($AT297&gt;0,VLOOKUP($AR297,'O_MN, PE_UTA_UGM 2024'!$E$3:$O$419,BD$6),"")</f>
        <v/>
      </c>
      <c r="BE297" s="1424" t="str">
        <f aca="false">IF($AT297&gt;0,VLOOKUP($AR297,'O_MN, PE_UTA_UGM 2024'!$E$3:$O$419,BE$6),"")</f>
        <v/>
      </c>
      <c r="BF297" s="1424" t="str">
        <f aca="false">IF($AT297&gt;0,VLOOKUP($AR297,'O_MN, PE_UTA_UGM 2024'!$E$3:$O$419,BF$6),"")</f>
        <v/>
      </c>
      <c r="BG297" s="1424" t="str">
        <f aca="false">IF($AT297&gt;0,VLOOKUP($AR297,'O_MN, PE_UTA_UGM 2024'!$E$3:$O$419,BG$6),"")</f>
        <v/>
      </c>
      <c r="BH297" s="872"/>
      <c r="BI297" s="872"/>
      <c r="BJ297" s="872"/>
      <c r="BK297" s="872"/>
      <c r="BM297" s="1411"/>
      <c r="BN297" s="1411"/>
      <c r="BO297" s="1425" t="str">
        <f aca="false">IF(ISNUMBER($AU297*BB297*1),$AU297*BB297*1,"")</f>
        <v/>
      </c>
      <c r="BP297" s="1425" t="str">
        <f aca="false">IF(ISNUMBER($AV297*BC297*1),$AV297*BC297*1,"")</f>
        <v/>
      </c>
      <c r="BQ297" s="1425" t="str">
        <f aca="false">IF(ISNUMBER($AU297*BD297*1),$AU297*BD297*1,"")</f>
        <v/>
      </c>
      <c r="BR297" s="1425" t="str">
        <f aca="false">IF(ISNUMBER($AV297*BE297*1),$AV297*BE297*1,"")</f>
        <v/>
      </c>
      <c r="BS297" s="1411" t="str">
        <f aca="false">IF(ISNUMBER($AU297*BF297),$AU297*BF297,"")</f>
        <v/>
      </c>
      <c r="BT297" s="1411" t="str">
        <f aca="false">IF(ISNUMBER($AV297*BG297),$AV297*BG297,"")</f>
        <v/>
      </c>
      <c r="BU297" s="1411"/>
      <c r="BV297" s="1411"/>
      <c r="BW297" s="1411"/>
      <c r="BX297" s="1411"/>
      <c r="BZ297" s="1372"/>
      <c r="CA297" s="1372"/>
      <c r="CB297" s="1426" t="str">
        <f aca="false">IF(ISNUMBER($AW297*BB297),$AW297*BB297,"")</f>
        <v/>
      </c>
      <c r="CC297" s="1426" t="str">
        <f aca="false">IF(ISNUMBER($AX297*BC297),$AX297*BC297,"")</f>
        <v/>
      </c>
      <c r="CD297" s="1426" t="str">
        <f aca="false">IF(ISNUMBER($AW297*BD297),$AW297*BD297,"")</f>
        <v/>
      </c>
      <c r="CE297" s="1426" t="str">
        <f aca="false">IF(ISNUMBER($AX297*BE297),$AX297*BE297,"")</f>
        <v/>
      </c>
      <c r="CF297" s="1372" t="str">
        <f aca="false">IF(ISNUMBER($AW297*BF297),$AW297*BF297,"")</f>
        <v/>
      </c>
      <c r="CG297" s="1372" t="str">
        <f aca="false">IF(ISNUMBER($AX297*BG297),$AX297*BG297,"")</f>
        <v/>
      </c>
      <c r="CH297" s="1438"/>
      <c r="CI297" s="1438"/>
      <c r="CJ297" s="1438"/>
      <c r="CK297" s="1438"/>
      <c r="CU297" s="1411"/>
      <c r="CV297" s="1411"/>
      <c r="CW297" s="1425"/>
      <c r="CX297" s="1425"/>
      <c r="CY297" s="1425"/>
      <c r="CZ297" s="1425"/>
      <c r="DA297" s="1411"/>
      <c r="DB297" s="1411"/>
      <c r="DC297" s="1411"/>
      <c r="DD297" s="1411"/>
      <c r="DE297" s="1411"/>
      <c r="DF297" s="1411"/>
      <c r="DH297" s="1432"/>
      <c r="DI297" s="1432"/>
      <c r="DJ297" s="1437"/>
      <c r="DK297" s="1437"/>
      <c r="DL297" s="1437"/>
      <c r="DM297" s="1437"/>
      <c r="DN297" s="1432"/>
      <c r="DO297" s="1432"/>
      <c r="DP297" s="1432"/>
      <c r="DQ297" s="1432"/>
      <c r="DR297" s="1432"/>
      <c r="DS297" s="1432"/>
      <c r="DT297" s="1316"/>
      <c r="DU297" s="1433"/>
      <c r="DV297" s="1433"/>
      <c r="DW297" s="1433"/>
      <c r="DX297" s="1433"/>
      <c r="DY297" s="1433"/>
      <c r="DZ297" s="1433"/>
      <c r="EA297" s="1433"/>
      <c r="EB297" s="1433"/>
    </row>
    <row r="298" customFormat="false" ht="14.25" hidden="false" customHeight="false" outlineLevel="0" collapsed="false">
      <c r="A298" s="2" t="n">
        <f aca="false">'V_DATOS PAC_SGA'!R293</f>
        <v>0</v>
      </c>
      <c r="B298" s="2" t="n">
        <f aca="false">IF(I298="IV",CONCATENATE('V_DATOS PAC_SGA'!R293,"4")+0,CONCATENATE('V_DATOS PAC_SGA'!R293,"0")+0)</f>
        <v>0</v>
      </c>
      <c r="C298" s="2" t="n">
        <f aca="false">'V_DATOS PAC_SGA'!S293</f>
        <v>0</v>
      </c>
      <c r="D298" s="1409" t="n">
        <f aca="false">'V_DATOS PAC_SGA'!Y293</f>
        <v>0</v>
      </c>
      <c r="E298" s="1410" t="str">
        <f aca="false">IF('V_DATOS PAC_SGA'!AV293="","Regadio",'V_DATOS PAC_SGA'!AV293)</f>
        <v>Regadio</v>
      </c>
      <c r="F298" s="1411" t="n">
        <f aca="false">'V_DATOS PAC_SGA'!BK293</f>
        <v>0</v>
      </c>
      <c r="G298" s="1412" t="n">
        <f aca="false">'V_DATOS PAC_SGA'!AN293</f>
        <v>0</v>
      </c>
      <c r="H298" s="1413" t="str">
        <f aca="false">IF(B298&gt;0,VLOOKUP(B298,'O_MN, PE_UTA_UGM 2024'!E$3:O$419,10),"")</f>
        <v/>
      </c>
      <c r="I298" s="1359" t="n">
        <f aca="false">'V_DATOS PAC_SGA'!BV293</f>
        <v>0</v>
      </c>
      <c r="J298" s="2" t="str">
        <f aca="false">IF(AND(J$4=$G298,J$6=$F298),$D298*J$5,"")</f>
        <v/>
      </c>
      <c r="K298" s="2" t="str">
        <f aca="false">IF(AND(K$4=$G298,K$6=$F298),$D298*K$5,"")</f>
        <v/>
      </c>
      <c r="L298" s="2" t="str">
        <f aca="false">IF(AND(L$4=$G298,L$6=$F298),$D298*L$5,"")</f>
        <v/>
      </c>
      <c r="M298" s="2" t="str">
        <f aca="false">IF(AND(M$4=$G298,M$6=$F298),$D298*M$5,"")</f>
        <v/>
      </c>
      <c r="N298" s="1414" t="n">
        <f aca="false">VLOOKUP(B298,'O_MN, PE_UTA_UGM 2024'!$E$2:$K$419,IF(G298&gt;1,6,7))</f>
        <v>0</v>
      </c>
      <c r="O298" s="1434" t="str">
        <f aca="false">IF($H298=O$4,$D298*$N298,"")</f>
        <v/>
      </c>
      <c r="P298" s="1435" t="str">
        <f aca="false">IF($H298=P$4,$D298*$N298,"")</f>
        <v/>
      </c>
      <c r="Q298" s="1435" t="str">
        <f aca="false">IF($H298=Q$4,$D298*$N298,"")</f>
        <v/>
      </c>
      <c r="R298" s="1435" t="str">
        <f aca="false">IF($H298=R$4,$D298*$N298,"")</f>
        <v/>
      </c>
      <c r="S298" s="1435" t="str">
        <f aca="false">IF($H298=S$4,$D298*$N298,"")</f>
        <v/>
      </c>
      <c r="T298" s="1435" t="str">
        <f aca="false">IF($H298=T$4,$D298*$N298,"")</f>
        <v/>
      </c>
      <c r="U298" s="1436" t="str">
        <f aca="false">IF($H298=U$4,$D298*$N298,"")</f>
        <v/>
      </c>
      <c r="V298" s="1418"/>
      <c r="W298" s="1419"/>
      <c r="X298" s="1419"/>
      <c r="Y298" s="1419"/>
      <c r="Z298" s="1419"/>
      <c r="AA298" s="1419"/>
      <c r="AB298" s="1420"/>
      <c r="AC298" s="1319"/>
      <c r="AD298" s="2" t="str">
        <f aca="false">IF(AND(AD$4=$G298,AD$6=$F298),$B298,"")</f>
        <v/>
      </c>
      <c r="AE298" s="2" t="str">
        <f aca="false">IF(AND(AE$4=$G298,AE$6=$F298),$B298,"")</f>
        <v/>
      </c>
      <c r="AF298" s="2" t="str">
        <f aca="false">IF(AND(AF$4=$G298,AF$6=$F298),$B298,"")</f>
        <v/>
      </c>
      <c r="AG298" s="2" t="str">
        <f aca="false">IF(AND(AG$4=$G298,AG$6=$F298),$B298,"")</f>
        <v/>
      </c>
      <c r="AI298" s="366"/>
      <c r="AL298" s="367"/>
      <c r="AO298" s="367"/>
      <c r="AP298" s="2" t="str">
        <f aca="false">IF(AT298&gt;0,RANK(AT298,AT$7:AT$423),"")</f>
        <v/>
      </c>
      <c r="AQ298" s="2" t="n">
        <f aca="false">'O_MN, PE_UTA_UGM 2024'!C294</f>
        <v>299</v>
      </c>
      <c r="AR298" s="1421" t="n">
        <v>2860</v>
      </c>
      <c r="AS298" s="2" t="str">
        <f aca="false">IF(AY298&lt;&gt;"",AY298,"")</f>
        <v/>
      </c>
      <c r="AT298" s="1422" t="n">
        <f aca="false">IF(ISNUMBER($AR298),SUMIF(B$7:B$505,AR298,D$7:D$505),"")</f>
        <v>0</v>
      </c>
      <c r="AU298" s="1411" t="n">
        <f aca="false">IF(ISNUMBER($AR298),SUMIF(AD$7:AD$503,$AR298,J$7:J$503),"")</f>
        <v>0</v>
      </c>
      <c r="AV298" s="1411" t="n">
        <f aca="false">IF(ISNUMBER($AR298),SUMIF(AF$7:AF$503,$AR298,L$7:L$503),"")</f>
        <v>0</v>
      </c>
      <c r="AW298" s="1423" t="n">
        <f aca="false">IF(ISNUMBER($AR298),SUMIF(AE$7:AE$503,$AR298,K$7:K$503),"")</f>
        <v>0</v>
      </c>
      <c r="AX298" s="1423" t="n">
        <f aca="false">IF(ISNUMBER($AR298),SUMIF(AG$7:AG$503,$AR298,M$7:M$503),"")</f>
        <v>0</v>
      </c>
      <c r="AY298" s="2" t="str">
        <f aca="false">IF($AT298&gt;0,VLOOKUP($AR298,'O_MN, PE_UTA_UGM 2024'!E294:O710,2),"")</f>
        <v/>
      </c>
      <c r="AZ298" s="1424"/>
      <c r="BA298" s="1424"/>
      <c r="BB298" s="1424" t="str">
        <f aca="false">IF($AT298&gt;0,VLOOKUP($AR298,'O_MN, PE_UTA_UGM 2024'!$E$3:$O$419,BB$6),"")</f>
        <v/>
      </c>
      <c r="BC298" s="1424" t="str">
        <f aca="false">IF($AT298&gt;0,VLOOKUP($AR298,'O_MN, PE_UTA_UGM 2024'!$E$3:$O$419,BC$6),"")</f>
        <v/>
      </c>
      <c r="BD298" s="1424" t="str">
        <f aca="false">IF($AT298&gt;0,VLOOKUP($AR298,'O_MN, PE_UTA_UGM 2024'!$E$3:$O$419,BD$6),"")</f>
        <v/>
      </c>
      <c r="BE298" s="1424" t="str">
        <f aca="false">IF($AT298&gt;0,VLOOKUP($AR298,'O_MN, PE_UTA_UGM 2024'!$E$3:$O$419,BE$6),"")</f>
        <v/>
      </c>
      <c r="BF298" s="1424" t="str">
        <f aca="false">IF($AT298&gt;0,VLOOKUP($AR298,'O_MN, PE_UTA_UGM 2024'!$E$3:$O$419,BF$6),"")</f>
        <v/>
      </c>
      <c r="BG298" s="1424" t="str">
        <f aca="false">IF($AT298&gt;0,VLOOKUP($AR298,'O_MN, PE_UTA_UGM 2024'!$E$3:$O$419,BG$6),"")</f>
        <v/>
      </c>
      <c r="BH298" s="872"/>
      <c r="BI298" s="872"/>
      <c r="BJ298" s="872"/>
      <c r="BK298" s="872"/>
      <c r="BM298" s="1411"/>
      <c r="BN298" s="1411"/>
      <c r="BO298" s="1425" t="str">
        <f aca="false">IF(ISNUMBER($AU298*BB298*1),$AU298*BB298*1,"")</f>
        <v/>
      </c>
      <c r="BP298" s="1425" t="str">
        <f aca="false">IF(ISNUMBER($AV298*BC298*1),$AV298*BC298*1,"")</f>
        <v/>
      </c>
      <c r="BQ298" s="1425" t="str">
        <f aca="false">IF(ISNUMBER($AU298*BD298*1),$AU298*BD298*1,"")</f>
        <v/>
      </c>
      <c r="BR298" s="1425" t="str">
        <f aca="false">IF(ISNUMBER($AV298*BE298*1),$AV298*BE298*1,"")</f>
        <v/>
      </c>
      <c r="BS298" s="1411" t="str">
        <f aca="false">IF(ISNUMBER($AU298*BF298),$AU298*BF298,"")</f>
        <v/>
      </c>
      <c r="BT298" s="1411" t="str">
        <f aca="false">IF(ISNUMBER($AV298*BG298),$AV298*BG298,"")</f>
        <v/>
      </c>
      <c r="BU298" s="1411"/>
      <c r="BV298" s="1411"/>
      <c r="BW298" s="1411"/>
      <c r="BX298" s="1411"/>
      <c r="BZ298" s="1372"/>
      <c r="CA298" s="1372"/>
      <c r="CB298" s="1426" t="str">
        <f aca="false">IF(ISNUMBER($AW298*BB298),$AW298*BB298,"")</f>
        <v/>
      </c>
      <c r="CC298" s="1426" t="str">
        <f aca="false">IF(ISNUMBER($AX298*BC298),$AX298*BC298,"")</f>
        <v/>
      </c>
      <c r="CD298" s="1426" t="str">
        <f aca="false">IF(ISNUMBER($AW298*BD298),$AW298*BD298,"")</f>
        <v/>
      </c>
      <c r="CE298" s="1426" t="str">
        <f aca="false">IF(ISNUMBER($AX298*BE298),$AX298*BE298,"")</f>
        <v/>
      </c>
      <c r="CF298" s="1372" t="str">
        <f aca="false">IF(ISNUMBER($AW298*BF298),$AW298*BF298,"")</f>
        <v/>
      </c>
      <c r="CG298" s="1372" t="str">
        <f aca="false">IF(ISNUMBER($AX298*BG298),$AX298*BG298,"")</f>
        <v/>
      </c>
      <c r="CH298" s="1438"/>
      <c r="CI298" s="1438"/>
      <c r="CJ298" s="1438"/>
      <c r="CK298" s="1438"/>
      <c r="CU298" s="1411"/>
      <c r="CV298" s="1411"/>
      <c r="CW298" s="1425"/>
      <c r="CX298" s="1425"/>
      <c r="CY298" s="1425"/>
      <c r="CZ298" s="1425"/>
      <c r="DA298" s="1411"/>
      <c r="DB298" s="1411"/>
      <c r="DC298" s="1411"/>
      <c r="DD298" s="1411"/>
      <c r="DE298" s="1411"/>
      <c r="DF298" s="1411"/>
      <c r="DH298" s="1432"/>
      <c r="DI298" s="1432"/>
      <c r="DJ298" s="1437"/>
      <c r="DK298" s="1437"/>
      <c r="DL298" s="1437"/>
      <c r="DM298" s="1437"/>
      <c r="DN298" s="1432"/>
      <c r="DO298" s="1432"/>
      <c r="DP298" s="1432"/>
      <c r="DQ298" s="1432"/>
      <c r="DR298" s="1432"/>
      <c r="DS298" s="1432"/>
      <c r="DT298" s="1316"/>
      <c r="DU298" s="1433"/>
      <c r="DV298" s="1433"/>
      <c r="DW298" s="1433"/>
      <c r="DX298" s="1433"/>
      <c r="DY298" s="1433"/>
      <c r="DZ298" s="1433"/>
      <c r="EA298" s="1433"/>
      <c r="EB298" s="1433"/>
    </row>
    <row r="299" customFormat="false" ht="14.25" hidden="false" customHeight="false" outlineLevel="0" collapsed="false">
      <c r="A299" s="2" t="n">
        <f aca="false">'V_DATOS PAC_SGA'!R294</f>
        <v>0</v>
      </c>
      <c r="B299" s="2" t="n">
        <f aca="false">IF(I299="IV",CONCATENATE('V_DATOS PAC_SGA'!R294,"4")+0,CONCATENATE('V_DATOS PAC_SGA'!R294,"0")+0)</f>
        <v>0</v>
      </c>
      <c r="C299" s="2" t="n">
        <f aca="false">'V_DATOS PAC_SGA'!S294</f>
        <v>0</v>
      </c>
      <c r="D299" s="1409" t="n">
        <f aca="false">'V_DATOS PAC_SGA'!Y294</f>
        <v>0</v>
      </c>
      <c r="E299" s="1410" t="str">
        <f aca="false">IF('V_DATOS PAC_SGA'!AV294="","Regadio",'V_DATOS PAC_SGA'!AV294)</f>
        <v>Regadio</v>
      </c>
      <c r="F299" s="1411" t="n">
        <f aca="false">'V_DATOS PAC_SGA'!BK294</f>
        <v>0</v>
      </c>
      <c r="G299" s="1412" t="n">
        <f aca="false">'V_DATOS PAC_SGA'!AN294</f>
        <v>0</v>
      </c>
      <c r="H299" s="1413" t="str">
        <f aca="false">IF(B299&gt;0,VLOOKUP(B299,'O_MN, PE_UTA_UGM 2024'!E$3:O$419,10),"")</f>
        <v/>
      </c>
      <c r="I299" s="1359" t="n">
        <f aca="false">'V_DATOS PAC_SGA'!BV294</f>
        <v>0</v>
      </c>
      <c r="J299" s="2" t="str">
        <f aca="false">IF(AND(J$4=$G299,J$6=$F299),$D299*J$5,"")</f>
        <v/>
      </c>
      <c r="K299" s="2" t="str">
        <f aca="false">IF(AND(K$4=$G299,K$6=$F299),$D299*K$5,"")</f>
        <v/>
      </c>
      <c r="L299" s="2" t="str">
        <f aca="false">IF(AND(L$4=$G299,L$6=$F299),$D299*L$5,"")</f>
        <v/>
      </c>
      <c r="M299" s="2" t="str">
        <f aca="false">IF(AND(M$4=$G299,M$6=$F299),$D299*M$5,"")</f>
        <v/>
      </c>
      <c r="N299" s="1414" t="n">
        <f aca="false">VLOOKUP(B299,'O_MN, PE_UTA_UGM 2024'!$E$2:$K$419,IF(G299&gt;1,6,7))</f>
        <v>0</v>
      </c>
      <c r="O299" s="1434" t="str">
        <f aca="false">IF($H299=O$4,$D299*$N299,"")</f>
        <v/>
      </c>
      <c r="P299" s="1435" t="str">
        <f aca="false">IF($H299=P$4,$D299*$N299,"")</f>
        <v/>
      </c>
      <c r="Q299" s="1435" t="str">
        <f aca="false">IF($H299=Q$4,$D299*$N299,"")</f>
        <v/>
      </c>
      <c r="R299" s="1435" t="str">
        <f aca="false">IF($H299=R$4,$D299*$N299,"")</f>
        <v/>
      </c>
      <c r="S299" s="1435" t="str">
        <f aca="false">IF($H299=S$4,$D299*$N299,"")</f>
        <v/>
      </c>
      <c r="T299" s="1435" t="str">
        <f aca="false">IF($H299=T$4,$D299*$N299,"")</f>
        <v/>
      </c>
      <c r="U299" s="1436" t="str">
        <f aca="false">IF($H299=U$4,$D299*$N299,"")</f>
        <v/>
      </c>
      <c r="V299" s="1418"/>
      <c r="W299" s="1419"/>
      <c r="X299" s="1419"/>
      <c r="Y299" s="1419"/>
      <c r="Z299" s="1419"/>
      <c r="AA299" s="1419"/>
      <c r="AB299" s="1420"/>
      <c r="AC299" s="1319"/>
      <c r="AD299" s="2" t="str">
        <f aca="false">IF(AND(AD$4=$G299,AD$6=$F299),$B299,"")</f>
        <v/>
      </c>
      <c r="AE299" s="2" t="str">
        <f aca="false">IF(AND(AE$4=$G299,AE$6=$F299),$B299,"")</f>
        <v/>
      </c>
      <c r="AF299" s="2" t="str">
        <f aca="false">IF(AND(AF$4=$G299,AF$6=$F299),$B299,"")</f>
        <v/>
      </c>
      <c r="AG299" s="2" t="str">
        <f aca="false">IF(AND(AG$4=$G299,AG$6=$F299),$B299,"")</f>
        <v/>
      </c>
      <c r="AI299" s="366"/>
      <c r="AL299" s="367"/>
      <c r="AO299" s="367"/>
      <c r="AP299" s="2" t="str">
        <f aca="false">IF(AT299&gt;0,RANK(AT299,AT$7:AT$423),"")</f>
        <v/>
      </c>
      <c r="AQ299" s="2" t="n">
        <f aca="false">'O_MN, PE_UTA_UGM 2024'!C295</f>
        <v>304</v>
      </c>
      <c r="AR299" s="1421" t="n">
        <v>2870</v>
      </c>
      <c r="AS299" s="2" t="str">
        <f aca="false">IF(AY299&lt;&gt;"",AY299,"")</f>
        <v/>
      </c>
      <c r="AT299" s="1422" t="n">
        <f aca="false">IF(ISNUMBER($AR299),SUMIF(B$7:B$505,AR299,D$7:D$505),"")</f>
        <v>0</v>
      </c>
      <c r="AU299" s="1411" t="n">
        <f aca="false">IF(ISNUMBER($AR299),SUMIF(AD$7:AD$503,$AR299,J$7:J$503),"")</f>
        <v>0</v>
      </c>
      <c r="AV299" s="1411" t="n">
        <f aca="false">IF(ISNUMBER($AR299),SUMIF(AF$7:AF$503,$AR299,L$7:L$503),"")</f>
        <v>0</v>
      </c>
      <c r="AW299" s="1423" t="n">
        <f aca="false">IF(ISNUMBER($AR299),SUMIF(AE$7:AE$503,$AR299,K$7:K$503),"")</f>
        <v>0</v>
      </c>
      <c r="AX299" s="1423" t="n">
        <f aca="false">IF(ISNUMBER($AR299),SUMIF(AG$7:AG$503,$AR299,M$7:M$503),"")</f>
        <v>0</v>
      </c>
      <c r="AY299" s="2" t="str">
        <f aca="false">IF($AT299&gt;0,VLOOKUP($AR299,'O_MN, PE_UTA_UGM 2024'!E295:O711,2),"")</f>
        <v/>
      </c>
      <c r="AZ299" s="1424"/>
      <c r="BA299" s="1424"/>
      <c r="BB299" s="1424" t="str">
        <f aca="false">IF($AT299&gt;0,VLOOKUP($AR299,'O_MN, PE_UTA_UGM 2024'!$E$3:$O$419,BB$6),"")</f>
        <v/>
      </c>
      <c r="BC299" s="1424" t="str">
        <f aca="false">IF($AT299&gt;0,VLOOKUP($AR299,'O_MN, PE_UTA_UGM 2024'!$E$3:$O$419,BC$6),"")</f>
        <v/>
      </c>
      <c r="BD299" s="1424" t="str">
        <f aca="false">IF($AT299&gt;0,VLOOKUP($AR299,'O_MN, PE_UTA_UGM 2024'!$E$3:$O$419,BD$6),"")</f>
        <v/>
      </c>
      <c r="BE299" s="1424" t="str">
        <f aca="false">IF($AT299&gt;0,VLOOKUP($AR299,'O_MN, PE_UTA_UGM 2024'!$E$3:$O$419,BE$6),"")</f>
        <v/>
      </c>
      <c r="BF299" s="1424" t="str">
        <f aca="false">IF($AT299&gt;0,VLOOKUP($AR299,'O_MN, PE_UTA_UGM 2024'!$E$3:$O$419,BF$6),"")</f>
        <v/>
      </c>
      <c r="BG299" s="1424" t="str">
        <f aca="false">IF($AT299&gt;0,VLOOKUP($AR299,'O_MN, PE_UTA_UGM 2024'!$E$3:$O$419,BG$6),"")</f>
        <v/>
      </c>
      <c r="BH299" s="872"/>
      <c r="BI299" s="872"/>
      <c r="BJ299" s="872"/>
      <c r="BK299" s="872"/>
      <c r="BM299" s="1411"/>
      <c r="BN299" s="1411"/>
      <c r="BO299" s="1425" t="str">
        <f aca="false">IF(ISNUMBER($AU299*BB299*1),$AU299*BB299*1,"")</f>
        <v/>
      </c>
      <c r="BP299" s="1425" t="str">
        <f aca="false">IF(ISNUMBER($AV299*BC299*1),$AV299*BC299*1,"")</f>
        <v/>
      </c>
      <c r="BQ299" s="1425" t="str">
        <f aca="false">IF(ISNUMBER($AU299*BD299*1),$AU299*BD299*1,"")</f>
        <v/>
      </c>
      <c r="BR299" s="1425" t="str">
        <f aca="false">IF(ISNUMBER($AV299*BE299*1),$AV299*BE299*1,"")</f>
        <v/>
      </c>
      <c r="BS299" s="1411" t="str">
        <f aca="false">IF(ISNUMBER($AU299*BF299),$AU299*BF299,"")</f>
        <v/>
      </c>
      <c r="BT299" s="1411" t="str">
        <f aca="false">IF(ISNUMBER($AV299*BG299),$AV299*BG299,"")</f>
        <v/>
      </c>
      <c r="BU299" s="1411"/>
      <c r="BV299" s="1411"/>
      <c r="BW299" s="1411"/>
      <c r="BX299" s="1411"/>
      <c r="BZ299" s="1372"/>
      <c r="CA299" s="1372"/>
      <c r="CB299" s="1426" t="str">
        <f aca="false">IF(ISNUMBER($AW299*BB299),$AW299*BB299,"")</f>
        <v/>
      </c>
      <c r="CC299" s="1426" t="str">
        <f aca="false">IF(ISNUMBER($AX299*BC299),$AX299*BC299,"")</f>
        <v/>
      </c>
      <c r="CD299" s="1426" t="str">
        <f aca="false">IF(ISNUMBER($AW299*BD299),$AW299*BD299,"")</f>
        <v/>
      </c>
      <c r="CE299" s="1426" t="str">
        <f aca="false">IF(ISNUMBER($AX299*BE299),$AX299*BE299,"")</f>
        <v/>
      </c>
      <c r="CF299" s="1372" t="str">
        <f aca="false">IF(ISNUMBER($AW299*BF299),$AW299*BF299,"")</f>
        <v/>
      </c>
      <c r="CG299" s="1372" t="str">
        <f aca="false">IF(ISNUMBER($AX299*BG299),$AX299*BG299,"")</f>
        <v/>
      </c>
      <c r="CH299" s="1438"/>
      <c r="CI299" s="1438"/>
      <c r="CJ299" s="1438"/>
      <c r="CK299" s="1438"/>
      <c r="CU299" s="1411"/>
      <c r="CV299" s="1411"/>
      <c r="CW299" s="1425"/>
      <c r="CX299" s="1425"/>
      <c r="CY299" s="1425"/>
      <c r="CZ299" s="1425"/>
      <c r="DA299" s="1411"/>
      <c r="DB299" s="1411"/>
      <c r="DC299" s="1411"/>
      <c r="DD299" s="1411"/>
      <c r="DE299" s="1411"/>
      <c r="DF299" s="1411"/>
      <c r="DH299" s="1432"/>
      <c r="DI299" s="1432"/>
      <c r="DJ299" s="1437"/>
      <c r="DK299" s="1437"/>
      <c r="DL299" s="1437"/>
      <c r="DM299" s="1437"/>
      <c r="DN299" s="1432"/>
      <c r="DO299" s="1432"/>
      <c r="DP299" s="1432"/>
      <c r="DQ299" s="1432"/>
      <c r="DR299" s="1432"/>
      <c r="DS299" s="1432"/>
      <c r="DT299" s="1316"/>
      <c r="DU299" s="1433"/>
      <c r="DV299" s="1433"/>
      <c r="DW299" s="1433"/>
      <c r="DX299" s="1433"/>
      <c r="DY299" s="1433"/>
      <c r="DZ299" s="1433"/>
      <c r="EA299" s="1433"/>
      <c r="EB299" s="1433"/>
    </row>
    <row r="300" customFormat="false" ht="14.25" hidden="false" customHeight="false" outlineLevel="0" collapsed="false">
      <c r="A300" s="2" t="n">
        <f aca="false">'V_DATOS PAC_SGA'!R295</f>
        <v>0</v>
      </c>
      <c r="B300" s="2" t="n">
        <f aca="false">IF(I300="IV",CONCATENATE('V_DATOS PAC_SGA'!R295,"4")+0,CONCATENATE('V_DATOS PAC_SGA'!R295,"0")+0)</f>
        <v>0</v>
      </c>
      <c r="C300" s="2" t="n">
        <f aca="false">'V_DATOS PAC_SGA'!S295</f>
        <v>0</v>
      </c>
      <c r="D300" s="1409" t="n">
        <f aca="false">'V_DATOS PAC_SGA'!Y295</f>
        <v>0</v>
      </c>
      <c r="E300" s="1410" t="str">
        <f aca="false">IF('V_DATOS PAC_SGA'!AV295="","Regadio",'V_DATOS PAC_SGA'!AV295)</f>
        <v>Regadio</v>
      </c>
      <c r="F300" s="1411" t="n">
        <f aca="false">'V_DATOS PAC_SGA'!BK295</f>
        <v>0</v>
      </c>
      <c r="G300" s="1412" t="n">
        <f aca="false">'V_DATOS PAC_SGA'!AN295</f>
        <v>0</v>
      </c>
      <c r="H300" s="1413" t="str">
        <f aca="false">IF(B300&gt;0,VLOOKUP(B300,'O_MN, PE_UTA_UGM 2024'!E$3:O$419,10),"")</f>
        <v/>
      </c>
      <c r="I300" s="1359" t="n">
        <f aca="false">'V_DATOS PAC_SGA'!BV295</f>
        <v>0</v>
      </c>
      <c r="J300" s="2" t="str">
        <f aca="false">IF(AND(J$4=$G300,J$6=$F300),$D300*J$5,"")</f>
        <v/>
      </c>
      <c r="K300" s="2" t="str">
        <f aca="false">IF(AND(K$4=$G300,K$6=$F300),$D300*K$5,"")</f>
        <v/>
      </c>
      <c r="L300" s="2" t="str">
        <f aca="false">IF(AND(L$4=$G300,L$6=$F300),$D300*L$5,"")</f>
        <v/>
      </c>
      <c r="M300" s="2" t="str">
        <f aca="false">IF(AND(M$4=$G300,M$6=$F300),$D300*M$5,"")</f>
        <v/>
      </c>
      <c r="N300" s="1414" t="n">
        <f aca="false">VLOOKUP(B300,'O_MN, PE_UTA_UGM 2024'!$E$2:$K$419,IF(G300&gt;1,6,7))</f>
        <v>0</v>
      </c>
      <c r="O300" s="1434" t="str">
        <f aca="false">IF($H300=O$4,$D300*$N300,"")</f>
        <v/>
      </c>
      <c r="P300" s="1435" t="str">
        <f aca="false">IF($H300=P$4,$D300*$N300,"")</f>
        <v/>
      </c>
      <c r="Q300" s="1435" t="str">
        <f aca="false">IF($H300=Q$4,$D300*$N300,"")</f>
        <v/>
      </c>
      <c r="R300" s="1435" t="str">
        <f aca="false">IF($H300=R$4,$D300*$N300,"")</f>
        <v/>
      </c>
      <c r="S300" s="1435" t="str">
        <f aca="false">IF($H300=S$4,$D300*$N300,"")</f>
        <v/>
      </c>
      <c r="T300" s="1435" t="str">
        <f aca="false">IF($H300=T$4,$D300*$N300,"")</f>
        <v/>
      </c>
      <c r="U300" s="1436" t="str">
        <f aca="false">IF($H300=U$4,$D300*$N300,"")</f>
        <v/>
      </c>
      <c r="V300" s="1418"/>
      <c r="W300" s="1419"/>
      <c r="X300" s="1419"/>
      <c r="Y300" s="1419"/>
      <c r="Z300" s="1419"/>
      <c r="AA300" s="1419"/>
      <c r="AB300" s="1420"/>
      <c r="AC300" s="1319"/>
      <c r="AD300" s="2" t="str">
        <f aca="false">IF(AND(AD$4=$G300,AD$6=$F300),$B300,"")</f>
        <v/>
      </c>
      <c r="AE300" s="2" t="str">
        <f aca="false">IF(AND(AE$4=$G300,AE$6=$F300),$B300,"")</f>
        <v/>
      </c>
      <c r="AF300" s="2" t="str">
        <f aca="false">IF(AND(AF$4=$G300,AF$6=$F300),$B300,"")</f>
        <v/>
      </c>
      <c r="AG300" s="2" t="str">
        <f aca="false">IF(AND(AG$4=$G300,AG$6=$F300),$B300,"")</f>
        <v/>
      </c>
      <c r="AI300" s="366"/>
      <c r="AL300" s="367"/>
      <c r="AO300" s="367"/>
      <c r="AP300" s="2" t="str">
        <f aca="false">IF(AT300&gt;0,RANK(AT300,AT$7:AT$423),"")</f>
        <v/>
      </c>
      <c r="AQ300" s="2" t="n">
        <f aca="false">'O_MN, PE_UTA_UGM 2024'!C296</f>
        <v>304</v>
      </c>
      <c r="AR300" s="1421" t="n">
        <v>2880</v>
      </c>
      <c r="AS300" s="2" t="str">
        <f aca="false">IF(AY300&lt;&gt;"",AY300,"")</f>
        <v/>
      </c>
      <c r="AT300" s="1422" t="n">
        <f aca="false">IF(ISNUMBER($AR300),SUMIF(B$7:B$505,AR300,D$7:D$505),"")</f>
        <v>0</v>
      </c>
      <c r="AU300" s="1411" t="n">
        <f aca="false">IF(ISNUMBER($AR300),SUMIF(AD$7:AD$503,$AR300,J$7:J$503),"")</f>
        <v>0</v>
      </c>
      <c r="AV300" s="1411" t="n">
        <f aca="false">IF(ISNUMBER($AR300),SUMIF(AF$7:AF$503,$AR300,L$7:L$503),"")</f>
        <v>0</v>
      </c>
      <c r="AW300" s="1423" t="n">
        <f aca="false">IF(ISNUMBER($AR300),SUMIF(AE$7:AE$503,$AR300,K$7:K$503),"")</f>
        <v>0</v>
      </c>
      <c r="AX300" s="1423" t="n">
        <f aca="false">IF(ISNUMBER($AR300),SUMIF(AG$7:AG$503,$AR300,M$7:M$503),"")</f>
        <v>0</v>
      </c>
      <c r="AY300" s="2" t="str">
        <f aca="false">IF($AT300&gt;0,VLOOKUP($AR300,'O_MN, PE_UTA_UGM 2024'!E296:O712,2),"")</f>
        <v/>
      </c>
      <c r="AZ300" s="1424"/>
      <c r="BA300" s="1424"/>
      <c r="BB300" s="1424" t="str">
        <f aca="false">IF($AT300&gt;0,VLOOKUP($AR300,'O_MN, PE_UTA_UGM 2024'!$E$3:$O$419,BB$6),"")</f>
        <v/>
      </c>
      <c r="BC300" s="1424" t="str">
        <f aca="false">IF($AT300&gt;0,VLOOKUP($AR300,'O_MN, PE_UTA_UGM 2024'!$E$3:$O$419,BC$6),"")</f>
        <v/>
      </c>
      <c r="BD300" s="1424" t="str">
        <f aca="false">IF($AT300&gt;0,VLOOKUP($AR300,'O_MN, PE_UTA_UGM 2024'!$E$3:$O$419,BD$6),"")</f>
        <v/>
      </c>
      <c r="BE300" s="1424" t="str">
        <f aca="false">IF($AT300&gt;0,VLOOKUP($AR300,'O_MN, PE_UTA_UGM 2024'!$E$3:$O$419,BE$6),"")</f>
        <v/>
      </c>
      <c r="BF300" s="1424" t="str">
        <f aca="false">IF($AT300&gt;0,VLOOKUP($AR300,'O_MN, PE_UTA_UGM 2024'!$E$3:$O$419,BF$6),"")</f>
        <v/>
      </c>
      <c r="BG300" s="1424" t="str">
        <f aca="false">IF($AT300&gt;0,VLOOKUP($AR300,'O_MN, PE_UTA_UGM 2024'!$E$3:$O$419,BG$6),"")</f>
        <v/>
      </c>
      <c r="BH300" s="872"/>
      <c r="BI300" s="872"/>
      <c r="BJ300" s="872"/>
      <c r="BK300" s="872"/>
      <c r="BM300" s="1411"/>
      <c r="BN300" s="1411"/>
      <c r="BO300" s="1425" t="str">
        <f aca="false">IF(ISNUMBER($AU300*BB300*1),$AU300*BB300*1,"")</f>
        <v/>
      </c>
      <c r="BP300" s="1425" t="str">
        <f aca="false">IF(ISNUMBER($AV300*BC300*1),$AV300*BC300*1,"")</f>
        <v/>
      </c>
      <c r="BQ300" s="1425" t="str">
        <f aca="false">IF(ISNUMBER($AU300*BD300*1),$AU300*BD300*1,"")</f>
        <v/>
      </c>
      <c r="BR300" s="1425" t="str">
        <f aca="false">IF(ISNUMBER($AV300*BE300*1),$AV300*BE300*1,"")</f>
        <v/>
      </c>
      <c r="BS300" s="1411" t="str">
        <f aca="false">IF(ISNUMBER($AU300*BF300),$AU300*BF300,"")</f>
        <v/>
      </c>
      <c r="BT300" s="1411" t="str">
        <f aca="false">IF(ISNUMBER($AV300*BG300),$AV300*BG300,"")</f>
        <v/>
      </c>
      <c r="BU300" s="1411"/>
      <c r="BV300" s="1411"/>
      <c r="BW300" s="1411"/>
      <c r="BX300" s="1411"/>
      <c r="BZ300" s="1372"/>
      <c r="CA300" s="1372"/>
      <c r="CB300" s="1426" t="str">
        <f aca="false">IF(ISNUMBER($AW300*BB300),$AW300*BB300,"")</f>
        <v/>
      </c>
      <c r="CC300" s="1426" t="str">
        <f aca="false">IF(ISNUMBER($AX300*BC300),$AX300*BC300,"")</f>
        <v/>
      </c>
      <c r="CD300" s="1426" t="str">
        <f aca="false">IF(ISNUMBER($AW300*BD300),$AW300*BD300,"")</f>
        <v/>
      </c>
      <c r="CE300" s="1426" t="str">
        <f aca="false">IF(ISNUMBER($AX300*BE300),$AX300*BE300,"")</f>
        <v/>
      </c>
      <c r="CF300" s="1372" t="str">
        <f aca="false">IF(ISNUMBER($AW300*BF300),$AW300*BF300,"")</f>
        <v/>
      </c>
      <c r="CG300" s="1372" t="str">
        <f aca="false">IF(ISNUMBER($AX300*BG300),$AX300*BG300,"")</f>
        <v/>
      </c>
      <c r="CH300" s="1438"/>
      <c r="CI300" s="1438"/>
      <c r="CJ300" s="1438"/>
      <c r="CK300" s="1438"/>
      <c r="CU300" s="1411"/>
      <c r="CV300" s="1411"/>
      <c r="CW300" s="1425"/>
      <c r="CX300" s="1425"/>
      <c r="CY300" s="1425"/>
      <c r="CZ300" s="1425"/>
      <c r="DA300" s="1411"/>
      <c r="DB300" s="1411"/>
      <c r="DC300" s="1411"/>
      <c r="DD300" s="1411"/>
      <c r="DE300" s="1411"/>
      <c r="DF300" s="1411"/>
      <c r="DH300" s="1432"/>
      <c r="DI300" s="1432"/>
      <c r="DJ300" s="1437"/>
      <c r="DK300" s="1437"/>
      <c r="DL300" s="1437"/>
      <c r="DM300" s="1437"/>
      <c r="DN300" s="1432"/>
      <c r="DO300" s="1432"/>
      <c r="DP300" s="1432"/>
      <c r="DQ300" s="1432"/>
      <c r="DR300" s="1432"/>
      <c r="DS300" s="1432"/>
      <c r="DT300" s="1316"/>
      <c r="DU300" s="1433"/>
      <c r="DV300" s="1433"/>
      <c r="DW300" s="1433"/>
      <c r="DX300" s="1433"/>
      <c r="DY300" s="1433"/>
      <c r="DZ300" s="1433"/>
      <c r="EA300" s="1433"/>
      <c r="EB300" s="1433"/>
    </row>
    <row r="301" customFormat="false" ht="14.25" hidden="false" customHeight="false" outlineLevel="0" collapsed="false">
      <c r="A301" s="2" t="n">
        <f aca="false">'V_DATOS PAC_SGA'!R296</f>
        <v>0</v>
      </c>
      <c r="B301" s="2" t="n">
        <f aca="false">IF(I301="IV",CONCATENATE('V_DATOS PAC_SGA'!R296,"4")+0,CONCATENATE('V_DATOS PAC_SGA'!R296,"0")+0)</f>
        <v>0</v>
      </c>
      <c r="C301" s="2" t="n">
        <f aca="false">'V_DATOS PAC_SGA'!S296</f>
        <v>0</v>
      </c>
      <c r="D301" s="1409" t="n">
        <f aca="false">'V_DATOS PAC_SGA'!Y296</f>
        <v>0</v>
      </c>
      <c r="E301" s="1410" t="str">
        <f aca="false">IF('V_DATOS PAC_SGA'!AV296="","Regadio",'V_DATOS PAC_SGA'!AV296)</f>
        <v>Regadio</v>
      </c>
      <c r="F301" s="1411" t="n">
        <f aca="false">'V_DATOS PAC_SGA'!BK296</f>
        <v>0</v>
      </c>
      <c r="G301" s="1412" t="n">
        <f aca="false">'V_DATOS PAC_SGA'!AN296</f>
        <v>0</v>
      </c>
      <c r="H301" s="1413" t="str">
        <f aca="false">IF(B301&gt;0,VLOOKUP(B301,'O_MN, PE_UTA_UGM 2024'!E$3:O$419,10),"")</f>
        <v/>
      </c>
      <c r="I301" s="1359" t="n">
        <f aca="false">'V_DATOS PAC_SGA'!BV296</f>
        <v>0</v>
      </c>
      <c r="J301" s="2" t="str">
        <f aca="false">IF(AND(J$4=$G301,J$6=$F301),$D301*J$5,"")</f>
        <v/>
      </c>
      <c r="K301" s="2" t="str">
        <f aca="false">IF(AND(K$4=$G301,K$6=$F301),$D301*K$5,"")</f>
        <v/>
      </c>
      <c r="L301" s="2" t="str">
        <f aca="false">IF(AND(L$4=$G301,L$6=$F301),$D301*L$5,"")</f>
        <v/>
      </c>
      <c r="M301" s="2" t="str">
        <f aca="false">IF(AND(M$4=$G301,M$6=$F301),$D301*M$5,"")</f>
        <v/>
      </c>
      <c r="N301" s="1414" t="n">
        <f aca="false">VLOOKUP(B301,'O_MN, PE_UTA_UGM 2024'!$E$2:$K$419,IF(G301&gt;1,6,7))</f>
        <v>0</v>
      </c>
      <c r="O301" s="1434" t="str">
        <f aca="false">IF($H301=O$4,$D301*$N301,"")</f>
        <v/>
      </c>
      <c r="P301" s="1435" t="str">
        <f aca="false">IF($H301=P$4,$D301*$N301,"")</f>
        <v/>
      </c>
      <c r="Q301" s="1435" t="str">
        <f aca="false">IF($H301=Q$4,$D301*$N301,"")</f>
        <v/>
      </c>
      <c r="R301" s="1435" t="str">
        <f aca="false">IF($H301=R$4,$D301*$N301,"")</f>
        <v/>
      </c>
      <c r="S301" s="1435" t="str">
        <f aca="false">IF($H301=S$4,$D301*$N301,"")</f>
        <v/>
      </c>
      <c r="T301" s="1435" t="str">
        <f aca="false">IF($H301=T$4,$D301*$N301,"")</f>
        <v/>
      </c>
      <c r="U301" s="1436" t="str">
        <f aca="false">IF($H301=U$4,$D301*$N301,"")</f>
        <v/>
      </c>
      <c r="V301" s="1418"/>
      <c r="W301" s="1419"/>
      <c r="X301" s="1419"/>
      <c r="Y301" s="1419"/>
      <c r="Z301" s="1419"/>
      <c r="AA301" s="1419"/>
      <c r="AB301" s="1420"/>
      <c r="AC301" s="1319"/>
      <c r="AD301" s="2" t="str">
        <f aca="false">IF(AND(AD$4=$G301,AD$6=$F301),$B301,"")</f>
        <v/>
      </c>
      <c r="AE301" s="2" t="str">
        <f aca="false">IF(AND(AE$4=$G301,AE$6=$F301),$B301,"")</f>
        <v/>
      </c>
      <c r="AF301" s="2" t="str">
        <f aca="false">IF(AND(AF$4=$G301,AF$6=$F301),$B301,"")</f>
        <v/>
      </c>
      <c r="AG301" s="2" t="str">
        <f aca="false">IF(AND(AG$4=$G301,AG$6=$F301),$B301,"")</f>
        <v/>
      </c>
      <c r="AI301" s="366"/>
      <c r="AL301" s="367"/>
      <c r="AO301" s="367"/>
      <c r="AP301" s="2" t="str">
        <f aca="false">IF(AT301&gt;0,RANK(AT301,AT$7:AT$423),"")</f>
        <v/>
      </c>
      <c r="AQ301" s="2" t="n">
        <f aca="false">'O_MN, PE_UTA_UGM 2024'!C297</f>
        <v>304</v>
      </c>
      <c r="AR301" s="1421" t="n">
        <v>2890</v>
      </c>
      <c r="AS301" s="2" t="str">
        <f aca="false">IF(AY301&lt;&gt;"",AY301,"")</f>
        <v/>
      </c>
      <c r="AT301" s="1422" t="n">
        <f aca="false">IF(ISNUMBER($AR301),SUMIF(B$7:B$505,AR301,D$7:D$505),"")</f>
        <v>0</v>
      </c>
      <c r="AU301" s="1411" t="n">
        <f aca="false">IF(ISNUMBER($AR301),SUMIF(AD$7:AD$503,$AR301,J$7:J$503),"")</f>
        <v>0</v>
      </c>
      <c r="AV301" s="1411" t="n">
        <f aca="false">IF(ISNUMBER($AR301),SUMIF(AF$7:AF$503,$AR301,L$7:L$503),"")</f>
        <v>0</v>
      </c>
      <c r="AW301" s="1423" t="n">
        <f aca="false">IF(ISNUMBER($AR301),SUMIF(AE$7:AE$503,$AR301,K$7:K$503),"")</f>
        <v>0</v>
      </c>
      <c r="AX301" s="1423" t="n">
        <f aca="false">IF(ISNUMBER($AR301),SUMIF(AG$7:AG$503,$AR301,M$7:M$503),"")</f>
        <v>0</v>
      </c>
      <c r="AY301" s="2" t="str">
        <f aca="false">IF($AT301&gt;0,VLOOKUP($AR301,'O_MN, PE_UTA_UGM 2024'!E297:O713,2),"")</f>
        <v/>
      </c>
      <c r="AZ301" s="1424"/>
      <c r="BA301" s="1424"/>
      <c r="BB301" s="1424" t="str">
        <f aca="false">IF($AT301&gt;0,VLOOKUP($AR301,'O_MN, PE_UTA_UGM 2024'!$E$3:$O$419,BB$6),"")</f>
        <v/>
      </c>
      <c r="BC301" s="1424" t="str">
        <f aca="false">IF($AT301&gt;0,VLOOKUP($AR301,'O_MN, PE_UTA_UGM 2024'!$E$3:$O$419,BC$6),"")</f>
        <v/>
      </c>
      <c r="BD301" s="1424" t="str">
        <f aca="false">IF($AT301&gt;0,VLOOKUP($AR301,'O_MN, PE_UTA_UGM 2024'!$E$3:$O$419,BD$6),"")</f>
        <v/>
      </c>
      <c r="BE301" s="1424" t="str">
        <f aca="false">IF($AT301&gt;0,VLOOKUP($AR301,'O_MN, PE_UTA_UGM 2024'!$E$3:$O$419,BE$6),"")</f>
        <v/>
      </c>
      <c r="BF301" s="1424" t="str">
        <f aca="false">IF($AT301&gt;0,VLOOKUP($AR301,'O_MN, PE_UTA_UGM 2024'!$E$3:$O$419,BF$6),"")</f>
        <v/>
      </c>
      <c r="BG301" s="1424" t="str">
        <f aca="false">IF($AT301&gt;0,VLOOKUP($AR301,'O_MN, PE_UTA_UGM 2024'!$E$3:$O$419,BG$6),"")</f>
        <v/>
      </c>
      <c r="BH301" s="872"/>
      <c r="BI301" s="872"/>
      <c r="BJ301" s="872"/>
      <c r="BK301" s="872"/>
      <c r="BM301" s="1411"/>
      <c r="BN301" s="1411"/>
      <c r="BO301" s="1425" t="str">
        <f aca="false">IF(ISNUMBER($AU301*BB301*1),$AU301*BB301*1,"")</f>
        <v/>
      </c>
      <c r="BP301" s="1425" t="str">
        <f aca="false">IF(ISNUMBER($AV301*BC301*1),$AV301*BC301*1,"")</f>
        <v/>
      </c>
      <c r="BQ301" s="1425" t="str">
        <f aca="false">IF(ISNUMBER($AU301*BD301*1),$AU301*BD301*1,"")</f>
        <v/>
      </c>
      <c r="BR301" s="1425" t="str">
        <f aca="false">IF(ISNUMBER($AV301*BE301*1),$AV301*BE301*1,"")</f>
        <v/>
      </c>
      <c r="BS301" s="1411" t="str">
        <f aca="false">IF(ISNUMBER($AU301*BF301),$AU301*BF301,"")</f>
        <v/>
      </c>
      <c r="BT301" s="1411" t="str">
        <f aca="false">IF(ISNUMBER($AV301*BG301),$AV301*BG301,"")</f>
        <v/>
      </c>
      <c r="BU301" s="1411"/>
      <c r="BV301" s="1411"/>
      <c r="BW301" s="1411"/>
      <c r="BX301" s="1411"/>
      <c r="BZ301" s="1372"/>
      <c r="CA301" s="1372"/>
      <c r="CB301" s="1426" t="str">
        <f aca="false">IF(ISNUMBER($AW301*BB301),$AW301*BB301,"")</f>
        <v/>
      </c>
      <c r="CC301" s="1426" t="str">
        <f aca="false">IF(ISNUMBER($AX301*BC301),$AX301*BC301,"")</f>
        <v/>
      </c>
      <c r="CD301" s="1426" t="str">
        <f aca="false">IF(ISNUMBER($AW301*BD301),$AW301*BD301,"")</f>
        <v/>
      </c>
      <c r="CE301" s="1426" t="str">
        <f aca="false">IF(ISNUMBER($AX301*BE301),$AX301*BE301,"")</f>
        <v/>
      </c>
      <c r="CF301" s="1372" t="str">
        <f aca="false">IF(ISNUMBER($AW301*BF301),$AW301*BF301,"")</f>
        <v/>
      </c>
      <c r="CG301" s="1372" t="str">
        <f aca="false">IF(ISNUMBER($AX301*BG301),$AX301*BG301,"")</f>
        <v/>
      </c>
      <c r="CH301" s="1438"/>
      <c r="CI301" s="1438"/>
      <c r="CJ301" s="1438"/>
      <c r="CK301" s="1438"/>
      <c r="CU301" s="1411"/>
      <c r="CV301" s="1411"/>
      <c r="CW301" s="1425"/>
      <c r="CX301" s="1425"/>
      <c r="CY301" s="1425"/>
      <c r="CZ301" s="1425"/>
      <c r="DA301" s="1411"/>
      <c r="DB301" s="1411"/>
      <c r="DC301" s="1411"/>
      <c r="DD301" s="1411"/>
      <c r="DE301" s="1411"/>
      <c r="DF301" s="1411"/>
      <c r="DH301" s="1432"/>
      <c r="DI301" s="1432"/>
      <c r="DJ301" s="1437"/>
      <c r="DK301" s="1437"/>
      <c r="DL301" s="1437"/>
      <c r="DM301" s="1437"/>
      <c r="DN301" s="1432"/>
      <c r="DO301" s="1432"/>
      <c r="DP301" s="1432"/>
      <c r="DQ301" s="1432"/>
      <c r="DR301" s="1432"/>
      <c r="DS301" s="1432"/>
      <c r="DT301" s="1316"/>
      <c r="DU301" s="1433"/>
      <c r="DV301" s="1433"/>
      <c r="DW301" s="1433"/>
      <c r="DX301" s="1433"/>
      <c r="DY301" s="1433"/>
      <c r="DZ301" s="1433"/>
      <c r="EA301" s="1433"/>
      <c r="EB301" s="1433"/>
    </row>
    <row r="302" customFormat="false" ht="14.25" hidden="false" customHeight="false" outlineLevel="0" collapsed="false">
      <c r="A302" s="2" t="n">
        <f aca="false">'V_DATOS PAC_SGA'!R297</f>
        <v>0</v>
      </c>
      <c r="B302" s="2" t="n">
        <f aca="false">IF(I302="IV",CONCATENATE('V_DATOS PAC_SGA'!R297,"4")+0,CONCATENATE('V_DATOS PAC_SGA'!R297,"0")+0)</f>
        <v>0</v>
      </c>
      <c r="C302" s="2" t="n">
        <f aca="false">'V_DATOS PAC_SGA'!S297</f>
        <v>0</v>
      </c>
      <c r="D302" s="1409" t="n">
        <f aca="false">'V_DATOS PAC_SGA'!Y297</f>
        <v>0</v>
      </c>
      <c r="E302" s="1410" t="str">
        <f aca="false">IF('V_DATOS PAC_SGA'!AV297="","Regadio",'V_DATOS PAC_SGA'!AV297)</f>
        <v>Regadio</v>
      </c>
      <c r="F302" s="1411" t="n">
        <f aca="false">'V_DATOS PAC_SGA'!BK297</f>
        <v>0</v>
      </c>
      <c r="G302" s="1412" t="n">
        <f aca="false">'V_DATOS PAC_SGA'!AN297</f>
        <v>0</v>
      </c>
      <c r="H302" s="1413" t="str">
        <f aca="false">IF(B302&gt;0,VLOOKUP(B302,'O_MN, PE_UTA_UGM 2024'!E$3:O$419,10),"")</f>
        <v/>
      </c>
      <c r="I302" s="1359" t="n">
        <f aca="false">'V_DATOS PAC_SGA'!BV297</f>
        <v>0</v>
      </c>
      <c r="J302" s="2" t="str">
        <f aca="false">IF(AND(J$4=$G302,J$6=$F302),$D302*J$5,"")</f>
        <v/>
      </c>
      <c r="K302" s="2" t="str">
        <f aca="false">IF(AND(K$4=$G302,K$6=$F302),$D302*K$5,"")</f>
        <v/>
      </c>
      <c r="L302" s="2" t="str">
        <f aca="false">IF(AND(L$4=$G302,L$6=$F302),$D302*L$5,"")</f>
        <v/>
      </c>
      <c r="M302" s="2" t="str">
        <f aca="false">IF(AND(M$4=$G302,M$6=$F302),$D302*M$5,"")</f>
        <v/>
      </c>
      <c r="N302" s="1414" t="n">
        <f aca="false">VLOOKUP(B302,'O_MN, PE_UTA_UGM 2024'!$E$2:$K$419,IF(G302&gt;1,6,7))</f>
        <v>0</v>
      </c>
      <c r="O302" s="1434" t="str">
        <f aca="false">IF($H302=O$4,$D302*$N302,"")</f>
        <v/>
      </c>
      <c r="P302" s="1435" t="str">
        <f aca="false">IF($H302=P$4,$D302*$N302,"")</f>
        <v/>
      </c>
      <c r="Q302" s="1435" t="str">
        <f aca="false">IF($H302=Q$4,$D302*$N302,"")</f>
        <v/>
      </c>
      <c r="R302" s="1435" t="str">
        <f aca="false">IF($H302=R$4,$D302*$N302,"")</f>
        <v/>
      </c>
      <c r="S302" s="1435" t="str">
        <f aca="false">IF($H302=S$4,$D302*$N302,"")</f>
        <v/>
      </c>
      <c r="T302" s="1435" t="str">
        <f aca="false">IF($H302=T$4,$D302*$N302,"")</f>
        <v/>
      </c>
      <c r="U302" s="1436" t="str">
        <f aca="false">IF($H302=U$4,$D302*$N302,"")</f>
        <v/>
      </c>
      <c r="V302" s="1418"/>
      <c r="W302" s="1419"/>
      <c r="X302" s="1419"/>
      <c r="Y302" s="1419"/>
      <c r="Z302" s="1419"/>
      <c r="AA302" s="1419"/>
      <c r="AB302" s="1420"/>
      <c r="AC302" s="1319"/>
      <c r="AD302" s="2" t="str">
        <f aca="false">IF(AND(AD$4=$G302,AD$6=$F302),$B302,"")</f>
        <v/>
      </c>
      <c r="AE302" s="2" t="str">
        <f aca="false">IF(AND(AE$4=$G302,AE$6=$F302),$B302,"")</f>
        <v/>
      </c>
      <c r="AF302" s="2" t="str">
        <f aca="false">IF(AND(AF$4=$G302,AF$6=$F302),$B302,"")</f>
        <v/>
      </c>
      <c r="AG302" s="2" t="str">
        <f aca="false">IF(AND(AG$4=$G302,AG$6=$F302),$B302,"")</f>
        <v/>
      </c>
      <c r="AI302" s="366"/>
      <c r="AL302" s="367"/>
      <c r="AO302" s="367"/>
      <c r="AP302" s="2" t="str">
        <f aca="false">IF(AT302&gt;0,RANK(AT302,AT$7:AT$423),"")</f>
        <v/>
      </c>
      <c r="AQ302" s="2" t="n">
        <f aca="false">'O_MN, PE_UTA_UGM 2024'!C298</f>
        <v>305</v>
      </c>
      <c r="AR302" s="1421" t="n">
        <v>2900</v>
      </c>
      <c r="AS302" s="2" t="str">
        <f aca="false">IF(AY302&lt;&gt;"",AY302,"")</f>
        <v/>
      </c>
      <c r="AT302" s="1422" t="n">
        <f aca="false">IF(ISNUMBER($AR302),SUMIF(B$7:B$505,AR302,D$7:D$505),"")</f>
        <v>0</v>
      </c>
      <c r="AU302" s="1411" t="n">
        <f aca="false">IF(ISNUMBER($AR302),SUMIF(AD$7:AD$503,$AR302,J$7:J$503),"")</f>
        <v>0</v>
      </c>
      <c r="AV302" s="1411" t="n">
        <f aca="false">IF(ISNUMBER($AR302),SUMIF(AF$7:AF$503,$AR302,L$7:L$503),"")</f>
        <v>0</v>
      </c>
      <c r="AW302" s="1423" t="n">
        <f aca="false">IF(ISNUMBER($AR302),SUMIF(AE$7:AE$503,$AR302,K$7:K$503),"")</f>
        <v>0</v>
      </c>
      <c r="AX302" s="1423" t="n">
        <f aca="false">IF(ISNUMBER($AR302),SUMIF(AG$7:AG$503,$AR302,M$7:M$503),"")</f>
        <v>0</v>
      </c>
      <c r="AY302" s="2" t="str">
        <f aca="false">IF($AT302&gt;0,VLOOKUP($AR302,'O_MN, PE_UTA_UGM 2024'!E298:O714,2),"")</f>
        <v/>
      </c>
      <c r="AZ302" s="1424"/>
      <c r="BA302" s="1424"/>
      <c r="BB302" s="1424" t="str">
        <f aca="false">IF($AT302&gt;0,VLOOKUP($AR302,'O_MN, PE_UTA_UGM 2024'!$E$3:$O$419,BB$6),"")</f>
        <v/>
      </c>
      <c r="BC302" s="1424" t="str">
        <f aca="false">IF($AT302&gt;0,VLOOKUP($AR302,'O_MN, PE_UTA_UGM 2024'!$E$3:$O$419,BC$6),"")</f>
        <v/>
      </c>
      <c r="BD302" s="1424" t="str">
        <f aca="false">IF($AT302&gt;0,VLOOKUP($AR302,'O_MN, PE_UTA_UGM 2024'!$E$3:$O$419,BD$6),"")</f>
        <v/>
      </c>
      <c r="BE302" s="1424" t="str">
        <f aca="false">IF($AT302&gt;0,VLOOKUP($AR302,'O_MN, PE_UTA_UGM 2024'!$E$3:$O$419,BE$6),"")</f>
        <v/>
      </c>
      <c r="BF302" s="1424" t="str">
        <f aca="false">IF($AT302&gt;0,VLOOKUP($AR302,'O_MN, PE_UTA_UGM 2024'!$E$3:$O$419,BF$6),"")</f>
        <v/>
      </c>
      <c r="BG302" s="1424" t="str">
        <f aca="false">IF($AT302&gt;0,VLOOKUP($AR302,'O_MN, PE_UTA_UGM 2024'!$E$3:$O$419,BG$6),"")</f>
        <v/>
      </c>
      <c r="BH302" s="872"/>
      <c r="BI302" s="872"/>
      <c r="BJ302" s="872"/>
      <c r="BK302" s="872"/>
      <c r="BM302" s="1411"/>
      <c r="BN302" s="1411"/>
      <c r="BO302" s="1425" t="str">
        <f aca="false">IF(ISNUMBER($AU302*BB302*1),$AU302*BB302*1,"")</f>
        <v/>
      </c>
      <c r="BP302" s="1425" t="str">
        <f aca="false">IF(ISNUMBER($AV302*BC302*1),$AV302*BC302*1,"")</f>
        <v/>
      </c>
      <c r="BQ302" s="1425" t="str">
        <f aca="false">IF(ISNUMBER($AU302*BD302*1),$AU302*BD302*1,"")</f>
        <v/>
      </c>
      <c r="BR302" s="1425" t="str">
        <f aca="false">IF(ISNUMBER($AV302*BE302*1),$AV302*BE302*1,"")</f>
        <v/>
      </c>
      <c r="BS302" s="1411" t="str">
        <f aca="false">IF(ISNUMBER($AU302*BF302),$AU302*BF302,"")</f>
        <v/>
      </c>
      <c r="BT302" s="1411" t="str">
        <f aca="false">IF(ISNUMBER($AV302*BG302),$AV302*BG302,"")</f>
        <v/>
      </c>
      <c r="BU302" s="1411"/>
      <c r="BV302" s="1411"/>
      <c r="BW302" s="1411"/>
      <c r="BX302" s="1411"/>
      <c r="BZ302" s="1372"/>
      <c r="CA302" s="1372"/>
      <c r="CB302" s="1426" t="str">
        <f aca="false">IF(ISNUMBER($AW302*BB302),$AW302*BB302,"")</f>
        <v/>
      </c>
      <c r="CC302" s="1426" t="str">
        <f aca="false">IF(ISNUMBER($AX302*BC302),$AX302*BC302,"")</f>
        <v/>
      </c>
      <c r="CD302" s="1426" t="str">
        <f aca="false">IF(ISNUMBER($AW302*BD302),$AW302*BD302,"")</f>
        <v/>
      </c>
      <c r="CE302" s="1426" t="str">
        <f aca="false">IF(ISNUMBER($AX302*BE302),$AX302*BE302,"")</f>
        <v/>
      </c>
      <c r="CF302" s="1372" t="str">
        <f aca="false">IF(ISNUMBER($AW302*BF302),$AW302*BF302,"")</f>
        <v/>
      </c>
      <c r="CG302" s="1372" t="str">
        <f aca="false">IF(ISNUMBER($AX302*BG302),$AX302*BG302,"")</f>
        <v/>
      </c>
      <c r="CH302" s="1438"/>
      <c r="CI302" s="1438"/>
      <c r="CJ302" s="1438"/>
      <c r="CK302" s="1438"/>
      <c r="CU302" s="1411"/>
      <c r="CV302" s="1411"/>
      <c r="CW302" s="1425"/>
      <c r="CX302" s="1425"/>
      <c r="CY302" s="1425"/>
      <c r="CZ302" s="1425"/>
      <c r="DA302" s="1411"/>
      <c r="DB302" s="1411"/>
      <c r="DC302" s="1411"/>
      <c r="DD302" s="1411"/>
      <c r="DE302" s="1411"/>
      <c r="DF302" s="1411"/>
      <c r="DH302" s="1432"/>
      <c r="DI302" s="1432"/>
      <c r="DJ302" s="1437"/>
      <c r="DK302" s="1437"/>
      <c r="DL302" s="1437"/>
      <c r="DM302" s="1437"/>
      <c r="DN302" s="1432"/>
      <c r="DO302" s="1432"/>
      <c r="DP302" s="1432"/>
      <c r="DQ302" s="1432"/>
      <c r="DR302" s="1432"/>
      <c r="DS302" s="1432"/>
      <c r="DT302" s="1316"/>
      <c r="DU302" s="1433"/>
      <c r="DV302" s="1433"/>
      <c r="DW302" s="1433"/>
      <c r="DX302" s="1433"/>
      <c r="DY302" s="1433"/>
      <c r="DZ302" s="1433"/>
      <c r="EA302" s="1433"/>
      <c r="EB302" s="1433"/>
    </row>
    <row r="303" customFormat="false" ht="14.25" hidden="false" customHeight="false" outlineLevel="0" collapsed="false">
      <c r="A303" s="2" t="n">
        <f aca="false">'V_DATOS PAC_SGA'!R298</f>
        <v>0</v>
      </c>
      <c r="B303" s="2" t="n">
        <f aca="false">IF(I303="IV",CONCATENATE('V_DATOS PAC_SGA'!R298,"4")+0,CONCATENATE('V_DATOS PAC_SGA'!R298,"0")+0)</f>
        <v>0</v>
      </c>
      <c r="C303" s="2" t="n">
        <f aca="false">'V_DATOS PAC_SGA'!S298</f>
        <v>0</v>
      </c>
      <c r="D303" s="1409" t="n">
        <f aca="false">'V_DATOS PAC_SGA'!Y298</f>
        <v>0</v>
      </c>
      <c r="E303" s="1410" t="str">
        <f aca="false">IF('V_DATOS PAC_SGA'!AV298="","Regadio",'V_DATOS PAC_SGA'!AV298)</f>
        <v>Regadio</v>
      </c>
      <c r="F303" s="1411" t="n">
        <f aca="false">'V_DATOS PAC_SGA'!BK298</f>
        <v>0</v>
      </c>
      <c r="G303" s="1412" t="n">
        <f aca="false">'V_DATOS PAC_SGA'!AN298</f>
        <v>0</v>
      </c>
      <c r="H303" s="1413" t="str">
        <f aca="false">IF(B303&gt;0,VLOOKUP(B303,'O_MN, PE_UTA_UGM 2024'!E$3:O$419,10),"")</f>
        <v/>
      </c>
      <c r="I303" s="1359" t="n">
        <f aca="false">'V_DATOS PAC_SGA'!BV298</f>
        <v>0</v>
      </c>
      <c r="J303" s="2" t="str">
        <f aca="false">IF(AND(J$4=$G303,J$6=$F303),$D303*J$5,"")</f>
        <v/>
      </c>
      <c r="K303" s="2" t="str">
        <f aca="false">IF(AND(K$4=$G303,K$6=$F303),$D303*K$5,"")</f>
        <v/>
      </c>
      <c r="L303" s="2" t="str">
        <f aca="false">IF(AND(L$4=$G303,L$6=$F303),$D303*L$5,"")</f>
        <v/>
      </c>
      <c r="M303" s="2" t="str">
        <f aca="false">IF(AND(M$4=$G303,M$6=$F303),$D303*M$5,"")</f>
        <v/>
      </c>
      <c r="N303" s="1414" t="n">
        <f aca="false">VLOOKUP(B303,'O_MN, PE_UTA_UGM 2024'!$E$2:$K$419,IF(G303&gt;1,6,7))</f>
        <v>0</v>
      </c>
      <c r="O303" s="1434" t="str">
        <f aca="false">IF($H303=O$4,$D303*$N303,"")</f>
        <v/>
      </c>
      <c r="P303" s="1435" t="str">
        <f aca="false">IF($H303=P$4,$D303*$N303,"")</f>
        <v/>
      </c>
      <c r="Q303" s="1435" t="str">
        <f aca="false">IF($H303=Q$4,$D303*$N303,"")</f>
        <v/>
      </c>
      <c r="R303" s="1435" t="str">
        <f aca="false">IF($H303=R$4,$D303*$N303,"")</f>
        <v/>
      </c>
      <c r="S303" s="1435" t="str">
        <f aca="false">IF($H303=S$4,$D303*$N303,"")</f>
        <v/>
      </c>
      <c r="T303" s="1435" t="str">
        <f aca="false">IF($H303=T$4,$D303*$N303,"")</f>
        <v/>
      </c>
      <c r="U303" s="1436" t="str">
        <f aca="false">IF($H303=U$4,$D303*$N303,"")</f>
        <v/>
      </c>
      <c r="V303" s="1418"/>
      <c r="W303" s="1419"/>
      <c r="X303" s="1419"/>
      <c r="Y303" s="1419"/>
      <c r="Z303" s="1419"/>
      <c r="AA303" s="1419"/>
      <c r="AB303" s="1420"/>
      <c r="AC303" s="1319"/>
      <c r="AD303" s="2" t="str">
        <f aca="false">IF(AND(AD$4=$G303,AD$6=$F303),$B303,"")</f>
        <v/>
      </c>
      <c r="AE303" s="2" t="str">
        <f aca="false">IF(AND(AE$4=$G303,AE$6=$F303),$B303,"")</f>
        <v/>
      </c>
      <c r="AF303" s="2" t="str">
        <f aca="false">IF(AND(AF$4=$G303,AF$6=$F303),$B303,"")</f>
        <v/>
      </c>
      <c r="AG303" s="2" t="str">
        <f aca="false">IF(AND(AG$4=$G303,AG$6=$F303),$B303,"")</f>
        <v/>
      </c>
      <c r="AI303" s="366"/>
      <c r="AL303" s="367"/>
      <c r="AO303" s="367"/>
      <c r="AP303" s="2" t="str">
        <f aca="false">IF(AT303&gt;0,RANK(AT303,AT$7:AT$423),"")</f>
        <v/>
      </c>
      <c r="AQ303" s="2" t="n">
        <f aca="false">'O_MN, PE_UTA_UGM 2024'!C299</f>
        <v>306</v>
      </c>
      <c r="AR303" s="1421" t="n">
        <v>2910</v>
      </c>
      <c r="AS303" s="2" t="str">
        <f aca="false">IF(AY303&lt;&gt;"",AY303,"")</f>
        <v/>
      </c>
      <c r="AT303" s="1422" t="n">
        <f aca="false">IF(ISNUMBER($AR303),SUMIF(B$7:B$505,AR303,D$7:D$505),"")</f>
        <v>0</v>
      </c>
      <c r="AU303" s="1411" t="n">
        <f aca="false">IF(ISNUMBER($AR303),SUMIF(AD$7:AD$503,$AR303,J$7:J$503),"")</f>
        <v>0</v>
      </c>
      <c r="AV303" s="1411" t="n">
        <f aca="false">IF(ISNUMBER($AR303),SUMIF(AF$7:AF$503,$AR303,L$7:L$503),"")</f>
        <v>0</v>
      </c>
      <c r="AW303" s="1423" t="n">
        <f aca="false">IF(ISNUMBER($AR303),SUMIF(AE$7:AE$503,$AR303,K$7:K$503),"")</f>
        <v>0</v>
      </c>
      <c r="AX303" s="1423" t="n">
        <f aca="false">IF(ISNUMBER($AR303),SUMIF(AG$7:AG$503,$AR303,M$7:M$503),"")</f>
        <v>0</v>
      </c>
      <c r="AY303" s="2" t="str">
        <f aca="false">IF($AT303&gt;0,VLOOKUP($AR303,'O_MN, PE_UTA_UGM 2024'!E299:O715,2),"")</f>
        <v/>
      </c>
      <c r="AZ303" s="1424"/>
      <c r="BA303" s="1424"/>
      <c r="BB303" s="1424" t="str">
        <f aca="false">IF($AT303&gt;0,VLOOKUP($AR303,'O_MN, PE_UTA_UGM 2024'!$E$3:$O$419,BB$6),"")</f>
        <v/>
      </c>
      <c r="BC303" s="1424" t="str">
        <f aca="false">IF($AT303&gt;0,VLOOKUP($AR303,'O_MN, PE_UTA_UGM 2024'!$E$3:$O$419,BC$6),"")</f>
        <v/>
      </c>
      <c r="BD303" s="1424" t="str">
        <f aca="false">IF($AT303&gt;0,VLOOKUP($AR303,'O_MN, PE_UTA_UGM 2024'!$E$3:$O$419,BD$6),"")</f>
        <v/>
      </c>
      <c r="BE303" s="1424" t="str">
        <f aca="false">IF($AT303&gt;0,VLOOKUP($AR303,'O_MN, PE_UTA_UGM 2024'!$E$3:$O$419,BE$6),"")</f>
        <v/>
      </c>
      <c r="BF303" s="1424" t="str">
        <f aca="false">IF($AT303&gt;0,VLOOKUP($AR303,'O_MN, PE_UTA_UGM 2024'!$E$3:$O$419,BF$6),"")</f>
        <v/>
      </c>
      <c r="BG303" s="1424" t="str">
        <f aca="false">IF($AT303&gt;0,VLOOKUP($AR303,'O_MN, PE_UTA_UGM 2024'!$E$3:$O$419,BG$6),"")</f>
        <v/>
      </c>
      <c r="BH303" s="872"/>
      <c r="BI303" s="872"/>
      <c r="BJ303" s="872"/>
      <c r="BK303" s="872"/>
      <c r="BM303" s="1411"/>
      <c r="BN303" s="1411"/>
      <c r="BO303" s="1425" t="str">
        <f aca="false">IF(ISNUMBER($AU303*BB303*1),$AU303*BB303*1,"")</f>
        <v/>
      </c>
      <c r="BP303" s="1425" t="str">
        <f aca="false">IF(ISNUMBER($AV303*BC303*1),$AV303*BC303*1,"")</f>
        <v/>
      </c>
      <c r="BQ303" s="1425" t="str">
        <f aca="false">IF(ISNUMBER($AU303*BD303*1),$AU303*BD303*1,"")</f>
        <v/>
      </c>
      <c r="BR303" s="1425" t="str">
        <f aca="false">IF(ISNUMBER($AV303*BE303*1),$AV303*BE303*1,"")</f>
        <v/>
      </c>
      <c r="BS303" s="1411" t="str">
        <f aca="false">IF(ISNUMBER($AU303*BF303),$AU303*BF303,"")</f>
        <v/>
      </c>
      <c r="BT303" s="1411" t="str">
        <f aca="false">IF(ISNUMBER($AV303*BG303),$AV303*BG303,"")</f>
        <v/>
      </c>
      <c r="BU303" s="1411"/>
      <c r="BV303" s="1411"/>
      <c r="BW303" s="1411"/>
      <c r="BX303" s="1411"/>
      <c r="BZ303" s="1372"/>
      <c r="CA303" s="1372"/>
      <c r="CB303" s="1426" t="str">
        <f aca="false">IF(ISNUMBER($AW303*BB303),$AW303*BB303,"")</f>
        <v/>
      </c>
      <c r="CC303" s="1426" t="str">
        <f aca="false">IF(ISNUMBER($AX303*BC303),$AX303*BC303,"")</f>
        <v/>
      </c>
      <c r="CD303" s="1426" t="str">
        <f aca="false">IF(ISNUMBER($AW303*BD303),$AW303*BD303,"")</f>
        <v/>
      </c>
      <c r="CE303" s="1426" t="str">
        <f aca="false">IF(ISNUMBER($AX303*BE303),$AX303*BE303,"")</f>
        <v/>
      </c>
      <c r="CF303" s="1372" t="str">
        <f aca="false">IF(ISNUMBER($AW303*BF303),$AW303*BF303,"")</f>
        <v/>
      </c>
      <c r="CG303" s="1372" t="str">
        <f aca="false">IF(ISNUMBER($AX303*BG303),$AX303*BG303,"")</f>
        <v/>
      </c>
      <c r="CH303" s="1438"/>
      <c r="CI303" s="1438"/>
      <c r="CJ303" s="1438"/>
      <c r="CK303" s="1438"/>
      <c r="CU303" s="1411"/>
      <c r="CV303" s="1411"/>
      <c r="CW303" s="1425"/>
      <c r="CX303" s="1425"/>
      <c r="CY303" s="1425"/>
      <c r="CZ303" s="1425"/>
      <c r="DA303" s="1411"/>
      <c r="DB303" s="1411"/>
      <c r="DC303" s="1411"/>
      <c r="DD303" s="1411"/>
      <c r="DE303" s="1411"/>
      <c r="DF303" s="1411"/>
      <c r="DH303" s="1432"/>
      <c r="DI303" s="1432"/>
      <c r="DJ303" s="1437"/>
      <c r="DK303" s="1437"/>
      <c r="DL303" s="1437"/>
      <c r="DM303" s="1437"/>
      <c r="DN303" s="1432"/>
      <c r="DO303" s="1432"/>
      <c r="DP303" s="1432"/>
      <c r="DQ303" s="1432"/>
      <c r="DR303" s="1432"/>
      <c r="DS303" s="1432"/>
      <c r="DT303" s="1316"/>
      <c r="DU303" s="1433"/>
      <c r="DV303" s="1433"/>
      <c r="DW303" s="1433"/>
      <c r="DX303" s="1433"/>
      <c r="DY303" s="1433"/>
      <c r="DZ303" s="1433"/>
      <c r="EA303" s="1433"/>
      <c r="EB303" s="1433"/>
    </row>
    <row r="304" customFormat="false" ht="14.25" hidden="false" customHeight="false" outlineLevel="0" collapsed="false">
      <c r="A304" s="2" t="n">
        <f aca="false">'V_DATOS PAC_SGA'!R299</f>
        <v>0</v>
      </c>
      <c r="B304" s="2" t="n">
        <f aca="false">IF(I304="IV",CONCATENATE('V_DATOS PAC_SGA'!R299,"4")+0,CONCATENATE('V_DATOS PAC_SGA'!R299,"0")+0)</f>
        <v>0</v>
      </c>
      <c r="C304" s="2" t="n">
        <f aca="false">'V_DATOS PAC_SGA'!S299</f>
        <v>0</v>
      </c>
      <c r="D304" s="1409" t="n">
        <f aca="false">'V_DATOS PAC_SGA'!Y299</f>
        <v>0</v>
      </c>
      <c r="E304" s="1410" t="str">
        <f aca="false">IF('V_DATOS PAC_SGA'!AV299="","Regadio",'V_DATOS PAC_SGA'!AV299)</f>
        <v>Regadio</v>
      </c>
      <c r="F304" s="1411" t="n">
        <f aca="false">'V_DATOS PAC_SGA'!BK299</f>
        <v>0</v>
      </c>
      <c r="G304" s="1412" t="n">
        <f aca="false">'V_DATOS PAC_SGA'!AN299</f>
        <v>0</v>
      </c>
      <c r="H304" s="1413" t="str">
        <f aca="false">IF(B304&gt;0,VLOOKUP(B304,'O_MN, PE_UTA_UGM 2024'!E$3:O$419,10),"")</f>
        <v/>
      </c>
      <c r="I304" s="1470" t="n">
        <f aca="false">'V_DATOS PAC_SGA'!BV299</f>
        <v>0</v>
      </c>
      <c r="J304" s="2" t="str">
        <f aca="false">IF(AND(J$4=$G304,J$6=$F304),$D304*J$5,"")</f>
        <v/>
      </c>
      <c r="K304" s="2" t="str">
        <f aca="false">IF(AND(K$4=$G304,K$6=$F304),$D304*K$5,"")</f>
        <v/>
      </c>
      <c r="L304" s="2" t="str">
        <f aca="false">IF(AND(L$4=$G304,L$6=$F304),$D304*L$5,"")</f>
        <v/>
      </c>
      <c r="M304" s="2" t="str">
        <f aca="false">IF(AND(M$4=$G304,M$6=$F304),$D304*M$5,"")</f>
        <v/>
      </c>
      <c r="N304" s="1414" t="n">
        <f aca="false">VLOOKUP(B304,'O_MN, PE_UTA_UGM 2024'!$E$2:$K$419,IF(G304&gt;1,6,7))</f>
        <v>0</v>
      </c>
      <c r="O304" s="1435" t="str">
        <f aca="false">IF($H304=O$4,$D304*$N304,"")</f>
        <v/>
      </c>
      <c r="P304" s="1435" t="str">
        <f aca="false">IF($H304=P$4,$D304*$N304,"")</f>
        <v/>
      </c>
      <c r="Q304" s="1435" t="str">
        <f aca="false">IF($H304=Q$4,$D304*$N304,"")</f>
        <v/>
      </c>
      <c r="R304" s="1435" t="str">
        <f aca="false">IF($H304=R$4,$D304*$N304,"")</f>
        <v/>
      </c>
      <c r="S304" s="1435" t="str">
        <f aca="false">IF($H304=S$4,$D304*$N304,"")</f>
        <v/>
      </c>
      <c r="T304" s="1435" t="str">
        <f aca="false">IF($H304=T$4,$D304*$N304,"")</f>
        <v/>
      </c>
      <c r="U304" s="1435" t="str">
        <f aca="false">IF($H304=U$4,$D304*$N304,"")</f>
        <v/>
      </c>
      <c r="V304" s="1471"/>
      <c r="W304" s="1471"/>
      <c r="X304" s="1471"/>
      <c r="Y304" s="1471"/>
      <c r="Z304" s="1471"/>
      <c r="AA304" s="1471"/>
      <c r="AB304" s="1471"/>
      <c r="AC304" s="1319"/>
      <c r="AD304" s="2" t="str">
        <f aca="false">IF(AND(AD$4=$G304,AD$6=$F304),$B304,"")</f>
        <v/>
      </c>
      <c r="AE304" s="2" t="str">
        <f aca="false">IF(AND(AE$4=$G304,AE$6=$F304),$B304,"")</f>
        <v/>
      </c>
      <c r="AF304" s="2" t="str">
        <f aca="false">IF(AND(AF$4=$G304,AF$6=$F304),$B304,"")</f>
        <v/>
      </c>
      <c r="AG304" s="2" t="str">
        <f aca="false">IF(AND(AG$4=$G304,AG$6=$F304),$B304,"")</f>
        <v/>
      </c>
      <c r="AI304" s="366"/>
      <c r="AL304" s="367"/>
      <c r="AO304" s="367"/>
      <c r="AP304" s="2" t="str">
        <f aca="false">IF(AT304&gt;0,RANK(AT304,AT$7:AT$423),"")</f>
        <v/>
      </c>
      <c r="AQ304" s="2" t="n">
        <f aca="false">'O_MN, PE_UTA_UGM 2024'!C300</f>
        <v>307</v>
      </c>
      <c r="AR304" s="1421" t="n">
        <v>2980</v>
      </c>
      <c r="AS304" s="2" t="str">
        <f aca="false">IF(AY304&lt;&gt;"",AY304,"")</f>
        <v/>
      </c>
      <c r="AT304" s="1422" t="n">
        <f aca="false">IF(ISNUMBER($AR304),SUMIF(B$7:B$505,AR304,D$7:D$505),"")</f>
        <v>0</v>
      </c>
      <c r="AU304" s="1411" t="n">
        <f aca="false">IF(ISNUMBER($AR304),SUMIF(AD$7:AD$503,$AR304,J$7:J$503),"")</f>
        <v>0</v>
      </c>
      <c r="AV304" s="1411" t="n">
        <f aca="false">IF(ISNUMBER($AR304),SUMIF(AF$7:AF$503,$AR304,L$7:L$503),"")</f>
        <v>0</v>
      </c>
      <c r="AW304" s="1423" t="n">
        <f aca="false">IF(ISNUMBER($AR304),SUMIF(AE$7:AE$503,$AR304,K$7:K$503),"")</f>
        <v>0</v>
      </c>
      <c r="AX304" s="1423" t="n">
        <f aca="false">IF(ISNUMBER($AR304),SUMIF(AG$7:AG$503,$AR304,M$7:M$503),"")</f>
        <v>0</v>
      </c>
      <c r="AY304" s="2" t="str">
        <f aca="false">IF($AT304&gt;0,VLOOKUP($AR304,'O_MN, PE_UTA_UGM 2024'!E300:O716,2),"")</f>
        <v/>
      </c>
      <c r="AZ304" s="1424"/>
      <c r="BA304" s="1424"/>
      <c r="BB304" s="1424" t="str">
        <f aca="false">IF($AT304&gt;0,VLOOKUP($AR304,'O_MN, PE_UTA_UGM 2024'!$E$3:$O$419,BB$6),"")</f>
        <v/>
      </c>
      <c r="BC304" s="1424" t="str">
        <f aca="false">IF($AT304&gt;0,VLOOKUP($AR304,'O_MN, PE_UTA_UGM 2024'!$E$3:$O$419,BC$6),"")</f>
        <v/>
      </c>
      <c r="BD304" s="1424" t="str">
        <f aca="false">IF($AT304&gt;0,VLOOKUP($AR304,'O_MN, PE_UTA_UGM 2024'!$E$3:$O$419,BD$6),"")</f>
        <v/>
      </c>
      <c r="BE304" s="1424" t="str">
        <f aca="false">IF($AT304&gt;0,VLOOKUP($AR304,'O_MN, PE_UTA_UGM 2024'!$E$3:$O$419,BE$6),"")</f>
        <v/>
      </c>
      <c r="BF304" s="1424" t="str">
        <f aca="false">IF($AT304&gt;0,VLOOKUP($AR304,'O_MN, PE_UTA_UGM 2024'!$E$3:$O$419,BF$6),"")</f>
        <v/>
      </c>
      <c r="BG304" s="1424" t="str">
        <f aca="false">IF($AT304&gt;0,VLOOKUP($AR304,'O_MN, PE_UTA_UGM 2024'!$E$3:$O$419,BG$6),"")</f>
        <v/>
      </c>
      <c r="BH304" s="872"/>
      <c r="BI304" s="872"/>
      <c r="BJ304" s="872"/>
      <c r="BK304" s="872"/>
      <c r="BM304" s="1411"/>
      <c r="BN304" s="1411"/>
      <c r="BO304" s="1425" t="str">
        <f aca="false">IF(ISNUMBER($AU304*BB304*1),$AU304*BB304*1,"")</f>
        <v/>
      </c>
      <c r="BP304" s="1425" t="str">
        <f aca="false">IF(ISNUMBER($AV304*BC304*1),$AV304*BC304*1,"")</f>
        <v/>
      </c>
      <c r="BQ304" s="1425" t="str">
        <f aca="false">IF(ISNUMBER($AU304*BD304*1),$AU304*BD304*1,"")</f>
        <v/>
      </c>
      <c r="BR304" s="1425" t="str">
        <f aca="false">IF(ISNUMBER($AV304*BE304*1),$AV304*BE304*1,"")</f>
        <v/>
      </c>
      <c r="BS304" s="1411" t="str">
        <f aca="false">IF(ISNUMBER($AU304*BF304),$AU304*BF304,"")</f>
        <v/>
      </c>
      <c r="BT304" s="1411" t="str">
        <f aca="false">IF(ISNUMBER($AV304*BG304),$AV304*BG304,"")</f>
        <v/>
      </c>
      <c r="BU304" s="1411"/>
      <c r="BV304" s="1411"/>
      <c r="BW304" s="1411"/>
      <c r="BX304" s="1411"/>
      <c r="BZ304" s="1372"/>
      <c r="CA304" s="1372"/>
      <c r="CB304" s="1426" t="str">
        <f aca="false">IF(ISNUMBER($AW304*BB304),$AW304*BB304,"")</f>
        <v/>
      </c>
      <c r="CC304" s="1426" t="str">
        <f aca="false">IF(ISNUMBER($AX304*BC304),$AX304*BC304,"")</f>
        <v/>
      </c>
      <c r="CD304" s="1426" t="str">
        <f aca="false">IF(ISNUMBER($AW304*BD304),$AW304*BD304,"")</f>
        <v/>
      </c>
      <c r="CE304" s="1426" t="str">
        <f aca="false">IF(ISNUMBER($AX304*BE304),$AX304*BE304,"")</f>
        <v/>
      </c>
      <c r="CF304" s="1372" t="str">
        <f aca="false">IF(ISNUMBER($AW304*BF304),$AW304*BF304,"")</f>
        <v/>
      </c>
      <c r="CG304" s="1372" t="str">
        <f aca="false">IF(ISNUMBER($AX304*BG304),$AX304*BG304,"")</f>
        <v/>
      </c>
      <c r="CH304" s="1438"/>
      <c r="CI304" s="1438"/>
      <c r="CJ304" s="1438"/>
      <c r="CK304" s="1438"/>
      <c r="CU304" s="1411"/>
      <c r="CV304" s="1411"/>
      <c r="CW304" s="1425"/>
      <c r="CX304" s="1425"/>
      <c r="CY304" s="1425"/>
      <c r="CZ304" s="1425"/>
      <c r="DA304" s="1411"/>
      <c r="DB304" s="1411"/>
      <c r="DC304" s="1411"/>
      <c r="DD304" s="1411"/>
      <c r="DE304" s="1411"/>
      <c r="DF304" s="1411"/>
      <c r="DH304" s="1432"/>
      <c r="DI304" s="1432"/>
      <c r="DJ304" s="1437"/>
      <c r="DK304" s="1437"/>
      <c r="DL304" s="1437"/>
      <c r="DM304" s="1437"/>
      <c r="DN304" s="1432"/>
      <c r="DO304" s="1432"/>
      <c r="DP304" s="1432"/>
      <c r="DQ304" s="1432"/>
      <c r="DR304" s="1432"/>
      <c r="DS304" s="1432"/>
      <c r="DT304" s="1316"/>
      <c r="DU304" s="1433"/>
      <c r="DV304" s="1433"/>
      <c r="DW304" s="1433"/>
      <c r="DX304" s="1433"/>
      <c r="DY304" s="1433"/>
      <c r="DZ304" s="1433"/>
      <c r="EA304" s="1433"/>
      <c r="EB304" s="1433"/>
    </row>
    <row r="305" customFormat="false" ht="14.25" hidden="false" customHeight="false" outlineLevel="0" collapsed="false">
      <c r="A305" s="2" t="n">
        <f aca="false">'V_DATOS PAC_SGA'!R300</f>
        <v>0</v>
      </c>
      <c r="B305" s="2" t="n">
        <f aca="false">IF(I305="IV",CONCATENATE('V_DATOS PAC_SGA'!R300,"4")+0,CONCATENATE('V_DATOS PAC_SGA'!R300,"0")+0)</f>
        <v>0</v>
      </c>
      <c r="C305" s="2" t="n">
        <f aca="false">'V_DATOS PAC_SGA'!S300</f>
        <v>0</v>
      </c>
      <c r="D305" s="1409" t="n">
        <f aca="false">'V_DATOS PAC_SGA'!Y300</f>
        <v>0</v>
      </c>
      <c r="E305" s="1410" t="str">
        <f aca="false">IF('V_DATOS PAC_SGA'!AV300="","Regadio",'V_DATOS PAC_SGA'!AV300)</f>
        <v>Regadio</v>
      </c>
      <c r="F305" s="1411" t="n">
        <f aca="false">'V_DATOS PAC_SGA'!BK300</f>
        <v>0</v>
      </c>
      <c r="G305" s="1412" t="n">
        <f aca="false">'V_DATOS PAC_SGA'!AN300</f>
        <v>0</v>
      </c>
      <c r="H305" s="1413" t="str">
        <f aca="false">IF(B305&gt;0,VLOOKUP(B305,'O_MN, PE_UTA_UGM 2024'!E$3:O$419,10),"")</f>
        <v/>
      </c>
      <c r="I305" s="1470" t="n">
        <f aca="false">'V_DATOS PAC_SGA'!BV300</f>
        <v>0</v>
      </c>
      <c r="J305" s="2" t="str">
        <f aca="false">IF(AND(J$4=$G305,J$6=$F305),$D305*J$5,"")</f>
        <v/>
      </c>
      <c r="K305" s="2" t="str">
        <f aca="false">IF(AND(K$4=$G305,K$6=$F305),$D305*K$5,"")</f>
        <v/>
      </c>
      <c r="L305" s="2" t="str">
        <f aca="false">IF(AND(L$4=$G305,L$6=$F305),$D305*L$5,"")</f>
        <v/>
      </c>
      <c r="M305" s="2" t="str">
        <f aca="false">IF(AND(M$4=$G305,M$6=$F305),$D305*M$5,"")</f>
        <v/>
      </c>
      <c r="N305" s="1414" t="n">
        <f aca="false">VLOOKUP(B305,'O_MN, PE_UTA_UGM 2024'!$E$2:$K$419,IF(G305&gt;1,6,7))</f>
        <v>0</v>
      </c>
      <c r="O305" s="1435" t="str">
        <f aca="false">IF($H305=O$4,$D305*$N305,"")</f>
        <v/>
      </c>
      <c r="P305" s="1435" t="str">
        <f aca="false">IF($H305=P$4,$D305*$N305,"")</f>
        <v/>
      </c>
      <c r="Q305" s="1435" t="str">
        <f aca="false">IF($H305=Q$4,$D305*$N305,"")</f>
        <v/>
      </c>
      <c r="R305" s="1435" t="str">
        <f aca="false">IF($H305=R$4,$D305*$N305,"")</f>
        <v/>
      </c>
      <c r="S305" s="1435" t="str">
        <f aca="false">IF($H305=S$4,$D305*$N305,"")</f>
        <v/>
      </c>
      <c r="T305" s="1435" t="str">
        <f aca="false">IF($H305=T$4,$D305*$N305,"")</f>
        <v/>
      </c>
      <c r="U305" s="1435" t="str">
        <f aca="false">IF($H305=U$4,$D305*$N305,"")</f>
        <v/>
      </c>
      <c r="V305" s="1471"/>
      <c r="W305" s="1471"/>
      <c r="X305" s="1471"/>
      <c r="Y305" s="1471"/>
      <c r="Z305" s="1471"/>
      <c r="AA305" s="1471"/>
      <c r="AB305" s="1471"/>
      <c r="AC305" s="1319"/>
      <c r="AD305" s="2" t="str">
        <f aca="false">IF(AND(AD$4=$G305,AD$6=$F305),$B305,"")</f>
        <v/>
      </c>
      <c r="AE305" s="2" t="str">
        <f aca="false">IF(AND(AE$4=$G305,AE$6=$F305),$B305,"")</f>
        <v/>
      </c>
      <c r="AF305" s="2" t="str">
        <f aca="false">IF(AND(AF$4=$G305,AF$6=$F305),$B305,"")</f>
        <v/>
      </c>
      <c r="AG305" s="2" t="str">
        <f aca="false">IF(AND(AG$4=$G305,AG$6=$F305),$B305,"")</f>
        <v/>
      </c>
      <c r="AI305" s="366"/>
      <c r="AL305" s="367"/>
      <c r="AO305" s="367"/>
      <c r="AP305" s="2" t="str">
        <f aca="false">IF(AT305&gt;0,RANK(AT305,AT$7:AT$423),"")</f>
        <v/>
      </c>
      <c r="AQ305" s="2" t="n">
        <f aca="false">'O_MN, PE_UTA_UGM 2024'!C301</f>
        <v>316</v>
      </c>
      <c r="AR305" s="1421" t="n">
        <v>2990</v>
      </c>
      <c r="AS305" s="2" t="str">
        <f aca="false">IF(AY305&lt;&gt;"",AY305,"")</f>
        <v/>
      </c>
      <c r="AT305" s="1422" t="n">
        <f aca="false">IF(ISNUMBER($AR305),SUMIF(B$7:B$505,AR305,D$7:D$505),"")</f>
        <v>0</v>
      </c>
      <c r="AU305" s="1411" t="n">
        <f aca="false">IF(ISNUMBER($AR305),SUMIF(AD$7:AD$503,$AR305,J$7:J$503),"")</f>
        <v>0</v>
      </c>
      <c r="AV305" s="1411" t="n">
        <f aca="false">IF(ISNUMBER($AR305),SUMIF(AF$7:AF$503,$AR305,L$7:L$503),"")</f>
        <v>0</v>
      </c>
      <c r="AW305" s="1423" t="n">
        <f aca="false">IF(ISNUMBER($AR305),SUMIF(AE$7:AE$503,$AR305,K$7:K$503),"")</f>
        <v>0</v>
      </c>
      <c r="AX305" s="1423" t="n">
        <f aca="false">IF(ISNUMBER($AR305),SUMIF(AG$7:AG$503,$AR305,M$7:M$503),"")</f>
        <v>0</v>
      </c>
      <c r="AY305" s="2" t="str">
        <f aca="false">IF($AT305&gt;0,VLOOKUP($AR305,'O_MN, PE_UTA_UGM 2024'!E301:O717,2),"")</f>
        <v/>
      </c>
      <c r="AZ305" s="1424"/>
      <c r="BA305" s="1424"/>
      <c r="BB305" s="1424" t="str">
        <f aca="false">IF($AT305&gt;0,VLOOKUP($AR305,'O_MN, PE_UTA_UGM 2024'!$E$3:$O$419,BB$6),"")</f>
        <v/>
      </c>
      <c r="BC305" s="1424" t="str">
        <f aca="false">IF($AT305&gt;0,VLOOKUP($AR305,'O_MN, PE_UTA_UGM 2024'!$E$3:$O$419,BC$6),"")</f>
        <v/>
      </c>
      <c r="BD305" s="1424" t="str">
        <f aca="false">IF($AT305&gt;0,VLOOKUP($AR305,'O_MN, PE_UTA_UGM 2024'!$E$3:$O$419,BD$6),"")</f>
        <v/>
      </c>
      <c r="BE305" s="1424" t="str">
        <f aca="false">IF($AT305&gt;0,VLOOKUP($AR305,'O_MN, PE_UTA_UGM 2024'!$E$3:$O$419,BE$6),"")</f>
        <v/>
      </c>
      <c r="BF305" s="1424" t="str">
        <f aca="false">IF($AT305&gt;0,VLOOKUP($AR305,'O_MN, PE_UTA_UGM 2024'!$E$3:$O$419,BF$6),"")</f>
        <v/>
      </c>
      <c r="BG305" s="1424" t="str">
        <f aca="false">IF($AT305&gt;0,VLOOKUP($AR305,'O_MN, PE_UTA_UGM 2024'!$E$3:$O$419,BG$6),"")</f>
        <v/>
      </c>
      <c r="BH305" s="872"/>
      <c r="BI305" s="872"/>
      <c r="BJ305" s="872"/>
      <c r="BK305" s="872"/>
      <c r="BM305" s="1411"/>
      <c r="BN305" s="1411"/>
      <c r="BO305" s="1425" t="str">
        <f aca="false">IF(ISNUMBER($AU305*BB305*1),$AU305*BB305*1,"")</f>
        <v/>
      </c>
      <c r="BP305" s="1425" t="str">
        <f aca="false">IF(ISNUMBER($AV305*BC305*1),$AV305*BC305*1,"")</f>
        <v/>
      </c>
      <c r="BQ305" s="1425" t="str">
        <f aca="false">IF(ISNUMBER($AU305*BD305*1),$AU305*BD305*1,"")</f>
        <v/>
      </c>
      <c r="BR305" s="1425" t="str">
        <f aca="false">IF(ISNUMBER($AV305*BE305*1),$AV305*BE305*1,"")</f>
        <v/>
      </c>
      <c r="BS305" s="1411" t="str">
        <f aca="false">IF(ISNUMBER($AU305*BF305),$AU305*BF305,"")</f>
        <v/>
      </c>
      <c r="BT305" s="1411" t="str">
        <f aca="false">IF(ISNUMBER($AV305*BG305),$AV305*BG305,"")</f>
        <v/>
      </c>
      <c r="BU305" s="1411"/>
      <c r="BV305" s="1411"/>
      <c r="BW305" s="1411"/>
      <c r="BX305" s="1411"/>
      <c r="BZ305" s="1372"/>
      <c r="CA305" s="1372"/>
      <c r="CB305" s="1426" t="str">
        <f aca="false">IF(ISNUMBER($AW305*BB305),$AW305*BB305,"")</f>
        <v/>
      </c>
      <c r="CC305" s="1426" t="str">
        <f aca="false">IF(ISNUMBER($AX305*BC305),$AX305*BC305,"")</f>
        <v/>
      </c>
      <c r="CD305" s="1426" t="str">
        <f aca="false">IF(ISNUMBER($AW305*BD305),$AW305*BD305,"")</f>
        <v/>
      </c>
      <c r="CE305" s="1426" t="str">
        <f aca="false">IF(ISNUMBER($AX305*BE305),$AX305*BE305,"")</f>
        <v/>
      </c>
      <c r="CF305" s="1372" t="str">
        <f aca="false">IF(ISNUMBER($AW305*BF305),$AW305*BF305,"")</f>
        <v/>
      </c>
      <c r="CG305" s="1372" t="str">
        <f aca="false">IF(ISNUMBER($AX305*BG305),$AX305*BG305,"")</f>
        <v/>
      </c>
      <c r="CH305" s="1438"/>
      <c r="CI305" s="1438"/>
      <c r="CJ305" s="1438"/>
      <c r="CK305" s="1438"/>
      <c r="CU305" s="1411"/>
      <c r="CV305" s="1411"/>
      <c r="CW305" s="1425"/>
      <c r="CX305" s="1425"/>
      <c r="CY305" s="1425"/>
      <c r="CZ305" s="1425"/>
      <c r="DA305" s="1411"/>
      <c r="DB305" s="1411"/>
      <c r="DC305" s="1411"/>
      <c r="DD305" s="1411"/>
      <c r="DE305" s="1411"/>
      <c r="DF305" s="1411"/>
      <c r="DH305" s="1432"/>
      <c r="DI305" s="1432"/>
      <c r="DJ305" s="1437"/>
      <c r="DK305" s="1437"/>
      <c r="DL305" s="1437"/>
      <c r="DM305" s="1437"/>
      <c r="DN305" s="1432"/>
      <c r="DO305" s="1432"/>
      <c r="DP305" s="1432"/>
      <c r="DQ305" s="1432"/>
      <c r="DR305" s="1432"/>
      <c r="DS305" s="1432"/>
      <c r="DT305" s="1316"/>
      <c r="DU305" s="1433"/>
      <c r="DV305" s="1433"/>
      <c r="DW305" s="1433"/>
      <c r="DX305" s="1433"/>
      <c r="DY305" s="1433"/>
      <c r="DZ305" s="1433"/>
      <c r="EA305" s="1433"/>
      <c r="EB305" s="1433"/>
    </row>
    <row r="306" customFormat="false" ht="14.25" hidden="false" customHeight="false" outlineLevel="0" collapsed="false">
      <c r="A306" s="2" t="n">
        <f aca="false">'V_DATOS PAC_SGA'!R301</f>
        <v>0</v>
      </c>
      <c r="B306" s="2" t="n">
        <f aca="false">IF(I306="IV",CONCATENATE('V_DATOS PAC_SGA'!R301,"4")+0,CONCATENATE('V_DATOS PAC_SGA'!R301,"0")+0)</f>
        <v>0</v>
      </c>
      <c r="C306" s="2" t="n">
        <f aca="false">'V_DATOS PAC_SGA'!S301</f>
        <v>0</v>
      </c>
      <c r="D306" s="1409" t="n">
        <f aca="false">'V_DATOS PAC_SGA'!Y301</f>
        <v>0</v>
      </c>
      <c r="E306" s="1410" t="str">
        <f aca="false">IF('V_DATOS PAC_SGA'!AV301="","Regadio",'V_DATOS PAC_SGA'!AV301)</f>
        <v>Regadio</v>
      </c>
      <c r="F306" s="1411" t="n">
        <f aca="false">'V_DATOS PAC_SGA'!BK301</f>
        <v>0</v>
      </c>
      <c r="G306" s="1412" t="n">
        <f aca="false">'V_DATOS PAC_SGA'!AN301</f>
        <v>0</v>
      </c>
      <c r="H306" s="1413" t="str">
        <f aca="false">IF(B306&gt;0,VLOOKUP(B306,'O_MN, PE_UTA_UGM 2024'!E$3:O$419,10),"")</f>
        <v/>
      </c>
      <c r="I306" s="1359" t="n">
        <f aca="false">'V_DATOS PAC_SGA'!BV301</f>
        <v>0</v>
      </c>
      <c r="J306" s="2" t="str">
        <f aca="false">IF(AND(J$4=$G306,J$6=$F306),$D306*J$5,"")</f>
        <v/>
      </c>
      <c r="K306" s="2" t="str">
        <f aca="false">IF(AND(K$4=$G306,K$6=$F306),$D306*K$5,"")</f>
        <v/>
      </c>
      <c r="L306" s="2" t="str">
        <f aca="false">IF(AND(L$4=$G306,L$6=$F306),$D306*L$5,"")</f>
        <v/>
      </c>
      <c r="M306" s="2" t="str">
        <f aca="false">IF(AND(M$4=$G306,M$6=$F306),$D306*M$5,"")</f>
        <v/>
      </c>
      <c r="N306" s="1414" t="n">
        <f aca="false">VLOOKUP(B306,'O_MN, PE_UTA_UGM 2024'!$E$2:$K$419,IF(G306&gt;1,6,7))</f>
        <v>0</v>
      </c>
      <c r="O306" s="1434" t="str">
        <f aca="false">IF($H306=O$4,$D306*$N306,"")</f>
        <v/>
      </c>
      <c r="P306" s="1435" t="str">
        <f aca="false">IF($H306=P$4,$D306*$N306,"")</f>
        <v/>
      </c>
      <c r="Q306" s="1435" t="str">
        <f aca="false">IF($H306=Q$4,$D306*$N306,"")</f>
        <v/>
      </c>
      <c r="R306" s="1435" t="str">
        <f aca="false">IF($H306=R$4,$D306*$N306,"")</f>
        <v/>
      </c>
      <c r="S306" s="1435" t="str">
        <f aca="false">IF($H306=S$4,$D306*$N306,"")</f>
        <v/>
      </c>
      <c r="T306" s="1435" t="str">
        <f aca="false">IF($H306=T$4,$D306*$N306,"")</f>
        <v/>
      </c>
      <c r="U306" s="1436" t="str">
        <f aca="false">IF($H306=U$4,$D306*$N306,"")</f>
        <v/>
      </c>
      <c r="V306" s="1472"/>
      <c r="W306" s="1471"/>
      <c r="X306" s="1471"/>
      <c r="Y306" s="1471"/>
      <c r="Z306" s="1471"/>
      <c r="AA306" s="1471"/>
      <c r="AB306" s="1473"/>
      <c r="AC306" s="1319"/>
      <c r="AD306" s="2" t="str">
        <f aca="false">IF(AND(AD$4=$G306,AD$6=$F306),$B306,"")</f>
        <v/>
      </c>
      <c r="AE306" s="2" t="str">
        <f aca="false">IF(AND(AE$4=$G306,AE$6=$F306),$B306,"")</f>
        <v/>
      </c>
      <c r="AF306" s="2" t="str">
        <f aca="false">IF(AND(AF$4=$G306,AF$6=$F306),$B306,"")</f>
        <v/>
      </c>
      <c r="AG306" s="2" t="str">
        <f aca="false">IF(AND(AG$4=$G306,AG$6=$F306),$B306,"")</f>
        <v/>
      </c>
      <c r="AI306" s="366"/>
      <c r="AL306" s="367"/>
      <c r="AO306" s="367"/>
      <c r="AP306" s="2" t="str">
        <f aca="false">IF(AT306&gt;0,RANK(AT306,AT$7:AT$423),"")</f>
        <v/>
      </c>
      <c r="AQ306" s="1474" t="n">
        <f aca="false">'O_MN, PE_UTA_UGM 2024'!C302</f>
        <v>317</v>
      </c>
      <c r="AR306" s="1421" t="n">
        <v>3040</v>
      </c>
      <c r="AS306" s="2" t="str">
        <f aca="false">IF(AY306&lt;&gt;"",AY306,"")</f>
        <v/>
      </c>
      <c r="AT306" s="1422" t="n">
        <f aca="false">IF(ISNUMBER($AR306),SUMIF(B$7:B$505,AR306,D$7:D$505),"")</f>
        <v>0</v>
      </c>
      <c r="AU306" s="1411" t="n">
        <f aca="false">IF(ISNUMBER($AR306),SUMIF(AD$7:AD$503,$AR306,J$7:J$503),"")</f>
        <v>0</v>
      </c>
      <c r="AV306" s="1411" t="n">
        <f aca="false">IF(ISNUMBER($AR306),SUMIF(AF$7:AF$503,$AR306,L$7:L$503),"")</f>
        <v>0</v>
      </c>
      <c r="AW306" s="1423" t="n">
        <f aca="false">IF(ISNUMBER($AR306),SUMIF(AE$7:AE$503,$AR306,K$7:K$503),"")</f>
        <v>0</v>
      </c>
      <c r="AX306" s="1423" t="n">
        <f aca="false">IF(ISNUMBER($AR306),SUMIF(AG$7:AG$503,$AR306,M$7:M$503),"")</f>
        <v>0</v>
      </c>
      <c r="AY306" s="2" t="str">
        <f aca="false">IF($AT306&gt;0,VLOOKUP($AR306,'O_MN, PE_UTA_UGM 2024'!E302:O718,2),"")</f>
        <v/>
      </c>
      <c r="AZ306" s="1424"/>
      <c r="BA306" s="1424"/>
      <c r="BB306" s="1424" t="str">
        <f aca="false">IF($AT306&gt;0,VLOOKUP($AR306,'O_MN, PE_UTA_UGM 2024'!$E$3:$O$419,BB$6),"")</f>
        <v/>
      </c>
      <c r="BC306" s="1424" t="str">
        <f aca="false">IF($AT306&gt;0,VLOOKUP($AR306,'O_MN, PE_UTA_UGM 2024'!$E$3:$O$419,BC$6),"")</f>
        <v/>
      </c>
      <c r="BD306" s="1424" t="str">
        <f aca="false">IF($AT306&gt;0,VLOOKUP($AR306,'O_MN, PE_UTA_UGM 2024'!$E$3:$O$419,BD$6),"")</f>
        <v/>
      </c>
      <c r="BE306" s="1424" t="str">
        <f aca="false">IF($AT306&gt;0,VLOOKUP($AR306,'O_MN, PE_UTA_UGM 2024'!$E$3:$O$419,BE$6),"")</f>
        <v/>
      </c>
      <c r="BF306" s="1424" t="str">
        <f aca="false">IF($AT306&gt;0,VLOOKUP($AR306,'O_MN, PE_UTA_UGM 2024'!$E$3:$O$419,BF$6),"")</f>
        <v/>
      </c>
      <c r="BG306" s="1424" t="str">
        <f aca="false">IF($AT306&gt;0,VLOOKUP($AR306,'O_MN, PE_UTA_UGM 2024'!$E$3:$O$419,BG$6),"")</f>
        <v/>
      </c>
      <c r="BH306" s="872"/>
      <c r="BI306" s="872"/>
      <c r="BJ306" s="872"/>
      <c r="BK306" s="872"/>
      <c r="BM306" s="1411"/>
      <c r="BN306" s="1411"/>
      <c r="BO306" s="1425" t="str">
        <f aca="false">IF(ISNUMBER($AU306*BB306*1),$AU306*BB306*1,"")</f>
        <v/>
      </c>
      <c r="BP306" s="1425" t="str">
        <f aca="false">IF(ISNUMBER($AV306*BC306*1),$AV306*BC306*1,"")</f>
        <v/>
      </c>
      <c r="BQ306" s="1425" t="str">
        <f aca="false">IF(ISNUMBER($AU306*BD306*1),$AU306*BD306*1,"")</f>
        <v/>
      </c>
      <c r="BR306" s="1425" t="str">
        <f aca="false">IF(ISNUMBER($AV306*BE306*1),$AV306*BE306*1,"")</f>
        <v/>
      </c>
      <c r="BS306" s="1411" t="str">
        <f aca="false">IF(ISNUMBER($AU306*BF306),$AU306*BF306,"")</f>
        <v/>
      </c>
      <c r="BT306" s="1411" t="str">
        <f aca="false">IF(ISNUMBER($AV306*BG306),$AV306*BG306,"")</f>
        <v/>
      </c>
      <c r="BU306" s="1411"/>
      <c r="BV306" s="1411"/>
      <c r="BW306" s="1411"/>
      <c r="BX306" s="1411"/>
      <c r="BZ306" s="1372"/>
      <c r="CA306" s="1372"/>
      <c r="CB306" s="1426" t="str">
        <f aca="false">IF(ISNUMBER($AW306*BB306),$AW306*BB306,"")</f>
        <v/>
      </c>
      <c r="CC306" s="1426" t="str">
        <f aca="false">IF(ISNUMBER($AX306*BC306),$AX306*BC306,"")</f>
        <v/>
      </c>
      <c r="CD306" s="1426" t="str">
        <f aca="false">IF(ISNUMBER($AW306*BD306),$AW306*BD306,"")</f>
        <v/>
      </c>
      <c r="CE306" s="1426" t="str">
        <f aca="false">IF(ISNUMBER($AX306*BE306),$AX306*BE306,"")</f>
        <v/>
      </c>
      <c r="CF306" s="1372" t="str">
        <f aca="false">IF(ISNUMBER($AW306*BF306),$AW306*BF306,"")</f>
        <v/>
      </c>
      <c r="CG306" s="1372" t="str">
        <f aca="false">IF(ISNUMBER($AX306*BG306),$AX306*BG306,"")</f>
        <v/>
      </c>
      <c r="CH306" s="1438"/>
      <c r="CI306" s="1438"/>
      <c r="CJ306" s="1438"/>
      <c r="CK306" s="1438"/>
      <c r="CU306" s="1411"/>
      <c r="CV306" s="1411"/>
      <c r="CW306" s="1425"/>
      <c r="CX306" s="1425"/>
      <c r="CY306" s="1425"/>
      <c r="CZ306" s="1425"/>
      <c r="DA306" s="1411"/>
      <c r="DB306" s="1411"/>
      <c r="DC306" s="1411"/>
      <c r="DD306" s="1411"/>
      <c r="DE306" s="1411"/>
      <c r="DF306" s="1411"/>
      <c r="DH306" s="1432"/>
      <c r="DI306" s="1432"/>
      <c r="DJ306" s="1437"/>
      <c r="DK306" s="1437"/>
      <c r="DL306" s="1437"/>
      <c r="DM306" s="1437"/>
      <c r="DN306" s="1432"/>
      <c r="DO306" s="1432"/>
      <c r="DP306" s="1432"/>
      <c r="DQ306" s="1432"/>
      <c r="DR306" s="1432"/>
      <c r="DS306" s="1432"/>
      <c r="DT306" s="1316"/>
      <c r="DU306" s="1433"/>
      <c r="DV306" s="1433"/>
      <c r="DW306" s="1433"/>
      <c r="DX306" s="1433"/>
      <c r="DY306" s="1433"/>
      <c r="DZ306" s="1433"/>
      <c r="EA306" s="1433"/>
      <c r="EB306" s="1433"/>
    </row>
    <row r="307" customFormat="false" ht="14.25" hidden="false" customHeight="false" outlineLevel="0" collapsed="false">
      <c r="A307" s="2" t="n">
        <f aca="false">'V_DATOS PAC_SGA'!R302</f>
        <v>0</v>
      </c>
      <c r="B307" s="2" t="n">
        <f aca="false">IF(I307="IV",CONCATENATE('V_DATOS PAC_SGA'!R302,"4")+0,CONCATENATE('V_DATOS PAC_SGA'!R302,"0")+0)</f>
        <v>0</v>
      </c>
      <c r="C307" s="2" t="n">
        <f aca="false">'V_DATOS PAC_SGA'!S302</f>
        <v>0</v>
      </c>
      <c r="D307" s="1409" t="n">
        <f aca="false">'V_DATOS PAC_SGA'!Y302</f>
        <v>0</v>
      </c>
      <c r="E307" s="1410" t="str">
        <f aca="false">IF('V_DATOS PAC_SGA'!AV302="","Regadio",'V_DATOS PAC_SGA'!AV302)</f>
        <v>Regadio</v>
      </c>
      <c r="F307" s="1411" t="n">
        <f aca="false">'V_DATOS PAC_SGA'!BK302</f>
        <v>0</v>
      </c>
      <c r="G307" s="1412" t="n">
        <f aca="false">'V_DATOS PAC_SGA'!AN302</f>
        <v>0</v>
      </c>
      <c r="H307" s="1413" t="str">
        <f aca="false">IF(B307&gt;0,VLOOKUP(B307,'O_MN, PE_UTA_UGM 2024'!E$3:O$419,10),"")</f>
        <v/>
      </c>
      <c r="I307" s="1359" t="n">
        <f aca="false">'V_DATOS PAC_SGA'!BV302</f>
        <v>0</v>
      </c>
      <c r="J307" s="2" t="str">
        <f aca="false">IF(AND(J$4=$G307,J$6=$F307),$D307*J$5,"")</f>
        <v/>
      </c>
      <c r="K307" s="2" t="str">
        <f aca="false">IF(AND(K$4=$G307,K$6=$F307),$D307*K$5,"")</f>
        <v/>
      </c>
      <c r="L307" s="2" t="str">
        <f aca="false">IF(AND(L$4=$G307,L$6=$F307),$D307*L$5,"")</f>
        <v/>
      </c>
      <c r="M307" s="2" t="str">
        <f aca="false">IF(AND(M$4=$G307,M$6=$F307),$D307*M$5,"")</f>
        <v/>
      </c>
      <c r="N307" s="1414" t="n">
        <f aca="false">VLOOKUP(B307,'O_MN, PE_UTA_UGM 2024'!$E$2:$K$419,IF(G307&gt;1,6,7))</f>
        <v>0</v>
      </c>
      <c r="O307" s="1434" t="str">
        <f aca="false">IF($H307=O$4,$D307*$N307,"")</f>
        <v/>
      </c>
      <c r="P307" s="1435" t="str">
        <f aca="false">IF($H307=P$4,$D307*$N307,"")</f>
        <v/>
      </c>
      <c r="Q307" s="1435" t="str">
        <f aca="false">IF($H307=Q$4,$D307*$N307,"")</f>
        <v/>
      </c>
      <c r="R307" s="1435" t="str">
        <f aca="false">IF($H307=R$4,$D307*$N307,"")</f>
        <v/>
      </c>
      <c r="S307" s="1435" t="str">
        <f aca="false">IF($H307=S$4,$D307*$N307,"")</f>
        <v/>
      </c>
      <c r="T307" s="1435" t="str">
        <f aca="false">IF($H307=T$4,$D307*$N307,"")</f>
        <v/>
      </c>
      <c r="U307" s="1436" t="str">
        <f aca="false">IF($H307=U$4,$D307*$N307,"")</f>
        <v/>
      </c>
      <c r="V307" s="1472"/>
      <c r="W307" s="1471"/>
      <c r="X307" s="1471"/>
      <c r="Y307" s="1471"/>
      <c r="Z307" s="1471"/>
      <c r="AA307" s="1471"/>
      <c r="AB307" s="1473"/>
      <c r="AC307" s="1319"/>
      <c r="AD307" s="2" t="str">
        <f aca="false">IF(AND(AD$4=$G307,AD$6=$F307),$B307,"")</f>
        <v/>
      </c>
      <c r="AE307" s="2" t="str">
        <f aca="false">IF(AND(AE$4=$G307,AE$6=$F307),$B307,"")</f>
        <v/>
      </c>
      <c r="AF307" s="2" t="str">
        <f aca="false">IF(AND(AF$4=$G307,AF$6=$F307),$B307,"")</f>
        <v/>
      </c>
      <c r="AG307" s="2" t="str">
        <f aca="false">IF(AND(AG$4=$G307,AG$6=$F307),$B307,"")</f>
        <v/>
      </c>
      <c r="AI307" s="366"/>
      <c r="AL307" s="367"/>
      <c r="AO307" s="367"/>
      <c r="AP307" s="2" t="str">
        <f aca="false">IF(AT307&gt;0,RANK(AT307,AT$7:AT$423),"")</f>
        <v/>
      </c>
      <c r="AQ307" s="1475" t="n">
        <f aca="false">'O_MN, PE_UTA_UGM 2024'!C303</f>
        <v>318</v>
      </c>
      <c r="AR307" s="1421" t="n">
        <v>3044</v>
      </c>
      <c r="AS307" s="2" t="str">
        <f aca="false">IF(AY307&lt;&gt;"",AY307,"")</f>
        <v/>
      </c>
      <c r="AT307" s="1422" t="n">
        <f aca="false">IF(ISNUMBER($AR307),SUMIF(B$7:B$505,AR307,D$7:D$505),"")</f>
        <v>0</v>
      </c>
      <c r="AU307" s="1411" t="n">
        <f aca="false">IF(ISNUMBER($AR307),SUMIF(AD$7:AD$503,$AR307,J$7:J$503),"")</f>
        <v>0</v>
      </c>
      <c r="AV307" s="1411" t="n">
        <f aca="false">IF(ISNUMBER($AR307),SUMIF(AF$7:AF$503,$AR307,L$7:L$503),"")</f>
        <v>0</v>
      </c>
      <c r="AW307" s="1423" t="n">
        <f aca="false">IF(ISNUMBER($AR307),SUMIF(AE$7:AE$503,$AR307,K$7:K$503),"")</f>
        <v>0</v>
      </c>
      <c r="AX307" s="1423" t="n">
        <f aca="false">IF(ISNUMBER($AR307),SUMIF(AG$7:AG$503,$AR307,M$7:M$503),"")</f>
        <v>0</v>
      </c>
      <c r="AY307" s="2" t="str">
        <f aca="false">IF($AT307&gt;0,VLOOKUP($AR307,'O_MN, PE_UTA_UGM 2024'!E303:O719,2),"")</f>
        <v/>
      </c>
      <c r="AZ307" s="1424"/>
      <c r="BA307" s="1424"/>
      <c r="BB307" s="1424" t="str">
        <f aca="false">IF($AT307&gt;0,VLOOKUP($AR307,'O_MN, PE_UTA_UGM 2024'!$E$3:$O$419,BB$6),"")</f>
        <v/>
      </c>
      <c r="BC307" s="1424" t="str">
        <f aca="false">IF($AT307&gt;0,VLOOKUP($AR307,'O_MN, PE_UTA_UGM 2024'!$E$3:$O$419,BC$6),"")</f>
        <v/>
      </c>
      <c r="BD307" s="1424" t="str">
        <f aca="false">IF($AT307&gt;0,VLOOKUP($AR307,'O_MN, PE_UTA_UGM 2024'!$E$3:$O$419,BD$6),"")</f>
        <v/>
      </c>
      <c r="BE307" s="1424" t="str">
        <f aca="false">IF($AT307&gt;0,VLOOKUP($AR307,'O_MN, PE_UTA_UGM 2024'!$E$3:$O$419,BE$6),"")</f>
        <v/>
      </c>
      <c r="BF307" s="1424" t="str">
        <f aca="false">IF($AT307&gt;0,VLOOKUP($AR307,'O_MN, PE_UTA_UGM 2024'!$E$3:$O$419,BF$6),"")</f>
        <v/>
      </c>
      <c r="BG307" s="1424" t="str">
        <f aca="false">IF($AT307&gt;0,VLOOKUP($AR307,'O_MN, PE_UTA_UGM 2024'!$E$3:$O$419,BG$6),"")</f>
        <v/>
      </c>
      <c r="BH307" s="872"/>
      <c r="BI307" s="872"/>
      <c r="BJ307" s="872"/>
      <c r="BK307" s="872"/>
      <c r="BM307" s="1411"/>
      <c r="BN307" s="1411"/>
      <c r="BO307" s="1425" t="str">
        <f aca="false">IF(ISNUMBER($AU307*BB307*1),$AU307*BB307*1,"")</f>
        <v/>
      </c>
      <c r="BP307" s="1425" t="str">
        <f aca="false">IF(ISNUMBER($AV307*BC307*1),$AV307*BC307*1,"")</f>
        <v/>
      </c>
      <c r="BQ307" s="1425" t="str">
        <f aca="false">IF(ISNUMBER($AU307*BD307*1),$AU307*BD307*1,"")</f>
        <v/>
      </c>
      <c r="BR307" s="1425" t="str">
        <f aca="false">IF(ISNUMBER($AV307*BE307*1),$AV307*BE307*1,"")</f>
        <v/>
      </c>
      <c r="BS307" s="1411" t="str">
        <f aca="false">IF(ISNUMBER($AU307*BF307),$AU307*BF307,"")</f>
        <v/>
      </c>
      <c r="BT307" s="1411" t="str">
        <f aca="false">IF(ISNUMBER($AV307*BG307),$AV307*BG307,"")</f>
        <v/>
      </c>
      <c r="BU307" s="1411"/>
      <c r="BV307" s="1411"/>
      <c r="BW307" s="1411"/>
      <c r="BX307" s="1411"/>
      <c r="BZ307" s="1372"/>
      <c r="CA307" s="1372"/>
      <c r="CB307" s="1426" t="str">
        <f aca="false">IF(ISNUMBER($AW307*BB307),$AW307*BB307,"")</f>
        <v/>
      </c>
      <c r="CC307" s="1426" t="str">
        <f aca="false">IF(ISNUMBER($AX307*BC307),$AX307*BC307,"")</f>
        <v/>
      </c>
      <c r="CD307" s="1426" t="str">
        <f aca="false">IF(ISNUMBER($AW307*BD307),$AW307*BD307,"")</f>
        <v/>
      </c>
      <c r="CE307" s="1426" t="str">
        <f aca="false">IF(ISNUMBER($AX307*BE307),$AX307*BE307,"")</f>
        <v/>
      </c>
      <c r="CF307" s="1372" t="str">
        <f aca="false">IF(ISNUMBER($AW307*BF307),$AW307*BF307,"")</f>
        <v/>
      </c>
      <c r="CG307" s="1372" t="str">
        <f aca="false">IF(ISNUMBER($AX307*BG307),$AX307*BG307,"")</f>
        <v/>
      </c>
      <c r="CH307" s="1438"/>
      <c r="CI307" s="1438"/>
      <c r="CJ307" s="1438"/>
      <c r="CK307" s="1438"/>
      <c r="CU307" s="1411"/>
      <c r="CV307" s="1411"/>
      <c r="CW307" s="1425"/>
      <c r="CX307" s="1425"/>
      <c r="CY307" s="1425"/>
      <c r="CZ307" s="1425"/>
      <c r="DA307" s="1411"/>
      <c r="DB307" s="1411"/>
      <c r="DC307" s="1411"/>
      <c r="DD307" s="1411"/>
      <c r="DE307" s="1411"/>
      <c r="DF307" s="1411"/>
      <c r="DH307" s="1432"/>
      <c r="DI307" s="1432"/>
      <c r="DJ307" s="1437"/>
      <c r="DK307" s="1437"/>
      <c r="DL307" s="1437"/>
      <c r="DM307" s="1437"/>
      <c r="DN307" s="1432"/>
      <c r="DO307" s="1432"/>
      <c r="DP307" s="1432"/>
      <c r="DQ307" s="1432"/>
      <c r="DR307" s="1432"/>
      <c r="DS307" s="1432"/>
      <c r="DT307" s="1316"/>
      <c r="DU307" s="1433"/>
      <c r="DV307" s="1433"/>
      <c r="DW307" s="1433"/>
      <c r="DX307" s="1433"/>
      <c r="DY307" s="1433"/>
      <c r="DZ307" s="1433"/>
      <c r="EA307" s="1433"/>
      <c r="EB307" s="1433"/>
    </row>
    <row r="308" customFormat="false" ht="14.25" hidden="false" customHeight="false" outlineLevel="0" collapsed="false">
      <c r="A308" s="2" t="n">
        <f aca="false">'V_DATOS PAC_SGA'!R303</f>
        <v>0</v>
      </c>
      <c r="B308" s="2" t="n">
        <f aca="false">IF(I308="IV",CONCATENATE('V_DATOS PAC_SGA'!R303,"4")+0,CONCATENATE('V_DATOS PAC_SGA'!R303,"0")+0)</f>
        <v>0</v>
      </c>
      <c r="C308" s="2" t="n">
        <f aca="false">'V_DATOS PAC_SGA'!S303</f>
        <v>0</v>
      </c>
      <c r="D308" s="1409" t="n">
        <f aca="false">'V_DATOS PAC_SGA'!Y303</f>
        <v>0</v>
      </c>
      <c r="E308" s="1410" t="str">
        <f aca="false">IF('V_DATOS PAC_SGA'!AV303="","Regadio",'V_DATOS PAC_SGA'!AV303)</f>
        <v>Regadio</v>
      </c>
      <c r="F308" s="1411" t="n">
        <f aca="false">'V_DATOS PAC_SGA'!BK303</f>
        <v>0</v>
      </c>
      <c r="G308" s="1412" t="n">
        <f aca="false">'V_DATOS PAC_SGA'!AN303</f>
        <v>0</v>
      </c>
      <c r="H308" s="1413" t="str">
        <f aca="false">IF(B308&gt;0,VLOOKUP(B308,'O_MN, PE_UTA_UGM 2024'!E$3:O$419,10),"")</f>
        <v/>
      </c>
      <c r="I308" s="1359" t="n">
        <f aca="false">'V_DATOS PAC_SGA'!BV303</f>
        <v>0</v>
      </c>
      <c r="J308" s="2" t="str">
        <f aca="false">IF(AND(J$4=$G308,J$6=$F308),$D308*J$5,"")</f>
        <v/>
      </c>
      <c r="K308" s="2" t="str">
        <f aca="false">IF(AND(K$4=$G308,K$6=$F308),$D308*K$5,"")</f>
        <v/>
      </c>
      <c r="L308" s="2" t="str">
        <f aca="false">IF(AND(L$4=$G308,L$6=$F308),$D308*L$5,"")</f>
        <v/>
      </c>
      <c r="M308" s="2" t="str">
        <f aca="false">IF(AND(M$4=$G308,M$6=$F308),$D308*M$5,"")</f>
        <v/>
      </c>
      <c r="N308" s="1414" t="n">
        <f aca="false">VLOOKUP(B308,'O_MN, PE_UTA_UGM 2024'!$E$2:$K$419,IF(G308&gt;1,6,7))</f>
        <v>0</v>
      </c>
      <c r="O308" s="1434" t="str">
        <f aca="false">IF($H308=O$4,$D308*$N308,"")</f>
        <v/>
      </c>
      <c r="P308" s="1435" t="str">
        <f aca="false">IF($H308=P$4,$D308*$N308,"")</f>
        <v/>
      </c>
      <c r="Q308" s="1435" t="str">
        <f aca="false">IF($H308=Q$4,$D308*$N308,"")</f>
        <v/>
      </c>
      <c r="R308" s="1435" t="str">
        <f aca="false">IF($H308=R$4,$D308*$N308,"")</f>
        <v/>
      </c>
      <c r="S308" s="1435" t="str">
        <f aca="false">IF($H308=S$4,$D308*$N308,"")</f>
        <v/>
      </c>
      <c r="T308" s="1435" t="str">
        <f aca="false">IF($H308=T$4,$D308*$N308,"")</f>
        <v/>
      </c>
      <c r="U308" s="1436" t="str">
        <f aca="false">IF($H308=U$4,$D308*$N308,"")</f>
        <v/>
      </c>
      <c r="V308" s="1472"/>
      <c r="W308" s="1471"/>
      <c r="X308" s="1471"/>
      <c r="Y308" s="1471"/>
      <c r="Z308" s="1471"/>
      <c r="AA308" s="1471"/>
      <c r="AB308" s="1473"/>
      <c r="AC308" s="1319"/>
      <c r="AD308" s="2" t="str">
        <f aca="false">IF(AND(AD$4=$G308,AD$6=$F308),$B308,"")</f>
        <v/>
      </c>
      <c r="AE308" s="2" t="str">
        <f aca="false">IF(AND(AE$4=$G308,AE$6=$F308),$B308,"")</f>
        <v/>
      </c>
      <c r="AF308" s="2" t="str">
        <f aca="false">IF(AND(AF$4=$G308,AF$6=$F308),$B308,"")</f>
        <v/>
      </c>
      <c r="AG308" s="2" t="str">
        <f aca="false">IF(AND(AG$4=$G308,AG$6=$F308),$B308,"")</f>
        <v/>
      </c>
      <c r="AI308" s="366"/>
      <c r="AL308" s="367"/>
      <c r="AO308" s="367"/>
      <c r="AP308" s="2" t="str">
        <f aca="false">IF(AT308&gt;0,RANK(AT308,AT$7:AT$423),"")</f>
        <v/>
      </c>
      <c r="AQ308" s="1475" t="n">
        <f aca="false">'O_MN, PE_UTA_UGM 2024'!C304</f>
        <v>319</v>
      </c>
      <c r="AR308" s="1421" t="n">
        <v>3049</v>
      </c>
      <c r="AS308" s="2" t="str">
        <f aca="false">IF(AY308&lt;&gt;"",AY308,"")</f>
        <v/>
      </c>
      <c r="AT308" s="1422" t="n">
        <f aca="false">IF(ISNUMBER($AR308),SUMIF(B$7:B$505,AR308,D$7:D$505),"")</f>
        <v>0</v>
      </c>
      <c r="AU308" s="1411" t="n">
        <f aca="false">IF(ISNUMBER($AR308),SUMIF(AD$7:AD$503,$AR308,J$7:J$503),"")</f>
        <v>0</v>
      </c>
      <c r="AV308" s="1411" t="n">
        <f aca="false">IF(ISNUMBER($AR308),SUMIF(AF$7:AF$503,$AR308,L$7:L$503),"")</f>
        <v>0</v>
      </c>
      <c r="AW308" s="1423" t="n">
        <f aca="false">IF(ISNUMBER($AR308),SUMIF(AE$7:AE$503,$AR308,K$7:K$503),"")</f>
        <v>0</v>
      </c>
      <c r="AX308" s="1423" t="n">
        <f aca="false">IF(ISNUMBER($AR308),SUMIF(AG$7:AG$503,$AR308,M$7:M$503),"")</f>
        <v>0</v>
      </c>
      <c r="AY308" s="2" t="str">
        <f aca="false">IF($AT308&gt;0,VLOOKUP($AR308,'O_MN, PE_UTA_UGM 2024'!E304:O720,2),"")</f>
        <v/>
      </c>
      <c r="AZ308" s="1424"/>
      <c r="BA308" s="1424"/>
      <c r="BB308" s="1424" t="str">
        <f aca="false">IF($AT308&gt;0,VLOOKUP($AR308,'O_MN, PE_UTA_UGM 2024'!$E$3:$O$419,BB$6),"")</f>
        <v/>
      </c>
      <c r="BC308" s="1424" t="str">
        <f aca="false">IF($AT308&gt;0,VLOOKUP($AR308,'O_MN, PE_UTA_UGM 2024'!$E$3:$O$419,BC$6),"")</f>
        <v/>
      </c>
      <c r="BD308" s="1424" t="str">
        <f aca="false">IF($AT308&gt;0,VLOOKUP($AR308,'O_MN, PE_UTA_UGM 2024'!$E$3:$O$419,BD$6),"")</f>
        <v/>
      </c>
      <c r="BE308" s="1424" t="str">
        <f aca="false">IF($AT308&gt;0,VLOOKUP($AR308,'O_MN, PE_UTA_UGM 2024'!$E$3:$O$419,BE$6),"")</f>
        <v/>
      </c>
      <c r="BF308" s="1424" t="str">
        <f aca="false">IF($AT308&gt;0,VLOOKUP($AR308,'O_MN, PE_UTA_UGM 2024'!$E$3:$O$419,BF$6),"")</f>
        <v/>
      </c>
      <c r="BG308" s="1424" t="str">
        <f aca="false">IF($AT308&gt;0,VLOOKUP($AR308,'O_MN, PE_UTA_UGM 2024'!$E$3:$O$419,BG$6),"")</f>
        <v/>
      </c>
      <c r="BH308" s="872"/>
      <c r="BI308" s="872"/>
      <c r="BJ308" s="872"/>
      <c r="BK308" s="872"/>
      <c r="BM308" s="1411"/>
      <c r="BN308" s="1411"/>
      <c r="BO308" s="1425" t="str">
        <f aca="false">IF(ISNUMBER($AU308*BB308*1),$AU308*BB308*1,"")</f>
        <v/>
      </c>
      <c r="BP308" s="1425" t="str">
        <f aca="false">IF(ISNUMBER($AV308*BC308*1),$AV308*BC308*1,"")</f>
        <v/>
      </c>
      <c r="BQ308" s="1425" t="str">
        <f aca="false">IF(ISNUMBER($AU308*BD308*1),$AU308*BD308*1,"")</f>
        <v/>
      </c>
      <c r="BR308" s="1425" t="str">
        <f aca="false">IF(ISNUMBER($AV308*BE308*1),$AV308*BE308*1,"")</f>
        <v/>
      </c>
      <c r="BS308" s="1411" t="str">
        <f aca="false">IF(ISNUMBER($AU308*BF308),$AU308*BF308,"")</f>
        <v/>
      </c>
      <c r="BT308" s="1411" t="str">
        <f aca="false">IF(ISNUMBER($AV308*BG308),$AV308*BG308,"")</f>
        <v/>
      </c>
      <c r="BU308" s="1411"/>
      <c r="BV308" s="1411"/>
      <c r="BW308" s="1411"/>
      <c r="BX308" s="1411"/>
      <c r="BZ308" s="1372"/>
      <c r="CA308" s="1372"/>
      <c r="CB308" s="1426" t="str">
        <f aca="false">IF(ISNUMBER($AW308*BB308),$AW308*BB308,"")</f>
        <v/>
      </c>
      <c r="CC308" s="1426" t="str">
        <f aca="false">IF(ISNUMBER($AX308*BC308),$AX308*BC308,"")</f>
        <v/>
      </c>
      <c r="CD308" s="1426" t="str">
        <f aca="false">IF(ISNUMBER($AW308*BD308),$AW308*BD308,"")</f>
        <v/>
      </c>
      <c r="CE308" s="1426" t="str">
        <f aca="false">IF(ISNUMBER($AX308*BE308),$AX308*BE308,"")</f>
        <v/>
      </c>
      <c r="CF308" s="1372" t="str">
        <f aca="false">IF(ISNUMBER($AW308*BF308),$AW308*BF308,"")</f>
        <v/>
      </c>
      <c r="CG308" s="1372" t="str">
        <f aca="false">IF(ISNUMBER($AX308*BG308),$AX308*BG308,"")</f>
        <v/>
      </c>
      <c r="CH308" s="1438"/>
      <c r="CI308" s="1438"/>
      <c r="CJ308" s="1438"/>
      <c r="CK308" s="1438"/>
      <c r="CU308" s="1411"/>
      <c r="CV308" s="1411"/>
      <c r="CW308" s="1425"/>
      <c r="CX308" s="1425"/>
      <c r="CY308" s="1425"/>
      <c r="CZ308" s="1425"/>
      <c r="DA308" s="1411"/>
      <c r="DB308" s="1411"/>
      <c r="DC308" s="1411"/>
      <c r="DD308" s="1411"/>
      <c r="DE308" s="1411"/>
      <c r="DF308" s="1411"/>
      <c r="DH308" s="1432"/>
      <c r="DI308" s="1432"/>
      <c r="DJ308" s="1437"/>
      <c r="DK308" s="1437"/>
      <c r="DL308" s="1437"/>
      <c r="DM308" s="1437"/>
      <c r="DN308" s="1432"/>
      <c r="DO308" s="1432"/>
      <c r="DP308" s="1432"/>
      <c r="DQ308" s="1432"/>
      <c r="DR308" s="1432"/>
      <c r="DS308" s="1432"/>
      <c r="DT308" s="1316"/>
      <c r="DU308" s="1433"/>
      <c r="DV308" s="1433"/>
      <c r="DW308" s="1433"/>
      <c r="DX308" s="1433"/>
      <c r="DY308" s="1433"/>
      <c r="DZ308" s="1433"/>
      <c r="EA308" s="1433"/>
      <c r="EB308" s="1433"/>
    </row>
    <row r="309" customFormat="false" ht="14.25" hidden="false" customHeight="false" outlineLevel="0" collapsed="false">
      <c r="A309" s="2" t="n">
        <f aca="false">'V_DATOS PAC_SGA'!R304</f>
        <v>0</v>
      </c>
      <c r="B309" s="2" t="n">
        <f aca="false">IF(I309="IV",CONCATENATE('V_DATOS PAC_SGA'!R304,"4")+0,CONCATENATE('V_DATOS PAC_SGA'!R304,"0")+0)</f>
        <v>0</v>
      </c>
      <c r="C309" s="2" t="n">
        <f aca="false">'V_DATOS PAC_SGA'!S304</f>
        <v>0</v>
      </c>
      <c r="D309" s="1409" t="n">
        <f aca="false">'V_DATOS PAC_SGA'!Y304</f>
        <v>0</v>
      </c>
      <c r="E309" s="1410" t="str">
        <f aca="false">IF('V_DATOS PAC_SGA'!AV304="","Regadio",'V_DATOS PAC_SGA'!AV304)</f>
        <v>Regadio</v>
      </c>
      <c r="F309" s="1411" t="n">
        <f aca="false">'V_DATOS PAC_SGA'!BK304</f>
        <v>0</v>
      </c>
      <c r="G309" s="1412" t="n">
        <f aca="false">'V_DATOS PAC_SGA'!AN304</f>
        <v>0</v>
      </c>
      <c r="H309" s="1413" t="str">
        <f aca="false">IF(B309&gt;0,VLOOKUP(B309,'O_MN, PE_UTA_UGM 2024'!E$3:O$419,10),"")</f>
        <v/>
      </c>
      <c r="I309" s="1359" t="n">
        <f aca="false">'V_DATOS PAC_SGA'!BV304</f>
        <v>0</v>
      </c>
      <c r="J309" s="2" t="str">
        <f aca="false">IF(AND(J$4=$G309,J$6=$F309),$D309*J$5,"")</f>
        <v/>
      </c>
      <c r="K309" s="2" t="str">
        <f aca="false">IF(AND(K$4=$G309,K$6=$F309),$D309*K$5,"")</f>
        <v/>
      </c>
      <c r="L309" s="2" t="str">
        <f aca="false">IF(AND(L$4=$G309,L$6=$F309),$D309*L$5,"")</f>
        <v/>
      </c>
      <c r="M309" s="2" t="str">
        <f aca="false">IF(AND(M$4=$G309,M$6=$F309),$D309*M$5,"")</f>
        <v/>
      </c>
      <c r="N309" s="1414" t="n">
        <f aca="false">VLOOKUP(B309,'O_MN, PE_UTA_UGM 2024'!$E$2:$K$419,IF(G309&gt;1,6,7))</f>
        <v>0</v>
      </c>
      <c r="O309" s="1434" t="str">
        <f aca="false">IF($H309=O$4,$D309*$N309,"")</f>
        <v/>
      </c>
      <c r="P309" s="1435" t="str">
        <f aca="false">IF($H309=P$4,$D309*$N309,"")</f>
        <v/>
      </c>
      <c r="Q309" s="1435" t="str">
        <f aca="false">IF($H309=Q$4,$D309*$N309,"")</f>
        <v/>
      </c>
      <c r="R309" s="1435" t="str">
        <f aca="false">IF($H309=R$4,$D309*$N309,"")</f>
        <v/>
      </c>
      <c r="S309" s="1435" t="str">
        <f aca="false">IF($H309=S$4,$D309*$N309,"")</f>
        <v/>
      </c>
      <c r="T309" s="1435" t="str">
        <f aca="false">IF($H309=T$4,$D309*$N309,"")</f>
        <v/>
      </c>
      <c r="U309" s="1436" t="str">
        <f aca="false">IF($H309=U$4,$D309*$N309,"")</f>
        <v/>
      </c>
      <c r="V309" s="1472"/>
      <c r="W309" s="1471"/>
      <c r="X309" s="1471"/>
      <c r="Y309" s="1471"/>
      <c r="Z309" s="1471"/>
      <c r="AA309" s="1471"/>
      <c r="AB309" s="1473"/>
      <c r="AC309" s="1319"/>
      <c r="AD309" s="2" t="str">
        <f aca="false">IF(AND(AD$4=$G309,AD$6=$F309),$B309,"")</f>
        <v/>
      </c>
      <c r="AE309" s="2" t="str">
        <f aca="false">IF(AND(AE$4=$G309,AE$6=$F309),$B309,"")</f>
        <v/>
      </c>
      <c r="AF309" s="2" t="str">
        <f aca="false">IF(AND(AF$4=$G309,AF$6=$F309),$B309,"")</f>
        <v/>
      </c>
      <c r="AG309" s="2" t="str">
        <f aca="false">IF(AND(AG$4=$G309,AG$6=$F309),$B309,"")</f>
        <v/>
      </c>
      <c r="AI309" s="366"/>
      <c r="AL309" s="367"/>
      <c r="AO309" s="367"/>
      <c r="AP309" s="2" t="str">
        <f aca="false">IF(AT309&gt;0,RANK(AT309,AT$7:AT$423),"")</f>
        <v/>
      </c>
      <c r="AQ309" s="1475" t="n">
        <f aca="false">'O_MN, PE_UTA_UGM 2024'!C305</f>
        <v>320</v>
      </c>
      <c r="AR309" s="1421" t="n">
        <v>3050</v>
      </c>
      <c r="AS309" s="2" t="str">
        <f aca="false">IF(AY309&lt;&gt;"",AY309,"")</f>
        <v/>
      </c>
      <c r="AT309" s="1422" t="n">
        <f aca="false">IF(ISNUMBER($AR309),SUMIF(B$7:B$505,AR309,D$7:D$505),"")</f>
        <v>0</v>
      </c>
      <c r="AU309" s="1411" t="n">
        <f aca="false">IF(ISNUMBER($AR309),SUMIF(AD$7:AD$503,$AR309,J$7:J$503),"")</f>
        <v>0</v>
      </c>
      <c r="AV309" s="1411" t="n">
        <f aca="false">IF(ISNUMBER($AR309),SUMIF(AF$7:AF$503,$AR309,L$7:L$503),"")</f>
        <v>0</v>
      </c>
      <c r="AW309" s="1423" t="n">
        <f aca="false">IF(ISNUMBER($AR309),SUMIF(AE$7:AE$503,$AR309,K$7:K$503),"")</f>
        <v>0</v>
      </c>
      <c r="AX309" s="1423" t="n">
        <f aca="false">IF(ISNUMBER($AR309),SUMIF(AG$7:AG$503,$AR309,M$7:M$503),"")</f>
        <v>0</v>
      </c>
      <c r="AY309" s="2" t="str">
        <f aca="false">IF($AT309&gt;0,VLOOKUP($AR309,'O_MN, PE_UTA_UGM 2024'!E305:O721,2),"")</f>
        <v/>
      </c>
      <c r="AZ309" s="1424"/>
      <c r="BA309" s="1424"/>
      <c r="BB309" s="1424" t="str">
        <f aca="false">IF($AT309&gt;0,VLOOKUP($AR309,'O_MN, PE_UTA_UGM 2024'!$E$3:$O$419,BB$6),"")</f>
        <v/>
      </c>
      <c r="BC309" s="1424" t="str">
        <f aca="false">IF($AT309&gt;0,VLOOKUP($AR309,'O_MN, PE_UTA_UGM 2024'!$E$3:$O$419,BC$6),"")</f>
        <v/>
      </c>
      <c r="BD309" s="1424" t="str">
        <f aca="false">IF($AT309&gt;0,VLOOKUP($AR309,'O_MN, PE_UTA_UGM 2024'!$E$3:$O$419,BD$6),"")</f>
        <v/>
      </c>
      <c r="BE309" s="1424" t="str">
        <f aca="false">IF($AT309&gt;0,VLOOKUP($AR309,'O_MN, PE_UTA_UGM 2024'!$E$3:$O$419,BE$6),"")</f>
        <v/>
      </c>
      <c r="BF309" s="1424" t="str">
        <f aca="false">IF($AT309&gt;0,VLOOKUP($AR309,'O_MN, PE_UTA_UGM 2024'!$E$3:$O$419,BF$6),"")</f>
        <v/>
      </c>
      <c r="BG309" s="1424" t="str">
        <f aca="false">IF($AT309&gt;0,VLOOKUP($AR309,'O_MN, PE_UTA_UGM 2024'!$E$3:$O$419,BG$6),"")</f>
        <v/>
      </c>
      <c r="BH309" s="872"/>
      <c r="BI309" s="872"/>
      <c r="BJ309" s="872"/>
      <c r="BK309" s="872"/>
      <c r="BM309" s="1411"/>
      <c r="BN309" s="1411"/>
      <c r="BO309" s="1425" t="str">
        <f aca="false">IF(ISNUMBER($AU309*BB309*1),$AU309*BB309*1,"")</f>
        <v/>
      </c>
      <c r="BP309" s="1425" t="str">
        <f aca="false">IF(ISNUMBER($AV309*BC309*1),$AV309*BC309*1,"")</f>
        <v/>
      </c>
      <c r="BQ309" s="1425" t="str">
        <f aca="false">IF(ISNUMBER($AU309*BD309*1),$AU309*BD309*1,"")</f>
        <v/>
      </c>
      <c r="BR309" s="1425" t="str">
        <f aca="false">IF(ISNUMBER($AV309*BE309*1),$AV309*BE309*1,"")</f>
        <v/>
      </c>
      <c r="BS309" s="1411" t="str">
        <f aca="false">IF(ISNUMBER($AU309*BF309),$AU309*BF309,"")</f>
        <v/>
      </c>
      <c r="BT309" s="1411" t="str">
        <f aca="false">IF(ISNUMBER($AV309*BG309),$AV309*BG309,"")</f>
        <v/>
      </c>
      <c r="BU309" s="1411"/>
      <c r="BV309" s="1411"/>
      <c r="BW309" s="1411"/>
      <c r="BX309" s="1411"/>
      <c r="BZ309" s="1372"/>
      <c r="CA309" s="1372"/>
      <c r="CB309" s="1426" t="str">
        <f aca="false">IF(ISNUMBER($AW309*BB309),$AW309*BB309,"")</f>
        <v/>
      </c>
      <c r="CC309" s="1426" t="str">
        <f aca="false">IF(ISNUMBER($AX309*BC309),$AX309*BC309,"")</f>
        <v/>
      </c>
      <c r="CD309" s="1426" t="str">
        <f aca="false">IF(ISNUMBER($AW309*BD309),$AW309*BD309,"")</f>
        <v/>
      </c>
      <c r="CE309" s="1426" t="str">
        <f aca="false">IF(ISNUMBER($AX309*BE309),$AX309*BE309,"")</f>
        <v/>
      </c>
      <c r="CF309" s="1372" t="str">
        <f aca="false">IF(ISNUMBER($AW309*BF309),$AW309*BF309,"")</f>
        <v/>
      </c>
      <c r="CG309" s="1372" t="str">
        <f aca="false">IF(ISNUMBER($AX309*BG309),$AX309*BG309,"")</f>
        <v/>
      </c>
      <c r="CH309" s="1438"/>
      <c r="CI309" s="1438"/>
      <c r="CJ309" s="1438"/>
      <c r="CK309" s="1438"/>
      <c r="CU309" s="1411"/>
      <c r="CV309" s="1411"/>
      <c r="CW309" s="1425"/>
      <c r="CX309" s="1425"/>
      <c r="CY309" s="1425"/>
      <c r="CZ309" s="1425"/>
      <c r="DA309" s="1411"/>
      <c r="DB309" s="1411"/>
      <c r="DC309" s="1411"/>
      <c r="DD309" s="1411"/>
      <c r="DE309" s="1411"/>
      <c r="DF309" s="1411"/>
      <c r="DH309" s="1432"/>
      <c r="DI309" s="1432"/>
      <c r="DJ309" s="1437"/>
      <c r="DK309" s="1437"/>
      <c r="DL309" s="1437"/>
      <c r="DM309" s="1437"/>
      <c r="DN309" s="1432"/>
      <c r="DO309" s="1432"/>
      <c r="DP309" s="1432"/>
      <c r="DQ309" s="1432"/>
      <c r="DR309" s="1432"/>
      <c r="DS309" s="1432"/>
      <c r="DT309" s="1316"/>
      <c r="DU309" s="1433"/>
      <c r="DV309" s="1433"/>
      <c r="DW309" s="1433"/>
      <c r="DX309" s="1433"/>
      <c r="DY309" s="1433"/>
      <c r="DZ309" s="1433"/>
      <c r="EA309" s="1433"/>
      <c r="EB309" s="1433"/>
    </row>
    <row r="310" customFormat="false" ht="14.25" hidden="false" customHeight="false" outlineLevel="0" collapsed="false">
      <c r="A310" s="2" t="n">
        <f aca="false">'V_DATOS PAC_SGA'!R305</f>
        <v>0</v>
      </c>
      <c r="B310" s="2" t="n">
        <f aca="false">IF(I310="IV",CONCATENATE('V_DATOS PAC_SGA'!R305,"4")+0,CONCATENATE('V_DATOS PAC_SGA'!R305,"0")+0)</f>
        <v>0</v>
      </c>
      <c r="C310" s="2" t="n">
        <f aca="false">'V_DATOS PAC_SGA'!S305</f>
        <v>0</v>
      </c>
      <c r="D310" s="1409" t="n">
        <f aca="false">'V_DATOS PAC_SGA'!Y305</f>
        <v>0</v>
      </c>
      <c r="E310" s="1410" t="str">
        <f aca="false">IF('V_DATOS PAC_SGA'!AV305="","Regadio",'V_DATOS PAC_SGA'!AV305)</f>
        <v>Regadio</v>
      </c>
      <c r="F310" s="1411" t="n">
        <f aca="false">'V_DATOS PAC_SGA'!BK305</f>
        <v>0</v>
      </c>
      <c r="G310" s="1412" t="n">
        <f aca="false">'V_DATOS PAC_SGA'!AN305</f>
        <v>0</v>
      </c>
      <c r="H310" s="1413" t="str">
        <f aca="false">IF(B310&gt;0,VLOOKUP(B310,'O_MN, PE_UTA_UGM 2024'!E$3:O$419,10),"")</f>
        <v/>
      </c>
      <c r="I310" s="1359" t="n">
        <f aca="false">'V_DATOS PAC_SGA'!BV305</f>
        <v>0</v>
      </c>
      <c r="J310" s="2" t="str">
        <f aca="false">IF(AND(J$4=$G310,J$6=$F310),$D310*J$5,"")</f>
        <v/>
      </c>
      <c r="K310" s="2" t="str">
        <f aca="false">IF(AND(K$4=$G310,K$6=$F310),$D310*K$5,"")</f>
        <v/>
      </c>
      <c r="L310" s="2" t="str">
        <f aca="false">IF(AND(L$4=$G310,L$6=$F310),$D310*L$5,"")</f>
        <v/>
      </c>
      <c r="M310" s="2" t="str">
        <f aca="false">IF(AND(M$4=$G310,M$6=$F310),$D310*M$5,"")</f>
        <v/>
      </c>
      <c r="N310" s="1414" t="n">
        <f aca="false">VLOOKUP(B310,'O_MN, PE_UTA_UGM 2024'!$E$2:$K$419,IF(G310&gt;1,6,7))</f>
        <v>0</v>
      </c>
      <c r="O310" s="1434" t="str">
        <f aca="false">IF($H310=O$4,$D310*$N310,"")</f>
        <v/>
      </c>
      <c r="P310" s="1435" t="str">
        <f aca="false">IF($H310=P$4,$D310*$N310,"")</f>
        <v/>
      </c>
      <c r="Q310" s="1435" t="str">
        <f aca="false">IF($H310=Q$4,$D310*$N310,"")</f>
        <v/>
      </c>
      <c r="R310" s="1435" t="str">
        <f aca="false">IF($H310=R$4,$D310*$N310,"")</f>
        <v/>
      </c>
      <c r="S310" s="1435" t="str">
        <f aca="false">IF($H310=S$4,$D310*$N310,"")</f>
        <v/>
      </c>
      <c r="T310" s="1435" t="str">
        <f aca="false">IF($H310=T$4,$D310*$N310,"")</f>
        <v/>
      </c>
      <c r="U310" s="1436" t="str">
        <f aca="false">IF($H310=U$4,$D310*$N310,"")</f>
        <v/>
      </c>
      <c r="V310" s="1472"/>
      <c r="W310" s="1471"/>
      <c r="X310" s="1471"/>
      <c r="Y310" s="1471"/>
      <c r="Z310" s="1471"/>
      <c r="AA310" s="1471"/>
      <c r="AB310" s="1473"/>
      <c r="AC310" s="1319"/>
      <c r="AD310" s="2" t="str">
        <f aca="false">IF(AND(AD$4=$G310,AD$6=$F310),$B310,"")</f>
        <v/>
      </c>
      <c r="AE310" s="2" t="str">
        <f aca="false">IF(AND(AE$4=$G310,AE$6=$F310),$B310,"")</f>
        <v/>
      </c>
      <c r="AF310" s="2" t="str">
        <f aca="false">IF(AND(AF$4=$G310,AF$6=$F310),$B310,"")</f>
        <v/>
      </c>
      <c r="AG310" s="2" t="str">
        <f aca="false">IF(AND(AG$4=$G310,AG$6=$F310),$B310,"")</f>
        <v/>
      </c>
      <c r="AI310" s="366"/>
      <c r="AL310" s="367"/>
      <c r="AO310" s="367"/>
      <c r="AP310" s="2" t="str">
        <f aca="false">IF(AT310&gt;0,RANK(AT310,AT$7:AT$423),"")</f>
        <v/>
      </c>
      <c r="AQ310" s="1475" t="n">
        <f aca="false">'O_MN, PE_UTA_UGM 2024'!C306</f>
        <v>325</v>
      </c>
      <c r="AR310" s="1421" t="n">
        <v>3060</v>
      </c>
      <c r="AS310" s="2" t="str">
        <f aca="false">IF(AY310&lt;&gt;"",AY310,"")</f>
        <v/>
      </c>
      <c r="AT310" s="1422" t="n">
        <f aca="false">IF(ISNUMBER($AR310),SUMIF(B$7:B$505,AR310,D$7:D$505),"")</f>
        <v>0</v>
      </c>
      <c r="AU310" s="1411" t="n">
        <f aca="false">IF(ISNUMBER($AR310),SUMIF(AD$7:AD$503,$AR310,J$7:J$503),"")</f>
        <v>0</v>
      </c>
      <c r="AV310" s="1411" t="n">
        <f aca="false">IF(ISNUMBER($AR310),SUMIF(AF$7:AF$503,$AR310,L$7:L$503),"")</f>
        <v>0</v>
      </c>
      <c r="AW310" s="1423" t="n">
        <f aca="false">IF(ISNUMBER($AR310),SUMIF(AE$7:AE$503,$AR310,K$7:K$503),"")</f>
        <v>0</v>
      </c>
      <c r="AX310" s="1423" t="n">
        <f aca="false">IF(ISNUMBER($AR310),SUMIF(AG$7:AG$503,$AR310,M$7:M$503),"")</f>
        <v>0</v>
      </c>
      <c r="AY310" s="2" t="str">
        <f aca="false">IF($AT310&gt;0,VLOOKUP($AR310,'O_MN, PE_UTA_UGM 2024'!E306:O722,2),"")</f>
        <v/>
      </c>
      <c r="AZ310" s="1424"/>
      <c r="BA310" s="1424"/>
      <c r="BB310" s="1424" t="str">
        <f aca="false">IF($AT310&gt;0,VLOOKUP($AR310,'O_MN, PE_UTA_UGM 2024'!$E$3:$O$419,BB$6),"")</f>
        <v/>
      </c>
      <c r="BC310" s="1424" t="str">
        <f aca="false">IF($AT310&gt;0,VLOOKUP($AR310,'O_MN, PE_UTA_UGM 2024'!$E$3:$O$419,BC$6),"")</f>
        <v/>
      </c>
      <c r="BD310" s="1424" t="str">
        <f aca="false">IF($AT310&gt;0,VLOOKUP($AR310,'O_MN, PE_UTA_UGM 2024'!$E$3:$O$419,BD$6),"")</f>
        <v/>
      </c>
      <c r="BE310" s="1424" t="str">
        <f aca="false">IF($AT310&gt;0,VLOOKUP($AR310,'O_MN, PE_UTA_UGM 2024'!$E$3:$O$419,BE$6),"")</f>
        <v/>
      </c>
      <c r="BF310" s="1424" t="str">
        <f aca="false">IF($AT310&gt;0,VLOOKUP($AR310,'O_MN, PE_UTA_UGM 2024'!$E$3:$O$419,BF$6),"")</f>
        <v/>
      </c>
      <c r="BG310" s="1424" t="str">
        <f aca="false">IF($AT310&gt;0,VLOOKUP($AR310,'O_MN, PE_UTA_UGM 2024'!$E$3:$O$419,BG$6),"")</f>
        <v/>
      </c>
      <c r="BH310" s="872"/>
      <c r="BI310" s="872"/>
      <c r="BJ310" s="872"/>
      <c r="BK310" s="872"/>
      <c r="BM310" s="1411"/>
      <c r="BN310" s="1411"/>
      <c r="BO310" s="1425" t="str">
        <f aca="false">IF(ISNUMBER($AU310*BB310*1),$AU310*BB310*1,"")</f>
        <v/>
      </c>
      <c r="BP310" s="1425" t="str">
        <f aca="false">IF(ISNUMBER($AV310*BC310*1),$AV310*BC310*1,"")</f>
        <v/>
      </c>
      <c r="BQ310" s="1425" t="str">
        <f aca="false">IF(ISNUMBER($AU310*BD310*1),$AU310*BD310*1,"")</f>
        <v/>
      </c>
      <c r="BR310" s="1425" t="str">
        <f aca="false">IF(ISNUMBER($AV310*BE310*1),$AV310*BE310*1,"")</f>
        <v/>
      </c>
      <c r="BS310" s="1411" t="str">
        <f aca="false">IF(ISNUMBER($AU310*BF310),$AU310*BF310,"")</f>
        <v/>
      </c>
      <c r="BT310" s="1411" t="str">
        <f aca="false">IF(ISNUMBER($AV310*BG310),$AV310*BG310,"")</f>
        <v/>
      </c>
      <c r="BU310" s="1411"/>
      <c r="BV310" s="1411"/>
      <c r="BW310" s="1411"/>
      <c r="BX310" s="1411"/>
      <c r="BZ310" s="1372"/>
      <c r="CA310" s="1372"/>
      <c r="CB310" s="1426" t="str">
        <f aca="false">IF(ISNUMBER($AW310*BB310),$AW310*BB310,"")</f>
        <v/>
      </c>
      <c r="CC310" s="1426" t="str">
        <f aca="false">IF(ISNUMBER($AX310*BC310),$AX310*BC310,"")</f>
        <v/>
      </c>
      <c r="CD310" s="1426" t="str">
        <f aca="false">IF(ISNUMBER($AW310*BD310),$AW310*BD310,"")</f>
        <v/>
      </c>
      <c r="CE310" s="1426" t="str">
        <f aca="false">IF(ISNUMBER($AX310*BE310),$AX310*BE310,"")</f>
        <v/>
      </c>
      <c r="CF310" s="1372" t="str">
        <f aca="false">IF(ISNUMBER($AW310*BF310),$AW310*BF310,"")</f>
        <v/>
      </c>
      <c r="CG310" s="1372" t="str">
        <f aca="false">IF(ISNUMBER($AX310*BG310),$AX310*BG310,"")</f>
        <v/>
      </c>
      <c r="CH310" s="1438"/>
      <c r="CI310" s="1438"/>
      <c r="CJ310" s="1438"/>
      <c r="CK310" s="1438"/>
      <c r="CU310" s="1411"/>
      <c r="CV310" s="1411"/>
      <c r="CW310" s="1425"/>
      <c r="CX310" s="1425"/>
      <c r="CY310" s="1425"/>
      <c r="CZ310" s="1425"/>
      <c r="DA310" s="1411"/>
      <c r="DB310" s="1411"/>
      <c r="DC310" s="1411"/>
      <c r="DD310" s="1411"/>
      <c r="DE310" s="1411"/>
      <c r="DF310" s="1411"/>
      <c r="DH310" s="1432"/>
      <c r="DI310" s="1432"/>
      <c r="DJ310" s="1437"/>
      <c r="DK310" s="1437"/>
      <c r="DL310" s="1437"/>
      <c r="DM310" s="1437"/>
      <c r="DN310" s="1432"/>
      <c r="DO310" s="1432"/>
      <c r="DP310" s="1432"/>
      <c r="DQ310" s="1432"/>
      <c r="DR310" s="1432"/>
      <c r="DS310" s="1432"/>
      <c r="DT310" s="1316"/>
      <c r="DU310" s="1433"/>
      <c r="DV310" s="1433"/>
      <c r="DW310" s="1433"/>
      <c r="DX310" s="1433"/>
      <c r="DY310" s="1433"/>
      <c r="DZ310" s="1433"/>
      <c r="EA310" s="1433"/>
      <c r="EB310" s="1433"/>
    </row>
    <row r="311" customFormat="false" ht="14.25" hidden="false" customHeight="false" outlineLevel="0" collapsed="false">
      <c r="A311" s="2" t="n">
        <f aca="false">'V_DATOS PAC_SGA'!R306</f>
        <v>0</v>
      </c>
      <c r="B311" s="2" t="n">
        <f aca="false">IF(I311="IV",CONCATENATE('V_DATOS PAC_SGA'!R306,"4")+0,CONCATENATE('V_DATOS PAC_SGA'!R306,"0")+0)</f>
        <v>0</v>
      </c>
      <c r="C311" s="2" t="n">
        <f aca="false">'V_DATOS PAC_SGA'!S306</f>
        <v>0</v>
      </c>
      <c r="D311" s="1409" t="n">
        <f aca="false">'V_DATOS PAC_SGA'!Y306</f>
        <v>0</v>
      </c>
      <c r="E311" s="1410" t="str">
        <f aca="false">IF('V_DATOS PAC_SGA'!AV306="","Regadio",'V_DATOS PAC_SGA'!AV306)</f>
        <v>Regadio</v>
      </c>
      <c r="F311" s="1411" t="n">
        <f aca="false">'V_DATOS PAC_SGA'!BK306</f>
        <v>0</v>
      </c>
      <c r="G311" s="1412" t="n">
        <f aca="false">'V_DATOS PAC_SGA'!AN306</f>
        <v>0</v>
      </c>
      <c r="H311" s="1413" t="str">
        <f aca="false">IF(B311&gt;0,VLOOKUP(B311,'O_MN, PE_UTA_UGM 2024'!E$3:O$419,10),"")</f>
        <v/>
      </c>
      <c r="I311" s="1359" t="n">
        <f aca="false">'V_DATOS PAC_SGA'!BV306</f>
        <v>0</v>
      </c>
      <c r="J311" s="2" t="str">
        <f aca="false">IF(AND(J$4=$G311,J$6=$F311),$D311*J$5,"")</f>
        <v/>
      </c>
      <c r="K311" s="2" t="str">
        <f aca="false">IF(AND(K$4=$G311,K$6=$F311),$D311*K$5,"")</f>
        <v/>
      </c>
      <c r="L311" s="2" t="str">
        <f aca="false">IF(AND(L$4=$G311,L$6=$F311),$D311*L$5,"")</f>
        <v/>
      </c>
      <c r="M311" s="2" t="str">
        <f aca="false">IF(AND(M$4=$G311,M$6=$F311),$D311*M$5,"")</f>
        <v/>
      </c>
      <c r="N311" s="1414" t="n">
        <f aca="false">VLOOKUP(B311,'O_MN, PE_UTA_UGM 2024'!$E$2:$K$419,IF(G311&gt;1,6,7))</f>
        <v>0</v>
      </c>
      <c r="O311" s="1434" t="str">
        <f aca="false">IF($H311=O$4,$D311*$N311,"")</f>
        <v/>
      </c>
      <c r="P311" s="1435" t="str">
        <f aca="false">IF($H311=P$4,$D311*$N311,"")</f>
        <v/>
      </c>
      <c r="Q311" s="1435" t="str">
        <f aca="false">IF($H311=Q$4,$D311*$N311,"")</f>
        <v/>
      </c>
      <c r="R311" s="1435" t="str">
        <f aca="false">IF($H311=R$4,$D311*$N311,"")</f>
        <v/>
      </c>
      <c r="S311" s="1435" t="str">
        <f aca="false">IF($H311=S$4,$D311*$N311,"")</f>
        <v/>
      </c>
      <c r="T311" s="1435" t="str">
        <f aca="false">IF($H311=T$4,$D311*$N311,"")</f>
        <v/>
      </c>
      <c r="U311" s="1436" t="str">
        <f aca="false">IF($H311=U$4,$D311*$N311,"")</f>
        <v/>
      </c>
      <c r="V311" s="1472"/>
      <c r="W311" s="1471"/>
      <c r="X311" s="1471"/>
      <c r="Y311" s="1471"/>
      <c r="Z311" s="1471"/>
      <c r="AA311" s="1471"/>
      <c r="AB311" s="1473"/>
      <c r="AC311" s="1319"/>
      <c r="AD311" s="2" t="str">
        <f aca="false">IF(AND(AD$4=$G311,AD$6=$F311),$B311,"")</f>
        <v/>
      </c>
      <c r="AE311" s="2" t="str">
        <f aca="false">IF(AND(AE$4=$G311,AE$6=$F311),$B311,"")</f>
        <v/>
      </c>
      <c r="AF311" s="2" t="str">
        <f aca="false">IF(AND(AF$4=$G311,AF$6=$F311),$B311,"")</f>
        <v/>
      </c>
      <c r="AG311" s="2" t="str">
        <f aca="false">IF(AND(AG$4=$G311,AG$6=$F311),$B311,"")</f>
        <v/>
      </c>
      <c r="AI311" s="366"/>
      <c r="AL311" s="367"/>
      <c r="AO311" s="367"/>
      <c r="AP311" s="2" t="str">
        <f aca="false">IF(AT311&gt;0,RANK(AT311,AT$7:AT$423),"")</f>
        <v/>
      </c>
      <c r="AQ311" s="1475" t="n">
        <f aca="false">'O_MN, PE_UTA_UGM 2024'!C307</f>
        <v>328</v>
      </c>
      <c r="AR311" s="1421" t="n">
        <v>3070</v>
      </c>
      <c r="AS311" s="2" t="str">
        <f aca="false">IF(AY311&lt;&gt;"",AY311,"")</f>
        <v/>
      </c>
      <c r="AT311" s="1422" t="n">
        <f aca="false">IF(ISNUMBER($AR311),SUMIF(B$7:B$505,AR311,D$7:D$505),"")</f>
        <v>0</v>
      </c>
      <c r="AU311" s="1411" t="n">
        <f aca="false">IF(ISNUMBER($AR311),SUMIF(AD$7:AD$503,$AR311,J$7:J$503),"")</f>
        <v>0</v>
      </c>
      <c r="AV311" s="1411" t="n">
        <f aca="false">IF(ISNUMBER($AR311),SUMIF(AF$7:AF$503,$AR311,L$7:L$503),"")</f>
        <v>0</v>
      </c>
      <c r="AW311" s="1423" t="n">
        <f aca="false">IF(ISNUMBER($AR311),SUMIF(AE$7:AE$503,$AR311,K$7:K$503),"")</f>
        <v>0</v>
      </c>
      <c r="AX311" s="1423" t="n">
        <f aca="false">IF(ISNUMBER($AR311),SUMIF(AG$7:AG$503,$AR311,M$7:M$503),"")</f>
        <v>0</v>
      </c>
      <c r="AY311" s="2" t="str">
        <f aca="false">IF($AT311&gt;0,VLOOKUP($AR311,'O_MN, PE_UTA_UGM 2024'!E307:O723,2),"")</f>
        <v/>
      </c>
      <c r="AZ311" s="1424"/>
      <c r="BA311" s="1424"/>
      <c r="BB311" s="1424" t="str">
        <f aca="false">IF($AT311&gt;0,VLOOKUP($AR311,'O_MN, PE_UTA_UGM 2024'!$E$3:$O$419,BB$6),"")</f>
        <v/>
      </c>
      <c r="BC311" s="1424" t="str">
        <f aca="false">IF($AT311&gt;0,VLOOKUP($AR311,'O_MN, PE_UTA_UGM 2024'!$E$3:$O$419,BC$6),"")</f>
        <v/>
      </c>
      <c r="BD311" s="1424" t="str">
        <f aca="false">IF($AT311&gt;0,VLOOKUP($AR311,'O_MN, PE_UTA_UGM 2024'!$E$3:$O$419,BD$6),"")</f>
        <v/>
      </c>
      <c r="BE311" s="1424" t="str">
        <f aca="false">IF($AT311&gt;0,VLOOKUP($AR311,'O_MN, PE_UTA_UGM 2024'!$E$3:$O$419,BE$6),"")</f>
        <v/>
      </c>
      <c r="BF311" s="1424" t="str">
        <f aca="false">IF($AT311&gt;0,VLOOKUP($AR311,'O_MN, PE_UTA_UGM 2024'!$E$3:$O$419,BF$6),"")</f>
        <v/>
      </c>
      <c r="BG311" s="1424" t="str">
        <f aca="false">IF($AT311&gt;0,VLOOKUP($AR311,'O_MN, PE_UTA_UGM 2024'!$E$3:$O$419,BG$6),"")</f>
        <v/>
      </c>
      <c r="BH311" s="872"/>
      <c r="BI311" s="872"/>
      <c r="BJ311" s="872"/>
      <c r="BK311" s="872"/>
      <c r="BM311" s="1411"/>
      <c r="BN311" s="1411"/>
      <c r="BO311" s="1425" t="str">
        <f aca="false">IF(ISNUMBER($AU311*BB311*1),$AU311*BB311*1,"")</f>
        <v/>
      </c>
      <c r="BP311" s="1425" t="str">
        <f aca="false">IF(ISNUMBER($AV311*BC311*1),$AV311*BC311*1,"")</f>
        <v/>
      </c>
      <c r="BQ311" s="1425" t="str">
        <f aca="false">IF(ISNUMBER($AU311*BD311*1),$AU311*BD311*1,"")</f>
        <v/>
      </c>
      <c r="BR311" s="1425" t="str">
        <f aca="false">IF(ISNUMBER($AV311*BE311*1),$AV311*BE311*1,"")</f>
        <v/>
      </c>
      <c r="BS311" s="1411" t="str">
        <f aca="false">IF(ISNUMBER($AU311*BF311),$AU311*BF311,"")</f>
        <v/>
      </c>
      <c r="BT311" s="1411" t="str">
        <f aca="false">IF(ISNUMBER($AV311*BG311),$AV311*BG311,"")</f>
        <v/>
      </c>
      <c r="BU311" s="1411"/>
      <c r="BV311" s="1411"/>
      <c r="BW311" s="1411"/>
      <c r="BX311" s="1411"/>
      <c r="BZ311" s="1372"/>
      <c r="CA311" s="1372"/>
      <c r="CB311" s="1426" t="str">
        <f aca="false">IF(ISNUMBER($AW311*BB311),$AW311*BB311,"")</f>
        <v/>
      </c>
      <c r="CC311" s="1426" t="str">
        <f aca="false">IF(ISNUMBER($AX311*BC311),$AX311*BC311,"")</f>
        <v/>
      </c>
      <c r="CD311" s="1426" t="str">
        <f aca="false">IF(ISNUMBER($AW311*BD311),$AW311*BD311,"")</f>
        <v/>
      </c>
      <c r="CE311" s="1426" t="str">
        <f aca="false">IF(ISNUMBER($AX311*BE311),$AX311*BE311,"")</f>
        <v/>
      </c>
      <c r="CF311" s="1372" t="str">
        <f aca="false">IF(ISNUMBER($AW311*BF311),$AW311*BF311,"")</f>
        <v/>
      </c>
      <c r="CG311" s="1372" t="str">
        <f aca="false">IF(ISNUMBER($AX311*BG311),$AX311*BG311,"")</f>
        <v/>
      </c>
      <c r="CH311" s="1438"/>
      <c r="CI311" s="1438"/>
      <c r="CJ311" s="1438"/>
      <c r="CK311" s="1438"/>
      <c r="CU311" s="1411"/>
      <c r="CV311" s="1411"/>
      <c r="CW311" s="1425"/>
      <c r="CX311" s="1425"/>
      <c r="CY311" s="1425"/>
      <c r="CZ311" s="1425"/>
      <c r="DA311" s="1411"/>
      <c r="DB311" s="1411"/>
      <c r="DC311" s="1411"/>
      <c r="DD311" s="1411"/>
      <c r="DE311" s="1411"/>
      <c r="DF311" s="1411"/>
      <c r="DH311" s="1432"/>
      <c r="DI311" s="1432"/>
      <c r="DJ311" s="1437"/>
      <c r="DK311" s="1437"/>
      <c r="DL311" s="1437"/>
      <c r="DM311" s="1437"/>
      <c r="DN311" s="1432"/>
      <c r="DO311" s="1432"/>
      <c r="DP311" s="1432"/>
      <c r="DQ311" s="1432"/>
      <c r="DR311" s="1432"/>
      <c r="DS311" s="1432"/>
      <c r="DT311" s="1316"/>
      <c r="DU311" s="1433"/>
      <c r="DV311" s="1433"/>
      <c r="DW311" s="1433"/>
      <c r="DX311" s="1433"/>
      <c r="DY311" s="1433"/>
      <c r="DZ311" s="1433"/>
      <c r="EA311" s="1433"/>
      <c r="EB311" s="1433"/>
    </row>
    <row r="312" customFormat="false" ht="14.25" hidden="false" customHeight="false" outlineLevel="0" collapsed="false">
      <c r="A312" s="2" t="n">
        <f aca="false">'V_DATOS PAC_SGA'!R307</f>
        <v>0</v>
      </c>
      <c r="B312" s="2" t="n">
        <f aca="false">IF(I312="IV",CONCATENATE('V_DATOS PAC_SGA'!R307,"4")+0,CONCATENATE('V_DATOS PAC_SGA'!R307,"0")+0)</f>
        <v>0</v>
      </c>
      <c r="C312" s="2" t="n">
        <f aca="false">'V_DATOS PAC_SGA'!S307</f>
        <v>0</v>
      </c>
      <c r="D312" s="1409" t="n">
        <f aca="false">'V_DATOS PAC_SGA'!Y307</f>
        <v>0</v>
      </c>
      <c r="E312" s="1410" t="str">
        <f aca="false">IF('V_DATOS PAC_SGA'!AV307="","Regadio",'V_DATOS PAC_SGA'!AV307)</f>
        <v>Regadio</v>
      </c>
      <c r="F312" s="1411" t="n">
        <f aca="false">'V_DATOS PAC_SGA'!BK307</f>
        <v>0</v>
      </c>
      <c r="G312" s="1412" t="n">
        <f aca="false">'V_DATOS PAC_SGA'!AN307</f>
        <v>0</v>
      </c>
      <c r="H312" s="1413" t="str">
        <f aca="false">IF(B312&gt;0,VLOOKUP(B312,'O_MN, PE_UTA_UGM 2024'!E$3:O$419,10),"")</f>
        <v/>
      </c>
      <c r="I312" s="1359" t="n">
        <f aca="false">'V_DATOS PAC_SGA'!BV307</f>
        <v>0</v>
      </c>
      <c r="J312" s="2" t="str">
        <f aca="false">IF(AND(J$4=$G312,J$6=$F312),$D312*J$5,"")</f>
        <v/>
      </c>
      <c r="K312" s="2" t="str">
        <f aca="false">IF(AND(K$4=$G312,K$6=$F312),$D312*K$5,"")</f>
        <v/>
      </c>
      <c r="L312" s="2" t="str">
        <f aca="false">IF(AND(L$4=$G312,L$6=$F312),$D312*L$5,"")</f>
        <v/>
      </c>
      <c r="M312" s="2" t="str">
        <f aca="false">IF(AND(M$4=$G312,M$6=$F312),$D312*M$5,"")</f>
        <v/>
      </c>
      <c r="N312" s="1414" t="n">
        <f aca="false">VLOOKUP(B312,'O_MN, PE_UTA_UGM 2024'!$E$2:$K$419,IF(G312&gt;1,6,7))</f>
        <v>0</v>
      </c>
      <c r="O312" s="1434" t="str">
        <f aca="false">IF($H312=O$4,$D312*$N312,"")</f>
        <v/>
      </c>
      <c r="P312" s="1435" t="str">
        <f aca="false">IF($H312=P$4,$D312*$N312,"")</f>
        <v/>
      </c>
      <c r="Q312" s="1435" t="str">
        <f aca="false">IF($H312=Q$4,$D312*$N312,"")</f>
        <v/>
      </c>
      <c r="R312" s="1435" t="str">
        <f aca="false">IF($H312=R$4,$D312*$N312,"")</f>
        <v/>
      </c>
      <c r="S312" s="1435" t="str">
        <f aca="false">IF($H312=S$4,$D312*$N312,"")</f>
        <v/>
      </c>
      <c r="T312" s="1435" t="str">
        <f aca="false">IF($H312=T$4,$D312*$N312,"")</f>
        <v/>
      </c>
      <c r="U312" s="1436" t="str">
        <f aca="false">IF($H312=U$4,$D312*$N312,"")</f>
        <v/>
      </c>
      <c r="V312" s="1472"/>
      <c r="W312" s="1471"/>
      <c r="X312" s="1471"/>
      <c r="Y312" s="1471"/>
      <c r="Z312" s="1471"/>
      <c r="AA312" s="1471"/>
      <c r="AB312" s="1473"/>
      <c r="AC312" s="1319"/>
      <c r="AD312" s="2" t="str">
        <f aca="false">IF(AND(AD$4=$G312,AD$6=$F312),$B312,"")</f>
        <v/>
      </c>
      <c r="AE312" s="2" t="str">
        <f aca="false">IF(AND(AE$4=$G312,AE$6=$F312),$B312,"")</f>
        <v/>
      </c>
      <c r="AF312" s="2" t="str">
        <f aca="false">IF(AND(AF$4=$G312,AF$6=$F312),$B312,"")</f>
        <v/>
      </c>
      <c r="AG312" s="2" t="str">
        <f aca="false">IF(AND(AG$4=$G312,AG$6=$F312),$B312,"")</f>
        <v/>
      </c>
      <c r="AI312" s="366"/>
      <c r="AL312" s="367"/>
      <c r="AO312" s="367"/>
      <c r="AP312" s="2" t="str">
        <f aca="false">IF(AT312&gt;0,RANK(AT312,AT$7:AT$423),"")</f>
        <v/>
      </c>
      <c r="AQ312" s="1475" t="n">
        <f aca="false">'O_MN, PE_UTA_UGM 2024'!C308</f>
        <v>329</v>
      </c>
      <c r="AR312" s="1421" t="n">
        <v>3080</v>
      </c>
      <c r="AS312" s="2" t="str">
        <f aca="false">IF(AY312&lt;&gt;"",AY312,"")</f>
        <v/>
      </c>
      <c r="AT312" s="1422" t="n">
        <f aca="false">IF(ISNUMBER($AR312),SUMIF(B$7:B$505,AR312,D$7:D$505),"")</f>
        <v>0</v>
      </c>
      <c r="AU312" s="1411" t="n">
        <f aca="false">IF(ISNUMBER($AR312),SUMIF(AD$7:AD$503,$AR312,J$7:J$503),"")</f>
        <v>0</v>
      </c>
      <c r="AV312" s="1411" t="n">
        <f aca="false">IF(ISNUMBER($AR312),SUMIF(AF$7:AF$503,$AR312,L$7:L$503),"")</f>
        <v>0</v>
      </c>
      <c r="AW312" s="1423" t="n">
        <f aca="false">IF(ISNUMBER($AR312),SUMIF(AE$7:AE$503,$AR312,K$7:K$503),"")</f>
        <v>0</v>
      </c>
      <c r="AX312" s="1423" t="n">
        <f aca="false">IF(ISNUMBER($AR312),SUMIF(AG$7:AG$503,$AR312,M$7:M$503),"")</f>
        <v>0</v>
      </c>
      <c r="AY312" s="2" t="str">
        <f aca="false">IF($AT312&gt;0,VLOOKUP($AR312,'O_MN, PE_UTA_UGM 2024'!E308:O724,2),"")</f>
        <v/>
      </c>
      <c r="AZ312" s="1424"/>
      <c r="BA312" s="1424"/>
      <c r="BB312" s="1424" t="str">
        <f aca="false">IF($AT312&gt;0,VLOOKUP($AR312,'O_MN, PE_UTA_UGM 2024'!$E$3:$O$419,BB$6),"")</f>
        <v/>
      </c>
      <c r="BC312" s="1424" t="str">
        <f aca="false">IF($AT312&gt;0,VLOOKUP($AR312,'O_MN, PE_UTA_UGM 2024'!$E$3:$O$419,BC$6),"")</f>
        <v/>
      </c>
      <c r="BD312" s="1424" t="str">
        <f aca="false">IF($AT312&gt;0,VLOOKUP($AR312,'O_MN, PE_UTA_UGM 2024'!$E$3:$O$419,BD$6),"")</f>
        <v/>
      </c>
      <c r="BE312" s="1424" t="str">
        <f aca="false">IF($AT312&gt;0,VLOOKUP($AR312,'O_MN, PE_UTA_UGM 2024'!$E$3:$O$419,BE$6),"")</f>
        <v/>
      </c>
      <c r="BF312" s="1424" t="str">
        <f aca="false">IF($AT312&gt;0,VLOOKUP($AR312,'O_MN, PE_UTA_UGM 2024'!$E$3:$O$419,BF$6),"")</f>
        <v/>
      </c>
      <c r="BG312" s="1424" t="str">
        <f aca="false">IF($AT312&gt;0,VLOOKUP($AR312,'O_MN, PE_UTA_UGM 2024'!$E$3:$O$419,BG$6),"")</f>
        <v/>
      </c>
      <c r="BH312" s="872"/>
      <c r="BI312" s="872"/>
      <c r="BJ312" s="872"/>
      <c r="BK312" s="872"/>
      <c r="BM312" s="1411"/>
      <c r="BN312" s="1411"/>
      <c r="BO312" s="1425" t="str">
        <f aca="false">IF(ISNUMBER($AU312*BB312*1),$AU312*BB312*1,"")</f>
        <v/>
      </c>
      <c r="BP312" s="1425" t="str">
        <f aca="false">IF(ISNUMBER($AV312*BC312*1),$AV312*BC312*1,"")</f>
        <v/>
      </c>
      <c r="BQ312" s="1425" t="str">
        <f aca="false">IF(ISNUMBER($AU312*BD312*1),$AU312*BD312*1,"")</f>
        <v/>
      </c>
      <c r="BR312" s="1425" t="str">
        <f aca="false">IF(ISNUMBER($AV312*BE312*1),$AV312*BE312*1,"")</f>
        <v/>
      </c>
      <c r="BS312" s="1411" t="str">
        <f aca="false">IF(ISNUMBER($AU312*BF312),$AU312*BF312,"")</f>
        <v/>
      </c>
      <c r="BT312" s="1411" t="str">
        <f aca="false">IF(ISNUMBER($AV312*BG312),$AV312*BG312,"")</f>
        <v/>
      </c>
      <c r="BU312" s="1411"/>
      <c r="BV312" s="1411"/>
      <c r="BW312" s="1411"/>
      <c r="BX312" s="1411"/>
      <c r="BZ312" s="1372"/>
      <c r="CA312" s="1372"/>
      <c r="CB312" s="1426" t="str">
        <f aca="false">IF(ISNUMBER($AW312*BB312),$AW312*BB312,"")</f>
        <v/>
      </c>
      <c r="CC312" s="1426" t="str">
        <f aca="false">IF(ISNUMBER($AX312*BC312),$AX312*BC312,"")</f>
        <v/>
      </c>
      <c r="CD312" s="1426" t="str">
        <f aca="false">IF(ISNUMBER($AW312*BD312),$AW312*BD312,"")</f>
        <v/>
      </c>
      <c r="CE312" s="1426" t="str">
        <f aca="false">IF(ISNUMBER($AX312*BE312),$AX312*BE312,"")</f>
        <v/>
      </c>
      <c r="CF312" s="1372" t="str">
        <f aca="false">IF(ISNUMBER($AW312*BF312),$AW312*BF312,"")</f>
        <v/>
      </c>
      <c r="CG312" s="1372" t="str">
        <f aca="false">IF(ISNUMBER($AX312*BG312),$AX312*BG312,"")</f>
        <v/>
      </c>
      <c r="CH312" s="1438"/>
      <c r="CI312" s="1438"/>
      <c r="CJ312" s="1438"/>
      <c r="CK312" s="1438"/>
      <c r="CU312" s="1411"/>
      <c r="CV312" s="1411"/>
      <c r="CW312" s="1425"/>
      <c r="CX312" s="1425"/>
      <c r="CY312" s="1425"/>
      <c r="CZ312" s="1425"/>
      <c r="DA312" s="1411"/>
      <c r="DB312" s="1411"/>
      <c r="DC312" s="1411"/>
      <c r="DD312" s="1411"/>
      <c r="DE312" s="1411"/>
      <c r="DF312" s="1411"/>
      <c r="DH312" s="1432"/>
      <c r="DI312" s="1432"/>
      <c r="DJ312" s="1437"/>
      <c r="DK312" s="1437"/>
      <c r="DL312" s="1437"/>
      <c r="DM312" s="1437"/>
      <c r="DN312" s="1432"/>
      <c r="DO312" s="1432"/>
      <c r="DP312" s="1432"/>
      <c r="DQ312" s="1432"/>
      <c r="DR312" s="1432"/>
      <c r="DS312" s="1432"/>
      <c r="DT312" s="1316"/>
      <c r="DU312" s="1433"/>
      <c r="DV312" s="1433"/>
      <c r="DW312" s="1433"/>
      <c r="DX312" s="1433"/>
      <c r="DY312" s="1433"/>
      <c r="DZ312" s="1433"/>
      <c r="EA312" s="1433"/>
      <c r="EB312" s="1433"/>
    </row>
    <row r="313" customFormat="false" ht="14.25" hidden="false" customHeight="false" outlineLevel="0" collapsed="false">
      <c r="A313" s="2" t="n">
        <f aca="false">'V_DATOS PAC_SGA'!R308</f>
        <v>0</v>
      </c>
      <c r="B313" s="2" t="n">
        <f aca="false">IF(I313="IV",CONCATENATE('V_DATOS PAC_SGA'!R308,"4")+0,CONCATENATE('V_DATOS PAC_SGA'!R308,"0")+0)</f>
        <v>0</v>
      </c>
      <c r="C313" s="2" t="n">
        <f aca="false">'V_DATOS PAC_SGA'!S308</f>
        <v>0</v>
      </c>
      <c r="D313" s="1409" t="n">
        <f aca="false">'V_DATOS PAC_SGA'!Y308</f>
        <v>0</v>
      </c>
      <c r="E313" s="1410" t="str">
        <f aca="false">IF('V_DATOS PAC_SGA'!AV308="","Regadio",'V_DATOS PAC_SGA'!AV308)</f>
        <v>Regadio</v>
      </c>
      <c r="F313" s="1411" t="n">
        <f aca="false">'V_DATOS PAC_SGA'!BK308</f>
        <v>0</v>
      </c>
      <c r="G313" s="1412" t="n">
        <f aca="false">'V_DATOS PAC_SGA'!AN308</f>
        <v>0</v>
      </c>
      <c r="H313" s="1413" t="str">
        <f aca="false">IF(B313&gt;0,VLOOKUP(B313,'O_MN, PE_UTA_UGM 2024'!E$3:O$419,10),"")</f>
        <v/>
      </c>
      <c r="I313" s="1359" t="n">
        <f aca="false">'V_DATOS PAC_SGA'!BV308</f>
        <v>0</v>
      </c>
      <c r="J313" s="2" t="str">
        <f aca="false">IF(AND(J$4=$G313,J$6=$F313),$D313*J$5,"")</f>
        <v/>
      </c>
      <c r="K313" s="2" t="str">
        <f aca="false">IF(AND(K$4=$G313,K$6=$F313),$D313*K$5,"")</f>
        <v/>
      </c>
      <c r="L313" s="2" t="str">
        <f aca="false">IF(AND(L$4=$G313,L$6=$F313),$D313*L$5,"")</f>
        <v/>
      </c>
      <c r="M313" s="2" t="str">
        <f aca="false">IF(AND(M$4=$G313,M$6=$F313),$D313*M$5,"")</f>
        <v/>
      </c>
      <c r="N313" s="1414" t="n">
        <f aca="false">VLOOKUP(B313,'O_MN, PE_UTA_UGM 2024'!$E$2:$K$419,IF(G313&gt;1,6,7))</f>
        <v>0</v>
      </c>
      <c r="O313" s="1434" t="str">
        <f aca="false">IF($H313=O$4,$D313*$N313,"")</f>
        <v/>
      </c>
      <c r="P313" s="1435" t="str">
        <f aca="false">IF($H313=P$4,$D313*$N313,"")</f>
        <v/>
      </c>
      <c r="Q313" s="1435" t="str">
        <f aca="false">IF($H313=Q$4,$D313*$N313,"")</f>
        <v/>
      </c>
      <c r="R313" s="1435" t="str">
        <f aca="false">IF($H313=R$4,$D313*$N313,"")</f>
        <v/>
      </c>
      <c r="S313" s="1435" t="str">
        <f aca="false">IF($H313=S$4,$D313*$N313,"")</f>
        <v/>
      </c>
      <c r="T313" s="1435" t="str">
        <f aca="false">IF($H313=T$4,$D313*$N313,"")</f>
        <v/>
      </c>
      <c r="U313" s="1436" t="str">
        <f aca="false">IF($H313=U$4,$D313*$N313,"")</f>
        <v/>
      </c>
      <c r="V313" s="1472"/>
      <c r="W313" s="1471"/>
      <c r="X313" s="1471"/>
      <c r="Y313" s="1471"/>
      <c r="Z313" s="1471"/>
      <c r="AA313" s="1471"/>
      <c r="AB313" s="1473"/>
      <c r="AC313" s="1319"/>
      <c r="AD313" s="2" t="str">
        <f aca="false">IF(AND(AD$4=$G313,AD$6=$F313),$B313,"")</f>
        <v/>
      </c>
      <c r="AE313" s="2" t="str">
        <f aca="false">IF(AND(AE$4=$G313,AE$6=$F313),$B313,"")</f>
        <v/>
      </c>
      <c r="AF313" s="2" t="str">
        <f aca="false">IF(AND(AF$4=$G313,AF$6=$F313),$B313,"")</f>
        <v/>
      </c>
      <c r="AG313" s="2" t="str">
        <f aca="false">IF(AND(AG$4=$G313,AG$6=$F313),$B313,"")</f>
        <v/>
      </c>
      <c r="AI313" s="366"/>
      <c r="AL313" s="367"/>
      <c r="AO313" s="367"/>
      <c r="AP313" s="2" t="str">
        <f aca="false">IF(AT313&gt;0,RANK(AT313,AT$7:AT$423),"")</f>
        <v/>
      </c>
      <c r="AQ313" s="1475" t="n">
        <f aca="false">'O_MN, PE_UTA_UGM 2024'!C309</f>
        <v>331</v>
      </c>
      <c r="AR313" s="1421" t="n">
        <v>3090</v>
      </c>
      <c r="AS313" s="2" t="str">
        <f aca="false">IF(AY313&lt;&gt;"",AY313,"")</f>
        <v/>
      </c>
      <c r="AT313" s="1422" t="n">
        <f aca="false">IF(ISNUMBER($AR313),SUMIF(B$7:B$505,AR313,D$7:D$505),"")</f>
        <v>0</v>
      </c>
      <c r="AU313" s="1411" t="n">
        <f aca="false">IF(ISNUMBER($AR313),SUMIF(AD$7:AD$503,$AR313,J$7:J$503),"")</f>
        <v>0</v>
      </c>
      <c r="AV313" s="1411" t="n">
        <f aca="false">IF(ISNUMBER($AR313),SUMIF(AF$7:AF$503,$AR313,L$7:L$503),"")</f>
        <v>0</v>
      </c>
      <c r="AW313" s="1423" t="n">
        <f aca="false">IF(ISNUMBER($AR313),SUMIF(AE$7:AE$503,$AR313,K$7:K$503),"")</f>
        <v>0</v>
      </c>
      <c r="AX313" s="1423" t="n">
        <f aca="false">IF(ISNUMBER($AR313),SUMIF(AG$7:AG$503,$AR313,M$7:M$503),"")</f>
        <v>0</v>
      </c>
      <c r="AY313" s="2" t="str">
        <f aca="false">IF($AT313&gt;0,VLOOKUP($AR313,'O_MN, PE_UTA_UGM 2024'!E309:O725,2),"")</f>
        <v/>
      </c>
      <c r="AZ313" s="1424"/>
      <c r="BA313" s="1424"/>
      <c r="BB313" s="1424" t="str">
        <f aca="false">IF($AT313&gt;0,VLOOKUP($AR313,'O_MN, PE_UTA_UGM 2024'!$E$3:$O$419,BB$6),"")</f>
        <v/>
      </c>
      <c r="BC313" s="1424" t="str">
        <f aca="false">IF($AT313&gt;0,VLOOKUP($AR313,'O_MN, PE_UTA_UGM 2024'!$E$3:$O$419,BC$6),"")</f>
        <v/>
      </c>
      <c r="BD313" s="1424" t="str">
        <f aca="false">IF($AT313&gt;0,VLOOKUP($AR313,'O_MN, PE_UTA_UGM 2024'!$E$3:$O$419,BD$6),"")</f>
        <v/>
      </c>
      <c r="BE313" s="1424" t="str">
        <f aca="false">IF($AT313&gt;0,VLOOKUP($AR313,'O_MN, PE_UTA_UGM 2024'!$E$3:$O$419,BE$6),"")</f>
        <v/>
      </c>
      <c r="BF313" s="1424" t="str">
        <f aca="false">IF($AT313&gt;0,VLOOKUP($AR313,'O_MN, PE_UTA_UGM 2024'!$E$3:$O$419,BF$6),"")</f>
        <v/>
      </c>
      <c r="BG313" s="1424" t="str">
        <f aca="false">IF($AT313&gt;0,VLOOKUP($AR313,'O_MN, PE_UTA_UGM 2024'!$E$3:$O$419,BG$6),"")</f>
        <v/>
      </c>
      <c r="BH313" s="872"/>
      <c r="BI313" s="872"/>
      <c r="BJ313" s="872"/>
      <c r="BK313" s="872"/>
      <c r="BM313" s="1411"/>
      <c r="BN313" s="1411"/>
      <c r="BO313" s="1425" t="str">
        <f aca="false">IF(ISNUMBER($AU313*BB313*1),$AU313*BB313*1,"")</f>
        <v/>
      </c>
      <c r="BP313" s="1425" t="str">
        <f aca="false">IF(ISNUMBER($AV313*BC313*1),$AV313*BC313*1,"")</f>
        <v/>
      </c>
      <c r="BQ313" s="1425" t="str">
        <f aca="false">IF(ISNUMBER($AU313*BD313*1),$AU313*BD313*1,"")</f>
        <v/>
      </c>
      <c r="BR313" s="1425" t="str">
        <f aca="false">IF(ISNUMBER($AV313*BE313*1),$AV313*BE313*1,"")</f>
        <v/>
      </c>
      <c r="BS313" s="1411" t="str">
        <f aca="false">IF(ISNUMBER($AU313*BF313),$AU313*BF313,"")</f>
        <v/>
      </c>
      <c r="BT313" s="1411" t="str">
        <f aca="false">IF(ISNUMBER($AV313*BG313),$AV313*BG313,"")</f>
        <v/>
      </c>
      <c r="BU313" s="1411"/>
      <c r="BV313" s="1411"/>
      <c r="BW313" s="1411"/>
      <c r="BX313" s="1411"/>
      <c r="BZ313" s="1372"/>
      <c r="CA313" s="1372"/>
      <c r="CB313" s="1426" t="str">
        <f aca="false">IF(ISNUMBER($AW313*BB313),$AW313*BB313,"")</f>
        <v/>
      </c>
      <c r="CC313" s="1426" t="str">
        <f aca="false">IF(ISNUMBER($AX313*BC313),$AX313*BC313,"")</f>
        <v/>
      </c>
      <c r="CD313" s="1426" t="str">
        <f aca="false">IF(ISNUMBER($AW313*BD313),$AW313*BD313,"")</f>
        <v/>
      </c>
      <c r="CE313" s="1426" t="str">
        <f aca="false">IF(ISNUMBER($AX313*BE313),$AX313*BE313,"")</f>
        <v/>
      </c>
      <c r="CF313" s="1372" t="str">
        <f aca="false">IF(ISNUMBER($AW313*BF313),$AW313*BF313,"")</f>
        <v/>
      </c>
      <c r="CG313" s="1372" t="str">
        <f aca="false">IF(ISNUMBER($AX313*BG313),$AX313*BG313,"")</f>
        <v/>
      </c>
      <c r="CH313" s="1438"/>
      <c r="CI313" s="1438"/>
      <c r="CJ313" s="1438"/>
      <c r="CK313" s="1438"/>
      <c r="CU313" s="1411"/>
      <c r="CV313" s="1411"/>
      <c r="CW313" s="1425"/>
      <c r="CX313" s="1425"/>
      <c r="CY313" s="1425"/>
      <c r="CZ313" s="1425"/>
      <c r="DA313" s="1411"/>
      <c r="DB313" s="1411"/>
      <c r="DC313" s="1411"/>
      <c r="DD313" s="1411"/>
      <c r="DE313" s="1411"/>
      <c r="DF313" s="1411"/>
      <c r="DH313" s="1432"/>
      <c r="DI313" s="1432"/>
      <c r="DJ313" s="1437"/>
      <c r="DK313" s="1437"/>
      <c r="DL313" s="1437"/>
      <c r="DM313" s="1437"/>
      <c r="DN313" s="1432"/>
      <c r="DO313" s="1432"/>
      <c r="DP313" s="1432"/>
      <c r="DQ313" s="1432"/>
      <c r="DR313" s="1432"/>
      <c r="DS313" s="1432"/>
      <c r="DT313" s="1316"/>
      <c r="DU313" s="1433"/>
      <c r="DV313" s="1433"/>
      <c r="DW313" s="1433"/>
      <c r="DX313" s="1433"/>
      <c r="DY313" s="1433"/>
      <c r="DZ313" s="1433"/>
      <c r="EA313" s="1433"/>
      <c r="EB313" s="1433"/>
    </row>
    <row r="314" customFormat="false" ht="14.25" hidden="false" customHeight="false" outlineLevel="0" collapsed="false">
      <c r="A314" s="2" t="n">
        <f aca="false">'V_DATOS PAC_SGA'!R309</f>
        <v>0</v>
      </c>
      <c r="B314" s="2" t="n">
        <f aca="false">IF(I314="IV",CONCATENATE('V_DATOS PAC_SGA'!R309,"4")+0,CONCATENATE('V_DATOS PAC_SGA'!R309,"0")+0)</f>
        <v>0</v>
      </c>
      <c r="C314" s="2" t="n">
        <f aca="false">'V_DATOS PAC_SGA'!S309</f>
        <v>0</v>
      </c>
      <c r="D314" s="1409" t="n">
        <f aca="false">'V_DATOS PAC_SGA'!Y309</f>
        <v>0</v>
      </c>
      <c r="E314" s="1410" t="str">
        <f aca="false">IF('V_DATOS PAC_SGA'!AV309="","Regadio",'V_DATOS PAC_SGA'!AV309)</f>
        <v>Regadio</v>
      </c>
      <c r="F314" s="1411" t="n">
        <f aca="false">'V_DATOS PAC_SGA'!BK309</f>
        <v>0</v>
      </c>
      <c r="G314" s="1412" t="n">
        <f aca="false">'V_DATOS PAC_SGA'!AN309</f>
        <v>0</v>
      </c>
      <c r="H314" s="1413" t="str">
        <f aca="false">IF(B314&gt;0,VLOOKUP(B314,'O_MN, PE_UTA_UGM 2024'!E$3:O$419,10),"")</f>
        <v/>
      </c>
      <c r="I314" s="1359" t="n">
        <f aca="false">'V_DATOS PAC_SGA'!BV309</f>
        <v>0</v>
      </c>
      <c r="J314" s="2" t="str">
        <f aca="false">IF(AND(J$4=$G314,J$6=$F314),$D314*J$5,"")</f>
        <v/>
      </c>
      <c r="K314" s="2" t="str">
        <f aca="false">IF(AND(K$4=$G314,K$6=$F314),$D314*K$5,"")</f>
        <v/>
      </c>
      <c r="L314" s="2" t="str">
        <f aca="false">IF(AND(L$4=$G314,L$6=$F314),$D314*L$5,"")</f>
        <v/>
      </c>
      <c r="M314" s="2" t="str">
        <f aca="false">IF(AND(M$4=$G314,M$6=$F314),$D314*M$5,"")</f>
        <v/>
      </c>
      <c r="N314" s="1414" t="n">
        <f aca="false">VLOOKUP(B314,'O_MN, PE_UTA_UGM 2024'!$E$2:$K$419,IF(G314&gt;1,6,7))</f>
        <v>0</v>
      </c>
      <c r="O314" s="1434" t="str">
        <f aca="false">IF($H314=O$4,$D314*$N314,"")</f>
        <v/>
      </c>
      <c r="P314" s="1435" t="str">
        <f aca="false">IF($H314=P$4,$D314*$N314,"")</f>
        <v/>
      </c>
      <c r="Q314" s="1435" t="str">
        <f aca="false">IF($H314=Q$4,$D314*$N314,"")</f>
        <v/>
      </c>
      <c r="R314" s="1435" t="str">
        <f aca="false">IF($H314=R$4,$D314*$N314,"")</f>
        <v/>
      </c>
      <c r="S314" s="1435" t="str">
        <f aca="false">IF($H314=S$4,$D314*$N314,"")</f>
        <v/>
      </c>
      <c r="T314" s="1435" t="str">
        <f aca="false">IF($H314=T$4,$D314*$N314,"")</f>
        <v/>
      </c>
      <c r="U314" s="1436" t="str">
        <f aca="false">IF($H314=U$4,$D314*$N314,"")</f>
        <v/>
      </c>
      <c r="V314" s="1472"/>
      <c r="W314" s="1471"/>
      <c r="X314" s="1471"/>
      <c r="Y314" s="1471"/>
      <c r="Z314" s="1471"/>
      <c r="AA314" s="1471"/>
      <c r="AB314" s="1473"/>
      <c r="AC314" s="1319"/>
      <c r="AD314" s="2" t="str">
        <f aca="false">IF(AND(AD$4=$G314,AD$6=$F314),$B314,"")</f>
        <v/>
      </c>
      <c r="AE314" s="2" t="str">
        <f aca="false">IF(AND(AE$4=$G314,AE$6=$F314),$B314,"")</f>
        <v/>
      </c>
      <c r="AF314" s="2" t="str">
        <f aca="false">IF(AND(AF$4=$G314,AF$6=$F314),$B314,"")</f>
        <v/>
      </c>
      <c r="AG314" s="2" t="str">
        <f aca="false">IF(AND(AG$4=$G314,AG$6=$F314),$B314,"")</f>
        <v/>
      </c>
      <c r="AI314" s="366"/>
      <c r="AL314" s="367"/>
      <c r="AO314" s="367"/>
      <c r="AP314" s="2" t="str">
        <f aca="false">IF(AT314&gt;0,RANK(AT314,AT$7:AT$423),"")</f>
        <v/>
      </c>
      <c r="AQ314" s="1475" t="n">
        <f aca="false">'O_MN, PE_UTA_UGM 2024'!C310</f>
        <v>332</v>
      </c>
      <c r="AR314" s="1421" t="n">
        <v>3100</v>
      </c>
      <c r="AS314" s="2" t="str">
        <f aca="false">IF(AY314&lt;&gt;"",AY314,"")</f>
        <v/>
      </c>
      <c r="AT314" s="1422" t="n">
        <f aca="false">IF(ISNUMBER($AR314),SUMIF(B$7:B$505,AR314,D$7:D$505),"")</f>
        <v>0</v>
      </c>
      <c r="AU314" s="1411" t="n">
        <f aca="false">IF(ISNUMBER($AR314),SUMIF(AD$7:AD$503,$AR314,J$7:J$503),"")</f>
        <v>0</v>
      </c>
      <c r="AV314" s="1411" t="n">
        <f aca="false">IF(ISNUMBER($AR314),SUMIF(AF$7:AF$503,$AR314,L$7:L$503),"")</f>
        <v>0</v>
      </c>
      <c r="AW314" s="1423" t="n">
        <f aca="false">IF(ISNUMBER($AR314),SUMIF(AE$7:AE$503,$AR314,K$7:K$503),"")</f>
        <v>0</v>
      </c>
      <c r="AX314" s="1423" t="n">
        <f aca="false">IF(ISNUMBER($AR314),SUMIF(AG$7:AG$503,$AR314,M$7:M$503),"")</f>
        <v>0</v>
      </c>
      <c r="AY314" s="2" t="str">
        <f aca="false">IF($AT314&gt;0,VLOOKUP($AR314,'O_MN, PE_UTA_UGM 2024'!E310:O726,2),"")</f>
        <v/>
      </c>
      <c r="AZ314" s="1424"/>
      <c r="BA314" s="1424"/>
      <c r="BB314" s="1424" t="str">
        <f aca="false">IF($AT314&gt;0,VLOOKUP($AR314,'O_MN, PE_UTA_UGM 2024'!$E$3:$O$419,BB$6),"")</f>
        <v/>
      </c>
      <c r="BC314" s="1424" t="str">
        <f aca="false">IF($AT314&gt;0,VLOOKUP($AR314,'O_MN, PE_UTA_UGM 2024'!$E$3:$O$419,BC$6),"")</f>
        <v/>
      </c>
      <c r="BD314" s="1424" t="str">
        <f aca="false">IF($AT314&gt;0,VLOOKUP($AR314,'O_MN, PE_UTA_UGM 2024'!$E$3:$O$419,BD$6),"")</f>
        <v/>
      </c>
      <c r="BE314" s="1424" t="str">
        <f aca="false">IF($AT314&gt;0,VLOOKUP($AR314,'O_MN, PE_UTA_UGM 2024'!$E$3:$O$419,BE$6),"")</f>
        <v/>
      </c>
      <c r="BF314" s="1424" t="str">
        <f aca="false">IF($AT314&gt;0,VLOOKUP($AR314,'O_MN, PE_UTA_UGM 2024'!$E$3:$O$419,BF$6),"")</f>
        <v/>
      </c>
      <c r="BG314" s="1424" t="str">
        <f aca="false">IF($AT314&gt;0,VLOOKUP($AR314,'O_MN, PE_UTA_UGM 2024'!$E$3:$O$419,BG$6),"")</f>
        <v/>
      </c>
      <c r="BH314" s="872"/>
      <c r="BI314" s="872"/>
      <c r="BJ314" s="872"/>
      <c r="BK314" s="872"/>
      <c r="BM314" s="1411"/>
      <c r="BN314" s="1411"/>
      <c r="BO314" s="1425" t="str">
        <f aca="false">IF(ISNUMBER($AU314*BB314*1),$AU314*BB314*1,"")</f>
        <v/>
      </c>
      <c r="BP314" s="1425" t="str">
        <f aca="false">IF(ISNUMBER($AV314*BC314*1),$AV314*BC314*1,"")</f>
        <v/>
      </c>
      <c r="BQ314" s="1425" t="str">
        <f aca="false">IF(ISNUMBER($AU314*BD314*1),$AU314*BD314*1,"")</f>
        <v/>
      </c>
      <c r="BR314" s="1425" t="str">
        <f aca="false">IF(ISNUMBER($AV314*BE314*1),$AV314*BE314*1,"")</f>
        <v/>
      </c>
      <c r="BS314" s="1411" t="str">
        <f aca="false">IF(ISNUMBER($AU314*BF314),$AU314*BF314,"")</f>
        <v/>
      </c>
      <c r="BT314" s="1411" t="str">
        <f aca="false">IF(ISNUMBER($AV314*BG314),$AV314*BG314,"")</f>
        <v/>
      </c>
      <c r="BU314" s="1411"/>
      <c r="BV314" s="1411"/>
      <c r="BW314" s="1411"/>
      <c r="BX314" s="1411"/>
      <c r="BZ314" s="1372"/>
      <c r="CA314" s="1372"/>
      <c r="CB314" s="1426" t="str">
        <f aca="false">IF(ISNUMBER($AW314*BB314),$AW314*BB314,"")</f>
        <v/>
      </c>
      <c r="CC314" s="1426" t="str">
        <f aca="false">IF(ISNUMBER($AX314*BC314),$AX314*BC314,"")</f>
        <v/>
      </c>
      <c r="CD314" s="1426" t="str">
        <f aca="false">IF(ISNUMBER($AW314*BD314),$AW314*BD314,"")</f>
        <v/>
      </c>
      <c r="CE314" s="1426" t="str">
        <f aca="false">IF(ISNUMBER($AX314*BE314),$AX314*BE314,"")</f>
        <v/>
      </c>
      <c r="CF314" s="1372" t="str">
        <f aca="false">IF(ISNUMBER($AW314*BF314),$AW314*BF314,"")</f>
        <v/>
      </c>
      <c r="CG314" s="1372" t="str">
        <f aca="false">IF(ISNUMBER($AX314*BG314),$AX314*BG314,"")</f>
        <v/>
      </c>
      <c r="CH314" s="1438"/>
      <c r="CI314" s="1438"/>
      <c r="CJ314" s="1438"/>
      <c r="CK314" s="1438"/>
      <c r="CU314" s="1411"/>
      <c r="CV314" s="1411"/>
      <c r="CW314" s="1425"/>
      <c r="CX314" s="1425"/>
      <c r="CY314" s="1425"/>
      <c r="CZ314" s="1425"/>
      <c r="DA314" s="1411"/>
      <c r="DB314" s="1411"/>
      <c r="DC314" s="1411"/>
      <c r="DD314" s="1411"/>
      <c r="DE314" s="1411"/>
      <c r="DF314" s="1411"/>
      <c r="DH314" s="1432"/>
      <c r="DI314" s="1432"/>
      <c r="DJ314" s="1437"/>
      <c r="DK314" s="1437"/>
      <c r="DL314" s="1437"/>
      <c r="DM314" s="1437"/>
      <c r="DN314" s="1432"/>
      <c r="DO314" s="1432"/>
      <c r="DP314" s="1432"/>
      <c r="DQ314" s="1432"/>
      <c r="DR314" s="1432"/>
      <c r="DS314" s="1432"/>
      <c r="DT314" s="1316"/>
      <c r="DU314" s="1433"/>
      <c r="DV314" s="1433"/>
      <c r="DW314" s="1433"/>
      <c r="DX314" s="1433"/>
      <c r="DY314" s="1433"/>
      <c r="DZ314" s="1433"/>
      <c r="EA314" s="1433"/>
      <c r="EB314" s="1433"/>
    </row>
    <row r="315" customFormat="false" ht="14.25" hidden="false" customHeight="false" outlineLevel="0" collapsed="false">
      <c r="A315" s="2" t="n">
        <f aca="false">'V_DATOS PAC_SGA'!R310</f>
        <v>0</v>
      </c>
      <c r="B315" s="2" t="n">
        <f aca="false">IF(I315="IV",CONCATENATE('V_DATOS PAC_SGA'!R310,"4")+0,CONCATENATE('V_DATOS PAC_SGA'!R310,"0")+0)</f>
        <v>0</v>
      </c>
      <c r="C315" s="2" t="n">
        <f aca="false">'V_DATOS PAC_SGA'!S310</f>
        <v>0</v>
      </c>
      <c r="D315" s="1409" t="n">
        <f aca="false">'V_DATOS PAC_SGA'!Y310</f>
        <v>0</v>
      </c>
      <c r="E315" s="1410" t="str">
        <f aca="false">IF('V_DATOS PAC_SGA'!AV310="","Regadio",'V_DATOS PAC_SGA'!AV310)</f>
        <v>Regadio</v>
      </c>
      <c r="F315" s="1411" t="n">
        <f aca="false">'V_DATOS PAC_SGA'!BK310</f>
        <v>0</v>
      </c>
      <c r="G315" s="1412" t="n">
        <f aca="false">'V_DATOS PAC_SGA'!AN310</f>
        <v>0</v>
      </c>
      <c r="H315" s="1413" t="str">
        <f aca="false">IF(B315&gt;0,VLOOKUP(B315,'O_MN, PE_UTA_UGM 2024'!E$3:O$419,10),"")</f>
        <v/>
      </c>
      <c r="I315" s="1359" t="n">
        <f aca="false">'V_DATOS PAC_SGA'!BV310</f>
        <v>0</v>
      </c>
      <c r="J315" s="2" t="str">
        <f aca="false">IF(AND(J$4=$G315,J$6=$F315),$D315*J$5,"")</f>
        <v/>
      </c>
      <c r="K315" s="2" t="str">
        <f aca="false">IF(AND(K$4=$G315,K$6=$F315),$D315*K$5,"")</f>
        <v/>
      </c>
      <c r="L315" s="2" t="str">
        <f aca="false">IF(AND(L$4=$G315,L$6=$F315),$D315*L$5,"")</f>
        <v/>
      </c>
      <c r="M315" s="2" t="str">
        <f aca="false">IF(AND(M$4=$G315,M$6=$F315),$D315*M$5,"")</f>
        <v/>
      </c>
      <c r="N315" s="1414" t="n">
        <f aca="false">VLOOKUP(B315,'O_MN, PE_UTA_UGM 2024'!$E$2:$K$419,IF(G315&gt;1,6,7))</f>
        <v>0</v>
      </c>
      <c r="O315" s="1434" t="str">
        <f aca="false">IF($H315=O$4,$D315*$N315,"")</f>
        <v/>
      </c>
      <c r="P315" s="1435" t="str">
        <f aca="false">IF($H315=P$4,$D315*$N315,"")</f>
        <v/>
      </c>
      <c r="Q315" s="1435" t="str">
        <f aca="false">IF($H315=Q$4,$D315*$N315,"")</f>
        <v/>
      </c>
      <c r="R315" s="1435" t="str">
        <f aca="false">IF($H315=R$4,$D315*$N315,"")</f>
        <v/>
      </c>
      <c r="S315" s="1435" t="str">
        <f aca="false">IF($H315=S$4,$D315*$N315,"")</f>
        <v/>
      </c>
      <c r="T315" s="1435" t="str">
        <f aca="false">IF($H315=T$4,$D315*$N315,"")</f>
        <v/>
      </c>
      <c r="U315" s="1436" t="str">
        <f aca="false">IF($H315=U$4,$D315*$N315,"")</f>
        <v/>
      </c>
      <c r="V315" s="1472"/>
      <c r="W315" s="1471"/>
      <c r="X315" s="1471"/>
      <c r="Y315" s="1471"/>
      <c r="Z315" s="1471"/>
      <c r="AA315" s="1471"/>
      <c r="AB315" s="1473"/>
      <c r="AC315" s="1319"/>
      <c r="AD315" s="2" t="str">
        <f aca="false">IF(AND(AD$4=$G315,AD$6=$F315),$B315,"")</f>
        <v/>
      </c>
      <c r="AE315" s="2" t="str">
        <f aca="false">IF(AND(AE$4=$G315,AE$6=$F315),$B315,"")</f>
        <v/>
      </c>
      <c r="AF315" s="2" t="str">
        <f aca="false">IF(AND(AF$4=$G315,AF$6=$F315),$B315,"")</f>
        <v/>
      </c>
      <c r="AG315" s="2" t="str">
        <f aca="false">IF(AND(AG$4=$G315,AG$6=$F315),$B315,"")</f>
        <v/>
      </c>
      <c r="AI315" s="366"/>
      <c r="AL315" s="367"/>
      <c r="AO315" s="367"/>
      <c r="AP315" s="2" t="str">
        <f aca="false">IF(AT315&gt;0,RANK(AT315,AT$7:AT$423),"")</f>
        <v/>
      </c>
      <c r="AQ315" s="1475" t="n">
        <f aca="false">'O_MN, PE_UTA_UGM 2024'!C311</f>
        <v>336</v>
      </c>
      <c r="AR315" s="1421" t="n">
        <v>3110</v>
      </c>
      <c r="AS315" s="2" t="str">
        <f aca="false">IF(AY315&lt;&gt;"",AY315,"")</f>
        <v/>
      </c>
      <c r="AT315" s="1422" t="n">
        <f aca="false">IF(ISNUMBER($AR315),SUMIF(B$7:B$505,AR315,D$7:D$505),"")</f>
        <v>0</v>
      </c>
      <c r="AU315" s="1411" t="n">
        <f aca="false">IF(ISNUMBER($AR315),SUMIF(AD$7:AD$503,$AR315,J$7:J$503),"")</f>
        <v>0</v>
      </c>
      <c r="AV315" s="1411" t="n">
        <f aca="false">IF(ISNUMBER($AR315),SUMIF(AF$7:AF$503,$AR315,L$7:L$503),"")</f>
        <v>0</v>
      </c>
      <c r="AW315" s="1423" t="n">
        <f aca="false">IF(ISNUMBER($AR315),SUMIF(AE$7:AE$503,$AR315,K$7:K$503),"")</f>
        <v>0</v>
      </c>
      <c r="AX315" s="1423" t="n">
        <f aca="false">IF(ISNUMBER($AR315),SUMIF(AG$7:AG$503,$AR315,M$7:M$503),"")</f>
        <v>0</v>
      </c>
      <c r="AY315" s="2" t="str">
        <f aca="false">IF($AT315&gt;0,VLOOKUP($AR315,'O_MN, PE_UTA_UGM 2024'!E311:O727,2),"")</f>
        <v/>
      </c>
      <c r="AZ315" s="1424"/>
      <c r="BA315" s="1424"/>
      <c r="BB315" s="1424" t="str">
        <f aca="false">IF($AT315&gt;0,VLOOKUP($AR315,'O_MN, PE_UTA_UGM 2024'!$E$3:$O$419,BB$6),"")</f>
        <v/>
      </c>
      <c r="BC315" s="1424" t="str">
        <f aca="false">IF($AT315&gt;0,VLOOKUP($AR315,'O_MN, PE_UTA_UGM 2024'!$E$3:$O$419,BC$6),"")</f>
        <v/>
      </c>
      <c r="BD315" s="1424" t="str">
        <f aca="false">IF($AT315&gt;0,VLOOKUP($AR315,'O_MN, PE_UTA_UGM 2024'!$E$3:$O$419,BD$6),"")</f>
        <v/>
      </c>
      <c r="BE315" s="1424" t="str">
        <f aca="false">IF($AT315&gt;0,VLOOKUP($AR315,'O_MN, PE_UTA_UGM 2024'!$E$3:$O$419,BE$6),"")</f>
        <v/>
      </c>
      <c r="BF315" s="1424" t="str">
        <f aca="false">IF($AT315&gt;0,VLOOKUP($AR315,'O_MN, PE_UTA_UGM 2024'!$E$3:$O$419,BF$6),"")</f>
        <v/>
      </c>
      <c r="BG315" s="1424" t="str">
        <f aca="false">IF($AT315&gt;0,VLOOKUP($AR315,'O_MN, PE_UTA_UGM 2024'!$E$3:$O$419,BG$6),"")</f>
        <v/>
      </c>
      <c r="BH315" s="872"/>
      <c r="BI315" s="872"/>
      <c r="BJ315" s="872"/>
      <c r="BK315" s="872"/>
      <c r="BM315" s="1411"/>
      <c r="BN315" s="1411"/>
      <c r="BO315" s="1425" t="str">
        <f aca="false">IF(ISNUMBER($AU315*BB315*1),$AU315*BB315*1,"")</f>
        <v/>
      </c>
      <c r="BP315" s="1425" t="str">
        <f aca="false">IF(ISNUMBER($AV315*BC315*1),$AV315*BC315*1,"")</f>
        <v/>
      </c>
      <c r="BQ315" s="1425" t="str">
        <f aca="false">IF(ISNUMBER($AU315*BD315*1),$AU315*BD315*1,"")</f>
        <v/>
      </c>
      <c r="BR315" s="1425" t="str">
        <f aca="false">IF(ISNUMBER($AV315*BE315*1),$AV315*BE315*1,"")</f>
        <v/>
      </c>
      <c r="BS315" s="1411" t="str">
        <f aca="false">IF(ISNUMBER($AU315*BF315),$AU315*BF315,"")</f>
        <v/>
      </c>
      <c r="BT315" s="1411" t="str">
        <f aca="false">IF(ISNUMBER($AV315*BG315),$AV315*BG315,"")</f>
        <v/>
      </c>
      <c r="BU315" s="1411"/>
      <c r="BV315" s="1411"/>
      <c r="BW315" s="1411"/>
      <c r="BX315" s="1411"/>
      <c r="BZ315" s="1372"/>
      <c r="CA315" s="1372"/>
      <c r="CB315" s="1426" t="str">
        <f aca="false">IF(ISNUMBER($AW315*BB315),$AW315*BB315,"")</f>
        <v/>
      </c>
      <c r="CC315" s="1426" t="str">
        <f aca="false">IF(ISNUMBER($AX315*BC315),$AX315*BC315,"")</f>
        <v/>
      </c>
      <c r="CD315" s="1426" t="str">
        <f aca="false">IF(ISNUMBER($AW315*BD315),$AW315*BD315,"")</f>
        <v/>
      </c>
      <c r="CE315" s="1426" t="str">
        <f aca="false">IF(ISNUMBER($AX315*BE315),$AX315*BE315,"")</f>
        <v/>
      </c>
      <c r="CF315" s="1372" t="str">
        <f aca="false">IF(ISNUMBER($AW315*BF315),$AW315*BF315,"")</f>
        <v/>
      </c>
      <c r="CG315" s="1372" t="str">
        <f aca="false">IF(ISNUMBER($AX315*BG315),$AX315*BG315,"")</f>
        <v/>
      </c>
      <c r="CH315" s="1438"/>
      <c r="CI315" s="1438"/>
      <c r="CJ315" s="1438"/>
      <c r="CK315" s="1438"/>
      <c r="CU315" s="1411"/>
      <c r="CV315" s="1411"/>
      <c r="CW315" s="1425"/>
      <c r="CX315" s="1425"/>
      <c r="CY315" s="1425"/>
      <c r="CZ315" s="1425"/>
      <c r="DA315" s="1411"/>
      <c r="DB315" s="1411"/>
      <c r="DC315" s="1411"/>
      <c r="DD315" s="1411"/>
      <c r="DE315" s="1411"/>
      <c r="DF315" s="1411"/>
      <c r="DH315" s="1432"/>
      <c r="DI315" s="1432"/>
      <c r="DJ315" s="1437"/>
      <c r="DK315" s="1437"/>
      <c r="DL315" s="1437"/>
      <c r="DM315" s="1437"/>
      <c r="DN315" s="1432"/>
      <c r="DO315" s="1432"/>
      <c r="DP315" s="1432"/>
      <c r="DQ315" s="1432"/>
      <c r="DR315" s="1432"/>
      <c r="DS315" s="1432"/>
      <c r="DT315" s="1316"/>
      <c r="DU315" s="1433"/>
      <c r="DV315" s="1433"/>
      <c r="DW315" s="1433"/>
      <c r="DX315" s="1433"/>
      <c r="DY315" s="1433"/>
      <c r="DZ315" s="1433"/>
      <c r="EA315" s="1433"/>
      <c r="EB315" s="1433"/>
    </row>
    <row r="316" customFormat="false" ht="14.25" hidden="false" customHeight="false" outlineLevel="0" collapsed="false">
      <c r="A316" s="2" t="n">
        <f aca="false">'V_DATOS PAC_SGA'!R311</f>
        <v>0</v>
      </c>
      <c r="B316" s="2" t="n">
        <f aca="false">IF(I316="IV",CONCATENATE('V_DATOS PAC_SGA'!R311,"4")+0,CONCATENATE('V_DATOS PAC_SGA'!R311,"0")+0)</f>
        <v>0</v>
      </c>
      <c r="C316" s="2" t="n">
        <f aca="false">'V_DATOS PAC_SGA'!S311</f>
        <v>0</v>
      </c>
      <c r="D316" s="1409" t="n">
        <f aca="false">'V_DATOS PAC_SGA'!Y311</f>
        <v>0</v>
      </c>
      <c r="E316" s="1410" t="str">
        <f aca="false">IF('V_DATOS PAC_SGA'!AV311="","Regadio",'V_DATOS PAC_SGA'!AV311)</f>
        <v>Regadio</v>
      </c>
      <c r="F316" s="1411" t="n">
        <f aca="false">'V_DATOS PAC_SGA'!BK311</f>
        <v>0</v>
      </c>
      <c r="G316" s="1412" t="n">
        <f aca="false">'V_DATOS PAC_SGA'!AN311</f>
        <v>0</v>
      </c>
      <c r="H316" s="1413" t="str">
        <f aca="false">IF(B316&gt;0,VLOOKUP(B316,'O_MN, PE_UTA_UGM 2024'!E$3:O$419,10),"")</f>
        <v/>
      </c>
      <c r="I316" s="1359" t="n">
        <f aca="false">'V_DATOS PAC_SGA'!BV311</f>
        <v>0</v>
      </c>
      <c r="J316" s="2" t="str">
        <f aca="false">IF(AND(J$4=$G316,J$6=$F316),$D316*J$5,"")</f>
        <v/>
      </c>
      <c r="K316" s="2" t="str">
        <f aca="false">IF(AND(K$4=$G316,K$6=$F316),$D316*K$5,"")</f>
        <v/>
      </c>
      <c r="L316" s="2" t="str">
        <f aca="false">IF(AND(L$4=$G316,L$6=$F316),$D316*L$5,"")</f>
        <v/>
      </c>
      <c r="M316" s="2" t="str">
        <f aca="false">IF(AND(M$4=$G316,M$6=$F316),$D316*M$5,"")</f>
        <v/>
      </c>
      <c r="N316" s="1414" t="n">
        <f aca="false">VLOOKUP(B316,'O_MN, PE_UTA_UGM 2024'!$E$2:$K$419,IF(G316&gt;1,6,7))</f>
        <v>0</v>
      </c>
      <c r="O316" s="1434" t="str">
        <f aca="false">IF($H316=O$4,$D316*$N316,"")</f>
        <v/>
      </c>
      <c r="P316" s="1435" t="str">
        <f aca="false">IF($H316=P$4,$D316*$N316,"")</f>
        <v/>
      </c>
      <c r="Q316" s="1435" t="str">
        <f aca="false">IF($H316=Q$4,$D316*$N316,"")</f>
        <v/>
      </c>
      <c r="R316" s="1435" t="str">
        <f aca="false">IF($H316=R$4,$D316*$N316,"")</f>
        <v/>
      </c>
      <c r="S316" s="1435" t="str">
        <f aca="false">IF($H316=S$4,$D316*$N316,"")</f>
        <v/>
      </c>
      <c r="T316" s="1435" t="str">
        <f aca="false">IF($H316=T$4,$D316*$N316,"")</f>
        <v/>
      </c>
      <c r="U316" s="1436" t="str">
        <f aca="false">IF($H316=U$4,$D316*$N316,"")</f>
        <v/>
      </c>
      <c r="V316" s="1472"/>
      <c r="W316" s="1471"/>
      <c r="X316" s="1471"/>
      <c r="Y316" s="1471"/>
      <c r="Z316" s="1471"/>
      <c r="AA316" s="1471"/>
      <c r="AB316" s="1473"/>
      <c r="AC316" s="1319"/>
      <c r="AD316" s="2" t="str">
        <f aca="false">IF(AND(AD$4=$G316,AD$6=$F316),$B316,"")</f>
        <v/>
      </c>
      <c r="AE316" s="2" t="str">
        <f aca="false">IF(AND(AE$4=$G316,AE$6=$F316),$B316,"")</f>
        <v/>
      </c>
      <c r="AF316" s="2" t="str">
        <f aca="false">IF(AND(AF$4=$G316,AF$6=$F316),$B316,"")</f>
        <v/>
      </c>
      <c r="AG316" s="2" t="str">
        <f aca="false">IF(AND(AG$4=$G316,AG$6=$F316),$B316,"")</f>
        <v/>
      </c>
      <c r="AI316" s="366"/>
      <c r="AL316" s="367"/>
      <c r="AO316" s="367"/>
      <c r="AP316" s="2" t="str">
        <f aca="false">IF(AT316&gt;0,RANK(AT316,AT$7:AT$423),"")</f>
        <v/>
      </c>
      <c r="AQ316" s="1475" t="n">
        <f aca="false">'O_MN, PE_UTA_UGM 2024'!C312</f>
        <v>337</v>
      </c>
      <c r="AR316" s="1421" t="n">
        <v>3120</v>
      </c>
      <c r="AS316" s="2" t="str">
        <f aca="false">IF(AY316&lt;&gt;"",AY316,"")</f>
        <v/>
      </c>
      <c r="AT316" s="1422" t="n">
        <f aca="false">IF(ISNUMBER($AR316),SUMIF(B$7:B$505,AR316,D$7:D$505),"")</f>
        <v>0</v>
      </c>
      <c r="AU316" s="1411" t="n">
        <f aca="false">IF(ISNUMBER($AR316),SUMIF(AD$7:AD$503,$AR316,J$7:J$503),"")</f>
        <v>0</v>
      </c>
      <c r="AV316" s="1411" t="n">
        <f aca="false">IF(ISNUMBER($AR316),SUMIF(AF$7:AF$503,$AR316,L$7:L$503),"")</f>
        <v>0</v>
      </c>
      <c r="AW316" s="1423" t="n">
        <f aca="false">IF(ISNUMBER($AR316),SUMIF(AE$7:AE$503,$AR316,K$7:K$503),"")</f>
        <v>0</v>
      </c>
      <c r="AX316" s="1423" t="n">
        <f aca="false">IF(ISNUMBER($AR316),SUMIF(AG$7:AG$503,$AR316,M$7:M$503),"")</f>
        <v>0</v>
      </c>
      <c r="AY316" s="2" t="str">
        <f aca="false">IF($AT316&gt;0,VLOOKUP($AR316,'O_MN, PE_UTA_UGM 2024'!E312:O728,2),"")</f>
        <v/>
      </c>
      <c r="AZ316" s="1424"/>
      <c r="BA316" s="1424"/>
      <c r="BB316" s="1424" t="str">
        <f aca="false">IF($AT316&gt;0,VLOOKUP($AR316,'O_MN, PE_UTA_UGM 2024'!$E$3:$O$419,BB$6),"")</f>
        <v/>
      </c>
      <c r="BC316" s="1424" t="str">
        <f aca="false">IF($AT316&gt;0,VLOOKUP($AR316,'O_MN, PE_UTA_UGM 2024'!$E$3:$O$419,BC$6),"")</f>
        <v/>
      </c>
      <c r="BD316" s="1424" t="str">
        <f aca="false">IF($AT316&gt;0,VLOOKUP($AR316,'O_MN, PE_UTA_UGM 2024'!$E$3:$O$419,BD$6),"")</f>
        <v/>
      </c>
      <c r="BE316" s="1424" t="str">
        <f aca="false">IF($AT316&gt;0,VLOOKUP($AR316,'O_MN, PE_UTA_UGM 2024'!$E$3:$O$419,BE$6),"")</f>
        <v/>
      </c>
      <c r="BF316" s="1424" t="str">
        <f aca="false">IF($AT316&gt;0,VLOOKUP($AR316,'O_MN, PE_UTA_UGM 2024'!$E$3:$O$419,BF$6),"")</f>
        <v/>
      </c>
      <c r="BG316" s="1424" t="str">
        <f aca="false">IF($AT316&gt;0,VLOOKUP($AR316,'O_MN, PE_UTA_UGM 2024'!$E$3:$O$419,BG$6),"")</f>
        <v/>
      </c>
      <c r="BH316" s="872"/>
      <c r="BI316" s="872"/>
      <c r="BJ316" s="872"/>
      <c r="BK316" s="872"/>
      <c r="BM316" s="1411"/>
      <c r="BN316" s="1411"/>
      <c r="BO316" s="1425" t="str">
        <f aca="false">IF(ISNUMBER($AU316*BB316*1),$AU316*BB316*1,"")</f>
        <v/>
      </c>
      <c r="BP316" s="1425" t="str">
        <f aca="false">IF(ISNUMBER($AV316*BC316*1),$AV316*BC316*1,"")</f>
        <v/>
      </c>
      <c r="BQ316" s="1425" t="str">
        <f aca="false">IF(ISNUMBER($AU316*BD316*1),$AU316*BD316*1,"")</f>
        <v/>
      </c>
      <c r="BR316" s="1425" t="str">
        <f aca="false">IF(ISNUMBER($AV316*BE316*1),$AV316*BE316*1,"")</f>
        <v/>
      </c>
      <c r="BS316" s="1411" t="str">
        <f aca="false">IF(ISNUMBER($AU316*BF316),$AU316*BF316,"")</f>
        <v/>
      </c>
      <c r="BT316" s="1411" t="str">
        <f aca="false">IF(ISNUMBER($AV316*BG316),$AV316*BG316,"")</f>
        <v/>
      </c>
      <c r="BU316" s="1411"/>
      <c r="BV316" s="1411"/>
      <c r="BW316" s="1411"/>
      <c r="BX316" s="1411"/>
      <c r="BZ316" s="1372"/>
      <c r="CA316" s="1372"/>
      <c r="CB316" s="1426" t="str">
        <f aca="false">IF(ISNUMBER($AW316*BB316),$AW316*BB316,"")</f>
        <v/>
      </c>
      <c r="CC316" s="1426" t="str">
        <f aca="false">IF(ISNUMBER($AX316*BC316),$AX316*BC316,"")</f>
        <v/>
      </c>
      <c r="CD316" s="1426" t="str">
        <f aca="false">IF(ISNUMBER($AW316*BD316),$AW316*BD316,"")</f>
        <v/>
      </c>
      <c r="CE316" s="1426" t="str">
        <f aca="false">IF(ISNUMBER($AX316*BE316),$AX316*BE316,"")</f>
        <v/>
      </c>
      <c r="CF316" s="1372" t="str">
        <f aca="false">IF(ISNUMBER($AW316*BF316),$AW316*BF316,"")</f>
        <v/>
      </c>
      <c r="CG316" s="1372" t="str">
        <f aca="false">IF(ISNUMBER($AX316*BG316),$AX316*BG316,"")</f>
        <v/>
      </c>
      <c r="CH316" s="1438"/>
      <c r="CI316" s="1438"/>
      <c r="CJ316" s="1438"/>
      <c r="CK316" s="1438"/>
      <c r="CU316" s="1411"/>
      <c r="CV316" s="1411"/>
      <c r="CW316" s="1425"/>
      <c r="CX316" s="1425"/>
      <c r="CY316" s="1425"/>
      <c r="CZ316" s="1425"/>
      <c r="DA316" s="1411"/>
      <c r="DB316" s="1411"/>
      <c r="DC316" s="1411"/>
      <c r="DD316" s="1411"/>
      <c r="DE316" s="1411"/>
      <c r="DF316" s="1411"/>
      <c r="DH316" s="1432"/>
      <c r="DI316" s="1432"/>
      <c r="DJ316" s="1437"/>
      <c r="DK316" s="1437"/>
      <c r="DL316" s="1437"/>
      <c r="DM316" s="1437"/>
      <c r="DN316" s="1432"/>
      <c r="DO316" s="1432"/>
      <c r="DP316" s="1432"/>
      <c r="DQ316" s="1432"/>
      <c r="DR316" s="1432"/>
      <c r="DS316" s="1432"/>
      <c r="DT316" s="1316"/>
      <c r="DU316" s="1433"/>
      <c r="DV316" s="1433"/>
      <c r="DW316" s="1433"/>
      <c r="DX316" s="1433"/>
      <c r="DY316" s="1433"/>
      <c r="DZ316" s="1433"/>
      <c r="EA316" s="1433"/>
      <c r="EB316" s="1433"/>
    </row>
    <row r="317" customFormat="false" ht="14.25" hidden="false" customHeight="false" outlineLevel="0" collapsed="false">
      <c r="A317" s="2" t="n">
        <f aca="false">'V_DATOS PAC_SGA'!R312</f>
        <v>0</v>
      </c>
      <c r="B317" s="2" t="n">
        <f aca="false">IF(I317="IV",CONCATENATE('V_DATOS PAC_SGA'!R312,"4")+0,CONCATENATE('V_DATOS PAC_SGA'!R312,"0")+0)</f>
        <v>0</v>
      </c>
      <c r="C317" s="2" t="n">
        <f aca="false">'V_DATOS PAC_SGA'!S312</f>
        <v>0</v>
      </c>
      <c r="D317" s="1409" t="n">
        <f aca="false">'V_DATOS PAC_SGA'!Y312</f>
        <v>0</v>
      </c>
      <c r="E317" s="1410" t="str">
        <f aca="false">IF('V_DATOS PAC_SGA'!AV312="","Regadio",'V_DATOS PAC_SGA'!AV312)</f>
        <v>Regadio</v>
      </c>
      <c r="F317" s="1411" t="n">
        <f aca="false">'V_DATOS PAC_SGA'!BK312</f>
        <v>0</v>
      </c>
      <c r="G317" s="1412" t="n">
        <f aca="false">'V_DATOS PAC_SGA'!AN312</f>
        <v>0</v>
      </c>
      <c r="H317" s="1413" t="str">
        <f aca="false">IF(B317&gt;0,VLOOKUP(B317,'O_MN, PE_UTA_UGM 2024'!E$3:O$419,10),"")</f>
        <v/>
      </c>
      <c r="I317" s="1359" t="n">
        <f aca="false">'V_DATOS PAC_SGA'!BV312</f>
        <v>0</v>
      </c>
      <c r="J317" s="2" t="str">
        <f aca="false">IF(AND(J$4=$G317,J$6=$F317),$D317*J$5,"")</f>
        <v/>
      </c>
      <c r="K317" s="2" t="str">
        <f aca="false">IF(AND(K$4=$G317,K$6=$F317),$D317*K$5,"")</f>
        <v/>
      </c>
      <c r="L317" s="2" t="str">
        <f aca="false">IF(AND(L$4=$G317,L$6=$F317),$D317*L$5,"")</f>
        <v/>
      </c>
      <c r="M317" s="2" t="str">
        <f aca="false">IF(AND(M$4=$G317,M$6=$F317),$D317*M$5,"")</f>
        <v/>
      </c>
      <c r="N317" s="1414" t="n">
        <f aca="false">VLOOKUP(B317,'O_MN, PE_UTA_UGM 2024'!$E$2:$K$419,IF(G317&gt;1,6,7))</f>
        <v>0</v>
      </c>
      <c r="O317" s="1434" t="str">
        <f aca="false">IF($H317=O$4,$D317*$N317,"")</f>
        <v/>
      </c>
      <c r="P317" s="1435" t="str">
        <f aca="false">IF($H317=P$4,$D317*$N317,"")</f>
        <v/>
      </c>
      <c r="Q317" s="1435" t="str">
        <f aca="false">IF($H317=Q$4,$D317*$N317,"")</f>
        <v/>
      </c>
      <c r="R317" s="1435" t="str">
        <f aca="false">IF($H317=R$4,$D317*$N317,"")</f>
        <v/>
      </c>
      <c r="S317" s="1435" t="str">
        <f aca="false">IF($H317=S$4,$D317*$N317,"")</f>
        <v/>
      </c>
      <c r="T317" s="1435" t="str">
        <f aca="false">IF($H317=T$4,$D317*$N317,"")</f>
        <v/>
      </c>
      <c r="U317" s="1436" t="str">
        <f aca="false">IF($H317=U$4,$D317*$N317,"")</f>
        <v/>
      </c>
      <c r="V317" s="1472"/>
      <c r="W317" s="1471"/>
      <c r="X317" s="1471"/>
      <c r="Y317" s="1471"/>
      <c r="Z317" s="1471"/>
      <c r="AA317" s="1471"/>
      <c r="AB317" s="1473"/>
      <c r="AC317" s="1319"/>
      <c r="AD317" s="2" t="str">
        <f aca="false">IF(AND(AD$4=$G317,AD$6=$F317),$B317,"")</f>
        <v/>
      </c>
      <c r="AE317" s="2" t="str">
        <f aca="false">IF(AND(AE$4=$G317,AE$6=$F317),$B317,"")</f>
        <v/>
      </c>
      <c r="AF317" s="2" t="str">
        <f aca="false">IF(AND(AF$4=$G317,AF$6=$F317),$B317,"")</f>
        <v/>
      </c>
      <c r="AG317" s="2" t="str">
        <f aca="false">IF(AND(AG$4=$G317,AG$6=$F317),$B317,"")</f>
        <v/>
      </c>
      <c r="AI317" s="366"/>
      <c r="AL317" s="367"/>
      <c r="AO317" s="367"/>
      <c r="AP317" s="2" t="str">
        <f aca="false">IF(AT317&gt;0,RANK(AT317,AT$7:AT$423),"")</f>
        <v/>
      </c>
      <c r="AQ317" s="1475" t="n">
        <f aca="false">'O_MN, PE_UTA_UGM 2024'!C313</f>
        <v>338</v>
      </c>
      <c r="AR317" s="1421" t="n">
        <v>3130</v>
      </c>
      <c r="AS317" s="2" t="str">
        <f aca="false">IF(AY317&lt;&gt;"",AY317,"")</f>
        <v/>
      </c>
      <c r="AT317" s="1422" t="n">
        <f aca="false">IF(ISNUMBER($AR317),SUMIF(B$7:B$505,AR317,D$7:D$505),"")</f>
        <v>0</v>
      </c>
      <c r="AU317" s="1411" t="n">
        <f aca="false">IF(ISNUMBER($AR317),SUMIF(AD$7:AD$503,$AR317,J$7:J$503),"")</f>
        <v>0</v>
      </c>
      <c r="AV317" s="1411" t="n">
        <f aca="false">IF(ISNUMBER($AR317),SUMIF(AF$7:AF$503,$AR317,L$7:L$503),"")</f>
        <v>0</v>
      </c>
      <c r="AW317" s="1423" t="n">
        <f aca="false">IF(ISNUMBER($AR317),SUMIF(AE$7:AE$503,$AR317,K$7:K$503),"")</f>
        <v>0</v>
      </c>
      <c r="AX317" s="1423" t="n">
        <f aca="false">IF(ISNUMBER($AR317),SUMIF(AG$7:AG$503,$AR317,M$7:M$503),"")</f>
        <v>0</v>
      </c>
      <c r="AY317" s="2" t="str">
        <f aca="false">IF($AT317&gt;0,VLOOKUP($AR317,'O_MN, PE_UTA_UGM 2024'!E313:O729,2),"")</f>
        <v/>
      </c>
      <c r="AZ317" s="1424"/>
      <c r="BA317" s="1424"/>
      <c r="BB317" s="1424" t="str">
        <f aca="false">IF($AT317&gt;0,VLOOKUP($AR317,'O_MN, PE_UTA_UGM 2024'!$E$3:$O$419,BB$6),"")</f>
        <v/>
      </c>
      <c r="BC317" s="1424" t="str">
        <f aca="false">IF($AT317&gt;0,VLOOKUP($AR317,'O_MN, PE_UTA_UGM 2024'!$E$3:$O$419,BC$6),"")</f>
        <v/>
      </c>
      <c r="BD317" s="1424" t="str">
        <f aca="false">IF($AT317&gt;0,VLOOKUP($AR317,'O_MN, PE_UTA_UGM 2024'!$E$3:$O$419,BD$6),"")</f>
        <v/>
      </c>
      <c r="BE317" s="1424" t="str">
        <f aca="false">IF($AT317&gt;0,VLOOKUP($AR317,'O_MN, PE_UTA_UGM 2024'!$E$3:$O$419,BE$6),"")</f>
        <v/>
      </c>
      <c r="BF317" s="1424" t="str">
        <f aca="false">IF($AT317&gt;0,VLOOKUP($AR317,'O_MN, PE_UTA_UGM 2024'!$E$3:$O$419,BF$6),"")</f>
        <v/>
      </c>
      <c r="BG317" s="1424" t="str">
        <f aca="false">IF($AT317&gt;0,VLOOKUP($AR317,'O_MN, PE_UTA_UGM 2024'!$E$3:$O$419,BG$6),"")</f>
        <v/>
      </c>
      <c r="BH317" s="872"/>
      <c r="BI317" s="872"/>
      <c r="BJ317" s="872"/>
      <c r="BK317" s="872"/>
      <c r="BM317" s="1411"/>
      <c r="BN317" s="1411"/>
      <c r="BO317" s="1425" t="str">
        <f aca="false">IF(ISNUMBER($AU317*BB317*1),$AU317*BB317*1,"")</f>
        <v/>
      </c>
      <c r="BP317" s="1425" t="str">
        <f aca="false">IF(ISNUMBER($AV317*BC317*1),$AV317*BC317*1,"")</f>
        <v/>
      </c>
      <c r="BQ317" s="1425" t="str">
        <f aca="false">IF(ISNUMBER($AU317*BD317*1),$AU317*BD317*1,"")</f>
        <v/>
      </c>
      <c r="BR317" s="1425" t="str">
        <f aca="false">IF(ISNUMBER($AV317*BE317*1),$AV317*BE317*1,"")</f>
        <v/>
      </c>
      <c r="BS317" s="1411" t="str">
        <f aca="false">IF(ISNUMBER($AU317*BF317),$AU317*BF317,"")</f>
        <v/>
      </c>
      <c r="BT317" s="1411" t="str">
        <f aca="false">IF(ISNUMBER($AV317*BG317),$AV317*BG317,"")</f>
        <v/>
      </c>
      <c r="BU317" s="1411"/>
      <c r="BV317" s="1411"/>
      <c r="BW317" s="1411"/>
      <c r="BX317" s="1411"/>
      <c r="BZ317" s="1372"/>
      <c r="CA317" s="1372"/>
      <c r="CB317" s="1426" t="str">
        <f aca="false">IF(ISNUMBER($AW317*BB317),$AW317*BB317,"")</f>
        <v/>
      </c>
      <c r="CC317" s="1426" t="str">
        <f aca="false">IF(ISNUMBER($AX317*BC317),$AX317*BC317,"")</f>
        <v/>
      </c>
      <c r="CD317" s="1426" t="str">
        <f aca="false">IF(ISNUMBER($AW317*BD317),$AW317*BD317,"")</f>
        <v/>
      </c>
      <c r="CE317" s="1426" t="str">
        <f aca="false">IF(ISNUMBER($AX317*BE317),$AX317*BE317,"")</f>
        <v/>
      </c>
      <c r="CF317" s="1372" t="str">
        <f aca="false">IF(ISNUMBER($AW317*BF317),$AW317*BF317,"")</f>
        <v/>
      </c>
      <c r="CG317" s="1372" t="str">
        <f aca="false">IF(ISNUMBER($AX317*BG317),$AX317*BG317,"")</f>
        <v/>
      </c>
      <c r="CH317" s="1438"/>
      <c r="CI317" s="1438"/>
      <c r="CJ317" s="1438"/>
      <c r="CK317" s="1438"/>
      <c r="CU317" s="1411"/>
      <c r="CV317" s="1411"/>
      <c r="CW317" s="1425"/>
      <c r="CX317" s="1425"/>
      <c r="CY317" s="1425"/>
      <c r="CZ317" s="1425"/>
      <c r="DA317" s="1411"/>
      <c r="DB317" s="1411"/>
      <c r="DC317" s="1411"/>
      <c r="DD317" s="1411"/>
      <c r="DE317" s="1411"/>
      <c r="DF317" s="1411"/>
      <c r="DH317" s="1432"/>
      <c r="DI317" s="1432"/>
      <c r="DJ317" s="1437"/>
      <c r="DK317" s="1437"/>
      <c r="DL317" s="1437"/>
      <c r="DM317" s="1437"/>
      <c r="DN317" s="1432"/>
      <c r="DO317" s="1432"/>
      <c r="DP317" s="1432"/>
      <c r="DQ317" s="1432"/>
      <c r="DR317" s="1432"/>
      <c r="DS317" s="1432"/>
      <c r="DT317" s="1316"/>
      <c r="DU317" s="1433"/>
      <c r="DV317" s="1433"/>
      <c r="DW317" s="1433"/>
      <c r="DX317" s="1433"/>
      <c r="DY317" s="1433"/>
      <c r="DZ317" s="1433"/>
      <c r="EA317" s="1433"/>
      <c r="EB317" s="1433"/>
    </row>
    <row r="318" customFormat="false" ht="14.25" hidden="false" customHeight="false" outlineLevel="0" collapsed="false">
      <c r="A318" s="2" t="n">
        <f aca="false">'V_DATOS PAC_SGA'!R313</f>
        <v>0</v>
      </c>
      <c r="B318" s="2" t="n">
        <f aca="false">IF(I318="IV",CONCATENATE('V_DATOS PAC_SGA'!R313,"4")+0,CONCATENATE('V_DATOS PAC_SGA'!R313,"0")+0)</f>
        <v>0</v>
      </c>
      <c r="C318" s="2" t="n">
        <f aca="false">'V_DATOS PAC_SGA'!S313</f>
        <v>0</v>
      </c>
      <c r="D318" s="1409" t="n">
        <f aca="false">'V_DATOS PAC_SGA'!Y313</f>
        <v>0</v>
      </c>
      <c r="E318" s="1410" t="str">
        <f aca="false">IF('V_DATOS PAC_SGA'!AV313="","Regadio",'V_DATOS PAC_SGA'!AV313)</f>
        <v>Regadio</v>
      </c>
      <c r="F318" s="1411" t="n">
        <f aca="false">'V_DATOS PAC_SGA'!BK313</f>
        <v>0</v>
      </c>
      <c r="G318" s="1412" t="n">
        <f aca="false">'V_DATOS PAC_SGA'!AN313</f>
        <v>0</v>
      </c>
      <c r="H318" s="1413" t="str">
        <f aca="false">IF(B318&gt;0,VLOOKUP(B318,'O_MN, PE_UTA_UGM 2024'!E$3:O$419,10),"")</f>
        <v/>
      </c>
      <c r="I318" s="1359" t="n">
        <f aca="false">'V_DATOS PAC_SGA'!BV313</f>
        <v>0</v>
      </c>
      <c r="J318" s="2" t="str">
        <f aca="false">IF(AND(J$4=$G318,J$6=$F318),$D318*J$5,"")</f>
        <v/>
      </c>
      <c r="K318" s="2" t="str">
        <f aca="false">IF(AND(K$4=$G318,K$6=$F318),$D318*K$5,"")</f>
        <v/>
      </c>
      <c r="L318" s="2" t="str">
        <f aca="false">IF(AND(L$4=$G318,L$6=$F318),$D318*L$5,"")</f>
        <v/>
      </c>
      <c r="M318" s="2" t="str">
        <f aca="false">IF(AND(M$4=$G318,M$6=$F318),$D318*M$5,"")</f>
        <v/>
      </c>
      <c r="N318" s="1414" t="n">
        <f aca="false">VLOOKUP(B318,'O_MN, PE_UTA_UGM 2024'!$E$2:$K$419,IF(G318&gt;1,6,7))</f>
        <v>0</v>
      </c>
      <c r="O318" s="1434" t="str">
        <f aca="false">IF($H318=O$4,$D318*$N318,"")</f>
        <v/>
      </c>
      <c r="P318" s="1435" t="str">
        <f aca="false">IF($H318=P$4,$D318*$N318,"")</f>
        <v/>
      </c>
      <c r="Q318" s="1435" t="str">
        <f aca="false">IF($H318=Q$4,$D318*$N318,"")</f>
        <v/>
      </c>
      <c r="R318" s="1435" t="str">
        <f aca="false">IF($H318=R$4,$D318*$N318,"")</f>
        <v/>
      </c>
      <c r="S318" s="1435" t="str">
        <f aca="false">IF($H318=S$4,$D318*$N318,"")</f>
        <v/>
      </c>
      <c r="T318" s="1435" t="str">
        <f aca="false">IF($H318=T$4,$D318*$N318,"")</f>
        <v/>
      </c>
      <c r="U318" s="1436" t="str">
        <f aca="false">IF($H318=U$4,$D318*$N318,"")</f>
        <v/>
      </c>
      <c r="V318" s="1472"/>
      <c r="W318" s="1471"/>
      <c r="X318" s="1471"/>
      <c r="Y318" s="1471"/>
      <c r="Z318" s="1471"/>
      <c r="AA318" s="1471"/>
      <c r="AB318" s="1473"/>
      <c r="AC318" s="1319"/>
      <c r="AD318" s="2" t="str">
        <f aca="false">IF(AND(AD$4=$G318,AD$6=$F318),$B318,"")</f>
        <v/>
      </c>
      <c r="AE318" s="2" t="str">
        <f aca="false">IF(AND(AE$4=$G318,AE$6=$F318),$B318,"")</f>
        <v/>
      </c>
      <c r="AF318" s="2" t="str">
        <f aca="false">IF(AND(AF$4=$G318,AF$6=$F318),$B318,"")</f>
        <v/>
      </c>
      <c r="AG318" s="2" t="str">
        <f aca="false">IF(AND(AG$4=$G318,AG$6=$F318),$B318,"")</f>
        <v/>
      </c>
      <c r="AI318" s="366"/>
      <c r="AL318" s="367"/>
      <c r="AO318" s="367"/>
      <c r="AP318" s="2" t="str">
        <f aca="false">IF(AT318&gt;0,RANK(AT318,AT$7:AT$423),"")</f>
        <v/>
      </c>
      <c r="AQ318" s="1475" t="n">
        <f aca="false">'O_MN, PE_UTA_UGM 2024'!C314</f>
        <v>339</v>
      </c>
      <c r="AR318" s="1421" t="n">
        <v>3150</v>
      </c>
      <c r="AS318" s="2" t="str">
        <f aca="false">IF(AY318&lt;&gt;"",AY318,"")</f>
        <v/>
      </c>
      <c r="AT318" s="1422" t="n">
        <f aca="false">IF(ISNUMBER($AR318),SUMIF(B$7:B$505,AR318,D$7:D$505),"")</f>
        <v>0</v>
      </c>
      <c r="AU318" s="1411" t="n">
        <f aca="false">IF(ISNUMBER($AR318),SUMIF(AD$7:AD$503,$AR318,J$7:J$503),"")</f>
        <v>0</v>
      </c>
      <c r="AV318" s="1411" t="n">
        <f aca="false">IF(ISNUMBER($AR318),SUMIF(AF$7:AF$503,$AR318,L$7:L$503),"")</f>
        <v>0</v>
      </c>
      <c r="AW318" s="1423" t="n">
        <f aca="false">IF(ISNUMBER($AR318),SUMIF(AE$7:AE$503,$AR318,K$7:K$503),"")</f>
        <v>0</v>
      </c>
      <c r="AX318" s="1423" t="n">
        <f aca="false">IF(ISNUMBER($AR318),SUMIF(AG$7:AG$503,$AR318,M$7:M$503),"")</f>
        <v>0</v>
      </c>
      <c r="AY318" s="2" t="str">
        <f aca="false">IF($AT318&gt;0,VLOOKUP($AR318,'O_MN, PE_UTA_UGM 2024'!E314:O730,2),"")</f>
        <v/>
      </c>
      <c r="AZ318" s="1424"/>
      <c r="BA318" s="1424"/>
      <c r="BB318" s="1424" t="str">
        <f aca="false">IF($AT318&gt;0,VLOOKUP($AR318,'O_MN, PE_UTA_UGM 2024'!$E$3:$O$419,BB$6),"")</f>
        <v/>
      </c>
      <c r="BC318" s="1424" t="str">
        <f aca="false">IF($AT318&gt;0,VLOOKUP($AR318,'O_MN, PE_UTA_UGM 2024'!$E$3:$O$419,BC$6),"")</f>
        <v/>
      </c>
      <c r="BD318" s="1424" t="str">
        <f aca="false">IF($AT318&gt;0,VLOOKUP($AR318,'O_MN, PE_UTA_UGM 2024'!$E$3:$O$419,BD$6),"")</f>
        <v/>
      </c>
      <c r="BE318" s="1424" t="str">
        <f aca="false">IF($AT318&gt;0,VLOOKUP($AR318,'O_MN, PE_UTA_UGM 2024'!$E$3:$O$419,BE$6),"")</f>
        <v/>
      </c>
      <c r="BF318" s="1424" t="str">
        <f aca="false">IF($AT318&gt;0,VLOOKUP($AR318,'O_MN, PE_UTA_UGM 2024'!$E$3:$O$419,BF$6),"")</f>
        <v/>
      </c>
      <c r="BG318" s="1424" t="str">
        <f aca="false">IF($AT318&gt;0,VLOOKUP($AR318,'O_MN, PE_UTA_UGM 2024'!$E$3:$O$419,BG$6),"")</f>
        <v/>
      </c>
      <c r="BH318" s="872"/>
      <c r="BI318" s="872"/>
      <c r="BJ318" s="872"/>
      <c r="BK318" s="872"/>
      <c r="BM318" s="1411"/>
      <c r="BN318" s="1411"/>
      <c r="BO318" s="1425" t="str">
        <f aca="false">IF(ISNUMBER($AU318*BB318*1),$AU318*BB318*1,"")</f>
        <v/>
      </c>
      <c r="BP318" s="1425" t="str">
        <f aca="false">IF(ISNUMBER($AV318*BC318*1),$AV318*BC318*1,"")</f>
        <v/>
      </c>
      <c r="BQ318" s="1425" t="str">
        <f aca="false">IF(ISNUMBER($AU318*BD318*1),$AU318*BD318*1,"")</f>
        <v/>
      </c>
      <c r="BR318" s="1425" t="str">
        <f aca="false">IF(ISNUMBER($AV318*BE318*1),$AV318*BE318*1,"")</f>
        <v/>
      </c>
      <c r="BS318" s="1411" t="str">
        <f aca="false">IF(ISNUMBER($AU318*BF318),$AU318*BF318,"")</f>
        <v/>
      </c>
      <c r="BT318" s="1411" t="str">
        <f aca="false">IF(ISNUMBER($AV318*BG318),$AV318*BG318,"")</f>
        <v/>
      </c>
      <c r="BU318" s="1411"/>
      <c r="BV318" s="1411"/>
      <c r="BW318" s="1411"/>
      <c r="BX318" s="1411"/>
      <c r="BZ318" s="1372"/>
      <c r="CA318" s="1372"/>
      <c r="CB318" s="1426" t="str">
        <f aca="false">IF(ISNUMBER($AW318*BB318),$AW318*BB318,"")</f>
        <v/>
      </c>
      <c r="CC318" s="1426" t="str">
        <f aca="false">IF(ISNUMBER($AX318*BC318),$AX318*BC318,"")</f>
        <v/>
      </c>
      <c r="CD318" s="1426" t="str">
        <f aca="false">IF(ISNUMBER($AW318*BD318),$AW318*BD318,"")</f>
        <v/>
      </c>
      <c r="CE318" s="1426" t="str">
        <f aca="false">IF(ISNUMBER($AX318*BE318),$AX318*BE318,"")</f>
        <v/>
      </c>
      <c r="CF318" s="1372" t="str">
        <f aca="false">IF(ISNUMBER($AW318*BF318),$AW318*BF318,"")</f>
        <v/>
      </c>
      <c r="CG318" s="1372" t="str">
        <f aca="false">IF(ISNUMBER($AX318*BG318),$AX318*BG318,"")</f>
        <v/>
      </c>
      <c r="CH318" s="1438"/>
      <c r="CI318" s="1438"/>
      <c r="CJ318" s="1438"/>
      <c r="CK318" s="1438"/>
      <c r="CU318" s="1411"/>
      <c r="CV318" s="1411"/>
      <c r="CW318" s="1425"/>
      <c r="CX318" s="1425"/>
      <c r="CY318" s="1425"/>
      <c r="CZ318" s="1425"/>
      <c r="DA318" s="1411"/>
      <c r="DB318" s="1411"/>
      <c r="DC318" s="1411"/>
      <c r="DD318" s="1411"/>
      <c r="DE318" s="1411"/>
      <c r="DF318" s="1411"/>
      <c r="DH318" s="1432"/>
      <c r="DI318" s="1432"/>
      <c r="DJ318" s="1437"/>
      <c r="DK318" s="1437"/>
      <c r="DL318" s="1437"/>
      <c r="DM318" s="1437"/>
      <c r="DN318" s="1432"/>
      <c r="DO318" s="1432"/>
      <c r="DP318" s="1432"/>
      <c r="DQ318" s="1432"/>
      <c r="DR318" s="1432"/>
      <c r="DS318" s="1432"/>
      <c r="DT318" s="1316"/>
      <c r="DU318" s="1433"/>
      <c r="DV318" s="1433"/>
      <c r="DW318" s="1433"/>
      <c r="DX318" s="1433"/>
      <c r="DY318" s="1433"/>
      <c r="DZ318" s="1433"/>
      <c r="EA318" s="1433"/>
      <c r="EB318" s="1433"/>
    </row>
    <row r="319" customFormat="false" ht="14.25" hidden="false" customHeight="false" outlineLevel="0" collapsed="false">
      <c r="A319" s="2" t="n">
        <f aca="false">'V_DATOS PAC_SGA'!R314</f>
        <v>0</v>
      </c>
      <c r="B319" s="2" t="n">
        <f aca="false">IF(I319="IV",CONCATENATE('V_DATOS PAC_SGA'!R314,"4")+0,CONCATENATE('V_DATOS PAC_SGA'!R314,"0")+0)</f>
        <v>0</v>
      </c>
      <c r="C319" s="2" t="n">
        <f aca="false">'V_DATOS PAC_SGA'!S314</f>
        <v>0</v>
      </c>
      <c r="D319" s="1409" t="n">
        <f aca="false">'V_DATOS PAC_SGA'!Y314</f>
        <v>0</v>
      </c>
      <c r="E319" s="1410" t="str">
        <f aca="false">IF('V_DATOS PAC_SGA'!AV314="","Regadio",'V_DATOS PAC_SGA'!AV314)</f>
        <v>Regadio</v>
      </c>
      <c r="F319" s="1411" t="n">
        <f aca="false">'V_DATOS PAC_SGA'!BK314</f>
        <v>0</v>
      </c>
      <c r="G319" s="1412" t="n">
        <f aca="false">'V_DATOS PAC_SGA'!AN314</f>
        <v>0</v>
      </c>
      <c r="H319" s="1413" t="str">
        <f aca="false">IF(B319&gt;0,VLOOKUP(B319,'O_MN, PE_UTA_UGM 2024'!E$3:O$419,10),"")</f>
        <v/>
      </c>
      <c r="I319" s="1359" t="n">
        <f aca="false">'V_DATOS PAC_SGA'!BV314</f>
        <v>0</v>
      </c>
      <c r="J319" s="2" t="str">
        <f aca="false">IF(AND(J$4=$G319,J$6=$F319),$D319*J$5,"")</f>
        <v/>
      </c>
      <c r="K319" s="2" t="str">
        <f aca="false">IF(AND(K$4=$G319,K$6=$F319),$D319*K$5,"")</f>
        <v/>
      </c>
      <c r="L319" s="2" t="str">
        <f aca="false">IF(AND(L$4=$G319,L$6=$F319),$D319*L$5,"")</f>
        <v/>
      </c>
      <c r="M319" s="2" t="str">
        <f aca="false">IF(AND(M$4=$G319,M$6=$F319),$D319*M$5,"")</f>
        <v/>
      </c>
      <c r="N319" s="1414" t="n">
        <f aca="false">VLOOKUP(B319,'O_MN, PE_UTA_UGM 2024'!$E$2:$K$419,IF(G319&gt;1,6,7))</f>
        <v>0</v>
      </c>
      <c r="O319" s="1434" t="str">
        <f aca="false">IF($H319=O$4,$D319*$N319,"")</f>
        <v/>
      </c>
      <c r="P319" s="1435" t="str">
        <f aca="false">IF($H319=P$4,$D319*$N319,"")</f>
        <v/>
      </c>
      <c r="Q319" s="1435" t="str">
        <f aca="false">IF($H319=Q$4,$D319*$N319,"")</f>
        <v/>
      </c>
      <c r="R319" s="1435" t="str">
        <f aca="false">IF($H319=R$4,$D319*$N319,"")</f>
        <v/>
      </c>
      <c r="S319" s="1435" t="str">
        <f aca="false">IF($H319=S$4,$D319*$N319,"")</f>
        <v/>
      </c>
      <c r="T319" s="1435" t="str">
        <f aca="false">IF($H319=T$4,$D319*$N319,"")</f>
        <v/>
      </c>
      <c r="U319" s="1436" t="str">
        <f aca="false">IF($H319=U$4,$D319*$N319,"")</f>
        <v/>
      </c>
      <c r="V319" s="1472"/>
      <c r="W319" s="1471"/>
      <c r="X319" s="1471"/>
      <c r="Y319" s="1471"/>
      <c r="Z319" s="1471"/>
      <c r="AA319" s="1471"/>
      <c r="AB319" s="1473"/>
      <c r="AC319" s="1319"/>
      <c r="AD319" s="2" t="str">
        <f aca="false">IF(AND(AD$4=$G319,AD$6=$F319),$B319,"")</f>
        <v/>
      </c>
      <c r="AE319" s="2" t="str">
        <f aca="false">IF(AND(AE$4=$G319,AE$6=$F319),$B319,"")</f>
        <v/>
      </c>
      <c r="AF319" s="2" t="str">
        <f aca="false">IF(AND(AF$4=$G319,AF$6=$F319),$B319,"")</f>
        <v/>
      </c>
      <c r="AG319" s="2" t="str">
        <f aca="false">IF(AND(AG$4=$G319,AG$6=$F319),$B319,"")</f>
        <v/>
      </c>
      <c r="AI319" s="366"/>
      <c r="AL319" s="367"/>
      <c r="AO319" s="367"/>
      <c r="AP319" s="2" t="str">
        <f aca="false">IF(AT319&gt;0,RANK(AT319,AT$7:AT$423),"")</f>
        <v/>
      </c>
      <c r="AQ319" s="1475" t="n">
        <f aca="false">'O_MN, PE_UTA_UGM 2024'!C315</f>
        <v>340</v>
      </c>
      <c r="AR319" s="1421" t="n">
        <v>3160</v>
      </c>
      <c r="AS319" s="2" t="str">
        <f aca="false">IF(AY319&lt;&gt;"",AY319,"")</f>
        <v/>
      </c>
      <c r="AT319" s="1422" t="n">
        <f aca="false">IF(ISNUMBER($AR319),SUMIF(B$7:B$505,AR319,D$7:D$505),"")</f>
        <v>0</v>
      </c>
      <c r="AU319" s="1411" t="n">
        <f aca="false">IF(ISNUMBER($AR319),SUMIF(AD$7:AD$503,$AR319,J$7:J$503),"")</f>
        <v>0</v>
      </c>
      <c r="AV319" s="1411" t="n">
        <f aca="false">IF(ISNUMBER($AR319),SUMIF(AF$7:AF$503,$AR319,L$7:L$503),"")</f>
        <v>0</v>
      </c>
      <c r="AW319" s="1423" t="n">
        <f aca="false">IF(ISNUMBER($AR319),SUMIF(AE$7:AE$503,$AR319,K$7:K$503),"")</f>
        <v>0</v>
      </c>
      <c r="AX319" s="1423" t="n">
        <f aca="false">IF(ISNUMBER($AR319),SUMIF(AG$7:AG$503,$AR319,M$7:M$503),"")</f>
        <v>0</v>
      </c>
      <c r="AY319" s="2" t="str">
        <f aca="false">IF($AT319&gt;0,VLOOKUP($AR319,'O_MN, PE_UTA_UGM 2024'!E315:O731,2),"")</f>
        <v/>
      </c>
      <c r="AZ319" s="1424"/>
      <c r="BA319" s="1424"/>
      <c r="BB319" s="1424" t="str">
        <f aca="false">IF($AT319&gt;0,VLOOKUP($AR319,'O_MN, PE_UTA_UGM 2024'!$E$3:$O$419,BB$6),"")</f>
        <v/>
      </c>
      <c r="BC319" s="1424" t="str">
        <f aca="false">IF($AT319&gt;0,VLOOKUP($AR319,'O_MN, PE_UTA_UGM 2024'!$E$3:$O$419,BC$6),"")</f>
        <v/>
      </c>
      <c r="BD319" s="1424" t="str">
        <f aca="false">IF($AT319&gt;0,VLOOKUP($AR319,'O_MN, PE_UTA_UGM 2024'!$E$3:$O$419,BD$6),"")</f>
        <v/>
      </c>
      <c r="BE319" s="1424" t="str">
        <f aca="false">IF($AT319&gt;0,VLOOKUP($AR319,'O_MN, PE_UTA_UGM 2024'!$E$3:$O$419,BE$6),"")</f>
        <v/>
      </c>
      <c r="BF319" s="1424" t="str">
        <f aca="false">IF($AT319&gt;0,VLOOKUP($AR319,'O_MN, PE_UTA_UGM 2024'!$E$3:$O$419,BF$6),"")</f>
        <v/>
      </c>
      <c r="BG319" s="1424" t="str">
        <f aca="false">IF($AT319&gt;0,VLOOKUP($AR319,'O_MN, PE_UTA_UGM 2024'!$E$3:$O$419,BG$6),"")</f>
        <v/>
      </c>
      <c r="BH319" s="872"/>
      <c r="BI319" s="872"/>
      <c r="BJ319" s="872"/>
      <c r="BK319" s="872"/>
      <c r="BM319" s="1411"/>
      <c r="BN319" s="1411"/>
      <c r="BO319" s="1425" t="str">
        <f aca="false">IF(ISNUMBER($AU319*BB319*1),$AU319*BB319*1,"")</f>
        <v/>
      </c>
      <c r="BP319" s="1425" t="str">
        <f aca="false">IF(ISNUMBER($AV319*BC319*1),$AV319*BC319*1,"")</f>
        <v/>
      </c>
      <c r="BQ319" s="1425" t="str">
        <f aca="false">IF(ISNUMBER($AU319*BD319*1),$AU319*BD319*1,"")</f>
        <v/>
      </c>
      <c r="BR319" s="1425" t="str">
        <f aca="false">IF(ISNUMBER($AV319*BE319*1),$AV319*BE319*1,"")</f>
        <v/>
      </c>
      <c r="BS319" s="1411" t="str">
        <f aca="false">IF(ISNUMBER($AU319*BF319),$AU319*BF319,"")</f>
        <v/>
      </c>
      <c r="BT319" s="1411" t="str">
        <f aca="false">IF(ISNUMBER($AV319*BG319),$AV319*BG319,"")</f>
        <v/>
      </c>
      <c r="BU319" s="1411"/>
      <c r="BV319" s="1411"/>
      <c r="BW319" s="1411"/>
      <c r="BX319" s="1411"/>
      <c r="BZ319" s="1372"/>
      <c r="CA319" s="1372"/>
      <c r="CB319" s="1426" t="str">
        <f aca="false">IF(ISNUMBER($AW319*BB319),$AW319*BB319,"")</f>
        <v/>
      </c>
      <c r="CC319" s="1426" t="str">
        <f aca="false">IF(ISNUMBER($AX319*BC319),$AX319*BC319,"")</f>
        <v/>
      </c>
      <c r="CD319" s="1426" t="str">
        <f aca="false">IF(ISNUMBER($AW319*BD319),$AW319*BD319,"")</f>
        <v/>
      </c>
      <c r="CE319" s="1426" t="str">
        <f aca="false">IF(ISNUMBER($AX319*BE319),$AX319*BE319,"")</f>
        <v/>
      </c>
      <c r="CF319" s="1372" t="str">
        <f aca="false">IF(ISNUMBER($AW319*BF319),$AW319*BF319,"")</f>
        <v/>
      </c>
      <c r="CG319" s="1372" t="str">
        <f aca="false">IF(ISNUMBER($AX319*BG319),$AX319*BG319,"")</f>
        <v/>
      </c>
      <c r="CH319" s="1438"/>
      <c r="CI319" s="1438"/>
      <c r="CJ319" s="1438"/>
      <c r="CK319" s="1438"/>
      <c r="CU319" s="1411"/>
      <c r="CV319" s="1411"/>
      <c r="CW319" s="1425"/>
      <c r="CX319" s="1425"/>
      <c r="CY319" s="1425"/>
      <c r="CZ319" s="1425"/>
      <c r="DA319" s="1411"/>
      <c r="DB319" s="1411"/>
      <c r="DC319" s="1411"/>
      <c r="DD319" s="1411"/>
      <c r="DE319" s="1411"/>
      <c r="DF319" s="1411"/>
      <c r="DH319" s="1432"/>
      <c r="DI319" s="1432"/>
      <c r="DJ319" s="1437"/>
      <c r="DK319" s="1437"/>
      <c r="DL319" s="1437"/>
      <c r="DM319" s="1437"/>
      <c r="DN319" s="1432"/>
      <c r="DO319" s="1432"/>
      <c r="DP319" s="1432"/>
      <c r="DQ319" s="1432"/>
      <c r="DR319" s="1432"/>
      <c r="DS319" s="1432"/>
      <c r="DT319" s="1316"/>
      <c r="DU319" s="1433"/>
      <c r="DV319" s="1433"/>
      <c r="DW319" s="1433"/>
      <c r="DX319" s="1433"/>
      <c r="DY319" s="1433"/>
      <c r="DZ319" s="1433"/>
      <c r="EA319" s="1433"/>
      <c r="EB319" s="1433"/>
    </row>
    <row r="320" customFormat="false" ht="14.25" hidden="false" customHeight="false" outlineLevel="0" collapsed="false">
      <c r="A320" s="2" t="n">
        <f aca="false">'V_DATOS PAC_SGA'!R315</f>
        <v>0</v>
      </c>
      <c r="B320" s="2" t="n">
        <f aca="false">IF(I320="IV",CONCATENATE('V_DATOS PAC_SGA'!R315,"4")+0,CONCATENATE('V_DATOS PAC_SGA'!R315,"0")+0)</f>
        <v>0</v>
      </c>
      <c r="C320" s="2" t="n">
        <f aca="false">'V_DATOS PAC_SGA'!S315</f>
        <v>0</v>
      </c>
      <c r="D320" s="1409" t="n">
        <f aca="false">'V_DATOS PAC_SGA'!Y315</f>
        <v>0</v>
      </c>
      <c r="E320" s="1410" t="str">
        <f aca="false">IF('V_DATOS PAC_SGA'!AV315="","Regadio",'V_DATOS PAC_SGA'!AV315)</f>
        <v>Regadio</v>
      </c>
      <c r="F320" s="1411" t="n">
        <f aca="false">'V_DATOS PAC_SGA'!BK315</f>
        <v>0</v>
      </c>
      <c r="G320" s="1412" t="n">
        <f aca="false">'V_DATOS PAC_SGA'!AN315</f>
        <v>0</v>
      </c>
      <c r="H320" s="1413" t="str">
        <f aca="false">IF(B320&gt;0,VLOOKUP(B320,'O_MN, PE_UTA_UGM 2024'!E$3:O$419,10),"")</f>
        <v/>
      </c>
      <c r="I320" s="1359" t="n">
        <f aca="false">'V_DATOS PAC_SGA'!BV315</f>
        <v>0</v>
      </c>
      <c r="J320" s="2" t="str">
        <f aca="false">IF(AND(J$4=$G320,J$6=$F320),$D320*J$5,"")</f>
        <v/>
      </c>
      <c r="K320" s="2" t="str">
        <f aca="false">IF(AND(K$4=$G320,K$6=$F320),$D320*K$5,"")</f>
        <v/>
      </c>
      <c r="L320" s="2" t="str">
        <f aca="false">IF(AND(L$4=$G320,L$6=$F320),$D320*L$5,"")</f>
        <v/>
      </c>
      <c r="M320" s="2" t="str">
        <f aca="false">IF(AND(M$4=$G320,M$6=$F320),$D320*M$5,"")</f>
        <v/>
      </c>
      <c r="N320" s="1414" t="n">
        <f aca="false">VLOOKUP(B320,'O_MN, PE_UTA_UGM 2024'!$E$2:$K$419,IF(G320&gt;1,6,7))</f>
        <v>0</v>
      </c>
      <c r="O320" s="1434" t="str">
        <f aca="false">IF($H320=O$4,$D320*$N320,"")</f>
        <v/>
      </c>
      <c r="P320" s="1435" t="str">
        <f aca="false">IF($H320=P$4,$D320*$N320,"")</f>
        <v/>
      </c>
      <c r="Q320" s="1435" t="str">
        <f aca="false">IF($H320=Q$4,$D320*$N320,"")</f>
        <v/>
      </c>
      <c r="R320" s="1435" t="str">
        <f aca="false">IF($H320=R$4,$D320*$N320,"")</f>
        <v/>
      </c>
      <c r="S320" s="1435" t="str">
        <f aca="false">IF($H320=S$4,$D320*$N320,"")</f>
        <v/>
      </c>
      <c r="T320" s="1435" t="str">
        <f aca="false">IF($H320=T$4,$D320*$N320,"")</f>
        <v/>
      </c>
      <c r="U320" s="1436" t="str">
        <f aca="false">IF($H320=U$4,$D320*$N320,"")</f>
        <v/>
      </c>
      <c r="V320" s="1472"/>
      <c r="W320" s="1471"/>
      <c r="X320" s="1471"/>
      <c r="Y320" s="1471"/>
      <c r="Z320" s="1471"/>
      <c r="AA320" s="1471"/>
      <c r="AB320" s="1473"/>
      <c r="AC320" s="1319"/>
      <c r="AD320" s="2" t="str">
        <f aca="false">IF(AND(AD$4=$G320,AD$6=$F320),$B320,"")</f>
        <v/>
      </c>
      <c r="AE320" s="2" t="str">
        <f aca="false">IF(AND(AE$4=$G320,AE$6=$F320),$B320,"")</f>
        <v/>
      </c>
      <c r="AF320" s="2" t="str">
        <f aca="false">IF(AND(AF$4=$G320,AF$6=$F320),$B320,"")</f>
        <v/>
      </c>
      <c r="AG320" s="2" t="str">
        <f aca="false">IF(AND(AG$4=$G320,AG$6=$F320),$B320,"")</f>
        <v/>
      </c>
      <c r="AI320" s="366"/>
      <c r="AL320" s="367"/>
      <c r="AO320" s="367"/>
      <c r="AP320" s="2" t="str">
        <f aca="false">IF(AT320&gt;0,RANK(AT320,AT$7:AT$423),"")</f>
        <v/>
      </c>
      <c r="AQ320" s="1475" t="n">
        <f aca="false">'O_MN, PE_UTA_UGM 2024'!C316</f>
        <v>341</v>
      </c>
      <c r="AR320" s="1421" t="n">
        <v>3170</v>
      </c>
      <c r="AS320" s="2" t="str">
        <f aca="false">IF(AY320&lt;&gt;"",AY320,"")</f>
        <v/>
      </c>
      <c r="AT320" s="1422" t="n">
        <f aca="false">IF(ISNUMBER($AR320),SUMIF(B$7:B$505,AR320,D$7:D$505),"")</f>
        <v>0</v>
      </c>
      <c r="AU320" s="1411" t="n">
        <f aca="false">IF(ISNUMBER($AR320),SUMIF(AD$7:AD$503,$AR320,J$7:J$503),"")</f>
        <v>0</v>
      </c>
      <c r="AV320" s="1411" t="n">
        <f aca="false">IF(ISNUMBER($AR320),SUMIF(AF$7:AF$503,$AR320,L$7:L$503),"")</f>
        <v>0</v>
      </c>
      <c r="AW320" s="1423" t="n">
        <f aca="false">IF(ISNUMBER($AR320),SUMIF(AE$7:AE$503,$AR320,K$7:K$503),"")</f>
        <v>0</v>
      </c>
      <c r="AX320" s="1423" t="n">
        <f aca="false">IF(ISNUMBER($AR320),SUMIF(AG$7:AG$503,$AR320,M$7:M$503),"")</f>
        <v>0</v>
      </c>
      <c r="AY320" s="2" t="str">
        <f aca="false">IF($AT320&gt;0,VLOOKUP($AR320,'O_MN, PE_UTA_UGM 2024'!E316:O732,2),"")</f>
        <v/>
      </c>
      <c r="AZ320" s="1424"/>
      <c r="BA320" s="1424"/>
      <c r="BB320" s="1424" t="str">
        <f aca="false">IF($AT320&gt;0,VLOOKUP($AR320,'O_MN, PE_UTA_UGM 2024'!$E$3:$O$419,BB$6),"")</f>
        <v/>
      </c>
      <c r="BC320" s="1424" t="str">
        <f aca="false">IF($AT320&gt;0,VLOOKUP($AR320,'O_MN, PE_UTA_UGM 2024'!$E$3:$O$419,BC$6),"")</f>
        <v/>
      </c>
      <c r="BD320" s="1424" t="str">
        <f aca="false">IF($AT320&gt;0,VLOOKUP($AR320,'O_MN, PE_UTA_UGM 2024'!$E$3:$O$419,BD$6),"")</f>
        <v/>
      </c>
      <c r="BE320" s="1424" t="str">
        <f aca="false">IF($AT320&gt;0,VLOOKUP($AR320,'O_MN, PE_UTA_UGM 2024'!$E$3:$O$419,BE$6),"")</f>
        <v/>
      </c>
      <c r="BF320" s="1424" t="str">
        <f aca="false">IF($AT320&gt;0,VLOOKUP($AR320,'O_MN, PE_UTA_UGM 2024'!$E$3:$O$419,BF$6),"")</f>
        <v/>
      </c>
      <c r="BG320" s="1424" t="str">
        <f aca="false">IF($AT320&gt;0,VLOOKUP($AR320,'O_MN, PE_UTA_UGM 2024'!$E$3:$O$419,BG$6),"")</f>
        <v/>
      </c>
      <c r="BH320" s="872"/>
      <c r="BI320" s="872"/>
      <c r="BJ320" s="872"/>
      <c r="BK320" s="872"/>
      <c r="BM320" s="1411"/>
      <c r="BN320" s="1411"/>
      <c r="BO320" s="1425" t="str">
        <f aca="false">IF(ISNUMBER($AU320*BB320*1),$AU320*BB320*1,"")</f>
        <v/>
      </c>
      <c r="BP320" s="1425" t="str">
        <f aca="false">IF(ISNUMBER($AV320*BC320*1),$AV320*BC320*1,"")</f>
        <v/>
      </c>
      <c r="BQ320" s="1425" t="str">
        <f aca="false">IF(ISNUMBER($AU320*BD320*1),$AU320*BD320*1,"")</f>
        <v/>
      </c>
      <c r="BR320" s="1425" t="str">
        <f aca="false">IF(ISNUMBER($AV320*BE320*1),$AV320*BE320*1,"")</f>
        <v/>
      </c>
      <c r="BS320" s="1411" t="str">
        <f aca="false">IF(ISNUMBER($AU320*BF320),$AU320*BF320,"")</f>
        <v/>
      </c>
      <c r="BT320" s="1411" t="str">
        <f aca="false">IF(ISNUMBER($AV320*BG320),$AV320*BG320,"")</f>
        <v/>
      </c>
      <c r="BU320" s="1411"/>
      <c r="BV320" s="1411"/>
      <c r="BW320" s="1411"/>
      <c r="BX320" s="1411"/>
      <c r="BZ320" s="1372"/>
      <c r="CA320" s="1372"/>
      <c r="CB320" s="1426" t="str">
        <f aca="false">IF(ISNUMBER($AW320*BB320),$AW320*BB320,"")</f>
        <v/>
      </c>
      <c r="CC320" s="1426" t="str">
        <f aca="false">IF(ISNUMBER($AX320*BC320),$AX320*BC320,"")</f>
        <v/>
      </c>
      <c r="CD320" s="1426" t="str">
        <f aca="false">IF(ISNUMBER($AW320*BD320),$AW320*BD320,"")</f>
        <v/>
      </c>
      <c r="CE320" s="1426" t="str">
        <f aca="false">IF(ISNUMBER($AX320*BE320),$AX320*BE320,"")</f>
        <v/>
      </c>
      <c r="CF320" s="1372" t="str">
        <f aca="false">IF(ISNUMBER($AW320*BF320),$AW320*BF320,"")</f>
        <v/>
      </c>
      <c r="CG320" s="1372" t="str">
        <f aca="false">IF(ISNUMBER($AX320*BG320),$AX320*BG320,"")</f>
        <v/>
      </c>
      <c r="CH320" s="1438"/>
      <c r="CI320" s="1438"/>
      <c r="CJ320" s="1438"/>
      <c r="CK320" s="1438"/>
      <c r="CU320" s="1411"/>
      <c r="CV320" s="1411"/>
      <c r="CW320" s="1425"/>
      <c r="CX320" s="1425"/>
      <c r="CY320" s="1425"/>
      <c r="CZ320" s="1425"/>
      <c r="DA320" s="1411"/>
      <c r="DB320" s="1411"/>
      <c r="DC320" s="1411"/>
      <c r="DD320" s="1411"/>
      <c r="DE320" s="1411"/>
      <c r="DF320" s="1411"/>
      <c r="DH320" s="1432"/>
      <c r="DI320" s="1432"/>
      <c r="DJ320" s="1437"/>
      <c r="DK320" s="1437"/>
      <c r="DL320" s="1437"/>
      <c r="DM320" s="1437"/>
      <c r="DN320" s="1432"/>
      <c r="DO320" s="1432"/>
      <c r="DP320" s="1432"/>
      <c r="DQ320" s="1432"/>
      <c r="DR320" s="1432"/>
      <c r="DS320" s="1432"/>
      <c r="DT320" s="1316"/>
      <c r="DU320" s="1433"/>
      <c r="DV320" s="1433"/>
      <c r="DW320" s="1433"/>
      <c r="DX320" s="1433"/>
      <c r="DY320" s="1433"/>
      <c r="DZ320" s="1433"/>
      <c r="EA320" s="1433"/>
      <c r="EB320" s="1433"/>
    </row>
    <row r="321" customFormat="false" ht="14.25" hidden="false" customHeight="false" outlineLevel="0" collapsed="false">
      <c r="A321" s="2" t="n">
        <f aca="false">'V_DATOS PAC_SGA'!R316</f>
        <v>0</v>
      </c>
      <c r="B321" s="2" t="n">
        <f aca="false">IF(I321="IV",CONCATENATE('V_DATOS PAC_SGA'!R316,"4")+0,CONCATENATE('V_DATOS PAC_SGA'!R316,"0")+0)</f>
        <v>0</v>
      </c>
      <c r="C321" s="2" t="n">
        <f aca="false">'V_DATOS PAC_SGA'!S316</f>
        <v>0</v>
      </c>
      <c r="D321" s="1409" t="n">
        <f aca="false">'V_DATOS PAC_SGA'!Y316</f>
        <v>0</v>
      </c>
      <c r="E321" s="1410" t="str">
        <f aca="false">IF('V_DATOS PAC_SGA'!AV316="","Regadio",'V_DATOS PAC_SGA'!AV316)</f>
        <v>Regadio</v>
      </c>
      <c r="F321" s="1411" t="n">
        <f aca="false">'V_DATOS PAC_SGA'!BK316</f>
        <v>0</v>
      </c>
      <c r="G321" s="1412" t="n">
        <f aca="false">'V_DATOS PAC_SGA'!AN316</f>
        <v>0</v>
      </c>
      <c r="H321" s="1413" t="str">
        <f aca="false">IF(B321&gt;0,VLOOKUP(B321,'O_MN, PE_UTA_UGM 2024'!E$3:O$419,10),"")</f>
        <v/>
      </c>
      <c r="I321" s="1359" t="n">
        <f aca="false">'V_DATOS PAC_SGA'!BV316</f>
        <v>0</v>
      </c>
      <c r="J321" s="2" t="str">
        <f aca="false">IF(AND(J$4=$G321,J$6=$F321),$D321*J$5,"")</f>
        <v/>
      </c>
      <c r="K321" s="2" t="str">
        <f aca="false">IF(AND(K$4=$G321,K$6=$F321),$D321*K$5,"")</f>
        <v/>
      </c>
      <c r="L321" s="2" t="str">
        <f aca="false">IF(AND(L$4=$G321,L$6=$F321),$D321*L$5,"")</f>
        <v/>
      </c>
      <c r="M321" s="2" t="str">
        <f aca="false">IF(AND(M$4=$G321,M$6=$F321),$D321*M$5,"")</f>
        <v/>
      </c>
      <c r="N321" s="1414" t="n">
        <f aca="false">VLOOKUP(B321,'O_MN, PE_UTA_UGM 2024'!$E$2:$K$419,IF(G321&gt;1,6,7))</f>
        <v>0</v>
      </c>
      <c r="O321" s="1434" t="str">
        <f aca="false">IF($H321=O$4,$D321*$N321,"")</f>
        <v/>
      </c>
      <c r="P321" s="1435" t="str">
        <f aca="false">IF($H321=P$4,$D321*$N321,"")</f>
        <v/>
      </c>
      <c r="Q321" s="1435" t="str">
        <f aca="false">IF($H321=Q$4,$D321*$N321,"")</f>
        <v/>
      </c>
      <c r="R321" s="1435" t="str">
        <f aca="false">IF($H321=R$4,$D321*$N321,"")</f>
        <v/>
      </c>
      <c r="S321" s="1435" t="str">
        <f aca="false">IF($H321=S$4,$D321*$N321,"")</f>
        <v/>
      </c>
      <c r="T321" s="1435" t="str">
        <f aca="false">IF($H321=T$4,$D321*$N321,"")</f>
        <v/>
      </c>
      <c r="U321" s="1436" t="str">
        <f aca="false">IF($H321=U$4,$D321*$N321,"")</f>
        <v/>
      </c>
      <c r="V321" s="1472"/>
      <c r="W321" s="1471"/>
      <c r="X321" s="1471"/>
      <c r="Y321" s="1471"/>
      <c r="Z321" s="1471"/>
      <c r="AA321" s="1471"/>
      <c r="AB321" s="1473"/>
      <c r="AC321" s="1319"/>
      <c r="AD321" s="2" t="str">
        <f aca="false">IF(AND(AD$4=$G321,AD$6=$F321),$B321,"")</f>
        <v/>
      </c>
      <c r="AE321" s="2" t="str">
        <f aca="false">IF(AND(AE$4=$G321,AE$6=$F321),$B321,"")</f>
        <v/>
      </c>
      <c r="AF321" s="2" t="str">
        <f aca="false">IF(AND(AF$4=$G321,AF$6=$F321),$B321,"")</f>
        <v/>
      </c>
      <c r="AG321" s="2" t="str">
        <f aca="false">IF(AND(AG$4=$G321,AG$6=$F321),$B321,"")</f>
        <v/>
      </c>
      <c r="AI321" s="366"/>
      <c r="AL321" s="367"/>
      <c r="AO321" s="367"/>
      <c r="AP321" s="2" t="str">
        <f aca="false">IF(AT321&gt;0,RANK(AT321,AT$7:AT$423),"")</f>
        <v/>
      </c>
      <c r="AQ321" s="1475" t="n">
        <f aca="false">'O_MN, PE_UTA_UGM 2024'!C317</f>
        <v>343</v>
      </c>
      <c r="AR321" s="1421" t="n">
        <v>3180</v>
      </c>
      <c r="AS321" s="2" t="str">
        <f aca="false">IF(AY321&lt;&gt;"",AY321,"")</f>
        <v/>
      </c>
      <c r="AT321" s="1422" t="n">
        <f aca="false">IF(ISNUMBER($AR321),SUMIF(B$7:B$505,AR321,D$7:D$505),"")</f>
        <v>0</v>
      </c>
      <c r="AU321" s="1411" t="n">
        <f aca="false">IF(ISNUMBER($AR321),SUMIF(AD$7:AD$503,$AR321,J$7:J$503),"")</f>
        <v>0</v>
      </c>
      <c r="AV321" s="1411" t="n">
        <f aca="false">IF(ISNUMBER($AR321),SUMIF(AF$7:AF$503,$AR321,L$7:L$503),"")</f>
        <v>0</v>
      </c>
      <c r="AW321" s="1423" t="n">
        <f aca="false">IF(ISNUMBER($AR321),SUMIF(AE$7:AE$503,$AR321,K$7:K$503),"")</f>
        <v>0</v>
      </c>
      <c r="AX321" s="1423" t="n">
        <f aca="false">IF(ISNUMBER($AR321),SUMIF(AG$7:AG$503,$AR321,M$7:M$503),"")</f>
        <v>0</v>
      </c>
      <c r="AY321" s="2" t="str">
        <f aca="false">IF($AT321&gt;0,VLOOKUP($AR321,'O_MN, PE_UTA_UGM 2024'!E317:O733,2),"")</f>
        <v/>
      </c>
      <c r="AZ321" s="1424"/>
      <c r="BA321" s="1424"/>
      <c r="BB321" s="1424" t="str">
        <f aca="false">IF($AT321&gt;0,VLOOKUP($AR321,'O_MN, PE_UTA_UGM 2024'!$E$3:$O$419,BB$6),"")</f>
        <v/>
      </c>
      <c r="BC321" s="1424" t="str">
        <f aca="false">IF($AT321&gt;0,VLOOKUP($AR321,'O_MN, PE_UTA_UGM 2024'!$E$3:$O$419,BC$6),"")</f>
        <v/>
      </c>
      <c r="BD321" s="1424" t="str">
        <f aca="false">IF($AT321&gt;0,VLOOKUP($AR321,'O_MN, PE_UTA_UGM 2024'!$E$3:$O$419,BD$6),"")</f>
        <v/>
      </c>
      <c r="BE321" s="1424" t="str">
        <f aca="false">IF($AT321&gt;0,VLOOKUP($AR321,'O_MN, PE_UTA_UGM 2024'!$E$3:$O$419,BE$6),"")</f>
        <v/>
      </c>
      <c r="BF321" s="1424" t="str">
        <f aca="false">IF($AT321&gt;0,VLOOKUP($AR321,'O_MN, PE_UTA_UGM 2024'!$E$3:$O$419,BF$6),"")</f>
        <v/>
      </c>
      <c r="BG321" s="1424" t="str">
        <f aca="false">IF($AT321&gt;0,VLOOKUP($AR321,'O_MN, PE_UTA_UGM 2024'!$E$3:$O$419,BG$6),"")</f>
        <v/>
      </c>
      <c r="BH321" s="872"/>
      <c r="BI321" s="872"/>
      <c r="BJ321" s="872"/>
      <c r="BK321" s="872"/>
      <c r="BM321" s="1411"/>
      <c r="BN321" s="1411"/>
      <c r="BO321" s="1425" t="str">
        <f aca="false">IF(ISNUMBER($AU321*BB321*1),$AU321*BB321*1,"")</f>
        <v/>
      </c>
      <c r="BP321" s="1425" t="str">
        <f aca="false">IF(ISNUMBER($AV321*BC321*1),$AV321*BC321*1,"")</f>
        <v/>
      </c>
      <c r="BQ321" s="1425" t="str">
        <f aca="false">IF(ISNUMBER($AU321*BD321*1),$AU321*BD321*1,"")</f>
        <v/>
      </c>
      <c r="BR321" s="1425" t="str">
        <f aca="false">IF(ISNUMBER($AV321*BE321*1),$AV321*BE321*1,"")</f>
        <v/>
      </c>
      <c r="BS321" s="1411" t="str">
        <f aca="false">IF(ISNUMBER($AU321*BF321),$AU321*BF321,"")</f>
        <v/>
      </c>
      <c r="BT321" s="1411" t="str">
        <f aca="false">IF(ISNUMBER($AV321*BG321),$AV321*BG321,"")</f>
        <v/>
      </c>
      <c r="BU321" s="1411"/>
      <c r="BV321" s="1411"/>
      <c r="BW321" s="1411"/>
      <c r="BX321" s="1411"/>
      <c r="BZ321" s="1372"/>
      <c r="CA321" s="1372"/>
      <c r="CB321" s="1426" t="str">
        <f aca="false">IF(ISNUMBER($AW321*BB321),$AW321*BB321,"")</f>
        <v/>
      </c>
      <c r="CC321" s="1426" t="str">
        <f aca="false">IF(ISNUMBER($AX321*BC321),$AX321*BC321,"")</f>
        <v/>
      </c>
      <c r="CD321" s="1426" t="str">
        <f aca="false">IF(ISNUMBER($AW321*BD321),$AW321*BD321,"")</f>
        <v/>
      </c>
      <c r="CE321" s="1426" t="str">
        <f aca="false">IF(ISNUMBER($AX321*BE321),$AX321*BE321,"")</f>
        <v/>
      </c>
      <c r="CF321" s="1372" t="str">
        <f aca="false">IF(ISNUMBER($AW321*BF321),$AW321*BF321,"")</f>
        <v/>
      </c>
      <c r="CG321" s="1372" t="str">
        <f aca="false">IF(ISNUMBER($AX321*BG321),$AX321*BG321,"")</f>
        <v/>
      </c>
      <c r="CH321" s="1438"/>
      <c r="CI321" s="1438"/>
      <c r="CJ321" s="1438"/>
      <c r="CK321" s="1438"/>
      <c r="CU321" s="1411"/>
      <c r="CV321" s="1411"/>
      <c r="CW321" s="1425"/>
      <c r="CX321" s="1425"/>
      <c r="CY321" s="1425"/>
      <c r="CZ321" s="1425"/>
      <c r="DA321" s="1411"/>
      <c r="DB321" s="1411"/>
      <c r="DC321" s="1411"/>
      <c r="DD321" s="1411"/>
      <c r="DE321" s="1411"/>
      <c r="DF321" s="1411"/>
      <c r="DH321" s="1432"/>
      <c r="DI321" s="1432"/>
      <c r="DJ321" s="1437"/>
      <c r="DK321" s="1437"/>
      <c r="DL321" s="1437"/>
      <c r="DM321" s="1437"/>
      <c r="DN321" s="1432"/>
      <c r="DO321" s="1432"/>
      <c r="DP321" s="1432"/>
      <c r="DQ321" s="1432"/>
      <c r="DR321" s="1432"/>
      <c r="DS321" s="1432"/>
      <c r="DT321" s="1316"/>
      <c r="DU321" s="1433"/>
      <c r="DV321" s="1433"/>
      <c r="DW321" s="1433"/>
      <c r="DX321" s="1433"/>
      <c r="DY321" s="1433"/>
      <c r="DZ321" s="1433"/>
      <c r="EA321" s="1433"/>
      <c r="EB321" s="1433"/>
    </row>
    <row r="322" customFormat="false" ht="14.25" hidden="false" customHeight="false" outlineLevel="0" collapsed="false">
      <c r="A322" s="2" t="n">
        <f aca="false">'V_DATOS PAC_SGA'!R317</f>
        <v>0</v>
      </c>
      <c r="B322" s="2" t="n">
        <f aca="false">IF(I322="IV",CONCATENATE('V_DATOS PAC_SGA'!R317,"4")+0,CONCATENATE('V_DATOS PAC_SGA'!R317,"0")+0)</f>
        <v>0</v>
      </c>
      <c r="C322" s="2" t="n">
        <f aca="false">'V_DATOS PAC_SGA'!S317</f>
        <v>0</v>
      </c>
      <c r="D322" s="1409" t="n">
        <f aca="false">'V_DATOS PAC_SGA'!Y317</f>
        <v>0</v>
      </c>
      <c r="E322" s="1410" t="str">
        <f aca="false">IF('V_DATOS PAC_SGA'!AV317="","Regadio",'V_DATOS PAC_SGA'!AV317)</f>
        <v>Regadio</v>
      </c>
      <c r="F322" s="1411" t="n">
        <f aca="false">'V_DATOS PAC_SGA'!BK317</f>
        <v>0</v>
      </c>
      <c r="G322" s="1412" t="n">
        <f aca="false">'V_DATOS PAC_SGA'!AN317</f>
        <v>0</v>
      </c>
      <c r="H322" s="1413" t="str">
        <f aca="false">IF(B322&gt;0,VLOOKUP(B322,'O_MN, PE_UTA_UGM 2024'!E$3:O$419,10),"")</f>
        <v/>
      </c>
      <c r="I322" s="1359" t="n">
        <f aca="false">'V_DATOS PAC_SGA'!BV317</f>
        <v>0</v>
      </c>
      <c r="J322" s="2" t="str">
        <f aca="false">IF(AND(J$4=$G322,J$6=$F322),$D322*J$5,"")</f>
        <v/>
      </c>
      <c r="K322" s="2" t="str">
        <f aca="false">IF(AND(K$4=$G322,K$6=$F322),$D322*K$5,"")</f>
        <v/>
      </c>
      <c r="L322" s="2" t="str">
        <f aca="false">IF(AND(L$4=$G322,L$6=$F322),$D322*L$5,"")</f>
        <v/>
      </c>
      <c r="M322" s="2" t="str">
        <f aca="false">IF(AND(M$4=$G322,M$6=$F322),$D322*M$5,"")</f>
        <v/>
      </c>
      <c r="N322" s="1414" t="n">
        <f aca="false">VLOOKUP(B322,'O_MN, PE_UTA_UGM 2024'!$E$2:$K$419,IF(G322&gt;1,6,7))</f>
        <v>0</v>
      </c>
      <c r="O322" s="1434" t="str">
        <f aca="false">IF($H322=O$4,$D322*$N322,"")</f>
        <v/>
      </c>
      <c r="P322" s="1435" t="str">
        <f aca="false">IF($H322=P$4,$D322*$N322,"")</f>
        <v/>
      </c>
      <c r="Q322" s="1435" t="str">
        <f aca="false">IF($H322=Q$4,$D322*$N322,"")</f>
        <v/>
      </c>
      <c r="R322" s="1435" t="str">
        <f aca="false">IF($H322=R$4,$D322*$N322,"")</f>
        <v/>
      </c>
      <c r="S322" s="1435" t="str">
        <f aca="false">IF($H322=S$4,$D322*$N322,"")</f>
        <v/>
      </c>
      <c r="T322" s="1435" t="str">
        <f aca="false">IF($H322=T$4,$D322*$N322,"")</f>
        <v/>
      </c>
      <c r="U322" s="1436" t="str">
        <f aca="false">IF($H322=U$4,$D322*$N322,"")</f>
        <v/>
      </c>
      <c r="V322" s="1472"/>
      <c r="W322" s="1471"/>
      <c r="X322" s="1471"/>
      <c r="Y322" s="1471"/>
      <c r="Z322" s="1471"/>
      <c r="AA322" s="1471"/>
      <c r="AB322" s="1473"/>
      <c r="AC322" s="1319"/>
      <c r="AD322" s="2" t="str">
        <f aca="false">IF(AND(AD$4=$G322,AD$6=$F322),$B322,"")</f>
        <v/>
      </c>
      <c r="AE322" s="2" t="str">
        <f aca="false">IF(AND(AE$4=$G322,AE$6=$F322),$B322,"")</f>
        <v/>
      </c>
      <c r="AF322" s="2" t="str">
        <f aca="false">IF(AND(AF$4=$G322,AF$6=$F322),$B322,"")</f>
        <v/>
      </c>
      <c r="AG322" s="2" t="str">
        <f aca="false">IF(AND(AG$4=$G322,AG$6=$F322),$B322,"")</f>
        <v/>
      </c>
      <c r="AI322" s="366"/>
      <c r="AL322" s="367"/>
      <c r="AO322" s="367"/>
      <c r="AP322" s="2" t="str">
        <f aca="false">IF(AT322&gt;0,RANK(AT322,AT$7:AT$423),"")</f>
        <v/>
      </c>
      <c r="AQ322" s="1475" t="n">
        <f aca="false">'O_MN, PE_UTA_UGM 2024'!C318</f>
        <v>344</v>
      </c>
      <c r="AR322" s="1421" t="n">
        <v>3190</v>
      </c>
      <c r="AS322" s="2" t="str">
        <f aca="false">IF(AY322&lt;&gt;"",AY322,"")</f>
        <v/>
      </c>
      <c r="AT322" s="1422" t="n">
        <f aca="false">IF(ISNUMBER($AR322),SUMIF(B$7:B$505,AR322,D$7:D$505),"")</f>
        <v>0</v>
      </c>
      <c r="AU322" s="1411" t="n">
        <f aca="false">IF(ISNUMBER($AR322),SUMIF(AD$7:AD$503,$AR322,J$7:J$503),"")</f>
        <v>0</v>
      </c>
      <c r="AV322" s="1411" t="n">
        <f aca="false">IF(ISNUMBER($AR322),SUMIF(AF$7:AF$503,$AR322,L$7:L$503),"")</f>
        <v>0</v>
      </c>
      <c r="AW322" s="1423" t="n">
        <f aca="false">IF(ISNUMBER($AR322),SUMIF(AE$7:AE$503,$AR322,K$7:K$503),"")</f>
        <v>0</v>
      </c>
      <c r="AX322" s="1423" t="n">
        <f aca="false">IF(ISNUMBER($AR322),SUMIF(AG$7:AG$503,$AR322,M$7:M$503),"")</f>
        <v>0</v>
      </c>
      <c r="AY322" s="2" t="str">
        <f aca="false">IF($AT322&gt;0,VLOOKUP($AR322,'O_MN, PE_UTA_UGM 2024'!E318:O734,2),"")</f>
        <v/>
      </c>
      <c r="AZ322" s="1424"/>
      <c r="BA322" s="1424"/>
      <c r="BB322" s="1424" t="str">
        <f aca="false">IF($AT322&gt;0,VLOOKUP($AR322,'O_MN, PE_UTA_UGM 2024'!$E$3:$O$419,BB$6),"")</f>
        <v/>
      </c>
      <c r="BC322" s="1424" t="str">
        <f aca="false">IF($AT322&gt;0,VLOOKUP($AR322,'O_MN, PE_UTA_UGM 2024'!$E$3:$O$419,BC$6),"")</f>
        <v/>
      </c>
      <c r="BD322" s="1424" t="str">
        <f aca="false">IF($AT322&gt;0,VLOOKUP($AR322,'O_MN, PE_UTA_UGM 2024'!$E$3:$O$419,BD$6),"")</f>
        <v/>
      </c>
      <c r="BE322" s="1424" t="str">
        <f aca="false">IF($AT322&gt;0,VLOOKUP($AR322,'O_MN, PE_UTA_UGM 2024'!$E$3:$O$419,BE$6),"")</f>
        <v/>
      </c>
      <c r="BF322" s="1424" t="str">
        <f aca="false">IF($AT322&gt;0,VLOOKUP($AR322,'O_MN, PE_UTA_UGM 2024'!$E$3:$O$419,BF$6),"")</f>
        <v/>
      </c>
      <c r="BG322" s="1424" t="str">
        <f aca="false">IF($AT322&gt;0,VLOOKUP($AR322,'O_MN, PE_UTA_UGM 2024'!$E$3:$O$419,BG$6),"")</f>
        <v/>
      </c>
      <c r="BH322" s="872"/>
      <c r="BI322" s="872"/>
      <c r="BJ322" s="872"/>
      <c r="BK322" s="872"/>
      <c r="BM322" s="1411"/>
      <c r="BN322" s="1411"/>
      <c r="BO322" s="1425" t="str">
        <f aca="false">IF(ISNUMBER($AU322*BB322*1),$AU322*BB322*1,"")</f>
        <v/>
      </c>
      <c r="BP322" s="1425" t="str">
        <f aca="false">IF(ISNUMBER($AV322*BC322*1),$AV322*BC322*1,"")</f>
        <v/>
      </c>
      <c r="BQ322" s="1425" t="str">
        <f aca="false">IF(ISNUMBER($AU322*BD322*1),$AU322*BD322*1,"")</f>
        <v/>
      </c>
      <c r="BR322" s="1425" t="str">
        <f aca="false">IF(ISNUMBER($AV322*BE322*1),$AV322*BE322*1,"")</f>
        <v/>
      </c>
      <c r="BS322" s="1411" t="str">
        <f aca="false">IF(ISNUMBER($AU322*BF322),$AU322*BF322,"")</f>
        <v/>
      </c>
      <c r="BT322" s="1411" t="str">
        <f aca="false">IF(ISNUMBER($AV322*BG322),$AV322*BG322,"")</f>
        <v/>
      </c>
      <c r="BU322" s="1411"/>
      <c r="BV322" s="1411"/>
      <c r="BW322" s="1411"/>
      <c r="BX322" s="1411"/>
      <c r="BZ322" s="1372"/>
      <c r="CA322" s="1372"/>
      <c r="CB322" s="1426" t="str">
        <f aca="false">IF(ISNUMBER($AW322*BB322),$AW322*BB322,"")</f>
        <v/>
      </c>
      <c r="CC322" s="1426" t="str">
        <f aca="false">IF(ISNUMBER($AX322*BC322),$AX322*BC322,"")</f>
        <v/>
      </c>
      <c r="CD322" s="1426" t="str">
        <f aca="false">IF(ISNUMBER($AW322*BD322),$AW322*BD322,"")</f>
        <v/>
      </c>
      <c r="CE322" s="1426" t="str">
        <f aca="false">IF(ISNUMBER($AX322*BE322),$AX322*BE322,"")</f>
        <v/>
      </c>
      <c r="CF322" s="1372" t="str">
        <f aca="false">IF(ISNUMBER($AW322*BF322),$AW322*BF322,"")</f>
        <v/>
      </c>
      <c r="CG322" s="1372" t="str">
        <f aca="false">IF(ISNUMBER($AX322*BG322),$AX322*BG322,"")</f>
        <v/>
      </c>
      <c r="CH322" s="1438"/>
      <c r="CI322" s="1438"/>
      <c r="CJ322" s="1438"/>
      <c r="CK322" s="1438"/>
      <c r="CU322" s="1411"/>
      <c r="CV322" s="1411"/>
      <c r="CW322" s="1425"/>
      <c r="CX322" s="1425"/>
      <c r="CY322" s="1425"/>
      <c r="CZ322" s="1425"/>
      <c r="DA322" s="1411"/>
      <c r="DB322" s="1411"/>
      <c r="DC322" s="1411"/>
      <c r="DD322" s="1411"/>
      <c r="DE322" s="1411"/>
      <c r="DF322" s="1411"/>
      <c r="DH322" s="1432"/>
      <c r="DI322" s="1432"/>
      <c r="DJ322" s="1437"/>
      <c r="DK322" s="1437"/>
      <c r="DL322" s="1437"/>
      <c r="DM322" s="1437"/>
      <c r="DN322" s="1432"/>
      <c r="DO322" s="1432"/>
      <c r="DP322" s="1432"/>
      <c r="DQ322" s="1432"/>
      <c r="DR322" s="1432"/>
      <c r="DS322" s="1432"/>
      <c r="DT322" s="1316"/>
      <c r="DU322" s="1433"/>
      <c r="DV322" s="1433"/>
      <c r="DW322" s="1433"/>
      <c r="DX322" s="1433"/>
      <c r="DY322" s="1433"/>
      <c r="DZ322" s="1433"/>
      <c r="EA322" s="1433"/>
      <c r="EB322" s="1433"/>
    </row>
    <row r="323" customFormat="false" ht="14.25" hidden="false" customHeight="false" outlineLevel="0" collapsed="false">
      <c r="A323" s="2" t="n">
        <f aca="false">'V_DATOS PAC_SGA'!R318</f>
        <v>0</v>
      </c>
      <c r="B323" s="2" t="n">
        <f aca="false">IF(I323="IV",CONCATENATE('V_DATOS PAC_SGA'!R318,"4")+0,CONCATENATE('V_DATOS PAC_SGA'!R318,"0")+0)</f>
        <v>0</v>
      </c>
      <c r="C323" s="2" t="n">
        <f aca="false">'V_DATOS PAC_SGA'!S318</f>
        <v>0</v>
      </c>
      <c r="D323" s="1409" t="n">
        <f aca="false">'V_DATOS PAC_SGA'!Y318</f>
        <v>0</v>
      </c>
      <c r="E323" s="1410" t="str">
        <f aca="false">IF('V_DATOS PAC_SGA'!AV318="","Regadio",'V_DATOS PAC_SGA'!AV318)</f>
        <v>Regadio</v>
      </c>
      <c r="F323" s="1411" t="n">
        <f aca="false">'V_DATOS PAC_SGA'!BK318</f>
        <v>0</v>
      </c>
      <c r="G323" s="1412" t="n">
        <f aca="false">'V_DATOS PAC_SGA'!AN318</f>
        <v>0</v>
      </c>
      <c r="H323" s="1413" t="str">
        <f aca="false">IF(B323&gt;0,VLOOKUP(B323,'O_MN, PE_UTA_UGM 2024'!E$3:O$419,10),"")</f>
        <v/>
      </c>
      <c r="I323" s="1359" t="n">
        <f aca="false">'V_DATOS PAC_SGA'!BV318</f>
        <v>0</v>
      </c>
      <c r="J323" s="2" t="str">
        <f aca="false">IF(AND(J$4=$G323,J$6=$F323),$D323*J$5,"")</f>
        <v/>
      </c>
      <c r="K323" s="2" t="str">
        <f aca="false">IF(AND(K$4=$G323,K$6=$F323),$D323*K$5,"")</f>
        <v/>
      </c>
      <c r="L323" s="2" t="str">
        <f aca="false">IF(AND(L$4=$G323,L$6=$F323),$D323*L$5,"")</f>
        <v/>
      </c>
      <c r="M323" s="2" t="str">
        <f aca="false">IF(AND(M$4=$G323,M$6=$F323),$D323*M$5,"")</f>
        <v/>
      </c>
      <c r="N323" s="1414" t="n">
        <f aca="false">VLOOKUP(B323,'O_MN, PE_UTA_UGM 2024'!$E$2:$K$419,IF(G323&gt;1,6,7))</f>
        <v>0</v>
      </c>
      <c r="O323" s="1434" t="str">
        <f aca="false">IF($H323=O$4,$D323*$N323,"")</f>
        <v/>
      </c>
      <c r="P323" s="1435" t="str">
        <f aca="false">IF($H323=P$4,$D323*$N323,"")</f>
        <v/>
      </c>
      <c r="Q323" s="1435" t="str">
        <f aca="false">IF($H323=Q$4,$D323*$N323,"")</f>
        <v/>
      </c>
      <c r="R323" s="1435" t="str">
        <f aca="false">IF($H323=R$4,$D323*$N323,"")</f>
        <v/>
      </c>
      <c r="S323" s="1435" t="str">
        <f aca="false">IF($H323=S$4,$D323*$N323,"")</f>
        <v/>
      </c>
      <c r="T323" s="1435" t="str">
        <f aca="false">IF($H323=T$4,$D323*$N323,"")</f>
        <v/>
      </c>
      <c r="U323" s="1436" t="str">
        <f aca="false">IF($H323=U$4,$D323*$N323,"")</f>
        <v/>
      </c>
      <c r="V323" s="1472"/>
      <c r="W323" s="1471"/>
      <c r="X323" s="1471"/>
      <c r="Y323" s="1471"/>
      <c r="Z323" s="1471"/>
      <c r="AA323" s="1471"/>
      <c r="AB323" s="1473"/>
      <c r="AC323" s="1319"/>
      <c r="AD323" s="2" t="str">
        <f aca="false">IF(AND(AD$4=$G323,AD$6=$F323),$B323,"")</f>
        <v/>
      </c>
      <c r="AE323" s="2" t="str">
        <f aca="false">IF(AND(AE$4=$G323,AE$6=$F323),$B323,"")</f>
        <v/>
      </c>
      <c r="AF323" s="2" t="str">
        <f aca="false">IF(AND(AF$4=$G323,AF$6=$F323),$B323,"")</f>
        <v/>
      </c>
      <c r="AG323" s="2" t="str">
        <f aca="false">IF(AND(AG$4=$G323,AG$6=$F323),$B323,"")</f>
        <v/>
      </c>
      <c r="AI323" s="366"/>
      <c r="AL323" s="367"/>
      <c r="AO323" s="367"/>
      <c r="AP323" s="2" t="str">
        <f aca="false">IF(AT323&gt;0,RANK(AT323,AT$7:AT$423),"")</f>
        <v/>
      </c>
      <c r="AQ323" s="1475" t="n">
        <f aca="false">'O_MN, PE_UTA_UGM 2024'!C319</f>
        <v>345</v>
      </c>
      <c r="AR323" s="1421" t="n">
        <v>3200</v>
      </c>
      <c r="AS323" s="2" t="str">
        <f aca="false">IF(AY323&lt;&gt;"",AY323,"")</f>
        <v/>
      </c>
      <c r="AT323" s="1422" t="n">
        <f aca="false">IF(ISNUMBER($AR323),SUMIF(B$7:B$505,AR323,D$7:D$505),"")</f>
        <v>0</v>
      </c>
      <c r="AU323" s="1411" t="n">
        <f aca="false">IF(ISNUMBER($AR323),SUMIF(AD$7:AD$503,$AR323,J$7:J$503),"")</f>
        <v>0</v>
      </c>
      <c r="AV323" s="1411" t="n">
        <f aca="false">IF(ISNUMBER($AR323),SUMIF(AF$7:AF$503,$AR323,L$7:L$503),"")</f>
        <v>0</v>
      </c>
      <c r="AW323" s="1423" t="n">
        <f aca="false">IF(ISNUMBER($AR323),SUMIF(AE$7:AE$503,$AR323,K$7:K$503),"")</f>
        <v>0</v>
      </c>
      <c r="AX323" s="1423" t="n">
        <f aca="false">IF(ISNUMBER($AR323),SUMIF(AG$7:AG$503,$AR323,M$7:M$503),"")</f>
        <v>0</v>
      </c>
      <c r="AY323" s="2" t="str">
        <f aca="false">IF($AT323&gt;0,VLOOKUP($AR323,'O_MN, PE_UTA_UGM 2024'!E319:O735,2),"")</f>
        <v/>
      </c>
      <c r="AZ323" s="1424"/>
      <c r="BA323" s="1424"/>
      <c r="BB323" s="1424" t="str">
        <f aca="false">IF($AT323&gt;0,VLOOKUP($AR323,'O_MN, PE_UTA_UGM 2024'!$E$3:$O$419,BB$6),"")</f>
        <v/>
      </c>
      <c r="BC323" s="1424" t="str">
        <f aca="false">IF($AT323&gt;0,VLOOKUP($AR323,'O_MN, PE_UTA_UGM 2024'!$E$3:$O$419,BC$6),"")</f>
        <v/>
      </c>
      <c r="BD323" s="1424" t="str">
        <f aca="false">IF($AT323&gt;0,VLOOKUP($AR323,'O_MN, PE_UTA_UGM 2024'!$E$3:$O$419,BD$6),"")</f>
        <v/>
      </c>
      <c r="BE323" s="1424" t="str">
        <f aca="false">IF($AT323&gt;0,VLOOKUP($AR323,'O_MN, PE_UTA_UGM 2024'!$E$3:$O$419,BE$6),"")</f>
        <v/>
      </c>
      <c r="BF323" s="1424" t="str">
        <f aca="false">IF($AT323&gt;0,VLOOKUP($AR323,'O_MN, PE_UTA_UGM 2024'!$E$3:$O$419,BF$6),"")</f>
        <v/>
      </c>
      <c r="BG323" s="1424" t="str">
        <f aca="false">IF($AT323&gt;0,VLOOKUP($AR323,'O_MN, PE_UTA_UGM 2024'!$E$3:$O$419,BG$6),"")</f>
        <v/>
      </c>
      <c r="BH323" s="872"/>
      <c r="BI323" s="872"/>
      <c r="BJ323" s="872"/>
      <c r="BK323" s="872"/>
      <c r="BM323" s="1411"/>
      <c r="BN323" s="1411"/>
      <c r="BO323" s="1425" t="str">
        <f aca="false">IF(ISNUMBER($AU323*BB323*1),$AU323*BB323*1,"")</f>
        <v/>
      </c>
      <c r="BP323" s="1425" t="str">
        <f aca="false">IF(ISNUMBER($AV323*BC323*1),$AV323*BC323*1,"")</f>
        <v/>
      </c>
      <c r="BQ323" s="1425" t="str">
        <f aca="false">IF(ISNUMBER($AU323*BD323*1),$AU323*BD323*1,"")</f>
        <v/>
      </c>
      <c r="BR323" s="1425" t="str">
        <f aca="false">IF(ISNUMBER($AV323*BE323*1),$AV323*BE323*1,"")</f>
        <v/>
      </c>
      <c r="BS323" s="1411" t="str">
        <f aca="false">IF(ISNUMBER($AU323*BF323),$AU323*BF323,"")</f>
        <v/>
      </c>
      <c r="BT323" s="1411" t="str">
        <f aca="false">IF(ISNUMBER($AV323*BG323),$AV323*BG323,"")</f>
        <v/>
      </c>
      <c r="BU323" s="1411"/>
      <c r="BV323" s="1411"/>
      <c r="BW323" s="1411"/>
      <c r="BX323" s="1411"/>
      <c r="BZ323" s="1372"/>
      <c r="CA323" s="1372"/>
      <c r="CB323" s="1426" t="str">
        <f aca="false">IF(ISNUMBER($AW323*BB323),$AW323*BB323,"")</f>
        <v/>
      </c>
      <c r="CC323" s="1426" t="str">
        <f aca="false">IF(ISNUMBER($AX323*BC323),$AX323*BC323,"")</f>
        <v/>
      </c>
      <c r="CD323" s="1426" t="str">
        <f aca="false">IF(ISNUMBER($AW323*BD323),$AW323*BD323,"")</f>
        <v/>
      </c>
      <c r="CE323" s="1426" t="str">
        <f aca="false">IF(ISNUMBER($AX323*BE323),$AX323*BE323,"")</f>
        <v/>
      </c>
      <c r="CF323" s="1372" t="str">
        <f aca="false">IF(ISNUMBER($AW323*BF323),$AW323*BF323,"")</f>
        <v/>
      </c>
      <c r="CG323" s="1372" t="str">
        <f aca="false">IF(ISNUMBER($AX323*BG323),$AX323*BG323,"")</f>
        <v/>
      </c>
      <c r="CH323" s="1438"/>
      <c r="CI323" s="1438"/>
      <c r="CJ323" s="1438"/>
      <c r="CK323" s="1438"/>
      <c r="CU323" s="1411"/>
      <c r="CV323" s="1411"/>
      <c r="CW323" s="1425"/>
      <c r="CX323" s="1425"/>
      <c r="CY323" s="1425"/>
      <c r="CZ323" s="1425"/>
      <c r="DA323" s="1411"/>
      <c r="DB323" s="1411"/>
      <c r="DC323" s="1411"/>
      <c r="DD323" s="1411"/>
      <c r="DE323" s="1411"/>
      <c r="DF323" s="1411"/>
      <c r="DH323" s="1432"/>
      <c r="DI323" s="1432"/>
      <c r="DJ323" s="1437"/>
      <c r="DK323" s="1437"/>
      <c r="DL323" s="1437"/>
      <c r="DM323" s="1437"/>
      <c r="DN323" s="1432"/>
      <c r="DO323" s="1432"/>
      <c r="DP323" s="1432"/>
      <c r="DQ323" s="1432"/>
      <c r="DR323" s="1432"/>
      <c r="DS323" s="1432"/>
      <c r="DT323" s="1316"/>
      <c r="DU323" s="1433"/>
      <c r="DV323" s="1433"/>
      <c r="DW323" s="1433"/>
      <c r="DX323" s="1433"/>
      <c r="DY323" s="1433"/>
      <c r="DZ323" s="1433"/>
      <c r="EA323" s="1433"/>
      <c r="EB323" s="1433"/>
    </row>
    <row r="324" customFormat="false" ht="14.25" hidden="false" customHeight="false" outlineLevel="0" collapsed="false">
      <c r="A324" s="2" t="n">
        <f aca="false">'V_DATOS PAC_SGA'!R319</f>
        <v>0</v>
      </c>
      <c r="B324" s="2" t="n">
        <f aca="false">IF(I324="IV",CONCATENATE('V_DATOS PAC_SGA'!R319,"4")+0,CONCATENATE('V_DATOS PAC_SGA'!R319,"0")+0)</f>
        <v>0</v>
      </c>
      <c r="C324" s="2" t="n">
        <f aca="false">'V_DATOS PAC_SGA'!S319</f>
        <v>0</v>
      </c>
      <c r="D324" s="1409" t="n">
        <f aca="false">'V_DATOS PAC_SGA'!Y319</f>
        <v>0</v>
      </c>
      <c r="E324" s="1410" t="str">
        <f aca="false">IF('V_DATOS PAC_SGA'!AV319="","Regadio",'V_DATOS PAC_SGA'!AV319)</f>
        <v>Regadio</v>
      </c>
      <c r="F324" s="1411" t="n">
        <f aca="false">'V_DATOS PAC_SGA'!BK319</f>
        <v>0</v>
      </c>
      <c r="G324" s="1412" t="n">
        <f aca="false">'V_DATOS PAC_SGA'!AN319</f>
        <v>0</v>
      </c>
      <c r="H324" s="1413" t="str">
        <f aca="false">IF(B324&gt;0,VLOOKUP(B324,'O_MN, PE_UTA_UGM 2024'!E$3:O$419,10),"")</f>
        <v/>
      </c>
      <c r="I324" s="1359" t="n">
        <f aca="false">'V_DATOS PAC_SGA'!BV319</f>
        <v>0</v>
      </c>
      <c r="J324" s="2" t="str">
        <f aca="false">IF(AND(J$4=$G324,J$6=$F324),$D324*J$5,"")</f>
        <v/>
      </c>
      <c r="K324" s="2" t="str">
        <f aca="false">IF(AND(K$4=$G324,K$6=$F324),$D324*K$5,"")</f>
        <v/>
      </c>
      <c r="L324" s="2" t="str">
        <f aca="false">IF(AND(L$4=$G324,L$6=$F324),$D324*L$5,"")</f>
        <v/>
      </c>
      <c r="M324" s="2" t="str">
        <f aca="false">IF(AND(M$4=$G324,M$6=$F324),$D324*M$5,"")</f>
        <v/>
      </c>
      <c r="N324" s="1414" t="n">
        <f aca="false">VLOOKUP(B324,'O_MN, PE_UTA_UGM 2024'!$E$2:$K$419,IF(G324&gt;1,6,7))</f>
        <v>0</v>
      </c>
      <c r="O324" s="1434" t="str">
        <f aca="false">IF($H324=O$4,$D324*$N324,"")</f>
        <v/>
      </c>
      <c r="P324" s="1435" t="str">
        <f aca="false">IF($H324=P$4,$D324*$N324,"")</f>
        <v/>
      </c>
      <c r="Q324" s="1435" t="str">
        <f aca="false">IF($H324=Q$4,$D324*$N324,"")</f>
        <v/>
      </c>
      <c r="R324" s="1435" t="str">
        <f aca="false">IF($H324=R$4,$D324*$N324,"")</f>
        <v/>
      </c>
      <c r="S324" s="1435" t="str">
        <f aca="false">IF($H324=S$4,$D324*$N324,"")</f>
        <v/>
      </c>
      <c r="T324" s="1435" t="str">
        <f aca="false">IF($H324=T$4,$D324*$N324,"")</f>
        <v/>
      </c>
      <c r="U324" s="1436" t="str">
        <f aca="false">IF($H324=U$4,$D324*$N324,"")</f>
        <v/>
      </c>
      <c r="V324" s="1472"/>
      <c r="W324" s="1471"/>
      <c r="X324" s="1471"/>
      <c r="Y324" s="1471"/>
      <c r="Z324" s="1471"/>
      <c r="AA324" s="1471"/>
      <c r="AB324" s="1473"/>
      <c r="AC324" s="1319"/>
      <c r="AD324" s="2" t="str">
        <f aca="false">IF(AND(AD$4=$G324,AD$6=$F324),$B324,"")</f>
        <v/>
      </c>
      <c r="AE324" s="2" t="str">
        <f aca="false">IF(AND(AE$4=$G324,AE$6=$F324),$B324,"")</f>
        <v/>
      </c>
      <c r="AF324" s="2" t="str">
        <f aca="false">IF(AND(AF$4=$G324,AF$6=$F324),$B324,"")</f>
        <v/>
      </c>
      <c r="AG324" s="2" t="str">
        <f aca="false">IF(AND(AG$4=$G324,AG$6=$F324),$B324,"")</f>
        <v/>
      </c>
      <c r="AI324" s="366"/>
      <c r="AL324" s="367"/>
      <c r="AO324" s="367"/>
      <c r="AP324" s="2" t="str">
        <f aca="false">IF(AT324&gt;0,RANK(AT324,AT$7:AT$423),"")</f>
        <v/>
      </c>
      <c r="AQ324" s="1475" t="n">
        <f aca="false">'O_MN, PE_UTA_UGM 2024'!C320</f>
        <v>346</v>
      </c>
      <c r="AR324" s="1421" t="n">
        <v>3220</v>
      </c>
      <c r="AS324" s="2" t="str">
        <f aca="false">IF(AY324&lt;&gt;"",AY324,"")</f>
        <v/>
      </c>
      <c r="AT324" s="1422" t="n">
        <f aca="false">IF(ISNUMBER($AR324),SUMIF(B$7:B$505,AR324,D$7:D$505),"")</f>
        <v>0</v>
      </c>
      <c r="AU324" s="1411" t="n">
        <f aca="false">IF(ISNUMBER($AR324),SUMIF(AD$7:AD$503,$AR324,J$7:J$503),"")</f>
        <v>0</v>
      </c>
      <c r="AV324" s="1411" t="n">
        <f aca="false">IF(ISNUMBER($AR324),SUMIF(AF$7:AF$503,$AR324,L$7:L$503),"")</f>
        <v>0</v>
      </c>
      <c r="AW324" s="1423" t="n">
        <f aca="false">IF(ISNUMBER($AR324),SUMIF(AE$7:AE$503,$AR324,K$7:K$503),"")</f>
        <v>0</v>
      </c>
      <c r="AX324" s="1423" t="n">
        <f aca="false">IF(ISNUMBER($AR324),SUMIF(AG$7:AG$503,$AR324,M$7:M$503),"")</f>
        <v>0</v>
      </c>
      <c r="AY324" s="2" t="str">
        <f aca="false">IF($AT324&gt;0,VLOOKUP($AR324,'O_MN, PE_UTA_UGM 2024'!E320:O736,2),"")</f>
        <v/>
      </c>
      <c r="AZ324" s="1424"/>
      <c r="BA324" s="1424"/>
      <c r="BB324" s="1424" t="str">
        <f aca="false">IF($AT324&gt;0,VLOOKUP($AR324,'O_MN, PE_UTA_UGM 2024'!$E$3:$O$419,BB$6),"")</f>
        <v/>
      </c>
      <c r="BC324" s="1424" t="str">
        <f aca="false">IF($AT324&gt;0,VLOOKUP($AR324,'O_MN, PE_UTA_UGM 2024'!$E$3:$O$419,BC$6),"")</f>
        <v/>
      </c>
      <c r="BD324" s="1424" t="str">
        <f aca="false">IF($AT324&gt;0,VLOOKUP($AR324,'O_MN, PE_UTA_UGM 2024'!$E$3:$O$419,BD$6),"")</f>
        <v/>
      </c>
      <c r="BE324" s="1424" t="str">
        <f aca="false">IF($AT324&gt;0,VLOOKUP($AR324,'O_MN, PE_UTA_UGM 2024'!$E$3:$O$419,BE$6),"")</f>
        <v/>
      </c>
      <c r="BF324" s="1424" t="str">
        <f aca="false">IF($AT324&gt;0,VLOOKUP($AR324,'O_MN, PE_UTA_UGM 2024'!$E$3:$O$419,BF$6),"")</f>
        <v/>
      </c>
      <c r="BG324" s="1424" t="str">
        <f aca="false">IF($AT324&gt;0,VLOOKUP($AR324,'O_MN, PE_UTA_UGM 2024'!$E$3:$O$419,BG$6),"")</f>
        <v/>
      </c>
      <c r="BH324" s="872"/>
      <c r="BI324" s="872"/>
      <c r="BJ324" s="872"/>
      <c r="BK324" s="872"/>
      <c r="BM324" s="1411"/>
      <c r="BN324" s="1411"/>
      <c r="BO324" s="1425" t="str">
        <f aca="false">IF(ISNUMBER($AU324*BB324*1),$AU324*BB324*1,"")</f>
        <v/>
      </c>
      <c r="BP324" s="1425" t="str">
        <f aca="false">IF(ISNUMBER($AV324*BC324*1),$AV324*BC324*1,"")</f>
        <v/>
      </c>
      <c r="BQ324" s="1425" t="str">
        <f aca="false">IF(ISNUMBER($AU324*BD324*1),$AU324*BD324*1,"")</f>
        <v/>
      </c>
      <c r="BR324" s="1425" t="str">
        <f aca="false">IF(ISNUMBER($AV324*BE324*1),$AV324*BE324*1,"")</f>
        <v/>
      </c>
      <c r="BS324" s="1411" t="str">
        <f aca="false">IF(ISNUMBER($AU324*BF324),$AU324*BF324,"")</f>
        <v/>
      </c>
      <c r="BT324" s="1411" t="str">
        <f aca="false">IF(ISNUMBER($AV324*BG324),$AV324*BG324,"")</f>
        <v/>
      </c>
      <c r="BU324" s="1411"/>
      <c r="BV324" s="1411"/>
      <c r="BW324" s="1411"/>
      <c r="BX324" s="1411"/>
      <c r="BZ324" s="1372"/>
      <c r="CA324" s="1372"/>
      <c r="CB324" s="1426" t="str">
        <f aca="false">IF(ISNUMBER($AW324*BB324),$AW324*BB324,"")</f>
        <v/>
      </c>
      <c r="CC324" s="1426" t="str">
        <f aca="false">IF(ISNUMBER($AX324*BC324),$AX324*BC324,"")</f>
        <v/>
      </c>
      <c r="CD324" s="1426" t="str">
        <f aca="false">IF(ISNUMBER($AW324*BD324),$AW324*BD324,"")</f>
        <v/>
      </c>
      <c r="CE324" s="1426" t="str">
        <f aca="false">IF(ISNUMBER($AX324*BE324),$AX324*BE324,"")</f>
        <v/>
      </c>
      <c r="CF324" s="1372" t="str">
        <f aca="false">IF(ISNUMBER($AW324*BF324),$AW324*BF324,"")</f>
        <v/>
      </c>
      <c r="CG324" s="1372" t="str">
        <f aca="false">IF(ISNUMBER($AX324*BG324),$AX324*BG324,"")</f>
        <v/>
      </c>
      <c r="CH324" s="1438"/>
      <c r="CI324" s="1438"/>
      <c r="CJ324" s="1438"/>
      <c r="CK324" s="1438"/>
      <c r="CU324" s="1411"/>
      <c r="CV324" s="1411"/>
      <c r="CW324" s="1425"/>
      <c r="CX324" s="1425"/>
      <c r="CY324" s="1425"/>
      <c r="CZ324" s="1425"/>
      <c r="DA324" s="1411"/>
      <c r="DB324" s="1411"/>
      <c r="DC324" s="1411"/>
      <c r="DD324" s="1411"/>
      <c r="DE324" s="1411"/>
      <c r="DF324" s="1411"/>
      <c r="DH324" s="1432"/>
      <c r="DI324" s="1432"/>
      <c r="DJ324" s="1437"/>
      <c r="DK324" s="1437"/>
      <c r="DL324" s="1437"/>
      <c r="DM324" s="1437"/>
      <c r="DN324" s="1432"/>
      <c r="DO324" s="1432"/>
      <c r="DP324" s="1432"/>
      <c r="DQ324" s="1432"/>
      <c r="DR324" s="1432"/>
      <c r="DS324" s="1432"/>
      <c r="DT324" s="1316"/>
      <c r="DU324" s="1433"/>
      <c r="DV324" s="1433"/>
      <c r="DW324" s="1433"/>
      <c r="DX324" s="1433"/>
      <c r="DY324" s="1433"/>
      <c r="DZ324" s="1433"/>
      <c r="EA324" s="1433"/>
      <c r="EB324" s="1433"/>
    </row>
    <row r="325" customFormat="false" ht="14.25" hidden="false" customHeight="false" outlineLevel="0" collapsed="false">
      <c r="A325" s="2" t="n">
        <f aca="false">'V_DATOS PAC_SGA'!R320</f>
        <v>0</v>
      </c>
      <c r="B325" s="2" t="n">
        <f aca="false">IF(I325="IV",CONCATENATE('V_DATOS PAC_SGA'!R320,"4")+0,CONCATENATE('V_DATOS PAC_SGA'!R320,"0")+0)</f>
        <v>0</v>
      </c>
      <c r="C325" s="2" t="n">
        <f aca="false">'V_DATOS PAC_SGA'!S320</f>
        <v>0</v>
      </c>
      <c r="D325" s="1409" t="n">
        <f aca="false">'V_DATOS PAC_SGA'!Y320</f>
        <v>0</v>
      </c>
      <c r="E325" s="1410" t="str">
        <f aca="false">IF('V_DATOS PAC_SGA'!AV320="","Regadio",'V_DATOS PAC_SGA'!AV320)</f>
        <v>Regadio</v>
      </c>
      <c r="F325" s="1411" t="n">
        <f aca="false">'V_DATOS PAC_SGA'!BK320</f>
        <v>0</v>
      </c>
      <c r="G325" s="1412" t="n">
        <f aca="false">'V_DATOS PAC_SGA'!AN320</f>
        <v>0</v>
      </c>
      <c r="H325" s="1413" t="str">
        <f aca="false">IF(B325&gt;0,VLOOKUP(B325,'O_MN, PE_UTA_UGM 2024'!E$3:O$419,10),"")</f>
        <v/>
      </c>
      <c r="I325" s="1359" t="n">
        <f aca="false">'V_DATOS PAC_SGA'!BV320</f>
        <v>0</v>
      </c>
      <c r="J325" s="2" t="str">
        <f aca="false">IF(AND(J$4=$G325,J$6=$F325),$D325*J$5,"")</f>
        <v/>
      </c>
      <c r="K325" s="2" t="str">
        <f aca="false">IF(AND(K$4=$G325,K$6=$F325),$D325*K$5,"")</f>
        <v/>
      </c>
      <c r="L325" s="2" t="str">
        <f aca="false">IF(AND(L$4=$G325,L$6=$F325),$D325*L$5,"")</f>
        <v/>
      </c>
      <c r="M325" s="2" t="str">
        <f aca="false">IF(AND(M$4=$G325,M$6=$F325),$D325*M$5,"")</f>
        <v/>
      </c>
      <c r="N325" s="1414" t="n">
        <f aca="false">VLOOKUP(B325,'O_MN, PE_UTA_UGM 2024'!$E$2:$K$419,IF(G325&gt;1,6,7))</f>
        <v>0</v>
      </c>
      <c r="O325" s="1434" t="str">
        <f aca="false">IF($H325=O$4,$D325*$N325,"")</f>
        <v/>
      </c>
      <c r="P325" s="1435" t="str">
        <f aca="false">IF($H325=P$4,$D325*$N325,"")</f>
        <v/>
      </c>
      <c r="Q325" s="1435" t="str">
        <f aca="false">IF($H325=Q$4,$D325*$N325,"")</f>
        <v/>
      </c>
      <c r="R325" s="1435" t="str">
        <f aca="false">IF($H325=R$4,$D325*$N325,"")</f>
        <v/>
      </c>
      <c r="S325" s="1435" t="str">
        <f aca="false">IF($H325=S$4,$D325*$N325,"")</f>
        <v/>
      </c>
      <c r="T325" s="1435" t="str">
        <f aca="false">IF($H325=T$4,$D325*$N325,"")</f>
        <v/>
      </c>
      <c r="U325" s="1436" t="str">
        <f aca="false">IF($H325=U$4,$D325*$N325,"")</f>
        <v/>
      </c>
      <c r="V325" s="1472"/>
      <c r="W325" s="1471"/>
      <c r="X325" s="1471"/>
      <c r="Y325" s="1471"/>
      <c r="Z325" s="1471"/>
      <c r="AA325" s="1471"/>
      <c r="AB325" s="1473"/>
      <c r="AC325" s="1319"/>
      <c r="AD325" s="2" t="str">
        <f aca="false">IF(AND(AD$4=$G325,AD$6=$F325),$B325,"")</f>
        <v/>
      </c>
      <c r="AE325" s="2" t="str">
        <f aca="false">IF(AND(AE$4=$G325,AE$6=$F325),$B325,"")</f>
        <v/>
      </c>
      <c r="AF325" s="2" t="str">
        <f aca="false">IF(AND(AF$4=$G325,AF$6=$F325),$B325,"")</f>
        <v/>
      </c>
      <c r="AG325" s="2" t="str">
        <f aca="false">IF(AND(AG$4=$G325,AG$6=$F325),$B325,"")</f>
        <v/>
      </c>
      <c r="AI325" s="366"/>
      <c r="AL325" s="367"/>
      <c r="AO325" s="367"/>
      <c r="AP325" s="2" t="str">
        <f aca="false">IF(AT325&gt;0,RANK(AT325,AT$7:AT$423),"")</f>
        <v/>
      </c>
      <c r="AQ325" s="1475" t="n">
        <f aca="false">'O_MN, PE_UTA_UGM 2024'!C321</f>
        <v>347</v>
      </c>
      <c r="AR325" s="1421" t="n">
        <v>3230</v>
      </c>
      <c r="AS325" s="2" t="str">
        <f aca="false">IF(AY325&lt;&gt;"",AY325,"")</f>
        <v/>
      </c>
      <c r="AT325" s="1422" t="n">
        <f aca="false">IF(ISNUMBER($AR325),SUMIF(B$7:B$505,AR325,D$7:D$505),"")</f>
        <v>0</v>
      </c>
      <c r="AU325" s="1411" t="n">
        <f aca="false">IF(ISNUMBER($AR325),SUMIF(AD$7:AD$503,$AR325,J$7:J$503),"")</f>
        <v>0</v>
      </c>
      <c r="AV325" s="1411" t="n">
        <f aca="false">IF(ISNUMBER($AR325),SUMIF(AF$7:AF$503,$AR325,L$7:L$503),"")</f>
        <v>0</v>
      </c>
      <c r="AW325" s="1423" t="n">
        <f aca="false">IF(ISNUMBER($AR325),SUMIF(AE$7:AE$503,$AR325,K$7:K$503),"")</f>
        <v>0</v>
      </c>
      <c r="AX325" s="1423" t="n">
        <f aca="false">IF(ISNUMBER($AR325),SUMIF(AG$7:AG$503,$AR325,M$7:M$503),"")</f>
        <v>0</v>
      </c>
      <c r="AY325" s="2" t="str">
        <f aca="false">IF($AT325&gt;0,VLOOKUP($AR325,'O_MN, PE_UTA_UGM 2024'!E321:O737,2),"")</f>
        <v/>
      </c>
      <c r="AZ325" s="1424"/>
      <c r="BA325" s="1424"/>
      <c r="BB325" s="1424" t="str">
        <f aca="false">IF($AT325&gt;0,VLOOKUP($AR325,'O_MN, PE_UTA_UGM 2024'!$E$3:$O$419,BB$6),"")</f>
        <v/>
      </c>
      <c r="BC325" s="1424" t="str">
        <f aca="false">IF($AT325&gt;0,VLOOKUP($AR325,'O_MN, PE_UTA_UGM 2024'!$E$3:$O$419,BC$6),"")</f>
        <v/>
      </c>
      <c r="BD325" s="1424" t="str">
        <f aca="false">IF($AT325&gt;0,VLOOKUP($AR325,'O_MN, PE_UTA_UGM 2024'!$E$3:$O$419,BD$6),"")</f>
        <v/>
      </c>
      <c r="BE325" s="1424" t="str">
        <f aca="false">IF($AT325&gt;0,VLOOKUP($AR325,'O_MN, PE_UTA_UGM 2024'!$E$3:$O$419,BE$6),"")</f>
        <v/>
      </c>
      <c r="BF325" s="1424" t="str">
        <f aca="false">IF($AT325&gt;0,VLOOKUP($AR325,'O_MN, PE_UTA_UGM 2024'!$E$3:$O$419,BF$6),"")</f>
        <v/>
      </c>
      <c r="BG325" s="1424" t="str">
        <f aca="false">IF($AT325&gt;0,VLOOKUP($AR325,'O_MN, PE_UTA_UGM 2024'!$E$3:$O$419,BG$6),"")</f>
        <v/>
      </c>
      <c r="BH325" s="872"/>
      <c r="BI325" s="872"/>
      <c r="BJ325" s="872"/>
      <c r="BK325" s="872"/>
      <c r="BM325" s="1411"/>
      <c r="BN325" s="1411"/>
      <c r="BO325" s="1425" t="str">
        <f aca="false">IF(ISNUMBER($AU325*BB325*1),$AU325*BB325*1,"")</f>
        <v/>
      </c>
      <c r="BP325" s="1425" t="str">
        <f aca="false">IF(ISNUMBER($AV325*BC325*1),$AV325*BC325*1,"")</f>
        <v/>
      </c>
      <c r="BQ325" s="1425" t="str">
        <f aca="false">IF(ISNUMBER($AU325*BD325*1),$AU325*BD325*1,"")</f>
        <v/>
      </c>
      <c r="BR325" s="1425" t="str">
        <f aca="false">IF(ISNUMBER($AV325*BE325*1),$AV325*BE325*1,"")</f>
        <v/>
      </c>
      <c r="BS325" s="1411" t="str">
        <f aca="false">IF(ISNUMBER($AU325*BF325),$AU325*BF325,"")</f>
        <v/>
      </c>
      <c r="BT325" s="1411" t="str">
        <f aca="false">IF(ISNUMBER($AV325*BG325),$AV325*BG325,"")</f>
        <v/>
      </c>
      <c r="BU325" s="1411"/>
      <c r="BV325" s="1411"/>
      <c r="BW325" s="1411"/>
      <c r="BX325" s="1411"/>
      <c r="BZ325" s="1372"/>
      <c r="CA325" s="1372"/>
      <c r="CB325" s="1426" t="str">
        <f aca="false">IF(ISNUMBER($AW325*BB325),$AW325*BB325,"")</f>
        <v/>
      </c>
      <c r="CC325" s="1426" t="str">
        <f aca="false">IF(ISNUMBER($AX325*BC325),$AX325*BC325,"")</f>
        <v/>
      </c>
      <c r="CD325" s="1426" t="str">
        <f aca="false">IF(ISNUMBER($AW325*BD325),$AW325*BD325,"")</f>
        <v/>
      </c>
      <c r="CE325" s="1426" t="str">
        <f aca="false">IF(ISNUMBER($AX325*BE325),$AX325*BE325,"")</f>
        <v/>
      </c>
      <c r="CF325" s="1372" t="str">
        <f aca="false">IF(ISNUMBER($AW325*BF325),$AW325*BF325,"")</f>
        <v/>
      </c>
      <c r="CG325" s="1372" t="str">
        <f aca="false">IF(ISNUMBER($AX325*BG325),$AX325*BG325,"")</f>
        <v/>
      </c>
      <c r="CH325" s="1438"/>
      <c r="CI325" s="1438"/>
      <c r="CJ325" s="1438"/>
      <c r="CK325" s="1438"/>
      <c r="CU325" s="1411"/>
      <c r="CV325" s="1411"/>
      <c r="CW325" s="1425"/>
      <c r="CX325" s="1425"/>
      <c r="CY325" s="1425"/>
      <c r="CZ325" s="1425"/>
      <c r="DA325" s="1411"/>
      <c r="DB325" s="1411"/>
      <c r="DC325" s="1411"/>
      <c r="DD325" s="1411"/>
      <c r="DE325" s="1411"/>
      <c r="DF325" s="1411"/>
      <c r="DH325" s="1432"/>
      <c r="DI325" s="1432"/>
      <c r="DJ325" s="1437"/>
      <c r="DK325" s="1437"/>
      <c r="DL325" s="1437"/>
      <c r="DM325" s="1437"/>
      <c r="DN325" s="1432"/>
      <c r="DO325" s="1432"/>
      <c r="DP325" s="1432"/>
      <c r="DQ325" s="1432"/>
      <c r="DR325" s="1432"/>
      <c r="DS325" s="1432"/>
      <c r="DT325" s="1316"/>
      <c r="DU325" s="1433"/>
      <c r="DV325" s="1433"/>
      <c r="DW325" s="1433"/>
      <c r="DX325" s="1433"/>
      <c r="DY325" s="1433"/>
      <c r="DZ325" s="1433"/>
      <c r="EA325" s="1433"/>
      <c r="EB325" s="1433"/>
    </row>
    <row r="326" customFormat="false" ht="14.25" hidden="false" customHeight="false" outlineLevel="0" collapsed="false">
      <c r="A326" s="2" t="n">
        <f aca="false">'V_DATOS PAC_SGA'!R321</f>
        <v>0</v>
      </c>
      <c r="B326" s="2" t="n">
        <f aca="false">IF(I326="IV",CONCATENATE('V_DATOS PAC_SGA'!R321,"4")+0,CONCATENATE('V_DATOS PAC_SGA'!R321,"0")+0)</f>
        <v>0</v>
      </c>
      <c r="C326" s="2" t="n">
        <f aca="false">'V_DATOS PAC_SGA'!S321</f>
        <v>0</v>
      </c>
      <c r="D326" s="1409" t="n">
        <f aca="false">'V_DATOS PAC_SGA'!Y321</f>
        <v>0</v>
      </c>
      <c r="E326" s="1410" t="str">
        <f aca="false">IF('V_DATOS PAC_SGA'!AV321="","Regadio",'V_DATOS PAC_SGA'!AV321)</f>
        <v>Regadio</v>
      </c>
      <c r="F326" s="1411" t="n">
        <f aca="false">'V_DATOS PAC_SGA'!BK321</f>
        <v>0</v>
      </c>
      <c r="G326" s="1412" t="n">
        <f aca="false">'V_DATOS PAC_SGA'!AN321</f>
        <v>0</v>
      </c>
      <c r="H326" s="1413" t="str">
        <f aca="false">IF(B326&gt;0,VLOOKUP(B326,'O_MN, PE_UTA_UGM 2024'!E$3:O$419,10),"")</f>
        <v/>
      </c>
      <c r="I326" s="1359" t="n">
        <f aca="false">'V_DATOS PAC_SGA'!BV321</f>
        <v>0</v>
      </c>
      <c r="J326" s="2" t="str">
        <f aca="false">IF(AND(J$4=$G326,J$6=$F326),$D326*J$5,"")</f>
        <v/>
      </c>
      <c r="K326" s="2" t="str">
        <f aca="false">IF(AND(K$4=$G326,K$6=$F326),$D326*K$5,"")</f>
        <v/>
      </c>
      <c r="L326" s="2" t="str">
        <f aca="false">IF(AND(L$4=$G326,L$6=$F326),$D326*L$5,"")</f>
        <v/>
      </c>
      <c r="M326" s="2" t="str">
        <f aca="false">IF(AND(M$4=$G326,M$6=$F326),$D326*M$5,"")</f>
        <v/>
      </c>
      <c r="N326" s="1414" t="n">
        <f aca="false">VLOOKUP(B326,'O_MN, PE_UTA_UGM 2024'!$E$2:$K$419,IF(G326&gt;1,6,7))</f>
        <v>0</v>
      </c>
      <c r="O326" s="1434" t="str">
        <f aca="false">IF($H326=O$4,$D326*$N326,"")</f>
        <v/>
      </c>
      <c r="P326" s="1435" t="str">
        <f aca="false">IF($H326=P$4,$D326*$N326,"")</f>
        <v/>
      </c>
      <c r="Q326" s="1435" t="str">
        <f aca="false">IF($H326=Q$4,$D326*$N326,"")</f>
        <v/>
      </c>
      <c r="R326" s="1435" t="str">
        <f aca="false">IF($H326=R$4,$D326*$N326,"")</f>
        <v/>
      </c>
      <c r="S326" s="1435" t="str">
        <f aca="false">IF($H326=S$4,$D326*$N326,"")</f>
        <v/>
      </c>
      <c r="T326" s="1435" t="str">
        <f aca="false">IF($H326=T$4,$D326*$N326,"")</f>
        <v/>
      </c>
      <c r="U326" s="1436" t="str">
        <f aca="false">IF($H326=U$4,$D326*$N326,"")</f>
        <v/>
      </c>
      <c r="V326" s="1472"/>
      <c r="W326" s="1471"/>
      <c r="X326" s="1471"/>
      <c r="Y326" s="1471"/>
      <c r="Z326" s="1471"/>
      <c r="AA326" s="1471"/>
      <c r="AB326" s="1473"/>
      <c r="AC326" s="1319"/>
      <c r="AD326" s="2" t="str">
        <f aca="false">IF(AND(AD$4=$G326,AD$6=$F326),$B326,"")</f>
        <v/>
      </c>
      <c r="AE326" s="2" t="str">
        <f aca="false">IF(AND(AE$4=$G326,AE$6=$F326),$B326,"")</f>
        <v/>
      </c>
      <c r="AF326" s="2" t="str">
        <f aca="false">IF(AND(AF$4=$G326,AF$6=$F326),$B326,"")</f>
        <v/>
      </c>
      <c r="AG326" s="2" t="str">
        <f aca="false">IF(AND(AG$4=$G326,AG$6=$F326),$B326,"")</f>
        <v/>
      </c>
      <c r="AI326" s="366"/>
      <c r="AL326" s="367"/>
      <c r="AO326" s="367"/>
      <c r="AP326" s="2" t="str">
        <f aca="false">IF(AT326&gt;0,RANK(AT326,AT$7:AT$423),"")</f>
        <v/>
      </c>
      <c r="AQ326" s="1475" t="n">
        <f aca="false">'O_MN, PE_UTA_UGM 2024'!C322</f>
        <v>348</v>
      </c>
      <c r="AR326" s="1421" t="n">
        <v>3240</v>
      </c>
      <c r="AS326" s="2" t="str">
        <f aca="false">IF(AY326&lt;&gt;"",AY326,"")</f>
        <v/>
      </c>
      <c r="AT326" s="1422" t="n">
        <f aca="false">IF(ISNUMBER($AR326),SUMIF(B$7:B$505,AR326,D$7:D$505),"")</f>
        <v>0</v>
      </c>
      <c r="AU326" s="1411" t="n">
        <f aca="false">IF(ISNUMBER($AR326),SUMIF(AD$7:AD$503,$AR326,J$7:J$503),"")</f>
        <v>0</v>
      </c>
      <c r="AV326" s="1411" t="n">
        <f aca="false">IF(ISNUMBER($AR326),SUMIF(AF$7:AF$503,$AR326,L$7:L$503),"")</f>
        <v>0</v>
      </c>
      <c r="AW326" s="1423" t="n">
        <f aca="false">IF(ISNUMBER($AR326),SUMIF(AE$7:AE$503,$AR326,K$7:K$503),"")</f>
        <v>0</v>
      </c>
      <c r="AX326" s="1423" t="n">
        <f aca="false">IF(ISNUMBER($AR326),SUMIF(AG$7:AG$503,$AR326,M$7:M$503),"")</f>
        <v>0</v>
      </c>
      <c r="AY326" s="2" t="str">
        <f aca="false">IF($AT326&gt;0,VLOOKUP($AR326,'O_MN, PE_UTA_UGM 2024'!E322:O738,2),"")</f>
        <v/>
      </c>
      <c r="AZ326" s="1424"/>
      <c r="BA326" s="1424"/>
      <c r="BB326" s="1424" t="str">
        <f aca="false">IF($AT326&gt;0,VLOOKUP($AR326,'O_MN, PE_UTA_UGM 2024'!$E$3:$O$419,BB$6),"")</f>
        <v/>
      </c>
      <c r="BC326" s="1424" t="str">
        <f aca="false">IF($AT326&gt;0,VLOOKUP($AR326,'O_MN, PE_UTA_UGM 2024'!$E$3:$O$419,BC$6),"")</f>
        <v/>
      </c>
      <c r="BD326" s="1424" t="str">
        <f aca="false">IF($AT326&gt;0,VLOOKUP($AR326,'O_MN, PE_UTA_UGM 2024'!$E$3:$O$419,BD$6),"")</f>
        <v/>
      </c>
      <c r="BE326" s="1424" t="str">
        <f aca="false">IF($AT326&gt;0,VLOOKUP($AR326,'O_MN, PE_UTA_UGM 2024'!$E$3:$O$419,BE$6),"")</f>
        <v/>
      </c>
      <c r="BF326" s="1424" t="str">
        <f aca="false">IF($AT326&gt;0,VLOOKUP($AR326,'O_MN, PE_UTA_UGM 2024'!$E$3:$O$419,BF$6),"")</f>
        <v/>
      </c>
      <c r="BG326" s="1424" t="str">
        <f aca="false">IF($AT326&gt;0,VLOOKUP($AR326,'O_MN, PE_UTA_UGM 2024'!$E$3:$O$419,BG$6),"")</f>
        <v/>
      </c>
      <c r="BH326" s="872"/>
      <c r="BI326" s="872"/>
      <c r="BJ326" s="872"/>
      <c r="BK326" s="872"/>
      <c r="BM326" s="1411"/>
      <c r="BN326" s="1411"/>
      <c r="BO326" s="1425" t="str">
        <f aca="false">IF(ISNUMBER($AU326*BB326*1),$AU326*BB326*1,"")</f>
        <v/>
      </c>
      <c r="BP326" s="1425" t="str">
        <f aca="false">IF(ISNUMBER($AV326*BC326*1),$AV326*BC326*1,"")</f>
        <v/>
      </c>
      <c r="BQ326" s="1425" t="str">
        <f aca="false">IF(ISNUMBER($AU326*BD326*1),$AU326*BD326*1,"")</f>
        <v/>
      </c>
      <c r="BR326" s="1425" t="str">
        <f aca="false">IF(ISNUMBER($AV326*BE326*1),$AV326*BE326*1,"")</f>
        <v/>
      </c>
      <c r="BS326" s="1411" t="str">
        <f aca="false">IF(ISNUMBER($AU326*BF326),$AU326*BF326,"")</f>
        <v/>
      </c>
      <c r="BT326" s="1411" t="str">
        <f aca="false">IF(ISNUMBER($AV326*BG326),$AV326*BG326,"")</f>
        <v/>
      </c>
      <c r="BU326" s="1411"/>
      <c r="BV326" s="1411"/>
      <c r="BW326" s="1411"/>
      <c r="BX326" s="1411"/>
      <c r="BZ326" s="1372"/>
      <c r="CA326" s="1372"/>
      <c r="CB326" s="1426" t="str">
        <f aca="false">IF(ISNUMBER($AW326*BB326),$AW326*BB326,"")</f>
        <v/>
      </c>
      <c r="CC326" s="1426" t="str">
        <f aca="false">IF(ISNUMBER($AX326*BC326),$AX326*BC326,"")</f>
        <v/>
      </c>
      <c r="CD326" s="1426" t="str">
        <f aca="false">IF(ISNUMBER($AW326*BD326),$AW326*BD326,"")</f>
        <v/>
      </c>
      <c r="CE326" s="1426" t="str">
        <f aca="false">IF(ISNUMBER($AX326*BE326),$AX326*BE326,"")</f>
        <v/>
      </c>
      <c r="CF326" s="1372" t="str">
        <f aca="false">IF(ISNUMBER($AW326*BF326),$AW326*BF326,"")</f>
        <v/>
      </c>
      <c r="CG326" s="1372" t="str">
        <f aca="false">IF(ISNUMBER($AX326*BG326),$AX326*BG326,"")</f>
        <v/>
      </c>
      <c r="CH326" s="1438"/>
      <c r="CI326" s="1438"/>
      <c r="CJ326" s="1438"/>
      <c r="CK326" s="1438"/>
      <c r="CU326" s="1411"/>
      <c r="CV326" s="1411"/>
      <c r="CW326" s="1425"/>
      <c r="CX326" s="1425"/>
      <c r="CY326" s="1425"/>
      <c r="CZ326" s="1425"/>
      <c r="DA326" s="1411"/>
      <c r="DB326" s="1411"/>
      <c r="DC326" s="1411"/>
      <c r="DD326" s="1411"/>
      <c r="DE326" s="1411"/>
      <c r="DF326" s="1411"/>
      <c r="DH326" s="1432"/>
      <c r="DI326" s="1432"/>
      <c r="DJ326" s="1437"/>
      <c r="DK326" s="1437"/>
      <c r="DL326" s="1437"/>
      <c r="DM326" s="1437"/>
      <c r="DN326" s="1432"/>
      <c r="DO326" s="1432"/>
      <c r="DP326" s="1432"/>
      <c r="DQ326" s="1432"/>
      <c r="DR326" s="1432"/>
      <c r="DS326" s="1432"/>
      <c r="DT326" s="1316"/>
      <c r="DU326" s="1433"/>
      <c r="DV326" s="1433"/>
      <c r="DW326" s="1433"/>
      <c r="DX326" s="1433"/>
      <c r="DY326" s="1433"/>
      <c r="DZ326" s="1433"/>
      <c r="EA326" s="1433"/>
      <c r="EB326" s="1433"/>
    </row>
    <row r="327" customFormat="false" ht="14.25" hidden="false" customHeight="false" outlineLevel="0" collapsed="false">
      <c r="A327" s="2" t="n">
        <f aca="false">'V_DATOS PAC_SGA'!R322</f>
        <v>0</v>
      </c>
      <c r="B327" s="2" t="n">
        <f aca="false">IF(I327="IV",CONCATENATE('V_DATOS PAC_SGA'!R322,"4")+0,CONCATENATE('V_DATOS PAC_SGA'!R322,"0")+0)</f>
        <v>0</v>
      </c>
      <c r="C327" s="2" t="n">
        <f aca="false">'V_DATOS PAC_SGA'!S322</f>
        <v>0</v>
      </c>
      <c r="D327" s="1409" t="n">
        <f aca="false">'V_DATOS PAC_SGA'!Y322</f>
        <v>0</v>
      </c>
      <c r="E327" s="1410" t="str">
        <f aca="false">IF('V_DATOS PAC_SGA'!AV322="","Regadio",'V_DATOS PAC_SGA'!AV322)</f>
        <v>Regadio</v>
      </c>
      <c r="F327" s="1411" t="n">
        <f aca="false">'V_DATOS PAC_SGA'!BK322</f>
        <v>0</v>
      </c>
      <c r="G327" s="1412" t="n">
        <f aca="false">'V_DATOS PAC_SGA'!AN322</f>
        <v>0</v>
      </c>
      <c r="H327" s="1413" t="str">
        <f aca="false">IF(B327&gt;0,VLOOKUP(B327,'O_MN, PE_UTA_UGM 2024'!E$3:O$419,10),"")</f>
        <v/>
      </c>
      <c r="I327" s="1359" t="n">
        <f aca="false">'V_DATOS PAC_SGA'!BV322</f>
        <v>0</v>
      </c>
      <c r="J327" s="2" t="str">
        <f aca="false">IF(AND(J$4=$G327,J$6=$F327),$D327*J$5,"")</f>
        <v/>
      </c>
      <c r="K327" s="2" t="str">
        <f aca="false">IF(AND(K$4=$G327,K$6=$F327),$D327*K$5,"")</f>
        <v/>
      </c>
      <c r="L327" s="2" t="str">
        <f aca="false">IF(AND(L$4=$G327,L$6=$F327),$D327*L$5,"")</f>
        <v/>
      </c>
      <c r="M327" s="2" t="str">
        <f aca="false">IF(AND(M$4=$G327,M$6=$F327),$D327*M$5,"")</f>
        <v/>
      </c>
      <c r="N327" s="1414" t="n">
        <f aca="false">VLOOKUP(B327,'O_MN, PE_UTA_UGM 2024'!$E$2:$K$419,IF(G327&gt;1,6,7))</f>
        <v>0</v>
      </c>
      <c r="O327" s="1434" t="str">
        <f aca="false">IF($H327=O$4,$D327*$N327,"")</f>
        <v/>
      </c>
      <c r="P327" s="1435" t="str">
        <f aca="false">IF($H327=P$4,$D327*$N327,"")</f>
        <v/>
      </c>
      <c r="Q327" s="1435" t="str">
        <f aca="false">IF($H327=Q$4,$D327*$N327,"")</f>
        <v/>
      </c>
      <c r="R327" s="1435" t="str">
        <f aca="false">IF($H327=R$4,$D327*$N327,"")</f>
        <v/>
      </c>
      <c r="S327" s="1435" t="str">
        <f aca="false">IF($H327=S$4,$D327*$N327,"")</f>
        <v/>
      </c>
      <c r="T327" s="1435" t="str">
        <f aca="false">IF($H327=T$4,$D327*$N327,"")</f>
        <v/>
      </c>
      <c r="U327" s="1436" t="str">
        <f aca="false">IF($H327=U$4,$D327*$N327,"")</f>
        <v/>
      </c>
      <c r="V327" s="1472"/>
      <c r="W327" s="1471"/>
      <c r="X327" s="1471"/>
      <c r="Y327" s="1471"/>
      <c r="Z327" s="1471"/>
      <c r="AA327" s="1471"/>
      <c r="AB327" s="1473"/>
      <c r="AC327" s="1319"/>
      <c r="AD327" s="2" t="str">
        <f aca="false">IF(AND(AD$4=$G327,AD$6=$F327),$B327,"")</f>
        <v/>
      </c>
      <c r="AE327" s="2" t="str">
        <f aca="false">IF(AND(AE$4=$G327,AE$6=$F327),$B327,"")</f>
        <v/>
      </c>
      <c r="AF327" s="2" t="str">
        <f aca="false">IF(AND(AF$4=$G327,AF$6=$F327),$B327,"")</f>
        <v/>
      </c>
      <c r="AG327" s="2" t="str">
        <f aca="false">IF(AND(AG$4=$G327,AG$6=$F327),$B327,"")</f>
        <v/>
      </c>
      <c r="AI327" s="366"/>
      <c r="AL327" s="367"/>
      <c r="AO327" s="367"/>
      <c r="AP327" s="2" t="str">
        <f aca="false">IF(AT327&gt;0,RANK(AT327,AT$7:AT$423),"")</f>
        <v/>
      </c>
      <c r="AQ327" s="1475" t="n">
        <f aca="false">'O_MN, PE_UTA_UGM 2024'!C323</f>
        <v>349</v>
      </c>
      <c r="AR327" s="1421" t="n">
        <v>3250</v>
      </c>
      <c r="AS327" s="2" t="str">
        <f aca="false">IF(AY327&lt;&gt;"",AY327,"")</f>
        <v/>
      </c>
      <c r="AT327" s="1422" t="n">
        <f aca="false">IF(ISNUMBER($AR327),SUMIF(B$7:B$505,AR327,D$7:D$505),"")</f>
        <v>0</v>
      </c>
      <c r="AU327" s="1411" t="n">
        <f aca="false">IF(ISNUMBER($AR327),SUMIF(AD$7:AD$503,$AR327,J$7:J$503),"")</f>
        <v>0</v>
      </c>
      <c r="AV327" s="1411" t="n">
        <f aca="false">IF(ISNUMBER($AR327),SUMIF(AF$7:AF$503,$AR327,L$7:L$503),"")</f>
        <v>0</v>
      </c>
      <c r="AW327" s="1423" t="n">
        <f aca="false">IF(ISNUMBER($AR327),SUMIF(AE$7:AE$503,$AR327,K$7:K$503),"")</f>
        <v>0</v>
      </c>
      <c r="AX327" s="1423" t="n">
        <f aca="false">IF(ISNUMBER($AR327),SUMIF(AG$7:AG$503,$AR327,M$7:M$503),"")</f>
        <v>0</v>
      </c>
      <c r="AY327" s="2" t="str">
        <f aca="false">IF($AT327&gt;0,VLOOKUP($AR327,'O_MN, PE_UTA_UGM 2024'!E323:O739,2),"")</f>
        <v/>
      </c>
      <c r="AZ327" s="1424"/>
      <c r="BA327" s="1424"/>
      <c r="BB327" s="1424" t="str">
        <f aca="false">IF($AT327&gt;0,VLOOKUP($AR327,'O_MN, PE_UTA_UGM 2024'!$E$3:$O$419,BB$6),"")</f>
        <v/>
      </c>
      <c r="BC327" s="1424" t="str">
        <f aca="false">IF($AT327&gt;0,VLOOKUP($AR327,'O_MN, PE_UTA_UGM 2024'!$E$3:$O$419,BC$6),"")</f>
        <v/>
      </c>
      <c r="BD327" s="1424" t="str">
        <f aca="false">IF($AT327&gt;0,VLOOKUP($AR327,'O_MN, PE_UTA_UGM 2024'!$E$3:$O$419,BD$6),"")</f>
        <v/>
      </c>
      <c r="BE327" s="1424" t="str">
        <f aca="false">IF($AT327&gt;0,VLOOKUP($AR327,'O_MN, PE_UTA_UGM 2024'!$E$3:$O$419,BE$6),"")</f>
        <v/>
      </c>
      <c r="BF327" s="1424" t="str">
        <f aca="false">IF($AT327&gt;0,VLOOKUP($AR327,'O_MN, PE_UTA_UGM 2024'!$E$3:$O$419,BF$6),"")</f>
        <v/>
      </c>
      <c r="BG327" s="1424" t="str">
        <f aca="false">IF($AT327&gt;0,VLOOKUP($AR327,'O_MN, PE_UTA_UGM 2024'!$E$3:$O$419,BG$6),"")</f>
        <v/>
      </c>
      <c r="BH327" s="872"/>
      <c r="BI327" s="872"/>
      <c r="BJ327" s="872"/>
      <c r="BK327" s="872"/>
      <c r="BM327" s="1411"/>
      <c r="BN327" s="1411"/>
      <c r="BO327" s="1425" t="str">
        <f aca="false">IF(ISNUMBER($AU327*BB327*1),$AU327*BB327*1,"")</f>
        <v/>
      </c>
      <c r="BP327" s="1425" t="str">
        <f aca="false">IF(ISNUMBER($AV327*BC327*1),$AV327*BC327*1,"")</f>
        <v/>
      </c>
      <c r="BQ327" s="1425" t="str">
        <f aca="false">IF(ISNUMBER($AU327*BD327*1),$AU327*BD327*1,"")</f>
        <v/>
      </c>
      <c r="BR327" s="1425" t="str">
        <f aca="false">IF(ISNUMBER($AV327*BE327*1),$AV327*BE327*1,"")</f>
        <v/>
      </c>
      <c r="BS327" s="1411" t="str">
        <f aca="false">IF(ISNUMBER($AU327*BF327),$AU327*BF327,"")</f>
        <v/>
      </c>
      <c r="BT327" s="1411" t="str">
        <f aca="false">IF(ISNUMBER($AV327*BG327),$AV327*BG327,"")</f>
        <v/>
      </c>
      <c r="BU327" s="1411"/>
      <c r="BV327" s="1411"/>
      <c r="BW327" s="1411"/>
      <c r="BX327" s="1411"/>
      <c r="BZ327" s="1372"/>
      <c r="CA327" s="1372"/>
      <c r="CB327" s="1426" t="str">
        <f aca="false">IF(ISNUMBER($AW327*BB327),$AW327*BB327,"")</f>
        <v/>
      </c>
      <c r="CC327" s="1426" t="str">
        <f aca="false">IF(ISNUMBER($AX327*BC327),$AX327*BC327,"")</f>
        <v/>
      </c>
      <c r="CD327" s="1426" t="str">
        <f aca="false">IF(ISNUMBER($AW327*BD327),$AW327*BD327,"")</f>
        <v/>
      </c>
      <c r="CE327" s="1426" t="str">
        <f aca="false">IF(ISNUMBER($AX327*BE327),$AX327*BE327,"")</f>
        <v/>
      </c>
      <c r="CF327" s="1372" t="str">
        <f aca="false">IF(ISNUMBER($AW327*BF327),$AW327*BF327,"")</f>
        <v/>
      </c>
      <c r="CG327" s="1372" t="str">
        <f aca="false">IF(ISNUMBER($AX327*BG327),$AX327*BG327,"")</f>
        <v/>
      </c>
      <c r="CH327" s="1438"/>
      <c r="CI327" s="1438"/>
      <c r="CJ327" s="1438"/>
      <c r="CK327" s="1438"/>
      <c r="CU327" s="1411"/>
      <c r="CV327" s="1411"/>
      <c r="CW327" s="1425"/>
      <c r="CX327" s="1425"/>
      <c r="CY327" s="1425"/>
      <c r="CZ327" s="1425"/>
      <c r="DA327" s="1411"/>
      <c r="DB327" s="1411"/>
      <c r="DC327" s="1411"/>
      <c r="DD327" s="1411"/>
      <c r="DE327" s="1411"/>
      <c r="DF327" s="1411"/>
      <c r="DH327" s="1432"/>
      <c r="DI327" s="1432"/>
      <c r="DJ327" s="1437"/>
      <c r="DK327" s="1437"/>
      <c r="DL327" s="1437"/>
      <c r="DM327" s="1437"/>
      <c r="DN327" s="1432"/>
      <c r="DO327" s="1432"/>
      <c r="DP327" s="1432"/>
      <c r="DQ327" s="1432"/>
      <c r="DR327" s="1432"/>
      <c r="DS327" s="1432"/>
      <c r="DT327" s="1316"/>
      <c r="DU327" s="1433"/>
      <c r="DV327" s="1433"/>
      <c r="DW327" s="1433"/>
      <c r="DX327" s="1433"/>
      <c r="DY327" s="1433"/>
      <c r="DZ327" s="1433"/>
      <c r="EA327" s="1433"/>
      <c r="EB327" s="1433"/>
    </row>
    <row r="328" customFormat="false" ht="14.25" hidden="false" customHeight="false" outlineLevel="0" collapsed="false">
      <c r="A328" s="2" t="n">
        <f aca="false">'V_DATOS PAC_SGA'!R323</f>
        <v>0</v>
      </c>
      <c r="B328" s="2" t="n">
        <f aca="false">IF(I328="IV",CONCATENATE('V_DATOS PAC_SGA'!R323,"4")+0,CONCATENATE('V_DATOS PAC_SGA'!R323,"0")+0)</f>
        <v>0</v>
      </c>
      <c r="C328" s="2" t="n">
        <f aca="false">'V_DATOS PAC_SGA'!S323</f>
        <v>0</v>
      </c>
      <c r="D328" s="1409" t="n">
        <f aca="false">'V_DATOS PAC_SGA'!Y323</f>
        <v>0</v>
      </c>
      <c r="E328" s="1410" t="str">
        <f aca="false">IF('V_DATOS PAC_SGA'!AV323="","Regadio",'V_DATOS PAC_SGA'!AV323)</f>
        <v>Regadio</v>
      </c>
      <c r="F328" s="1411" t="n">
        <f aca="false">'V_DATOS PAC_SGA'!BK323</f>
        <v>0</v>
      </c>
      <c r="G328" s="1412" t="n">
        <f aca="false">'V_DATOS PAC_SGA'!AN323</f>
        <v>0</v>
      </c>
      <c r="H328" s="1413" t="str">
        <f aca="false">IF(B328&gt;0,VLOOKUP(B328,'O_MN, PE_UTA_UGM 2024'!E$3:O$419,10),"")</f>
        <v/>
      </c>
      <c r="I328" s="1359" t="n">
        <f aca="false">'V_DATOS PAC_SGA'!BV323</f>
        <v>0</v>
      </c>
      <c r="J328" s="2" t="str">
        <f aca="false">IF(AND(J$4=$G328,J$6=$F328),$D328*J$5,"")</f>
        <v/>
      </c>
      <c r="K328" s="2" t="str">
        <f aca="false">IF(AND(K$4=$G328,K$6=$F328),$D328*K$5,"")</f>
        <v/>
      </c>
      <c r="L328" s="2" t="str">
        <f aca="false">IF(AND(L$4=$G328,L$6=$F328),$D328*L$5,"")</f>
        <v/>
      </c>
      <c r="M328" s="2" t="str">
        <f aca="false">IF(AND(M$4=$G328,M$6=$F328),$D328*M$5,"")</f>
        <v/>
      </c>
      <c r="N328" s="1414" t="n">
        <f aca="false">VLOOKUP(B328,'O_MN, PE_UTA_UGM 2024'!$E$2:$K$419,IF(G328&gt;1,6,7))</f>
        <v>0</v>
      </c>
      <c r="O328" s="1434" t="str">
        <f aca="false">IF($H328=O$4,$D328*$N328,"")</f>
        <v/>
      </c>
      <c r="P328" s="1435" t="str">
        <f aca="false">IF($H328=P$4,$D328*$N328,"")</f>
        <v/>
      </c>
      <c r="Q328" s="1435" t="str">
        <f aca="false">IF($H328=Q$4,$D328*$N328,"")</f>
        <v/>
      </c>
      <c r="R328" s="1435" t="str">
        <f aca="false">IF($H328=R$4,$D328*$N328,"")</f>
        <v/>
      </c>
      <c r="S328" s="1435" t="str">
        <f aca="false">IF($H328=S$4,$D328*$N328,"")</f>
        <v/>
      </c>
      <c r="T328" s="1435" t="str">
        <f aca="false">IF($H328=T$4,$D328*$N328,"")</f>
        <v/>
      </c>
      <c r="U328" s="1436" t="str">
        <f aca="false">IF($H328=U$4,$D328*$N328,"")</f>
        <v/>
      </c>
      <c r="V328" s="1472"/>
      <c r="W328" s="1471"/>
      <c r="X328" s="1471"/>
      <c r="Y328" s="1471"/>
      <c r="Z328" s="1471"/>
      <c r="AA328" s="1471"/>
      <c r="AB328" s="1473"/>
      <c r="AC328" s="1319"/>
      <c r="AD328" s="2" t="str">
        <f aca="false">IF(AND(AD$4=$G328,AD$6=$F328),$B328,"")</f>
        <v/>
      </c>
      <c r="AE328" s="2" t="str">
        <f aca="false">IF(AND(AE$4=$G328,AE$6=$F328),$B328,"")</f>
        <v/>
      </c>
      <c r="AF328" s="2" t="str">
        <f aca="false">IF(AND(AF$4=$G328,AF$6=$F328),$B328,"")</f>
        <v/>
      </c>
      <c r="AG328" s="2" t="str">
        <f aca="false">IF(AND(AG$4=$G328,AG$6=$F328),$B328,"")</f>
        <v/>
      </c>
      <c r="AI328" s="366"/>
      <c r="AL328" s="367"/>
      <c r="AO328" s="367"/>
      <c r="AP328" s="2" t="str">
        <f aca="false">IF(AT328&gt;0,RANK(AT328,AT$7:AT$423),"")</f>
        <v/>
      </c>
      <c r="AQ328" s="1475" t="n">
        <f aca="false">'O_MN, PE_UTA_UGM 2024'!C324</f>
        <v>351</v>
      </c>
      <c r="AR328" s="1421" t="n">
        <v>3280</v>
      </c>
      <c r="AS328" s="2" t="str">
        <f aca="false">IF(AY328&lt;&gt;"",AY328,"")</f>
        <v/>
      </c>
      <c r="AT328" s="1422" t="n">
        <f aca="false">IF(ISNUMBER($AR328),SUMIF(B$7:B$505,AR328,D$7:D$505),"")</f>
        <v>0</v>
      </c>
      <c r="AU328" s="1411" t="n">
        <f aca="false">IF(ISNUMBER($AR328),SUMIF(AD$7:AD$503,$AR328,J$7:J$503),"")</f>
        <v>0</v>
      </c>
      <c r="AV328" s="1411" t="n">
        <f aca="false">IF(ISNUMBER($AR328),SUMIF(AF$7:AF$503,$AR328,L$7:L$503),"")</f>
        <v>0</v>
      </c>
      <c r="AW328" s="1423" t="n">
        <f aca="false">IF(ISNUMBER($AR328),SUMIF(AE$7:AE$503,$AR328,K$7:K$503),"")</f>
        <v>0</v>
      </c>
      <c r="AX328" s="1423" t="n">
        <f aca="false">IF(ISNUMBER($AR328),SUMIF(AG$7:AG$503,$AR328,M$7:M$503),"")</f>
        <v>0</v>
      </c>
      <c r="AY328" s="2" t="str">
        <f aca="false">IF($AT328&gt;0,VLOOKUP($AR328,'O_MN, PE_UTA_UGM 2024'!E324:O740,2),"")</f>
        <v/>
      </c>
      <c r="AZ328" s="1424"/>
      <c r="BA328" s="1424"/>
      <c r="BB328" s="1424" t="str">
        <f aca="false">IF($AT328&gt;0,VLOOKUP($AR328,'O_MN, PE_UTA_UGM 2024'!$E$3:$O$419,BB$6),"")</f>
        <v/>
      </c>
      <c r="BC328" s="1424" t="str">
        <f aca="false">IF($AT328&gt;0,VLOOKUP($AR328,'O_MN, PE_UTA_UGM 2024'!$E$3:$O$419,BC$6),"")</f>
        <v/>
      </c>
      <c r="BD328" s="1424" t="str">
        <f aca="false">IF($AT328&gt;0,VLOOKUP($AR328,'O_MN, PE_UTA_UGM 2024'!$E$3:$O$419,BD$6),"")</f>
        <v/>
      </c>
      <c r="BE328" s="1424" t="str">
        <f aca="false">IF($AT328&gt;0,VLOOKUP($AR328,'O_MN, PE_UTA_UGM 2024'!$E$3:$O$419,BE$6),"")</f>
        <v/>
      </c>
      <c r="BF328" s="1424" t="str">
        <f aca="false">IF($AT328&gt;0,VLOOKUP($AR328,'O_MN, PE_UTA_UGM 2024'!$E$3:$O$419,BF$6),"")</f>
        <v/>
      </c>
      <c r="BG328" s="1424" t="str">
        <f aca="false">IF($AT328&gt;0,VLOOKUP($AR328,'O_MN, PE_UTA_UGM 2024'!$E$3:$O$419,BG$6),"")</f>
        <v/>
      </c>
      <c r="BH328" s="872"/>
      <c r="BI328" s="872"/>
      <c r="BJ328" s="872"/>
      <c r="BK328" s="872"/>
      <c r="BM328" s="1411"/>
      <c r="BN328" s="1411"/>
      <c r="BO328" s="1425" t="str">
        <f aca="false">IF(ISNUMBER($AU328*BB328*1),$AU328*BB328*1,"")</f>
        <v/>
      </c>
      <c r="BP328" s="1425" t="str">
        <f aca="false">IF(ISNUMBER($AV328*BC328*1),$AV328*BC328*1,"")</f>
        <v/>
      </c>
      <c r="BQ328" s="1425" t="str">
        <f aca="false">IF(ISNUMBER($AU328*BD328*1),$AU328*BD328*1,"")</f>
        <v/>
      </c>
      <c r="BR328" s="1425" t="str">
        <f aca="false">IF(ISNUMBER($AV328*BE328*1),$AV328*BE328*1,"")</f>
        <v/>
      </c>
      <c r="BS328" s="1411" t="str">
        <f aca="false">IF(ISNUMBER($AU328*BF328),$AU328*BF328,"")</f>
        <v/>
      </c>
      <c r="BT328" s="1411" t="str">
        <f aca="false">IF(ISNUMBER($AV328*BG328),$AV328*BG328,"")</f>
        <v/>
      </c>
      <c r="BU328" s="1411"/>
      <c r="BV328" s="1411"/>
      <c r="BW328" s="1411"/>
      <c r="BX328" s="1411"/>
      <c r="BZ328" s="1372"/>
      <c r="CA328" s="1372"/>
      <c r="CB328" s="1426" t="str">
        <f aca="false">IF(ISNUMBER($AW328*BB328),$AW328*BB328,"")</f>
        <v/>
      </c>
      <c r="CC328" s="1426" t="str">
        <f aca="false">IF(ISNUMBER($AX328*BC328),$AX328*BC328,"")</f>
        <v/>
      </c>
      <c r="CD328" s="1426" t="str">
        <f aca="false">IF(ISNUMBER($AW328*BD328),$AW328*BD328,"")</f>
        <v/>
      </c>
      <c r="CE328" s="1426" t="str">
        <f aca="false">IF(ISNUMBER($AX328*BE328),$AX328*BE328,"")</f>
        <v/>
      </c>
      <c r="CF328" s="1372" t="str">
        <f aca="false">IF(ISNUMBER($AW328*BF328),$AW328*BF328,"")</f>
        <v/>
      </c>
      <c r="CG328" s="1372" t="str">
        <f aca="false">IF(ISNUMBER($AX328*BG328),$AX328*BG328,"")</f>
        <v/>
      </c>
      <c r="CH328" s="1438"/>
      <c r="CI328" s="1438"/>
      <c r="CJ328" s="1438"/>
      <c r="CK328" s="1438"/>
      <c r="CU328" s="1411"/>
      <c r="CV328" s="1411"/>
      <c r="CW328" s="1425"/>
      <c r="CX328" s="1425"/>
      <c r="CY328" s="1425"/>
      <c r="CZ328" s="1425"/>
      <c r="DA328" s="1411"/>
      <c r="DB328" s="1411"/>
      <c r="DC328" s="1411"/>
      <c r="DD328" s="1411"/>
      <c r="DE328" s="1411"/>
      <c r="DF328" s="1411"/>
      <c r="DH328" s="1432"/>
      <c r="DI328" s="1432"/>
      <c r="DJ328" s="1437"/>
      <c r="DK328" s="1437"/>
      <c r="DL328" s="1437"/>
      <c r="DM328" s="1437"/>
      <c r="DN328" s="1432"/>
      <c r="DO328" s="1432"/>
      <c r="DP328" s="1432"/>
      <c r="DQ328" s="1432"/>
      <c r="DR328" s="1432"/>
      <c r="DS328" s="1432"/>
      <c r="DT328" s="1316"/>
      <c r="DU328" s="1433"/>
      <c r="DV328" s="1433"/>
      <c r="DW328" s="1433"/>
      <c r="DX328" s="1433"/>
      <c r="DY328" s="1433"/>
      <c r="DZ328" s="1433"/>
      <c r="EA328" s="1433"/>
      <c r="EB328" s="1433"/>
    </row>
    <row r="329" customFormat="false" ht="14.25" hidden="false" customHeight="false" outlineLevel="0" collapsed="false">
      <c r="A329" s="2" t="n">
        <f aca="false">'V_DATOS PAC_SGA'!R324</f>
        <v>0</v>
      </c>
      <c r="B329" s="2" t="n">
        <f aca="false">IF(I329="IV",CONCATENATE('V_DATOS PAC_SGA'!R324,"4")+0,CONCATENATE('V_DATOS PAC_SGA'!R324,"0")+0)</f>
        <v>0</v>
      </c>
      <c r="C329" s="2" t="n">
        <f aca="false">'V_DATOS PAC_SGA'!S324</f>
        <v>0</v>
      </c>
      <c r="D329" s="1409" t="n">
        <f aca="false">'V_DATOS PAC_SGA'!Y324</f>
        <v>0</v>
      </c>
      <c r="E329" s="1410" t="str">
        <f aca="false">IF('V_DATOS PAC_SGA'!AV324="","Regadio",'V_DATOS PAC_SGA'!AV324)</f>
        <v>Regadio</v>
      </c>
      <c r="F329" s="1411" t="n">
        <f aca="false">'V_DATOS PAC_SGA'!BK324</f>
        <v>0</v>
      </c>
      <c r="G329" s="1412" t="n">
        <f aca="false">'V_DATOS PAC_SGA'!AN324</f>
        <v>0</v>
      </c>
      <c r="H329" s="1413" t="str">
        <f aca="false">IF(B329&gt;0,VLOOKUP(B329,'O_MN, PE_UTA_UGM 2024'!E$3:O$419,10),"")</f>
        <v/>
      </c>
      <c r="I329" s="1359" t="n">
        <f aca="false">'V_DATOS PAC_SGA'!BV324</f>
        <v>0</v>
      </c>
      <c r="J329" s="2" t="str">
        <f aca="false">IF(AND(J$4=$G329,J$6=$F329),$D329*J$5,"")</f>
        <v/>
      </c>
      <c r="K329" s="2" t="str">
        <f aca="false">IF(AND(K$4=$G329,K$6=$F329),$D329*K$5,"")</f>
        <v/>
      </c>
      <c r="L329" s="2" t="str">
        <f aca="false">IF(AND(L$4=$G329,L$6=$F329),$D329*L$5,"")</f>
        <v/>
      </c>
      <c r="M329" s="2" t="str">
        <f aca="false">IF(AND(M$4=$G329,M$6=$F329),$D329*M$5,"")</f>
        <v/>
      </c>
      <c r="N329" s="1414" t="n">
        <f aca="false">VLOOKUP(B329,'O_MN, PE_UTA_UGM 2024'!$E$2:$K$419,IF(G329&gt;1,6,7))</f>
        <v>0</v>
      </c>
      <c r="O329" s="1434" t="str">
        <f aca="false">IF($H329=O$4,$D329*$N329,"")</f>
        <v/>
      </c>
      <c r="P329" s="1435" t="str">
        <f aca="false">IF($H329=P$4,$D329*$N329,"")</f>
        <v/>
      </c>
      <c r="Q329" s="1435" t="str">
        <f aca="false">IF($H329=Q$4,$D329*$N329,"")</f>
        <v/>
      </c>
      <c r="R329" s="1435" t="str">
        <f aca="false">IF($H329=R$4,$D329*$N329,"")</f>
        <v/>
      </c>
      <c r="S329" s="1435" t="str">
        <f aca="false">IF($H329=S$4,$D329*$N329,"")</f>
        <v/>
      </c>
      <c r="T329" s="1435" t="str">
        <f aca="false">IF($H329=T$4,$D329*$N329,"")</f>
        <v/>
      </c>
      <c r="U329" s="1436" t="str">
        <f aca="false">IF($H329=U$4,$D329*$N329,"")</f>
        <v/>
      </c>
      <c r="V329" s="1472"/>
      <c r="W329" s="1471"/>
      <c r="X329" s="1471"/>
      <c r="Y329" s="1471"/>
      <c r="Z329" s="1471"/>
      <c r="AA329" s="1471"/>
      <c r="AB329" s="1473"/>
      <c r="AC329" s="1319"/>
      <c r="AD329" s="2" t="str">
        <f aca="false">IF(AND(AD$4=$G329,AD$6=$F329),$B329,"")</f>
        <v/>
      </c>
      <c r="AE329" s="2" t="str">
        <f aca="false">IF(AND(AE$4=$G329,AE$6=$F329),$B329,"")</f>
        <v/>
      </c>
      <c r="AF329" s="2" t="str">
        <f aca="false">IF(AND(AF$4=$G329,AF$6=$F329),$B329,"")</f>
        <v/>
      </c>
      <c r="AG329" s="2" t="str">
        <f aca="false">IF(AND(AG$4=$G329,AG$6=$F329),$B329,"")</f>
        <v/>
      </c>
      <c r="AI329" s="366"/>
      <c r="AL329" s="367"/>
      <c r="AO329" s="367"/>
      <c r="AP329" s="2" t="str">
        <f aca="false">IF(AT329&gt;0,RANK(AT329,AT$7:AT$423),"")</f>
        <v/>
      </c>
      <c r="AQ329" s="1475" t="n">
        <f aca="false">'O_MN, PE_UTA_UGM 2024'!C325</f>
        <v>352</v>
      </c>
      <c r="AR329" s="1421" t="n">
        <v>3290</v>
      </c>
      <c r="AS329" s="2" t="str">
        <f aca="false">IF(AY329&lt;&gt;"",AY329,"")</f>
        <v/>
      </c>
      <c r="AT329" s="1422" t="n">
        <f aca="false">IF(ISNUMBER($AR329),SUMIF(B$7:B$505,AR329,D$7:D$505),"")</f>
        <v>0</v>
      </c>
      <c r="AU329" s="1411" t="n">
        <f aca="false">IF(ISNUMBER($AR329),SUMIF(AD$7:AD$503,$AR329,J$7:J$503),"")</f>
        <v>0</v>
      </c>
      <c r="AV329" s="1411" t="n">
        <f aca="false">IF(ISNUMBER($AR329),SUMIF(AF$7:AF$503,$AR329,L$7:L$503),"")</f>
        <v>0</v>
      </c>
      <c r="AW329" s="1423" t="n">
        <f aca="false">IF(ISNUMBER($AR329),SUMIF(AE$7:AE$503,$AR329,K$7:K$503),"")</f>
        <v>0</v>
      </c>
      <c r="AX329" s="1423" t="n">
        <f aca="false">IF(ISNUMBER($AR329),SUMIF(AG$7:AG$503,$AR329,M$7:M$503),"")</f>
        <v>0</v>
      </c>
      <c r="AY329" s="2" t="str">
        <f aca="false">IF($AT329&gt;0,VLOOKUP($AR329,'O_MN, PE_UTA_UGM 2024'!E325:O741,2),"")</f>
        <v/>
      </c>
      <c r="AZ329" s="1424"/>
      <c r="BA329" s="1424"/>
      <c r="BB329" s="1424" t="str">
        <f aca="false">IF($AT329&gt;0,VLOOKUP($AR329,'O_MN, PE_UTA_UGM 2024'!$E$3:$O$419,BB$6),"")</f>
        <v/>
      </c>
      <c r="BC329" s="1424" t="str">
        <f aca="false">IF($AT329&gt;0,VLOOKUP($AR329,'O_MN, PE_UTA_UGM 2024'!$E$3:$O$419,BC$6),"")</f>
        <v/>
      </c>
      <c r="BD329" s="1424" t="str">
        <f aca="false">IF($AT329&gt;0,VLOOKUP($AR329,'O_MN, PE_UTA_UGM 2024'!$E$3:$O$419,BD$6),"")</f>
        <v/>
      </c>
      <c r="BE329" s="1424" t="str">
        <f aca="false">IF($AT329&gt;0,VLOOKUP($AR329,'O_MN, PE_UTA_UGM 2024'!$E$3:$O$419,BE$6),"")</f>
        <v/>
      </c>
      <c r="BF329" s="1424" t="str">
        <f aca="false">IF($AT329&gt;0,VLOOKUP($AR329,'O_MN, PE_UTA_UGM 2024'!$E$3:$O$419,BF$6),"")</f>
        <v/>
      </c>
      <c r="BG329" s="1424" t="str">
        <f aca="false">IF($AT329&gt;0,VLOOKUP($AR329,'O_MN, PE_UTA_UGM 2024'!$E$3:$O$419,BG$6),"")</f>
        <v/>
      </c>
      <c r="BH329" s="872"/>
      <c r="BI329" s="872"/>
      <c r="BJ329" s="872"/>
      <c r="BK329" s="872"/>
      <c r="BM329" s="1411"/>
      <c r="BN329" s="1411"/>
      <c r="BO329" s="1425" t="str">
        <f aca="false">IF(ISNUMBER($AU329*BB329*1),$AU329*BB329*1,"")</f>
        <v/>
      </c>
      <c r="BP329" s="1425" t="str">
        <f aca="false">IF(ISNUMBER($AV329*BC329*1),$AV329*BC329*1,"")</f>
        <v/>
      </c>
      <c r="BQ329" s="1425" t="str">
        <f aca="false">IF(ISNUMBER($AU329*BD329*1),$AU329*BD329*1,"")</f>
        <v/>
      </c>
      <c r="BR329" s="1425" t="str">
        <f aca="false">IF(ISNUMBER($AV329*BE329*1),$AV329*BE329*1,"")</f>
        <v/>
      </c>
      <c r="BS329" s="1411" t="str">
        <f aca="false">IF(ISNUMBER($AU329*BF329),$AU329*BF329,"")</f>
        <v/>
      </c>
      <c r="BT329" s="1411" t="str">
        <f aca="false">IF(ISNUMBER($AV329*BG329),$AV329*BG329,"")</f>
        <v/>
      </c>
      <c r="BU329" s="1411"/>
      <c r="BV329" s="1411"/>
      <c r="BW329" s="1411"/>
      <c r="BX329" s="1411"/>
      <c r="BZ329" s="1372"/>
      <c r="CA329" s="1372"/>
      <c r="CB329" s="1426" t="str">
        <f aca="false">IF(ISNUMBER($AW329*BB329),$AW329*BB329,"")</f>
        <v/>
      </c>
      <c r="CC329" s="1426" t="str">
        <f aca="false">IF(ISNUMBER($AX329*BC329),$AX329*BC329,"")</f>
        <v/>
      </c>
      <c r="CD329" s="1426" t="str">
        <f aca="false">IF(ISNUMBER($AW329*BD329),$AW329*BD329,"")</f>
        <v/>
      </c>
      <c r="CE329" s="1426" t="str">
        <f aca="false">IF(ISNUMBER($AX329*BE329),$AX329*BE329,"")</f>
        <v/>
      </c>
      <c r="CF329" s="1372" t="str">
        <f aca="false">IF(ISNUMBER($AW329*BF329),$AW329*BF329,"")</f>
        <v/>
      </c>
      <c r="CG329" s="1372" t="str">
        <f aca="false">IF(ISNUMBER($AX329*BG329),$AX329*BG329,"")</f>
        <v/>
      </c>
      <c r="CH329" s="1438"/>
      <c r="CI329" s="1438"/>
      <c r="CJ329" s="1438"/>
      <c r="CK329" s="1438"/>
      <c r="CU329" s="1411"/>
      <c r="CV329" s="1411"/>
      <c r="CW329" s="1425"/>
      <c r="CX329" s="1425"/>
      <c r="CY329" s="1425"/>
      <c r="CZ329" s="1425"/>
      <c r="DA329" s="1411"/>
      <c r="DB329" s="1411"/>
      <c r="DC329" s="1411"/>
      <c r="DD329" s="1411"/>
      <c r="DE329" s="1411"/>
      <c r="DF329" s="1411"/>
      <c r="DH329" s="1432"/>
      <c r="DI329" s="1432"/>
      <c r="DJ329" s="1437"/>
      <c r="DK329" s="1437"/>
      <c r="DL329" s="1437"/>
      <c r="DM329" s="1437"/>
      <c r="DN329" s="1432"/>
      <c r="DO329" s="1432"/>
      <c r="DP329" s="1432"/>
      <c r="DQ329" s="1432"/>
      <c r="DR329" s="1432"/>
      <c r="DS329" s="1432"/>
      <c r="DT329" s="1316"/>
      <c r="DU329" s="1433"/>
      <c r="DV329" s="1433"/>
      <c r="DW329" s="1433"/>
      <c r="DX329" s="1433"/>
      <c r="DY329" s="1433"/>
      <c r="DZ329" s="1433"/>
      <c r="EA329" s="1433"/>
      <c r="EB329" s="1433"/>
    </row>
    <row r="330" customFormat="false" ht="14.25" hidden="false" customHeight="false" outlineLevel="0" collapsed="false">
      <c r="A330" s="2" t="n">
        <f aca="false">'V_DATOS PAC_SGA'!R325</f>
        <v>0</v>
      </c>
      <c r="B330" s="2" t="n">
        <f aca="false">IF(I330="IV",CONCATENATE('V_DATOS PAC_SGA'!R325,"4")+0,CONCATENATE('V_DATOS PAC_SGA'!R325,"0")+0)</f>
        <v>0</v>
      </c>
      <c r="C330" s="2" t="n">
        <f aca="false">'V_DATOS PAC_SGA'!S325</f>
        <v>0</v>
      </c>
      <c r="D330" s="1409" t="n">
        <f aca="false">'V_DATOS PAC_SGA'!Y325</f>
        <v>0</v>
      </c>
      <c r="E330" s="1410" t="str">
        <f aca="false">IF('V_DATOS PAC_SGA'!AV325="","Regadio",'V_DATOS PAC_SGA'!AV325)</f>
        <v>Regadio</v>
      </c>
      <c r="F330" s="1411" t="n">
        <f aca="false">'V_DATOS PAC_SGA'!BK325</f>
        <v>0</v>
      </c>
      <c r="G330" s="1412" t="n">
        <f aca="false">'V_DATOS PAC_SGA'!AN325</f>
        <v>0</v>
      </c>
      <c r="H330" s="1413" t="str">
        <f aca="false">IF(B330&gt;0,VLOOKUP(B330,'O_MN, PE_UTA_UGM 2024'!E$3:O$419,10),"")</f>
        <v/>
      </c>
      <c r="I330" s="1359" t="n">
        <f aca="false">'V_DATOS PAC_SGA'!BV325</f>
        <v>0</v>
      </c>
      <c r="J330" s="2" t="str">
        <f aca="false">IF(AND(J$4=$G330,J$6=$F330),$D330*J$5,"")</f>
        <v/>
      </c>
      <c r="K330" s="2" t="str">
        <f aca="false">IF(AND(K$4=$G330,K$6=$F330),$D330*K$5,"")</f>
        <v/>
      </c>
      <c r="L330" s="2" t="str">
        <f aca="false">IF(AND(L$4=$G330,L$6=$F330),$D330*L$5,"")</f>
        <v/>
      </c>
      <c r="M330" s="2" t="str">
        <f aca="false">IF(AND(M$4=$G330,M$6=$F330),$D330*M$5,"")</f>
        <v/>
      </c>
      <c r="N330" s="1414" t="n">
        <f aca="false">VLOOKUP(B330,'O_MN, PE_UTA_UGM 2024'!$E$2:$K$419,IF(G330&gt;1,6,7))</f>
        <v>0</v>
      </c>
      <c r="O330" s="1434" t="str">
        <f aca="false">IF($H330=O$4,$D330*$N330,"")</f>
        <v/>
      </c>
      <c r="P330" s="1435" t="str">
        <f aca="false">IF($H330=P$4,$D330*$N330,"")</f>
        <v/>
      </c>
      <c r="Q330" s="1435" t="str">
        <f aca="false">IF($H330=Q$4,$D330*$N330,"")</f>
        <v/>
      </c>
      <c r="R330" s="1435" t="str">
        <f aca="false">IF($H330=R$4,$D330*$N330,"")</f>
        <v/>
      </c>
      <c r="S330" s="1435" t="str">
        <f aca="false">IF($H330=S$4,$D330*$N330,"")</f>
        <v/>
      </c>
      <c r="T330" s="1435" t="str">
        <f aca="false">IF($H330=T$4,$D330*$N330,"")</f>
        <v/>
      </c>
      <c r="U330" s="1436" t="str">
        <f aca="false">IF($H330=U$4,$D330*$N330,"")</f>
        <v/>
      </c>
      <c r="V330" s="1472"/>
      <c r="W330" s="1471"/>
      <c r="X330" s="1471"/>
      <c r="Y330" s="1471"/>
      <c r="Z330" s="1471"/>
      <c r="AA330" s="1471"/>
      <c r="AB330" s="1473"/>
      <c r="AC330" s="1319"/>
      <c r="AD330" s="2" t="str">
        <f aca="false">IF(AND(AD$4=$G330,AD$6=$F330),$B330,"")</f>
        <v/>
      </c>
      <c r="AE330" s="2" t="str">
        <f aca="false">IF(AND(AE$4=$G330,AE$6=$F330),$B330,"")</f>
        <v/>
      </c>
      <c r="AF330" s="2" t="str">
        <f aca="false">IF(AND(AF$4=$G330,AF$6=$F330),$B330,"")</f>
        <v/>
      </c>
      <c r="AG330" s="2" t="str">
        <f aca="false">IF(AND(AG$4=$G330,AG$6=$F330),$B330,"")</f>
        <v/>
      </c>
      <c r="AI330" s="366"/>
      <c r="AL330" s="367"/>
      <c r="AO330" s="367"/>
      <c r="AP330" s="2" t="str">
        <f aca="false">IF(AT330&gt;0,RANK(AT330,AT$7:AT$423),"")</f>
        <v/>
      </c>
      <c r="AQ330" s="1475" t="n">
        <f aca="false">'O_MN, PE_UTA_UGM 2024'!C326</f>
        <v>353</v>
      </c>
      <c r="AR330" s="1421" t="n">
        <v>3310</v>
      </c>
      <c r="AS330" s="2" t="str">
        <f aca="false">IF(AY330&lt;&gt;"",AY330,"")</f>
        <v/>
      </c>
      <c r="AT330" s="1422" t="n">
        <f aca="false">IF(ISNUMBER($AR330),SUMIF(B$7:B$505,AR330,D$7:D$505),"")</f>
        <v>0</v>
      </c>
      <c r="AU330" s="1411" t="n">
        <f aca="false">IF(ISNUMBER($AR330),SUMIF(AD$7:AD$503,$AR330,J$7:J$503),"")</f>
        <v>0</v>
      </c>
      <c r="AV330" s="1411" t="n">
        <f aca="false">IF(ISNUMBER($AR330),SUMIF(AF$7:AF$503,$AR330,L$7:L$503),"")</f>
        <v>0</v>
      </c>
      <c r="AW330" s="1423" t="n">
        <f aca="false">IF(ISNUMBER($AR330),SUMIF(AE$7:AE$503,$AR330,K$7:K$503),"")</f>
        <v>0</v>
      </c>
      <c r="AX330" s="1423" t="n">
        <f aca="false">IF(ISNUMBER($AR330),SUMIF(AG$7:AG$503,$AR330,M$7:M$503),"")</f>
        <v>0</v>
      </c>
      <c r="AY330" s="2" t="str">
        <f aca="false">IF($AT330&gt;0,VLOOKUP($AR330,'O_MN, PE_UTA_UGM 2024'!E326:O742,2),"")</f>
        <v/>
      </c>
      <c r="AZ330" s="1424"/>
      <c r="BA330" s="1424"/>
      <c r="BB330" s="1424" t="str">
        <f aca="false">IF($AT330&gt;0,VLOOKUP($AR330,'O_MN, PE_UTA_UGM 2024'!$E$3:$O$419,BB$6),"")</f>
        <v/>
      </c>
      <c r="BC330" s="1424" t="str">
        <f aca="false">IF($AT330&gt;0,VLOOKUP($AR330,'O_MN, PE_UTA_UGM 2024'!$E$3:$O$419,BC$6),"")</f>
        <v/>
      </c>
      <c r="BD330" s="1424" t="str">
        <f aca="false">IF($AT330&gt;0,VLOOKUP($AR330,'O_MN, PE_UTA_UGM 2024'!$E$3:$O$419,BD$6),"")</f>
        <v/>
      </c>
      <c r="BE330" s="1424" t="str">
        <f aca="false">IF($AT330&gt;0,VLOOKUP($AR330,'O_MN, PE_UTA_UGM 2024'!$E$3:$O$419,BE$6),"")</f>
        <v/>
      </c>
      <c r="BF330" s="1424" t="str">
        <f aca="false">IF($AT330&gt;0,VLOOKUP($AR330,'O_MN, PE_UTA_UGM 2024'!$E$3:$O$419,BF$6),"")</f>
        <v/>
      </c>
      <c r="BG330" s="1424" t="str">
        <f aca="false">IF($AT330&gt;0,VLOOKUP($AR330,'O_MN, PE_UTA_UGM 2024'!$E$3:$O$419,BG$6),"")</f>
        <v/>
      </c>
      <c r="BH330" s="872"/>
      <c r="BI330" s="872"/>
      <c r="BJ330" s="872"/>
      <c r="BK330" s="872"/>
      <c r="BM330" s="1411"/>
      <c r="BN330" s="1411"/>
      <c r="BO330" s="1425" t="str">
        <f aca="false">IF(ISNUMBER($AU330*BB330*1),$AU330*BB330*1,"")</f>
        <v/>
      </c>
      <c r="BP330" s="1425" t="str">
        <f aca="false">IF(ISNUMBER($AV330*BC330*1),$AV330*BC330*1,"")</f>
        <v/>
      </c>
      <c r="BQ330" s="1425" t="str">
        <f aca="false">IF(ISNUMBER($AU330*BD330*1),$AU330*BD330*1,"")</f>
        <v/>
      </c>
      <c r="BR330" s="1425" t="str">
        <f aca="false">IF(ISNUMBER($AV330*BE330*1),$AV330*BE330*1,"")</f>
        <v/>
      </c>
      <c r="BS330" s="1411" t="str">
        <f aca="false">IF(ISNUMBER($AU330*BF330),$AU330*BF330,"")</f>
        <v/>
      </c>
      <c r="BT330" s="1411" t="str">
        <f aca="false">IF(ISNUMBER($AV330*BG330),$AV330*BG330,"")</f>
        <v/>
      </c>
      <c r="BU330" s="1411"/>
      <c r="BV330" s="1411"/>
      <c r="BW330" s="1411"/>
      <c r="BX330" s="1411"/>
      <c r="BZ330" s="1372"/>
      <c r="CA330" s="1372"/>
      <c r="CB330" s="1426" t="str">
        <f aca="false">IF(ISNUMBER($AW330*BB330),$AW330*BB330,"")</f>
        <v/>
      </c>
      <c r="CC330" s="1426" t="str">
        <f aca="false">IF(ISNUMBER($AX330*BC330),$AX330*BC330,"")</f>
        <v/>
      </c>
      <c r="CD330" s="1426" t="str">
        <f aca="false">IF(ISNUMBER($AW330*BD330),$AW330*BD330,"")</f>
        <v/>
      </c>
      <c r="CE330" s="1426" t="str">
        <f aca="false">IF(ISNUMBER($AX330*BE330),$AX330*BE330,"")</f>
        <v/>
      </c>
      <c r="CF330" s="1372" t="str">
        <f aca="false">IF(ISNUMBER($AW330*BF330),$AW330*BF330,"")</f>
        <v/>
      </c>
      <c r="CG330" s="1372" t="str">
        <f aca="false">IF(ISNUMBER($AX330*BG330),$AX330*BG330,"")</f>
        <v/>
      </c>
      <c r="CH330" s="1438"/>
      <c r="CI330" s="1438"/>
      <c r="CJ330" s="1438"/>
      <c r="CK330" s="1438"/>
      <c r="CU330" s="1411"/>
      <c r="CV330" s="1411"/>
      <c r="CW330" s="1425"/>
      <c r="CX330" s="1425"/>
      <c r="CY330" s="1425"/>
      <c r="CZ330" s="1425"/>
      <c r="DA330" s="1411"/>
      <c r="DB330" s="1411"/>
      <c r="DC330" s="1411"/>
      <c r="DD330" s="1411"/>
      <c r="DE330" s="1411"/>
      <c r="DF330" s="1411"/>
      <c r="DH330" s="1432"/>
      <c r="DI330" s="1432"/>
      <c r="DJ330" s="1437"/>
      <c r="DK330" s="1437"/>
      <c r="DL330" s="1437"/>
      <c r="DM330" s="1437"/>
      <c r="DN330" s="1432"/>
      <c r="DO330" s="1432"/>
      <c r="DP330" s="1432"/>
      <c r="DQ330" s="1432"/>
      <c r="DR330" s="1432"/>
      <c r="DS330" s="1432"/>
      <c r="DT330" s="1316"/>
      <c r="DU330" s="1433"/>
      <c r="DV330" s="1433"/>
      <c r="DW330" s="1433"/>
      <c r="DX330" s="1433"/>
      <c r="DY330" s="1433"/>
      <c r="DZ330" s="1433"/>
      <c r="EA330" s="1433"/>
      <c r="EB330" s="1433"/>
    </row>
    <row r="331" customFormat="false" ht="14.25" hidden="false" customHeight="false" outlineLevel="0" collapsed="false">
      <c r="A331" s="2" t="n">
        <f aca="false">'V_DATOS PAC_SGA'!R326</f>
        <v>0</v>
      </c>
      <c r="B331" s="2" t="n">
        <f aca="false">IF(I331="IV",CONCATENATE('V_DATOS PAC_SGA'!R326,"4")+0,CONCATENATE('V_DATOS PAC_SGA'!R326,"0")+0)</f>
        <v>0</v>
      </c>
      <c r="C331" s="2" t="n">
        <f aca="false">'V_DATOS PAC_SGA'!S326</f>
        <v>0</v>
      </c>
      <c r="D331" s="1409" t="n">
        <f aca="false">'V_DATOS PAC_SGA'!Y326</f>
        <v>0</v>
      </c>
      <c r="E331" s="1410" t="str">
        <f aca="false">IF('V_DATOS PAC_SGA'!AV326="","Regadio",'V_DATOS PAC_SGA'!AV326)</f>
        <v>Regadio</v>
      </c>
      <c r="F331" s="1411" t="n">
        <f aca="false">'V_DATOS PAC_SGA'!BK326</f>
        <v>0</v>
      </c>
      <c r="G331" s="1412" t="n">
        <f aca="false">'V_DATOS PAC_SGA'!AN326</f>
        <v>0</v>
      </c>
      <c r="H331" s="1413" t="str">
        <f aca="false">IF(B331&gt;0,VLOOKUP(B331,'O_MN, PE_UTA_UGM 2024'!E$3:O$419,10),"")</f>
        <v/>
      </c>
      <c r="I331" s="1359" t="n">
        <f aca="false">'V_DATOS PAC_SGA'!BV326</f>
        <v>0</v>
      </c>
      <c r="J331" s="2" t="str">
        <f aca="false">IF(AND(J$4=$G331,J$6=$F331),$D331*J$5,"")</f>
        <v/>
      </c>
      <c r="K331" s="2" t="str">
        <f aca="false">IF(AND(K$4=$G331,K$6=$F331),$D331*K$5,"")</f>
        <v/>
      </c>
      <c r="L331" s="2" t="str">
        <f aca="false">IF(AND(L$4=$G331,L$6=$F331),$D331*L$5,"")</f>
        <v/>
      </c>
      <c r="M331" s="2" t="str">
        <f aca="false">IF(AND(M$4=$G331,M$6=$F331),$D331*M$5,"")</f>
        <v/>
      </c>
      <c r="N331" s="1414" t="n">
        <f aca="false">VLOOKUP(B331,'O_MN, PE_UTA_UGM 2024'!$E$2:$K$419,IF(G331&gt;1,6,7))</f>
        <v>0</v>
      </c>
      <c r="O331" s="1434" t="str">
        <f aca="false">IF($H331=O$4,$D331*$N331,"")</f>
        <v/>
      </c>
      <c r="P331" s="1435" t="str">
        <f aca="false">IF($H331=P$4,$D331*$N331,"")</f>
        <v/>
      </c>
      <c r="Q331" s="1435" t="str">
        <f aca="false">IF($H331=Q$4,$D331*$N331,"")</f>
        <v/>
      </c>
      <c r="R331" s="1435" t="str">
        <f aca="false">IF($H331=R$4,$D331*$N331,"")</f>
        <v/>
      </c>
      <c r="S331" s="1435" t="str">
        <f aca="false">IF($H331=S$4,$D331*$N331,"")</f>
        <v/>
      </c>
      <c r="T331" s="1435" t="str">
        <f aca="false">IF($H331=T$4,$D331*$N331,"")</f>
        <v/>
      </c>
      <c r="U331" s="1436" t="str">
        <f aca="false">IF($H331=U$4,$D331*$N331,"")</f>
        <v/>
      </c>
      <c r="V331" s="1472"/>
      <c r="W331" s="1471"/>
      <c r="X331" s="1471"/>
      <c r="Y331" s="1471"/>
      <c r="Z331" s="1471"/>
      <c r="AA331" s="1471"/>
      <c r="AB331" s="1473"/>
      <c r="AC331" s="1319"/>
      <c r="AD331" s="2" t="str">
        <f aca="false">IF(AND(AD$4=$G331,AD$6=$F331),$B331,"")</f>
        <v/>
      </c>
      <c r="AE331" s="2" t="str">
        <f aca="false">IF(AND(AE$4=$G331,AE$6=$F331),$B331,"")</f>
        <v/>
      </c>
      <c r="AF331" s="2" t="str">
        <f aca="false">IF(AND(AF$4=$G331,AF$6=$F331),$B331,"")</f>
        <v/>
      </c>
      <c r="AG331" s="2" t="str">
        <f aca="false">IF(AND(AG$4=$G331,AG$6=$F331),$B331,"")</f>
        <v/>
      </c>
      <c r="AI331" s="366"/>
      <c r="AL331" s="367"/>
      <c r="AO331" s="367"/>
      <c r="AP331" s="2" t="str">
        <f aca="false">IF(AT331&gt;0,RANK(AT331,AT$7:AT$423),"")</f>
        <v/>
      </c>
      <c r="AQ331" s="1475" t="n">
        <f aca="false">'O_MN, PE_UTA_UGM 2024'!C327</f>
        <v>354</v>
      </c>
      <c r="AR331" s="1421" t="n">
        <v>3320</v>
      </c>
      <c r="AS331" s="2" t="str">
        <f aca="false">IF(AY331&lt;&gt;"",AY331,"")</f>
        <v/>
      </c>
      <c r="AT331" s="1422" t="n">
        <f aca="false">IF(ISNUMBER($AR331),SUMIF(B$7:B$505,AR331,D$7:D$505),"")</f>
        <v>0</v>
      </c>
      <c r="AU331" s="1411" t="n">
        <f aca="false">IF(ISNUMBER($AR331),SUMIF(AD$7:AD$503,$AR331,J$7:J$503),"")</f>
        <v>0</v>
      </c>
      <c r="AV331" s="1411" t="n">
        <f aca="false">IF(ISNUMBER($AR331),SUMIF(AF$7:AF$503,$AR331,L$7:L$503),"")</f>
        <v>0</v>
      </c>
      <c r="AW331" s="1423" t="n">
        <f aca="false">IF(ISNUMBER($AR331),SUMIF(AE$7:AE$503,$AR331,K$7:K$503),"")</f>
        <v>0</v>
      </c>
      <c r="AX331" s="1423" t="n">
        <f aca="false">IF(ISNUMBER($AR331),SUMIF(AG$7:AG$503,$AR331,M$7:M$503),"")</f>
        <v>0</v>
      </c>
      <c r="AY331" s="2" t="str">
        <f aca="false">IF($AT331&gt;0,VLOOKUP($AR331,'O_MN, PE_UTA_UGM 2024'!E327:O743,2),"")</f>
        <v/>
      </c>
      <c r="AZ331" s="1424"/>
      <c r="BA331" s="1424"/>
      <c r="BB331" s="1424" t="str">
        <f aca="false">IF($AT331&gt;0,VLOOKUP($AR331,'O_MN, PE_UTA_UGM 2024'!$E$3:$O$419,BB$6),"")</f>
        <v/>
      </c>
      <c r="BC331" s="1424" t="str">
        <f aca="false">IF($AT331&gt;0,VLOOKUP($AR331,'O_MN, PE_UTA_UGM 2024'!$E$3:$O$419,BC$6),"")</f>
        <v/>
      </c>
      <c r="BD331" s="1424" t="str">
        <f aca="false">IF($AT331&gt;0,VLOOKUP($AR331,'O_MN, PE_UTA_UGM 2024'!$E$3:$O$419,BD$6),"")</f>
        <v/>
      </c>
      <c r="BE331" s="1424" t="str">
        <f aca="false">IF($AT331&gt;0,VLOOKUP($AR331,'O_MN, PE_UTA_UGM 2024'!$E$3:$O$419,BE$6),"")</f>
        <v/>
      </c>
      <c r="BF331" s="1424" t="str">
        <f aca="false">IF($AT331&gt;0,VLOOKUP($AR331,'O_MN, PE_UTA_UGM 2024'!$E$3:$O$419,BF$6),"")</f>
        <v/>
      </c>
      <c r="BG331" s="1424" t="str">
        <f aca="false">IF($AT331&gt;0,VLOOKUP($AR331,'O_MN, PE_UTA_UGM 2024'!$E$3:$O$419,BG$6),"")</f>
        <v/>
      </c>
      <c r="BH331" s="872"/>
      <c r="BI331" s="872"/>
      <c r="BJ331" s="872"/>
      <c r="BK331" s="872"/>
      <c r="BM331" s="1411"/>
      <c r="BN331" s="1411"/>
      <c r="BO331" s="1425" t="str">
        <f aca="false">IF(ISNUMBER($AU331*BB331*1),$AU331*BB331*1,"")</f>
        <v/>
      </c>
      <c r="BP331" s="1425" t="str">
        <f aca="false">IF(ISNUMBER($AV331*BC331*1),$AV331*BC331*1,"")</f>
        <v/>
      </c>
      <c r="BQ331" s="1425" t="str">
        <f aca="false">IF(ISNUMBER($AU331*BD331*1),$AU331*BD331*1,"")</f>
        <v/>
      </c>
      <c r="BR331" s="1425" t="str">
        <f aca="false">IF(ISNUMBER($AV331*BE331*1),$AV331*BE331*1,"")</f>
        <v/>
      </c>
      <c r="BS331" s="1411" t="str">
        <f aca="false">IF(ISNUMBER($AU331*BF331),$AU331*BF331,"")</f>
        <v/>
      </c>
      <c r="BT331" s="1411" t="str">
        <f aca="false">IF(ISNUMBER($AV331*BG331),$AV331*BG331,"")</f>
        <v/>
      </c>
      <c r="BU331" s="1411"/>
      <c r="BV331" s="1411"/>
      <c r="BW331" s="1411"/>
      <c r="BX331" s="1411"/>
      <c r="BZ331" s="1372"/>
      <c r="CA331" s="1372"/>
      <c r="CB331" s="1426" t="str">
        <f aca="false">IF(ISNUMBER($AW331*BB331),$AW331*BB331,"")</f>
        <v/>
      </c>
      <c r="CC331" s="1426" t="str">
        <f aca="false">IF(ISNUMBER($AX331*BC331),$AX331*BC331,"")</f>
        <v/>
      </c>
      <c r="CD331" s="1426" t="str">
        <f aca="false">IF(ISNUMBER($AW331*BD331),$AW331*BD331,"")</f>
        <v/>
      </c>
      <c r="CE331" s="1426" t="str">
        <f aca="false">IF(ISNUMBER($AX331*BE331),$AX331*BE331,"")</f>
        <v/>
      </c>
      <c r="CF331" s="1372" t="str">
        <f aca="false">IF(ISNUMBER($AW331*BF331),$AW331*BF331,"")</f>
        <v/>
      </c>
      <c r="CG331" s="1372" t="str">
        <f aca="false">IF(ISNUMBER($AX331*BG331),$AX331*BG331,"")</f>
        <v/>
      </c>
      <c r="CH331" s="1438"/>
      <c r="CI331" s="1438"/>
      <c r="CJ331" s="1438"/>
      <c r="CK331" s="1438"/>
      <c r="CU331" s="1411"/>
      <c r="CV331" s="1411"/>
      <c r="CW331" s="1425"/>
      <c r="CX331" s="1425"/>
      <c r="CY331" s="1425"/>
      <c r="CZ331" s="1425"/>
      <c r="DA331" s="1411"/>
      <c r="DB331" s="1411"/>
      <c r="DC331" s="1411"/>
      <c r="DD331" s="1411"/>
      <c r="DE331" s="1411"/>
      <c r="DF331" s="1411"/>
      <c r="DH331" s="1432"/>
      <c r="DI331" s="1432"/>
      <c r="DJ331" s="1437"/>
      <c r="DK331" s="1437"/>
      <c r="DL331" s="1437"/>
      <c r="DM331" s="1437"/>
      <c r="DN331" s="1432"/>
      <c r="DO331" s="1432"/>
      <c r="DP331" s="1432"/>
      <c r="DQ331" s="1432"/>
      <c r="DR331" s="1432"/>
      <c r="DS331" s="1432"/>
      <c r="DT331" s="1316"/>
      <c r="DU331" s="1433"/>
      <c r="DV331" s="1433"/>
      <c r="DW331" s="1433"/>
      <c r="DX331" s="1433"/>
      <c r="DY331" s="1433"/>
      <c r="DZ331" s="1433"/>
      <c r="EA331" s="1433"/>
      <c r="EB331" s="1433"/>
    </row>
    <row r="332" customFormat="false" ht="14.25" hidden="false" customHeight="false" outlineLevel="0" collapsed="false">
      <c r="A332" s="2" t="n">
        <f aca="false">'V_DATOS PAC_SGA'!R327</f>
        <v>0</v>
      </c>
      <c r="B332" s="2" t="n">
        <f aca="false">IF(I332="IV",CONCATENATE('V_DATOS PAC_SGA'!R327,"4")+0,CONCATENATE('V_DATOS PAC_SGA'!R327,"0")+0)</f>
        <v>0</v>
      </c>
      <c r="C332" s="2" t="n">
        <f aca="false">'V_DATOS PAC_SGA'!S327</f>
        <v>0</v>
      </c>
      <c r="D332" s="1409" t="n">
        <f aca="false">'V_DATOS PAC_SGA'!Y327</f>
        <v>0</v>
      </c>
      <c r="E332" s="1410" t="str">
        <f aca="false">IF('V_DATOS PAC_SGA'!AV327="","Regadio",'V_DATOS PAC_SGA'!AV327)</f>
        <v>Regadio</v>
      </c>
      <c r="F332" s="1411" t="n">
        <f aca="false">'V_DATOS PAC_SGA'!BK327</f>
        <v>0</v>
      </c>
      <c r="G332" s="1412" t="n">
        <f aca="false">'V_DATOS PAC_SGA'!AN327</f>
        <v>0</v>
      </c>
      <c r="H332" s="1413" t="str">
        <f aca="false">IF(B332&gt;0,VLOOKUP(B332,'O_MN, PE_UTA_UGM 2024'!E$3:O$419,10),"")</f>
        <v/>
      </c>
      <c r="I332" s="1359" t="n">
        <f aca="false">'V_DATOS PAC_SGA'!BV327</f>
        <v>0</v>
      </c>
      <c r="J332" s="2" t="str">
        <f aca="false">IF(AND(J$4=$G332,J$6=$F332),$D332*J$5,"")</f>
        <v/>
      </c>
      <c r="K332" s="2" t="str">
        <f aca="false">IF(AND(K$4=$G332,K$6=$F332),$D332*K$5,"")</f>
        <v/>
      </c>
      <c r="L332" s="2" t="str">
        <f aca="false">IF(AND(L$4=$G332,L$6=$F332),$D332*L$5,"")</f>
        <v/>
      </c>
      <c r="M332" s="2" t="str">
        <f aca="false">IF(AND(M$4=$G332,M$6=$F332),$D332*M$5,"")</f>
        <v/>
      </c>
      <c r="N332" s="1414" t="n">
        <f aca="false">VLOOKUP(B332,'O_MN, PE_UTA_UGM 2024'!$E$2:$K$419,IF(G332&gt;1,6,7))</f>
        <v>0</v>
      </c>
      <c r="O332" s="1434" t="str">
        <f aca="false">IF($H332=O$4,$D332*$N332,"")</f>
        <v/>
      </c>
      <c r="P332" s="1435" t="str">
        <f aca="false">IF($H332=P$4,$D332*$N332,"")</f>
        <v/>
      </c>
      <c r="Q332" s="1435" t="str">
        <f aca="false">IF($H332=Q$4,$D332*$N332,"")</f>
        <v/>
      </c>
      <c r="R332" s="1435" t="str">
        <f aca="false">IF($H332=R$4,$D332*$N332,"")</f>
        <v/>
      </c>
      <c r="S332" s="1435" t="str">
        <f aca="false">IF($H332=S$4,$D332*$N332,"")</f>
        <v/>
      </c>
      <c r="T332" s="1435" t="str">
        <f aca="false">IF($H332=T$4,$D332*$N332,"")</f>
        <v/>
      </c>
      <c r="U332" s="1436" t="str">
        <f aca="false">IF($H332=U$4,$D332*$N332,"")</f>
        <v/>
      </c>
      <c r="V332" s="1472"/>
      <c r="W332" s="1471"/>
      <c r="X332" s="1471"/>
      <c r="Y332" s="1471"/>
      <c r="Z332" s="1471"/>
      <c r="AA332" s="1471"/>
      <c r="AB332" s="1473"/>
      <c r="AC332" s="1319"/>
      <c r="AD332" s="2" t="str">
        <f aca="false">IF(AND(AD$4=$G332,AD$6=$F332),$B332,"")</f>
        <v/>
      </c>
      <c r="AE332" s="2" t="str">
        <f aca="false">IF(AND(AE$4=$G332,AE$6=$F332),$B332,"")</f>
        <v/>
      </c>
      <c r="AF332" s="2" t="str">
        <f aca="false">IF(AND(AF$4=$G332,AF$6=$F332),$B332,"")</f>
        <v/>
      </c>
      <c r="AG332" s="2" t="str">
        <f aca="false">IF(AND(AG$4=$G332,AG$6=$F332),$B332,"")</f>
        <v/>
      </c>
      <c r="AI332" s="366"/>
      <c r="AL332" s="367"/>
      <c r="AO332" s="367"/>
      <c r="AP332" s="2" t="str">
        <f aca="false">IF(AT332&gt;0,RANK(AT332,AT$7:AT$423),"")</f>
        <v/>
      </c>
      <c r="AQ332" s="1475" t="n">
        <f aca="false">'O_MN, PE_UTA_UGM 2024'!C328</f>
        <v>355</v>
      </c>
      <c r="AR332" s="1421" t="n">
        <v>3340</v>
      </c>
      <c r="AS332" s="2" t="str">
        <f aca="false">IF(AY332&lt;&gt;"",AY332,"")</f>
        <v/>
      </c>
      <c r="AT332" s="1422" t="n">
        <f aca="false">IF(ISNUMBER($AR332),SUMIF(B$7:B$505,AR332,D$7:D$505),"")</f>
        <v>0</v>
      </c>
      <c r="AU332" s="1411" t="n">
        <f aca="false">IF(ISNUMBER($AR332),SUMIF(AD$7:AD$503,$AR332,J$7:J$503),"")</f>
        <v>0</v>
      </c>
      <c r="AV332" s="1411" t="n">
        <f aca="false">IF(ISNUMBER($AR332),SUMIF(AF$7:AF$503,$AR332,L$7:L$503),"")</f>
        <v>0</v>
      </c>
      <c r="AW332" s="1423" t="n">
        <f aca="false">IF(ISNUMBER($AR332),SUMIF(AE$7:AE$503,$AR332,K$7:K$503),"")</f>
        <v>0</v>
      </c>
      <c r="AX332" s="1423" t="n">
        <f aca="false">IF(ISNUMBER($AR332),SUMIF(AG$7:AG$503,$AR332,M$7:M$503),"")</f>
        <v>0</v>
      </c>
      <c r="AY332" s="2" t="str">
        <f aca="false">IF($AT332&gt;0,VLOOKUP($AR332,'O_MN, PE_UTA_UGM 2024'!E328:O744,2),"")</f>
        <v/>
      </c>
      <c r="AZ332" s="1424"/>
      <c r="BA332" s="1424"/>
      <c r="BB332" s="1424" t="str">
        <f aca="false">IF($AT332&gt;0,VLOOKUP($AR332,'O_MN, PE_UTA_UGM 2024'!$E$3:$O$419,BB$6),"")</f>
        <v/>
      </c>
      <c r="BC332" s="1424" t="str">
        <f aca="false">IF($AT332&gt;0,VLOOKUP($AR332,'O_MN, PE_UTA_UGM 2024'!$E$3:$O$419,BC$6),"")</f>
        <v/>
      </c>
      <c r="BD332" s="1424" t="str">
        <f aca="false">IF($AT332&gt;0,VLOOKUP($AR332,'O_MN, PE_UTA_UGM 2024'!$E$3:$O$419,BD$6),"")</f>
        <v/>
      </c>
      <c r="BE332" s="1424" t="str">
        <f aca="false">IF($AT332&gt;0,VLOOKUP($AR332,'O_MN, PE_UTA_UGM 2024'!$E$3:$O$419,BE$6),"")</f>
        <v/>
      </c>
      <c r="BF332" s="1424" t="str">
        <f aca="false">IF($AT332&gt;0,VLOOKUP($AR332,'O_MN, PE_UTA_UGM 2024'!$E$3:$O$419,BF$6),"")</f>
        <v/>
      </c>
      <c r="BG332" s="1424" t="str">
        <f aca="false">IF($AT332&gt;0,VLOOKUP($AR332,'O_MN, PE_UTA_UGM 2024'!$E$3:$O$419,BG$6),"")</f>
        <v/>
      </c>
      <c r="BH332" s="872"/>
      <c r="BI332" s="872"/>
      <c r="BJ332" s="872"/>
      <c r="BK332" s="872"/>
      <c r="BM332" s="1411"/>
      <c r="BN332" s="1411"/>
      <c r="BO332" s="1425" t="str">
        <f aca="false">IF(ISNUMBER($AU332*BB332*1),$AU332*BB332*1,"")</f>
        <v/>
      </c>
      <c r="BP332" s="1425" t="str">
        <f aca="false">IF(ISNUMBER($AV332*BC332*1),$AV332*BC332*1,"")</f>
        <v/>
      </c>
      <c r="BQ332" s="1425" t="str">
        <f aca="false">IF(ISNUMBER($AU332*BD332*1),$AU332*BD332*1,"")</f>
        <v/>
      </c>
      <c r="BR332" s="1425" t="str">
        <f aca="false">IF(ISNUMBER($AV332*BE332*1),$AV332*BE332*1,"")</f>
        <v/>
      </c>
      <c r="BS332" s="1411" t="str">
        <f aca="false">IF(ISNUMBER($AU332*BF332),$AU332*BF332,"")</f>
        <v/>
      </c>
      <c r="BT332" s="1411" t="str">
        <f aca="false">IF(ISNUMBER($AV332*BG332),$AV332*BG332,"")</f>
        <v/>
      </c>
      <c r="BU332" s="1411"/>
      <c r="BV332" s="1411"/>
      <c r="BW332" s="1411"/>
      <c r="BX332" s="1411"/>
      <c r="BZ332" s="1372"/>
      <c r="CA332" s="1372"/>
      <c r="CB332" s="1426" t="str">
        <f aca="false">IF(ISNUMBER($AW332*BB332),$AW332*BB332,"")</f>
        <v/>
      </c>
      <c r="CC332" s="1426" t="str">
        <f aca="false">IF(ISNUMBER($AX332*BC332),$AX332*BC332,"")</f>
        <v/>
      </c>
      <c r="CD332" s="1426" t="str">
        <f aca="false">IF(ISNUMBER($AW332*BD332),$AW332*BD332,"")</f>
        <v/>
      </c>
      <c r="CE332" s="1426" t="str">
        <f aca="false">IF(ISNUMBER($AX332*BE332),$AX332*BE332,"")</f>
        <v/>
      </c>
      <c r="CF332" s="1372" t="str">
        <f aca="false">IF(ISNUMBER($AW332*BF332),$AW332*BF332,"")</f>
        <v/>
      </c>
      <c r="CG332" s="1372" t="str">
        <f aca="false">IF(ISNUMBER($AX332*BG332),$AX332*BG332,"")</f>
        <v/>
      </c>
      <c r="CH332" s="1438"/>
      <c r="CI332" s="1438"/>
      <c r="CJ332" s="1438"/>
      <c r="CK332" s="1438"/>
      <c r="CU332" s="1411"/>
      <c r="CV332" s="1411"/>
      <c r="CW332" s="1425"/>
      <c r="CX332" s="1425"/>
      <c r="CY332" s="1425"/>
      <c r="CZ332" s="1425"/>
      <c r="DA332" s="1411"/>
      <c r="DB332" s="1411"/>
      <c r="DC332" s="1411"/>
      <c r="DD332" s="1411"/>
      <c r="DE332" s="1411"/>
      <c r="DF332" s="1411"/>
      <c r="DH332" s="1432"/>
      <c r="DI332" s="1432"/>
      <c r="DJ332" s="1437"/>
      <c r="DK332" s="1437"/>
      <c r="DL332" s="1437"/>
      <c r="DM332" s="1437"/>
      <c r="DN332" s="1432"/>
      <c r="DO332" s="1432"/>
      <c r="DP332" s="1432"/>
      <c r="DQ332" s="1432"/>
      <c r="DR332" s="1432"/>
      <c r="DS332" s="1432"/>
      <c r="DT332" s="1316"/>
      <c r="DU332" s="1433"/>
      <c r="DV332" s="1433"/>
      <c r="DW332" s="1433"/>
      <c r="DX332" s="1433"/>
      <c r="DY332" s="1433"/>
      <c r="DZ332" s="1433"/>
      <c r="EA332" s="1433"/>
      <c r="EB332" s="1433"/>
    </row>
    <row r="333" customFormat="false" ht="14.25" hidden="false" customHeight="false" outlineLevel="0" collapsed="false">
      <c r="A333" s="2" t="n">
        <f aca="false">'V_DATOS PAC_SGA'!R328</f>
        <v>0</v>
      </c>
      <c r="B333" s="2" t="n">
        <f aca="false">IF(I333="IV",CONCATENATE('V_DATOS PAC_SGA'!R328,"4")+0,CONCATENATE('V_DATOS PAC_SGA'!R328,"0")+0)</f>
        <v>0</v>
      </c>
      <c r="C333" s="2" t="n">
        <f aca="false">'V_DATOS PAC_SGA'!S328</f>
        <v>0</v>
      </c>
      <c r="D333" s="1409" t="n">
        <f aca="false">'V_DATOS PAC_SGA'!Y328</f>
        <v>0</v>
      </c>
      <c r="E333" s="1410" t="str">
        <f aca="false">IF('V_DATOS PAC_SGA'!AV328="","Regadio",'V_DATOS PAC_SGA'!AV328)</f>
        <v>Regadio</v>
      </c>
      <c r="F333" s="1411" t="n">
        <f aca="false">'V_DATOS PAC_SGA'!BK328</f>
        <v>0</v>
      </c>
      <c r="G333" s="1412" t="n">
        <f aca="false">'V_DATOS PAC_SGA'!AN328</f>
        <v>0</v>
      </c>
      <c r="H333" s="1413" t="str">
        <f aca="false">IF(B333&gt;0,VLOOKUP(B333,'O_MN, PE_UTA_UGM 2024'!E$3:O$419,10),"")</f>
        <v/>
      </c>
      <c r="I333" s="1359" t="n">
        <f aca="false">'V_DATOS PAC_SGA'!BV328</f>
        <v>0</v>
      </c>
      <c r="J333" s="2" t="str">
        <f aca="false">IF(AND(J$4=$G333,J$6=$F333),$D333*J$5,"")</f>
        <v/>
      </c>
      <c r="K333" s="2" t="str">
        <f aca="false">IF(AND(K$4=$G333,K$6=$F333),$D333*K$5,"")</f>
        <v/>
      </c>
      <c r="L333" s="2" t="str">
        <f aca="false">IF(AND(L$4=$G333,L$6=$F333),$D333*L$5,"")</f>
        <v/>
      </c>
      <c r="M333" s="2" t="str">
        <f aca="false">IF(AND(M$4=$G333,M$6=$F333),$D333*M$5,"")</f>
        <v/>
      </c>
      <c r="N333" s="1414" t="n">
        <f aca="false">VLOOKUP(B333,'O_MN, PE_UTA_UGM 2024'!$E$2:$K$419,IF(G333&gt;1,6,7))</f>
        <v>0</v>
      </c>
      <c r="O333" s="1434" t="str">
        <f aca="false">IF($H333=O$4,$D333*$N333,"")</f>
        <v/>
      </c>
      <c r="P333" s="1435" t="str">
        <f aca="false">IF($H333=P$4,$D333*$N333,"")</f>
        <v/>
      </c>
      <c r="Q333" s="1435" t="str">
        <f aca="false">IF($H333=Q$4,$D333*$N333,"")</f>
        <v/>
      </c>
      <c r="R333" s="1435" t="str">
        <f aca="false">IF($H333=R$4,$D333*$N333,"")</f>
        <v/>
      </c>
      <c r="S333" s="1435" t="str">
        <f aca="false">IF($H333=S$4,$D333*$N333,"")</f>
        <v/>
      </c>
      <c r="T333" s="1435" t="str">
        <f aca="false">IF($H333=T$4,$D333*$N333,"")</f>
        <v/>
      </c>
      <c r="U333" s="1436" t="str">
        <f aca="false">IF($H333=U$4,$D333*$N333,"")</f>
        <v/>
      </c>
      <c r="V333" s="1472"/>
      <c r="W333" s="1471"/>
      <c r="X333" s="1471"/>
      <c r="Y333" s="1471"/>
      <c r="Z333" s="1471"/>
      <c r="AA333" s="1471"/>
      <c r="AB333" s="1473"/>
      <c r="AC333" s="1319"/>
      <c r="AD333" s="2" t="str">
        <f aca="false">IF(AND(AD$4=$G333,AD$6=$F333),$B333,"")</f>
        <v/>
      </c>
      <c r="AE333" s="2" t="str">
        <f aca="false">IF(AND(AE$4=$G333,AE$6=$F333),$B333,"")</f>
        <v/>
      </c>
      <c r="AF333" s="2" t="str">
        <f aca="false">IF(AND(AF$4=$G333,AF$6=$F333),$B333,"")</f>
        <v/>
      </c>
      <c r="AG333" s="2" t="str">
        <f aca="false">IF(AND(AG$4=$G333,AG$6=$F333),$B333,"")</f>
        <v/>
      </c>
      <c r="AI333" s="366"/>
      <c r="AL333" s="367"/>
      <c r="AO333" s="367"/>
      <c r="AP333" s="2" t="str">
        <f aca="false">IF(AT333&gt;0,RANK(AT333,AT$7:AT$423),"")</f>
        <v/>
      </c>
      <c r="AQ333" s="1475" t="n">
        <f aca="false">'O_MN, PE_UTA_UGM 2024'!C329</f>
        <v>356</v>
      </c>
      <c r="AR333" s="1421" t="n">
        <v>3360</v>
      </c>
      <c r="AS333" s="2" t="str">
        <f aca="false">IF(AY333&lt;&gt;"",AY333,"")</f>
        <v/>
      </c>
      <c r="AT333" s="1422" t="n">
        <f aca="false">IF(ISNUMBER($AR333),SUMIF(B$7:B$505,AR333,D$7:D$505),"")</f>
        <v>0</v>
      </c>
      <c r="AU333" s="1411" t="n">
        <f aca="false">IF(ISNUMBER($AR333),SUMIF(AD$7:AD$503,$AR333,J$7:J$503),"")</f>
        <v>0</v>
      </c>
      <c r="AV333" s="1411" t="n">
        <f aca="false">IF(ISNUMBER($AR333),SUMIF(AF$7:AF$503,$AR333,L$7:L$503),"")</f>
        <v>0</v>
      </c>
      <c r="AW333" s="1423" t="n">
        <f aca="false">IF(ISNUMBER($AR333),SUMIF(AE$7:AE$503,$AR333,K$7:K$503),"")</f>
        <v>0</v>
      </c>
      <c r="AX333" s="1423" t="n">
        <f aca="false">IF(ISNUMBER($AR333),SUMIF(AG$7:AG$503,$AR333,M$7:M$503),"")</f>
        <v>0</v>
      </c>
      <c r="AY333" s="2" t="str">
        <f aca="false">IF($AT333&gt;0,VLOOKUP($AR333,'O_MN, PE_UTA_UGM 2024'!E329:O745,2),"")</f>
        <v/>
      </c>
      <c r="AZ333" s="1424"/>
      <c r="BA333" s="1424"/>
      <c r="BB333" s="1424" t="str">
        <f aca="false">IF($AT333&gt;0,VLOOKUP($AR333,'O_MN, PE_UTA_UGM 2024'!$E$3:$O$419,BB$6),"")</f>
        <v/>
      </c>
      <c r="BC333" s="1424" t="str">
        <f aca="false">IF($AT333&gt;0,VLOOKUP($AR333,'O_MN, PE_UTA_UGM 2024'!$E$3:$O$419,BC$6),"")</f>
        <v/>
      </c>
      <c r="BD333" s="1424" t="str">
        <f aca="false">IF($AT333&gt;0,VLOOKUP($AR333,'O_MN, PE_UTA_UGM 2024'!$E$3:$O$419,BD$6),"")</f>
        <v/>
      </c>
      <c r="BE333" s="1424" t="str">
        <f aca="false">IF($AT333&gt;0,VLOOKUP($AR333,'O_MN, PE_UTA_UGM 2024'!$E$3:$O$419,BE$6),"")</f>
        <v/>
      </c>
      <c r="BF333" s="1424" t="str">
        <f aca="false">IF($AT333&gt;0,VLOOKUP($AR333,'O_MN, PE_UTA_UGM 2024'!$E$3:$O$419,BF$6),"")</f>
        <v/>
      </c>
      <c r="BG333" s="1424" t="str">
        <f aca="false">IF($AT333&gt;0,VLOOKUP($AR333,'O_MN, PE_UTA_UGM 2024'!$E$3:$O$419,BG$6),"")</f>
        <v/>
      </c>
      <c r="BH333" s="872"/>
      <c r="BI333" s="872"/>
      <c r="BJ333" s="872"/>
      <c r="BK333" s="872"/>
      <c r="BM333" s="1411"/>
      <c r="BN333" s="1411"/>
      <c r="BO333" s="1425" t="str">
        <f aca="false">IF(ISNUMBER($AU333*BB333*1),$AU333*BB333*1,"")</f>
        <v/>
      </c>
      <c r="BP333" s="1425" t="str">
        <f aca="false">IF(ISNUMBER($AV333*BC333*1),$AV333*BC333*1,"")</f>
        <v/>
      </c>
      <c r="BQ333" s="1425" t="str">
        <f aca="false">IF(ISNUMBER($AU333*BD333*1),$AU333*BD333*1,"")</f>
        <v/>
      </c>
      <c r="BR333" s="1425" t="str">
        <f aca="false">IF(ISNUMBER($AV333*BE333*1),$AV333*BE333*1,"")</f>
        <v/>
      </c>
      <c r="BS333" s="1411" t="str">
        <f aca="false">IF(ISNUMBER($AU333*BF333),$AU333*BF333,"")</f>
        <v/>
      </c>
      <c r="BT333" s="1411" t="str">
        <f aca="false">IF(ISNUMBER($AV333*BG333),$AV333*BG333,"")</f>
        <v/>
      </c>
      <c r="BU333" s="1411"/>
      <c r="BV333" s="1411"/>
      <c r="BW333" s="1411"/>
      <c r="BX333" s="1411"/>
      <c r="BZ333" s="1372"/>
      <c r="CA333" s="1372"/>
      <c r="CB333" s="1426" t="str">
        <f aca="false">IF(ISNUMBER($AW333*BB333),$AW333*BB333,"")</f>
        <v/>
      </c>
      <c r="CC333" s="1426" t="str">
        <f aca="false">IF(ISNUMBER($AX333*BC333),$AX333*BC333,"")</f>
        <v/>
      </c>
      <c r="CD333" s="1426" t="str">
        <f aca="false">IF(ISNUMBER($AW333*BD333),$AW333*BD333,"")</f>
        <v/>
      </c>
      <c r="CE333" s="1426" t="str">
        <f aca="false">IF(ISNUMBER($AX333*BE333),$AX333*BE333,"")</f>
        <v/>
      </c>
      <c r="CF333" s="1372" t="str">
        <f aca="false">IF(ISNUMBER($AW333*BF333),$AW333*BF333,"")</f>
        <v/>
      </c>
      <c r="CG333" s="1372" t="str">
        <f aca="false">IF(ISNUMBER($AX333*BG333),$AX333*BG333,"")</f>
        <v/>
      </c>
      <c r="CH333" s="1438"/>
      <c r="CI333" s="1438"/>
      <c r="CJ333" s="1438"/>
      <c r="CK333" s="1438"/>
      <c r="CU333" s="1411"/>
      <c r="CV333" s="1411"/>
      <c r="CW333" s="1425"/>
      <c r="CX333" s="1425"/>
      <c r="CY333" s="1425"/>
      <c r="CZ333" s="1425"/>
      <c r="DA333" s="1411"/>
      <c r="DB333" s="1411"/>
      <c r="DC333" s="1411"/>
      <c r="DD333" s="1411"/>
      <c r="DE333" s="1411"/>
      <c r="DF333" s="1411"/>
      <c r="DH333" s="1432"/>
      <c r="DI333" s="1432"/>
      <c r="DJ333" s="1437"/>
      <c r="DK333" s="1437"/>
      <c r="DL333" s="1437"/>
      <c r="DM333" s="1437"/>
      <c r="DN333" s="1432"/>
      <c r="DO333" s="1432"/>
      <c r="DP333" s="1432"/>
      <c r="DQ333" s="1432"/>
      <c r="DR333" s="1432"/>
      <c r="DS333" s="1432"/>
      <c r="DT333" s="1316"/>
      <c r="DU333" s="1433"/>
      <c r="DV333" s="1433"/>
      <c r="DW333" s="1433"/>
      <c r="DX333" s="1433"/>
      <c r="DY333" s="1433"/>
      <c r="DZ333" s="1433"/>
      <c r="EA333" s="1433"/>
      <c r="EB333" s="1433"/>
    </row>
    <row r="334" customFormat="false" ht="14.25" hidden="false" customHeight="false" outlineLevel="0" collapsed="false">
      <c r="A334" s="2" t="n">
        <f aca="false">'V_DATOS PAC_SGA'!R329</f>
        <v>0</v>
      </c>
      <c r="B334" s="2" t="n">
        <f aca="false">IF(I334="IV",CONCATENATE('V_DATOS PAC_SGA'!R329,"4")+0,CONCATENATE('V_DATOS PAC_SGA'!R329,"0")+0)</f>
        <v>0</v>
      </c>
      <c r="C334" s="2" t="n">
        <f aca="false">'V_DATOS PAC_SGA'!S329</f>
        <v>0</v>
      </c>
      <c r="D334" s="1409" t="n">
        <f aca="false">'V_DATOS PAC_SGA'!Y329</f>
        <v>0</v>
      </c>
      <c r="E334" s="1410" t="str">
        <f aca="false">IF('V_DATOS PAC_SGA'!AV329="","Regadio",'V_DATOS PAC_SGA'!AV329)</f>
        <v>Regadio</v>
      </c>
      <c r="F334" s="1411" t="n">
        <f aca="false">'V_DATOS PAC_SGA'!BK329</f>
        <v>0</v>
      </c>
      <c r="G334" s="1412" t="n">
        <f aca="false">'V_DATOS PAC_SGA'!AN329</f>
        <v>0</v>
      </c>
      <c r="H334" s="1413" t="str">
        <f aca="false">IF(B334&gt;0,VLOOKUP(B334,'O_MN, PE_UTA_UGM 2024'!E$3:O$419,10),"")</f>
        <v/>
      </c>
      <c r="I334" s="1359" t="n">
        <f aca="false">'V_DATOS PAC_SGA'!BV329</f>
        <v>0</v>
      </c>
      <c r="J334" s="2" t="str">
        <f aca="false">IF(AND(J$4=$G334,J$6=$F334),$D334*J$5,"")</f>
        <v/>
      </c>
      <c r="K334" s="2" t="str">
        <f aca="false">IF(AND(K$4=$G334,K$6=$F334),$D334*K$5,"")</f>
        <v/>
      </c>
      <c r="L334" s="2" t="str">
        <f aca="false">IF(AND(L$4=$G334,L$6=$F334),$D334*L$5,"")</f>
        <v/>
      </c>
      <c r="M334" s="2" t="str">
        <f aca="false">IF(AND(M$4=$G334,M$6=$F334),$D334*M$5,"")</f>
        <v/>
      </c>
      <c r="N334" s="1414" t="n">
        <f aca="false">VLOOKUP(B334,'O_MN, PE_UTA_UGM 2024'!$E$2:$K$419,IF(G334&gt;1,6,7))</f>
        <v>0</v>
      </c>
      <c r="O334" s="1434" t="str">
        <f aca="false">IF($H334=O$4,$D334*$N334,"")</f>
        <v/>
      </c>
      <c r="P334" s="1435" t="str">
        <f aca="false">IF($H334=P$4,$D334*$N334,"")</f>
        <v/>
      </c>
      <c r="Q334" s="1435" t="str">
        <f aca="false">IF($H334=Q$4,$D334*$N334,"")</f>
        <v/>
      </c>
      <c r="R334" s="1435" t="str">
        <f aca="false">IF($H334=R$4,$D334*$N334,"")</f>
        <v/>
      </c>
      <c r="S334" s="1435" t="str">
        <f aca="false">IF($H334=S$4,$D334*$N334,"")</f>
        <v/>
      </c>
      <c r="T334" s="1435" t="str">
        <f aca="false">IF($H334=T$4,$D334*$N334,"")</f>
        <v/>
      </c>
      <c r="U334" s="1436" t="str">
        <f aca="false">IF($H334=U$4,$D334*$N334,"")</f>
        <v/>
      </c>
      <c r="V334" s="1472"/>
      <c r="W334" s="1471"/>
      <c r="X334" s="1471"/>
      <c r="Y334" s="1471"/>
      <c r="Z334" s="1471"/>
      <c r="AA334" s="1471"/>
      <c r="AB334" s="1473"/>
      <c r="AC334" s="1319"/>
      <c r="AD334" s="2" t="str">
        <f aca="false">IF(AND(AD$4=$G334,AD$6=$F334),$B334,"")</f>
        <v/>
      </c>
      <c r="AE334" s="2" t="str">
        <f aca="false">IF(AND(AE$4=$G334,AE$6=$F334),$B334,"")</f>
        <v/>
      </c>
      <c r="AF334" s="2" t="str">
        <f aca="false">IF(AND(AF$4=$G334,AF$6=$F334),$B334,"")</f>
        <v/>
      </c>
      <c r="AG334" s="2" t="str">
        <f aca="false">IF(AND(AG$4=$G334,AG$6=$F334),$B334,"")</f>
        <v/>
      </c>
      <c r="AI334" s="366"/>
      <c r="AL334" s="367"/>
      <c r="AO334" s="367"/>
      <c r="AP334" s="2" t="str">
        <f aca="false">IF(AT334&gt;0,RANK(AT334,AT$7:AT$423),"")</f>
        <v/>
      </c>
      <c r="AQ334" s="1475" t="n">
        <f aca="false">'O_MN, PE_UTA_UGM 2024'!C330</f>
        <v>390</v>
      </c>
      <c r="AR334" s="1421" t="n">
        <v>3370</v>
      </c>
      <c r="AS334" s="2" t="str">
        <f aca="false">IF(AY334&lt;&gt;"",AY334,"")</f>
        <v/>
      </c>
      <c r="AT334" s="1422" t="n">
        <f aca="false">IF(ISNUMBER($AR334),SUMIF(B$7:B$505,AR334,D$7:D$505),"")</f>
        <v>0</v>
      </c>
      <c r="AU334" s="1411" t="n">
        <f aca="false">IF(ISNUMBER($AR334),SUMIF(AD$7:AD$503,$AR334,J$7:J$503),"")</f>
        <v>0</v>
      </c>
      <c r="AV334" s="1411" t="n">
        <f aca="false">IF(ISNUMBER($AR334),SUMIF(AF$7:AF$503,$AR334,L$7:L$503),"")</f>
        <v>0</v>
      </c>
      <c r="AW334" s="1423" t="n">
        <f aca="false">IF(ISNUMBER($AR334),SUMIF(AE$7:AE$503,$AR334,K$7:K$503),"")</f>
        <v>0</v>
      </c>
      <c r="AX334" s="1423" t="n">
        <f aca="false">IF(ISNUMBER($AR334),SUMIF(AG$7:AG$503,$AR334,M$7:M$503),"")</f>
        <v>0</v>
      </c>
      <c r="AY334" s="2" t="str">
        <f aca="false">IF($AT334&gt;0,VLOOKUP($AR334,'O_MN, PE_UTA_UGM 2024'!E330:O746,2),"")</f>
        <v/>
      </c>
      <c r="AZ334" s="1424"/>
      <c r="BA334" s="1424"/>
      <c r="BB334" s="1424" t="str">
        <f aca="false">IF($AT334&gt;0,VLOOKUP($AR334,'O_MN, PE_UTA_UGM 2024'!$E$3:$O$419,BB$6),"")</f>
        <v/>
      </c>
      <c r="BC334" s="1424" t="str">
        <f aca="false">IF($AT334&gt;0,VLOOKUP($AR334,'O_MN, PE_UTA_UGM 2024'!$E$3:$O$419,BC$6),"")</f>
        <v/>
      </c>
      <c r="BD334" s="1424" t="str">
        <f aca="false">IF($AT334&gt;0,VLOOKUP($AR334,'O_MN, PE_UTA_UGM 2024'!$E$3:$O$419,BD$6),"")</f>
        <v/>
      </c>
      <c r="BE334" s="1424" t="str">
        <f aca="false">IF($AT334&gt;0,VLOOKUP($AR334,'O_MN, PE_UTA_UGM 2024'!$E$3:$O$419,BE$6),"")</f>
        <v/>
      </c>
      <c r="BF334" s="1424" t="str">
        <f aca="false">IF($AT334&gt;0,VLOOKUP($AR334,'O_MN, PE_UTA_UGM 2024'!$E$3:$O$419,BF$6),"")</f>
        <v/>
      </c>
      <c r="BG334" s="1424" t="str">
        <f aca="false">IF($AT334&gt;0,VLOOKUP($AR334,'O_MN, PE_UTA_UGM 2024'!$E$3:$O$419,BG$6),"")</f>
        <v/>
      </c>
      <c r="BH334" s="872"/>
      <c r="BI334" s="872"/>
      <c r="BJ334" s="872"/>
      <c r="BK334" s="872"/>
      <c r="BM334" s="1411"/>
      <c r="BN334" s="1411"/>
      <c r="BO334" s="1425" t="str">
        <f aca="false">IF(ISNUMBER($AU334*BB334*1),$AU334*BB334*1,"")</f>
        <v/>
      </c>
      <c r="BP334" s="1425" t="str">
        <f aca="false">IF(ISNUMBER($AV334*BC334*1),$AV334*BC334*1,"")</f>
        <v/>
      </c>
      <c r="BQ334" s="1425" t="str">
        <f aca="false">IF(ISNUMBER($AU334*BD334*1),$AU334*BD334*1,"")</f>
        <v/>
      </c>
      <c r="BR334" s="1425" t="str">
        <f aca="false">IF(ISNUMBER($AV334*BE334*1),$AV334*BE334*1,"")</f>
        <v/>
      </c>
      <c r="BS334" s="1411" t="str">
        <f aca="false">IF(ISNUMBER($AU334*BF334),$AU334*BF334,"")</f>
        <v/>
      </c>
      <c r="BT334" s="1411" t="str">
        <f aca="false">IF(ISNUMBER($AV334*BG334),$AV334*BG334,"")</f>
        <v/>
      </c>
      <c r="BU334" s="1411"/>
      <c r="BV334" s="1411"/>
      <c r="BW334" s="1411"/>
      <c r="BX334" s="1411"/>
      <c r="BZ334" s="1372"/>
      <c r="CA334" s="1372"/>
      <c r="CB334" s="1426" t="str">
        <f aca="false">IF(ISNUMBER($AW334*BB334),$AW334*BB334,"")</f>
        <v/>
      </c>
      <c r="CC334" s="1426" t="str">
        <f aca="false">IF(ISNUMBER($AX334*BC334),$AX334*BC334,"")</f>
        <v/>
      </c>
      <c r="CD334" s="1426" t="str">
        <f aca="false">IF(ISNUMBER($AW334*BD334),$AW334*BD334,"")</f>
        <v/>
      </c>
      <c r="CE334" s="1426" t="str">
        <f aca="false">IF(ISNUMBER($AX334*BE334),$AX334*BE334,"")</f>
        <v/>
      </c>
      <c r="CF334" s="1372" t="str">
        <f aca="false">IF(ISNUMBER($AW334*BF334),$AW334*BF334,"")</f>
        <v/>
      </c>
      <c r="CG334" s="1372" t="str">
        <f aca="false">IF(ISNUMBER($AX334*BG334),$AX334*BG334,"")</f>
        <v/>
      </c>
      <c r="CH334" s="1438"/>
      <c r="CI334" s="1438"/>
      <c r="CJ334" s="1438"/>
      <c r="CK334" s="1438"/>
      <c r="CU334" s="1411"/>
      <c r="CV334" s="1411"/>
      <c r="CW334" s="1425"/>
      <c r="CX334" s="1425"/>
      <c r="CY334" s="1425"/>
      <c r="CZ334" s="1425"/>
      <c r="DA334" s="1411"/>
      <c r="DB334" s="1411"/>
      <c r="DC334" s="1411"/>
      <c r="DD334" s="1411"/>
      <c r="DE334" s="1411"/>
      <c r="DF334" s="1411"/>
      <c r="DH334" s="1432"/>
      <c r="DI334" s="1432"/>
      <c r="DJ334" s="1437"/>
      <c r="DK334" s="1437"/>
      <c r="DL334" s="1437"/>
      <c r="DM334" s="1437"/>
      <c r="DN334" s="1432"/>
      <c r="DO334" s="1432"/>
      <c r="DP334" s="1432"/>
      <c r="DQ334" s="1432"/>
      <c r="DR334" s="1432"/>
      <c r="DS334" s="1432"/>
      <c r="DT334" s="1316"/>
      <c r="DU334" s="1433"/>
      <c r="DV334" s="1433"/>
      <c r="DW334" s="1433"/>
      <c r="DX334" s="1433"/>
      <c r="DY334" s="1433"/>
      <c r="DZ334" s="1433"/>
      <c r="EA334" s="1433"/>
      <c r="EB334" s="1433"/>
    </row>
    <row r="335" customFormat="false" ht="14.25" hidden="false" customHeight="false" outlineLevel="0" collapsed="false">
      <c r="A335" s="2" t="n">
        <f aca="false">'V_DATOS PAC_SGA'!R330</f>
        <v>0</v>
      </c>
      <c r="B335" s="2" t="n">
        <f aca="false">IF(I335="IV",CONCATENATE('V_DATOS PAC_SGA'!R330,"4")+0,CONCATENATE('V_DATOS PAC_SGA'!R330,"0")+0)</f>
        <v>0</v>
      </c>
      <c r="C335" s="2" t="n">
        <f aca="false">'V_DATOS PAC_SGA'!S330</f>
        <v>0</v>
      </c>
      <c r="D335" s="1409" t="n">
        <f aca="false">'V_DATOS PAC_SGA'!Y330</f>
        <v>0</v>
      </c>
      <c r="E335" s="1410" t="str">
        <f aca="false">IF('V_DATOS PAC_SGA'!AV330="","Regadio",'V_DATOS PAC_SGA'!AV330)</f>
        <v>Regadio</v>
      </c>
      <c r="F335" s="1411" t="n">
        <f aca="false">'V_DATOS PAC_SGA'!BK330</f>
        <v>0</v>
      </c>
      <c r="G335" s="1412" t="n">
        <f aca="false">'V_DATOS PAC_SGA'!AN330</f>
        <v>0</v>
      </c>
      <c r="H335" s="1413" t="str">
        <f aca="false">IF(B335&gt;0,VLOOKUP(B335,'O_MN, PE_UTA_UGM 2024'!E$3:O$419,10),"")</f>
        <v/>
      </c>
      <c r="I335" s="1359" t="n">
        <f aca="false">'V_DATOS PAC_SGA'!BV330</f>
        <v>0</v>
      </c>
      <c r="J335" s="2" t="str">
        <f aca="false">IF(AND(J$4=$G335,J$6=$F335),$D335*J$5,"")</f>
        <v/>
      </c>
      <c r="K335" s="2" t="str">
        <f aca="false">IF(AND(K$4=$G335,K$6=$F335),$D335*K$5,"")</f>
        <v/>
      </c>
      <c r="L335" s="2" t="str">
        <f aca="false">IF(AND(L$4=$G335,L$6=$F335),$D335*L$5,"")</f>
        <v/>
      </c>
      <c r="M335" s="2" t="str">
        <f aca="false">IF(AND(M$4=$G335,M$6=$F335),$D335*M$5,"")</f>
        <v/>
      </c>
      <c r="N335" s="1414" t="n">
        <f aca="false">VLOOKUP(B335,'O_MN, PE_UTA_UGM 2024'!$E$2:$K$419,IF(G335&gt;1,6,7))</f>
        <v>0</v>
      </c>
      <c r="O335" s="1434" t="str">
        <f aca="false">IF($H335=O$4,$D335*$N335,"")</f>
        <v/>
      </c>
      <c r="P335" s="1435" t="str">
        <f aca="false">IF($H335=P$4,$D335*$N335,"")</f>
        <v/>
      </c>
      <c r="Q335" s="1435" t="str">
        <f aca="false">IF($H335=Q$4,$D335*$N335,"")</f>
        <v/>
      </c>
      <c r="R335" s="1435" t="str">
        <f aca="false">IF($H335=R$4,$D335*$N335,"")</f>
        <v/>
      </c>
      <c r="S335" s="1435" t="str">
        <f aca="false">IF($H335=S$4,$D335*$N335,"")</f>
        <v/>
      </c>
      <c r="T335" s="1435" t="str">
        <f aca="false">IF($H335=T$4,$D335*$N335,"")</f>
        <v/>
      </c>
      <c r="U335" s="1436" t="str">
        <f aca="false">IF($H335=U$4,$D335*$N335,"")</f>
        <v/>
      </c>
      <c r="V335" s="1472"/>
      <c r="W335" s="1471"/>
      <c r="X335" s="1471"/>
      <c r="Y335" s="1471"/>
      <c r="Z335" s="1471"/>
      <c r="AA335" s="1471"/>
      <c r="AB335" s="1473"/>
      <c r="AC335" s="1319"/>
      <c r="AD335" s="2" t="str">
        <f aca="false">IF(AND(AD$4=$G335,AD$6=$F335),$B335,"")</f>
        <v/>
      </c>
      <c r="AE335" s="2" t="str">
        <f aca="false">IF(AND(AE$4=$G335,AE$6=$F335),$B335,"")</f>
        <v/>
      </c>
      <c r="AF335" s="2" t="str">
        <f aca="false">IF(AND(AF$4=$G335,AF$6=$F335),$B335,"")</f>
        <v/>
      </c>
      <c r="AG335" s="2" t="str">
        <f aca="false">IF(AND(AG$4=$G335,AG$6=$F335),$B335,"")</f>
        <v/>
      </c>
      <c r="AI335" s="366"/>
      <c r="AL335" s="367"/>
      <c r="AO335" s="367"/>
      <c r="AP335" s="2" t="str">
        <f aca="false">IF(AT335&gt;0,RANK(AT335,AT$7:AT$423),"")</f>
        <v/>
      </c>
      <c r="AQ335" s="1475" t="n">
        <f aca="false">'O_MN, PE_UTA_UGM 2024'!C331</f>
        <v>392</v>
      </c>
      <c r="AR335" s="1421" t="n">
        <v>3380</v>
      </c>
      <c r="AS335" s="2" t="str">
        <f aca="false">IF(AY335&lt;&gt;"",AY335,"")</f>
        <v/>
      </c>
      <c r="AT335" s="1422" t="n">
        <f aca="false">IF(ISNUMBER($AR335),SUMIF(B$7:B$505,AR335,D$7:D$505),"")</f>
        <v>0</v>
      </c>
      <c r="AU335" s="1411" t="n">
        <f aca="false">IF(ISNUMBER($AR335),SUMIF(AD$7:AD$503,$AR335,J$7:J$503),"")</f>
        <v>0</v>
      </c>
      <c r="AV335" s="1411" t="n">
        <f aca="false">IF(ISNUMBER($AR335),SUMIF(AF$7:AF$503,$AR335,L$7:L$503),"")</f>
        <v>0</v>
      </c>
      <c r="AW335" s="1423" t="n">
        <f aca="false">IF(ISNUMBER($AR335),SUMIF(AE$7:AE$503,$AR335,K$7:K$503),"")</f>
        <v>0</v>
      </c>
      <c r="AX335" s="1423" t="n">
        <f aca="false">IF(ISNUMBER($AR335),SUMIF(AG$7:AG$503,$AR335,M$7:M$503),"")</f>
        <v>0</v>
      </c>
      <c r="AY335" s="2" t="str">
        <f aca="false">IF($AT335&gt;0,VLOOKUP($AR335,'O_MN, PE_UTA_UGM 2024'!E331:O747,2),"")</f>
        <v/>
      </c>
      <c r="AZ335" s="1424"/>
      <c r="BA335" s="1424"/>
      <c r="BB335" s="1424" t="str">
        <f aca="false">IF($AT335&gt;0,VLOOKUP($AR335,'O_MN, PE_UTA_UGM 2024'!$E$3:$O$419,BB$6),"")</f>
        <v/>
      </c>
      <c r="BC335" s="1424" t="str">
        <f aca="false">IF($AT335&gt;0,VLOOKUP($AR335,'O_MN, PE_UTA_UGM 2024'!$E$3:$O$419,BC$6),"")</f>
        <v/>
      </c>
      <c r="BD335" s="1424" t="str">
        <f aca="false">IF($AT335&gt;0,VLOOKUP($AR335,'O_MN, PE_UTA_UGM 2024'!$E$3:$O$419,BD$6),"")</f>
        <v/>
      </c>
      <c r="BE335" s="1424" t="str">
        <f aca="false">IF($AT335&gt;0,VLOOKUP($AR335,'O_MN, PE_UTA_UGM 2024'!$E$3:$O$419,BE$6),"")</f>
        <v/>
      </c>
      <c r="BF335" s="1424" t="str">
        <f aca="false">IF($AT335&gt;0,VLOOKUP($AR335,'O_MN, PE_UTA_UGM 2024'!$E$3:$O$419,BF$6),"")</f>
        <v/>
      </c>
      <c r="BG335" s="1424" t="str">
        <f aca="false">IF($AT335&gt;0,VLOOKUP($AR335,'O_MN, PE_UTA_UGM 2024'!$E$3:$O$419,BG$6),"")</f>
        <v/>
      </c>
      <c r="BH335" s="872"/>
      <c r="BI335" s="872"/>
      <c r="BJ335" s="872"/>
      <c r="BK335" s="872"/>
      <c r="BM335" s="1411"/>
      <c r="BN335" s="1411"/>
      <c r="BO335" s="1425" t="str">
        <f aca="false">IF(ISNUMBER($AU335*BB335*1),$AU335*BB335*1,"")</f>
        <v/>
      </c>
      <c r="BP335" s="1425" t="str">
        <f aca="false">IF(ISNUMBER($AV335*BC335*1),$AV335*BC335*1,"")</f>
        <v/>
      </c>
      <c r="BQ335" s="1425" t="str">
        <f aca="false">IF(ISNUMBER($AU335*BD335*1),$AU335*BD335*1,"")</f>
        <v/>
      </c>
      <c r="BR335" s="1425" t="str">
        <f aca="false">IF(ISNUMBER($AV335*BE335*1),$AV335*BE335*1,"")</f>
        <v/>
      </c>
      <c r="BS335" s="1411" t="str">
        <f aca="false">IF(ISNUMBER($AU335*BF335),$AU335*BF335,"")</f>
        <v/>
      </c>
      <c r="BT335" s="1411" t="str">
        <f aca="false">IF(ISNUMBER($AV335*BG335),$AV335*BG335,"")</f>
        <v/>
      </c>
      <c r="BU335" s="1411"/>
      <c r="BV335" s="1411"/>
      <c r="BW335" s="1411"/>
      <c r="BX335" s="1411"/>
      <c r="BZ335" s="1372"/>
      <c r="CA335" s="1372"/>
      <c r="CB335" s="1426" t="str">
        <f aca="false">IF(ISNUMBER($AW335*BB335),$AW335*BB335,"")</f>
        <v/>
      </c>
      <c r="CC335" s="1426" t="str">
        <f aca="false">IF(ISNUMBER($AX335*BC335),$AX335*BC335,"")</f>
        <v/>
      </c>
      <c r="CD335" s="1426" t="str">
        <f aca="false">IF(ISNUMBER($AW335*BD335),$AW335*BD335,"")</f>
        <v/>
      </c>
      <c r="CE335" s="1426" t="str">
        <f aca="false">IF(ISNUMBER($AX335*BE335),$AX335*BE335,"")</f>
        <v/>
      </c>
      <c r="CF335" s="1372" t="str">
        <f aca="false">IF(ISNUMBER($AW335*BF335),$AW335*BF335,"")</f>
        <v/>
      </c>
      <c r="CG335" s="1372" t="str">
        <f aca="false">IF(ISNUMBER($AX335*BG335),$AX335*BG335,"")</f>
        <v/>
      </c>
      <c r="CH335" s="1438"/>
      <c r="CI335" s="1438"/>
      <c r="CJ335" s="1438"/>
      <c r="CK335" s="1438"/>
      <c r="CU335" s="1411"/>
      <c r="CV335" s="1411"/>
      <c r="CW335" s="1425"/>
      <c r="CX335" s="1425"/>
      <c r="CY335" s="1425"/>
      <c r="CZ335" s="1425"/>
      <c r="DA335" s="1411"/>
      <c r="DB335" s="1411"/>
      <c r="DC335" s="1411"/>
      <c r="DD335" s="1411"/>
      <c r="DE335" s="1411"/>
      <c r="DF335" s="1411"/>
      <c r="DH335" s="1432"/>
      <c r="DI335" s="1432"/>
      <c r="DJ335" s="1437"/>
      <c r="DK335" s="1437"/>
      <c r="DL335" s="1437"/>
      <c r="DM335" s="1437"/>
      <c r="DN335" s="1432"/>
      <c r="DO335" s="1432"/>
      <c r="DP335" s="1432"/>
      <c r="DQ335" s="1432"/>
      <c r="DR335" s="1432"/>
      <c r="DS335" s="1432"/>
      <c r="DT335" s="1316"/>
      <c r="DU335" s="1433"/>
      <c r="DV335" s="1433"/>
      <c r="DW335" s="1433"/>
      <c r="DX335" s="1433"/>
      <c r="DY335" s="1433"/>
      <c r="DZ335" s="1433"/>
      <c r="EA335" s="1433"/>
      <c r="EB335" s="1433"/>
    </row>
    <row r="336" customFormat="false" ht="14.25" hidden="false" customHeight="false" outlineLevel="0" collapsed="false">
      <c r="A336" s="2" t="n">
        <f aca="false">'V_DATOS PAC_SGA'!R331</f>
        <v>0</v>
      </c>
      <c r="B336" s="2" t="n">
        <f aca="false">IF(I336="IV",CONCATENATE('V_DATOS PAC_SGA'!R331,"4")+0,CONCATENATE('V_DATOS PAC_SGA'!R331,"0")+0)</f>
        <v>0</v>
      </c>
      <c r="C336" s="2" t="n">
        <f aca="false">'V_DATOS PAC_SGA'!S331</f>
        <v>0</v>
      </c>
      <c r="D336" s="1409" t="n">
        <f aca="false">'V_DATOS PAC_SGA'!Y331</f>
        <v>0</v>
      </c>
      <c r="E336" s="1410" t="str">
        <f aca="false">IF('V_DATOS PAC_SGA'!AV331="","Regadio",'V_DATOS PAC_SGA'!AV331)</f>
        <v>Regadio</v>
      </c>
      <c r="F336" s="1411" t="n">
        <f aca="false">'V_DATOS PAC_SGA'!BK331</f>
        <v>0</v>
      </c>
      <c r="G336" s="1412" t="n">
        <f aca="false">'V_DATOS PAC_SGA'!AN331</f>
        <v>0</v>
      </c>
      <c r="H336" s="1413" t="str">
        <f aca="false">IF(B336&gt;0,VLOOKUP(B336,'O_MN, PE_UTA_UGM 2024'!E$3:O$419,10),"")</f>
        <v/>
      </c>
      <c r="I336" s="1359" t="n">
        <f aca="false">'V_DATOS PAC_SGA'!BV331</f>
        <v>0</v>
      </c>
      <c r="J336" s="2" t="str">
        <f aca="false">IF(AND(J$4=$G336,J$6=$F336),$D336*J$5,"")</f>
        <v/>
      </c>
      <c r="K336" s="2" t="str">
        <f aca="false">IF(AND(K$4=$G336,K$6=$F336),$D336*K$5,"")</f>
        <v/>
      </c>
      <c r="L336" s="2" t="str">
        <f aca="false">IF(AND(L$4=$G336,L$6=$F336),$D336*L$5,"")</f>
        <v/>
      </c>
      <c r="M336" s="2" t="str">
        <f aca="false">IF(AND(M$4=$G336,M$6=$F336),$D336*M$5,"")</f>
        <v/>
      </c>
      <c r="N336" s="1414" t="n">
        <f aca="false">VLOOKUP(B336,'O_MN, PE_UTA_UGM 2024'!$E$2:$K$419,IF(G336&gt;1,6,7))</f>
        <v>0</v>
      </c>
      <c r="O336" s="1434" t="str">
        <f aca="false">IF($H336=O$4,$D336*$N336,"")</f>
        <v/>
      </c>
      <c r="P336" s="1435" t="str">
        <f aca="false">IF($H336=P$4,$D336*$N336,"")</f>
        <v/>
      </c>
      <c r="Q336" s="1435" t="str">
        <f aca="false">IF($H336=Q$4,$D336*$N336,"")</f>
        <v/>
      </c>
      <c r="R336" s="1435" t="str">
        <f aca="false">IF($H336=R$4,$D336*$N336,"")</f>
        <v/>
      </c>
      <c r="S336" s="1435" t="str">
        <f aca="false">IF($H336=S$4,$D336*$N336,"")</f>
        <v/>
      </c>
      <c r="T336" s="1435" t="str">
        <f aca="false">IF($H336=T$4,$D336*$N336,"")</f>
        <v/>
      </c>
      <c r="U336" s="1436" t="str">
        <f aca="false">IF($H336=U$4,$D336*$N336,"")</f>
        <v/>
      </c>
      <c r="V336" s="1472"/>
      <c r="W336" s="1471"/>
      <c r="X336" s="1471"/>
      <c r="Y336" s="1471"/>
      <c r="Z336" s="1471"/>
      <c r="AA336" s="1471"/>
      <c r="AB336" s="1473"/>
      <c r="AC336" s="1319"/>
      <c r="AD336" s="2" t="str">
        <f aca="false">IF(AND(AD$4=$G336,AD$6=$F336),$B336,"")</f>
        <v/>
      </c>
      <c r="AE336" s="2" t="str">
        <f aca="false">IF(AND(AE$4=$G336,AE$6=$F336),$B336,"")</f>
        <v/>
      </c>
      <c r="AF336" s="2" t="str">
        <f aca="false">IF(AND(AF$4=$G336,AF$6=$F336),$B336,"")</f>
        <v/>
      </c>
      <c r="AG336" s="2" t="str">
        <f aca="false">IF(AND(AG$4=$G336,AG$6=$F336),$B336,"")</f>
        <v/>
      </c>
      <c r="AI336" s="366"/>
      <c r="AL336" s="367"/>
      <c r="AO336" s="367"/>
      <c r="AP336" s="2" t="str">
        <f aca="false">IF(AT336&gt;0,RANK(AT336,AT$7:AT$423),"")</f>
        <v/>
      </c>
      <c r="AQ336" s="1475" t="n">
        <f aca="false">'O_MN, PE_UTA_UGM 2024'!C332</f>
        <v>393</v>
      </c>
      <c r="AR336" s="1421" t="n">
        <v>3390</v>
      </c>
      <c r="AS336" s="2" t="str">
        <f aca="false">IF(AY336&lt;&gt;"",AY336,"")</f>
        <v/>
      </c>
      <c r="AT336" s="1422" t="n">
        <f aca="false">IF(ISNUMBER($AR336),SUMIF(B$7:B$505,AR336,D$7:D$505),"")</f>
        <v>0</v>
      </c>
      <c r="AU336" s="1411" t="n">
        <f aca="false">IF(ISNUMBER($AR336),SUMIF(AD$7:AD$503,$AR336,J$7:J$503),"")</f>
        <v>0</v>
      </c>
      <c r="AV336" s="1411" t="n">
        <f aca="false">IF(ISNUMBER($AR336),SUMIF(AF$7:AF$503,$AR336,L$7:L$503),"")</f>
        <v>0</v>
      </c>
      <c r="AW336" s="1423" t="n">
        <f aca="false">IF(ISNUMBER($AR336),SUMIF(AE$7:AE$503,$AR336,K$7:K$503),"")</f>
        <v>0</v>
      </c>
      <c r="AX336" s="1423" t="n">
        <f aca="false">IF(ISNUMBER($AR336),SUMIF(AG$7:AG$503,$AR336,M$7:M$503),"")</f>
        <v>0</v>
      </c>
      <c r="AY336" s="2" t="str">
        <f aca="false">IF($AT336&gt;0,VLOOKUP($AR336,'O_MN, PE_UTA_UGM 2024'!E332:O748,2),"")</f>
        <v/>
      </c>
      <c r="AZ336" s="1424"/>
      <c r="BA336" s="1424"/>
      <c r="BB336" s="1424" t="str">
        <f aca="false">IF($AT336&gt;0,VLOOKUP($AR336,'O_MN, PE_UTA_UGM 2024'!$E$3:$O$419,BB$6),"")</f>
        <v/>
      </c>
      <c r="BC336" s="1424" t="str">
        <f aca="false">IF($AT336&gt;0,VLOOKUP($AR336,'O_MN, PE_UTA_UGM 2024'!$E$3:$O$419,BC$6),"")</f>
        <v/>
      </c>
      <c r="BD336" s="1424" t="str">
        <f aca="false">IF($AT336&gt;0,VLOOKUP($AR336,'O_MN, PE_UTA_UGM 2024'!$E$3:$O$419,BD$6),"")</f>
        <v/>
      </c>
      <c r="BE336" s="1424" t="str">
        <f aca="false">IF($AT336&gt;0,VLOOKUP($AR336,'O_MN, PE_UTA_UGM 2024'!$E$3:$O$419,BE$6),"")</f>
        <v/>
      </c>
      <c r="BF336" s="1424" t="str">
        <f aca="false">IF($AT336&gt;0,VLOOKUP($AR336,'O_MN, PE_UTA_UGM 2024'!$E$3:$O$419,BF$6),"")</f>
        <v/>
      </c>
      <c r="BG336" s="1424" t="str">
        <f aca="false">IF($AT336&gt;0,VLOOKUP($AR336,'O_MN, PE_UTA_UGM 2024'!$E$3:$O$419,BG$6),"")</f>
        <v/>
      </c>
      <c r="BH336" s="872"/>
      <c r="BI336" s="872"/>
      <c r="BJ336" s="872"/>
      <c r="BK336" s="872"/>
      <c r="BM336" s="1411"/>
      <c r="BN336" s="1411"/>
      <c r="BO336" s="1425" t="str">
        <f aca="false">IF(ISNUMBER($AU336*BB336*1),$AU336*BB336*1,"")</f>
        <v/>
      </c>
      <c r="BP336" s="1425" t="str">
        <f aca="false">IF(ISNUMBER($AV336*BC336*1),$AV336*BC336*1,"")</f>
        <v/>
      </c>
      <c r="BQ336" s="1425" t="str">
        <f aca="false">IF(ISNUMBER($AU336*BD336*1),$AU336*BD336*1,"")</f>
        <v/>
      </c>
      <c r="BR336" s="1425" t="str">
        <f aca="false">IF(ISNUMBER($AV336*BE336*1),$AV336*BE336*1,"")</f>
        <v/>
      </c>
      <c r="BS336" s="1411" t="str">
        <f aca="false">IF(ISNUMBER($AU336*BF336),$AU336*BF336,"")</f>
        <v/>
      </c>
      <c r="BT336" s="1411" t="str">
        <f aca="false">IF(ISNUMBER($AV336*BG336),$AV336*BG336,"")</f>
        <v/>
      </c>
      <c r="BU336" s="1411"/>
      <c r="BV336" s="1411"/>
      <c r="BW336" s="1411"/>
      <c r="BX336" s="1411"/>
      <c r="BZ336" s="1372"/>
      <c r="CA336" s="1372"/>
      <c r="CB336" s="1426" t="str">
        <f aca="false">IF(ISNUMBER($AW336*BB336),$AW336*BB336,"")</f>
        <v/>
      </c>
      <c r="CC336" s="1426" t="str">
        <f aca="false">IF(ISNUMBER($AX336*BC336),$AX336*BC336,"")</f>
        <v/>
      </c>
      <c r="CD336" s="1426" t="str">
        <f aca="false">IF(ISNUMBER($AW336*BD336),$AW336*BD336,"")</f>
        <v/>
      </c>
      <c r="CE336" s="1426" t="str">
        <f aca="false">IF(ISNUMBER($AX336*BE336),$AX336*BE336,"")</f>
        <v/>
      </c>
      <c r="CF336" s="1372" t="str">
        <f aca="false">IF(ISNUMBER($AW336*BF336),$AW336*BF336,"")</f>
        <v/>
      </c>
      <c r="CG336" s="1372" t="str">
        <f aca="false">IF(ISNUMBER($AX336*BG336),$AX336*BG336,"")</f>
        <v/>
      </c>
      <c r="CH336" s="1438"/>
      <c r="CI336" s="1438"/>
      <c r="CJ336" s="1438"/>
      <c r="CK336" s="1438"/>
      <c r="CU336" s="1411"/>
      <c r="CV336" s="1411"/>
      <c r="CW336" s="1425"/>
      <c r="CX336" s="1425"/>
      <c r="CY336" s="1425"/>
      <c r="CZ336" s="1425"/>
      <c r="DA336" s="1411"/>
      <c r="DB336" s="1411"/>
      <c r="DC336" s="1411"/>
      <c r="DD336" s="1411"/>
      <c r="DE336" s="1411"/>
      <c r="DF336" s="1411"/>
      <c r="DH336" s="1432"/>
      <c r="DI336" s="1432"/>
      <c r="DJ336" s="1437"/>
      <c r="DK336" s="1437"/>
      <c r="DL336" s="1437"/>
      <c r="DM336" s="1437"/>
      <c r="DN336" s="1432"/>
      <c r="DO336" s="1432"/>
      <c r="DP336" s="1432"/>
      <c r="DQ336" s="1432"/>
      <c r="DR336" s="1432"/>
      <c r="DS336" s="1432"/>
      <c r="DT336" s="1316"/>
      <c r="DU336" s="1433"/>
      <c r="DV336" s="1433"/>
      <c r="DW336" s="1433"/>
      <c r="DX336" s="1433"/>
      <c r="DY336" s="1433"/>
      <c r="DZ336" s="1433"/>
      <c r="EA336" s="1433"/>
      <c r="EB336" s="1433"/>
    </row>
    <row r="337" customFormat="false" ht="14.25" hidden="false" customHeight="false" outlineLevel="0" collapsed="false">
      <c r="A337" s="2" t="n">
        <f aca="false">'V_DATOS PAC_SGA'!R332</f>
        <v>0</v>
      </c>
      <c r="B337" s="2" t="n">
        <f aca="false">IF(I337="IV",CONCATENATE('V_DATOS PAC_SGA'!R332,"4")+0,CONCATENATE('V_DATOS PAC_SGA'!R332,"0")+0)</f>
        <v>0</v>
      </c>
      <c r="C337" s="2" t="n">
        <f aca="false">'V_DATOS PAC_SGA'!S332</f>
        <v>0</v>
      </c>
      <c r="D337" s="1409" t="n">
        <f aca="false">'V_DATOS PAC_SGA'!Y332</f>
        <v>0</v>
      </c>
      <c r="E337" s="1410" t="str">
        <f aca="false">IF('V_DATOS PAC_SGA'!AV332="","Regadio",'V_DATOS PAC_SGA'!AV332)</f>
        <v>Regadio</v>
      </c>
      <c r="F337" s="1411" t="n">
        <f aca="false">'V_DATOS PAC_SGA'!BK332</f>
        <v>0</v>
      </c>
      <c r="G337" s="1412" t="n">
        <f aca="false">'V_DATOS PAC_SGA'!AN332</f>
        <v>0</v>
      </c>
      <c r="H337" s="1413" t="str">
        <f aca="false">IF(B337&gt;0,VLOOKUP(B337,'O_MN, PE_UTA_UGM 2024'!E$3:O$419,10),"")</f>
        <v/>
      </c>
      <c r="I337" s="1359" t="n">
        <f aca="false">'V_DATOS PAC_SGA'!BV332</f>
        <v>0</v>
      </c>
      <c r="J337" s="2" t="str">
        <f aca="false">IF(AND(J$4=$G337,J$6=$F337),$D337*J$5,"")</f>
        <v/>
      </c>
      <c r="K337" s="2" t="str">
        <f aca="false">IF(AND(K$4=$G337,K$6=$F337),$D337*K$5,"")</f>
        <v/>
      </c>
      <c r="L337" s="2" t="str">
        <f aca="false">IF(AND(L$4=$G337,L$6=$F337),$D337*L$5,"")</f>
        <v/>
      </c>
      <c r="M337" s="2" t="str">
        <f aca="false">IF(AND(M$4=$G337,M$6=$F337),$D337*M$5,"")</f>
        <v/>
      </c>
      <c r="N337" s="1414" t="n">
        <f aca="false">VLOOKUP(B337,'O_MN, PE_UTA_UGM 2024'!$E$2:$K$419,IF(G337&gt;1,6,7))</f>
        <v>0</v>
      </c>
      <c r="O337" s="1434" t="str">
        <f aca="false">IF($H337=O$4,$D337*$N337,"")</f>
        <v/>
      </c>
      <c r="P337" s="1435" t="str">
        <f aca="false">IF($H337=P$4,$D337*$N337,"")</f>
        <v/>
      </c>
      <c r="Q337" s="1435" t="str">
        <f aca="false">IF($H337=Q$4,$D337*$N337,"")</f>
        <v/>
      </c>
      <c r="R337" s="1435" t="str">
        <f aca="false">IF($H337=R$4,$D337*$N337,"")</f>
        <v/>
      </c>
      <c r="S337" s="1435" t="str">
        <f aca="false">IF($H337=S$4,$D337*$N337,"")</f>
        <v/>
      </c>
      <c r="T337" s="1435" t="str">
        <f aca="false">IF($H337=T$4,$D337*$N337,"")</f>
        <v/>
      </c>
      <c r="U337" s="1436" t="str">
        <f aca="false">IF($H337=U$4,$D337*$N337,"")</f>
        <v/>
      </c>
      <c r="V337" s="1472"/>
      <c r="W337" s="1471"/>
      <c r="X337" s="1471"/>
      <c r="Y337" s="1471"/>
      <c r="Z337" s="1471"/>
      <c r="AA337" s="1471"/>
      <c r="AB337" s="1473"/>
      <c r="AC337" s="1319"/>
      <c r="AD337" s="2" t="str">
        <f aca="false">IF(AND(AD$4=$G337,AD$6=$F337),$B337,"")</f>
        <v/>
      </c>
      <c r="AE337" s="2" t="str">
        <f aca="false">IF(AND(AE$4=$G337,AE$6=$F337),$B337,"")</f>
        <v/>
      </c>
      <c r="AF337" s="2" t="str">
        <f aca="false">IF(AND(AF$4=$G337,AF$6=$F337),$B337,"")</f>
        <v/>
      </c>
      <c r="AG337" s="2" t="str">
        <f aca="false">IF(AND(AG$4=$G337,AG$6=$F337),$B337,"")</f>
        <v/>
      </c>
      <c r="AI337" s="366"/>
      <c r="AL337" s="367"/>
      <c r="AO337" s="367"/>
      <c r="AP337" s="2" t="str">
        <f aca="false">IF(AT337&gt;0,RANK(AT337,AT$7:AT$423),"")</f>
        <v/>
      </c>
      <c r="AQ337" s="1475" t="n">
        <f aca="false">'O_MN, PE_UTA_UGM 2024'!C333</f>
        <v>394</v>
      </c>
      <c r="AR337" s="1421" t="n">
        <v>3400</v>
      </c>
      <c r="AS337" s="2" t="str">
        <f aca="false">IF(AY337&lt;&gt;"",AY337,"")</f>
        <v/>
      </c>
      <c r="AT337" s="1422" t="n">
        <f aca="false">IF(ISNUMBER($AR337),SUMIF(B$7:B$505,AR337,D$7:D$505),"")</f>
        <v>0</v>
      </c>
      <c r="AU337" s="1411" t="n">
        <f aca="false">IF(ISNUMBER($AR337),SUMIF(AD$7:AD$503,$AR337,J$7:J$503),"")</f>
        <v>0</v>
      </c>
      <c r="AV337" s="1411" t="n">
        <f aca="false">IF(ISNUMBER($AR337),SUMIF(AF$7:AF$503,$AR337,L$7:L$503),"")</f>
        <v>0</v>
      </c>
      <c r="AW337" s="1423" t="n">
        <f aca="false">IF(ISNUMBER($AR337),SUMIF(AE$7:AE$503,$AR337,K$7:K$503),"")</f>
        <v>0</v>
      </c>
      <c r="AX337" s="1423" t="n">
        <f aca="false">IF(ISNUMBER($AR337),SUMIF(AG$7:AG$503,$AR337,M$7:M$503),"")</f>
        <v>0</v>
      </c>
      <c r="AY337" s="2" t="str">
        <f aca="false">IF($AT337&gt;0,VLOOKUP($AR337,'O_MN, PE_UTA_UGM 2024'!E333:O749,2),"")</f>
        <v/>
      </c>
      <c r="AZ337" s="1424"/>
      <c r="BA337" s="1424"/>
      <c r="BB337" s="1424" t="str">
        <f aca="false">IF($AT337&gt;0,VLOOKUP($AR337,'O_MN, PE_UTA_UGM 2024'!$E$3:$O$419,BB$6),"")</f>
        <v/>
      </c>
      <c r="BC337" s="1424" t="str">
        <f aca="false">IF($AT337&gt;0,VLOOKUP($AR337,'O_MN, PE_UTA_UGM 2024'!$E$3:$O$419,BC$6),"")</f>
        <v/>
      </c>
      <c r="BD337" s="1424" t="str">
        <f aca="false">IF($AT337&gt;0,VLOOKUP($AR337,'O_MN, PE_UTA_UGM 2024'!$E$3:$O$419,BD$6),"")</f>
        <v/>
      </c>
      <c r="BE337" s="1424" t="str">
        <f aca="false">IF($AT337&gt;0,VLOOKUP($AR337,'O_MN, PE_UTA_UGM 2024'!$E$3:$O$419,BE$6),"")</f>
        <v/>
      </c>
      <c r="BF337" s="1424" t="str">
        <f aca="false">IF($AT337&gt;0,VLOOKUP($AR337,'O_MN, PE_UTA_UGM 2024'!$E$3:$O$419,BF$6),"")</f>
        <v/>
      </c>
      <c r="BG337" s="1424" t="str">
        <f aca="false">IF($AT337&gt;0,VLOOKUP($AR337,'O_MN, PE_UTA_UGM 2024'!$E$3:$O$419,BG$6),"")</f>
        <v/>
      </c>
      <c r="BH337" s="872"/>
      <c r="BI337" s="872"/>
      <c r="BJ337" s="872"/>
      <c r="BK337" s="872"/>
      <c r="BM337" s="1411"/>
      <c r="BN337" s="1411"/>
      <c r="BO337" s="1425" t="str">
        <f aca="false">IF(ISNUMBER($AU337*BB337*1),$AU337*BB337*1,"")</f>
        <v/>
      </c>
      <c r="BP337" s="1425" t="str">
        <f aca="false">IF(ISNUMBER($AV337*BC337*1),$AV337*BC337*1,"")</f>
        <v/>
      </c>
      <c r="BQ337" s="1425" t="str">
        <f aca="false">IF(ISNUMBER($AU337*BD337*1),$AU337*BD337*1,"")</f>
        <v/>
      </c>
      <c r="BR337" s="1425" t="str">
        <f aca="false">IF(ISNUMBER($AV337*BE337*1),$AV337*BE337*1,"")</f>
        <v/>
      </c>
      <c r="BS337" s="1411" t="str">
        <f aca="false">IF(ISNUMBER($AU337*BF337),$AU337*BF337,"")</f>
        <v/>
      </c>
      <c r="BT337" s="1411" t="str">
        <f aca="false">IF(ISNUMBER($AV337*BG337),$AV337*BG337,"")</f>
        <v/>
      </c>
      <c r="BU337" s="1411"/>
      <c r="BV337" s="1411"/>
      <c r="BW337" s="1411"/>
      <c r="BX337" s="1411"/>
      <c r="BZ337" s="1372"/>
      <c r="CA337" s="1372"/>
      <c r="CB337" s="1426" t="str">
        <f aca="false">IF(ISNUMBER($AW337*BB337),$AW337*BB337,"")</f>
        <v/>
      </c>
      <c r="CC337" s="1426" t="str">
        <f aca="false">IF(ISNUMBER($AX337*BC337),$AX337*BC337,"")</f>
        <v/>
      </c>
      <c r="CD337" s="1426" t="str">
        <f aca="false">IF(ISNUMBER($AW337*BD337),$AW337*BD337,"")</f>
        <v/>
      </c>
      <c r="CE337" s="1426" t="str">
        <f aca="false">IF(ISNUMBER($AX337*BE337),$AX337*BE337,"")</f>
        <v/>
      </c>
      <c r="CF337" s="1372" t="str">
        <f aca="false">IF(ISNUMBER($AW337*BF337),$AW337*BF337,"")</f>
        <v/>
      </c>
      <c r="CG337" s="1372" t="str">
        <f aca="false">IF(ISNUMBER($AX337*BG337),$AX337*BG337,"")</f>
        <v/>
      </c>
      <c r="CH337" s="1438"/>
      <c r="CI337" s="1438"/>
      <c r="CJ337" s="1438"/>
      <c r="CK337" s="1438"/>
      <c r="CU337" s="1411"/>
      <c r="CV337" s="1411"/>
      <c r="CW337" s="1425"/>
      <c r="CX337" s="1425"/>
      <c r="CY337" s="1425"/>
      <c r="CZ337" s="1425"/>
      <c r="DA337" s="1411"/>
      <c r="DB337" s="1411"/>
      <c r="DC337" s="1411"/>
      <c r="DD337" s="1411"/>
      <c r="DE337" s="1411"/>
      <c r="DF337" s="1411"/>
      <c r="DH337" s="1432"/>
      <c r="DI337" s="1432"/>
      <c r="DJ337" s="1437"/>
      <c r="DK337" s="1437"/>
      <c r="DL337" s="1437"/>
      <c r="DM337" s="1437"/>
      <c r="DN337" s="1432"/>
      <c r="DO337" s="1432"/>
      <c r="DP337" s="1432"/>
      <c r="DQ337" s="1432"/>
      <c r="DR337" s="1432"/>
      <c r="DS337" s="1432"/>
      <c r="DT337" s="1316"/>
      <c r="DU337" s="1433"/>
      <c r="DV337" s="1433"/>
      <c r="DW337" s="1433"/>
      <c r="DX337" s="1433"/>
      <c r="DY337" s="1433"/>
      <c r="DZ337" s="1433"/>
      <c r="EA337" s="1433"/>
      <c r="EB337" s="1433"/>
    </row>
    <row r="338" customFormat="false" ht="14.25" hidden="false" customHeight="false" outlineLevel="0" collapsed="false">
      <c r="A338" s="2" t="n">
        <f aca="false">'V_DATOS PAC_SGA'!R333</f>
        <v>0</v>
      </c>
      <c r="B338" s="2" t="n">
        <f aca="false">IF(I338="IV",CONCATENATE('V_DATOS PAC_SGA'!R333,"4")+0,CONCATENATE('V_DATOS PAC_SGA'!R333,"0")+0)</f>
        <v>0</v>
      </c>
      <c r="C338" s="2" t="n">
        <f aca="false">'V_DATOS PAC_SGA'!S333</f>
        <v>0</v>
      </c>
      <c r="D338" s="1409" t="n">
        <f aca="false">'V_DATOS PAC_SGA'!Y333</f>
        <v>0</v>
      </c>
      <c r="E338" s="1410" t="str">
        <f aca="false">IF('V_DATOS PAC_SGA'!AV333="","Regadio",'V_DATOS PAC_SGA'!AV333)</f>
        <v>Regadio</v>
      </c>
      <c r="F338" s="1411" t="n">
        <f aca="false">'V_DATOS PAC_SGA'!BK333</f>
        <v>0</v>
      </c>
      <c r="G338" s="1412" t="n">
        <f aca="false">'V_DATOS PAC_SGA'!AN333</f>
        <v>0</v>
      </c>
      <c r="H338" s="1413" t="str">
        <f aca="false">IF(B338&gt;0,VLOOKUP(B338,'O_MN, PE_UTA_UGM 2024'!E$3:O$419,10),"")</f>
        <v/>
      </c>
      <c r="I338" s="1359" t="n">
        <f aca="false">'V_DATOS PAC_SGA'!BV333</f>
        <v>0</v>
      </c>
      <c r="J338" s="2" t="str">
        <f aca="false">IF(AND(J$4=$G338,J$6=$F338),$D338*J$5,"")</f>
        <v/>
      </c>
      <c r="K338" s="2" t="str">
        <f aca="false">IF(AND(K$4=$G338,K$6=$F338),$D338*K$5,"")</f>
        <v/>
      </c>
      <c r="L338" s="2" t="str">
        <f aca="false">IF(AND(L$4=$G338,L$6=$F338),$D338*L$5,"")</f>
        <v/>
      </c>
      <c r="M338" s="2" t="str">
        <f aca="false">IF(AND(M$4=$G338,M$6=$F338),$D338*M$5,"")</f>
        <v/>
      </c>
      <c r="N338" s="1414" t="n">
        <f aca="false">VLOOKUP(B338,'O_MN, PE_UTA_UGM 2024'!$E$2:$K$419,IF(G338&gt;1,6,7))</f>
        <v>0</v>
      </c>
      <c r="O338" s="1434" t="str">
        <f aca="false">IF($H338=O$4,$D338*$N338,"")</f>
        <v/>
      </c>
      <c r="P338" s="1435" t="str">
        <f aca="false">IF($H338=P$4,$D338*$N338,"")</f>
        <v/>
      </c>
      <c r="Q338" s="1435" t="str">
        <f aca="false">IF($H338=Q$4,$D338*$N338,"")</f>
        <v/>
      </c>
      <c r="R338" s="1435" t="str">
        <f aca="false">IF($H338=R$4,$D338*$N338,"")</f>
        <v/>
      </c>
      <c r="S338" s="1435" t="str">
        <f aca="false">IF($H338=S$4,$D338*$N338,"")</f>
        <v/>
      </c>
      <c r="T338" s="1435" t="str">
        <f aca="false">IF($H338=T$4,$D338*$N338,"")</f>
        <v/>
      </c>
      <c r="U338" s="1436" t="str">
        <f aca="false">IF($H338=U$4,$D338*$N338,"")</f>
        <v/>
      </c>
      <c r="V338" s="1472"/>
      <c r="W338" s="1471"/>
      <c r="X338" s="1471"/>
      <c r="Y338" s="1471"/>
      <c r="Z338" s="1471"/>
      <c r="AA338" s="1471"/>
      <c r="AB338" s="1473"/>
      <c r="AC338" s="1319"/>
      <c r="AD338" s="2" t="str">
        <f aca="false">IF(AND(AD$4=$G338,AD$6=$F338),$B338,"")</f>
        <v/>
      </c>
      <c r="AE338" s="2" t="str">
        <f aca="false">IF(AND(AE$4=$G338,AE$6=$F338),$B338,"")</f>
        <v/>
      </c>
      <c r="AF338" s="2" t="str">
        <f aca="false">IF(AND(AF$4=$G338,AF$6=$F338),$B338,"")</f>
        <v/>
      </c>
      <c r="AG338" s="2" t="str">
        <f aca="false">IF(AND(AG$4=$G338,AG$6=$F338),$B338,"")</f>
        <v/>
      </c>
      <c r="AI338" s="366"/>
      <c r="AL338" s="367"/>
      <c r="AO338" s="367"/>
      <c r="AP338" s="2" t="str">
        <f aca="false">IF(AT338&gt;0,RANK(AT338,AT$7:AT$423),"")</f>
        <v/>
      </c>
      <c r="AQ338" s="1475" t="n">
        <f aca="false">'O_MN, PE_UTA_UGM 2024'!C334</f>
        <v>395</v>
      </c>
      <c r="AR338" s="1421" t="n">
        <v>3410</v>
      </c>
      <c r="AS338" s="2" t="str">
        <f aca="false">IF(AY338&lt;&gt;"",AY338,"")</f>
        <v/>
      </c>
      <c r="AT338" s="1422" t="n">
        <f aca="false">IF(ISNUMBER($AR338),SUMIF(B$7:B$505,AR338,D$7:D$505),"")</f>
        <v>0</v>
      </c>
      <c r="AU338" s="1411" t="n">
        <f aca="false">IF(ISNUMBER($AR338),SUMIF(AD$7:AD$503,$AR338,J$7:J$503),"")</f>
        <v>0</v>
      </c>
      <c r="AV338" s="1411" t="n">
        <f aca="false">IF(ISNUMBER($AR338),SUMIF(AF$7:AF$503,$AR338,L$7:L$503),"")</f>
        <v>0</v>
      </c>
      <c r="AW338" s="1423" t="n">
        <f aca="false">IF(ISNUMBER($AR338),SUMIF(AE$7:AE$503,$AR338,K$7:K$503),"")</f>
        <v>0</v>
      </c>
      <c r="AX338" s="1423" t="n">
        <f aca="false">IF(ISNUMBER($AR338),SUMIF(AG$7:AG$503,$AR338,M$7:M$503),"")</f>
        <v>0</v>
      </c>
      <c r="AY338" s="2" t="str">
        <f aca="false">IF($AT338&gt;0,VLOOKUP($AR338,'O_MN, PE_UTA_UGM 2024'!E334:O750,2),"")</f>
        <v/>
      </c>
      <c r="AZ338" s="1424"/>
      <c r="BA338" s="1424"/>
      <c r="BB338" s="1424" t="str">
        <f aca="false">IF($AT338&gt;0,VLOOKUP($AR338,'O_MN, PE_UTA_UGM 2024'!$E$3:$O$419,BB$6),"")</f>
        <v/>
      </c>
      <c r="BC338" s="1424" t="str">
        <f aca="false">IF($AT338&gt;0,VLOOKUP($AR338,'O_MN, PE_UTA_UGM 2024'!$E$3:$O$419,BC$6),"")</f>
        <v/>
      </c>
      <c r="BD338" s="1424" t="str">
        <f aca="false">IF($AT338&gt;0,VLOOKUP($AR338,'O_MN, PE_UTA_UGM 2024'!$E$3:$O$419,BD$6),"")</f>
        <v/>
      </c>
      <c r="BE338" s="1424" t="str">
        <f aca="false">IF($AT338&gt;0,VLOOKUP($AR338,'O_MN, PE_UTA_UGM 2024'!$E$3:$O$419,BE$6),"")</f>
        <v/>
      </c>
      <c r="BF338" s="1424" t="str">
        <f aca="false">IF($AT338&gt;0,VLOOKUP($AR338,'O_MN, PE_UTA_UGM 2024'!$E$3:$O$419,BF$6),"")</f>
        <v/>
      </c>
      <c r="BG338" s="1424" t="str">
        <f aca="false">IF($AT338&gt;0,VLOOKUP($AR338,'O_MN, PE_UTA_UGM 2024'!$E$3:$O$419,BG$6),"")</f>
        <v/>
      </c>
      <c r="BH338" s="872"/>
      <c r="BI338" s="872"/>
      <c r="BJ338" s="872"/>
      <c r="BK338" s="872"/>
      <c r="BM338" s="1411"/>
      <c r="BN338" s="1411"/>
      <c r="BO338" s="1425" t="str">
        <f aca="false">IF(ISNUMBER($AU338*BB338*1),$AU338*BB338*1,"")</f>
        <v/>
      </c>
      <c r="BP338" s="1425" t="str">
        <f aca="false">IF(ISNUMBER($AV338*BC338*1),$AV338*BC338*1,"")</f>
        <v/>
      </c>
      <c r="BQ338" s="1425" t="str">
        <f aca="false">IF(ISNUMBER($AU338*BD338*1),$AU338*BD338*1,"")</f>
        <v/>
      </c>
      <c r="BR338" s="1425" t="str">
        <f aca="false">IF(ISNUMBER($AV338*BE338*1),$AV338*BE338*1,"")</f>
        <v/>
      </c>
      <c r="BS338" s="1411" t="str">
        <f aca="false">IF(ISNUMBER($AU338*BF338),$AU338*BF338,"")</f>
        <v/>
      </c>
      <c r="BT338" s="1411" t="str">
        <f aca="false">IF(ISNUMBER($AV338*BG338),$AV338*BG338,"")</f>
        <v/>
      </c>
      <c r="BU338" s="1411"/>
      <c r="BV338" s="1411"/>
      <c r="BW338" s="1411"/>
      <c r="BX338" s="1411"/>
      <c r="BZ338" s="1372"/>
      <c r="CA338" s="1372"/>
      <c r="CB338" s="1426" t="str">
        <f aca="false">IF(ISNUMBER($AW338*BB338),$AW338*BB338,"")</f>
        <v/>
      </c>
      <c r="CC338" s="1426" t="str">
        <f aca="false">IF(ISNUMBER($AX338*BC338),$AX338*BC338,"")</f>
        <v/>
      </c>
      <c r="CD338" s="1426" t="str">
        <f aca="false">IF(ISNUMBER($AW338*BD338),$AW338*BD338,"")</f>
        <v/>
      </c>
      <c r="CE338" s="1426" t="str">
        <f aca="false">IF(ISNUMBER($AX338*BE338),$AX338*BE338,"")</f>
        <v/>
      </c>
      <c r="CF338" s="1372" t="str">
        <f aca="false">IF(ISNUMBER($AW338*BF338),$AW338*BF338,"")</f>
        <v/>
      </c>
      <c r="CG338" s="1372" t="str">
        <f aca="false">IF(ISNUMBER($AX338*BG338),$AX338*BG338,"")</f>
        <v/>
      </c>
      <c r="CH338" s="1438"/>
      <c r="CI338" s="1438"/>
      <c r="CJ338" s="1438"/>
      <c r="CK338" s="1438"/>
      <c r="CU338" s="1411"/>
      <c r="CV338" s="1411"/>
      <c r="CW338" s="1425"/>
      <c r="CX338" s="1425"/>
      <c r="CY338" s="1425"/>
      <c r="CZ338" s="1425"/>
      <c r="DA338" s="1411"/>
      <c r="DB338" s="1411"/>
      <c r="DC338" s="1411"/>
      <c r="DD338" s="1411"/>
      <c r="DE338" s="1411"/>
      <c r="DF338" s="1411"/>
      <c r="DH338" s="1432"/>
      <c r="DI338" s="1432"/>
      <c r="DJ338" s="1437"/>
      <c r="DK338" s="1437"/>
      <c r="DL338" s="1437"/>
      <c r="DM338" s="1437"/>
      <c r="DN338" s="1432"/>
      <c r="DO338" s="1432"/>
      <c r="DP338" s="1432"/>
      <c r="DQ338" s="1432"/>
      <c r="DR338" s="1432"/>
      <c r="DS338" s="1432"/>
      <c r="DT338" s="1316"/>
      <c r="DU338" s="1433"/>
      <c r="DV338" s="1433"/>
      <c r="DW338" s="1433"/>
      <c r="DX338" s="1433"/>
      <c r="DY338" s="1433"/>
      <c r="DZ338" s="1433"/>
      <c r="EA338" s="1433"/>
      <c r="EB338" s="1433"/>
    </row>
    <row r="339" customFormat="false" ht="14.25" hidden="false" customHeight="false" outlineLevel="0" collapsed="false">
      <c r="A339" s="2" t="n">
        <f aca="false">'V_DATOS PAC_SGA'!R334</f>
        <v>0</v>
      </c>
      <c r="B339" s="2" t="n">
        <f aca="false">IF(I339="IV",CONCATENATE('V_DATOS PAC_SGA'!R334,"4")+0,CONCATENATE('V_DATOS PAC_SGA'!R334,"0")+0)</f>
        <v>0</v>
      </c>
      <c r="C339" s="2" t="n">
        <f aca="false">'V_DATOS PAC_SGA'!S334</f>
        <v>0</v>
      </c>
      <c r="D339" s="1409" t="n">
        <f aca="false">'V_DATOS PAC_SGA'!Y334</f>
        <v>0</v>
      </c>
      <c r="E339" s="1410" t="str">
        <f aca="false">IF('V_DATOS PAC_SGA'!AV334="","Regadio",'V_DATOS PAC_SGA'!AV334)</f>
        <v>Regadio</v>
      </c>
      <c r="F339" s="1411" t="n">
        <f aca="false">'V_DATOS PAC_SGA'!BK334</f>
        <v>0</v>
      </c>
      <c r="G339" s="1412" t="n">
        <f aca="false">'V_DATOS PAC_SGA'!AN334</f>
        <v>0</v>
      </c>
      <c r="H339" s="1413" t="str">
        <f aca="false">IF(B339&gt;0,VLOOKUP(B339,'O_MN, PE_UTA_UGM 2024'!E$3:O$419,10),"")</f>
        <v/>
      </c>
      <c r="I339" s="1359" t="n">
        <f aca="false">'V_DATOS PAC_SGA'!BV334</f>
        <v>0</v>
      </c>
      <c r="J339" s="2" t="str">
        <f aca="false">IF(AND(J$4=$G339,J$6=$F339),$D339*J$5,"")</f>
        <v/>
      </c>
      <c r="K339" s="2" t="str">
        <f aca="false">IF(AND(K$4=$G339,K$6=$F339),$D339*K$5,"")</f>
        <v/>
      </c>
      <c r="L339" s="2" t="str">
        <f aca="false">IF(AND(L$4=$G339,L$6=$F339),$D339*L$5,"")</f>
        <v/>
      </c>
      <c r="M339" s="2" t="str">
        <f aca="false">IF(AND(M$4=$G339,M$6=$F339),$D339*M$5,"")</f>
        <v/>
      </c>
      <c r="N339" s="1414" t="n">
        <f aca="false">VLOOKUP(B339,'O_MN, PE_UTA_UGM 2024'!$E$2:$K$419,IF(G339&gt;1,6,7))</f>
        <v>0</v>
      </c>
      <c r="O339" s="1434" t="str">
        <f aca="false">IF($H339=O$4,$D339*$N339,"")</f>
        <v/>
      </c>
      <c r="P339" s="1435" t="str">
        <f aca="false">IF($H339=P$4,$D339*$N339,"")</f>
        <v/>
      </c>
      <c r="Q339" s="1435" t="str">
        <f aca="false">IF($H339=Q$4,$D339*$N339,"")</f>
        <v/>
      </c>
      <c r="R339" s="1435" t="str">
        <f aca="false">IF($H339=R$4,$D339*$N339,"")</f>
        <v/>
      </c>
      <c r="S339" s="1435" t="str">
        <f aca="false">IF($H339=S$4,$D339*$N339,"")</f>
        <v/>
      </c>
      <c r="T339" s="1435" t="str">
        <f aca="false">IF($H339=T$4,$D339*$N339,"")</f>
        <v/>
      </c>
      <c r="U339" s="1436" t="str">
        <f aca="false">IF($H339=U$4,$D339*$N339,"")</f>
        <v/>
      </c>
      <c r="V339" s="1472"/>
      <c r="W339" s="1471"/>
      <c r="X339" s="1471"/>
      <c r="Y339" s="1471"/>
      <c r="Z339" s="1471"/>
      <c r="AA339" s="1471"/>
      <c r="AB339" s="1473"/>
      <c r="AC339" s="1319"/>
      <c r="AD339" s="2" t="str">
        <f aca="false">IF(AND(AD$4=$G339,AD$6=$F339),$B339,"")</f>
        <v/>
      </c>
      <c r="AE339" s="2" t="str">
        <f aca="false">IF(AND(AE$4=$G339,AE$6=$F339),$B339,"")</f>
        <v/>
      </c>
      <c r="AF339" s="2" t="str">
        <f aca="false">IF(AND(AF$4=$G339,AF$6=$F339),$B339,"")</f>
        <v/>
      </c>
      <c r="AG339" s="2" t="str">
        <f aca="false">IF(AND(AG$4=$G339,AG$6=$F339),$B339,"")</f>
        <v/>
      </c>
      <c r="AI339" s="366"/>
      <c r="AL339" s="367"/>
      <c r="AO339" s="367"/>
      <c r="AP339" s="2" t="str">
        <f aca="false">IF(AT339&gt;0,RANK(AT339,AT$7:AT$423),"")</f>
        <v/>
      </c>
      <c r="AQ339" s="1475" t="n">
        <f aca="false">'O_MN, PE_UTA_UGM 2024'!C335</f>
        <v>397</v>
      </c>
      <c r="AR339" s="1421" t="n">
        <v>3430</v>
      </c>
      <c r="AS339" s="2" t="str">
        <f aca="false">IF(AY339&lt;&gt;"",AY339,"")</f>
        <v/>
      </c>
      <c r="AT339" s="1422" t="n">
        <f aca="false">IF(ISNUMBER($AR339),SUMIF(B$7:B$505,AR339,D$7:D$505),"")</f>
        <v>0</v>
      </c>
      <c r="AU339" s="1411" t="n">
        <f aca="false">IF(ISNUMBER($AR339),SUMIF(AD$7:AD$503,$AR339,J$7:J$503),"")</f>
        <v>0</v>
      </c>
      <c r="AV339" s="1411" t="n">
        <f aca="false">IF(ISNUMBER($AR339),SUMIF(AF$7:AF$503,$AR339,L$7:L$503),"")</f>
        <v>0</v>
      </c>
      <c r="AW339" s="1423" t="n">
        <f aca="false">IF(ISNUMBER($AR339),SUMIF(AE$7:AE$503,$AR339,K$7:K$503),"")</f>
        <v>0</v>
      </c>
      <c r="AX339" s="1423" t="n">
        <f aca="false">IF(ISNUMBER($AR339),SUMIF(AG$7:AG$503,$AR339,M$7:M$503),"")</f>
        <v>0</v>
      </c>
      <c r="AY339" s="2" t="str">
        <f aca="false">IF($AT339&gt;0,VLOOKUP($AR339,'O_MN, PE_UTA_UGM 2024'!E335:O751,2),"")</f>
        <v/>
      </c>
      <c r="AZ339" s="1424"/>
      <c r="BA339" s="1424"/>
      <c r="BB339" s="1424" t="str">
        <f aca="false">IF($AT339&gt;0,VLOOKUP($AR339,'O_MN, PE_UTA_UGM 2024'!$E$3:$O$419,BB$6),"")</f>
        <v/>
      </c>
      <c r="BC339" s="1424" t="str">
        <f aca="false">IF($AT339&gt;0,VLOOKUP($AR339,'O_MN, PE_UTA_UGM 2024'!$E$3:$O$419,BC$6),"")</f>
        <v/>
      </c>
      <c r="BD339" s="1424" t="str">
        <f aca="false">IF($AT339&gt;0,VLOOKUP($AR339,'O_MN, PE_UTA_UGM 2024'!$E$3:$O$419,BD$6),"")</f>
        <v/>
      </c>
      <c r="BE339" s="1424" t="str">
        <f aca="false">IF($AT339&gt;0,VLOOKUP($AR339,'O_MN, PE_UTA_UGM 2024'!$E$3:$O$419,BE$6),"")</f>
        <v/>
      </c>
      <c r="BF339" s="1424" t="str">
        <f aca="false">IF($AT339&gt;0,VLOOKUP($AR339,'O_MN, PE_UTA_UGM 2024'!$E$3:$O$419,BF$6),"")</f>
        <v/>
      </c>
      <c r="BG339" s="1424" t="str">
        <f aca="false">IF($AT339&gt;0,VLOOKUP($AR339,'O_MN, PE_UTA_UGM 2024'!$E$3:$O$419,BG$6),"")</f>
        <v/>
      </c>
      <c r="BH339" s="872"/>
      <c r="BI339" s="872"/>
      <c r="BJ339" s="872"/>
      <c r="BK339" s="872"/>
      <c r="BM339" s="1411"/>
      <c r="BN339" s="1411"/>
      <c r="BO339" s="1425" t="str">
        <f aca="false">IF(ISNUMBER($AU339*BB339*1),$AU339*BB339*1,"")</f>
        <v/>
      </c>
      <c r="BP339" s="1425" t="str">
        <f aca="false">IF(ISNUMBER($AV339*BC339*1),$AV339*BC339*1,"")</f>
        <v/>
      </c>
      <c r="BQ339" s="1425" t="str">
        <f aca="false">IF(ISNUMBER($AU339*BD339*1),$AU339*BD339*1,"")</f>
        <v/>
      </c>
      <c r="BR339" s="1425" t="str">
        <f aca="false">IF(ISNUMBER($AV339*BE339*1),$AV339*BE339*1,"")</f>
        <v/>
      </c>
      <c r="BS339" s="1411" t="str">
        <f aca="false">IF(ISNUMBER($AU339*BF339),$AU339*BF339,"")</f>
        <v/>
      </c>
      <c r="BT339" s="1411" t="str">
        <f aca="false">IF(ISNUMBER($AV339*BG339),$AV339*BG339,"")</f>
        <v/>
      </c>
      <c r="BU339" s="1411"/>
      <c r="BV339" s="1411"/>
      <c r="BW339" s="1411"/>
      <c r="BX339" s="1411"/>
      <c r="BZ339" s="1372"/>
      <c r="CA339" s="1372"/>
      <c r="CB339" s="1426" t="str">
        <f aca="false">IF(ISNUMBER($AW339*BB339),$AW339*BB339,"")</f>
        <v/>
      </c>
      <c r="CC339" s="1426" t="str">
        <f aca="false">IF(ISNUMBER($AX339*BC339),$AX339*BC339,"")</f>
        <v/>
      </c>
      <c r="CD339" s="1426" t="str">
        <f aca="false">IF(ISNUMBER($AW339*BD339),$AW339*BD339,"")</f>
        <v/>
      </c>
      <c r="CE339" s="1426" t="str">
        <f aca="false">IF(ISNUMBER($AX339*BE339),$AX339*BE339,"")</f>
        <v/>
      </c>
      <c r="CF339" s="1372" t="str">
        <f aca="false">IF(ISNUMBER($AW339*BF339),$AW339*BF339,"")</f>
        <v/>
      </c>
      <c r="CG339" s="1372" t="str">
        <f aca="false">IF(ISNUMBER($AX339*BG339),$AX339*BG339,"")</f>
        <v/>
      </c>
      <c r="CH339" s="1438"/>
      <c r="CI339" s="1438"/>
      <c r="CJ339" s="1438"/>
      <c r="CK339" s="1438"/>
      <c r="CU339" s="1411"/>
      <c r="CV339" s="1411"/>
      <c r="CW339" s="1425"/>
      <c r="CX339" s="1425"/>
      <c r="CY339" s="1425"/>
      <c r="CZ339" s="1425"/>
      <c r="DA339" s="1411"/>
      <c r="DB339" s="1411"/>
      <c r="DC339" s="1411"/>
      <c r="DD339" s="1411"/>
      <c r="DE339" s="1411"/>
      <c r="DF339" s="1411"/>
      <c r="DH339" s="1432"/>
      <c r="DI339" s="1432"/>
      <c r="DJ339" s="1437"/>
      <c r="DK339" s="1437"/>
      <c r="DL339" s="1437"/>
      <c r="DM339" s="1437"/>
      <c r="DN339" s="1432"/>
      <c r="DO339" s="1432"/>
      <c r="DP339" s="1432"/>
      <c r="DQ339" s="1432"/>
      <c r="DR339" s="1432"/>
      <c r="DS339" s="1432"/>
      <c r="DT339" s="1316"/>
      <c r="DU339" s="1433"/>
      <c r="DV339" s="1433"/>
      <c r="DW339" s="1433"/>
      <c r="DX339" s="1433"/>
      <c r="DY339" s="1433"/>
      <c r="DZ339" s="1433"/>
      <c r="EA339" s="1433"/>
      <c r="EB339" s="1433"/>
    </row>
    <row r="340" customFormat="false" ht="14.25" hidden="false" customHeight="false" outlineLevel="0" collapsed="false">
      <c r="A340" s="2" t="n">
        <f aca="false">'V_DATOS PAC_SGA'!R335</f>
        <v>0</v>
      </c>
      <c r="B340" s="2" t="n">
        <f aca="false">IF(I340="IV",CONCATENATE('V_DATOS PAC_SGA'!R335,"4")+0,CONCATENATE('V_DATOS PAC_SGA'!R335,"0")+0)</f>
        <v>0</v>
      </c>
      <c r="C340" s="2" t="n">
        <f aca="false">'V_DATOS PAC_SGA'!S335</f>
        <v>0</v>
      </c>
      <c r="D340" s="1409" t="n">
        <f aca="false">'V_DATOS PAC_SGA'!Y335</f>
        <v>0</v>
      </c>
      <c r="E340" s="1410" t="str">
        <f aca="false">IF('V_DATOS PAC_SGA'!AV335="","Regadio",'V_DATOS PAC_SGA'!AV335)</f>
        <v>Regadio</v>
      </c>
      <c r="F340" s="1411" t="n">
        <f aca="false">'V_DATOS PAC_SGA'!BK335</f>
        <v>0</v>
      </c>
      <c r="G340" s="1412" t="n">
        <f aca="false">'V_DATOS PAC_SGA'!AN335</f>
        <v>0</v>
      </c>
      <c r="H340" s="1413" t="str">
        <f aca="false">IF(B340&gt;0,VLOOKUP(B340,'O_MN, PE_UTA_UGM 2024'!E$3:O$419,10),"")</f>
        <v/>
      </c>
      <c r="I340" s="1359" t="n">
        <f aca="false">'V_DATOS PAC_SGA'!BV335</f>
        <v>0</v>
      </c>
      <c r="J340" s="2" t="str">
        <f aca="false">IF(AND(J$4=$G340,J$6=$F340),$D340*J$5,"")</f>
        <v/>
      </c>
      <c r="K340" s="2" t="str">
        <f aca="false">IF(AND(K$4=$G340,K$6=$F340),$D340*K$5,"")</f>
        <v/>
      </c>
      <c r="L340" s="2" t="str">
        <f aca="false">IF(AND(L$4=$G340,L$6=$F340),$D340*L$5,"")</f>
        <v/>
      </c>
      <c r="M340" s="2" t="str">
        <f aca="false">IF(AND(M$4=$G340,M$6=$F340),$D340*M$5,"")</f>
        <v/>
      </c>
      <c r="N340" s="1414" t="n">
        <f aca="false">VLOOKUP(B340,'O_MN, PE_UTA_UGM 2024'!$E$2:$K$419,IF(G340&gt;1,6,7))</f>
        <v>0</v>
      </c>
      <c r="O340" s="1434" t="str">
        <f aca="false">IF($H340=O$4,$D340*$N340,"")</f>
        <v/>
      </c>
      <c r="P340" s="1435" t="str">
        <f aca="false">IF($H340=P$4,$D340*$N340,"")</f>
        <v/>
      </c>
      <c r="Q340" s="1435" t="str">
        <f aca="false">IF($H340=Q$4,$D340*$N340,"")</f>
        <v/>
      </c>
      <c r="R340" s="1435" t="str">
        <f aca="false">IF($H340=R$4,$D340*$N340,"")</f>
        <v/>
      </c>
      <c r="S340" s="1435" t="str">
        <f aca="false">IF($H340=S$4,$D340*$N340,"")</f>
        <v/>
      </c>
      <c r="T340" s="1435" t="str">
        <f aca="false">IF($H340=T$4,$D340*$N340,"")</f>
        <v/>
      </c>
      <c r="U340" s="1436" t="str">
        <f aca="false">IF($H340=U$4,$D340*$N340,"")</f>
        <v/>
      </c>
      <c r="V340" s="1472"/>
      <c r="W340" s="1471"/>
      <c r="X340" s="1471"/>
      <c r="Y340" s="1471"/>
      <c r="Z340" s="1471"/>
      <c r="AA340" s="1471"/>
      <c r="AB340" s="1473"/>
      <c r="AC340" s="1319"/>
      <c r="AD340" s="2" t="str">
        <f aca="false">IF(AND(AD$4=$G340,AD$6=$F340),$B340,"")</f>
        <v/>
      </c>
      <c r="AE340" s="2" t="str">
        <f aca="false">IF(AND(AE$4=$G340,AE$6=$F340),$B340,"")</f>
        <v/>
      </c>
      <c r="AF340" s="2" t="str">
        <f aca="false">IF(AND(AF$4=$G340,AF$6=$F340),$B340,"")</f>
        <v/>
      </c>
      <c r="AG340" s="2" t="str">
        <f aca="false">IF(AND(AG$4=$G340,AG$6=$F340),$B340,"")</f>
        <v/>
      </c>
      <c r="AI340" s="366"/>
      <c r="AL340" s="367"/>
      <c r="AO340" s="367"/>
      <c r="AP340" s="2" t="str">
        <f aca="false">IF(AT340&gt;0,RANK(AT340,AT$7:AT$423),"")</f>
        <v/>
      </c>
      <c r="AQ340" s="1475" t="n">
        <f aca="false">'O_MN, PE_UTA_UGM 2024'!C336</f>
        <v>398</v>
      </c>
      <c r="AR340" s="1421" t="n">
        <v>3440</v>
      </c>
      <c r="AS340" s="2" t="str">
        <f aca="false">IF(AY340&lt;&gt;"",AY340,"")</f>
        <v/>
      </c>
      <c r="AT340" s="1422" t="n">
        <f aca="false">IF(ISNUMBER($AR340),SUMIF(B$7:B$505,AR340,D$7:D$505),"")</f>
        <v>0</v>
      </c>
      <c r="AU340" s="1411" t="n">
        <f aca="false">IF(ISNUMBER($AR340),SUMIF(AD$7:AD$503,$AR340,J$7:J$503),"")</f>
        <v>0</v>
      </c>
      <c r="AV340" s="1411" t="n">
        <f aca="false">IF(ISNUMBER($AR340),SUMIF(AF$7:AF$503,$AR340,L$7:L$503),"")</f>
        <v>0</v>
      </c>
      <c r="AW340" s="1423" t="n">
        <f aca="false">IF(ISNUMBER($AR340),SUMIF(AE$7:AE$503,$AR340,K$7:K$503),"")</f>
        <v>0</v>
      </c>
      <c r="AX340" s="1423" t="n">
        <f aca="false">IF(ISNUMBER($AR340),SUMIF(AG$7:AG$503,$AR340,M$7:M$503),"")</f>
        <v>0</v>
      </c>
      <c r="AY340" s="2" t="str">
        <f aca="false">IF($AT340&gt;0,VLOOKUP($AR340,'O_MN, PE_UTA_UGM 2024'!E336:O752,2),"")</f>
        <v/>
      </c>
      <c r="AZ340" s="1424"/>
      <c r="BA340" s="1424"/>
      <c r="BB340" s="1424" t="str">
        <f aca="false">IF($AT340&gt;0,VLOOKUP($AR340,'O_MN, PE_UTA_UGM 2024'!$E$3:$O$419,BB$6),"")</f>
        <v/>
      </c>
      <c r="BC340" s="1424" t="str">
        <f aca="false">IF($AT340&gt;0,VLOOKUP($AR340,'O_MN, PE_UTA_UGM 2024'!$E$3:$O$419,BC$6),"")</f>
        <v/>
      </c>
      <c r="BD340" s="1424" t="str">
        <f aca="false">IF($AT340&gt;0,VLOOKUP($AR340,'O_MN, PE_UTA_UGM 2024'!$E$3:$O$419,BD$6),"")</f>
        <v/>
      </c>
      <c r="BE340" s="1424" t="str">
        <f aca="false">IF($AT340&gt;0,VLOOKUP($AR340,'O_MN, PE_UTA_UGM 2024'!$E$3:$O$419,BE$6),"")</f>
        <v/>
      </c>
      <c r="BF340" s="1424" t="str">
        <f aca="false">IF($AT340&gt;0,VLOOKUP($AR340,'O_MN, PE_UTA_UGM 2024'!$E$3:$O$419,BF$6),"")</f>
        <v/>
      </c>
      <c r="BG340" s="1424" t="str">
        <f aca="false">IF($AT340&gt;0,VLOOKUP($AR340,'O_MN, PE_UTA_UGM 2024'!$E$3:$O$419,BG$6),"")</f>
        <v/>
      </c>
      <c r="BH340" s="872"/>
      <c r="BI340" s="872"/>
      <c r="BJ340" s="872"/>
      <c r="BK340" s="872"/>
      <c r="BM340" s="1411"/>
      <c r="BN340" s="1411"/>
      <c r="BO340" s="1425" t="str">
        <f aca="false">IF(ISNUMBER($AU340*BB340*1),$AU340*BB340*1,"")</f>
        <v/>
      </c>
      <c r="BP340" s="1425" t="str">
        <f aca="false">IF(ISNUMBER($AV340*BC340*1),$AV340*BC340*1,"")</f>
        <v/>
      </c>
      <c r="BQ340" s="1425" t="str">
        <f aca="false">IF(ISNUMBER($AU340*BD340*1),$AU340*BD340*1,"")</f>
        <v/>
      </c>
      <c r="BR340" s="1425" t="str">
        <f aca="false">IF(ISNUMBER($AV340*BE340*1),$AV340*BE340*1,"")</f>
        <v/>
      </c>
      <c r="BS340" s="1411" t="str">
        <f aca="false">IF(ISNUMBER($AU340*BF340),$AU340*BF340,"")</f>
        <v/>
      </c>
      <c r="BT340" s="1411" t="str">
        <f aca="false">IF(ISNUMBER($AV340*BG340),$AV340*BG340,"")</f>
        <v/>
      </c>
      <c r="BU340" s="1411"/>
      <c r="BV340" s="1411"/>
      <c r="BW340" s="1411"/>
      <c r="BX340" s="1411"/>
      <c r="BZ340" s="1372"/>
      <c r="CA340" s="1372"/>
      <c r="CB340" s="1426" t="str">
        <f aca="false">IF(ISNUMBER($AW340*BB340),$AW340*BB340,"")</f>
        <v/>
      </c>
      <c r="CC340" s="1426" t="str">
        <f aca="false">IF(ISNUMBER($AX340*BC340),$AX340*BC340,"")</f>
        <v/>
      </c>
      <c r="CD340" s="1426" t="str">
        <f aca="false">IF(ISNUMBER($AW340*BD340),$AW340*BD340,"")</f>
        <v/>
      </c>
      <c r="CE340" s="1426" t="str">
        <f aca="false">IF(ISNUMBER($AX340*BE340),$AX340*BE340,"")</f>
        <v/>
      </c>
      <c r="CF340" s="1372" t="str">
        <f aca="false">IF(ISNUMBER($AW340*BF340),$AW340*BF340,"")</f>
        <v/>
      </c>
      <c r="CG340" s="1372" t="str">
        <f aca="false">IF(ISNUMBER($AX340*BG340),$AX340*BG340,"")</f>
        <v/>
      </c>
      <c r="CH340" s="1438"/>
      <c r="CI340" s="1438"/>
      <c r="CJ340" s="1438"/>
      <c r="CK340" s="1438"/>
      <c r="CU340" s="1411"/>
      <c r="CV340" s="1411"/>
      <c r="CW340" s="1425"/>
      <c r="CX340" s="1425"/>
      <c r="CY340" s="1425"/>
      <c r="CZ340" s="1425"/>
      <c r="DA340" s="1411"/>
      <c r="DB340" s="1411"/>
      <c r="DC340" s="1411"/>
      <c r="DD340" s="1411"/>
      <c r="DE340" s="1411"/>
      <c r="DF340" s="1411"/>
      <c r="DH340" s="1432"/>
      <c r="DI340" s="1432"/>
      <c r="DJ340" s="1437"/>
      <c r="DK340" s="1437"/>
      <c r="DL340" s="1437"/>
      <c r="DM340" s="1437"/>
      <c r="DN340" s="1432"/>
      <c r="DO340" s="1432"/>
      <c r="DP340" s="1432"/>
      <c r="DQ340" s="1432"/>
      <c r="DR340" s="1432"/>
      <c r="DS340" s="1432"/>
      <c r="DT340" s="1316"/>
      <c r="DU340" s="1433"/>
      <c r="DV340" s="1433"/>
      <c r="DW340" s="1433"/>
      <c r="DX340" s="1433"/>
      <c r="DY340" s="1433"/>
      <c r="DZ340" s="1433"/>
      <c r="EA340" s="1433"/>
      <c r="EB340" s="1433"/>
    </row>
    <row r="341" customFormat="false" ht="14.25" hidden="false" customHeight="false" outlineLevel="0" collapsed="false">
      <c r="A341" s="2" t="n">
        <f aca="false">'V_DATOS PAC_SGA'!R336</f>
        <v>0</v>
      </c>
      <c r="B341" s="2" t="n">
        <f aca="false">IF(I341="IV",CONCATENATE('V_DATOS PAC_SGA'!R336,"4")+0,CONCATENATE('V_DATOS PAC_SGA'!R336,"0")+0)</f>
        <v>0</v>
      </c>
      <c r="C341" s="2" t="n">
        <f aca="false">'V_DATOS PAC_SGA'!S336</f>
        <v>0</v>
      </c>
      <c r="D341" s="1409" t="n">
        <f aca="false">'V_DATOS PAC_SGA'!Y336</f>
        <v>0</v>
      </c>
      <c r="E341" s="1410" t="str">
        <f aca="false">IF('V_DATOS PAC_SGA'!AV336="","Regadio",'V_DATOS PAC_SGA'!AV336)</f>
        <v>Regadio</v>
      </c>
      <c r="F341" s="1411" t="n">
        <f aca="false">'V_DATOS PAC_SGA'!BK336</f>
        <v>0</v>
      </c>
      <c r="G341" s="1412" t="n">
        <f aca="false">'V_DATOS PAC_SGA'!AN336</f>
        <v>0</v>
      </c>
      <c r="H341" s="1413" t="str">
        <f aca="false">IF(B341&gt;0,VLOOKUP(B341,'O_MN, PE_UTA_UGM 2024'!E$3:O$419,10),"")</f>
        <v/>
      </c>
      <c r="I341" s="1359" t="n">
        <f aca="false">'V_DATOS PAC_SGA'!BV336</f>
        <v>0</v>
      </c>
      <c r="J341" s="2" t="str">
        <f aca="false">IF(AND(J$4=$G341,J$6=$F341),$D341*J$5,"")</f>
        <v/>
      </c>
      <c r="K341" s="2" t="str">
        <f aca="false">IF(AND(K$4=$G341,K$6=$F341),$D341*K$5,"")</f>
        <v/>
      </c>
      <c r="L341" s="2" t="str">
        <f aca="false">IF(AND(L$4=$G341,L$6=$F341),$D341*L$5,"")</f>
        <v/>
      </c>
      <c r="M341" s="2" t="str">
        <f aca="false">IF(AND(M$4=$G341,M$6=$F341),$D341*M$5,"")</f>
        <v/>
      </c>
      <c r="N341" s="1414" t="n">
        <f aca="false">VLOOKUP(B341,'O_MN, PE_UTA_UGM 2024'!$E$2:$K$419,IF(G341&gt;1,6,7))</f>
        <v>0</v>
      </c>
      <c r="O341" s="1434" t="str">
        <f aca="false">IF($H341=O$4,$D341*$N341,"")</f>
        <v/>
      </c>
      <c r="P341" s="1435" t="str">
        <f aca="false">IF($H341=P$4,$D341*$N341,"")</f>
        <v/>
      </c>
      <c r="Q341" s="1435" t="str">
        <f aca="false">IF($H341=Q$4,$D341*$N341,"")</f>
        <v/>
      </c>
      <c r="R341" s="1435" t="str">
        <f aca="false">IF($H341=R$4,$D341*$N341,"")</f>
        <v/>
      </c>
      <c r="S341" s="1435" t="str">
        <f aca="false">IF($H341=S$4,$D341*$N341,"")</f>
        <v/>
      </c>
      <c r="T341" s="1435" t="str">
        <f aca="false">IF($H341=T$4,$D341*$N341,"")</f>
        <v/>
      </c>
      <c r="U341" s="1436" t="str">
        <f aca="false">IF($H341=U$4,$D341*$N341,"")</f>
        <v/>
      </c>
      <c r="V341" s="1472"/>
      <c r="W341" s="1471"/>
      <c r="X341" s="1471"/>
      <c r="Y341" s="1471"/>
      <c r="Z341" s="1471"/>
      <c r="AA341" s="1471"/>
      <c r="AB341" s="1473"/>
      <c r="AC341" s="1319"/>
      <c r="AD341" s="2" t="str">
        <f aca="false">IF(AND(AD$4=$G341,AD$6=$F341),$B341,"")</f>
        <v/>
      </c>
      <c r="AE341" s="2" t="str">
        <f aca="false">IF(AND(AE$4=$G341,AE$6=$F341),$B341,"")</f>
        <v/>
      </c>
      <c r="AF341" s="2" t="str">
        <f aca="false">IF(AND(AF$4=$G341,AF$6=$F341),$B341,"")</f>
        <v/>
      </c>
      <c r="AG341" s="2" t="str">
        <f aca="false">IF(AND(AG$4=$G341,AG$6=$F341),$B341,"")</f>
        <v/>
      </c>
      <c r="AI341" s="366"/>
      <c r="AL341" s="367"/>
      <c r="AO341" s="367"/>
      <c r="AP341" s="2" t="str">
        <f aca="false">IF(AT341&gt;0,RANK(AT341,AT$7:AT$423),"")</f>
        <v/>
      </c>
      <c r="AQ341" s="1475" t="n">
        <f aca="false">'O_MN, PE_UTA_UGM 2024'!C337</f>
        <v>401</v>
      </c>
      <c r="AR341" s="1421" t="n">
        <v>3450</v>
      </c>
      <c r="AS341" s="2" t="str">
        <f aca="false">IF(AY341&lt;&gt;"",AY341,"")</f>
        <v/>
      </c>
      <c r="AT341" s="1422" t="n">
        <f aca="false">IF(ISNUMBER($AR341),SUMIF(B$7:B$505,AR341,D$7:D$505),"")</f>
        <v>0</v>
      </c>
      <c r="AU341" s="1411" t="n">
        <f aca="false">IF(ISNUMBER($AR341),SUMIF(AD$7:AD$503,$AR341,J$7:J$503),"")</f>
        <v>0</v>
      </c>
      <c r="AV341" s="1411" t="n">
        <f aca="false">IF(ISNUMBER($AR341),SUMIF(AF$7:AF$503,$AR341,L$7:L$503),"")</f>
        <v>0</v>
      </c>
      <c r="AW341" s="1423" t="n">
        <f aca="false">IF(ISNUMBER($AR341),SUMIF(AE$7:AE$503,$AR341,K$7:K$503),"")</f>
        <v>0</v>
      </c>
      <c r="AX341" s="1423" t="n">
        <f aca="false">IF(ISNUMBER($AR341),SUMIF(AG$7:AG$503,$AR341,M$7:M$503),"")</f>
        <v>0</v>
      </c>
      <c r="AY341" s="2" t="str">
        <f aca="false">IF($AT341&gt;0,VLOOKUP($AR341,'O_MN, PE_UTA_UGM 2024'!E337:O753,2),"")</f>
        <v/>
      </c>
      <c r="AZ341" s="1424"/>
      <c r="BA341" s="1424"/>
      <c r="BB341" s="1424" t="str">
        <f aca="false">IF($AT341&gt;0,VLOOKUP($AR341,'O_MN, PE_UTA_UGM 2024'!$E$3:$O$419,BB$6),"")</f>
        <v/>
      </c>
      <c r="BC341" s="1424" t="str">
        <f aca="false">IF($AT341&gt;0,VLOOKUP($AR341,'O_MN, PE_UTA_UGM 2024'!$E$3:$O$419,BC$6),"")</f>
        <v/>
      </c>
      <c r="BD341" s="1424" t="str">
        <f aca="false">IF($AT341&gt;0,VLOOKUP($AR341,'O_MN, PE_UTA_UGM 2024'!$E$3:$O$419,BD$6),"")</f>
        <v/>
      </c>
      <c r="BE341" s="1424" t="str">
        <f aca="false">IF($AT341&gt;0,VLOOKUP($AR341,'O_MN, PE_UTA_UGM 2024'!$E$3:$O$419,BE$6),"")</f>
        <v/>
      </c>
      <c r="BF341" s="1424" t="str">
        <f aca="false">IF($AT341&gt;0,VLOOKUP($AR341,'O_MN, PE_UTA_UGM 2024'!$E$3:$O$419,BF$6),"")</f>
        <v/>
      </c>
      <c r="BG341" s="1424" t="str">
        <f aca="false">IF($AT341&gt;0,VLOOKUP($AR341,'O_MN, PE_UTA_UGM 2024'!$E$3:$O$419,BG$6),"")</f>
        <v/>
      </c>
      <c r="BH341" s="872"/>
      <c r="BI341" s="872"/>
      <c r="BJ341" s="872"/>
      <c r="BK341" s="872"/>
      <c r="BM341" s="1411"/>
      <c r="BN341" s="1411"/>
      <c r="BO341" s="1425" t="str">
        <f aca="false">IF(ISNUMBER($AU341*BB341*1),$AU341*BB341*1,"")</f>
        <v/>
      </c>
      <c r="BP341" s="1425" t="str">
        <f aca="false">IF(ISNUMBER($AV341*BC341*1),$AV341*BC341*1,"")</f>
        <v/>
      </c>
      <c r="BQ341" s="1425" t="str">
        <f aca="false">IF(ISNUMBER($AU341*BD341*1),$AU341*BD341*1,"")</f>
        <v/>
      </c>
      <c r="BR341" s="1425" t="str">
        <f aca="false">IF(ISNUMBER($AV341*BE341*1),$AV341*BE341*1,"")</f>
        <v/>
      </c>
      <c r="BS341" s="1411" t="str">
        <f aca="false">IF(ISNUMBER($AU341*BF341),$AU341*BF341,"")</f>
        <v/>
      </c>
      <c r="BT341" s="1411" t="str">
        <f aca="false">IF(ISNUMBER($AV341*BG341),$AV341*BG341,"")</f>
        <v/>
      </c>
      <c r="BU341" s="1411"/>
      <c r="BV341" s="1411"/>
      <c r="BW341" s="1411"/>
      <c r="BX341" s="1411"/>
      <c r="BZ341" s="1372"/>
      <c r="CA341" s="1372"/>
      <c r="CB341" s="1426" t="str">
        <f aca="false">IF(ISNUMBER($AW341*BB341),$AW341*BB341,"")</f>
        <v/>
      </c>
      <c r="CC341" s="1426" t="str">
        <f aca="false">IF(ISNUMBER($AX341*BC341),$AX341*BC341,"")</f>
        <v/>
      </c>
      <c r="CD341" s="1426" t="str">
        <f aca="false">IF(ISNUMBER($AW341*BD341),$AW341*BD341,"")</f>
        <v/>
      </c>
      <c r="CE341" s="1426" t="str">
        <f aca="false">IF(ISNUMBER($AX341*BE341),$AX341*BE341,"")</f>
        <v/>
      </c>
      <c r="CF341" s="1372" t="str">
        <f aca="false">IF(ISNUMBER($AW341*BF341),$AW341*BF341,"")</f>
        <v/>
      </c>
      <c r="CG341" s="1372" t="str">
        <f aca="false">IF(ISNUMBER($AX341*BG341),$AX341*BG341,"")</f>
        <v/>
      </c>
      <c r="CH341" s="1438"/>
      <c r="CI341" s="1438"/>
      <c r="CJ341" s="1438"/>
      <c r="CK341" s="1438"/>
      <c r="CU341" s="1411"/>
      <c r="CV341" s="1411"/>
      <c r="CW341" s="1425"/>
      <c r="CX341" s="1425"/>
      <c r="CY341" s="1425"/>
      <c r="CZ341" s="1425"/>
      <c r="DA341" s="1411"/>
      <c r="DB341" s="1411"/>
      <c r="DC341" s="1411"/>
      <c r="DD341" s="1411"/>
      <c r="DE341" s="1411"/>
      <c r="DF341" s="1411"/>
      <c r="DH341" s="1432"/>
      <c r="DI341" s="1432"/>
      <c r="DJ341" s="1437"/>
      <c r="DK341" s="1437"/>
      <c r="DL341" s="1437"/>
      <c r="DM341" s="1437"/>
      <c r="DN341" s="1432"/>
      <c r="DO341" s="1432"/>
      <c r="DP341" s="1432"/>
      <c r="DQ341" s="1432"/>
      <c r="DR341" s="1432"/>
      <c r="DS341" s="1432"/>
      <c r="DT341" s="1316"/>
      <c r="DU341" s="1433"/>
      <c r="DV341" s="1433"/>
      <c r="DW341" s="1433"/>
      <c r="DX341" s="1433"/>
      <c r="DY341" s="1433"/>
      <c r="DZ341" s="1433"/>
      <c r="EA341" s="1433"/>
      <c r="EB341" s="1433"/>
    </row>
    <row r="342" customFormat="false" ht="14.25" hidden="false" customHeight="false" outlineLevel="0" collapsed="false">
      <c r="A342" s="2" t="n">
        <f aca="false">'V_DATOS PAC_SGA'!R337</f>
        <v>0</v>
      </c>
      <c r="B342" s="2" t="n">
        <f aca="false">IF(I342="IV",CONCATENATE('V_DATOS PAC_SGA'!R337,"4")+0,CONCATENATE('V_DATOS PAC_SGA'!R337,"0")+0)</f>
        <v>0</v>
      </c>
      <c r="C342" s="2" t="n">
        <f aca="false">'V_DATOS PAC_SGA'!S337</f>
        <v>0</v>
      </c>
      <c r="D342" s="1409" t="n">
        <f aca="false">'V_DATOS PAC_SGA'!Y337</f>
        <v>0</v>
      </c>
      <c r="E342" s="1410" t="str">
        <f aca="false">IF('V_DATOS PAC_SGA'!AV337="","Regadio",'V_DATOS PAC_SGA'!AV337)</f>
        <v>Regadio</v>
      </c>
      <c r="F342" s="1411" t="n">
        <f aca="false">'V_DATOS PAC_SGA'!BK337</f>
        <v>0</v>
      </c>
      <c r="G342" s="1412" t="n">
        <f aca="false">'V_DATOS PAC_SGA'!AN337</f>
        <v>0</v>
      </c>
      <c r="H342" s="1413" t="str">
        <f aca="false">IF(B342&gt;0,VLOOKUP(B342,'O_MN, PE_UTA_UGM 2024'!E$3:O$419,10),"")</f>
        <v/>
      </c>
      <c r="I342" s="1359" t="n">
        <f aca="false">'V_DATOS PAC_SGA'!BV337</f>
        <v>0</v>
      </c>
      <c r="J342" s="2" t="str">
        <f aca="false">IF(AND(J$4=$G342,J$6=$F342),$D342*J$5,"")</f>
        <v/>
      </c>
      <c r="K342" s="2" t="str">
        <f aca="false">IF(AND(K$4=$G342,K$6=$F342),$D342*K$5,"")</f>
        <v/>
      </c>
      <c r="L342" s="2" t="str">
        <f aca="false">IF(AND(L$4=$G342,L$6=$F342),$D342*L$5,"")</f>
        <v/>
      </c>
      <c r="M342" s="2" t="str">
        <f aca="false">IF(AND(M$4=$G342,M$6=$F342),$D342*M$5,"")</f>
        <v/>
      </c>
      <c r="N342" s="1414" t="n">
        <f aca="false">VLOOKUP(B342,'O_MN, PE_UTA_UGM 2024'!$E$2:$K$419,IF(G342&gt;1,6,7))</f>
        <v>0</v>
      </c>
      <c r="O342" s="1434" t="str">
        <f aca="false">IF($H342=O$4,$D342*$N342,"")</f>
        <v/>
      </c>
      <c r="P342" s="1435" t="str">
        <f aca="false">IF($H342=P$4,$D342*$N342,"")</f>
        <v/>
      </c>
      <c r="Q342" s="1435" t="str">
        <f aca="false">IF($H342=Q$4,$D342*$N342,"")</f>
        <v/>
      </c>
      <c r="R342" s="1435" t="str">
        <f aca="false">IF($H342=R$4,$D342*$N342,"")</f>
        <v/>
      </c>
      <c r="S342" s="1435" t="str">
        <f aca="false">IF($H342=S$4,$D342*$N342,"")</f>
        <v/>
      </c>
      <c r="T342" s="1435" t="str">
        <f aca="false">IF($H342=T$4,$D342*$N342,"")</f>
        <v/>
      </c>
      <c r="U342" s="1436" t="str">
        <f aca="false">IF($H342=U$4,$D342*$N342,"")</f>
        <v/>
      </c>
      <c r="V342" s="1472"/>
      <c r="W342" s="1471"/>
      <c r="X342" s="1471"/>
      <c r="Y342" s="1471"/>
      <c r="Z342" s="1471"/>
      <c r="AA342" s="1471"/>
      <c r="AB342" s="1473"/>
      <c r="AC342" s="1319"/>
      <c r="AD342" s="2" t="str">
        <f aca="false">IF(AND(AD$4=$G342,AD$6=$F342),$B342,"")</f>
        <v/>
      </c>
      <c r="AE342" s="2" t="str">
        <f aca="false">IF(AND(AE$4=$G342,AE$6=$F342),$B342,"")</f>
        <v/>
      </c>
      <c r="AF342" s="2" t="str">
        <f aca="false">IF(AND(AF$4=$G342,AF$6=$F342),$B342,"")</f>
        <v/>
      </c>
      <c r="AG342" s="2" t="str">
        <f aca="false">IF(AND(AG$4=$G342,AG$6=$F342),$B342,"")</f>
        <v/>
      </c>
      <c r="AI342" s="366"/>
      <c r="AL342" s="367"/>
      <c r="AO342" s="367"/>
      <c r="AP342" s="2" t="str">
        <f aca="false">IF(AT342&gt;0,RANK(AT342,AT$7:AT$423),"")</f>
        <v/>
      </c>
      <c r="AQ342" s="1475" t="n">
        <f aca="false">'O_MN, PE_UTA_UGM 2024'!C338</f>
        <v>417</v>
      </c>
      <c r="AR342" s="1421" t="n">
        <v>3460</v>
      </c>
      <c r="AS342" s="2" t="str">
        <f aca="false">IF(AY342&lt;&gt;"",AY342,"")</f>
        <v/>
      </c>
      <c r="AT342" s="1422" t="n">
        <f aca="false">IF(ISNUMBER($AR342),SUMIF(B$7:B$505,AR342,D$7:D$505),"")</f>
        <v>0</v>
      </c>
      <c r="AU342" s="1411" t="n">
        <f aca="false">IF(ISNUMBER($AR342),SUMIF(AD$7:AD$503,$AR342,J$7:J$503),"")</f>
        <v>0</v>
      </c>
      <c r="AV342" s="1411" t="n">
        <f aca="false">IF(ISNUMBER($AR342),SUMIF(AF$7:AF$503,$AR342,L$7:L$503),"")</f>
        <v>0</v>
      </c>
      <c r="AW342" s="1423" t="n">
        <f aca="false">IF(ISNUMBER($AR342),SUMIF(AE$7:AE$503,$AR342,K$7:K$503),"")</f>
        <v>0</v>
      </c>
      <c r="AX342" s="1423" t="n">
        <f aca="false">IF(ISNUMBER($AR342),SUMIF(AG$7:AG$503,$AR342,M$7:M$503),"")</f>
        <v>0</v>
      </c>
      <c r="AY342" s="2" t="str">
        <f aca="false">IF($AT342&gt;0,VLOOKUP($AR342,'O_MN, PE_UTA_UGM 2024'!E338:O754,2),"")</f>
        <v/>
      </c>
      <c r="AZ342" s="1424"/>
      <c r="BA342" s="1424"/>
      <c r="BB342" s="1424" t="str">
        <f aca="false">IF($AT342&gt;0,VLOOKUP($AR342,'O_MN, PE_UTA_UGM 2024'!$E$3:$O$419,BB$6),"")</f>
        <v/>
      </c>
      <c r="BC342" s="1424" t="str">
        <f aca="false">IF($AT342&gt;0,VLOOKUP($AR342,'O_MN, PE_UTA_UGM 2024'!$E$3:$O$419,BC$6),"")</f>
        <v/>
      </c>
      <c r="BD342" s="1424" t="str">
        <f aca="false">IF($AT342&gt;0,VLOOKUP($AR342,'O_MN, PE_UTA_UGM 2024'!$E$3:$O$419,BD$6),"")</f>
        <v/>
      </c>
      <c r="BE342" s="1424" t="str">
        <f aca="false">IF($AT342&gt;0,VLOOKUP($AR342,'O_MN, PE_UTA_UGM 2024'!$E$3:$O$419,BE$6),"")</f>
        <v/>
      </c>
      <c r="BF342" s="1424" t="str">
        <f aca="false">IF($AT342&gt;0,VLOOKUP($AR342,'O_MN, PE_UTA_UGM 2024'!$E$3:$O$419,BF$6),"")</f>
        <v/>
      </c>
      <c r="BG342" s="1424" t="str">
        <f aca="false">IF($AT342&gt;0,VLOOKUP($AR342,'O_MN, PE_UTA_UGM 2024'!$E$3:$O$419,BG$6),"")</f>
        <v/>
      </c>
      <c r="BH342" s="872"/>
      <c r="BI342" s="872"/>
      <c r="BJ342" s="872"/>
      <c r="BK342" s="872"/>
      <c r="BM342" s="1411"/>
      <c r="BN342" s="1411"/>
      <c r="BO342" s="1425" t="str">
        <f aca="false">IF(ISNUMBER($AU342*BB342*1),$AU342*BB342*1,"")</f>
        <v/>
      </c>
      <c r="BP342" s="1425" t="str">
        <f aca="false">IF(ISNUMBER($AV342*BC342*1),$AV342*BC342*1,"")</f>
        <v/>
      </c>
      <c r="BQ342" s="1425" t="str">
        <f aca="false">IF(ISNUMBER($AU342*BD342*1),$AU342*BD342*1,"")</f>
        <v/>
      </c>
      <c r="BR342" s="1425" t="str">
        <f aca="false">IF(ISNUMBER($AV342*BE342*1),$AV342*BE342*1,"")</f>
        <v/>
      </c>
      <c r="BS342" s="1411" t="str">
        <f aca="false">IF(ISNUMBER($AU342*BF342),$AU342*BF342,"")</f>
        <v/>
      </c>
      <c r="BT342" s="1411" t="str">
        <f aca="false">IF(ISNUMBER($AV342*BG342),$AV342*BG342,"")</f>
        <v/>
      </c>
      <c r="BU342" s="1411"/>
      <c r="BV342" s="1411"/>
      <c r="BW342" s="1411"/>
      <c r="BX342" s="1411"/>
      <c r="BZ342" s="1372"/>
      <c r="CA342" s="1372"/>
      <c r="CB342" s="1426" t="str">
        <f aca="false">IF(ISNUMBER($AW342*BB342),$AW342*BB342,"")</f>
        <v/>
      </c>
      <c r="CC342" s="1426" t="str">
        <f aca="false">IF(ISNUMBER($AX342*BC342),$AX342*BC342,"")</f>
        <v/>
      </c>
      <c r="CD342" s="1426" t="str">
        <f aca="false">IF(ISNUMBER($AW342*BD342),$AW342*BD342,"")</f>
        <v/>
      </c>
      <c r="CE342" s="1426" t="str">
        <f aca="false">IF(ISNUMBER($AX342*BE342),$AX342*BE342,"")</f>
        <v/>
      </c>
      <c r="CF342" s="1372" t="str">
        <f aca="false">IF(ISNUMBER($AW342*BF342),$AW342*BF342,"")</f>
        <v/>
      </c>
      <c r="CG342" s="1372" t="str">
        <f aca="false">IF(ISNUMBER($AX342*BG342),$AX342*BG342,"")</f>
        <v/>
      </c>
      <c r="CH342" s="1438"/>
      <c r="CI342" s="1438"/>
      <c r="CJ342" s="1438"/>
      <c r="CK342" s="1438"/>
      <c r="CU342" s="1411"/>
      <c r="CV342" s="1411"/>
      <c r="CW342" s="1425"/>
      <c r="CX342" s="1425"/>
      <c r="CY342" s="1425"/>
      <c r="CZ342" s="1425"/>
      <c r="DA342" s="1411"/>
      <c r="DB342" s="1411"/>
      <c r="DC342" s="1411"/>
      <c r="DD342" s="1411"/>
      <c r="DE342" s="1411"/>
      <c r="DF342" s="1411"/>
      <c r="DH342" s="1432"/>
      <c r="DI342" s="1432"/>
      <c r="DJ342" s="1437"/>
      <c r="DK342" s="1437"/>
      <c r="DL342" s="1437"/>
      <c r="DM342" s="1437"/>
      <c r="DN342" s="1432"/>
      <c r="DO342" s="1432"/>
      <c r="DP342" s="1432"/>
      <c r="DQ342" s="1432"/>
      <c r="DR342" s="1432"/>
      <c r="DS342" s="1432"/>
      <c r="DT342" s="1316"/>
      <c r="DU342" s="1433"/>
      <c r="DV342" s="1433"/>
      <c r="DW342" s="1433"/>
      <c r="DX342" s="1433"/>
      <c r="DY342" s="1433"/>
      <c r="DZ342" s="1433"/>
      <c r="EA342" s="1433"/>
      <c r="EB342" s="1433"/>
    </row>
    <row r="343" customFormat="false" ht="14.25" hidden="false" customHeight="false" outlineLevel="0" collapsed="false">
      <c r="A343" s="2" t="n">
        <f aca="false">'V_DATOS PAC_SGA'!R338</f>
        <v>0</v>
      </c>
      <c r="B343" s="2" t="n">
        <f aca="false">IF(I343="IV",CONCATENATE('V_DATOS PAC_SGA'!R338,"4")+0,CONCATENATE('V_DATOS PAC_SGA'!R338,"0")+0)</f>
        <v>0</v>
      </c>
      <c r="C343" s="2" t="n">
        <f aca="false">'V_DATOS PAC_SGA'!S338</f>
        <v>0</v>
      </c>
      <c r="D343" s="1409" t="n">
        <f aca="false">'V_DATOS PAC_SGA'!Y338</f>
        <v>0</v>
      </c>
      <c r="E343" s="1410" t="str">
        <f aca="false">IF('V_DATOS PAC_SGA'!AV338="","Regadio",'V_DATOS PAC_SGA'!AV338)</f>
        <v>Regadio</v>
      </c>
      <c r="F343" s="1411" t="n">
        <f aca="false">'V_DATOS PAC_SGA'!BK338</f>
        <v>0</v>
      </c>
      <c r="G343" s="1412" t="n">
        <f aca="false">'V_DATOS PAC_SGA'!AN338</f>
        <v>0</v>
      </c>
      <c r="H343" s="1413" t="str">
        <f aca="false">IF(B343&gt;0,VLOOKUP(B343,'O_MN, PE_UTA_UGM 2024'!E$3:O$419,10),"")</f>
        <v/>
      </c>
      <c r="I343" s="1359" t="n">
        <f aca="false">'V_DATOS PAC_SGA'!BV338</f>
        <v>0</v>
      </c>
      <c r="J343" s="2" t="str">
        <f aca="false">IF(AND(J$4=$G343,J$6=$F343),$D343*J$5,"")</f>
        <v/>
      </c>
      <c r="K343" s="2" t="str">
        <f aca="false">IF(AND(K$4=$G343,K$6=$F343),$D343*K$5,"")</f>
        <v/>
      </c>
      <c r="L343" s="2" t="str">
        <f aca="false">IF(AND(L$4=$G343,L$6=$F343),$D343*L$5,"")</f>
        <v/>
      </c>
      <c r="M343" s="2" t="str">
        <f aca="false">IF(AND(M$4=$G343,M$6=$F343),$D343*M$5,"")</f>
        <v/>
      </c>
      <c r="N343" s="1414" t="n">
        <f aca="false">VLOOKUP(B343,'O_MN, PE_UTA_UGM 2024'!$E$2:$K$419,IF(G343&gt;1,6,7))</f>
        <v>0</v>
      </c>
      <c r="O343" s="1434" t="str">
        <f aca="false">IF($H343=O$4,$D343*$N343,"")</f>
        <v/>
      </c>
      <c r="P343" s="1435" t="str">
        <f aca="false">IF($H343=P$4,$D343*$N343,"")</f>
        <v/>
      </c>
      <c r="Q343" s="1435" t="str">
        <f aca="false">IF($H343=Q$4,$D343*$N343,"")</f>
        <v/>
      </c>
      <c r="R343" s="1435" t="str">
        <f aca="false">IF($H343=R$4,$D343*$N343,"")</f>
        <v/>
      </c>
      <c r="S343" s="1435" t="str">
        <f aca="false">IF($H343=S$4,$D343*$N343,"")</f>
        <v/>
      </c>
      <c r="T343" s="1435" t="str">
        <f aca="false">IF($H343=T$4,$D343*$N343,"")</f>
        <v/>
      </c>
      <c r="U343" s="1436" t="str">
        <f aca="false">IF($H343=U$4,$D343*$N343,"")</f>
        <v/>
      </c>
      <c r="V343" s="1472"/>
      <c r="W343" s="1471"/>
      <c r="X343" s="1471"/>
      <c r="Y343" s="1471"/>
      <c r="Z343" s="1471"/>
      <c r="AA343" s="1471"/>
      <c r="AB343" s="1473"/>
      <c r="AC343" s="1319"/>
      <c r="AD343" s="2" t="str">
        <f aca="false">IF(AND(AD$4=$G343,AD$6=$F343),$B343,"")</f>
        <v/>
      </c>
      <c r="AE343" s="2" t="str">
        <f aca="false">IF(AND(AE$4=$G343,AE$6=$F343),$B343,"")</f>
        <v/>
      </c>
      <c r="AF343" s="2" t="str">
        <f aca="false">IF(AND(AF$4=$G343,AF$6=$F343),$B343,"")</f>
        <v/>
      </c>
      <c r="AG343" s="2" t="str">
        <f aca="false">IF(AND(AG$4=$G343,AG$6=$F343),$B343,"")</f>
        <v/>
      </c>
      <c r="AI343" s="366"/>
      <c r="AL343" s="367"/>
      <c r="AO343" s="367"/>
      <c r="AP343" s="2" t="str">
        <f aca="false">IF(AT343&gt;0,RANK(AT343,AT$7:AT$423),"")</f>
        <v/>
      </c>
      <c r="AQ343" s="1475" t="n">
        <f aca="false">'O_MN, PE_UTA_UGM 2024'!C339</f>
        <v>420</v>
      </c>
      <c r="AR343" s="1421" t="n">
        <v>3470</v>
      </c>
      <c r="AS343" s="2" t="str">
        <f aca="false">IF(AY343&lt;&gt;"",AY343,"")</f>
        <v/>
      </c>
      <c r="AT343" s="1422" t="n">
        <f aca="false">IF(ISNUMBER($AR343),SUMIF(B$7:B$505,AR343,D$7:D$505),"")</f>
        <v>0</v>
      </c>
      <c r="AU343" s="1411" t="n">
        <f aca="false">IF(ISNUMBER($AR343),SUMIF(AD$7:AD$503,$AR343,J$7:J$503),"")</f>
        <v>0</v>
      </c>
      <c r="AV343" s="1411" t="n">
        <f aca="false">IF(ISNUMBER($AR343),SUMIF(AF$7:AF$503,$AR343,L$7:L$503),"")</f>
        <v>0</v>
      </c>
      <c r="AW343" s="1423" t="n">
        <f aca="false">IF(ISNUMBER($AR343),SUMIF(AE$7:AE$503,$AR343,K$7:K$503),"")</f>
        <v>0</v>
      </c>
      <c r="AX343" s="1423" t="n">
        <f aca="false">IF(ISNUMBER($AR343),SUMIF(AG$7:AG$503,$AR343,M$7:M$503),"")</f>
        <v>0</v>
      </c>
      <c r="AY343" s="2" t="str">
        <f aca="false">IF($AT343&gt;0,VLOOKUP($AR343,'O_MN, PE_UTA_UGM 2024'!E339:O755,2),"")</f>
        <v/>
      </c>
      <c r="AZ343" s="1424"/>
      <c r="BA343" s="1424"/>
      <c r="BB343" s="1424" t="str">
        <f aca="false">IF($AT343&gt;0,VLOOKUP($AR343,'O_MN, PE_UTA_UGM 2024'!$E$3:$O$419,BB$6),"")</f>
        <v/>
      </c>
      <c r="BC343" s="1424" t="str">
        <f aca="false">IF($AT343&gt;0,VLOOKUP($AR343,'O_MN, PE_UTA_UGM 2024'!$E$3:$O$419,BC$6),"")</f>
        <v/>
      </c>
      <c r="BD343" s="1424" t="str">
        <f aca="false">IF($AT343&gt;0,VLOOKUP($AR343,'O_MN, PE_UTA_UGM 2024'!$E$3:$O$419,BD$6),"")</f>
        <v/>
      </c>
      <c r="BE343" s="1424" t="str">
        <f aca="false">IF($AT343&gt;0,VLOOKUP($AR343,'O_MN, PE_UTA_UGM 2024'!$E$3:$O$419,BE$6),"")</f>
        <v/>
      </c>
      <c r="BF343" s="1424" t="str">
        <f aca="false">IF($AT343&gt;0,VLOOKUP($AR343,'O_MN, PE_UTA_UGM 2024'!$E$3:$O$419,BF$6),"")</f>
        <v/>
      </c>
      <c r="BG343" s="1424" t="str">
        <f aca="false">IF($AT343&gt;0,VLOOKUP($AR343,'O_MN, PE_UTA_UGM 2024'!$E$3:$O$419,BG$6),"")</f>
        <v/>
      </c>
      <c r="BH343" s="872"/>
      <c r="BI343" s="872"/>
      <c r="BJ343" s="872"/>
      <c r="BK343" s="872"/>
      <c r="BM343" s="1411"/>
      <c r="BN343" s="1411"/>
      <c r="BO343" s="1425" t="str">
        <f aca="false">IF(ISNUMBER($AU343*BB343*1),$AU343*BB343*1,"")</f>
        <v/>
      </c>
      <c r="BP343" s="1425" t="str">
        <f aca="false">IF(ISNUMBER($AV343*BC343*1),$AV343*BC343*1,"")</f>
        <v/>
      </c>
      <c r="BQ343" s="1425" t="str">
        <f aca="false">IF(ISNUMBER($AU343*BD343*1),$AU343*BD343*1,"")</f>
        <v/>
      </c>
      <c r="BR343" s="1425" t="str">
        <f aca="false">IF(ISNUMBER($AV343*BE343*1),$AV343*BE343*1,"")</f>
        <v/>
      </c>
      <c r="BS343" s="1411" t="str">
        <f aca="false">IF(ISNUMBER($AU343*BF343),$AU343*BF343,"")</f>
        <v/>
      </c>
      <c r="BT343" s="1411" t="str">
        <f aca="false">IF(ISNUMBER($AV343*BG343),$AV343*BG343,"")</f>
        <v/>
      </c>
      <c r="BU343" s="1411"/>
      <c r="BV343" s="1411"/>
      <c r="BW343" s="1411"/>
      <c r="BX343" s="1411"/>
      <c r="BZ343" s="1372"/>
      <c r="CA343" s="1372"/>
      <c r="CB343" s="1426" t="str">
        <f aca="false">IF(ISNUMBER($AW343*BB343),$AW343*BB343,"")</f>
        <v/>
      </c>
      <c r="CC343" s="1426" t="str">
        <f aca="false">IF(ISNUMBER($AX343*BC343),$AX343*BC343,"")</f>
        <v/>
      </c>
      <c r="CD343" s="1426" t="str">
        <f aca="false">IF(ISNUMBER($AW343*BD343),$AW343*BD343,"")</f>
        <v/>
      </c>
      <c r="CE343" s="1426" t="str">
        <f aca="false">IF(ISNUMBER($AX343*BE343),$AX343*BE343,"")</f>
        <v/>
      </c>
      <c r="CF343" s="1372" t="str">
        <f aca="false">IF(ISNUMBER($AW343*BF343),$AW343*BF343,"")</f>
        <v/>
      </c>
      <c r="CG343" s="1372" t="str">
        <f aca="false">IF(ISNUMBER($AX343*BG343),$AX343*BG343,"")</f>
        <v/>
      </c>
      <c r="CH343" s="1438"/>
      <c r="CI343" s="1438"/>
      <c r="CJ343" s="1438"/>
      <c r="CK343" s="1438"/>
      <c r="CU343" s="1411"/>
      <c r="CV343" s="1411"/>
      <c r="CW343" s="1425"/>
      <c r="CX343" s="1425"/>
      <c r="CY343" s="1425"/>
      <c r="CZ343" s="1425"/>
      <c r="DA343" s="1411"/>
      <c r="DB343" s="1411"/>
      <c r="DC343" s="1411"/>
      <c r="DD343" s="1411"/>
      <c r="DE343" s="1411"/>
      <c r="DF343" s="1411"/>
      <c r="DH343" s="1432"/>
      <c r="DI343" s="1432"/>
      <c r="DJ343" s="1437"/>
      <c r="DK343" s="1437"/>
      <c r="DL343" s="1437"/>
      <c r="DM343" s="1437"/>
      <c r="DN343" s="1432"/>
      <c r="DO343" s="1432"/>
      <c r="DP343" s="1432"/>
      <c r="DQ343" s="1432"/>
      <c r="DR343" s="1432"/>
      <c r="DS343" s="1432"/>
      <c r="DT343" s="1316"/>
      <c r="DU343" s="1433"/>
      <c r="DV343" s="1433"/>
      <c r="DW343" s="1433"/>
      <c r="DX343" s="1433"/>
      <c r="DY343" s="1433"/>
      <c r="DZ343" s="1433"/>
      <c r="EA343" s="1433"/>
      <c r="EB343" s="1433"/>
    </row>
    <row r="344" customFormat="false" ht="14.25" hidden="false" customHeight="false" outlineLevel="0" collapsed="false">
      <c r="A344" s="2" t="n">
        <f aca="false">'V_DATOS PAC_SGA'!R339</f>
        <v>0</v>
      </c>
      <c r="B344" s="2" t="n">
        <f aca="false">IF(I344="IV",CONCATENATE('V_DATOS PAC_SGA'!R339,"4")+0,CONCATENATE('V_DATOS PAC_SGA'!R339,"0")+0)</f>
        <v>0</v>
      </c>
      <c r="C344" s="2" t="n">
        <f aca="false">'V_DATOS PAC_SGA'!S339</f>
        <v>0</v>
      </c>
      <c r="D344" s="1409" t="n">
        <f aca="false">'V_DATOS PAC_SGA'!Y339</f>
        <v>0</v>
      </c>
      <c r="E344" s="1410" t="str">
        <f aca="false">IF('V_DATOS PAC_SGA'!AV339="","Regadio",'V_DATOS PAC_SGA'!AV339)</f>
        <v>Regadio</v>
      </c>
      <c r="F344" s="1411" t="n">
        <f aca="false">'V_DATOS PAC_SGA'!BK339</f>
        <v>0</v>
      </c>
      <c r="G344" s="1412" t="n">
        <f aca="false">'V_DATOS PAC_SGA'!AN339</f>
        <v>0</v>
      </c>
      <c r="H344" s="1413" t="str">
        <f aca="false">IF(B344&gt;0,VLOOKUP(B344,'O_MN, PE_UTA_UGM 2024'!E$3:O$419,10),"")</f>
        <v/>
      </c>
      <c r="I344" s="1359" t="n">
        <f aca="false">'V_DATOS PAC_SGA'!BV339</f>
        <v>0</v>
      </c>
      <c r="J344" s="2" t="str">
        <f aca="false">IF(AND(J$4=$G344,J$6=$F344),$D344*J$5,"")</f>
        <v/>
      </c>
      <c r="K344" s="2" t="str">
        <f aca="false">IF(AND(K$4=$G344,K$6=$F344),$D344*K$5,"")</f>
        <v/>
      </c>
      <c r="L344" s="2" t="str">
        <f aca="false">IF(AND(L$4=$G344,L$6=$F344),$D344*L$5,"")</f>
        <v/>
      </c>
      <c r="M344" s="2" t="str">
        <f aca="false">IF(AND(M$4=$G344,M$6=$F344),$D344*M$5,"")</f>
        <v/>
      </c>
      <c r="N344" s="1414" t="n">
        <f aca="false">VLOOKUP(B344,'O_MN, PE_UTA_UGM 2024'!$E$2:$K$419,IF(G344&gt;1,6,7))</f>
        <v>0</v>
      </c>
      <c r="O344" s="1434" t="str">
        <f aca="false">IF($H344=O$4,$D344*$N344,"")</f>
        <v/>
      </c>
      <c r="P344" s="1435" t="str">
        <f aca="false">IF($H344=P$4,$D344*$N344,"")</f>
        <v/>
      </c>
      <c r="Q344" s="1435" t="str">
        <f aca="false">IF($H344=Q$4,$D344*$N344,"")</f>
        <v/>
      </c>
      <c r="R344" s="1435" t="str">
        <f aca="false">IF($H344=R$4,$D344*$N344,"")</f>
        <v/>
      </c>
      <c r="S344" s="1435" t="str">
        <f aca="false">IF($H344=S$4,$D344*$N344,"")</f>
        <v/>
      </c>
      <c r="T344" s="1435" t="str">
        <f aca="false">IF($H344=T$4,$D344*$N344,"")</f>
        <v/>
      </c>
      <c r="U344" s="1436" t="str">
        <f aca="false">IF($H344=U$4,$D344*$N344,"")</f>
        <v/>
      </c>
      <c r="V344" s="1472"/>
      <c r="W344" s="1471"/>
      <c r="X344" s="1471"/>
      <c r="Y344" s="1471"/>
      <c r="Z344" s="1471"/>
      <c r="AA344" s="1471"/>
      <c r="AB344" s="1473"/>
      <c r="AC344" s="1319"/>
      <c r="AD344" s="2" t="str">
        <f aca="false">IF(AND(AD$4=$G344,AD$6=$F344),$B344,"")</f>
        <v/>
      </c>
      <c r="AE344" s="2" t="str">
        <f aca="false">IF(AND(AE$4=$G344,AE$6=$F344),$B344,"")</f>
        <v/>
      </c>
      <c r="AF344" s="2" t="str">
        <f aca="false">IF(AND(AF$4=$G344,AF$6=$F344),$B344,"")</f>
        <v/>
      </c>
      <c r="AG344" s="2" t="str">
        <f aca="false">IF(AND(AG$4=$G344,AG$6=$F344),$B344,"")</f>
        <v/>
      </c>
      <c r="AI344" s="366"/>
      <c r="AL344" s="367"/>
      <c r="AO344" s="367"/>
      <c r="AP344" s="2" t="str">
        <f aca="false">IF(AT344&gt;0,RANK(AT344,AT$7:AT$423),"")</f>
        <v/>
      </c>
      <c r="AQ344" s="1475" t="n">
        <f aca="false">'O_MN, PE_UTA_UGM 2024'!C340</f>
        <v>427</v>
      </c>
      <c r="AR344" s="1421" t="n">
        <v>3480</v>
      </c>
      <c r="AS344" s="2" t="str">
        <f aca="false">IF(AY344&lt;&gt;"",AY344,"")</f>
        <v/>
      </c>
      <c r="AT344" s="1422" t="n">
        <f aca="false">IF(ISNUMBER($AR344),SUMIF(B$7:B$505,AR344,D$7:D$505),"")</f>
        <v>0</v>
      </c>
      <c r="AU344" s="1411" t="n">
        <f aca="false">IF(ISNUMBER($AR344),SUMIF(AD$7:AD$503,$AR344,J$7:J$503),"")</f>
        <v>0</v>
      </c>
      <c r="AV344" s="1411" t="n">
        <f aca="false">IF(ISNUMBER($AR344),SUMIF(AF$7:AF$503,$AR344,L$7:L$503),"")</f>
        <v>0</v>
      </c>
      <c r="AW344" s="1423" t="n">
        <f aca="false">IF(ISNUMBER($AR344),SUMIF(AE$7:AE$503,$AR344,K$7:K$503),"")</f>
        <v>0</v>
      </c>
      <c r="AX344" s="1423" t="n">
        <f aca="false">IF(ISNUMBER($AR344),SUMIF(AG$7:AG$503,$AR344,M$7:M$503),"")</f>
        <v>0</v>
      </c>
      <c r="AY344" s="2" t="str">
        <f aca="false">IF($AT344&gt;0,VLOOKUP($AR344,'O_MN, PE_UTA_UGM 2024'!E340:O756,2),"")</f>
        <v/>
      </c>
      <c r="AZ344" s="1424"/>
      <c r="BA344" s="1424"/>
      <c r="BB344" s="1424" t="str">
        <f aca="false">IF($AT344&gt;0,VLOOKUP($AR344,'O_MN, PE_UTA_UGM 2024'!$E$3:$O$419,BB$6),"")</f>
        <v/>
      </c>
      <c r="BC344" s="1424" t="str">
        <f aca="false">IF($AT344&gt;0,VLOOKUP($AR344,'O_MN, PE_UTA_UGM 2024'!$E$3:$O$419,BC$6),"")</f>
        <v/>
      </c>
      <c r="BD344" s="1424" t="str">
        <f aca="false">IF($AT344&gt;0,VLOOKUP($AR344,'O_MN, PE_UTA_UGM 2024'!$E$3:$O$419,BD$6),"")</f>
        <v/>
      </c>
      <c r="BE344" s="1424" t="str">
        <f aca="false">IF($AT344&gt;0,VLOOKUP($AR344,'O_MN, PE_UTA_UGM 2024'!$E$3:$O$419,BE$6),"")</f>
        <v/>
      </c>
      <c r="BF344" s="1424" t="str">
        <f aca="false">IF($AT344&gt;0,VLOOKUP($AR344,'O_MN, PE_UTA_UGM 2024'!$E$3:$O$419,BF$6),"")</f>
        <v/>
      </c>
      <c r="BG344" s="1424" t="str">
        <f aca="false">IF($AT344&gt;0,VLOOKUP($AR344,'O_MN, PE_UTA_UGM 2024'!$E$3:$O$419,BG$6),"")</f>
        <v/>
      </c>
      <c r="BH344" s="872"/>
      <c r="BI344" s="872"/>
      <c r="BJ344" s="872"/>
      <c r="BK344" s="872"/>
      <c r="BM344" s="1411"/>
      <c r="BN344" s="1411"/>
      <c r="BO344" s="1425" t="str">
        <f aca="false">IF(ISNUMBER($AU344*BB344*1),$AU344*BB344*1,"")</f>
        <v/>
      </c>
      <c r="BP344" s="1425" t="str">
        <f aca="false">IF(ISNUMBER($AV344*BC344*1),$AV344*BC344*1,"")</f>
        <v/>
      </c>
      <c r="BQ344" s="1425" t="str">
        <f aca="false">IF(ISNUMBER($AU344*BD344*1),$AU344*BD344*1,"")</f>
        <v/>
      </c>
      <c r="BR344" s="1425" t="str">
        <f aca="false">IF(ISNUMBER($AV344*BE344*1),$AV344*BE344*1,"")</f>
        <v/>
      </c>
      <c r="BS344" s="1411" t="str">
        <f aca="false">IF(ISNUMBER($AU344*BF344),$AU344*BF344,"")</f>
        <v/>
      </c>
      <c r="BT344" s="1411" t="str">
        <f aca="false">IF(ISNUMBER($AV344*BG344),$AV344*BG344,"")</f>
        <v/>
      </c>
      <c r="BU344" s="1411"/>
      <c r="BV344" s="1411"/>
      <c r="BW344" s="1411"/>
      <c r="BX344" s="1411"/>
      <c r="BZ344" s="1372"/>
      <c r="CA344" s="1372"/>
      <c r="CB344" s="1426" t="str">
        <f aca="false">IF(ISNUMBER($AW344*BB344),$AW344*BB344,"")</f>
        <v/>
      </c>
      <c r="CC344" s="1426" t="str">
        <f aca="false">IF(ISNUMBER($AX344*BC344),$AX344*BC344,"")</f>
        <v/>
      </c>
      <c r="CD344" s="1426" t="str">
        <f aca="false">IF(ISNUMBER($AW344*BD344),$AW344*BD344,"")</f>
        <v/>
      </c>
      <c r="CE344" s="1426" t="str">
        <f aca="false">IF(ISNUMBER($AX344*BE344),$AX344*BE344,"")</f>
        <v/>
      </c>
      <c r="CF344" s="1372" t="str">
        <f aca="false">IF(ISNUMBER($AW344*BF344),$AW344*BF344,"")</f>
        <v/>
      </c>
      <c r="CG344" s="1372" t="str">
        <f aca="false">IF(ISNUMBER($AX344*BG344),$AX344*BG344,"")</f>
        <v/>
      </c>
      <c r="CH344" s="1438"/>
      <c r="CI344" s="1438"/>
      <c r="CJ344" s="1438"/>
      <c r="CK344" s="1438"/>
      <c r="CU344" s="1411"/>
      <c r="CV344" s="1411"/>
      <c r="CW344" s="1425"/>
      <c r="CX344" s="1425"/>
      <c r="CY344" s="1425"/>
      <c r="CZ344" s="1425"/>
      <c r="DA344" s="1411"/>
      <c r="DB344" s="1411"/>
      <c r="DC344" s="1411"/>
      <c r="DD344" s="1411"/>
      <c r="DE344" s="1411"/>
      <c r="DF344" s="1411"/>
      <c r="DH344" s="1432"/>
      <c r="DI344" s="1432"/>
      <c r="DJ344" s="1437"/>
      <c r="DK344" s="1437"/>
      <c r="DL344" s="1437"/>
      <c r="DM344" s="1437"/>
      <c r="DN344" s="1432"/>
      <c r="DO344" s="1432"/>
      <c r="DP344" s="1432"/>
      <c r="DQ344" s="1432"/>
      <c r="DR344" s="1432"/>
      <c r="DS344" s="1432"/>
      <c r="DT344" s="1316"/>
      <c r="DU344" s="1433"/>
      <c r="DV344" s="1433"/>
      <c r="DW344" s="1433"/>
      <c r="DX344" s="1433"/>
      <c r="DY344" s="1433"/>
      <c r="DZ344" s="1433"/>
      <c r="EA344" s="1433"/>
      <c r="EB344" s="1433"/>
    </row>
    <row r="345" customFormat="false" ht="14.25" hidden="false" customHeight="false" outlineLevel="0" collapsed="false">
      <c r="A345" s="2" t="n">
        <f aca="false">'V_DATOS PAC_SGA'!R340</f>
        <v>0</v>
      </c>
      <c r="B345" s="2" t="n">
        <f aca="false">IF(I345="IV",CONCATENATE('V_DATOS PAC_SGA'!R340,"4")+0,CONCATENATE('V_DATOS PAC_SGA'!R340,"0")+0)</f>
        <v>0</v>
      </c>
      <c r="C345" s="2" t="n">
        <f aca="false">'V_DATOS PAC_SGA'!S340</f>
        <v>0</v>
      </c>
      <c r="D345" s="1409" t="n">
        <f aca="false">'V_DATOS PAC_SGA'!Y340</f>
        <v>0</v>
      </c>
      <c r="E345" s="1410" t="str">
        <f aca="false">IF('V_DATOS PAC_SGA'!AV340="","Regadio",'V_DATOS PAC_SGA'!AV340)</f>
        <v>Regadio</v>
      </c>
      <c r="F345" s="1411" t="n">
        <f aca="false">'V_DATOS PAC_SGA'!BK340</f>
        <v>0</v>
      </c>
      <c r="G345" s="1412" t="n">
        <f aca="false">'V_DATOS PAC_SGA'!AN340</f>
        <v>0</v>
      </c>
      <c r="H345" s="1413" t="str">
        <f aca="false">IF(B345&gt;0,VLOOKUP(B345,'O_MN, PE_UTA_UGM 2024'!E$3:O$419,10),"")</f>
        <v/>
      </c>
      <c r="I345" s="1359" t="n">
        <f aca="false">'V_DATOS PAC_SGA'!BV340</f>
        <v>0</v>
      </c>
      <c r="J345" s="2" t="str">
        <f aca="false">IF(AND(J$4=$G345,J$6=$F345),$D345*J$5,"")</f>
        <v/>
      </c>
      <c r="K345" s="2" t="str">
        <f aca="false">IF(AND(K$4=$G345,K$6=$F345),$D345*K$5,"")</f>
        <v/>
      </c>
      <c r="L345" s="2" t="str">
        <f aca="false">IF(AND(L$4=$G345,L$6=$F345),$D345*L$5,"")</f>
        <v/>
      </c>
      <c r="M345" s="2" t="str">
        <f aca="false">IF(AND(M$4=$G345,M$6=$F345),$D345*M$5,"")</f>
        <v/>
      </c>
      <c r="N345" s="1414" t="n">
        <f aca="false">VLOOKUP(B345,'O_MN, PE_UTA_UGM 2024'!$E$2:$K$419,IF(G345&gt;1,6,7))</f>
        <v>0</v>
      </c>
      <c r="O345" s="1434" t="str">
        <f aca="false">IF($H345=O$4,$D345*$N345,"")</f>
        <v/>
      </c>
      <c r="P345" s="1435" t="str">
        <f aca="false">IF($H345=P$4,$D345*$N345,"")</f>
        <v/>
      </c>
      <c r="Q345" s="1435" t="str">
        <f aca="false">IF($H345=Q$4,$D345*$N345,"")</f>
        <v/>
      </c>
      <c r="R345" s="1435" t="str">
        <f aca="false">IF($H345=R$4,$D345*$N345,"")</f>
        <v/>
      </c>
      <c r="S345" s="1435" t="str">
        <f aca="false">IF($H345=S$4,$D345*$N345,"")</f>
        <v/>
      </c>
      <c r="T345" s="1435" t="str">
        <f aca="false">IF($H345=T$4,$D345*$N345,"")</f>
        <v/>
      </c>
      <c r="U345" s="1436" t="str">
        <f aca="false">IF($H345=U$4,$D345*$N345,"")</f>
        <v/>
      </c>
      <c r="V345" s="1472"/>
      <c r="W345" s="1471"/>
      <c r="X345" s="1471"/>
      <c r="Y345" s="1471"/>
      <c r="Z345" s="1471"/>
      <c r="AA345" s="1471"/>
      <c r="AB345" s="1473"/>
      <c r="AC345" s="1319"/>
      <c r="AD345" s="2" t="str">
        <f aca="false">IF(AND(AD$4=$G345,AD$6=$F345),$B345,"")</f>
        <v/>
      </c>
      <c r="AE345" s="2" t="str">
        <f aca="false">IF(AND(AE$4=$G345,AE$6=$F345),$B345,"")</f>
        <v/>
      </c>
      <c r="AF345" s="2" t="str">
        <f aca="false">IF(AND(AF$4=$G345,AF$6=$F345),$B345,"")</f>
        <v/>
      </c>
      <c r="AG345" s="2" t="str">
        <f aca="false">IF(AND(AG$4=$G345,AG$6=$F345),$B345,"")</f>
        <v/>
      </c>
      <c r="AI345" s="366"/>
      <c r="AL345" s="367"/>
      <c r="AO345" s="367"/>
      <c r="AP345" s="2" t="str">
        <f aca="false">IF(AT345&gt;0,RANK(AT345,AT$7:AT$423),"")</f>
        <v/>
      </c>
      <c r="AQ345" s="1475" t="n">
        <f aca="false">'O_MN, PE_UTA_UGM 2024'!C341</f>
        <v>428</v>
      </c>
      <c r="AR345" s="1421" t="n">
        <v>3490</v>
      </c>
      <c r="AS345" s="2" t="str">
        <f aca="false">IF(AY345&lt;&gt;"",AY345,"")</f>
        <v/>
      </c>
      <c r="AT345" s="1422" t="n">
        <f aca="false">IF(ISNUMBER($AR345),SUMIF(B$7:B$505,AR345,D$7:D$505),"")</f>
        <v>0</v>
      </c>
      <c r="AU345" s="1411" t="n">
        <f aca="false">IF(ISNUMBER($AR345),SUMIF(AD$7:AD$503,$AR345,J$7:J$503),"")</f>
        <v>0</v>
      </c>
      <c r="AV345" s="1411" t="n">
        <f aca="false">IF(ISNUMBER($AR345),SUMIF(AF$7:AF$503,$AR345,L$7:L$503),"")</f>
        <v>0</v>
      </c>
      <c r="AW345" s="1423" t="n">
        <f aca="false">IF(ISNUMBER($AR345),SUMIF(AE$7:AE$503,$AR345,K$7:K$503),"")</f>
        <v>0</v>
      </c>
      <c r="AX345" s="1423" t="n">
        <f aca="false">IF(ISNUMBER($AR345),SUMIF(AG$7:AG$503,$AR345,M$7:M$503),"")</f>
        <v>0</v>
      </c>
      <c r="AY345" s="2" t="str">
        <f aca="false">IF($AT345&gt;0,VLOOKUP($AR345,'O_MN, PE_UTA_UGM 2024'!E341:O757,2),"")</f>
        <v/>
      </c>
      <c r="AZ345" s="1424"/>
      <c r="BA345" s="1424"/>
      <c r="BB345" s="1424" t="str">
        <f aca="false">IF($AT345&gt;0,VLOOKUP($AR345,'O_MN, PE_UTA_UGM 2024'!$E$3:$O$419,BB$6),"")</f>
        <v/>
      </c>
      <c r="BC345" s="1424" t="str">
        <f aca="false">IF($AT345&gt;0,VLOOKUP($AR345,'O_MN, PE_UTA_UGM 2024'!$E$3:$O$419,BC$6),"")</f>
        <v/>
      </c>
      <c r="BD345" s="1424" t="str">
        <f aca="false">IF($AT345&gt;0,VLOOKUP($AR345,'O_MN, PE_UTA_UGM 2024'!$E$3:$O$419,BD$6),"")</f>
        <v/>
      </c>
      <c r="BE345" s="1424" t="str">
        <f aca="false">IF($AT345&gt;0,VLOOKUP($AR345,'O_MN, PE_UTA_UGM 2024'!$E$3:$O$419,BE$6),"")</f>
        <v/>
      </c>
      <c r="BF345" s="1424" t="str">
        <f aca="false">IF($AT345&gt;0,VLOOKUP($AR345,'O_MN, PE_UTA_UGM 2024'!$E$3:$O$419,BF$6),"")</f>
        <v/>
      </c>
      <c r="BG345" s="1424" t="str">
        <f aca="false">IF($AT345&gt;0,VLOOKUP($AR345,'O_MN, PE_UTA_UGM 2024'!$E$3:$O$419,BG$6),"")</f>
        <v/>
      </c>
      <c r="BH345" s="872"/>
      <c r="BI345" s="872"/>
      <c r="BJ345" s="872"/>
      <c r="BK345" s="872"/>
      <c r="BM345" s="1411"/>
      <c r="BN345" s="1411"/>
      <c r="BO345" s="1425" t="str">
        <f aca="false">IF(ISNUMBER($AU345*BB345*1),$AU345*BB345*1,"")</f>
        <v/>
      </c>
      <c r="BP345" s="1425" t="str">
        <f aca="false">IF(ISNUMBER($AV345*BC345*1),$AV345*BC345*1,"")</f>
        <v/>
      </c>
      <c r="BQ345" s="1425" t="str">
        <f aca="false">IF(ISNUMBER($AU345*BD345*1),$AU345*BD345*1,"")</f>
        <v/>
      </c>
      <c r="BR345" s="1425" t="str">
        <f aca="false">IF(ISNUMBER($AV345*BE345*1),$AV345*BE345*1,"")</f>
        <v/>
      </c>
      <c r="BS345" s="1411" t="str">
        <f aca="false">IF(ISNUMBER($AU345*BF345),$AU345*BF345,"")</f>
        <v/>
      </c>
      <c r="BT345" s="1411" t="str">
        <f aca="false">IF(ISNUMBER($AV345*BG345),$AV345*BG345,"")</f>
        <v/>
      </c>
      <c r="BU345" s="1411"/>
      <c r="BV345" s="1411"/>
      <c r="BW345" s="1411"/>
      <c r="BX345" s="1411"/>
      <c r="BZ345" s="1372"/>
      <c r="CA345" s="1372"/>
      <c r="CB345" s="1426" t="str">
        <f aca="false">IF(ISNUMBER($AW345*BB345),$AW345*BB345,"")</f>
        <v/>
      </c>
      <c r="CC345" s="1426" t="str">
        <f aca="false">IF(ISNUMBER($AX345*BC345),$AX345*BC345,"")</f>
        <v/>
      </c>
      <c r="CD345" s="1426" t="str">
        <f aca="false">IF(ISNUMBER($AW345*BD345),$AW345*BD345,"")</f>
        <v/>
      </c>
      <c r="CE345" s="1426" t="str">
        <f aca="false">IF(ISNUMBER($AX345*BE345),$AX345*BE345,"")</f>
        <v/>
      </c>
      <c r="CF345" s="1372" t="str">
        <f aca="false">IF(ISNUMBER($AW345*BF345),$AW345*BF345,"")</f>
        <v/>
      </c>
      <c r="CG345" s="1372" t="str">
        <f aca="false">IF(ISNUMBER($AX345*BG345),$AX345*BG345,"")</f>
        <v/>
      </c>
      <c r="CH345" s="1438"/>
      <c r="CI345" s="1438"/>
      <c r="CJ345" s="1438"/>
      <c r="CK345" s="1438"/>
      <c r="CU345" s="1411"/>
      <c r="CV345" s="1411"/>
      <c r="CW345" s="1425"/>
      <c r="CX345" s="1425"/>
      <c r="CY345" s="1425"/>
      <c r="CZ345" s="1425"/>
      <c r="DA345" s="1411"/>
      <c r="DB345" s="1411"/>
      <c r="DC345" s="1411"/>
      <c r="DD345" s="1411"/>
      <c r="DE345" s="1411"/>
      <c r="DF345" s="1411"/>
      <c r="DH345" s="1432"/>
      <c r="DI345" s="1432"/>
      <c r="DJ345" s="1437"/>
      <c r="DK345" s="1437"/>
      <c r="DL345" s="1437"/>
      <c r="DM345" s="1437"/>
      <c r="DN345" s="1432"/>
      <c r="DO345" s="1432"/>
      <c r="DP345" s="1432"/>
      <c r="DQ345" s="1432"/>
      <c r="DR345" s="1432"/>
      <c r="DS345" s="1432"/>
      <c r="DT345" s="1316"/>
      <c r="DU345" s="1433"/>
      <c r="DV345" s="1433"/>
      <c r="DW345" s="1433"/>
      <c r="DX345" s="1433"/>
      <c r="DY345" s="1433"/>
      <c r="DZ345" s="1433"/>
      <c r="EA345" s="1433"/>
      <c r="EB345" s="1433"/>
    </row>
    <row r="346" customFormat="false" ht="14.25" hidden="false" customHeight="false" outlineLevel="0" collapsed="false">
      <c r="A346" s="1476" t="n">
        <f aca="false">'V_DATOS PAC_SGA'!R341</f>
        <v>0</v>
      </c>
      <c r="B346" s="1476" t="n">
        <f aca="false">IF(I346="IV",CONCATENATE('V_DATOS PAC_SGA'!R341,"4")+0,CONCATENATE('V_DATOS PAC_SGA'!R341,"0")+0)</f>
        <v>0</v>
      </c>
      <c r="C346" s="1476" t="n">
        <f aca="false">'V_DATOS PAC_SGA'!S341</f>
        <v>0</v>
      </c>
      <c r="D346" s="1409" t="n">
        <f aca="false">'V_DATOS PAC_SGA'!Y341</f>
        <v>0</v>
      </c>
      <c r="E346" s="1410" t="str">
        <f aca="false">IF('V_DATOS PAC_SGA'!AV341="","Regadio",'V_DATOS PAC_SGA'!AV341)</f>
        <v>Regadio</v>
      </c>
      <c r="F346" s="1411" t="n">
        <f aca="false">'V_DATOS PAC_SGA'!BK341</f>
        <v>0</v>
      </c>
      <c r="G346" s="1412" t="n">
        <f aca="false">'V_DATOS PAC_SGA'!AN341</f>
        <v>0</v>
      </c>
      <c r="H346" s="1413" t="str">
        <f aca="false">IF(B346&gt;0,VLOOKUP(B346,'O_MN, PE_UTA_UGM 2024'!E$3:O$419,10),"")</f>
        <v/>
      </c>
      <c r="I346" s="1359" t="n">
        <f aca="false">'V_DATOS PAC_SGA'!BV341</f>
        <v>0</v>
      </c>
      <c r="J346" s="1476" t="str">
        <f aca="false">IF(AND(J$4=$G346,J$6=$F346),$D346*J$5,"")</f>
        <v/>
      </c>
      <c r="K346" s="1476" t="str">
        <f aca="false">IF(AND(K$4=$G346,K$6=$F346),$D346*K$5,"")</f>
        <v/>
      </c>
      <c r="L346" s="1476" t="str">
        <f aca="false">IF(AND(L$4=$G346,L$6=$F346),$D346*L$5,"")</f>
        <v/>
      </c>
      <c r="M346" s="1476" t="str">
        <f aca="false">IF(AND(M$4=$G346,M$6=$F346),$D346*M$5,"")</f>
        <v/>
      </c>
      <c r="N346" s="1414" t="n">
        <f aca="false">VLOOKUP(B346,'O_MN, PE_UTA_UGM 2024'!$E$2:$K$419,IF(G346&gt;1,6,7))</f>
        <v>0</v>
      </c>
      <c r="O346" s="1434" t="str">
        <f aca="false">IF($H346=O$4,$D346*$N346,"")</f>
        <v/>
      </c>
      <c r="P346" s="1435" t="str">
        <f aca="false">IF($H346=P$4,$D346*$N346,"")</f>
        <v/>
      </c>
      <c r="Q346" s="1435" t="str">
        <f aca="false">IF($H346=Q$4,$D346*$N346,"")</f>
        <v/>
      </c>
      <c r="R346" s="1435" t="str">
        <f aca="false">IF($H346=R$4,$D346*$N346,"")</f>
        <v/>
      </c>
      <c r="S346" s="1435" t="str">
        <f aca="false">IF($H346=S$4,$D346*$N346,"")</f>
        <v/>
      </c>
      <c r="T346" s="1435" t="str">
        <f aca="false">IF($H346=T$4,$D346*$N346,"")</f>
        <v/>
      </c>
      <c r="U346" s="1436" t="str">
        <f aca="false">IF($H346=U$4,$D346*$N346,"")</f>
        <v/>
      </c>
      <c r="V346" s="1472"/>
      <c r="W346" s="1471"/>
      <c r="X346" s="1471"/>
      <c r="Y346" s="1471"/>
      <c r="Z346" s="1471"/>
      <c r="AA346" s="1471"/>
      <c r="AB346" s="1473"/>
      <c r="AC346" s="1319"/>
      <c r="AD346" s="1476" t="str">
        <f aca="false">IF(AND(AD$4=$G346,AD$6=$F346),$B346,"")</f>
        <v/>
      </c>
      <c r="AE346" s="1476" t="str">
        <f aca="false">IF(AND(AE$4=$G346,AE$6=$F346),$B346,"")</f>
        <v/>
      </c>
      <c r="AF346" s="1476" t="str">
        <f aca="false">IF(AND(AF$4=$G346,AF$6=$F346),$B346,"")</f>
        <v/>
      </c>
      <c r="AG346" s="1476" t="str">
        <f aca="false">IF(AND(AG$4=$G346,AG$6=$F346),$B346,"")</f>
        <v/>
      </c>
      <c r="AH346" s="1476"/>
      <c r="AI346" s="366"/>
      <c r="AJ346" s="1476"/>
      <c r="AK346" s="1476"/>
      <c r="AL346" s="367"/>
      <c r="AM346" s="1476"/>
      <c r="AN346" s="1476"/>
      <c r="AO346" s="367"/>
      <c r="AP346" s="1476" t="str">
        <f aca="false">IF(AT346&gt;0,RANK(AT346,AT$7:AT$423),"")</f>
        <v/>
      </c>
      <c r="AQ346" s="1475" t="n">
        <f aca="false">'O_MN, PE_UTA_UGM 2024'!C342</f>
        <v>445</v>
      </c>
      <c r="AR346" s="1421" t="n">
        <v>3510</v>
      </c>
      <c r="AS346" s="1476" t="str">
        <f aca="false">IF(AY346&lt;&gt;"",AY346,"")</f>
        <v/>
      </c>
      <c r="AT346" s="1422" t="n">
        <f aca="false">IF(ISNUMBER($AR346),SUMIF(B$7:B$505,AR346,D$7:D$505),"")</f>
        <v>0</v>
      </c>
      <c r="AU346" s="1411" t="n">
        <f aca="false">IF(ISNUMBER($AR346),SUMIF(AD$7:AD$503,$AR346,J$7:J$503),"")</f>
        <v>0</v>
      </c>
      <c r="AV346" s="1411" t="n">
        <f aca="false">IF(ISNUMBER($AR346),SUMIF(AF$7:AF$503,$AR346,L$7:L$503),"")</f>
        <v>0</v>
      </c>
      <c r="AW346" s="1423" t="n">
        <f aca="false">IF(ISNUMBER($AR346),SUMIF(AE$7:AE$503,$AR346,K$7:K$503),"")</f>
        <v>0</v>
      </c>
      <c r="AX346" s="1423" t="n">
        <f aca="false">IF(ISNUMBER($AR346),SUMIF(AG$7:AG$503,$AR346,M$7:M$503),"")</f>
        <v>0</v>
      </c>
      <c r="AY346" s="1476" t="str">
        <f aca="false">IF($AT346&gt;0,VLOOKUP($AR346,'O_MN, PE_UTA_UGM 2024'!E342:O758,2),"")</f>
        <v/>
      </c>
      <c r="AZ346" s="1424"/>
      <c r="BA346" s="1424"/>
      <c r="BB346" s="1424" t="str">
        <f aca="false">IF($AT346&gt;0,VLOOKUP($AR346,'O_MN, PE_UTA_UGM 2024'!$E$3:$O$419,BB$6),"")</f>
        <v/>
      </c>
      <c r="BC346" s="1424" t="str">
        <f aca="false">IF($AT346&gt;0,VLOOKUP($AR346,'O_MN, PE_UTA_UGM 2024'!$E$3:$O$419,BC$6),"")</f>
        <v/>
      </c>
      <c r="BD346" s="1424" t="str">
        <f aca="false">IF($AT346&gt;0,VLOOKUP($AR346,'O_MN, PE_UTA_UGM 2024'!$E$3:$O$419,BD$6),"")</f>
        <v/>
      </c>
      <c r="BE346" s="1424" t="str">
        <f aca="false">IF($AT346&gt;0,VLOOKUP($AR346,'O_MN, PE_UTA_UGM 2024'!$E$3:$O$419,BE$6),"")</f>
        <v/>
      </c>
      <c r="BF346" s="1424" t="str">
        <f aca="false">IF($AT346&gt;0,VLOOKUP($AR346,'O_MN, PE_UTA_UGM 2024'!$E$3:$O$419,BF$6),"")</f>
        <v/>
      </c>
      <c r="BG346" s="1424" t="str">
        <f aca="false">IF($AT346&gt;0,VLOOKUP($AR346,'O_MN, PE_UTA_UGM 2024'!$E$3:$O$419,BG$6),"")</f>
        <v/>
      </c>
      <c r="BH346" s="872"/>
      <c r="BI346" s="872"/>
      <c r="BJ346" s="872"/>
      <c r="BK346" s="872"/>
      <c r="BL346" s="1476"/>
      <c r="BM346" s="1411"/>
      <c r="BN346" s="1411"/>
      <c r="BO346" s="1425" t="str">
        <f aca="false">IF(ISNUMBER($AU346*BB346*1),$AU346*BB346*1,"")</f>
        <v/>
      </c>
      <c r="BP346" s="1425" t="str">
        <f aca="false">IF(ISNUMBER($AV346*BC346*1),$AV346*BC346*1,"")</f>
        <v/>
      </c>
      <c r="BQ346" s="1425" t="str">
        <f aca="false">IF(ISNUMBER($AU346*BD346*1),$AU346*BD346*1,"")</f>
        <v/>
      </c>
      <c r="BR346" s="1425" t="str">
        <f aca="false">IF(ISNUMBER($AV346*BE346*1),$AV346*BE346*1,"")</f>
        <v/>
      </c>
      <c r="BS346" s="1411" t="str">
        <f aca="false">IF(ISNUMBER($AU346*BF346),$AU346*BF346,"")</f>
        <v/>
      </c>
      <c r="BT346" s="1411" t="str">
        <f aca="false">IF(ISNUMBER($AV346*BG346),$AV346*BG346,"")</f>
        <v/>
      </c>
      <c r="BU346" s="1411"/>
      <c r="BV346" s="1411"/>
      <c r="BW346" s="1411"/>
      <c r="BX346" s="1411"/>
      <c r="BY346" s="1476"/>
      <c r="BZ346" s="1372"/>
      <c r="CA346" s="1372"/>
      <c r="CB346" s="1426" t="str">
        <f aca="false">IF(ISNUMBER($AW346*BB346),$AW346*BB346,"")</f>
        <v/>
      </c>
      <c r="CC346" s="1426" t="str">
        <f aca="false">IF(ISNUMBER($AX346*BC346),$AX346*BC346,"")</f>
        <v/>
      </c>
      <c r="CD346" s="1426" t="str">
        <f aca="false">IF(ISNUMBER($AW346*BD346),$AW346*BD346,"")</f>
        <v/>
      </c>
      <c r="CE346" s="1426" t="str">
        <f aca="false">IF(ISNUMBER($AX346*BE346),$AX346*BE346,"")</f>
        <v/>
      </c>
      <c r="CF346" s="1372" t="str">
        <f aca="false">IF(ISNUMBER($AW346*BF346),$AW346*BF346,"")</f>
        <v/>
      </c>
      <c r="CG346" s="1372" t="str">
        <f aca="false">IF(ISNUMBER($AX346*BG346),$AX346*BG346,"")</f>
        <v/>
      </c>
      <c r="CH346" s="1438"/>
      <c r="CI346" s="1438"/>
      <c r="CJ346" s="1438"/>
      <c r="CK346" s="1438"/>
      <c r="CL346" s="1476"/>
      <c r="CM346" s="1476"/>
      <c r="CN346" s="1476"/>
      <c r="CO346" s="1476"/>
      <c r="CP346" s="1476"/>
      <c r="CQ346" s="1476"/>
      <c r="CR346" s="1476"/>
      <c r="CS346" s="1476"/>
      <c r="CT346" s="1476"/>
      <c r="CU346" s="1411"/>
      <c r="CV346" s="1411"/>
      <c r="CW346" s="1425"/>
      <c r="CX346" s="1425"/>
      <c r="CY346" s="1425"/>
      <c r="CZ346" s="1425"/>
      <c r="DA346" s="1411"/>
      <c r="DB346" s="1411"/>
      <c r="DC346" s="1411"/>
      <c r="DD346" s="1411"/>
      <c r="DE346" s="1411"/>
      <c r="DF346" s="1411"/>
      <c r="DG346" s="1476"/>
      <c r="DH346" s="1432"/>
      <c r="DI346" s="1432"/>
      <c r="DJ346" s="1437"/>
      <c r="DK346" s="1437"/>
      <c r="DL346" s="1437"/>
      <c r="DM346" s="1437"/>
      <c r="DN346" s="1432"/>
      <c r="DO346" s="1432"/>
      <c r="DP346" s="1432"/>
      <c r="DQ346" s="1432"/>
      <c r="DR346" s="1432"/>
      <c r="DS346" s="1432"/>
      <c r="DT346" s="1316"/>
      <c r="DU346" s="1433"/>
      <c r="DV346" s="1433"/>
      <c r="DW346" s="1433"/>
      <c r="DX346" s="1433"/>
      <c r="DY346" s="1433"/>
      <c r="DZ346" s="1433"/>
      <c r="EA346" s="1433"/>
      <c r="EB346" s="1433"/>
    </row>
    <row r="347" customFormat="false" ht="14.25" hidden="false" customHeight="false" outlineLevel="0" collapsed="false">
      <c r="A347" s="1476" t="n">
        <f aca="false">'V_DATOS PAC_SGA'!R342</f>
        <v>0</v>
      </c>
      <c r="B347" s="1476" t="n">
        <f aca="false">IF(I347="IV",CONCATENATE('V_DATOS PAC_SGA'!R342,"4")+0,CONCATENATE('V_DATOS PAC_SGA'!R342,"0")+0)</f>
        <v>0</v>
      </c>
      <c r="C347" s="1476" t="n">
        <f aca="false">'V_DATOS PAC_SGA'!S342</f>
        <v>0</v>
      </c>
      <c r="D347" s="1409" t="n">
        <f aca="false">'V_DATOS PAC_SGA'!Y342</f>
        <v>0</v>
      </c>
      <c r="E347" s="1410" t="str">
        <f aca="false">IF('V_DATOS PAC_SGA'!AV342="","Regadio",'V_DATOS PAC_SGA'!AV342)</f>
        <v>Regadio</v>
      </c>
      <c r="F347" s="1411" t="n">
        <f aca="false">'V_DATOS PAC_SGA'!BK342</f>
        <v>0</v>
      </c>
      <c r="G347" s="1412" t="n">
        <f aca="false">'V_DATOS PAC_SGA'!AN342</f>
        <v>0</v>
      </c>
      <c r="H347" s="1413" t="str">
        <f aca="false">IF(B347&gt;0,VLOOKUP(B347,'O_MN, PE_UTA_UGM 2024'!E$3:O$419,10),"")</f>
        <v/>
      </c>
      <c r="I347" s="1359" t="n">
        <f aca="false">'V_DATOS PAC_SGA'!BV342</f>
        <v>0</v>
      </c>
      <c r="J347" s="1476" t="str">
        <f aca="false">IF(AND(J$4=$G347,J$6=$F347),$D347*J$5,"")</f>
        <v/>
      </c>
      <c r="K347" s="1476" t="str">
        <f aca="false">IF(AND(K$4=$G347,K$6=$F347),$D347*K$5,"")</f>
        <v/>
      </c>
      <c r="L347" s="1476" t="str">
        <f aca="false">IF(AND(L$4=$G347,L$6=$F347),$D347*L$5,"")</f>
        <v/>
      </c>
      <c r="M347" s="1476" t="str">
        <f aca="false">IF(AND(M$4=$G347,M$6=$F347),$D347*M$5,"")</f>
        <v/>
      </c>
      <c r="N347" s="1414" t="n">
        <f aca="false">VLOOKUP(B347,'O_MN, PE_UTA_UGM 2024'!$E$2:$K$419,IF(G347&gt;1,6,7))</f>
        <v>0</v>
      </c>
      <c r="O347" s="1434" t="str">
        <f aca="false">IF($H347=O$4,$D347*$N347,"")</f>
        <v/>
      </c>
      <c r="P347" s="1435" t="str">
        <f aca="false">IF($H347=P$4,$D347*$N347,"")</f>
        <v/>
      </c>
      <c r="Q347" s="1435" t="str">
        <f aca="false">IF($H347=Q$4,$D347*$N347,"")</f>
        <v/>
      </c>
      <c r="R347" s="1435" t="str">
        <f aca="false">IF($H347=R$4,$D347*$N347,"")</f>
        <v/>
      </c>
      <c r="S347" s="1435" t="str">
        <f aca="false">IF($H347=S$4,$D347*$N347,"")</f>
        <v/>
      </c>
      <c r="T347" s="1435" t="str">
        <f aca="false">IF($H347=T$4,$D347*$N347,"")</f>
        <v/>
      </c>
      <c r="U347" s="1436" t="str">
        <f aca="false">IF($H347=U$4,$D347*$N347,"")</f>
        <v/>
      </c>
      <c r="V347" s="1472"/>
      <c r="W347" s="1471"/>
      <c r="X347" s="1471"/>
      <c r="Y347" s="1471"/>
      <c r="Z347" s="1471"/>
      <c r="AA347" s="1471"/>
      <c r="AB347" s="1473"/>
      <c r="AC347" s="1319"/>
      <c r="AD347" s="1476" t="str">
        <f aca="false">IF(AND(AD$4=$G347,AD$6=$F347),$B347,"")</f>
        <v/>
      </c>
      <c r="AE347" s="1476" t="str">
        <f aca="false">IF(AND(AE$4=$G347,AE$6=$F347),$B347,"")</f>
        <v/>
      </c>
      <c r="AF347" s="1476" t="str">
        <f aca="false">IF(AND(AF$4=$G347,AF$6=$F347),$B347,"")</f>
        <v/>
      </c>
      <c r="AG347" s="1476" t="str">
        <f aca="false">IF(AND(AG$4=$G347,AG$6=$F347),$B347,"")</f>
        <v/>
      </c>
      <c r="AH347" s="1476"/>
      <c r="AI347" s="366"/>
      <c r="AJ347" s="1476"/>
      <c r="AK347" s="1476"/>
      <c r="AL347" s="367"/>
      <c r="AM347" s="1476"/>
      <c r="AN347" s="1476"/>
      <c r="AO347" s="367"/>
      <c r="AP347" s="1476" t="str">
        <f aca="false">IF(AT347&gt;0,RANK(AT347,AT$7:AT$423),"")</f>
        <v/>
      </c>
      <c r="AQ347" s="1475" t="n">
        <f aca="false">'O_MN, PE_UTA_UGM 2024'!C343</f>
        <v>447</v>
      </c>
      <c r="AR347" s="1421" t="n">
        <v>3520</v>
      </c>
      <c r="AS347" s="1476" t="str">
        <f aca="false">IF(AY347&lt;&gt;"",AY347,"")</f>
        <v/>
      </c>
      <c r="AT347" s="1422" t="n">
        <f aca="false">IF(ISNUMBER($AR347),SUMIF(B$7:B$505,AR347,D$7:D$505),"")</f>
        <v>0</v>
      </c>
      <c r="AU347" s="1411" t="n">
        <f aca="false">IF(ISNUMBER($AR347),SUMIF(AD$7:AD$503,$AR347,J$7:J$503),"")</f>
        <v>0</v>
      </c>
      <c r="AV347" s="1411" t="n">
        <f aca="false">IF(ISNUMBER($AR347),SUMIF(AF$7:AF$503,$AR347,L$7:L$503),"")</f>
        <v>0</v>
      </c>
      <c r="AW347" s="1423" t="n">
        <f aca="false">IF(ISNUMBER($AR347),SUMIF(AE$7:AE$503,$AR347,K$7:K$503),"")</f>
        <v>0</v>
      </c>
      <c r="AX347" s="1423" t="n">
        <f aca="false">IF(ISNUMBER($AR347),SUMIF(AG$7:AG$503,$AR347,M$7:M$503),"")</f>
        <v>0</v>
      </c>
      <c r="AY347" s="1476" t="str">
        <f aca="false">IF($AT347&gt;0,VLOOKUP($AR347,'O_MN, PE_UTA_UGM 2024'!E343:O759,2),"")</f>
        <v/>
      </c>
      <c r="AZ347" s="1424"/>
      <c r="BA347" s="1424"/>
      <c r="BB347" s="1424" t="str">
        <f aca="false">IF($AT347&gt;0,VLOOKUP($AR347,'O_MN, PE_UTA_UGM 2024'!$E$3:$O$419,BB$6),"")</f>
        <v/>
      </c>
      <c r="BC347" s="1424" t="str">
        <f aca="false">IF($AT347&gt;0,VLOOKUP($AR347,'O_MN, PE_UTA_UGM 2024'!$E$3:$O$419,BC$6),"")</f>
        <v/>
      </c>
      <c r="BD347" s="1424" t="str">
        <f aca="false">IF($AT347&gt;0,VLOOKUP($AR347,'O_MN, PE_UTA_UGM 2024'!$E$3:$O$419,BD$6),"")</f>
        <v/>
      </c>
      <c r="BE347" s="1424" t="str">
        <f aca="false">IF($AT347&gt;0,VLOOKUP($AR347,'O_MN, PE_UTA_UGM 2024'!$E$3:$O$419,BE$6),"")</f>
        <v/>
      </c>
      <c r="BF347" s="1424" t="str">
        <f aca="false">IF($AT347&gt;0,VLOOKUP($AR347,'O_MN, PE_UTA_UGM 2024'!$E$3:$O$419,BF$6),"")</f>
        <v/>
      </c>
      <c r="BG347" s="1424" t="str">
        <f aca="false">IF($AT347&gt;0,VLOOKUP($AR347,'O_MN, PE_UTA_UGM 2024'!$E$3:$O$419,BG$6),"")</f>
        <v/>
      </c>
      <c r="BH347" s="872"/>
      <c r="BI347" s="872"/>
      <c r="BJ347" s="872"/>
      <c r="BK347" s="872"/>
      <c r="BL347" s="1476"/>
      <c r="BM347" s="1411"/>
      <c r="BN347" s="1411"/>
      <c r="BO347" s="1425" t="str">
        <f aca="false">IF(ISNUMBER($AU347*BB347*1),$AU347*BB347*1,"")</f>
        <v/>
      </c>
      <c r="BP347" s="1425" t="str">
        <f aca="false">IF(ISNUMBER($AV347*BC347*1),$AV347*BC347*1,"")</f>
        <v/>
      </c>
      <c r="BQ347" s="1425" t="str">
        <f aca="false">IF(ISNUMBER($AU347*BD347*1),$AU347*BD347*1,"")</f>
        <v/>
      </c>
      <c r="BR347" s="1425" t="str">
        <f aca="false">IF(ISNUMBER($AV347*BE347*1),$AV347*BE347*1,"")</f>
        <v/>
      </c>
      <c r="BS347" s="1411" t="str">
        <f aca="false">IF(ISNUMBER($AU347*BF347),$AU347*BF347,"")</f>
        <v/>
      </c>
      <c r="BT347" s="1411" t="str">
        <f aca="false">IF(ISNUMBER($AV347*BG347),$AV347*BG347,"")</f>
        <v/>
      </c>
      <c r="BU347" s="1411"/>
      <c r="BV347" s="1411"/>
      <c r="BW347" s="1411"/>
      <c r="BX347" s="1411"/>
      <c r="BY347" s="1476"/>
      <c r="BZ347" s="1372"/>
      <c r="CA347" s="1372"/>
      <c r="CB347" s="1426" t="str">
        <f aca="false">IF(ISNUMBER($AW347*BB347),$AW347*BB347,"")</f>
        <v/>
      </c>
      <c r="CC347" s="1426" t="str">
        <f aca="false">IF(ISNUMBER($AX347*BC347),$AX347*BC347,"")</f>
        <v/>
      </c>
      <c r="CD347" s="1426" t="str">
        <f aca="false">IF(ISNUMBER($AW347*BD347),$AW347*BD347,"")</f>
        <v/>
      </c>
      <c r="CE347" s="1426" t="str">
        <f aca="false">IF(ISNUMBER($AX347*BE347),$AX347*BE347,"")</f>
        <v/>
      </c>
      <c r="CF347" s="1372" t="str">
        <f aca="false">IF(ISNUMBER($AW347*BF347),$AW347*BF347,"")</f>
        <v/>
      </c>
      <c r="CG347" s="1372" t="str">
        <f aca="false">IF(ISNUMBER($AX347*BG347),$AX347*BG347,"")</f>
        <v/>
      </c>
      <c r="CH347" s="1476"/>
      <c r="CI347" s="1476"/>
      <c r="CJ347" s="1476"/>
      <c r="CK347" s="1476"/>
      <c r="CL347" s="1476"/>
      <c r="CM347" s="1476"/>
      <c r="CN347" s="1476"/>
      <c r="CO347" s="1476"/>
      <c r="CP347" s="1476"/>
      <c r="CQ347" s="1476"/>
      <c r="CR347" s="1476"/>
      <c r="CS347" s="1476"/>
      <c r="CT347" s="1476"/>
      <c r="CU347" s="1476"/>
      <c r="CV347" s="1476"/>
      <c r="CW347" s="1476"/>
      <c r="CX347" s="1476"/>
      <c r="CY347" s="1476"/>
      <c r="CZ347" s="1476"/>
      <c r="DA347" s="1476"/>
      <c r="DB347" s="1476"/>
      <c r="DC347" s="1476"/>
      <c r="DD347" s="1476"/>
      <c r="DE347" s="1476"/>
      <c r="DF347" s="1476"/>
      <c r="DG347" s="1476"/>
      <c r="DH347" s="1476"/>
      <c r="DI347" s="1476"/>
      <c r="DJ347" s="1476"/>
      <c r="DK347" s="1476"/>
      <c r="DL347" s="1476"/>
      <c r="DM347" s="1476"/>
      <c r="DN347" s="1476"/>
      <c r="DO347" s="1476"/>
      <c r="DP347" s="1476"/>
      <c r="DQ347" s="1476"/>
      <c r="DR347" s="1476"/>
      <c r="DS347" s="1476"/>
      <c r="DT347" s="1476"/>
      <c r="DU347" s="1476"/>
      <c r="DV347" s="1476"/>
      <c r="DW347" s="1476"/>
      <c r="DX347" s="1476"/>
      <c r="DY347" s="1476"/>
      <c r="DZ347" s="1476"/>
      <c r="EA347" s="1476"/>
      <c r="EB347" s="1476"/>
    </row>
    <row r="348" customFormat="false" ht="14.25" hidden="false" customHeight="false" outlineLevel="0" collapsed="false">
      <c r="A348" s="1477" t="n">
        <f aca="false">'V_DATOS PAC_SGA'!R343</f>
        <v>0</v>
      </c>
      <c r="B348" s="1477" t="n">
        <f aca="false">IF(I348="IV",CONCATENATE('V_DATOS PAC_SGA'!R343,"4")+0,CONCATENATE('V_DATOS PAC_SGA'!R343,"0")+0)</f>
        <v>0</v>
      </c>
      <c r="C348" s="1477" t="n">
        <f aca="false">'V_DATOS PAC_SGA'!S343</f>
        <v>0</v>
      </c>
      <c r="D348" s="1409" t="n">
        <f aca="false">'V_DATOS PAC_SGA'!Y343</f>
        <v>0</v>
      </c>
      <c r="E348" s="1410" t="str">
        <f aca="false">IF('V_DATOS PAC_SGA'!AV343="","Regadio",'V_DATOS PAC_SGA'!AV343)</f>
        <v>Regadio</v>
      </c>
      <c r="F348" s="1411" t="n">
        <f aca="false">'V_DATOS PAC_SGA'!BK343</f>
        <v>0</v>
      </c>
      <c r="G348" s="1412" t="n">
        <f aca="false">'V_DATOS PAC_SGA'!AN343</f>
        <v>0</v>
      </c>
      <c r="H348" s="1413" t="str">
        <f aca="false">IF(B348&gt;0,VLOOKUP(B348,'O_MN, PE_UTA_UGM 2024'!E$3:O$419,10),"")</f>
        <v/>
      </c>
      <c r="I348" s="1359" t="n">
        <f aca="false">'V_DATOS PAC_SGA'!BV343</f>
        <v>0</v>
      </c>
      <c r="J348" s="1477" t="str">
        <f aca="false">IF(AND(J$4=$G348,J$6=$F348),$D348*J$5,"")</f>
        <v/>
      </c>
      <c r="K348" s="1477" t="str">
        <f aca="false">IF(AND(K$4=$G348,K$6=$F348),$D348*K$5,"")</f>
        <v/>
      </c>
      <c r="L348" s="1477" t="str">
        <f aca="false">IF(AND(L$4=$G348,L$6=$F348),$D348*L$5,"")</f>
        <v/>
      </c>
      <c r="M348" s="1477" t="str">
        <f aca="false">IF(AND(M$4=$G348,M$6=$F348),$D348*M$5,"")</f>
        <v/>
      </c>
      <c r="N348" s="1414" t="n">
        <f aca="false">VLOOKUP(B348,'O_MN, PE_UTA_UGM 2024'!$E$2:$K$419,IF(G348&gt;1,6,7))</f>
        <v>0</v>
      </c>
      <c r="O348" s="1434" t="str">
        <f aca="false">IF($H348=O$4,$D348*$N348,"")</f>
        <v/>
      </c>
      <c r="P348" s="1435" t="str">
        <f aca="false">IF($H348=P$4,$D348*$N348,"")</f>
        <v/>
      </c>
      <c r="Q348" s="1435" t="str">
        <f aca="false">IF($H348=Q$4,$D348*$N348,"")</f>
        <v/>
      </c>
      <c r="R348" s="1435" t="str">
        <f aca="false">IF($H348=R$4,$D348*$N348,"")</f>
        <v/>
      </c>
      <c r="S348" s="1435" t="str">
        <f aca="false">IF($H348=S$4,$D348*$N348,"")</f>
        <v/>
      </c>
      <c r="T348" s="1435" t="str">
        <f aca="false">IF($H348=T$4,$D348*$N348,"")</f>
        <v/>
      </c>
      <c r="U348" s="1436" t="str">
        <f aca="false">IF($H348=U$4,$D348*$N348,"")</f>
        <v/>
      </c>
      <c r="V348" s="1472"/>
      <c r="W348" s="1471"/>
      <c r="X348" s="1471"/>
      <c r="Y348" s="1471"/>
      <c r="Z348" s="1471"/>
      <c r="AA348" s="1471"/>
      <c r="AB348" s="1473"/>
      <c r="AC348" s="1319"/>
      <c r="AD348" s="1477" t="str">
        <f aca="false">IF(AND(AD$4=$G348,AD$6=$F348),$B348,"")</f>
        <v/>
      </c>
      <c r="AE348" s="1477" t="str">
        <f aca="false">IF(AND(AE$4=$G348,AE$6=$F348),$B348,"")</f>
        <v/>
      </c>
      <c r="AF348" s="1477" t="str">
        <f aca="false">IF(AND(AF$4=$G348,AF$6=$F348),$B348,"")</f>
        <v/>
      </c>
      <c r="AG348" s="1477" t="str">
        <f aca="false">IF(AND(AG$4=$G348,AG$6=$F348),$B348,"")</f>
        <v/>
      </c>
      <c r="AH348" s="1477"/>
      <c r="AI348" s="366"/>
      <c r="AJ348" s="1477"/>
      <c r="AK348" s="1477"/>
      <c r="AL348" s="367"/>
      <c r="AM348" s="1477"/>
      <c r="AN348" s="1477"/>
      <c r="AO348" s="367"/>
      <c r="AP348" s="1477" t="str">
        <f aca="false">IF(AT348&gt;0,RANK(AT348,AT$7:AT$423),"")</f>
        <v/>
      </c>
      <c r="AQ348" s="1475" t="n">
        <f aca="false">'O_MN, PE_UTA_UGM 2024'!C344</f>
        <v>448</v>
      </c>
      <c r="AR348" s="1421" t="n">
        <v>3530</v>
      </c>
      <c r="AS348" s="1477" t="str">
        <f aca="false">IF(AY348&lt;&gt;"",AY348,"")</f>
        <v/>
      </c>
      <c r="AT348" s="1422" t="n">
        <f aca="false">IF(ISNUMBER($AR348),SUMIF(B$7:B$505,AR348,D$7:D$505),"")</f>
        <v>0</v>
      </c>
      <c r="AU348" s="1411" t="n">
        <f aca="false">IF(ISNUMBER($AR348),SUMIF(AD$7:AD$503,$AR348,J$7:J$503),"")</f>
        <v>0</v>
      </c>
      <c r="AV348" s="1411" t="n">
        <f aca="false">IF(ISNUMBER($AR348),SUMIF(AF$7:AF$503,$AR348,L$7:L$503),"")</f>
        <v>0</v>
      </c>
      <c r="AW348" s="1423" t="n">
        <f aca="false">IF(ISNUMBER($AR348),SUMIF(AE$7:AE$503,$AR348,K$7:K$503),"")</f>
        <v>0</v>
      </c>
      <c r="AX348" s="1423" t="n">
        <f aca="false">IF(ISNUMBER($AR348),SUMIF(AG$7:AG$503,$AR348,M$7:M$503),"")</f>
        <v>0</v>
      </c>
      <c r="AY348" s="1477" t="str">
        <f aca="false">IF($AT348&gt;0,VLOOKUP($AR348,'O_MN, PE_UTA_UGM 2024'!E344:O760,2),"")</f>
        <v/>
      </c>
      <c r="AZ348" s="1424"/>
      <c r="BA348" s="1424"/>
      <c r="BB348" s="1424" t="str">
        <f aca="false">IF($AT348&gt;0,VLOOKUP($AR348,'O_MN, PE_UTA_UGM 2024'!$E$3:$O$419,BB$6),"")</f>
        <v/>
      </c>
      <c r="BC348" s="1424" t="str">
        <f aca="false">IF($AT348&gt;0,VLOOKUP($AR348,'O_MN, PE_UTA_UGM 2024'!$E$3:$O$419,BC$6),"")</f>
        <v/>
      </c>
      <c r="BD348" s="1424" t="str">
        <f aca="false">IF($AT348&gt;0,VLOOKUP($AR348,'O_MN, PE_UTA_UGM 2024'!$E$3:$O$419,BD$6),"")</f>
        <v/>
      </c>
      <c r="BE348" s="1424" t="str">
        <f aca="false">IF($AT348&gt;0,VLOOKUP($AR348,'O_MN, PE_UTA_UGM 2024'!$E$3:$O$419,BE$6),"")</f>
        <v/>
      </c>
      <c r="BF348" s="1424" t="str">
        <f aca="false">IF($AT348&gt;0,VLOOKUP($AR348,'O_MN, PE_UTA_UGM 2024'!$E$3:$O$419,BF$6),"")</f>
        <v/>
      </c>
      <c r="BG348" s="1424" t="str">
        <f aca="false">IF($AT348&gt;0,VLOOKUP($AR348,'O_MN, PE_UTA_UGM 2024'!$E$3:$O$419,BG$6),"")</f>
        <v/>
      </c>
      <c r="BH348" s="872"/>
      <c r="BI348" s="872"/>
      <c r="BJ348" s="872"/>
      <c r="BK348" s="872"/>
      <c r="BL348" s="1477"/>
      <c r="BM348" s="1411"/>
      <c r="BN348" s="1411"/>
      <c r="BO348" s="1425" t="str">
        <f aca="false">IF(ISNUMBER($AU348*BB348*1),$AU348*BB348*1,"")</f>
        <v/>
      </c>
      <c r="BP348" s="1425" t="str">
        <f aca="false">IF(ISNUMBER($AV348*BC348*1),$AV348*BC348*1,"")</f>
        <v/>
      </c>
      <c r="BQ348" s="1425" t="str">
        <f aca="false">IF(ISNUMBER($AU348*BD348*1),$AU348*BD348*1,"")</f>
        <v/>
      </c>
      <c r="BR348" s="1425" t="str">
        <f aca="false">IF(ISNUMBER($AV348*BE348*1),$AV348*BE348*1,"")</f>
        <v/>
      </c>
      <c r="BS348" s="1411" t="str">
        <f aca="false">IF(ISNUMBER($AU348*BF348),$AU348*BF348,"")</f>
        <v/>
      </c>
      <c r="BT348" s="1411" t="str">
        <f aca="false">IF(ISNUMBER($AV348*BG348),$AV348*BG348,"")</f>
        <v/>
      </c>
      <c r="BU348" s="1411"/>
      <c r="BV348" s="1411"/>
      <c r="BW348" s="1411"/>
      <c r="BX348" s="1411"/>
      <c r="BY348" s="1477"/>
      <c r="BZ348" s="1372"/>
      <c r="CA348" s="1372"/>
      <c r="CB348" s="1426" t="str">
        <f aca="false">IF(ISNUMBER($AW348*BB348),$AW348*BB348,"")</f>
        <v/>
      </c>
      <c r="CC348" s="1426" t="str">
        <f aca="false">IF(ISNUMBER($AX348*BC348),$AX348*BC348,"")</f>
        <v/>
      </c>
      <c r="CD348" s="1426" t="str">
        <f aca="false">IF(ISNUMBER($AW348*BD348),$AW348*BD348,"")</f>
        <v/>
      </c>
      <c r="CE348" s="1426" t="str">
        <f aca="false">IF(ISNUMBER($AX348*BE348),$AX348*BE348,"")</f>
        <v/>
      </c>
      <c r="CF348" s="1372" t="str">
        <f aca="false">IF(ISNUMBER($AW348*BF348),$AW348*BF348,"")</f>
        <v/>
      </c>
      <c r="CG348" s="1372" t="str">
        <f aca="false">IF(ISNUMBER($AX348*BG348),$AX348*BG348,"")</f>
        <v/>
      </c>
      <c r="CH348" s="1477"/>
      <c r="CI348" s="1477"/>
      <c r="CJ348" s="1477"/>
      <c r="CK348" s="1477"/>
      <c r="CL348" s="1477"/>
      <c r="CM348" s="1477"/>
      <c r="CN348" s="1477"/>
      <c r="CO348" s="1477"/>
      <c r="CP348" s="1477"/>
      <c r="CQ348" s="1477"/>
      <c r="CR348" s="1477"/>
      <c r="CS348" s="1477"/>
      <c r="CT348" s="1477"/>
      <c r="CU348" s="1477"/>
      <c r="CV348" s="1477"/>
      <c r="CW348" s="1477"/>
      <c r="CX348" s="1477"/>
      <c r="CY348" s="1477"/>
      <c r="CZ348" s="1477"/>
      <c r="DA348" s="1477"/>
      <c r="DB348" s="1477"/>
      <c r="DC348" s="1477"/>
      <c r="DD348" s="1477"/>
      <c r="DE348" s="1477"/>
      <c r="DF348" s="1477"/>
      <c r="DG348" s="1477"/>
      <c r="DH348" s="1477"/>
      <c r="DI348" s="1477"/>
      <c r="DJ348" s="1477"/>
      <c r="DK348" s="1477"/>
      <c r="DL348" s="1477"/>
      <c r="DM348" s="1477"/>
      <c r="DN348" s="1477"/>
      <c r="DO348" s="1477"/>
      <c r="DP348" s="1477"/>
      <c r="DQ348" s="1477"/>
      <c r="DR348" s="1477"/>
      <c r="DS348" s="1477"/>
      <c r="DT348" s="1477"/>
      <c r="DU348" s="1477"/>
      <c r="DV348" s="1477"/>
      <c r="DW348" s="1477"/>
      <c r="DX348" s="1477"/>
      <c r="DY348" s="1477"/>
      <c r="DZ348" s="1477"/>
      <c r="EA348" s="1477"/>
      <c r="EB348" s="1477"/>
    </row>
    <row r="349" customFormat="false" ht="14.25" hidden="false" customHeight="false" outlineLevel="0" collapsed="false">
      <c r="A349" s="2" t="n">
        <f aca="false">'V_DATOS PAC_SGA'!R344</f>
        <v>0</v>
      </c>
      <c r="B349" s="2" t="n">
        <f aca="false">IF(I349="IV",CONCATENATE('V_DATOS PAC_SGA'!R344,"4")+0,CONCATENATE('V_DATOS PAC_SGA'!R344,"0")+0)</f>
        <v>0</v>
      </c>
      <c r="C349" s="2" t="n">
        <f aca="false">'V_DATOS PAC_SGA'!S344</f>
        <v>0</v>
      </c>
      <c r="D349" s="1409" t="n">
        <f aca="false">'V_DATOS PAC_SGA'!Y344</f>
        <v>0</v>
      </c>
      <c r="E349" s="1410" t="str">
        <f aca="false">IF('V_DATOS PAC_SGA'!AV344="","Regadio",'V_DATOS PAC_SGA'!AV344)</f>
        <v>Regadio</v>
      </c>
      <c r="F349" s="1411" t="n">
        <f aca="false">'V_DATOS PAC_SGA'!BK344</f>
        <v>0</v>
      </c>
      <c r="G349" s="1412" t="n">
        <f aca="false">'V_DATOS PAC_SGA'!AN344</f>
        <v>0</v>
      </c>
      <c r="H349" s="1413" t="str">
        <f aca="false">IF(B349&gt;0,VLOOKUP(B349,'O_MN, PE_UTA_UGM 2024'!E$3:O$419,10),"")</f>
        <v/>
      </c>
      <c r="I349" s="1359" t="n">
        <f aca="false">'V_DATOS PAC_SGA'!BV344</f>
        <v>0</v>
      </c>
      <c r="J349" s="2" t="str">
        <f aca="false">IF(AND(J$4=$G349,J$6=$F349),$D349*J$5,"")</f>
        <v/>
      </c>
      <c r="K349" s="2" t="str">
        <f aca="false">IF(AND(K$4=$G349,K$6=$F349),$D349*K$5,"")</f>
        <v/>
      </c>
      <c r="L349" s="2" t="str">
        <f aca="false">IF(AND(L$4=$G349,L$6=$F349),$D349*L$5,"")</f>
        <v/>
      </c>
      <c r="M349" s="2" t="str">
        <f aca="false">IF(AND(M$4=$G349,M$6=$F349),$D349*M$5,"")</f>
        <v/>
      </c>
      <c r="N349" s="1414" t="n">
        <f aca="false">VLOOKUP(B349,'O_MN, PE_UTA_UGM 2024'!$E$2:$K$419,IF(G349&gt;1,6,7))</f>
        <v>0</v>
      </c>
      <c r="O349" s="1434" t="str">
        <f aca="false">IF($H349=O$4,$D349*$N349,"")</f>
        <v/>
      </c>
      <c r="P349" s="1435" t="str">
        <f aca="false">IF($H349=P$4,$D349*$N349,"")</f>
        <v/>
      </c>
      <c r="Q349" s="1435" t="str">
        <f aca="false">IF($H349=Q$4,$D349*$N349,"")</f>
        <v/>
      </c>
      <c r="R349" s="1435" t="str">
        <f aca="false">IF($H349=R$4,$D349*$N349,"")</f>
        <v/>
      </c>
      <c r="S349" s="1435" t="str">
        <f aca="false">IF($H349=S$4,$D349*$N349,"")</f>
        <v/>
      </c>
      <c r="T349" s="1435" t="str">
        <f aca="false">IF($H349=T$4,$D349*$N349,"")</f>
        <v/>
      </c>
      <c r="U349" s="1436" t="str">
        <f aca="false">IF($H349=U$4,$D349*$N349,"")</f>
        <v/>
      </c>
      <c r="V349" s="1472"/>
      <c r="W349" s="1471"/>
      <c r="X349" s="1471"/>
      <c r="Y349" s="1471"/>
      <c r="Z349" s="1471"/>
      <c r="AA349" s="1471"/>
      <c r="AB349" s="1473"/>
      <c r="AC349" s="1319"/>
      <c r="AD349" s="2" t="str">
        <f aca="false">IF(AND(AD$4=$G349,AD$6=$F349),$B349,"")</f>
        <v/>
      </c>
      <c r="AE349" s="2" t="str">
        <f aca="false">IF(AND(AE$4=$G349,AE$6=$F349),$B349,"")</f>
        <v/>
      </c>
      <c r="AF349" s="2" t="str">
        <f aca="false">IF(AND(AF$4=$G349,AF$6=$F349),$B349,"")</f>
        <v/>
      </c>
      <c r="AG349" s="2" t="str">
        <f aca="false">IF(AND(AG$4=$G349,AG$6=$F349),$B349,"")</f>
        <v/>
      </c>
      <c r="AI349" s="366"/>
      <c r="AL349" s="367"/>
      <c r="AO349" s="367"/>
      <c r="AP349" s="2" t="str">
        <f aca="false">IF(AT349&gt;0,RANK(AT349,AT$7:AT$423),"")</f>
        <v/>
      </c>
      <c r="AQ349" s="1475" t="n">
        <f aca="false">'O_MN, PE_UTA_UGM 2024'!C345</f>
        <v>449</v>
      </c>
      <c r="AR349" s="1421" t="n">
        <v>3540</v>
      </c>
      <c r="AS349" s="2" t="str">
        <f aca="false">IF(AY349&lt;&gt;"",AY349,"")</f>
        <v/>
      </c>
      <c r="AT349" s="1422" t="n">
        <f aca="false">IF(ISNUMBER($AR349),SUMIF(B$7:B$505,AR349,D$7:D$505),"")</f>
        <v>0</v>
      </c>
      <c r="AU349" s="1411" t="n">
        <f aca="false">IF(ISNUMBER($AR349),SUMIF(AD$7:AD$503,$AR349,J$7:J$503),"")</f>
        <v>0</v>
      </c>
      <c r="AV349" s="1411" t="n">
        <f aca="false">IF(ISNUMBER($AR349),SUMIF(AF$7:AF$503,$AR349,L$7:L$503),"")</f>
        <v>0</v>
      </c>
      <c r="AW349" s="1423" t="n">
        <f aca="false">IF(ISNUMBER($AR349),SUMIF(AE$7:AE$503,$AR349,K$7:K$503),"")</f>
        <v>0</v>
      </c>
      <c r="AX349" s="1423" t="n">
        <f aca="false">IF(ISNUMBER($AR349),SUMIF(AG$7:AG$503,$AR349,M$7:M$503),"")</f>
        <v>0</v>
      </c>
      <c r="AY349" s="2" t="str">
        <f aca="false">IF($AT349&gt;0,VLOOKUP($AR349,'O_MN, PE_UTA_UGM 2024'!E345:O761,2),"")</f>
        <v/>
      </c>
      <c r="AZ349" s="1424"/>
      <c r="BA349" s="1424"/>
      <c r="BB349" s="1424" t="str">
        <f aca="false">IF($AT349&gt;0,VLOOKUP($AR349,'O_MN, PE_UTA_UGM 2024'!$E$3:$O$419,BB$6),"")</f>
        <v/>
      </c>
      <c r="BC349" s="1424" t="str">
        <f aca="false">IF($AT349&gt;0,VLOOKUP($AR349,'O_MN, PE_UTA_UGM 2024'!$E$3:$O$419,BC$6),"")</f>
        <v/>
      </c>
      <c r="BD349" s="1424" t="str">
        <f aca="false">IF($AT349&gt;0,VLOOKUP($AR349,'O_MN, PE_UTA_UGM 2024'!$E$3:$O$419,BD$6),"")</f>
        <v/>
      </c>
      <c r="BE349" s="1424" t="str">
        <f aca="false">IF($AT349&gt;0,VLOOKUP($AR349,'O_MN, PE_UTA_UGM 2024'!$E$3:$O$419,BE$6),"")</f>
        <v/>
      </c>
      <c r="BF349" s="1424" t="str">
        <f aca="false">IF($AT349&gt;0,VLOOKUP($AR349,'O_MN, PE_UTA_UGM 2024'!$E$3:$O$419,BF$6),"")</f>
        <v/>
      </c>
      <c r="BG349" s="1424" t="str">
        <f aca="false">IF($AT349&gt;0,VLOOKUP($AR349,'O_MN, PE_UTA_UGM 2024'!$E$3:$O$419,BG$6),"")</f>
        <v/>
      </c>
      <c r="BH349" s="872"/>
      <c r="BI349" s="872"/>
      <c r="BJ349" s="872"/>
      <c r="BK349" s="872"/>
      <c r="BM349" s="1411"/>
      <c r="BN349" s="1411"/>
      <c r="BO349" s="1425" t="str">
        <f aca="false">IF(ISNUMBER($AU349*BB349*1),$AU349*BB349*1,"")</f>
        <v/>
      </c>
      <c r="BP349" s="1425" t="str">
        <f aca="false">IF(ISNUMBER($AV349*BC349*1),$AV349*BC349*1,"")</f>
        <v/>
      </c>
      <c r="BQ349" s="1425" t="str">
        <f aca="false">IF(ISNUMBER($AU349*BD349*1),$AU349*BD349*1,"")</f>
        <v/>
      </c>
      <c r="BR349" s="1425" t="str">
        <f aca="false">IF(ISNUMBER($AV349*BE349*1),$AV349*BE349*1,"")</f>
        <v/>
      </c>
      <c r="BS349" s="1411" t="str">
        <f aca="false">IF(ISNUMBER($AU349*BF349),$AU349*BF349,"")</f>
        <v/>
      </c>
      <c r="BT349" s="1411" t="str">
        <f aca="false">IF(ISNUMBER($AV349*BG349),$AV349*BG349,"")</f>
        <v/>
      </c>
      <c r="BU349" s="1411"/>
      <c r="BV349" s="1411"/>
      <c r="BW349" s="1411"/>
      <c r="BX349" s="1411"/>
      <c r="BZ349" s="1372"/>
      <c r="CA349" s="1372"/>
      <c r="CB349" s="1426" t="str">
        <f aca="false">IF(ISNUMBER($AW349*BB349),$AW349*BB349,"")</f>
        <v/>
      </c>
      <c r="CC349" s="1426" t="str">
        <f aca="false">IF(ISNUMBER($AX349*BC349),$AX349*BC349,"")</f>
        <v/>
      </c>
      <c r="CD349" s="1426" t="str">
        <f aca="false">IF(ISNUMBER($AW349*BD349),$AW349*BD349,"")</f>
        <v/>
      </c>
      <c r="CE349" s="1426" t="str">
        <f aca="false">IF(ISNUMBER($AX349*BE349),$AX349*BE349,"")</f>
        <v/>
      </c>
      <c r="CF349" s="1372" t="str">
        <f aca="false">IF(ISNUMBER($AW349*BF349),$AW349*BF349,"")</f>
        <v/>
      </c>
      <c r="CG349" s="1372" t="str">
        <f aca="false">IF(ISNUMBER($AX349*BG349),$AX349*BG349,"")</f>
        <v/>
      </c>
      <c r="CH349" s="1438"/>
      <c r="CI349" s="1438"/>
      <c r="CJ349" s="1438"/>
      <c r="CK349" s="1438"/>
      <c r="CU349" s="1411"/>
      <c r="CV349" s="1411"/>
      <c r="CW349" s="1425"/>
      <c r="CX349" s="1425"/>
      <c r="CY349" s="1425"/>
      <c r="CZ349" s="1425"/>
      <c r="DA349" s="1411"/>
      <c r="DB349" s="1411"/>
      <c r="DC349" s="1411"/>
      <c r="DD349" s="1411"/>
      <c r="DE349" s="1411"/>
      <c r="DF349" s="1411"/>
      <c r="DH349" s="1432"/>
      <c r="DI349" s="1432"/>
      <c r="DJ349" s="1437"/>
      <c r="DK349" s="1437"/>
      <c r="DL349" s="1437"/>
      <c r="DM349" s="1437"/>
      <c r="DN349" s="1432"/>
      <c r="DO349" s="1432"/>
      <c r="DP349" s="1432"/>
      <c r="DQ349" s="1432"/>
      <c r="DR349" s="1432"/>
      <c r="DS349" s="1432"/>
      <c r="DT349" s="1316"/>
      <c r="DU349" s="1433"/>
      <c r="DV349" s="1433"/>
      <c r="DW349" s="1433"/>
      <c r="DX349" s="1433"/>
      <c r="DY349" s="1433"/>
      <c r="DZ349" s="1433"/>
      <c r="EA349" s="1433"/>
      <c r="EB349" s="1433"/>
    </row>
    <row r="350" customFormat="false" ht="14.25" hidden="false" customHeight="false" outlineLevel="0" collapsed="false">
      <c r="A350" s="2" t="n">
        <f aca="false">'V_DATOS PAC_SGA'!R345</f>
        <v>0</v>
      </c>
      <c r="B350" s="2" t="n">
        <f aca="false">IF(I350="IV",CONCATENATE('V_DATOS PAC_SGA'!R345,"4")+0,CONCATENATE('V_DATOS PAC_SGA'!R345,"0")+0)</f>
        <v>0</v>
      </c>
      <c r="C350" s="2" t="n">
        <f aca="false">'V_DATOS PAC_SGA'!S345</f>
        <v>0</v>
      </c>
      <c r="D350" s="1409" t="n">
        <f aca="false">'V_DATOS PAC_SGA'!Y345</f>
        <v>0</v>
      </c>
      <c r="E350" s="1410" t="str">
        <f aca="false">IF('V_DATOS PAC_SGA'!AV345="","Regadio",'V_DATOS PAC_SGA'!AV345)</f>
        <v>Regadio</v>
      </c>
      <c r="F350" s="1411" t="n">
        <f aca="false">'V_DATOS PAC_SGA'!BK345</f>
        <v>0</v>
      </c>
      <c r="G350" s="1412" t="n">
        <f aca="false">'V_DATOS PAC_SGA'!AN345</f>
        <v>0</v>
      </c>
      <c r="H350" s="1413" t="str">
        <f aca="false">IF(B350&gt;0,VLOOKUP(B350,'O_MN, PE_UTA_UGM 2024'!E$3:O$419,10),"")</f>
        <v/>
      </c>
      <c r="I350" s="1359" t="n">
        <f aca="false">'V_DATOS PAC_SGA'!BV345</f>
        <v>0</v>
      </c>
      <c r="J350" s="2" t="str">
        <f aca="false">IF(AND(J$4=$G350,J$6=$F350),$D350*J$5,"")</f>
        <v/>
      </c>
      <c r="K350" s="2" t="str">
        <f aca="false">IF(AND(K$4=$G350,K$6=$F350),$D350*K$5,"")</f>
        <v/>
      </c>
      <c r="L350" s="2" t="str">
        <f aca="false">IF(AND(L$4=$G350,L$6=$F350),$D350*L$5,"")</f>
        <v/>
      </c>
      <c r="M350" s="2" t="str">
        <f aca="false">IF(AND(M$4=$G350,M$6=$F350),$D350*M$5,"")</f>
        <v/>
      </c>
      <c r="N350" s="1414" t="n">
        <f aca="false">VLOOKUP(B350,'O_MN, PE_UTA_UGM 2024'!$E$2:$K$419,IF(G350&gt;1,6,7))</f>
        <v>0</v>
      </c>
      <c r="O350" s="1434" t="str">
        <f aca="false">IF($H350=O$4,$D350*$N350,"")</f>
        <v/>
      </c>
      <c r="P350" s="1435" t="str">
        <f aca="false">IF($H350=P$4,$D350*$N350,"")</f>
        <v/>
      </c>
      <c r="Q350" s="1435" t="str">
        <f aca="false">IF($H350=Q$4,$D350*$N350,"")</f>
        <v/>
      </c>
      <c r="R350" s="1435" t="str">
        <f aca="false">IF($H350=R$4,$D350*$N350,"")</f>
        <v/>
      </c>
      <c r="S350" s="1435" t="str">
        <f aca="false">IF($H350=S$4,$D350*$N350,"")</f>
        <v/>
      </c>
      <c r="T350" s="1435" t="str">
        <f aca="false">IF($H350=T$4,$D350*$N350,"")</f>
        <v/>
      </c>
      <c r="U350" s="1436" t="str">
        <f aca="false">IF($H350=U$4,$D350*$N350,"")</f>
        <v/>
      </c>
      <c r="V350" s="1472"/>
      <c r="W350" s="1471"/>
      <c r="X350" s="1471"/>
      <c r="Y350" s="1471"/>
      <c r="Z350" s="1471"/>
      <c r="AA350" s="1471"/>
      <c r="AB350" s="1473"/>
      <c r="AC350" s="1319"/>
      <c r="AD350" s="2" t="str">
        <f aca="false">IF(AND(AD$4=$G350,AD$6=$F350),$B350,"")</f>
        <v/>
      </c>
      <c r="AE350" s="2" t="str">
        <f aca="false">IF(AND(AE$4=$G350,AE$6=$F350),$B350,"")</f>
        <v/>
      </c>
      <c r="AF350" s="2" t="str">
        <f aca="false">IF(AND(AF$4=$G350,AF$6=$F350),$B350,"")</f>
        <v/>
      </c>
      <c r="AG350" s="2" t="str">
        <f aca="false">IF(AND(AG$4=$G350,AG$6=$F350),$B350,"")</f>
        <v/>
      </c>
      <c r="AI350" s="366"/>
      <c r="AL350" s="367"/>
      <c r="AO350" s="367"/>
      <c r="AP350" s="2" t="str">
        <f aca="false">IF(AT350&gt;0,RANK(AT350,AT$7:AT$423),"")</f>
        <v/>
      </c>
      <c r="AQ350" s="1475" t="n">
        <f aca="false">'O_MN, PE_UTA_UGM 2024'!C346</f>
        <v>450</v>
      </c>
      <c r="AR350" s="1421" t="n">
        <v>3550</v>
      </c>
      <c r="AS350" s="2" t="str">
        <f aca="false">IF(AY350&lt;&gt;"",AY350,"")</f>
        <v/>
      </c>
      <c r="AT350" s="1422" t="n">
        <f aca="false">IF(ISNUMBER($AR350),SUMIF(B$7:B$505,AR350,D$7:D$505),"")</f>
        <v>0</v>
      </c>
      <c r="AU350" s="1411" t="n">
        <f aca="false">IF(ISNUMBER($AR350),SUMIF(AD$7:AD$503,$AR350,J$7:J$503),"")</f>
        <v>0</v>
      </c>
      <c r="AV350" s="1411" t="n">
        <f aca="false">IF(ISNUMBER($AR350),SUMIF(AF$7:AF$503,$AR350,L$7:L$503),"")</f>
        <v>0</v>
      </c>
      <c r="AW350" s="1423" t="n">
        <f aca="false">IF(ISNUMBER($AR350),SUMIF(AE$7:AE$503,$AR350,K$7:K$503),"")</f>
        <v>0</v>
      </c>
      <c r="AX350" s="1423" t="n">
        <f aca="false">IF(ISNUMBER($AR350),SUMIF(AG$7:AG$503,$AR350,M$7:M$503),"")</f>
        <v>0</v>
      </c>
      <c r="AY350" s="2" t="str">
        <f aca="false">IF($AT350&gt;0,VLOOKUP($AR350,'O_MN, PE_UTA_UGM 2024'!E346:O762,2),"")</f>
        <v/>
      </c>
      <c r="AZ350" s="1424"/>
      <c r="BA350" s="1424"/>
      <c r="BB350" s="1424" t="str">
        <f aca="false">IF($AT350&gt;0,VLOOKUP($AR350,'O_MN, PE_UTA_UGM 2024'!$E$3:$O$419,BB$6),"")</f>
        <v/>
      </c>
      <c r="BC350" s="1424" t="str">
        <f aca="false">IF($AT350&gt;0,VLOOKUP($AR350,'O_MN, PE_UTA_UGM 2024'!$E$3:$O$419,BC$6),"")</f>
        <v/>
      </c>
      <c r="BD350" s="1424" t="str">
        <f aca="false">IF($AT350&gt;0,VLOOKUP($AR350,'O_MN, PE_UTA_UGM 2024'!$E$3:$O$419,BD$6),"")</f>
        <v/>
      </c>
      <c r="BE350" s="1424" t="str">
        <f aca="false">IF($AT350&gt;0,VLOOKUP($AR350,'O_MN, PE_UTA_UGM 2024'!$E$3:$O$419,BE$6),"")</f>
        <v/>
      </c>
      <c r="BF350" s="1424" t="str">
        <f aca="false">IF($AT350&gt;0,VLOOKUP($AR350,'O_MN, PE_UTA_UGM 2024'!$E$3:$O$419,BF$6),"")</f>
        <v/>
      </c>
      <c r="BG350" s="1424" t="str">
        <f aca="false">IF($AT350&gt;0,VLOOKUP($AR350,'O_MN, PE_UTA_UGM 2024'!$E$3:$O$419,BG$6),"")</f>
        <v/>
      </c>
      <c r="BH350" s="872"/>
      <c r="BI350" s="872"/>
      <c r="BJ350" s="872"/>
      <c r="BK350" s="872"/>
      <c r="BM350" s="1411"/>
      <c r="BN350" s="1411"/>
      <c r="BO350" s="1425" t="str">
        <f aca="false">IF(ISNUMBER($AU350*BB350*1),$AU350*BB350*1,"")</f>
        <v/>
      </c>
      <c r="BP350" s="1425" t="str">
        <f aca="false">IF(ISNUMBER($AV350*BC350*1),$AV350*BC350*1,"")</f>
        <v/>
      </c>
      <c r="BQ350" s="1425" t="str">
        <f aca="false">IF(ISNUMBER($AU350*BD350*1),$AU350*BD350*1,"")</f>
        <v/>
      </c>
      <c r="BR350" s="1425" t="str">
        <f aca="false">IF(ISNUMBER($AV350*BE350*1),$AV350*BE350*1,"")</f>
        <v/>
      </c>
      <c r="BS350" s="1411" t="str">
        <f aca="false">IF(ISNUMBER($AU350*BF350),$AU350*BF350,"")</f>
        <v/>
      </c>
      <c r="BT350" s="1411" t="str">
        <f aca="false">IF(ISNUMBER($AV350*BG350),$AV350*BG350,"")</f>
        <v/>
      </c>
      <c r="BU350" s="1411"/>
      <c r="BV350" s="1411"/>
      <c r="BW350" s="1411"/>
      <c r="BX350" s="1411"/>
      <c r="BZ350" s="1372"/>
      <c r="CA350" s="1372"/>
      <c r="CB350" s="1426" t="str">
        <f aca="false">IF(ISNUMBER($AW350*BB350),$AW350*BB350,"")</f>
        <v/>
      </c>
      <c r="CC350" s="1426" t="str">
        <f aca="false">IF(ISNUMBER($AX350*BC350),$AX350*BC350,"")</f>
        <v/>
      </c>
      <c r="CD350" s="1426" t="str">
        <f aca="false">IF(ISNUMBER($AW350*BD350),$AW350*BD350,"")</f>
        <v/>
      </c>
      <c r="CE350" s="1426" t="str">
        <f aca="false">IF(ISNUMBER($AX350*BE350),$AX350*BE350,"")</f>
        <v/>
      </c>
      <c r="CF350" s="1372" t="str">
        <f aca="false">IF(ISNUMBER($AW350*BF350),$AW350*BF350,"")</f>
        <v/>
      </c>
      <c r="CG350" s="1372" t="str">
        <f aca="false">IF(ISNUMBER($AX350*BG350),$AX350*BG350,"")</f>
        <v/>
      </c>
      <c r="CH350" s="1438"/>
      <c r="CI350" s="1438"/>
      <c r="CJ350" s="1438"/>
      <c r="CK350" s="1438"/>
      <c r="CU350" s="1411"/>
      <c r="CV350" s="1411"/>
      <c r="CW350" s="1425"/>
      <c r="CX350" s="1425"/>
      <c r="CY350" s="1425"/>
      <c r="CZ350" s="1425"/>
      <c r="DA350" s="1411"/>
      <c r="DB350" s="1411"/>
      <c r="DC350" s="1411"/>
      <c r="DD350" s="1411"/>
      <c r="DE350" s="1411"/>
      <c r="DF350" s="1411"/>
      <c r="DH350" s="1432"/>
      <c r="DI350" s="1432"/>
      <c r="DJ350" s="1437"/>
      <c r="DK350" s="1437"/>
      <c r="DL350" s="1437"/>
      <c r="DM350" s="1437"/>
      <c r="DN350" s="1432"/>
      <c r="DO350" s="1432"/>
      <c r="DP350" s="1432"/>
      <c r="DQ350" s="1432"/>
      <c r="DR350" s="1432"/>
      <c r="DS350" s="1432"/>
      <c r="DT350" s="1316"/>
      <c r="DU350" s="1433"/>
      <c r="DV350" s="1433"/>
      <c r="DW350" s="1433"/>
      <c r="DX350" s="1433"/>
      <c r="DY350" s="1433"/>
      <c r="DZ350" s="1433"/>
      <c r="EA350" s="1433"/>
      <c r="EB350" s="1433"/>
    </row>
    <row r="351" customFormat="false" ht="14.25" hidden="false" customHeight="false" outlineLevel="0" collapsed="false">
      <c r="A351" s="2" t="n">
        <f aca="false">'V_DATOS PAC_SGA'!R346</f>
        <v>0</v>
      </c>
      <c r="B351" s="2" t="n">
        <f aca="false">IF(I351="IV",CONCATENATE('V_DATOS PAC_SGA'!R346,"4")+0,CONCATENATE('V_DATOS PAC_SGA'!R346,"0")+0)</f>
        <v>0</v>
      </c>
      <c r="C351" s="2" t="n">
        <f aca="false">'V_DATOS PAC_SGA'!S346</f>
        <v>0</v>
      </c>
      <c r="D351" s="1409" t="n">
        <f aca="false">'V_DATOS PAC_SGA'!Y346</f>
        <v>0</v>
      </c>
      <c r="E351" s="1410" t="str">
        <f aca="false">IF('V_DATOS PAC_SGA'!AV346="","Regadio",'V_DATOS PAC_SGA'!AV346)</f>
        <v>Regadio</v>
      </c>
      <c r="F351" s="1411" t="n">
        <f aca="false">'V_DATOS PAC_SGA'!BK346</f>
        <v>0</v>
      </c>
      <c r="G351" s="1412" t="n">
        <f aca="false">'V_DATOS PAC_SGA'!AN346</f>
        <v>0</v>
      </c>
      <c r="H351" s="1413" t="str">
        <f aca="false">IF(B351&gt;0,VLOOKUP(B351,'O_MN, PE_UTA_UGM 2024'!E$3:O$419,10),"")</f>
        <v/>
      </c>
      <c r="I351" s="1359" t="n">
        <f aca="false">'V_DATOS PAC_SGA'!BV346</f>
        <v>0</v>
      </c>
      <c r="J351" s="2" t="str">
        <f aca="false">IF(AND(J$4=$G351,J$6=$F351),$D351*J$5,"")</f>
        <v/>
      </c>
      <c r="K351" s="2" t="str">
        <f aca="false">IF(AND(K$4=$G351,K$6=$F351),$D351*K$5,"")</f>
        <v/>
      </c>
      <c r="L351" s="2" t="str">
        <f aca="false">IF(AND(L$4=$G351,L$6=$F351),$D351*L$5,"")</f>
        <v/>
      </c>
      <c r="M351" s="2" t="str">
        <f aca="false">IF(AND(M$4=$G351,M$6=$F351),$D351*M$5,"")</f>
        <v/>
      </c>
      <c r="N351" s="1414" t="n">
        <f aca="false">VLOOKUP(B351,'O_MN, PE_UTA_UGM 2024'!$E$2:$K$419,IF(G351&gt;1,6,7))</f>
        <v>0</v>
      </c>
      <c r="O351" s="1434" t="str">
        <f aca="false">IF($H351=O$4,$D351*$N351,"")</f>
        <v/>
      </c>
      <c r="P351" s="1435" t="str">
        <f aca="false">IF($H351=P$4,$D351*$N351,"")</f>
        <v/>
      </c>
      <c r="Q351" s="1435" t="str">
        <f aca="false">IF($H351=Q$4,$D351*$N351,"")</f>
        <v/>
      </c>
      <c r="R351" s="1435" t="str">
        <f aca="false">IF($H351=R$4,$D351*$N351,"")</f>
        <v/>
      </c>
      <c r="S351" s="1435" t="str">
        <f aca="false">IF($H351=S$4,$D351*$N351,"")</f>
        <v/>
      </c>
      <c r="T351" s="1435" t="str">
        <f aca="false">IF($H351=T$4,$D351*$N351,"")</f>
        <v/>
      </c>
      <c r="U351" s="1436" t="str">
        <f aca="false">IF($H351=U$4,$D351*$N351,"")</f>
        <v/>
      </c>
      <c r="V351" s="1472"/>
      <c r="W351" s="1471"/>
      <c r="X351" s="1471"/>
      <c r="Y351" s="1471"/>
      <c r="Z351" s="1471"/>
      <c r="AA351" s="1471"/>
      <c r="AB351" s="1473"/>
      <c r="AC351" s="1319"/>
      <c r="AD351" s="2" t="str">
        <f aca="false">IF(AND(AD$4=$G351,AD$6=$F351),$B351,"")</f>
        <v/>
      </c>
      <c r="AE351" s="2" t="str">
        <f aca="false">IF(AND(AE$4=$G351,AE$6=$F351),$B351,"")</f>
        <v/>
      </c>
      <c r="AF351" s="2" t="str">
        <f aca="false">IF(AND(AF$4=$G351,AF$6=$F351),$B351,"")</f>
        <v/>
      </c>
      <c r="AG351" s="2" t="str">
        <f aca="false">IF(AND(AG$4=$G351,AG$6=$F351),$B351,"")</f>
        <v/>
      </c>
      <c r="AI351" s="366"/>
      <c r="AL351" s="367"/>
      <c r="AO351" s="367"/>
      <c r="AP351" s="2" t="str">
        <f aca="false">IF(AT351&gt;0,RANK(AT351,AT$7:AT$423),"")</f>
        <v/>
      </c>
      <c r="AQ351" s="1475" t="n">
        <f aca="false">'O_MN, PE_UTA_UGM 2024'!C347</f>
        <v>451</v>
      </c>
      <c r="AR351" s="1421" t="n">
        <v>3560</v>
      </c>
      <c r="AS351" s="2" t="str">
        <f aca="false">IF(AY351&lt;&gt;"",AY351,"")</f>
        <v/>
      </c>
      <c r="AT351" s="1422" t="n">
        <f aca="false">IF(ISNUMBER($AR351),SUMIF(B$7:B$505,AR351,D$7:D$505),"")</f>
        <v>0</v>
      </c>
      <c r="AU351" s="1411" t="n">
        <f aca="false">IF(ISNUMBER($AR351),SUMIF(AD$7:AD$503,$AR351,J$7:J$503),"")</f>
        <v>0</v>
      </c>
      <c r="AV351" s="1411" t="n">
        <f aca="false">IF(ISNUMBER($AR351),SUMIF(AF$7:AF$503,$AR351,L$7:L$503),"")</f>
        <v>0</v>
      </c>
      <c r="AW351" s="1423" t="n">
        <f aca="false">IF(ISNUMBER($AR351),SUMIF(AE$7:AE$503,$AR351,K$7:K$503),"")</f>
        <v>0</v>
      </c>
      <c r="AX351" s="1423" t="n">
        <f aca="false">IF(ISNUMBER($AR351),SUMIF(AG$7:AG$503,$AR351,M$7:M$503),"")</f>
        <v>0</v>
      </c>
      <c r="AY351" s="2" t="str">
        <f aca="false">IF($AT351&gt;0,VLOOKUP($AR351,'O_MN, PE_UTA_UGM 2024'!E347:O763,2),"")</f>
        <v/>
      </c>
      <c r="AZ351" s="1424"/>
      <c r="BA351" s="1424"/>
      <c r="BB351" s="1424" t="str">
        <f aca="false">IF($AT351&gt;0,VLOOKUP($AR351,'O_MN, PE_UTA_UGM 2024'!$E$3:$O$419,BB$6),"")</f>
        <v/>
      </c>
      <c r="BC351" s="1424" t="str">
        <f aca="false">IF($AT351&gt;0,VLOOKUP($AR351,'O_MN, PE_UTA_UGM 2024'!$E$3:$O$419,BC$6),"")</f>
        <v/>
      </c>
      <c r="BD351" s="1424" t="str">
        <f aca="false">IF($AT351&gt;0,VLOOKUP($AR351,'O_MN, PE_UTA_UGM 2024'!$E$3:$O$419,BD$6),"")</f>
        <v/>
      </c>
      <c r="BE351" s="1424" t="str">
        <f aca="false">IF($AT351&gt;0,VLOOKUP($AR351,'O_MN, PE_UTA_UGM 2024'!$E$3:$O$419,BE$6),"")</f>
        <v/>
      </c>
      <c r="BF351" s="1424" t="str">
        <f aca="false">IF($AT351&gt;0,VLOOKUP($AR351,'O_MN, PE_UTA_UGM 2024'!$E$3:$O$419,BF$6),"")</f>
        <v/>
      </c>
      <c r="BG351" s="1424" t="str">
        <f aca="false">IF($AT351&gt;0,VLOOKUP($AR351,'O_MN, PE_UTA_UGM 2024'!$E$3:$O$419,BG$6),"")</f>
        <v/>
      </c>
      <c r="BH351" s="872"/>
      <c r="BI351" s="872"/>
      <c r="BJ351" s="872"/>
      <c r="BK351" s="872"/>
      <c r="BM351" s="1411"/>
      <c r="BN351" s="1411"/>
      <c r="BO351" s="1425" t="str">
        <f aca="false">IF(ISNUMBER($AU351*BB351*1),$AU351*BB351*1,"")</f>
        <v/>
      </c>
      <c r="BP351" s="1425" t="str">
        <f aca="false">IF(ISNUMBER($AV351*BC351*1),$AV351*BC351*1,"")</f>
        <v/>
      </c>
      <c r="BQ351" s="1425" t="str">
        <f aca="false">IF(ISNUMBER($AU351*BD351*1),$AU351*BD351*1,"")</f>
        <v/>
      </c>
      <c r="BR351" s="1425" t="str">
        <f aca="false">IF(ISNUMBER($AV351*BE351*1),$AV351*BE351*1,"")</f>
        <v/>
      </c>
      <c r="BS351" s="1411" t="str">
        <f aca="false">IF(ISNUMBER($AU351*BF351),$AU351*BF351,"")</f>
        <v/>
      </c>
      <c r="BT351" s="1411" t="str">
        <f aca="false">IF(ISNUMBER($AV351*BG351),$AV351*BG351,"")</f>
        <v/>
      </c>
      <c r="BU351" s="1411"/>
      <c r="BV351" s="1411"/>
      <c r="BW351" s="1411"/>
      <c r="BX351" s="1411"/>
      <c r="BZ351" s="1372"/>
      <c r="CA351" s="1372"/>
      <c r="CB351" s="1426" t="str">
        <f aca="false">IF(ISNUMBER($AW351*BB351),$AW351*BB351,"")</f>
        <v/>
      </c>
      <c r="CC351" s="1426" t="str">
        <f aca="false">IF(ISNUMBER($AX351*BC351),$AX351*BC351,"")</f>
        <v/>
      </c>
      <c r="CD351" s="1426" t="str">
        <f aca="false">IF(ISNUMBER($AW351*BD351),$AW351*BD351,"")</f>
        <v/>
      </c>
      <c r="CE351" s="1426" t="str">
        <f aca="false">IF(ISNUMBER($AX351*BE351),$AX351*BE351,"")</f>
        <v/>
      </c>
      <c r="CF351" s="1372" t="str">
        <f aca="false">IF(ISNUMBER($AW351*BF351),$AW351*BF351,"")</f>
        <v/>
      </c>
      <c r="CG351" s="1372" t="str">
        <f aca="false">IF(ISNUMBER($AX351*BG351),$AX351*BG351,"")</f>
        <v/>
      </c>
      <c r="CH351" s="1438"/>
      <c r="CI351" s="1438"/>
      <c r="CJ351" s="1438"/>
      <c r="CK351" s="1438"/>
      <c r="CU351" s="1411"/>
      <c r="CV351" s="1411"/>
      <c r="CW351" s="1425"/>
      <c r="CX351" s="1425"/>
      <c r="CY351" s="1425"/>
      <c r="CZ351" s="1425"/>
      <c r="DA351" s="1411"/>
      <c r="DB351" s="1411"/>
      <c r="DC351" s="1411"/>
      <c r="DD351" s="1411"/>
      <c r="DE351" s="1411"/>
      <c r="DF351" s="1411"/>
      <c r="DH351" s="1432"/>
      <c r="DI351" s="1432"/>
      <c r="DJ351" s="1437"/>
      <c r="DK351" s="1437"/>
      <c r="DL351" s="1437"/>
      <c r="DM351" s="1437"/>
      <c r="DN351" s="1432"/>
      <c r="DO351" s="1432"/>
      <c r="DP351" s="1432"/>
      <c r="DQ351" s="1432"/>
      <c r="DR351" s="1432"/>
      <c r="DS351" s="1432"/>
      <c r="DT351" s="1316"/>
      <c r="DU351" s="1433"/>
      <c r="DV351" s="1433"/>
      <c r="DW351" s="1433"/>
      <c r="DX351" s="1433"/>
      <c r="DY351" s="1433"/>
      <c r="DZ351" s="1433"/>
      <c r="EA351" s="1433"/>
      <c r="EB351" s="1433"/>
    </row>
    <row r="352" customFormat="false" ht="14.25" hidden="false" customHeight="false" outlineLevel="0" collapsed="false">
      <c r="A352" s="2" t="n">
        <f aca="false">'V_DATOS PAC_SGA'!R347</f>
        <v>0</v>
      </c>
      <c r="B352" s="2" t="n">
        <f aca="false">IF(I352="IV",CONCATENATE('V_DATOS PAC_SGA'!R347,"4")+0,CONCATENATE('V_DATOS PAC_SGA'!R347,"0")+0)</f>
        <v>0</v>
      </c>
      <c r="C352" s="2" t="n">
        <f aca="false">'V_DATOS PAC_SGA'!S347</f>
        <v>0</v>
      </c>
      <c r="D352" s="1409" t="n">
        <f aca="false">'V_DATOS PAC_SGA'!Y347</f>
        <v>0</v>
      </c>
      <c r="E352" s="1410" t="str">
        <f aca="false">IF('V_DATOS PAC_SGA'!AV347="","Regadio",'V_DATOS PAC_SGA'!AV347)</f>
        <v>Regadio</v>
      </c>
      <c r="F352" s="1411" t="n">
        <f aca="false">'V_DATOS PAC_SGA'!BK347</f>
        <v>0</v>
      </c>
      <c r="G352" s="1412" t="n">
        <f aca="false">'V_DATOS PAC_SGA'!AN347</f>
        <v>0</v>
      </c>
      <c r="H352" s="1413" t="str">
        <f aca="false">IF(B352&gt;0,VLOOKUP(B352,'O_MN, PE_UTA_UGM 2024'!E$3:O$419,10),"")</f>
        <v/>
      </c>
      <c r="I352" s="1359" t="n">
        <f aca="false">'V_DATOS PAC_SGA'!BV347</f>
        <v>0</v>
      </c>
      <c r="J352" s="2" t="str">
        <f aca="false">IF(AND(J$4=$G352,J$6=$F352),$D352*J$5,"")</f>
        <v/>
      </c>
      <c r="K352" s="2" t="str">
        <f aca="false">IF(AND(K$4=$G352,K$6=$F352),$D352*K$5,"")</f>
        <v/>
      </c>
      <c r="L352" s="2" t="str">
        <f aca="false">IF(AND(L$4=$G352,L$6=$F352),$D352*L$5,"")</f>
        <v/>
      </c>
      <c r="M352" s="2" t="str">
        <f aca="false">IF(AND(M$4=$G352,M$6=$F352),$D352*M$5,"")</f>
        <v/>
      </c>
      <c r="N352" s="1414" t="n">
        <f aca="false">VLOOKUP(B352,'O_MN, PE_UTA_UGM 2024'!$E$2:$K$419,IF(G352&gt;1,6,7))</f>
        <v>0</v>
      </c>
      <c r="O352" s="1434" t="str">
        <f aca="false">IF($H352=O$4,$D352*$N352,"")</f>
        <v/>
      </c>
      <c r="P352" s="1435" t="str">
        <f aca="false">IF($H352=P$4,$D352*$N352,"")</f>
        <v/>
      </c>
      <c r="Q352" s="1435" t="str">
        <f aca="false">IF($H352=Q$4,$D352*$N352,"")</f>
        <v/>
      </c>
      <c r="R352" s="1435" t="str">
        <f aca="false">IF($H352=R$4,$D352*$N352,"")</f>
        <v/>
      </c>
      <c r="S352" s="1435" t="str">
        <f aca="false">IF($H352=S$4,$D352*$N352,"")</f>
        <v/>
      </c>
      <c r="T352" s="1435" t="str">
        <f aca="false">IF($H352=T$4,$D352*$N352,"")</f>
        <v/>
      </c>
      <c r="U352" s="1436" t="str">
        <f aca="false">IF($H352=U$4,$D352*$N352,"")</f>
        <v/>
      </c>
      <c r="V352" s="1472"/>
      <c r="W352" s="1471"/>
      <c r="X352" s="1471"/>
      <c r="Y352" s="1471"/>
      <c r="Z352" s="1471"/>
      <c r="AA352" s="1471"/>
      <c r="AB352" s="1473"/>
      <c r="AC352" s="1319"/>
      <c r="AD352" s="2" t="str">
        <f aca="false">IF(AND(AD$4=$G352,AD$6=$F352),$B352,"")</f>
        <v/>
      </c>
      <c r="AE352" s="2" t="str">
        <f aca="false">IF(AND(AE$4=$G352,AE$6=$F352),$B352,"")</f>
        <v/>
      </c>
      <c r="AF352" s="2" t="str">
        <f aca="false">IF(AND(AF$4=$G352,AF$6=$F352),$B352,"")</f>
        <v/>
      </c>
      <c r="AG352" s="2" t="str">
        <f aca="false">IF(AND(AG$4=$G352,AG$6=$F352),$B352,"")</f>
        <v/>
      </c>
      <c r="AI352" s="366"/>
      <c r="AL352" s="367"/>
      <c r="AO352" s="367"/>
      <c r="AP352" s="2" t="str">
        <f aca="false">IF(AT352&gt;0,RANK(AT352,AT$7:AT$423),"")</f>
        <v/>
      </c>
      <c r="AQ352" s="1475" t="n">
        <f aca="false">'O_MN, PE_UTA_UGM 2024'!C349</f>
        <v>453</v>
      </c>
      <c r="AR352" s="1421" t="n">
        <v>3590</v>
      </c>
      <c r="AS352" s="2" t="str">
        <f aca="false">IF(AY352&lt;&gt;"",AY352,"")</f>
        <v/>
      </c>
      <c r="AT352" s="1422" t="n">
        <f aca="false">IF(ISNUMBER($AR352),SUMIF(B$7:B$505,AR352,D$7:D$505),"")</f>
        <v>0</v>
      </c>
      <c r="AU352" s="1411" t="n">
        <f aca="false">IF(ISNUMBER($AR352),SUMIF(AD$7:AD$503,$AR352,J$7:J$503),"")</f>
        <v>0</v>
      </c>
      <c r="AV352" s="1411" t="n">
        <f aca="false">IF(ISNUMBER($AR352),SUMIF(AF$7:AF$503,$AR352,L$7:L$503),"")</f>
        <v>0</v>
      </c>
      <c r="AW352" s="1423" t="n">
        <f aca="false">IF(ISNUMBER($AR352),SUMIF(AE$7:AE$503,$AR352,K$7:K$503),"")</f>
        <v>0</v>
      </c>
      <c r="AX352" s="1423" t="n">
        <f aca="false">IF(ISNUMBER($AR352),SUMIF(AG$7:AG$503,$AR352,M$7:M$503),"")</f>
        <v>0</v>
      </c>
      <c r="AY352" s="2" t="str">
        <f aca="false">IF($AT352&gt;0,VLOOKUP($AR352,'O_MN, PE_UTA_UGM 2024'!E349:O764,2),"")</f>
        <v/>
      </c>
      <c r="AZ352" s="1424"/>
      <c r="BA352" s="1424"/>
      <c r="BB352" s="1424" t="str">
        <f aca="false">IF($AT352&gt;0,VLOOKUP($AR352,'O_MN, PE_UTA_UGM 2024'!$E$3:$O$419,BB$6),"")</f>
        <v/>
      </c>
      <c r="BC352" s="1424" t="str">
        <f aca="false">IF($AT352&gt;0,VLOOKUP($AR352,'O_MN, PE_UTA_UGM 2024'!$E$3:$O$419,BC$6),"")</f>
        <v/>
      </c>
      <c r="BD352" s="1424" t="str">
        <f aca="false">IF($AT352&gt;0,VLOOKUP($AR352,'O_MN, PE_UTA_UGM 2024'!$E$3:$O$419,BD$6),"")</f>
        <v/>
      </c>
      <c r="BE352" s="1424" t="str">
        <f aca="false">IF($AT352&gt;0,VLOOKUP($AR352,'O_MN, PE_UTA_UGM 2024'!$E$3:$O$419,BE$6),"")</f>
        <v/>
      </c>
      <c r="BF352" s="1424" t="str">
        <f aca="false">IF($AT352&gt;0,VLOOKUP($AR352,'O_MN, PE_UTA_UGM 2024'!$E$3:$O$419,BF$6),"")</f>
        <v/>
      </c>
      <c r="BG352" s="1424" t="str">
        <f aca="false">IF($AT352&gt;0,VLOOKUP($AR352,'O_MN, PE_UTA_UGM 2024'!$E$3:$O$419,BG$6),"")</f>
        <v/>
      </c>
      <c r="BH352" s="872"/>
      <c r="BI352" s="872"/>
      <c r="BJ352" s="872"/>
      <c r="BK352" s="872"/>
      <c r="BM352" s="1411"/>
      <c r="BN352" s="1411"/>
      <c r="BO352" s="1425" t="str">
        <f aca="false">IF(ISNUMBER($AU352*BB352*1),$AU352*BB352*1,"")</f>
        <v/>
      </c>
      <c r="BP352" s="1425" t="str">
        <f aca="false">IF(ISNUMBER($AV352*BC352*1),$AV352*BC352*1,"")</f>
        <v/>
      </c>
      <c r="BQ352" s="1425" t="str">
        <f aca="false">IF(ISNUMBER($AU352*BD352*1),$AU352*BD352*1,"")</f>
        <v/>
      </c>
      <c r="BR352" s="1425" t="str">
        <f aca="false">IF(ISNUMBER($AV352*BE352*1),$AV352*BE352*1,"")</f>
        <v/>
      </c>
      <c r="BS352" s="1411" t="str">
        <f aca="false">IF(ISNUMBER($AU352*BF352),$AU352*BF352,"")</f>
        <v/>
      </c>
      <c r="BT352" s="1411" t="str">
        <f aca="false">IF(ISNUMBER($AV352*BG352),$AV352*BG352,"")</f>
        <v/>
      </c>
      <c r="BU352" s="1411"/>
      <c r="BV352" s="1411"/>
      <c r="BW352" s="1411"/>
      <c r="BX352" s="1411"/>
      <c r="BZ352" s="1372"/>
      <c r="CA352" s="1372"/>
      <c r="CB352" s="1426" t="str">
        <f aca="false">IF(ISNUMBER($AW352*BB352),$AW352*BB352,"")</f>
        <v/>
      </c>
      <c r="CC352" s="1426" t="str">
        <f aca="false">IF(ISNUMBER($AX352*BC352),$AX352*BC352,"")</f>
        <v/>
      </c>
      <c r="CD352" s="1426" t="str">
        <f aca="false">IF(ISNUMBER($AW352*BD352),$AW352*BD352,"")</f>
        <v/>
      </c>
      <c r="CE352" s="1426" t="str">
        <f aca="false">IF(ISNUMBER($AX352*BE352),$AX352*BE352,"")</f>
        <v/>
      </c>
      <c r="CF352" s="1372" t="str">
        <f aca="false">IF(ISNUMBER($AW352*BF352),$AW352*BF352,"")</f>
        <v/>
      </c>
      <c r="CG352" s="1372" t="str">
        <f aca="false">IF(ISNUMBER($AX352*BG352),$AX352*BG352,"")</f>
        <v/>
      </c>
      <c r="CH352" s="1438"/>
      <c r="CI352" s="1438"/>
      <c r="CJ352" s="1438"/>
      <c r="CK352" s="1438"/>
      <c r="CU352" s="1411"/>
      <c r="CV352" s="1411"/>
      <c r="CW352" s="1425"/>
      <c r="CX352" s="1425"/>
      <c r="CY352" s="1425"/>
      <c r="CZ352" s="1425"/>
      <c r="DA352" s="1411"/>
      <c r="DB352" s="1411"/>
      <c r="DC352" s="1411"/>
      <c r="DD352" s="1411"/>
      <c r="DE352" s="1411"/>
      <c r="DF352" s="1411"/>
      <c r="DH352" s="1432"/>
      <c r="DI352" s="1432"/>
      <c r="DJ352" s="1437"/>
      <c r="DK352" s="1437"/>
      <c r="DL352" s="1437"/>
      <c r="DM352" s="1437"/>
      <c r="DN352" s="1432"/>
      <c r="DO352" s="1432"/>
      <c r="DP352" s="1432"/>
      <c r="DQ352" s="1432"/>
      <c r="DR352" s="1432"/>
      <c r="DS352" s="1432"/>
      <c r="DT352" s="1316"/>
      <c r="DU352" s="1433"/>
      <c r="DV352" s="1433"/>
      <c r="DW352" s="1433"/>
      <c r="DX352" s="1433"/>
      <c r="DY352" s="1433"/>
      <c r="DZ352" s="1433"/>
      <c r="EA352" s="1433"/>
      <c r="EB352" s="1433"/>
    </row>
    <row r="353" customFormat="false" ht="14.25" hidden="false" customHeight="false" outlineLevel="0" collapsed="false">
      <c r="A353" s="2" t="n">
        <f aca="false">'V_DATOS PAC_SGA'!R348</f>
        <v>0</v>
      </c>
      <c r="B353" s="2" t="n">
        <f aca="false">IF(I353="IV",CONCATENATE('V_DATOS PAC_SGA'!R348,"4")+0,CONCATENATE('V_DATOS PAC_SGA'!R348,"0")+0)</f>
        <v>0</v>
      </c>
      <c r="C353" s="2" t="n">
        <f aca="false">'V_DATOS PAC_SGA'!S348</f>
        <v>0</v>
      </c>
      <c r="D353" s="1409" t="n">
        <f aca="false">'V_DATOS PAC_SGA'!Y348</f>
        <v>0</v>
      </c>
      <c r="E353" s="1410" t="str">
        <f aca="false">IF('V_DATOS PAC_SGA'!AV348="","Regadio",'V_DATOS PAC_SGA'!AV348)</f>
        <v>Regadio</v>
      </c>
      <c r="F353" s="1411" t="n">
        <f aca="false">'V_DATOS PAC_SGA'!BK348</f>
        <v>0</v>
      </c>
      <c r="G353" s="1412" t="n">
        <f aca="false">'V_DATOS PAC_SGA'!AN348</f>
        <v>0</v>
      </c>
      <c r="H353" s="1413" t="str">
        <f aca="false">IF(B353&gt;0,VLOOKUP(B353,'O_MN, PE_UTA_UGM 2024'!E$3:O$419,10),"")</f>
        <v/>
      </c>
      <c r="I353" s="1359" t="n">
        <f aca="false">'V_DATOS PAC_SGA'!BV348</f>
        <v>0</v>
      </c>
      <c r="J353" s="2" t="str">
        <f aca="false">IF(AND(J$4=$G353,J$6=$F353),$D353*J$5,"")</f>
        <v/>
      </c>
      <c r="K353" s="2" t="str">
        <f aca="false">IF(AND(K$4=$G353,K$6=$F353),$D353*K$5,"")</f>
        <v/>
      </c>
      <c r="L353" s="2" t="str">
        <f aca="false">IF(AND(L$4=$G353,L$6=$F353),$D353*L$5,"")</f>
        <v/>
      </c>
      <c r="M353" s="2" t="str">
        <f aca="false">IF(AND(M$4=$G353,M$6=$F353),$D353*M$5,"")</f>
        <v/>
      </c>
      <c r="N353" s="1414" t="n">
        <f aca="false">VLOOKUP(B353,'O_MN, PE_UTA_UGM 2024'!$E$2:$K$419,IF(G353&gt;1,6,7))</f>
        <v>0</v>
      </c>
      <c r="O353" s="1434" t="str">
        <f aca="false">IF($H353=O$4,$D353*$N353,"")</f>
        <v/>
      </c>
      <c r="P353" s="1435" t="str">
        <f aca="false">IF($H353=P$4,$D353*$N353,"")</f>
        <v/>
      </c>
      <c r="Q353" s="1435" t="str">
        <f aca="false">IF($H353=Q$4,$D353*$N353,"")</f>
        <v/>
      </c>
      <c r="R353" s="1435" t="str">
        <f aca="false">IF($H353=R$4,$D353*$N353,"")</f>
        <v/>
      </c>
      <c r="S353" s="1435" t="str">
        <f aca="false">IF($H353=S$4,$D353*$N353,"")</f>
        <v/>
      </c>
      <c r="T353" s="1435" t="str">
        <f aca="false">IF($H353=T$4,$D353*$N353,"")</f>
        <v/>
      </c>
      <c r="U353" s="1436" t="str">
        <f aca="false">IF($H353=U$4,$D353*$N353,"")</f>
        <v/>
      </c>
      <c r="V353" s="1472"/>
      <c r="W353" s="1471"/>
      <c r="X353" s="1471"/>
      <c r="Y353" s="1471"/>
      <c r="Z353" s="1471"/>
      <c r="AA353" s="1471"/>
      <c r="AB353" s="1473"/>
      <c r="AC353" s="1319"/>
      <c r="AD353" s="2" t="str">
        <f aca="false">IF(AND(AD$4=$G353,AD$6=$F353),$B353,"")</f>
        <v/>
      </c>
      <c r="AE353" s="2" t="str">
        <f aca="false">IF(AND(AE$4=$G353,AE$6=$F353),$B353,"")</f>
        <v/>
      </c>
      <c r="AF353" s="2" t="str">
        <f aca="false">IF(AND(AF$4=$G353,AF$6=$F353),$B353,"")</f>
        <v/>
      </c>
      <c r="AG353" s="2" t="str">
        <f aca="false">IF(AND(AG$4=$G353,AG$6=$F353),$B353,"")</f>
        <v/>
      </c>
      <c r="AI353" s="366"/>
      <c r="AL353" s="367"/>
      <c r="AO353" s="367"/>
      <c r="AP353" s="2" t="str">
        <f aca="false">IF(AT353&gt;0,RANK(AT353,AT$7:AT$423),"")</f>
        <v/>
      </c>
      <c r="AQ353" s="1475" t="n">
        <f aca="false">'O_MN, PE_UTA_UGM 2024'!C350</f>
        <v>454</v>
      </c>
      <c r="AR353" s="1421" t="n">
        <v>3900</v>
      </c>
      <c r="AS353" s="2" t="str">
        <f aca="false">IF(AY353&lt;&gt;"",AY353,"")</f>
        <v/>
      </c>
      <c r="AT353" s="1422" t="n">
        <f aca="false">IF(ISNUMBER($AR353),SUMIF(B$7:B$505,AR353,D$7:D$505),"")</f>
        <v>0</v>
      </c>
      <c r="AU353" s="1411" t="n">
        <f aca="false">IF(ISNUMBER($AR353),SUMIF(AD$7:AD$503,$AR353,J$7:J$503),"")</f>
        <v>0</v>
      </c>
      <c r="AV353" s="1411" t="n">
        <f aca="false">IF(ISNUMBER($AR353),SUMIF(AF$7:AF$503,$AR353,L$7:L$503),"")</f>
        <v>0</v>
      </c>
      <c r="AW353" s="1423" t="n">
        <f aca="false">IF(ISNUMBER($AR353),SUMIF(AE$7:AE$503,$AR353,K$7:K$503),"")</f>
        <v>0</v>
      </c>
      <c r="AX353" s="1423" t="n">
        <f aca="false">IF(ISNUMBER($AR353),SUMIF(AG$7:AG$503,$AR353,M$7:M$503),"")</f>
        <v>0</v>
      </c>
      <c r="AY353" s="2" t="str">
        <f aca="false">IF($AT353&gt;0,VLOOKUP($AR353,'O_MN, PE_UTA_UGM 2024'!E350:O765,2),"")</f>
        <v/>
      </c>
      <c r="AZ353" s="1424"/>
      <c r="BA353" s="1424"/>
      <c r="BB353" s="1424" t="str">
        <f aca="false">IF($AT353&gt;0,VLOOKUP($AR353,'O_MN, PE_UTA_UGM 2024'!$E$3:$O$419,BB$6),"")</f>
        <v/>
      </c>
      <c r="BC353" s="1424" t="str">
        <f aca="false">IF($AT353&gt;0,VLOOKUP($AR353,'O_MN, PE_UTA_UGM 2024'!$E$3:$O$419,BC$6),"")</f>
        <v/>
      </c>
      <c r="BD353" s="1424" t="str">
        <f aca="false">IF($AT353&gt;0,VLOOKUP($AR353,'O_MN, PE_UTA_UGM 2024'!$E$3:$O$419,BD$6),"")</f>
        <v/>
      </c>
      <c r="BE353" s="1424" t="str">
        <f aca="false">IF($AT353&gt;0,VLOOKUP($AR353,'O_MN, PE_UTA_UGM 2024'!$E$3:$O$419,BE$6),"")</f>
        <v/>
      </c>
      <c r="BF353" s="1424" t="str">
        <f aca="false">IF($AT353&gt;0,VLOOKUP($AR353,'O_MN, PE_UTA_UGM 2024'!$E$3:$O$419,BF$6),"")</f>
        <v/>
      </c>
      <c r="BG353" s="1424" t="str">
        <f aca="false">IF($AT353&gt;0,VLOOKUP($AR353,'O_MN, PE_UTA_UGM 2024'!$E$3:$O$419,BG$6),"")</f>
        <v/>
      </c>
      <c r="BH353" s="872"/>
      <c r="BI353" s="872"/>
      <c r="BJ353" s="872"/>
      <c r="BK353" s="872"/>
      <c r="BM353" s="1411"/>
      <c r="BN353" s="1411"/>
      <c r="BO353" s="1425" t="str">
        <f aca="false">IF(ISNUMBER($AU353*BB353*1),$AU353*BB353*1,"")</f>
        <v/>
      </c>
      <c r="BP353" s="1425" t="str">
        <f aca="false">IF(ISNUMBER($AV353*BC353*1),$AV353*BC353*1,"")</f>
        <v/>
      </c>
      <c r="BQ353" s="1425" t="str">
        <f aca="false">IF(ISNUMBER($AU353*BD353*1),$AU353*BD353*1,"")</f>
        <v/>
      </c>
      <c r="BR353" s="1425" t="str">
        <f aca="false">IF(ISNUMBER($AV353*BE353*1),$AV353*BE353*1,"")</f>
        <v/>
      </c>
      <c r="BS353" s="1411" t="str">
        <f aca="false">IF(ISNUMBER($AU353*BF353),$AU353*BF353,"")</f>
        <v/>
      </c>
      <c r="BT353" s="1411" t="str">
        <f aca="false">IF(ISNUMBER($AV353*BG353),$AV353*BG353,"")</f>
        <v/>
      </c>
      <c r="BU353" s="1411"/>
      <c r="BV353" s="1411"/>
      <c r="BW353" s="1411"/>
      <c r="BX353" s="1411"/>
      <c r="BZ353" s="1372"/>
      <c r="CA353" s="1372"/>
      <c r="CB353" s="1426" t="str">
        <f aca="false">IF(ISNUMBER($AW353*BB353),$AW353*BB353,"")</f>
        <v/>
      </c>
      <c r="CC353" s="1426" t="str">
        <f aca="false">IF(ISNUMBER($AX353*BC353),$AX353*BC353,"")</f>
        <v/>
      </c>
      <c r="CD353" s="1426" t="str">
        <f aca="false">IF(ISNUMBER($AW353*BD353),$AW353*BD353,"")</f>
        <v/>
      </c>
      <c r="CE353" s="1426" t="str">
        <f aca="false">IF(ISNUMBER($AX353*BE353),$AX353*BE353,"")</f>
        <v/>
      </c>
      <c r="CF353" s="1372" t="str">
        <f aca="false">IF(ISNUMBER($AW353*BF353),$AW353*BF353,"")</f>
        <v/>
      </c>
      <c r="CG353" s="1372" t="str">
        <f aca="false">IF(ISNUMBER($AX353*BG353),$AX353*BG353,"")</f>
        <v/>
      </c>
      <c r="CH353" s="1438"/>
      <c r="CI353" s="1438"/>
      <c r="CJ353" s="1438"/>
      <c r="CK353" s="1438"/>
      <c r="CU353" s="1411"/>
      <c r="CV353" s="1411"/>
      <c r="CW353" s="1425"/>
      <c r="CX353" s="1425"/>
      <c r="CY353" s="1425"/>
      <c r="CZ353" s="1425"/>
      <c r="DA353" s="1411"/>
      <c r="DB353" s="1411"/>
      <c r="DC353" s="1411"/>
      <c r="DD353" s="1411"/>
      <c r="DE353" s="1411"/>
      <c r="DF353" s="1411"/>
      <c r="DH353" s="1432"/>
      <c r="DI353" s="1432"/>
      <c r="DJ353" s="1437"/>
      <c r="DK353" s="1437"/>
      <c r="DL353" s="1437"/>
      <c r="DM353" s="1437"/>
      <c r="DN353" s="1432"/>
      <c r="DO353" s="1432"/>
      <c r="DP353" s="1432"/>
      <c r="DQ353" s="1432"/>
      <c r="DR353" s="1432"/>
      <c r="DS353" s="1432"/>
      <c r="DT353" s="1316"/>
      <c r="DU353" s="1433"/>
      <c r="DV353" s="1433"/>
      <c r="DW353" s="1433"/>
      <c r="DX353" s="1433"/>
      <c r="DY353" s="1433"/>
      <c r="DZ353" s="1433"/>
      <c r="EA353" s="1433"/>
      <c r="EB353" s="1433"/>
    </row>
    <row r="354" customFormat="false" ht="14.25" hidden="false" customHeight="false" outlineLevel="0" collapsed="false">
      <c r="A354" s="2" t="n">
        <f aca="false">'V_DATOS PAC_SGA'!R349</f>
        <v>0</v>
      </c>
      <c r="B354" s="2" t="n">
        <f aca="false">IF(I354="IV",CONCATENATE('V_DATOS PAC_SGA'!R349,"4")+0,CONCATENATE('V_DATOS PAC_SGA'!R349,"0")+0)</f>
        <v>0</v>
      </c>
      <c r="C354" s="2" t="n">
        <f aca="false">'V_DATOS PAC_SGA'!S349</f>
        <v>0</v>
      </c>
      <c r="D354" s="1409" t="n">
        <f aca="false">'V_DATOS PAC_SGA'!Y349</f>
        <v>0</v>
      </c>
      <c r="E354" s="1410" t="str">
        <f aca="false">IF('V_DATOS PAC_SGA'!AV349="","Regadio",'V_DATOS PAC_SGA'!AV349)</f>
        <v>Regadio</v>
      </c>
      <c r="F354" s="1411" t="n">
        <f aca="false">'V_DATOS PAC_SGA'!BK349</f>
        <v>0</v>
      </c>
      <c r="G354" s="1412" t="n">
        <f aca="false">'V_DATOS PAC_SGA'!AN349</f>
        <v>0</v>
      </c>
      <c r="H354" s="1413" t="str">
        <f aca="false">IF(B354&gt;0,VLOOKUP(B354,'O_MN, PE_UTA_UGM 2024'!E$3:O$419,10),"")</f>
        <v/>
      </c>
      <c r="I354" s="1359" t="n">
        <f aca="false">'V_DATOS PAC_SGA'!BV349</f>
        <v>0</v>
      </c>
      <c r="J354" s="2" t="str">
        <f aca="false">IF(AND(J$4=$G354,J$6=$F354),$D354*J$5,"")</f>
        <v/>
      </c>
      <c r="K354" s="2" t="str">
        <f aca="false">IF(AND(K$4=$G354,K$6=$F354),$D354*K$5,"")</f>
        <v/>
      </c>
      <c r="L354" s="2" t="str">
        <f aca="false">IF(AND(L$4=$G354,L$6=$F354),$D354*L$5,"")</f>
        <v/>
      </c>
      <c r="M354" s="2" t="str">
        <f aca="false">IF(AND(M$4=$G354,M$6=$F354),$D354*M$5,"")</f>
        <v/>
      </c>
      <c r="N354" s="1414" t="n">
        <f aca="false">VLOOKUP(B354,'O_MN, PE_UTA_UGM 2024'!$E$2:$K$419,IF(G354&gt;1,6,7))</f>
        <v>0</v>
      </c>
      <c r="O354" s="1434" t="str">
        <f aca="false">IF($H354=O$4,$D354*$N354,"")</f>
        <v/>
      </c>
      <c r="P354" s="1435" t="str">
        <f aca="false">IF($H354=P$4,$D354*$N354,"")</f>
        <v/>
      </c>
      <c r="Q354" s="1435" t="str">
        <f aca="false">IF($H354=Q$4,$D354*$N354,"")</f>
        <v/>
      </c>
      <c r="R354" s="1435" t="str">
        <f aca="false">IF($H354=R$4,$D354*$N354,"")</f>
        <v/>
      </c>
      <c r="S354" s="1435" t="str">
        <f aca="false">IF($H354=S$4,$D354*$N354,"")</f>
        <v/>
      </c>
      <c r="T354" s="1435" t="str">
        <f aca="false">IF($H354=T$4,$D354*$N354,"")</f>
        <v/>
      </c>
      <c r="U354" s="1436" t="str">
        <f aca="false">IF($H354=U$4,$D354*$N354,"")</f>
        <v/>
      </c>
      <c r="V354" s="1472"/>
      <c r="W354" s="1471"/>
      <c r="X354" s="1471"/>
      <c r="Y354" s="1471"/>
      <c r="Z354" s="1471"/>
      <c r="AA354" s="1471"/>
      <c r="AB354" s="1473"/>
      <c r="AC354" s="1319"/>
      <c r="AD354" s="2" t="str">
        <f aca="false">IF(AND(AD$4=$G354,AD$6=$F354),$B354,"")</f>
        <v/>
      </c>
      <c r="AE354" s="2" t="str">
        <f aca="false">IF(AND(AE$4=$G354,AE$6=$F354),$B354,"")</f>
        <v/>
      </c>
      <c r="AF354" s="2" t="str">
        <f aca="false">IF(AND(AF$4=$G354,AF$6=$F354),$B354,"")</f>
        <v/>
      </c>
      <c r="AG354" s="2" t="str">
        <f aca="false">IF(AND(AG$4=$G354,AG$6=$F354),$B354,"")</f>
        <v/>
      </c>
      <c r="AI354" s="366"/>
      <c r="AL354" s="367"/>
      <c r="AO354" s="367"/>
      <c r="AP354" s="2" t="str">
        <f aca="false">IF(AT354&gt;0,RANK(AT354,AT$7:AT$423),"")</f>
        <v/>
      </c>
      <c r="AQ354" s="1475" t="n">
        <f aca="false">'O_MN, PE_UTA_UGM 2024'!C351</f>
        <v>455</v>
      </c>
      <c r="AR354" s="1421" t="n">
        <v>3920</v>
      </c>
      <c r="AS354" s="2" t="str">
        <f aca="false">IF(AY354&lt;&gt;"",AY354,"")</f>
        <v/>
      </c>
      <c r="AT354" s="1422" t="n">
        <f aca="false">IF(ISNUMBER($AR354),SUMIF(B$7:B$505,AR354,D$7:D$505),"")</f>
        <v>0</v>
      </c>
      <c r="AU354" s="1411" t="n">
        <f aca="false">IF(ISNUMBER($AR354),SUMIF(AD$7:AD$503,$AR354,J$7:J$503),"")</f>
        <v>0</v>
      </c>
      <c r="AV354" s="1411" t="n">
        <f aca="false">IF(ISNUMBER($AR354),SUMIF(AF$7:AF$503,$AR354,L$7:L$503),"")</f>
        <v>0</v>
      </c>
      <c r="AW354" s="1423" t="n">
        <f aca="false">IF(ISNUMBER($AR354),SUMIF(AE$7:AE$503,$AR354,K$7:K$503),"")</f>
        <v>0</v>
      </c>
      <c r="AX354" s="1423" t="n">
        <f aca="false">IF(ISNUMBER($AR354),SUMIF(AG$7:AG$503,$AR354,M$7:M$503),"")</f>
        <v>0</v>
      </c>
      <c r="AY354" s="2" t="str">
        <f aca="false">IF($AT354&gt;0,VLOOKUP($AR354,'O_MN, PE_UTA_UGM 2024'!E351:O766,2),"")</f>
        <v/>
      </c>
      <c r="AZ354" s="1424"/>
      <c r="BA354" s="1424"/>
      <c r="BB354" s="1424" t="str">
        <f aca="false">IF($AT354&gt;0,VLOOKUP($AR354,'O_MN, PE_UTA_UGM 2024'!$E$3:$O$419,BB$6),"")</f>
        <v/>
      </c>
      <c r="BC354" s="1424" t="str">
        <f aca="false">IF($AT354&gt;0,VLOOKUP($AR354,'O_MN, PE_UTA_UGM 2024'!$E$3:$O$419,BC$6),"")</f>
        <v/>
      </c>
      <c r="BD354" s="1424" t="str">
        <f aca="false">IF($AT354&gt;0,VLOOKUP($AR354,'O_MN, PE_UTA_UGM 2024'!$E$3:$O$419,BD$6),"")</f>
        <v/>
      </c>
      <c r="BE354" s="1424" t="str">
        <f aca="false">IF($AT354&gt;0,VLOOKUP($AR354,'O_MN, PE_UTA_UGM 2024'!$E$3:$O$419,BE$6),"")</f>
        <v/>
      </c>
      <c r="BF354" s="1424" t="str">
        <f aca="false">IF($AT354&gt;0,VLOOKUP($AR354,'O_MN, PE_UTA_UGM 2024'!$E$3:$O$419,BF$6),"")</f>
        <v/>
      </c>
      <c r="BG354" s="1424" t="str">
        <f aca="false">IF($AT354&gt;0,VLOOKUP($AR354,'O_MN, PE_UTA_UGM 2024'!$E$3:$O$419,BG$6),"")</f>
        <v/>
      </c>
      <c r="BH354" s="872"/>
      <c r="BI354" s="872"/>
      <c r="BJ354" s="872"/>
      <c r="BK354" s="872"/>
      <c r="BM354" s="1411"/>
      <c r="BN354" s="1411"/>
      <c r="BO354" s="1425" t="str">
        <f aca="false">IF(ISNUMBER($AU354*BB354*1),$AU354*BB354*1,"")</f>
        <v/>
      </c>
      <c r="BP354" s="1425" t="str">
        <f aca="false">IF(ISNUMBER($AV354*BC354*1),$AV354*BC354*1,"")</f>
        <v/>
      </c>
      <c r="BQ354" s="1425" t="str">
        <f aca="false">IF(ISNUMBER($AU354*BD354*1),$AU354*BD354*1,"")</f>
        <v/>
      </c>
      <c r="BR354" s="1425" t="str">
        <f aca="false">IF(ISNUMBER($AV354*BE354*1),$AV354*BE354*1,"")</f>
        <v/>
      </c>
      <c r="BS354" s="1411" t="str">
        <f aca="false">IF(ISNUMBER($AU354*BF354),$AU354*BF354,"")</f>
        <v/>
      </c>
      <c r="BT354" s="1411" t="str">
        <f aca="false">IF(ISNUMBER($AV354*BG354),$AV354*BG354,"")</f>
        <v/>
      </c>
      <c r="BU354" s="1411"/>
      <c r="BV354" s="1411"/>
      <c r="BW354" s="1411"/>
      <c r="BX354" s="1411"/>
      <c r="BZ354" s="1372"/>
      <c r="CA354" s="1372"/>
      <c r="CB354" s="1426" t="str">
        <f aca="false">IF(ISNUMBER($AW354*BB354),$AW354*BB354,"")</f>
        <v/>
      </c>
      <c r="CC354" s="1426" t="str">
        <f aca="false">IF(ISNUMBER($AX354*BC354),$AX354*BC354,"")</f>
        <v/>
      </c>
      <c r="CD354" s="1426" t="str">
        <f aca="false">IF(ISNUMBER($AW354*BD354),$AW354*BD354,"")</f>
        <v/>
      </c>
      <c r="CE354" s="1426" t="str">
        <f aca="false">IF(ISNUMBER($AX354*BE354),$AX354*BE354,"")</f>
        <v/>
      </c>
      <c r="CF354" s="1372" t="str">
        <f aca="false">IF(ISNUMBER($AW354*BF354),$AW354*BF354,"")</f>
        <v/>
      </c>
      <c r="CG354" s="1372" t="str">
        <f aca="false">IF(ISNUMBER($AX354*BG354),$AX354*BG354,"")</f>
        <v/>
      </c>
      <c r="CH354" s="1438"/>
      <c r="CI354" s="1438"/>
      <c r="CJ354" s="1438"/>
      <c r="CK354" s="1438"/>
      <c r="CU354" s="1411"/>
      <c r="CV354" s="1411"/>
      <c r="CW354" s="1425"/>
      <c r="CX354" s="1425"/>
      <c r="CY354" s="1425"/>
      <c r="CZ354" s="1425"/>
      <c r="DA354" s="1411"/>
      <c r="DB354" s="1411"/>
      <c r="DC354" s="1411"/>
      <c r="DD354" s="1411"/>
      <c r="DE354" s="1411"/>
      <c r="DF354" s="1411"/>
      <c r="DH354" s="1432"/>
      <c r="DI354" s="1432"/>
      <c r="DJ354" s="1437"/>
      <c r="DK354" s="1437"/>
      <c r="DL354" s="1437"/>
      <c r="DM354" s="1437"/>
      <c r="DN354" s="1432"/>
      <c r="DO354" s="1432"/>
      <c r="DP354" s="1432"/>
      <c r="DQ354" s="1432"/>
      <c r="DR354" s="1432"/>
      <c r="DS354" s="1432"/>
      <c r="DT354" s="1316"/>
      <c r="DU354" s="1433"/>
      <c r="DV354" s="1433"/>
      <c r="DW354" s="1433"/>
      <c r="DX354" s="1433"/>
      <c r="DY354" s="1433"/>
      <c r="DZ354" s="1433"/>
      <c r="EA354" s="1433"/>
      <c r="EB354" s="1433"/>
    </row>
    <row r="355" customFormat="false" ht="14.25" hidden="false" customHeight="false" outlineLevel="0" collapsed="false">
      <c r="A355" s="2" t="n">
        <f aca="false">'V_DATOS PAC_SGA'!R350</f>
        <v>0</v>
      </c>
      <c r="B355" s="2" t="n">
        <f aca="false">IF(I355="IV",CONCATENATE('V_DATOS PAC_SGA'!R350,"4")+0,CONCATENATE('V_DATOS PAC_SGA'!R350,"0")+0)</f>
        <v>0</v>
      </c>
      <c r="C355" s="2" t="n">
        <f aca="false">'V_DATOS PAC_SGA'!S350</f>
        <v>0</v>
      </c>
      <c r="D355" s="1409" t="n">
        <f aca="false">'V_DATOS PAC_SGA'!Y350</f>
        <v>0</v>
      </c>
      <c r="E355" s="1410" t="str">
        <f aca="false">IF('V_DATOS PAC_SGA'!AV350="","Regadio",'V_DATOS PAC_SGA'!AV350)</f>
        <v>Regadio</v>
      </c>
      <c r="F355" s="1411" t="n">
        <f aca="false">'V_DATOS PAC_SGA'!BK350</f>
        <v>0</v>
      </c>
      <c r="G355" s="1412" t="n">
        <f aca="false">'V_DATOS PAC_SGA'!AN350</f>
        <v>0</v>
      </c>
      <c r="H355" s="1413" t="str">
        <f aca="false">IF(B355&gt;0,VLOOKUP(B355,'O_MN, PE_UTA_UGM 2024'!E$3:O$419,10),"")</f>
        <v/>
      </c>
      <c r="I355" s="1359" t="n">
        <f aca="false">'V_DATOS PAC_SGA'!BV350</f>
        <v>0</v>
      </c>
      <c r="J355" s="2" t="str">
        <f aca="false">IF(AND(J$4=$G355,J$6=$F355),$D355*J$5,"")</f>
        <v/>
      </c>
      <c r="K355" s="2" t="str">
        <f aca="false">IF(AND(K$4=$G355,K$6=$F355),$D355*K$5,"")</f>
        <v/>
      </c>
      <c r="L355" s="2" t="str">
        <f aca="false">IF(AND(L$4=$G355,L$6=$F355),$D355*L$5,"")</f>
        <v/>
      </c>
      <c r="M355" s="2" t="str">
        <f aca="false">IF(AND(M$4=$G355,M$6=$F355),$D355*M$5,"")</f>
        <v/>
      </c>
      <c r="N355" s="1414" t="n">
        <f aca="false">VLOOKUP(B355,'O_MN, PE_UTA_UGM 2024'!$E$2:$K$419,IF(G355&gt;1,6,7))</f>
        <v>0</v>
      </c>
      <c r="O355" s="1434" t="str">
        <f aca="false">IF($H355=O$4,$D355*$N355,"")</f>
        <v/>
      </c>
      <c r="P355" s="1435" t="str">
        <f aca="false">IF($H355=P$4,$D355*$N355,"")</f>
        <v/>
      </c>
      <c r="Q355" s="1435" t="str">
        <f aca="false">IF($H355=Q$4,$D355*$N355,"")</f>
        <v/>
      </c>
      <c r="R355" s="1435" t="str">
        <f aca="false">IF($H355=R$4,$D355*$N355,"")</f>
        <v/>
      </c>
      <c r="S355" s="1435" t="str">
        <f aca="false">IF($H355=S$4,$D355*$N355,"")</f>
        <v/>
      </c>
      <c r="T355" s="1435" t="str">
        <f aca="false">IF($H355=T$4,$D355*$N355,"")</f>
        <v/>
      </c>
      <c r="U355" s="1436" t="str">
        <f aca="false">IF($H355=U$4,$D355*$N355,"")</f>
        <v/>
      </c>
      <c r="V355" s="1472"/>
      <c r="W355" s="1471"/>
      <c r="X355" s="1471"/>
      <c r="Y355" s="1471"/>
      <c r="Z355" s="1471"/>
      <c r="AA355" s="1471"/>
      <c r="AB355" s="1473"/>
      <c r="AC355" s="1319"/>
      <c r="AD355" s="2" t="str">
        <f aca="false">IF(AND(AD$4=$G355,AD$6=$F355),$B355,"")</f>
        <v/>
      </c>
      <c r="AE355" s="2" t="str">
        <f aca="false">IF(AND(AE$4=$G355,AE$6=$F355),$B355,"")</f>
        <v/>
      </c>
      <c r="AF355" s="2" t="str">
        <f aca="false">IF(AND(AF$4=$G355,AF$6=$F355),$B355,"")</f>
        <v/>
      </c>
      <c r="AG355" s="2" t="str">
        <f aca="false">IF(AND(AG$4=$G355,AG$6=$F355),$B355,"")</f>
        <v/>
      </c>
      <c r="AI355" s="366"/>
      <c r="AL355" s="367"/>
      <c r="AO355" s="367"/>
      <c r="AP355" s="2" t="str">
        <f aca="false">IF(AT355&gt;0,RANK(AT355,AT$7:AT$423),"")</f>
        <v/>
      </c>
      <c r="AQ355" s="1475" t="n">
        <f aca="false">'O_MN, PE_UTA_UGM 2024'!C352</f>
        <v>456</v>
      </c>
      <c r="AR355" s="1421" t="n">
        <v>3930</v>
      </c>
      <c r="AS355" s="2" t="str">
        <f aca="false">IF(AY355&lt;&gt;"",AY355,"")</f>
        <v/>
      </c>
      <c r="AT355" s="1422" t="n">
        <f aca="false">IF(ISNUMBER($AR355),SUMIF(B$7:B$505,AR355,D$7:D$505),"")</f>
        <v>0</v>
      </c>
      <c r="AU355" s="1411" t="n">
        <f aca="false">IF(ISNUMBER($AR355),SUMIF(AD$7:AD$503,$AR355,J$7:J$503),"")</f>
        <v>0</v>
      </c>
      <c r="AV355" s="1411" t="n">
        <f aca="false">IF(ISNUMBER($AR355),SUMIF(AF$7:AF$503,$AR355,L$7:L$503),"")</f>
        <v>0</v>
      </c>
      <c r="AW355" s="1423" t="n">
        <f aca="false">IF(ISNUMBER($AR355),SUMIF(AE$7:AE$503,$AR355,K$7:K$503),"")</f>
        <v>0</v>
      </c>
      <c r="AX355" s="1423" t="n">
        <f aca="false">IF(ISNUMBER($AR355),SUMIF(AG$7:AG$503,$AR355,M$7:M$503),"")</f>
        <v>0</v>
      </c>
      <c r="AY355" s="2" t="str">
        <f aca="false">IF($AT355&gt;0,VLOOKUP($AR355,'O_MN, PE_UTA_UGM 2024'!E352:O767,2),"")</f>
        <v/>
      </c>
      <c r="AZ355" s="1424"/>
      <c r="BA355" s="1424"/>
      <c r="BB355" s="1424" t="str">
        <f aca="false">IF($AT355&gt;0,VLOOKUP($AR355,'O_MN, PE_UTA_UGM 2024'!$E$3:$O$419,BB$6),"")</f>
        <v/>
      </c>
      <c r="BC355" s="1424" t="str">
        <f aca="false">IF($AT355&gt;0,VLOOKUP($AR355,'O_MN, PE_UTA_UGM 2024'!$E$3:$O$419,BC$6),"")</f>
        <v/>
      </c>
      <c r="BD355" s="1424" t="str">
        <f aca="false">IF($AT355&gt;0,VLOOKUP($AR355,'O_MN, PE_UTA_UGM 2024'!$E$3:$O$419,BD$6),"")</f>
        <v/>
      </c>
      <c r="BE355" s="1424" t="str">
        <f aca="false">IF($AT355&gt;0,VLOOKUP($AR355,'O_MN, PE_UTA_UGM 2024'!$E$3:$O$419,BE$6),"")</f>
        <v/>
      </c>
      <c r="BF355" s="1424" t="str">
        <f aca="false">IF($AT355&gt;0,VLOOKUP($AR355,'O_MN, PE_UTA_UGM 2024'!$E$3:$O$419,BF$6),"")</f>
        <v/>
      </c>
      <c r="BG355" s="1424" t="str">
        <f aca="false">IF($AT355&gt;0,VLOOKUP($AR355,'O_MN, PE_UTA_UGM 2024'!$E$3:$O$419,BG$6),"")</f>
        <v/>
      </c>
      <c r="BH355" s="872"/>
      <c r="BI355" s="872"/>
      <c r="BJ355" s="872"/>
      <c r="BK355" s="872"/>
      <c r="BM355" s="1411"/>
      <c r="BN355" s="1411"/>
      <c r="BO355" s="1425" t="str">
        <f aca="false">IF(ISNUMBER($AU355*BB355*1),$AU355*BB355*1,"")</f>
        <v/>
      </c>
      <c r="BP355" s="1425" t="str">
        <f aca="false">IF(ISNUMBER($AV355*BC355*1),$AV355*BC355*1,"")</f>
        <v/>
      </c>
      <c r="BQ355" s="1425" t="str">
        <f aca="false">IF(ISNUMBER($AU355*BD355*1),$AU355*BD355*1,"")</f>
        <v/>
      </c>
      <c r="BR355" s="1425" t="str">
        <f aca="false">IF(ISNUMBER($AV355*BE355*1),$AV355*BE355*1,"")</f>
        <v/>
      </c>
      <c r="BS355" s="1411" t="str">
        <f aca="false">IF(ISNUMBER($AU355*BF355),$AU355*BF355,"")</f>
        <v/>
      </c>
      <c r="BT355" s="1411" t="str">
        <f aca="false">IF(ISNUMBER($AV355*BG355),$AV355*BG355,"")</f>
        <v/>
      </c>
      <c r="BU355" s="1411"/>
      <c r="BV355" s="1411"/>
      <c r="BW355" s="1411"/>
      <c r="BX355" s="1411"/>
      <c r="BZ355" s="1372"/>
      <c r="CA355" s="1372"/>
      <c r="CB355" s="1426" t="str">
        <f aca="false">IF(ISNUMBER($AW355*BB355),$AW355*BB355,"")</f>
        <v/>
      </c>
      <c r="CC355" s="1426" t="str">
        <f aca="false">IF(ISNUMBER($AX355*BC355),$AX355*BC355,"")</f>
        <v/>
      </c>
      <c r="CD355" s="1426" t="str">
        <f aca="false">IF(ISNUMBER($AW355*BD355),$AW355*BD355,"")</f>
        <v/>
      </c>
      <c r="CE355" s="1426" t="str">
        <f aca="false">IF(ISNUMBER($AX355*BE355),$AX355*BE355,"")</f>
        <v/>
      </c>
      <c r="CF355" s="1372" t="str">
        <f aca="false">IF(ISNUMBER($AW355*BF355),$AW355*BF355,"")</f>
        <v/>
      </c>
      <c r="CG355" s="1372" t="str">
        <f aca="false">IF(ISNUMBER($AX355*BG355),$AX355*BG355,"")</f>
        <v/>
      </c>
      <c r="CH355" s="1438"/>
      <c r="CI355" s="1438"/>
      <c r="CJ355" s="1438"/>
      <c r="CK355" s="1438"/>
      <c r="CU355" s="1411"/>
      <c r="CV355" s="1411"/>
      <c r="CW355" s="1425"/>
      <c r="CX355" s="1425"/>
      <c r="CY355" s="1425"/>
      <c r="CZ355" s="1425"/>
      <c r="DA355" s="1411"/>
      <c r="DB355" s="1411"/>
      <c r="DC355" s="1411"/>
      <c r="DD355" s="1411"/>
      <c r="DE355" s="1411"/>
      <c r="DF355" s="1411"/>
      <c r="DH355" s="1432"/>
      <c r="DI355" s="1432"/>
      <c r="DJ355" s="1437"/>
      <c r="DK355" s="1437"/>
      <c r="DL355" s="1437"/>
      <c r="DM355" s="1437"/>
      <c r="DN355" s="1432"/>
      <c r="DO355" s="1432"/>
      <c r="DP355" s="1432"/>
      <c r="DQ355" s="1432"/>
      <c r="DR355" s="1432"/>
      <c r="DS355" s="1432"/>
      <c r="DT355" s="1316"/>
      <c r="DU355" s="1433"/>
      <c r="DV355" s="1433"/>
      <c r="DW355" s="1433"/>
      <c r="DX355" s="1433"/>
      <c r="DY355" s="1433"/>
      <c r="DZ355" s="1433"/>
      <c r="EA355" s="1433"/>
      <c r="EB355" s="1433"/>
    </row>
    <row r="356" customFormat="false" ht="14.25" hidden="false" customHeight="false" outlineLevel="0" collapsed="false">
      <c r="A356" s="2" t="n">
        <f aca="false">'V_DATOS PAC_SGA'!R351</f>
        <v>0</v>
      </c>
      <c r="B356" s="2" t="n">
        <f aca="false">IF(I356="IV",CONCATENATE('V_DATOS PAC_SGA'!R351,"4")+0,CONCATENATE('V_DATOS PAC_SGA'!R351,"0")+0)</f>
        <v>0</v>
      </c>
      <c r="C356" s="2" t="n">
        <f aca="false">'V_DATOS PAC_SGA'!S351</f>
        <v>0</v>
      </c>
      <c r="D356" s="1409" t="n">
        <f aca="false">'V_DATOS PAC_SGA'!Y351</f>
        <v>0</v>
      </c>
      <c r="E356" s="1410" t="str">
        <f aca="false">IF('V_DATOS PAC_SGA'!AV351="","Regadio",'V_DATOS PAC_SGA'!AV351)</f>
        <v>Regadio</v>
      </c>
      <c r="F356" s="1411" t="n">
        <f aca="false">'V_DATOS PAC_SGA'!BK351</f>
        <v>0</v>
      </c>
      <c r="G356" s="1412" t="n">
        <f aca="false">'V_DATOS PAC_SGA'!AN351</f>
        <v>0</v>
      </c>
      <c r="H356" s="1413" t="str">
        <f aca="false">IF(B356&gt;0,VLOOKUP(B356,'O_MN, PE_UTA_UGM 2024'!E$3:O$419,10),"")</f>
        <v/>
      </c>
      <c r="I356" s="1359" t="n">
        <f aca="false">'V_DATOS PAC_SGA'!BV351</f>
        <v>0</v>
      </c>
      <c r="J356" s="2" t="str">
        <f aca="false">IF(AND(J$4=$G356,J$6=$F356),$D356*J$5,"")</f>
        <v/>
      </c>
      <c r="K356" s="2" t="str">
        <f aca="false">IF(AND(K$4=$G356,K$6=$F356),$D356*K$5,"")</f>
        <v/>
      </c>
      <c r="L356" s="2" t="str">
        <f aca="false">IF(AND(L$4=$G356,L$6=$F356),$D356*L$5,"")</f>
        <v/>
      </c>
      <c r="M356" s="2" t="str">
        <f aca="false">IF(AND(M$4=$G356,M$6=$F356),$D356*M$5,"")</f>
        <v/>
      </c>
      <c r="N356" s="1414" t="n">
        <f aca="false">VLOOKUP(B356,'O_MN, PE_UTA_UGM 2024'!$E$2:$K$419,IF(G356&gt;1,6,7))</f>
        <v>0</v>
      </c>
      <c r="O356" s="1434" t="str">
        <f aca="false">IF($H356=O$4,$D356*$N356,"")</f>
        <v/>
      </c>
      <c r="P356" s="1435" t="str">
        <f aca="false">IF($H356=P$4,$D356*$N356,"")</f>
        <v/>
      </c>
      <c r="Q356" s="1435" t="str">
        <f aca="false">IF($H356=Q$4,$D356*$N356,"")</f>
        <v/>
      </c>
      <c r="R356" s="1435" t="str">
        <f aca="false">IF($H356=R$4,$D356*$N356,"")</f>
        <v/>
      </c>
      <c r="S356" s="1435" t="str">
        <f aca="false">IF($H356=S$4,$D356*$N356,"")</f>
        <v/>
      </c>
      <c r="T356" s="1435" t="str">
        <f aca="false">IF($H356=T$4,$D356*$N356,"")</f>
        <v/>
      </c>
      <c r="U356" s="1436" t="str">
        <f aca="false">IF($H356=U$4,$D356*$N356,"")</f>
        <v/>
      </c>
      <c r="V356" s="1472"/>
      <c r="W356" s="1471"/>
      <c r="X356" s="1471"/>
      <c r="Y356" s="1471"/>
      <c r="Z356" s="1471"/>
      <c r="AA356" s="1471"/>
      <c r="AB356" s="1473"/>
      <c r="AC356" s="1319"/>
      <c r="AD356" s="2" t="str">
        <f aca="false">IF(AND(AD$4=$G356,AD$6=$F356),$B356,"")</f>
        <v/>
      </c>
      <c r="AE356" s="2" t="str">
        <f aca="false">IF(AND(AE$4=$G356,AE$6=$F356),$B356,"")</f>
        <v/>
      </c>
      <c r="AF356" s="2" t="str">
        <f aca="false">IF(AND(AF$4=$G356,AF$6=$F356),$B356,"")</f>
        <v/>
      </c>
      <c r="AG356" s="2" t="str">
        <f aca="false">IF(AND(AG$4=$G356,AG$6=$F356),$B356,"")</f>
        <v/>
      </c>
      <c r="AI356" s="366"/>
      <c r="AL356" s="367"/>
      <c r="AO356" s="367"/>
      <c r="AP356" s="2" t="str">
        <f aca="false">IF(AT356&gt;0,RANK(AT356,AT$7:AT$423),"")</f>
        <v/>
      </c>
      <c r="AQ356" s="1475" t="n">
        <f aca="false">'O_MN, PE_UTA_UGM 2024'!C353</f>
        <v>457</v>
      </c>
      <c r="AR356" s="1421" t="n">
        <v>3940</v>
      </c>
      <c r="AS356" s="2" t="str">
        <f aca="false">IF(AY356&lt;&gt;"",AY356,"")</f>
        <v/>
      </c>
      <c r="AT356" s="1422" t="n">
        <f aca="false">IF(ISNUMBER($AR356),SUMIF(B$7:B$505,AR356,D$7:D$505),"")</f>
        <v>0</v>
      </c>
      <c r="AU356" s="1411" t="n">
        <f aca="false">IF(ISNUMBER($AR356),SUMIF(AD$7:AD$503,$AR356,J$7:J$503),"")</f>
        <v>0</v>
      </c>
      <c r="AV356" s="1411" t="n">
        <f aca="false">IF(ISNUMBER($AR356),SUMIF(AF$7:AF$503,$AR356,L$7:L$503),"")</f>
        <v>0</v>
      </c>
      <c r="AW356" s="1423" t="n">
        <f aca="false">IF(ISNUMBER($AR356),SUMIF(AE$7:AE$503,$AR356,K$7:K$503),"")</f>
        <v>0</v>
      </c>
      <c r="AX356" s="1423" t="n">
        <f aca="false">IF(ISNUMBER($AR356),SUMIF(AG$7:AG$503,$AR356,M$7:M$503),"")</f>
        <v>0</v>
      </c>
      <c r="AY356" s="2" t="str">
        <f aca="false">IF($AT356&gt;0,VLOOKUP($AR356,'O_MN, PE_UTA_UGM 2024'!E353:O768,2),"")</f>
        <v/>
      </c>
      <c r="AZ356" s="1424"/>
      <c r="BA356" s="1424"/>
      <c r="BB356" s="1424" t="str">
        <f aca="false">IF($AT356&gt;0,VLOOKUP($AR356,'O_MN, PE_UTA_UGM 2024'!$E$3:$O$419,BB$6),"")</f>
        <v/>
      </c>
      <c r="BC356" s="1424" t="str">
        <f aca="false">IF($AT356&gt;0,VLOOKUP($AR356,'O_MN, PE_UTA_UGM 2024'!$E$3:$O$419,BC$6),"")</f>
        <v/>
      </c>
      <c r="BD356" s="1424" t="str">
        <f aca="false">IF($AT356&gt;0,VLOOKUP($AR356,'O_MN, PE_UTA_UGM 2024'!$E$3:$O$419,BD$6),"")</f>
        <v/>
      </c>
      <c r="BE356" s="1424" t="str">
        <f aca="false">IF($AT356&gt;0,VLOOKUP($AR356,'O_MN, PE_UTA_UGM 2024'!$E$3:$O$419,BE$6),"")</f>
        <v/>
      </c>
      <c r="BF356" s="1424" t="str">
        <f aca="false">IF($AT356&gt;0,VLOOKUP($AR356,'O_MN, PE_UTA_UGM 2024'!$E$3:$O$419,BF$6),"")</f>
        <v/>
      </c>
      <c r="BG356" s="1424" t="str">
        <f aca="false">IF($AT356&gt;0,VLOOKUP($AR356,'O_MN, PE_UTA_UGM 2024'!$E$3:$O$419,BG$6),"")</f>
        <v/>
      </c>
      <c r="BH356" s="872"/>
      <c r="BI356" s="872"/>
      <c r="BJ356" s="872"/>
      <c r="BK356" s="872"/>
      <c r="BM356" s="1411"/>
      <c r="BN356" s="1411"/>
      <c r="BO356" s="1425" t="str">
        <f aca="false">IF(ISNUMBER($AU356*BB356*1),$AU356*BB356*1,"")</f>
        <v/>
      </c>
      <c r="BP356" s="1425" t="str">
        <f aca="false">IF(ISNUMBER($AV356*BC356*1),$AV356*BC356*1,"")</f>
        <v/>
      </c>
      <c r="BQ356" s="1425" t="str">
        <f aca="false">IF(ISNUMBER($AU356*BD356*1),$AU356*BD356*1,"")</f>
        <v/>
      </c>
      <c r="BR356" s="1425" t="str">
        <f aca="false">IF(ISNUMBER($AV356*BE356*1),$AV356*BE356*1,"")</f>
        <v/>
      </c>
      <c r="BS356" s="1411" t="str">
        <f aca="false">IF(ISNUMBER($AU356*BF356),$AU356*BF356,"")</f>
        <v/>
      </c>
      <c r="BT356" s="1411" t="str">
        <f aca="false">IF(ISNUMBER($AV356*BG356),$AV356*BG356,"")</f>
        <v/>
      </c>
      <c r="BU356" s="1411"/>
      <c r="BV356" s="1411"/>
      <c r="BW356" s="1411"/>
      <c r="BX356" s="1411"/>
      <c r="BZ356" s="1372"/>
      <c r="CA356" s="1372"/>
      <c r="CB356" s="1426" t="str">
        <f aca="false">IF(ISNUMBER($AW356*BB356),$AW356*BB356,"")</f>
        <v/>
      </c>
      <c r="CC356" s="1426" t="str">
        <f aca="false">IF(ISNUMBER($AX356*BC356),$AX356*BC356,"")</f>
        <v/>
      </c>
      <c r="CD356" s="1426" t="str">
        <f aca="false">IF(ISNUMBER($AW356*BD356),$AW356*BD356,"")</f>
        <v/>
      </c>
      <c r="CE356" s="1426" t="str">
        <f aca="false">IF(ISNUMBER($AX356*BE356),$AX356*BE356,"")</f>
        <v/>
      </c>
      <c r="CF356" s="1372" t="str">
        <f aca="false">IF(ISNUMBER($AW356*BF356),$AW356*BF356,"")</f>
        <v/>
      </c>
      <c r="CG356" s="1372" t="str">
        <f aca="false">IF(ISNUMBER($AX356*BG356),$AX356*BG356,"")</f>
        <v/>
      </c>
      <c r="CH356" s="1438"/>
      <c r="CI356" s="1438"/>
      <c r="CJ356" s="1438"/>
      <c r="CK356" s="1438"/>
      <c r="CU356" s="1411"/>
      <c r="CV356" s="1411"/>
      <c r="CW356" s="1425"/>
      <c r="CX356" s="1425"/>
      <c r="CY356" s="1425"/>
      <c r="CZ356" s="1425"/>
      <c r="DA356" s="1411"/>
      <c r="DB356" s="1411"/>
      <c r="DC356" s="1411"/>
      <c r="DD356" s="1411"/>
      <c r="DE356" s="1411"/>
      <c r="DF356" s="1411"/>
      <c r="DH356" s="1432"/>
      <c r="DI356" s="1432"/>
      <c r="DJ356" s="1437"/>
      <c r="DK356" s="1437"/>
      <c r="DL356" s="1437"/>
      <c r="DM356" s="1437"/>
      <c r="DN356" s="1432"/>
      <c r="DO356" s="1432"/>
      <c r="DP356" s="1432"/>
      <c r="DQ356" s="1432"/>
      <c r="DR356" s="1432"/>
      <c r="DS356" s="1432"/>
      <c r="DT356" s="1316"/>
      <c r="DU356" s="1433"/>
      <c r="DV356" s="1433"/>
      <c r="DW356" s="1433"/>
      <c r="DX356" s="1433"/>
      <c r="DY356" s="1433"/>
      <c r="DZ356" s="1433"/>
      <c r="EA356" s="1433"/>
      <c r="EB356" s="1433"/>
    </row>
    <row r="357" customFormat="false" ht="14.25" hidden="false" customHeight="false" outlineLevel="0" collapsed="false">
      <c r="A357" s="2" t="n">
        <f aca="false">'V_DATOS PAC_SGA'!R352</f>
        <v>0</v>
      </c>
      <c r="B357" s="2" t="n">
        <f aca="false">IF(I357="IV",CONCATENATE('V_DATOS PAC_SGA'!R352,"4")+0,CONCATENATE('V_DATOS PAC_SGA'!R352,"0")+0)</f>
        <v>0</v>
      </c>
      <c r="C357" s="2" t="n">
        <f aca="false">'V_DATOS PAC_SGA'!S352</f>
        <v>0</v>
      </c>
      <c r="D357" s="1409" t="n">
        <f aca="false">'V_DATOS PAC_SGA'!Y352</f>
        <v>0</v>
      </c>
      <c r="E357" s="1410" t="str">
        <f aca="false">IF('V_DATOS PAC_SGA'!AV352="","Regadio",'V_DATOS PAC_SGA'!AV352)</f>
        <v>Regadio</v>
      </c>
      <c r="F357" s="1411" t="n">
        <f aca="false">'V_DATOS PAC_SGA'!BK352</f>
        <v>0</v>
      </c>
      <c r="G357" s="1412" t="n">
        <f aca="false">'V_DATOS PAC_SGA'!AN352</f>
        <v>0</v>
      </c>
      <c r="H357" s="1413" t="str">
        <f aca="false">IF(B357&gt;0,VLOOKUP(B357,'O_MN, PE_UTA_UGM 2024'!E$3:O$419,10),"")</f>
        <v/>
      </c>
      <c r="I357" s="1359" t="n">
        <f aca="false">'V_DATOS PAC_SGA'!BV352</f>
        <v>0</v>
      </c>
      <c r="J357" s="2" t="str">
        <f aca="false">IF(AND(J$4=$G357,J$6=$F357),$D357*J$5,"")</f>
        <v/>
      </c>
      <c r="K357" s="2" t="str">
        <f aca="false">IF(AND(K$4=$G357,K$6=$F357),$D357*K$5,"")</f>
        <v/>
      </c>
      <c r="L357" s="2" t="str">
        <f aca="false">IF(AND(L$4=$G357,L$6=$F357),$D357*L$5,"")</f>
        <v/>
      </c>
      <c r="M357" s="2" t="str">
        <f aca="false">IF(AND(M$4=$G357,M$6=$F357),$D357*M$5,"")</f>
        <v/>
      </c>
      <c r="N357" s="1414" t="n">
        <f aca="false">VLOOKUP(B357,'O_MN, PE_UTA_UGM 2024'!$E$2:$K$419,IF(G357&gt;1,6,7))</f>
        <v>0</v>
      </c>
      <c r="O357" s="1434" t="str">
        <f aca="false">IF($H357=O$4,$D357*$N357,"")</f>
        <v/>
      </c>
      <c r="P357" s="1435" t="str">
        <f aca="false">IF($H357=P$4,$D357*$N357,"")</f>
        <v/>
      </c>
      <c r="Q357" s="1435" t="str">
        <f aca="false">IF($H357=Q$4,$D357*$N357,"")</f>
        <v/>
      </c>
      <c r="R357" s="1435" t="str">
        <f aca="false">IF($H357=R$4,$D357*$N357,"")</f>
        <v/>
      </c>
      <c r="S357" s="1435" t="str">
        <f aca="false">IF($H357=S$4,$D357*$N357,"")</f>
        <v/>
      </c>
      <c r="T357" s="1435" t="str">
        <f aca="false">IF($H357=T$4,$D357*$N357,"")</f>
        <v/>
      </c>
      <c r="U357" s="1436" t="str">
        <f aca="false">IF($H357=U$4,$D357*$N357,"")</f>
        <v/>
      </c>
      <c r="V357" s="1472"/>
      <c r="W357" s="1471"/>
      <c r="X357" s="1471"/>
      <c r="Y357" s="1471"/>
      <c r="Z357" s="1471"/>
      <c r="AA357" s="1471"/>
      <c r="AB357" s="1473"/>
      <c r="AC357" s="1319"/>
      <c r="AD357" s="2" t="str">
        <f aca="false">IF(AND(AD$4=$G357,AD$6=$F357),$B357,"")</f>
        <v/>
      </c>
      <c r="AE357" s="2" t="str">
        <f aca="false">IF(AND(AE$4=$G357,AE$6=$F357),$B357,"")</f>
        <v/>
      </c>
      <c r="AF357" s="2" t="str">
        <f aca="false">IF(AND(AF$4=$G357,AF$6=$F357),$B357,"")</f>
        <v/>
      </c>
      <c r="AG357" s="2" t="str">
        <f aca="false">IF(AND(AG$4=$G357,AG$6=$F357),$B357,"")</f>
        <v/>
      </c>
      <c r="AI357" s="366"/>
      <c r="AL357" s="367"/>
      <c r="AO357" s="367"/>
      <c r="AP357" s="2" t="str">
        <f aca="false">IF(AT357&gt;0,RANK(AT357,AT$7:AT$423),"")</f>
        <v/>
      </c>
      <c r="AQ357" s="1475" t="n">
        <f aca="false">'O_MN, PE_UTA_UGM 2024'!C354</f>
        <v>460</v>
      </c>
      <c r="AR357" s="1421" t="n">
        <v>3950</v>
      </c>
      <c r="AS357" s="2" t="str">
        <f aca="false">IF(AY357&lt;&gt;"",AY357,"")</f>
        <v/>
      </c>
      <c r="AT357" s="1422" t="n">
        <f aca="false">IF(ISNUMBER($AR357),SUMIF(B$7:B$505,AR357,D$7:D$505),"")</f>
        <v>0</v>
      </c>
      <c r="AU357" s="1411" t="n">
        <f aca="false">IF(ISNUMBER($AR357),SUMIF(AD$7:AD$503,$AR357,J$7:J$503),"")</f>
        <v>0</v>
      </c>
      <c r="AV357" s="1411" t="n">
        <f aca="false">IF(ISNUMBER($AR357),SUMIF(AF$7:AF$503,$AR357,L$7:L$503),"")</f>
        <v>0</v>
      </c>
      <c r="AW357" s="1423" t="n">
        <f aca="false">IF(ISNUMBER($AR357),SUMIF(AE$7:AE$503,$AR357,K$7:K$503),"")</f>
        <v>0</v>
      </c>
      <c r="AX357" s="1423" t="n">
        <f aca="false">IF(ISNUMBER($AR357),SUMIF(AG$7:AG$503,$AR357,M$7:M$503),"")</f>
        <v>0</v>
      </c>
      <c r="AY357" s="2" t="str">
        <f aca="false">IF($AT357&gt;0,VLOOKUP($AR357,'O_MN, PE_UTA_UGM 2024'!E354:O769,2),"")</f>
        <v/>
      </c>
      <c r="AZ357" s="1424"/>
      <c r="BA357" s="1424"/>
      <c r="BB357" s="1424" t="str">
        <f aca="false">IF($AT357&gt;0,VLOOKUP($AR357,'O_MN, PE_UTA_UGM 2024'!$E$3:$O$419,BB$6),"")</f>
        <v/>
      </c>
      <c r="BC357" s="1424" t="str">
        <f aca="false">IF($AT357&gt;0,VLOOKUP($AR357,'O_MN, PE_UTA_UGM 2024'!$E$3:$O$419,BC$6),"")</f>
        <v/>
      </c>
      <c r="BD357" s="1424" t="str">
        <f aca="false">IF($AT357&gt;0,VLOOKUP($AR357,'O_MN, PE_UTA_UGM 2024'!$E$3:$O$419,BD$6),"")</f>
        <v/>
      </c>
      <c r="BE357" s="1424" t="str">
        <f aca="false">IF($AT357&gt;0,VLOOKUP($AR357,'O_MN, PE_UTA_UGM 2024'!$E$3:$O$419,BE$6),"")</f>
        <v/>
      </c>
      <c r="BF357" s="1424" t="str">
        <f aca="false">IF($AT357&gt;0,VLOOKUP($AR357,'O_MN, PE_UTA_UGM 2024'!$E$3:$O$419,BF$6),"")</f>
        <v/>
      </c>
      <c r="BG357" s="1424" t="str">
        <f aca="false">IF($AT357&gt;0,VLOOKUP($AR357,'O_MN, PE_UTA_UGM 2024'!$E$3:$O$419,BG$6),"")</f>
        <v/>
      </c>
      <c r="BH357" s="872"/>
      <c r="BI357" s="872"/>
      <c r="BJ357" s="872"/>
      <c r="BK357" s="872"/>
      <c r="BM357" s="1411"/>
      <c r="BN357" s="1411"/>
      <c r="BO357" s="1425" t="str">
        <f aca="false">IF(ISNUMBER($AU357*BB357*1),$AU357*BB357*1,"")</f>
        <v/>
      </c>
      <c r="BP357" s="1425" t="str">
        <f aca="false">IF(ISNUMBER($AV357*BC357*1),$AV357*BC357*1,"")</f>
        <v/>
      </c>
      <c r="BQ357" s="1425" t="str">
        <f aca="false">IF(ISNUMBER($AU357*BD357*1),$AU357*BD357*1,"")</f>
        <v/>
      </c>
      <c r="BR357" s="1425" t="str">
        <f aca="false">IF(ISNUMBER($AV357*BE357*1),$AV357*BE357*1,"")</f>
        <v/>
      </c>
      <c r="BS357" s="1411" t="str">
        <f aca="false">IF(ISNUMBER($AU357*BF357),$AU357*BF357,"")</f>
        <v/>
      </c>
      <c r="BT357" s="1411" t="str">
        <f aca="false">IF(ISNUMBER($AV357*BG357),$AV357*BG357,"")</f>
        <v/>
      </c>
      <c r="BU357" s="1411"/>
      <c r="BV357" s="1411"/>
      <c r="BW357" s="1411"/>
      <c r="BX357" s="1411"/>
      <c r="BZ357" s="1372"/>
      <c r="CA357" s="1372"/>
      <c r="CB357" s="1426" t="str">
        <f aca="false">IF(ISNUMBER($AW357*BB357),$AW357*BB357,"")</f>
        <v/>
      </c>
      <c r="CC357" s="1426" t="str">
        <f aca="false">IF(ISNUMBER($AX357*BC357),$AX357*BC357,"")</f>
        <v/>
      </c>
      <c r="CD357" s="1426" t="str">
        <f aca="false">IF(ISNUMBER($AW357*BD357),$AW357*BD357,"")</f>
        <v/>
      </c>
      <c r="CE357" s="1426" t="str">
        <f aca="false">IF(ISNUMBER($AX357*BE357),$AX357*BE357,"")</f>
        <v/>
      </c>
      <c r="CF357" s="1372" t="str">
        <f aca="false">IF(ISNUMBER($AW357*BF357),$AW357*BF357,"")</f>
        <v/>
      </c>
      <c r="CG357" s="1372" t="str">
        <f aca="false">IF(ISNUMBER($AX357*BG357),$AX357*BG357,"")</f>
        <v/>
      </c>
      <c r="CH357" s="1438"/>
      <c r="CI357" s="1438"/>
      <c r="CJ357" s="1438"/>
      <c r="CK357" s="1438"/>
      <c r="CU357" s="1411"/>
      <c r="CV357" s="1411"/>
      <c r="CW357" s="1425"/>
      <c r="CX357" s="1425"/>
      <c r="CY357" s="1425"/>
      <c r="CZ357" s="1425"/>
      <c r="DA357" s="1411"/>
      <c r="DB357" s="1411"/>
      <c r="DC357" s="1411"/>
      <c r="DD357" s="1411"/>
      <c r="DE357" s="1411"/>
      <c r="DF357" s="1411"/>
      <c r="DH357" s="1432"/>
      <c r="DI357" s="1432"/>
      <c r="DJ357" s="1437"/>
      <c r="DK357" s="1437"/>
      <c r="DL357" s="1437"/>
      <c r="DM357" s="1437"/>
      <c r="DN357" s="1432"/>
      <c r="DO357" s="1432"/>
      <c r="DP357" s="1432"/>
      <c r="DQ357" s="1432"/>
      <c r="DR357" s="1432"/>
      <c r="DS357" s="1432"/>
      <c r="DT357" s="1316"/>
      <c r="DU357" s="1433"/>
      <c r="DV357" s="1433"/>
      <c r="DW357" s="1433"/>
      <c r="DX357" s="1433"/>
      <c r="DY357" s="1433"/>
      <c r="DZ357" s="1433"/>
      <c r="EA357" s="1433"/>
      <c r="EB357" s="1433"/>
    </row>
    <row r="358" customFormat="false" ht="14.25" hidden="false" customHeight="false" outlineLevel="0" collapsed="false">
      <c r="A358" s="2" t="n">
        <f aca="false">'V_DATOS PAC_SGA'!R353</f>
        <v>0</v>
      </c>
      <c r="B358" s="2" t="n">
        <f aca="false">IF(I358="IV",CONCATENATE('V_DATOS PAC_SGA'!R353,"4")+0,CONCATENATE('V_DATOS PAC_SGA'!R353,"0")+0)</f>
        <v>0</v>
      </c>
      <c r="C358" s="2" t="n">
        <f aca="false">'V_DATOS PAC_SGA'!S353</f>
        <v>0</v>
      </c>
      <c r="D358" s="1409" t="n">
        <f aca="false">'V_DATOS PAC_SGA'!Y353</f>
        <v>0</v>
      </c>
      <c r="E358" s="1410" t="str">
        <f aca="false">IF('V_DATOS PAC_SGA'!AV353="","Regadio",'V_DATOS PAC_SGA'!AV353)</f>
        <v>Regadio</v>
      </c>
      <c r="F358" s="1411" t="n">
        <f aca="false">'V_DATOS PAC_SGA'!BK353</f>
        <v>0</v>
      </c>
      <c r="G358" s="1412" t="n">
        <f aca="false">'V_DATOS PAC_SGA'!AN353</f>
        <v>0</v>
      </c>
      <c r="H358" s="1413" t="str">
        <f aca="false">IF(B358&gt;0,VLOOKUP(B358,'O_MN, PE_UTA_UGM 2024'!E$3:O$419,10),"")</f>
        <v/>
      </c>
      <c r="I358" s="1359" t="n">
        <f aca="false">'V_DATOS PAC_SGA'!BV353</f>
        <v>0</v>
      </c>
      <c r="J358" s="2" t="str">
        <f aca="false">IF(AND(J$4=$G358,J$6=$F358),$D358*J$5,"")</f>
        <v/>
      </c>
      <c r="K358" s="2" t="str">
        <f aca="false">IF(AND(K$4=$G358,K$6=$F358),$D358*K$5,"")</f>
        <v/>
      </c>
      <c r="L358" s="2" t="str">
        <f aca="false">IF(AND(L$4=$G358,L$6=$F358),$D358*L$5,"")</f>
        <v/>
      </c>
      <c r="M358" s="2" t="str">
        <f aca="false">IF(AND(M$4=$G358,M$6=$F358),$D358*M$5,"")</f>
        <v/>
      </c>
      <c r="N358" s="1414" t="n">
        <f aca="false">VLOOKUP(B358,'O_MN, PE_UTA_UGM 2024'!$E$2:$K$419,IF(G358&gt;1,6,7))</f>
        <v>0</v>
      </c>
      <c r="O358" s="1434" t="str">
        <f aca="false">IF($H358=O$4,$D358*$N358,"")</f>
        <v/>
      </c>
      <c r="P358" s="1435" t="str">
        <f aca="false">IF($H358=P$4,$D358*$N358,"")</f>
        <v/>
      </c>
      <c r="Q358" s="1435" t="str">
        <f aca="false">IF($H358=Q$4,$D358*$N358,"")</f>
        <v/>
      </c>
      <c r="R358" s="1435" t="str">
        <f aca="false">IF($H358=R$4,$D358*$N358,"")</f>
        <v/>
      </c>
      <c r="S358" s="1435" t="str">
        <f aca="false">IF($H358=S$4,$D358*$N358,"")</f>
        <v/>
      </c>
      <c r="T358" s="1435" t="str">
        <f aca="false">IF($H358=T$4,$D358*$N358,"")</f>
        <v/>
      </c>
      <c r="U358" s="1436" t="str">
        <f aca="false">IF($H358=U$4,$D358*$N358,"")</f>
        <v/>
      </c>
      <c r="V358" s="1472"/>
      <c r="W358" s="1471"/>
      <c r="X358" s="1471"/>
      <c r="Y358" s="1471"/>
      <c r="Z358" s="1471"/>
      <c r="AA358" s="1471"/>
      <c r="AB358" s="1473"/>
      <c r="AC358" s="1319"/>
      <c r="AD358" s="2" t="str">
        <f aca="false">IF(AND(AD$4=$G358,AD$6=$F358),$B358,"")</f>
        <v/>
      </c>
      <c r="AE358" s="2" t="str">
        <f aca="false">IF(AND(AE$4=$G358,AE$6=$F358),$B358,"")</f>
        <v/>
      </c>
      <c r="AF358" s="2" t="str">
        <f aca="false">IF(AND(AF$4=$G358,AF$6=$F358),$B358,"")</f>
        <v/>
      </c>
      <c r="AG358" s="2" t="str">
        <f aca="false">IF(AND(AG$4=$G358,AG$6=$F358),$B358,"")</f>
        <v/>
      </c>
      <c r="AI358" s="366"/>
      <c r="AL358" s="367"/>
      <c r="AO358" s="367"/>
      <c r="AP358" s="2" t="str">
        <f aca="false">IF(AT358&gt;0,RANK(AT358,AT$7:AT$423),"")</f>
        <v/>
      </c>
      <c r="AQ358" s="1475" t="n">
        <f aca="false">'O_MN, PE_UTA_UGM 2024'!C355</f>
        <v>461</v>
      </c>
      <c r="AR358" s="1421" t="n">
        <v>3970</v>
      </c>
      <c r="AS358" s="2" t="str">
        <f aca="false">IF(AY358&lt;&gt;"",AY358,"")</f>
        <v/>
      </c>
      <c r="AT358" s="1422" t="n">
        <f aca="false">IF(ISNUMBER($AR358),SUMIF(B$7:B$505,AR358,D$7:D$505),"")</f>
        <v>0</v>
      </c>
      <c r="AU358" s="1411" t="n">
        <f aca="false">IF(ISNUMBER($AR358),SUMIF(AD$7:AD$503,$AR358,J$7:J$503),"")</f>
        <v>0</v>
      </c>
      <c r="AV358" s="1411" t="n">
        <f aca="false">IF(ISNUMBER($AR358),SUMIF(AF$7:AF$503,$AR358,L$7:L$503),"")</f>
        <v>0</v>
      </c>
      <c r="AW358" s="1423" t="n">
        <f aca="false">IF(ISNUMBER($AR358),SUMIF(AE$7:AE$503,$AR358,K$7:K$503),"")</f>
        <v>0</v>
      </c>
      <c r="AX358" s="1423" t="n">
        <f aca="false">IF(ISNUMBER($AR358),SUMIF(AG$7:AG$503,$AR358,M$7:M$503),"")</f>
        <v>0</v>
      </c>
      <c r="AY358" s="2" t="str">
        <f aca="false">IF($AT358&gt;0,VLOOKUP($AR358,'O_MN, PE_UTA_UGM 2024'!E355:O770,2),"")</f>
        <v/>
      </c>
      <c r="AZ358" s="1424"/>
      <c r="BA358" s="1424"/>
      <c r="BB358" s="1424" t="str">
        <f aca="false">IF($AT358&gt;0,VLOOKUP($AR358,'O_MN, PE_UTA_UGM 2024'!$E$3:$O$419,BB$6),"")</f>
        <v/>
      </c>
      <c r="BC358" s="1424" t="str">
        <f aca="false">IF($AT358&gt;0,VLOOKUP($AR358,'O_MN, PE_UTA_UGM 2024'!$E$3:$O$419,BC$6),"")</f>
        <v/>
      </c>
      <c r="BD358" s="1424" t="str">
        <f aca="false">IF($AT358&gt;0,VLOOKUP($AR358,'O_MN, PE_UTA_UGM 2024'!$E$3:$O$419,BD$6),"")</f>
        <v/>
      </c>
      <c r="BE358" s="1424" t="str">
        <f aca="false">IF($AT358&gt;0,VLOOKUP($AR358,'O_MN, PE_UTA_UGM 2024'!$E$3:$O$419,BE$6),"")</f>
        <v/>
      </c>
      <c r="BF358" s="1424" t="str">
        <f aca="false">IF($AT358&gt;0,VLOOKUP($AR358,'O_MN, PE_UTA_UGM 2024'!$E$3:$O$419,BF$6),"")</f>
        <v/>
      </c>
      <c r="BG358" s="1424" t="str">
        <f aca="false">IF($AT358&gt;0,VLOOKUP($AR358,'O_MN, PE_UTA_UGM 2024'!$E$3:$O$419,BG$6),"")</f>
        <v/>
      </c>
      <c r="BH358" s="872"/>
      <c r="BI358" s="872"/>
      <c r="BJ358" s="872"/>
      <c r="BK358" s="872"/>
      <c r="BM358" s="1411"/>
      <c r="BN358" s="1411"/>
      <c r="BO358" s="1425" t="str">
        <f aca="false">IF(ISNUMBER($AU358*BB358*1),$AU358*BB358*1,"")</f>
        <v/>
      </c>
      <c r="BP358" s="1425" t="str">
        <f aca="false">IF(ISNUMBER($AV358*BC358*1),$AV358*BC358*1,"")</f>
        <v/>
      </c>
      <c r="BQ358" s="1425" t="str">
        <f aca="false">IF(ISNUMBER($AU358*BD358*1),$AU358*BD358*1,"")</f>
        <v/>
      </c>
      <c r="BR358" s="1425" t="str">
        <f aca="false">IF(ISNUMBER($AV358*BE358*1),$AV358*BE358*1,"")</f>
        <v/>
      </c>
      <c r="BS358" s="1411" t="str">
        <f aca="false">IF(ISNUMBER($AU358*BF358),$AU358*BF358,"")</f>
        <v/>
      </c>
      <c r="BT358" s="1411" t="str">
        <f aca="false">IF(ISNUMBER($AV358*BG358),$AV358*BG358,"")</f>
        <v/>
      </c>
      <c r="BU358" s="1411"/>
      <c r="BV358" s="1411"/>
      <c r="BW358" s="1411"/>
      <c r="BX358" s="1411"/>
      <c r="BZ358" s="1372"/>
      <c r="CA358" s="1372"/>
      <c r="CB358" s="1426" t="str">
        <f aca="false">IF(ISNUMBER($AW358*BB358),$AW358*BB358,"")</f>
        <v/>
      </c>
      <c r="CC358" s="1426" t="str">
        <f aca="false">IF(ISNUMBER($AX358*BC358),$AX358*BC358,"")</f>
        <v/>
      </c>
      <c r="CD358" s="1426" t="str">
        <f aca="false">IF(ISNUMBER($AW358*BD358),$AW358*BD358,"")</f>
        <v/>
      </c>
      <c r="CE358" s="1426" t="str">
        <f aca="false">IF(ISNUMBER($AX358*BE358),$AX358*BE358,"")</f>
        <v/>
      </c>
      <c r="CF358" s="1372" t="str">
        <f aca="false">IF(ISNUMBER($AW358*BF358),$AW358*BF358,"")</f>
        <v/>
      </c>
      <c r="CG358" s="1372" t="str">
        <f aca="false">IF(ISNUMBER($AX358*BG358),$AX358*BG358,"")</f>
        <v/>
      </c>
      <c r="CH358" s="1438"/>
      <c r="CI358" s="1438"/>
      <c r="CJ358" s="1438"/>
      <c r="CK358" s="1438"/>
      <c r="CU358" s="1411"/>
      <c r="CV358" s="1411"/>
      <c r="CW358" s="1425"/>
      <c r="CX358" s="1425"/>
      <c r="CY358" s="1425"/>
      <c r="CZ358" s="1425"/>
      <c r="DA358" s="1411"/>
      <c r="DB358" s="1411"/>
      <c r="DC358" s="1411"/>
      <c r="DD358" s="1411"/>
      <c r="DE358" s="1411"/>
      <c r="DF358" s="1411"/>
      <c r="DH358" s="1432"/>
      <c r="DI358" s="1432"/>
      <c r="DJ358" s="1437"/>
      <c r="DK358" s="1437"/>
      <c r="DL358" s="1437"/>
      <c r="DM358" s="1437"/>
      <c r="DN358" s="1432"/>
      <c r="DO358" s="1432"/>
      <c r="DP358" s="1432"/>
      <c r="DQ358" s="1432"/>
      <c r="DR358" s="1432"/>
      <c r="DS358" s="1432"/>
      <c r="DT358" s="1316"/>
      <c r="DU358" s="1433"/>
      <c r="DV358" s="1433"/>
      <c r="DW358" s="1433"/>
      <c r="DX358" s="1433"/>
      <c r="DY358" s="1433"/>
      <c r="DZ358" s="1433"/>
      <c r="EA358" s="1433"/>
      <c r="EB358" s="1433"/>
    </row>
    <row r="359" customFormat="false" ht="14.25" hidden="false" customHeight="false" outlineLevel="0" collapsed="false">
      <c r="A359" s="2" t="n">
        <f aca="false">'V_DATOS PAC_SGA'!R354</f>
        <v>0</v>
      </c>
      <c r="B359" s="2" t="n">
        <f aca="false">IF(I359="IV",CONCATENATE('V_DATOS PAC_SGA'!R354,"4")+0,CONCATENATE('V_DATOS PAC_SGA'!R354,"0")+0)</f>
        <v>0</v>
      </c>
      <c r="C359" s="2" t="n">
        <f aca="false">'V_DATOS PAC_SGA'!S354</f>
        <v>0</v>
      </c>
      <c r="D359" s="1409" t="n">
        <f aca="false">'V_DATOS PAC_SGA'!Y354</f>
        <v>0</v>
      </c>
      <c r="E359" s="1410" t="str">
        <f aca="false">IF('V_DATOS PAC_SGA'!AV354="","Regadio",'V_DATOS PAC_SGA'!AV354)</f>
        <v>Regadio</v>
      </c>
      <c r="F359" s="1411" t="n">
        <f aca="false">'V_DATOS PAC_SGA'!BK354</f>
        <v>0</v>
      </c>
      <c r="G359" s="1412" t="n">
        <f aca="false">'V_DATOS PAC_SGA'!AN354</f>
        <v>0</v>
      </c>
      <c r="H359" s="1413" t="str">
        <f aca="false">IF(B359&gt;0,VLOOKUP(B359,'O_MN, PE_UTA_UGM 2024'!E$3:O$419,10),"")</f>
        <v/>
      </c>
      <c r="I359" s="1359" t="n">
        <f aca="false">'V_DATOS PAC_SGA'!BV354</f>
        <v>0</v>
      </c>
      <c r="J359" s="2" t="str">
        <f aca="false">IF(AND(J$4=$G359,J$6=$F359),$D359*J$5,"")</f>
        <v/>
      </c>
      <c r="K359" s="2" t="str">
        <f aca="false">IF(AND(K$4=$G359,K$6=$F359),$D359*K$5,"")</f>
        <v/>
      </c>
      <c r="L359" s="2" t="str">
        <f aca="false">IF(AND(L$4=$G359,L$6=$F359),$D359*L$5,"")</f>
        <v/>
      </c>
      <c r="M359" s="2" t="str">
        <f aca="false">IF(AND(M$4=$G359,M$6=$F359),$D359*M$5,"")</f>
        <v/>
      </c>
      <c r="N359" s="1414" t="n">
        <f aca="false">VLOOKUP(B359,'O_MN, PE_UTA_UGM 2024'!$E$2:$K$419,IF(G359&gt;1,6,7))</f>
        <v>0</v>
      </c>
      <c r="O359" s="1434" t="str">
        <f aca="false">IF($H359=O$4,$D359*$N359,"")</f>
        <v/>
      </c>
      <c r="P359" s="1435" t="str">
        <f aca="false">IF($H359=P$4,$D359*$N359,"")</f>
        <v/>
      </c>
      <c r="Q359" s="1435" t="str">
        <f aca="false">IF($H359=Q$4,$D359*$N359,"")</f>
        <v/>
      </c>
      <c r="R359" s="1435" t="str">
        <f aca="false">IF($H359=R$4,$D359*$N359,"")</f>
        <v/>
      </c>
      <c r="S359" s="1435" t="str">
        <f aca="false">IF($H359=S$4,$D359*$N359,"")</f>
        <v/>
      </c>
      <c r="T359" s="1435" t="str">
        <f aca="false">IF($H359=T$4,$D359*$N359,"")</f>
        <v/>
      </c>
      <c r="U359" s="1436" t="str">
        <f aca="false">IF($H359=U$4,$D359*$N359,"")</f>
        <v/>
      </c>
      <c r="V359" s="1472"/>
      <c r="W359" s="1471"/>
      <c r="X359" s="1471"/>
      <c r="Y359" s="1471"/>
      <c r="Z359" s="1471"/>
      <c r="AA359" s="1471"/>
      <c r="AB359" s="1473"/>
      <c r="AC359" s="1319"/>
      <c r="AD359" s="2" t="str">
        <f aca="false">IF(AND(AD$4=$G359,AD$6=$F359),$B359,"")</f>
        <v/>
      </c>
      <c r="AE359" s="2" t="str">
        <f aca="false">IF(AND(AE$4=$G359,AE$6=$F359),$B359,"")</f>
        <v/>
      </c>
      <c r="AF359" s="2" t="str">
        <f aca="false">IF(AND(AF$4=$G359,AF$6=$F359),$B359,"")</f>
        <v/>
      </c>
      <c r="AG359" s="2" t="str">
        <f aca="false">IF(AND(AG$4=$G359,AG$6=$F359),$B359,"")</f>
        <v/>
      </c>
      <c r="AI359" s="366"/>
      <c r="AL359" s="367"/>
      <c r="AO359" s="367"/>
      <c r="AP359" s="2" t="str">
        <f aca="false">IF(AT359&gt;0,RANK(AT359,AT$7:AT$423),"")</f>
        <v/>
      </c>
      <c r="AQ359" s="1475" t="n">
        <f aca="false">'O_MN, PE_UTA_UGM 2024'!C356</f>
        <v>464</v>
      </c>
      <c r="AR359" s="1421" t="n">
        <v>3980</v>
      </c>
      <c r="AS359" s="2" t="str">
        <f aca="false">IF(AY359&lt;&gt;"",AY359,"")</f>
        <v/>
      </c>
      <c r="AT359" s="1422" t="n">
        <f aca="false">IF(ISNUMBER($AR359),SUMIF(B$7:B$505,AR359,D$7:D$505),"")</f>
        <v>0</v>
      </c>
      <c r="AU359" s="1411" t="n">
        <f aca="false">IF(ISNUMBER($AR359),SUMIF(AD$7:AD$503,$AR359,J$7:J$503),"")</f>
        <v>0</v>
      </c>
      <c r="AV359" s="1411" t="n">
        <f aca="false">IF(ISNUMBER($AR359),SUMIF(AF$7:AF$503,$AR359,L$7:L$503),"")</f>
        <v>0</v>
      </c>
      <c r="AW359" s="1423" t="n">
        <f aca="false">IF(ISNUMBER($AR359),SUMIF(AE$7:AE$503,$AR359,K$7:K$503),"")</f>
        <v>0</v>
      </c>
      <c r="AX359" s="1423" t="n">
        <f aca="false">IF(ISNUMBER($AR359),SUMIF(AG$7:AG$503,$AR359,M$7:M$503),"")</f>
        <v>0</v>
      </c>
      <c r="AY359" s="2" t="str">
        <f aca="false">IF($AT359&gt;0,VLOOKUP($AR359,'O_MN, PE_UTA_UGM 2024'!E356:O771,2),"")</f>
        <v/>
      </c>
      <c r="AZ359" s="1424"/>
      <c r="BA359" s="1424"/>
      <c r="BB359" s="1424" t="str">
        <f aca="false">IF($AT359&gt;0,VLOOKUP($AR359,'O_MN, PE_UTA_UGM 2024'!$E$3:$O$419,BB$6),"")</f>
        <v/>
      </c>
      <c r="BC359" s="1424" t="str">
        <f aca="false">IF($AT359&gt;0,VLOOKUP($AR359,'O_MN, PE_UTA_UGM 2024'!$E$3:$O$419,BC$6),"")</f>
        <v/>
      </c>
      <c r="BD359" s="1424" t="str">
        <f aca="false">IF($AT359&gt;0,VLOOKUP($AR359,'O_MN, PE_UTA_UGM 2024'!$E$3:$O$419,BD$6),"")</f>
        <v/>
      </c>
      <c r="BE359" s="1424" t="str">
        <f aca="false">IF($AT359&gt;0,VLOOKUP($AR359,'O_MN, PE_UTA_UGM 2024'!$E$3:$O$419,BE$6),"")</f>
        <v/>
      </c>
      <c r="BF359" s="1424" t="str">
        <f aca="false">IF($AT359&gt;0,VLOOKUP($AR359,'O_MN, PE_UTA_UGM 2024'!$E$3:$O$419,BF$6),"")</f>
        <v/>
      </c>
      <c r="BG359" s="1424" t="str">
        <f aca="false">IF($AT359&gt;0,VLOOKUP($AR359,'O_MN, PE_UTA_UGM 2024'!$E$3:$O$419,BG$6),"")</f>
        <v/>
      </c>
      <c r="BH359" s="872"/>
      <c r="BI359" s="872"/>
      <c r="BJ359" s="872"/>
      <c r="BK359" s="872"/>
      <c r="BM359" s="1411"/>
      <c r="BN359" s="1411"/>
      <c r="BO359" s="1425" t="str">
        <f aca="false">IF(ISNUMBER($AU359*BB359*1),$AU359*BB359*1,"")</f>
        <v/>
      </c>
      <c r="BP359" s="1425" t="str">
        <f aca="false">IF(ISNUMBER($AV359*BC359*1),$AV359*BC359*1,"")</f>
        <v/>
      </c>
      <c r="BQ359" s="1425" t="str">
        <f aca="false">IF(ISNUMBER($AU359*BD359*1),$AU359*BD359*1,"")</f>
        <v/>
      </c>
      <c r="BR359" s="1425" t="str">
        <f aca="false">IF(ISNUMBER($AV359*BE359*1),$AV359*BE359*1,"")</f>
        <v/>
      </c>
      <c r="BS359" s="1411" t="str">
        <f aca="false">IF(ISNUMBER($AU359*BF359),$AU359*BF359,"")</f>
        <v/>
      </c>
      <c r="BT359" s="1411" t="str">
        <f aca="false">IF(ISNUMBER($AV359*BG359),$AV359*BG359,"")</f>
        <v/>
      </c>
      <c r="BU359" s="1411"/>
      <c r="BV359" s="1411"/>
      <c r="BW359" s="1411"/>
      <c r="BX359" s="1411"/>
      <c r="BZ359" s="1372"/>
      <c r="CA359" s="1372"/>
      <c r="CB359" s="1426" t="str">
        <f aca="false">IF(ISNUMBER($AW359*BB359),$AW359*BB359,"")</f>
        <v/>
      </c>
      <c r="CC359" s="1426" t="str">
        <f aca="false">IF(ISNUMBER($AX359*BC359),$AX359*BC359,"")</f>
        <v/>
      </c>
      <c r="CD359" s="1426" t="str">
        <f aca="false">IF(ISNUMBER($AW359*BD359),$AW359*BD359,"")</f>
        <v/>
      </c>
      <c r="CE359" s="1426" t="str">
        <f aca="false">IF(ISNUMBER($AX359*BE359),$AX359*BE359,"")</f>
        <v/>
      </c>
      <c r="CF359" s="1372" t="str">
        <f aca="false">IF(ISNUMBER($AW359*BF359),$AW359*BF359,"")</f>
        <v/>
      </c>
      <c r="CG359" s="1372" t="str">
        <f aca="false">IF(ISNUMBER($AX359*BG359),$AX359*BG359,"")</f>
        <v/>
      </c>
      <c r="CH359" s="1438"/>
      <c r="CI359" s="1438"/>
      <c r="CJ359" s="1438"/>
      <c r="CK359" s="1438"/>
      <c r="CU359" s="1411"/>
      <c r="CV359" s="1411"/>
      <c r="CW359" s="1425"/>
      <c r="CX359" s="1425"/>
      <c r="CY359" s="1425"/>
      <c r="CZ359" s="1425"/>
      <c r="DA359" s="1411"/>
      <c r="DB359" s="1411"/>
      <c r="DC359" s="1411"/>
      <c r="DD359" s="1411"/>
      <c r="DE359" s="1411"/>
      <c r="DF359" s="1411"/>
      <c r="DH359" s="1432"/>
      <c r="DI359" s="1432"/>
      <c r="DJ359" s="1437"/>
      <c r="DK359" s="1437"/>
      <c r="DL359" s="1437"/>
      <c r="DM359" s="1437"/>
      <c r="DN359" s="1432"/>
      <c r="DO359" s="1432"/>
      <c r="DP359" s="1432"/>
      <c r="DQ359" s="1432"/>
      <c r="DR359" s="1432"/>
      <c r="DS359" s="1432"/>
      <c r="DT359" s="1316"/>
      <c r="DU359" s="1433"/>
      <c r="DV359" s="1433"/>
      <c r="DW359" s="1433"/>
      <c r="DX359" s="1433"/>
      <c r="DY359" s="1433"/>
      <c r="DZ359" s="1433"/>
      <c r="EA359" s="1433"/>
      <c r="EB359" s="1433"/>
    </row>
    <row r="360" customFormat="false" ht="14.25" hidden="false" customHeight="false" outlineLevel="0" collapsed="false">
      <c r="A360" s="2" t="n">
        <f aca="false">'V_DATOS PAC_SGA'!R355</f>
        <v>0</v>
      </c>
      <c r="B360" s="2" t="n">
        <f aca="false">IF(I360="IV",CONCATENATE('V_DATOS PAC_SGA'!R355,"4")+0,CONCATENATE('V_DATOS PAC_SGA'!R355,"0")+0)</f>
        <v>0</v>
      </c>
      <c r="C360" s="2" t="n">
        <f aca="false">'V_DATOS PAC_SGA'!S355</f>
        <v>0</v>
      </c>
      <c r="D360" s="1409" t="n">
        <f aca="false">'V_DATOS PAC_SGA'!Y355</f>
        <v>0</v>
      </c>
      <c r="E360" s="1410" t="str">
        <f aca="false">IF('V_DATOS PAC_SGA'!AV355="","Regadio",'V_DATOS PAC_SGA'!AV355)</f>
        <v>Regadio</v>
      </c>
      <c r="F360" s="1411" t="n">
        <f aca="false">'V_DATOS PAC_SGA'!BK355</f>
        <v>0</v>
      </c>
      <c r="G360" s="1412" t="n">
        <f aca="false">'V_DATOS PAC_SGA'!AN355</f>
        <v>0</v>
      </c>
      <c r="H360" s="1413" t="str">
        <f aca="false">IF(B360&gt;0,VLOOKUP(B360,'O_MN, PE_UTA_UGM 2024'!E$3:O$419,10),"")</f>
        <v/>
      </c>
      <c r="I360" s="1359" t="n">
        <f aca="false">'V_DATOS PAC_SGA'!BV355</f>
        <v>0</v>
      </c>
      <c r="J360" s="2" t="str">
        <f aca="false">IF(AND(J$4=$G360,J$6=$F360),$D360*J$5,"")</f>
        <v/>
      </c>
      <c r="K360" s="2" t="str">
        <f aca="false">IF(AND(K$4=$G360,K$6=$F360),$D360*K$5,"")</f>
        <v/>
      </c>
      <c r="L360" s="2" t="str">
        <f aca="false">IF(AND(L$4=$G360,L$6=$F360),$D360*L$5,"")</f>
        <v/>
      </c>
      <c r="M360" s="2" t="str">
        <f aca="false">IF(AND(M$4=$G360,M$6=$F360),$D360*M$5,"")</f>
        <v/>
      </c>
      <c r="N360" s="1414" t="n">
        <f aca="false">VLOOKUP(B360,'O_MN, PE_UTA_UGM 2024'!$E$2:$K$419,IF(G360&gt;1,6,7))</f>
        <v>0</v>
      </c>
      <c r="O360" s="1434" t="str">
        <f aca="false">IF($H360=O$4,$D360*$N360,"")</f>
        <v/>
      </c>
      <c r="P360" s="1435" t="str">
        <f aca="false">IF($H360=P$4,$D360*$N360,"")</f>
        <v/>
      </c>
      <c r="Q360" s="1435" t="str">
        <f aca="false">IF($H360=Q$4,$D360*$N360,"")</f>
        <v/>
      </c>
      <c r="R360" s="1435" t="str">
        <f aca="false">IF($H360=R$4,$D360*$N360,"")</f>
        <v/>
      </c>
      <c r="S360" s="1435" t="str">
        <f aca="false">IF($H360=S$4,$D360*$N360,"")</f>
        <v/>
      </c>
      <c r="T360" s="1435" t="str">
        <f aca="false">IF($H360=T$4,$D360*$N360,"")</f>
        <v/>
      </c>
      <c r="U360" s="1436" t="str">
        <f aca="false">IF($H360=U$4,$D360*$N360,"")</f>
        <v/>
      </c>
      <c r="V360" s="1472"/>
      <c r="W360" s="1471"/>
      <c r="X360" s="1471"/>
      <c r="Y360" s="1471"/>
      <c r="Z360" s="1471"/>
      <c r="AA360" s="1471"/>
      <c r="AB360" s="1473"/>
      <c r="AC360" s="1319"/>
      <c r="AD360" s="2" t="str">
        <f aca="false">IF(AND(AD$4=$G360,AD$6=$F360),$B360,"")</f>
        <v/>
      </c>
      <c r="AE360" s="2" t="str">
        <f aca="false">IF(AND(AE$4=$G360,AE$6=$F360),$B360,"")</f>
        <v/>
      </c>
      <c r="AF360" s="2" t="str">
        <f aca="false">IF(AND(AF$4=$G360,AF$6=$F360),$B360,"")</f>
        <v/>
      </c>
      <c r="AG360" s="2" t="str">
        <f aca="false">IF(AND(AG$4=$G360,AG$6=$F360),$B360,"")</f>
        <v/>
      </c>
      <c r="AI360" s="366"/>
      <c r="AL360" s="367"/>
      <c r="AO360" s="367"/>
      <c r="AP360" s="2" t="str">
        <f aca="false">IF(AT360&gt;0,RANK(AT360,AT$7:AT$423),"")</f>
        <v/>
      </c>
      <c r="AQ360" s="1475" t="n">
        <f aca="false">'O_MN, PE_UTA_UGM 2024'!C357</f>
        <v>465</v>
      </c>
      <c r="AR360" s="1421" t="n">
        <v>4010</v>
      </c>
      <c r="AS360" s="2" t="str">
        <f aca="false">IF(AY360&lt;&gt;"",AY360,"")</f>
        <v/>
      </c>
      <c r="AT360" s="1422" t="n">
        <f aca="false">IF(ISNUMBER($AR360),SUMIF(B$7:B$505,AR360,D$7:D$505),"")</f>
        <v>0</v>
      </c>
      <c r="AU360" s="1411" t="n">
        <f aca="false">IF(ISNUMBER($AR360),SUMIF(AD$7:AD$503,$AR360,J$7:J$503),"")</f>
        <v>0</v>
      </c>
      <c r="AV360" s="1411" t="n">
        <f aca="false">IF(ISNUMBER($AR360),SUMIF(AF$7:AF$503,$AR360,L$7:L$503),"")</f>
        <v>0</v>
      </c>
      <c r="AW360" s="1423" t="n">
        <f aca="false">IF(ISNUMBER($AR360),SUMIF(AE$7:AE$503,$AR360,K$7:K$503),"")</f>
        <v>0</v>
      </c>
      <c r="AX360" s="1423" t="n">
        <f aca="false">IF(ISNUMBER($AR360),SUMIF(AG$7:AG$503,$AR360,M$7:M$503),"")</f>
        <v>0</v>
      </c>
      <c r="AY360" s="2" t="str">
        <f aca="false">IF($AT360&gt;0,VLOOKUP($AR360,'O_MN, PE_UTA_UGM 2024'!E357:O772,2),"")</f>
        <v/>
      </c>
      <c r="AZ360" s="1424"/>
      <c r="BA360" s="1424"/>
      <c r="BB360" s="1424" t="str">
        <f aca="false">IF($AT360&gt;0,VLOOKUP($AR360,'O_MN, PE_UTA_UGM 2024'!$E$3:$O$419,BB$6),"")</f>
        <v/>
      </c>
      <c r="BC360" s="1424" t="str">
        <f aca="false">IF($AT360&gt;0,VLOOKUP($AR360,'O_MN, PE_UTA_UGM 2024'!$E$3:$O$419,BC$6),"")</f>
        <v/>
      </c>
      <c r="BD360" s="1424" t="str">
        <f aca="false">IF($AT360&gt;0,VLOOKUP($AR360,'O_MN, PE_UTA_UGM 2024'!$E$3:$O$419,BD$6),"")</f>
        <v/>
      </c>
      <c r="BE360" s="1424" t="str">
        <f aca="false">IF($AT360&gt;0,VLOOKUP($AR360,'O_MN, PE_UTA_UGM 2024'!$E$3:$O$419,BE$6),"")</f>
        <v/>
      </c>
      <c r="BF360" s="1424" t="str">
        <f aca="false">IF($AT360&gt;0,VLOOKUP($AR360,'O_MN, PE_UTA_UGM 2024'!$E$3:$O$419,BF$6),"")</f>
        <v/>
      </c>
      <c r="BG360" s="1424" t="str">
        <f aca="false">IF($AT360&gt;0,VLOOKUP($AR360,'O_MN, PE_UTA_UGM 2024'!$E$3:$O$419,BG$6),"")</f>
        <v/>
      </c>
      <c r="BH360" s="872"/>
      <c r="BI360" s="872"/>
      <c r="BJ360" s="872"/>
      <c r="BK360" s="872"/>
      <c r="BM360" s="1411"/>
      <c r="BN360" s="1411"/>
      <c r="BO360" s="1425" t="str">
        <f aca="false">IF(ISNUMBER($AU360*BB360*1),$AU360*BB360*1,"")</f>
        <v/>
      </c>
      <c r="BP360" s="1425" t="str">
        <f aca="false">IF(ISNUMBER($AV360*BC360*1),$AV360*BC360*1,"")</f>
        <v/>
      </c>
      <c r="BQ360" s="1425" t="str">
        <f aca="false">IF(ISNUMBER($AU360*BD360*1),$AU360*BD360*1,"")</f>
        <v/>
      </c>
      <c r="BR360" s="1425" t="str">
        <f aca="false">IF(ISNUMBER($AV360*BE360*1),$AV360*BE360*1,"")</f>
        <v/>
      </c>
      <c r="BS360" s="1411" t="str">
        <f aca="false">IF(ISNUMBER($AU360*BF360),$AU360*BF360,"")</f>
        <v/>
      </c>
      <c r="BT360" s="1411" t="str">
        <f aca="false">IF(ISNUMBER($AV360*BG360),$AV360*BG360,"")</f>
        <v/>
      </c>
      <c r="BU360" s="1411"/>
      <c r="BV360" s="1411"/>
      <c r="BW360" s="1411"/>
      <c r="BX360" s="1411"/>
      <c r="BZ360" s="1372"/>
      <c r="CA360" s="1372"/>
      <c r="CB360" s="1426" t="str">
        <f aca="false">IF(ISNUMBER($AW360*BB360),$AW360*BB360,"")</f>
        <v/>
      </c>
      <c r="CC360" s="1426" t="str">
        <f aca="false">IF(ISNUMBER($AX360*BC360),$AX360*BC360,"")</f>
        <v/>
      </c>
      <c r="CD360" s="1426" t="str">
        <f aca="false">IF(ISNUMBER($AW360*BD360),$AW360*BD360,"")</f>
        <v/>
      </c>
      <c r="CE360" s="1426" t="str">
        <f aca="false">IF(ISNUMBER($AX360*BE360),$AX360*BE360,"")</f>
        <v/>
      </c>
      <c r="CF360" s="1372" t="str">
        <f aca="false">IF(ISNUMBER($AW360*BF360),$AW360*BF360,"")</f>
        <v/>
      </c>
      <c r="CG360" s="1372" t="str">
        <f aca="false">IF(ISNUMBER($AX360*BG360),$AX360*BG360,"")</f>
        <v/>
      </c>
      <c r="CH360" s="1438"/>
      <c r="CI360" s="1438"/>
      <c r="CJ360" s="1438"/>
      <c r="CK360" s="1438"/>
      <c r="CU360" s="1411"/>
      <c r="CV360" s="1411"/>
      <c r="CW360" s="1425"/>
      <c r="CX360" s="1425"/>
      <c r="CY360" s="1425"/>
      <c r="CZ360" s="1425"/>
      <c r="DA360" s="1411"/>
      <c r="DB360" s="1411"/>
      <c r="DC360" s="1411"/>
      <c r="DD360" s="1411"/>
      <c r="DE360" s="1411"/>
      <c r="DF360" s="1411"/>
      <c r="DH360" s="1432"/>
      <c r="DI360" s="1432"/>
      <c r="DJ360" s="1437"/>
      <c r="DK360" s="1437"/>
      <c r="DL360" s="1437"/>
      <c r="DM360" s="1437"/>
      <c r="DN360" s="1432"/>
      <c r="DO360" s="1432"/>
      <c r="DP360" s="1432"/>
      <c r="DQ360" s="1432"/>
      <c r="DR360" s="1432"/>
      <c r="DS360" s="1432"/>
      <c r="DT360" s="1316"/>
      <c r="DU360" s="1433"/>
      <c r="DV360" s="1433"/>
      <c r="DW360" s="1433"/>
      <c r="DX360" s="1433"/>
      <c r="DY360" s="1433"/>
      <c r="DZ360" s="1433"/>
      <c r="EA360" s="1433"/>
      <c r="EB360" s="1433"/>
    </row>
    <row r="361" customFormat="false" ht="14.25" hidden="false" customHeight="false" outlineLevel="0" collapsed="false">
      <c r="A361" s="2" t="n">
        <f aca="false">'V_DATOS PAC_SGA'!R356</f>
        <v>0</v>
      </c>
      <c r="B361" s="2" t="n">
        <f aca="false">IF(I361="IV",CONCATENATE('V_DATOS PAC_SGA'!R356,"4")+0,CONCATENATE('V_DATOS PAC_SGA'!R356,"0")+0)</f>
        <v>0</v>
      </c>
      <c r="C361" s="2" t="n">
        <f aca="false">'V_DATOS PAC_SGA'!S356</f>
        <v>0</v>
      </c>
      <c r="D361" s="1409" t="n">
        <f aca="false">'V_DATOS PAC_SGA'!Y356</f>
        <v>0</v>
      </c>
      <c r="E361" s="1410" t="str">
        <f aca="false">IF('V_DATOS PAC_SGA'!AV356="","Regadio",'V_DATOS PAC_SGA'!AV356)</f>
        <v>Regadio</v>
      </c>
      <c r="F361" s="1411" t="n">
        <f aca="false">'V_DATOS PAC_SGA'!BK356</f>
        <v>0</v>
      </c>
      <c r="G361" s="1412" t="n">
        <f aca="false">'V_DATOS PAC_SGA'!AN356</f>
        <v>0</v>
      </c>
      <c r="H361" s="1413" t="str">
        <f aca="false">IF(B361&gt;0,VLOOKUP(B361,'O_MN, PE_UTA_UGM 2024'!E$3:O$419,10),"")</f>
        <v/>
      </c>
      <c r="I361" s="1359" t="n">
        <f aca="false">'V_DATOS PAC_SGA'!BV356</f>
        <v>0</v>
      </c>
      <c r="J361" s="2" t="str">
        <f aca="false">IF(AND(J$4=$G361,J$6=$F361),$D361*J$5,"")</f>
        <v/>
      </c>
      <c r="K361" s="2" t="str">
        <f aca="false">IF(AND(K$4=$G361,K$6=$F361),$D361*K$5,"")</f>
        <v/>
      </c>
      <c r="L361" s="2" t="str">
        <f aca="false">IF(AND(L$4=$G361,L$6=$F361),$D361*L$5,"")</f>
        <v/>
      </c>
      <c r="M361" s="2" t="str">
        <f aca="false">IF(AND(M$4=$G361,M$6=$F361),$D361*M$5,"")</f>
        <v/>
      </c>
      <c r="N361" s="1414" t="n">
        <f aca="false">VLOOKUP(B361,'O_MN, PE_UTA_UGM 2024'!$E$2:$K$419,IF(G361&gt;1,6,7))</f>
        <v>0</v>
      </c>
      <c r="O361" s="1434" t="str">
        <f aca="false">IF($H361=O$4,$D361*$N361,"")</f>
        <v/>
      </c>
      <c r="P361" s="1435" t="str">
        <f aca="false">IF($H361=P$4,$D361*$N361,"")</f>
        <v/>
      </c>
      <c r="Q361" s="1435" t="str">
        <f aca="false">IF($H361=Q$4,$D361*$N361,"")</f>
        <v/>
      </c>
      <c r="R361" s="1435" t="str">
        <f aca="false">IF($H361=R$4,$D361*$N361,"")</f>
        <v/>
      </c>
      <c r="S361" s="1435" t="str">
        <f aca="false">IF($H361=S$4,$D361*$N361,"")</f>
        <v/>
      </c>
      <c r="T361" s="1435" t="str">
        <f aca="false">IF($H361=T$4,$D361*$N361,"")</f>
        <v/>
      </c>
      <c r="U361" s="1436" t="str">
        <f aca="false">IF($H361=U$4,$D361*$N361,"")</f>
        <v/>
      </c>
      <c r="V361" s="1472"/>
      <c r="W361" s="1471"/>
      <c r="X361" s="1471"/>
      <c r="Y361" s="1471"/>
      <c r="Z361" s="1471"/>
      <c r="AA361" s="1471"/>
      <c r="AB361" s="1473"/>
      <c r="AC361" s="1319"/>
      <c r="AD361" s="2" t="str">
        <f aca="false">IF(AND(AD$4=$G361,AD$6=$F361),$B361,"")</f>
        <v/>
      </c>
      <c r="AE361" s="2" t="str">
        <f aca="false">IF(AND(AE$4=$G361,AE$6=$F361),$B361,"")</f>
        <v/>
      </c>
      <c r="AF361" s="2" t="str">
        <f aca="false">IF(AND(AF$4=$G361,AF$6=$F361),$B361,"")</f>
        <v/>
      </c>
      <c r="AG361" s="2" t="str">
        <f aca="false">IF(AND(AG$4=$G361,AG$6=$F361),$B361,"")</f>
        <v/>
      </c>
      <c r="AI361" s="366"/>
      <c r="AL361" s="367"/>
      <c r="AO361" s="367"/>
      <c r="AP361" s="2" t="str">
        <f aca="false">IF(AT361&gt;0,RANK(AT361,AT$7:AT$423),"")</f>
        <v/>
      </c>
      <c r="AQ361" s="1475" t="n">
        <f aca="false">'O_MN, PE_UTA_UGM 2024'!C358</f>
        <v>470</v>
      </c>
      <c r="AR361" s="1421" t="n">
        <v>4020</v>
      </c>
      <c r="AS361" s="2" t="str">
        <f aca="false">IF(AY361&lt;&gt;"",AY361,"")</f>
        <v/>
      </c>
      <c r="AT361" s="1422" t="n">
        <f aca="false">IF(ISNUMBER($AR361),SUMIF(B$7:B$505,AR361,D$7:D$505),"")</f>
        <v>0</v>
      </c>
      <c r="AU361" s="1411" t="n">
        <f aca="false">IF(ISNUMBER($AR361),SUMIF(AD$7:AD$503,$AR361,J$7:J$503),"")</f>
        <v>0</v>
      </c>
      <c r="AV361" s="1411" t="n">
        <f aca="false">IF(ISNUMBER($AR361),SUMIF(AF$7:AF$503,$AR361,L$7:L$503),"")</f>
        <v>0</v>
      </c>
      <c r="AW361" s="1423" t="n">
        <f aca="false">IF(ISNUMBER($AR361),SUMIF(AE$7:AE$503,$AR361,K$7:K$503),"")</f>
        <v>0</v>
      </c>
      <c r="AX361" s="1423" t="n">
        <f aca="false">IF(ISNUMBER($AR361),SUMIF(AG$7:AG$503,$AR361,M$7:M$503),"")</f>
        <v>0</v>
      </c>
      <c r="AY361" s="2" t="str">
        <f aca="false">IF($AT361&gt;0,VLOOKUP($AR361,'O_MN, PE_UTA_UGM 2024'!E358:O773,2),"")</f>
        <v/>
      </c>
      <c r="AZ361" s="1424"/>
      <c r="BA361" s="1424"/>
      <c r="BB361" s="1424" t="str">
        <f aca="false">IF($AT361&gt;0,VLOOKUP($AR361,'O_MN, PE_UTA_UGM 2024'!$E$3:$O$419,BB$6),"")</f>
        <v/>
      </c>
      <c r="BC361" s="1424" t="str">
        <f aca="false">IF($AT361&gt;0,VLOOKUP($AR361,'O_MN, PE_UTA_UGM 2024'!$E$3:$O$419,BC$6),"")</f>
        <v/>
      </c>
      <c r="BD361" s="1424" t="str">
        <f aca="false">IF($AT361&gt;0,VLOOKUP($AR361,'O_MN, PE_UTA_UGM 2024'!$E$3:$O$419,BD$6),"")</f>
        <v/>
      </c>
      <c r="BE361" s="1424" t="str">
        <f aca="false">IF($AT361&gt;0,VLOOKUP($AR361,'O_MN, PE_UTA_UGM 2024'!$E$3:$O$419,BE$6),"")</f>
        <v/>
      </c>
      <c r="BF361" s="1424" t="str">
        <f aca="false">IF($AT361&gt;0,VLOOKUP($AR361,'O_MN, PE_UTA_UGM 2024'!$E$3:$O$419,BF$6),"")</f>
        <v/>
      </c>
      <c r="BG361" s="1424" t="str">
        <f aca="false">IF($AT361&gt;0,VLOOKUP($AR361,'O_MN, PE_UTA_UGM 2024'!$E$3:$O$419,BG$6),"")</f>
        <v/>
      </c>
      <c r="BH361" s="872"/>
      <c r="BI361" s="872"/>
      <c r="BJ361" s="872"/>
      <c r="BK361" s="872"/>
      <c r="BM361" s="1411"/>
      <c r="BN361" s="1411"/>
      <c r="BO361" s="1425" t="str">
        <f aca="false">IF(ISNUMBER($AU361*BB361*1),$AU361*BB361*1,"")</f>
        <v/>
      </c>
      <c r="BP361" s="1425" t="str">
        <f aca="false">IF(ISNUMBER($AV361*BC361*1),$AV361*BC361*1,"")</f>
        <v/>
      </c>
      <c r="BQ361" s="1425" t="str">
        <f aca="false">IF(ISNUMBER($AU361*BD361*1),$AU361*BD361*1,"")</f>
        <v/>
      </c>
      <c r="BR361" s="1425" t="str">
        <f aca="false">IF(ISNUMBER($AV361*BE361*1),$AV361*BE361*1,"")</f>
        <v/>
      </c>
      <c r="BS361" s="1411" t="str">
        <f aca="false">IF(ISNUMBER($AU361*BF361),$AU361*BF361,"")</f>
        <v/>
      </c>
      <c r="BT361" s="1411" t="str">
        <f aca="false">IF(ISNUMBER($AV361*BG361),$AV361*BG361,"")</f>
        <v/>
      </c>
      <c r="BU361" s="1411"/>
      <c r="BV361" s="1411"/>
      <c r="BW361" s="1411"/>
      <c r="BX361" s="1411"/>
      <c r="BZ361" s="1372"/>
      <c r="CA361" s="1372"/>
      <c r="CB361" s="1426" t="str">
        <f aca="false">IF(ISNUMBER($AW361*BB361),$AW361*BB361,"")</f>
        <v/>
      </c>
      <c r="CC361" s="1426" t="str">
        <f aca="false">IF(ISNUMBER($AX361*BC361),$AX361*BC361,"")</f>
        <v/>
      </c>
      <c r="CD361" s="1426" t="str">
        <f aca="false">IF(ISNUMBER($AW361*BD361),$AW361*BD361,"")</f>
        <v/>
      </c>
      <c r="CE361" s="1426" t="str">
        <f aca="false">IF(ISNUMBER($AX361*BE361),$AX361*BE361,"")</f>
        <v/>
      </c>
      <c r="CF361" s="1372" t="str">
        <f aca="false">IF(ISNUMBER($AW361*BF361),$AW361*BF361,"")</f>
        <v/>
      </c>
      <c r="CG361" s="1372" t="str">
        <f aca="false">IF(ISNUMBER($AX361*BG361),$AX361*BG361,"")</f>
        <v/>
      </c>
      <c r="CH361" s="1438"/>
      <c r="CI361" s="1438"/>
      <c r="CJ361" s="1438"/>
      <c r="CK361" s="1438"/>
      <c r="CU361" s="1411"/>
      <c r="CV361" s="1411"/>
      <c r="CW361" s="1425"/>
      <c r="CX361" s="1425"/>
      <c r="CY361" s="1425"/>
      <c r="CZ361" s="1425"/>
      <c r="DA361" s="1411"/>
      <c r="DB361" s="1411"/>
      <c r="DC361" s="1411"/>
      <c r="DD361" s="1411"/>
      <c r="DE361" s="1411"/>
      <c r="DF361" s="1411"/>
      <c r="DH361" s="1432"/>
      <c r="DI361" s="1432"/>
      <c r="DJ361" s="1437"/>
      <c r="DK361" s="1437"/>
      <c r="DL361" s="1437"/>
      <c r="DM361" s="1437"/>
      <c r="DN361" s="1432"/>
      <c r="DO361" s="1432"/>
      <c r="DP361" s="1432"/>
      <c r="DQ361" s="1432"/>
      <c r="DR361" s="1432"/>
      <c r="DS361" s="1432"/>
      <c r="DT361" s="1316"/>
      <c r="DU361" s="1433"/>
      <c r="DV361" s="1433"/>
      <c r="DW361" s="1433"/>
      <c r="DX361" s="1433"/>
      <c r="DY361" s="1433"/>
      <c r="DZ361" s="1433"/>
      <c r="EA361" s="1433"/>
      <c r="EB361" s="1433"/>
    </row>
    <row r="362" customFormat="false" ht="14.25" hidden="false" customHeight="false" outlineLevel="0" collapsed="false">
      <c r="A362" s="2" t="n">
        <f aca="false">'V_DATOS PAC_SGA'!R357</f>
        <v>0</v>
      </c>
      <c r="B362" s="2" t="n">
        <f aca="false">IF(I362="IV",CONCATENATE('V_DATOS PAC_SGA'!R357,"4")+0,CONCATENATE('V_DATOS PAC_SGA'!R357,"0")+0)</f>
        <v>0</v>
      </c>
      <c r="C362" s="2" t="n">
        <f aca="false">'V_DATOS PAC_SGA'!S357</f>
        <v>0</v>
      </c>
      <c r="D362" s="1409" t="n">
        <f aca="false">'V_DATOS PAC_SGA'!Y357</f>
        <v>0</v>
      </c>
      <c r="E362" s="1410" t="str">
        <f aca="false">IF('V_DATOS PAC_SGA'!AV357="","Regadio",'V_DATOS PAC_SGA'!AV357)</f>
        <v>Regadio</v>
      </c>
      <c r="F362" s="1411" t="n">
        <f aca="false">'V_DATOS PAC_SGA'!BK357</f>
        <v>0</v>
      </c>
      <c r="G362" s="1412" t="n">
        <f aca="false">'V_DATOS PAC_SGA'!AN357</f>
        <v>0</v>
      </c>
      <c r="H362" s="1413" t="str">
        <f aca="false">IF(B362&gt;0,VLOOKUP(B362,'O_MN, PE_UTA_UGM 2024'!E$3:O$419,10),"")</f>
        <v/>
      </c>
      <c r="I362" s="1359" t="n">
        <f aca="false">'V_DATOS PAC_SGA'!BV357</f>
        <v>0</v>
      </c>
      <c r="J362" s="2" t="str">
        <f aca="false">IF(AND(J$4=$G362,J$6=$F362),$D362*J$5,"")</f>
        <v/>
      </c>
      <c r="K362" s="2" t="str">
        <f aca="false">IF(AND(K$4=$G362,K$6=$F362),$D362*K$5,"")</f>
        <v/>
      </c>
      <c r="L362" s="2" t="str">
        <f aca="false">IF(AND(L$4=$G362,L$6=$F362),$D362*L$5,"")</f>
        <v/>
      </c>
      <c r="M362" s="2" t="str">
        <f aca="false">IF(AND(M$4=$G362,M$6=$F362),$D362*M$5,"")</f>
        <v/>
      </c>
      <c r="N362" s="1414" t="n">
        <f aca="false">VLOOKUP(B362,'O_MN, PE_UTA_UGM 2024'!$E$2:$K$419,IF(G362&gt;1,6,7))</f>
        <v>0</v>
      </c>
      <c r="O362" s="1434" t="str">
        <f aca="false">IF($H362=O$4,$D362*$N362,"")</f>
        <v/>
      </c>
      <c r="P362" s="1435" t="str">
        <f aca="false">IF($H362=P$4,$D362*$N362,"")</f>
        <v/>
      </c>
      <c r="Q362" s="1435" t="str">
        <f aca="false">IF($H362=Q$4,$D362*$N362,"")</f>
        <v/>
      </c>
      <c r="R362" s="1435" t="str">
        <f aca="false">IF($H362=R$4,$D362*$N362,"")</f>
        <v/>
      </c>
      <c r="S362" s="1435" t="str">
        <f aca="false">IF($H362=S$4,$D362*$N362,"")</f>
        <v/>
      </c>
      <c r="T362" s="1435" t="str">
        <f aca="false">IF($H362=T$4,$D362*$N362,"")</f>
        <v/>
      </c>
      <c r="U362" s="1436" t="str">
        <f aca="false">IF($H362=U$4,$D362*$N362,"")</f>
        <v/>
      </c>
      <c r="V362" s="1472"/>
      <c r="W362" s="1471"/>
      <c r="X362" s="1471"/>
      <c r="Y362" s="1471"/>
      <c r="Z362" s="1471"/>
      <c r="AA362" s="1471"/>
      <c r="AB362" s="1473"/>
      <c r="AC362" s="1319"/>
      <c r="AD362" s="2" t="str">
        <f aca="false">IF(AND(AD$4=$G362,AD$6=$F362),$B362,"")</f>
        <v/>
      </c>
      <c r="AE362" s="2" t="str">
        <f aca="false">IF(AND(AE$4=$G362,AE$6=$F362),$B362,"")</f>
        <v/>
      </c>
      <c r="AF362" s="2" t="str">
        <f aca="false">IF(AND(AF$4=$G362,AF$6=$F362),$B362,"")</f>
        <v/>
      </c>
      <c r="AG362" s="2" t="str">
        <f aca="false">IF(AND(AG$4=$G362,AG$6=$F362),$B362,"")</f>
        <v/>
      </c>
      <c r="AI362" s="366"/>
      <c r="AL362" s="367"/>
      <c r="AO362" s="367"/>
      <c r="AP362" s="2" t="str">
        <f aca="false">IF(AT362&gt;0,RANK(AT362,AT$7:AT$423),"")</f>
        <v/>
      </c>
      <c r="AQ362" s="1475" t="n">
        <f aca="false">'O_MN, PE_UTA_UGM 2024'!C359</f>
        <v>478</v>
      </c>
      <c r="AR362" s="1421" t="n">
        <v>4030</v>
      </c>
      <c r="AS362" s="2" t="str">
        <f aca="false">IF(AY362&lt;&gt;"",AY362,"")</f>
        <v/>
      </c>
      <c r="AT362" s="1422" t="n">
        <f aca="false">IF(ISNUMBER($AR362),SUMIF(B$7:B$505,AR362,D$7:D$505),"")</f>
        <v>0</v>
      </c>
      <c r="AU362" s="1411" t="n">
        <f aca="false">IF(ISNUMBER($AR362),SUMIF(AD$7:AD$503,$AR362,J$7:J$503),"")</f>
        <v>0</v>
      </c>
      <c r="AV362" s="1411" t="n">
        <f aca="false">IF(ISNUMBER($AR362),SUMIF(AF$7:AF$503,$AR362,L$7:L$503),"")</f>
        <v>0</v>
      </c>
      <c r="AW362" s="1423" t="n">
        <f aca="false">IF(ISNUMBER($AR362),SUMIF(AE$7:AE$503,$AR362,K$7:K$503),"")</f>
        <v>0</v>
      </c>
      <c r="AX362" s="1423" t="n">
        <f aca="false">IF(ISNUMBER($AR362),SUMIF(AG$7:AG$503,$AR362,M$7:M$503),"")</f>
        <v>0</v>
      </c>
      <c r="AY362" s="2" t="str">
        <f aca="false">IF($AT362&gt;0,VLOOKUP($AR362,'O_MN, PE_UTA_UGM 2024'!E359:O774,2),"")</f>
        <v/>
      </c>
      <c r="AZ362" s="1424"/>
      <c r="BA362" s="1424"/>
      <c r="BB362" s="1424" t="str">
        <f aca="false">IF($AT362&gt;0,VLOOKUP($AR362,'O_MN, PE_UTA_UGM 2024'!$E$3:$O$419,BB$6),"")</f>
        <v/>
      </c>
      <c r="BC362" s="1424" t="str">
        <f aca="false">IF($AT362&gt;0,VLOOKUP($AR362,'O_MN, PE_UTA_UGM 2024'!$E$3:$O$419,BC$6),"")</f>
        <v/>
      </c>
      <c r="BD362" s="1424" t="str">
        <f aca="false">IF($AT362&gt;0,VLOOKUP($AR362,'O_MN, PE_UTA_UGM 2024'!$E$3:$O$419,BD$6),"")</f>
        <v/>
      </c>
      <c r="BE362" s="1424" t="str">
        <f aca="false">IF($AT362&gt;0,VLOOKUP($AR362,'O_MN, PE_UTA_UGM 2024'!$E$3:$O$419,BE$6),"")</f>
        <v/>
      </c>
      <c r="BF362" s="1424" t="str">
        <f aca="false">IF($AT362&gt;0,VLOOKUP($AR362,'O_MN, PE_UTA_UGM 2024'!$E$3:$O$419,BF$6),"")</f>
        <v/>
      </c>
      <c r="BG362" s="1424" t="str">
        <f aca="false">IF($AT362&gt;0,VLOOKUP($AR362,'O_MN, PE_UTA_UGM 2024'!$E$3:$O$419,BG$6),"")</f>
        <v/>
      </c>
      <c r="BH362" s="872"/>
      <c r="BI362" s="872"/>
      <c r="BJ362" s="872"/>
      <c r="BK362" s="872"/>
      <c r="BM362" s="1411"/>
      <c r="BN362" s="1411"/>
      <c r="BO362" s="1425" t="str">
        <f aca="false">IF(ISNUMBER($AU362*BB362*1),$AU362*BB362*1,"")</f>
        <v/>
      </c>
      <c r="BP362" s="1425" t="str">
        <f aca="false">IF(ISNUMBER($AV362*BC362*1),$AV362*BC362*1,"")</f>
        <v/>
      </c>
      <c r="BQ362" s="1425" t="str">
        <f aca="false">IF(ISNUMBER($AU362*BD362*1),$AU362*BD362*1,"")</f>
        <v/>
      </c>
      <c r="BR362" s="1425" t="str">
        <f aca="false">IF(ISNUMBER($AV362*BE362*1),$AV362*BE362*1,"")</f>
        <v/>
      </c>
      <c r="BS362" s="1411" t="str">
        <f aca="false">IF(ISNUMBER($AU362*BF362),$AU362*BF362,"")</f>
        <v/>
      </c>
      <c r="BT362" s="1411" t="str">
        <f aca="false">IF(ISNUMBER($AV362*BG362),$AV362*BG362,"")</f>
        <v/>
      </c>
      <c r="BU362" s="1411"/>
      <c r="BV362" s="1411"/>
      <c r="BW362" s="1411"/>
      <c r="BX362" s="1411"/>
      <c r="BZ362" s="1372"/>
      <c r="CA362" s="1372"/>
      <c r="CB362" s="1426" t="str">
        <f aca="false">IF(ISNUMBER($AW362*BB362),$AW362*BB362,"")</f>
        <v/>
      </c>
      <c r="CC362" s="1426" t="str">
        <f aca="false">IF(ISNUMBER($AX362*BC362),$AX362*BC362,"")</f>
        <v/>
      </c>
      <c r="CD362" s="1426" t="str">
        <f aca="false">IF(ISNUMBER($AW362*BD362),$AW362*BD362,"")</f>
        <v/>
      </c>
      <c r="CE362" s="1426" t="str">
        <f aca="false">IF(ISNUMBER($AX362*BE362),$AX362*BE362,"")</f>
        <v/>
      </c>
      <c r="CF362" s="1372" t="str">
        <f aca="false">IF(ISNUMBER($AW362*BF362),$AW362*BF362,"")</f>
        <v/>
      </c>
      <c r="CG362" s="1372" t="str">
        <f aca="false">IF(ISNUMBER($AX362*BG362),$AX362*BG362,"")</f>
        <v/>
      </c>
      <c r="CH362" s="1438"/>
      <c r="CI362" s="1438"/>
      <c r="CJ362" s="1438"/>
      <c r="CK362" s="1438"/>
      <c r="CU362" s="1411"/>
      <c r="CV362" s="1411"/>
      <c r="CW362" s="1425"/>
      <c r="CX362" s="1425"/>
      <c r="CY362" s="1425"/>
      <c r="CZ362" s="1425"/>
      <c r="DA362" s="1411"/>
      <c r="DB362" s="1411"/>
      <c r="DC362" s="1411"/>
      <c r="DD362" s="1411"/>
      <c r="DE362" s="1411"/>
      <c r="DF362" s="1411"/>
      <c r="DH362" s="1432"/>
      <c r="DI362" s="1432"/>
      <c r="DJ362" s="1437"/>
      <c r="DK362" s="1437"/>
      <c r="DL362" s="1437"/>
      <c r="DM362" s="1437"/>
      <c r="DN362" s="1432"/>
      <c r="DO362" s="1432"/>
      <c r="DP362" s="1432"/>
      <c r="DQ362" s="1432"/>
      <c r="DR362" s="1432"/>
      <c r="DS362" s="1432"/>
      <c r="DT362" s="1316"/>
      <c r="DU362" s="1433"/>
      <c r="DV362" s="1433"/>
      <c r="DW362" s="1433"/>
      <c r="DX362" s="1433"/>
      <c r="DY362" s="1433"/>
      <c r="DZ362" s="1433"/>
      <c r="EA362" s="1433"/>
      <c r="EB362" s="1433"/>
    </row>
    <row r="363" customFormat="false" ht="14.25" hidden="false" customHeight="false" outlineLevel="0" collapsed="false">
      <c r="A363" s="2" t="n">
        <f aca="false">'V_DATOS PAC_SGA'!R358</f>
        <v>0</v>
      </c>
      <c r="B363" s="2" t="n">
        <f aca="false">IF(I363="IV",CONCATENATE('V_DATOS PAC_SGA'!R358,"4")+0,CONCATENATE('V_DATOS PAC_SGA'!R358,"0")+0)</f>
        <v>0</v>
      </c>
      <c r="C363" s="2" t="n">
        <f aca="false">'V_DATOS PAC_SGA'!S358</f>
        <v>0</v>
      </c>
      <c r="D363" s="1409" t="n">
        <f aca="false">'V_DATOS PAC_SGA'!Y358</f>
        <v>0</v>
      </c>
      <c r="E363" s="1410" t="str">
        <f aca="false">IF('V_DATOS PAC_SGA'!AV358="","Regadio",'V_DATOS PAC_SGA'!AV358)</f>
        <v>Regadio</v>
      </c>
      <c r="F363" s="1411" t="n">
        <f aca="false">'V_DATOS PAC_SGA'!BK358</f>
        <v>0</v>
      </c>
      <c r="G363" s="1412" t="n">
        <f aca="false">'V_DATOS PAC_SGA'!AN358</f>
        <v>0</v>
      </c>
      <c r="H363" s="1413" t="str">
        <f aca="false">IF(B363&gt;0,VLOOKUP(B363,'O_MN, PE_UTA_UGM 2024'!E$3:O$419,10),"")</f>
        <v/>
      </c>
      <c r="I363" s="1359" t="n">
        <f aca="false">'V_DATOS PAC_SGA'!BV358</f>
        <v>0</v>
      </c>
      <c r="J363" s="2" t="str">
        <f aca="false">IF(AND(J$4=$G363,J$6=$F363),$D363*J$5,"")</f>
        <v/>
      </c>
      <c r="K363" s="2" t="str">
        <f aca="false">IF(AND(K$4=$G363,K$6=$F363),$D363*K$5,"")</f>
        <v/>
      </c>
      <c r="L363" s="2" t="str">
        <f aca="false">IF(AND(L$4=$G363,L$6=$F363),$D363*L$5,"")</f>
        <v/>
      </c>
      <c r="M363" s="2" t="str">
        <f aca="false">IF(AND(M$4=$G363,M$6=$F363),$D363*M$5,"")</f>
        <v/>
      </c>
      <c r="N363" s="1414" t="n">
        <f aca="false">VLOOKUP(B363,'O_MN, PE_UTA_UGM 2024'!$E$2:$K$419,IF(G363&gt;1,6,7))</f>
        <v>0</v>
      </c>
      <c r="O363" s="1434" t="str">
        <f aca="false">IF($H363=O$4,$D363*$N363,"")</f>
        <v/>
      </c>
      <c r="P363" s="1435" t="str">
        <f aca="false">IF($H363=P$4,$D363*$N363,"")</f>
        <v/>
      </c>
      <c r="Q363" s="1435" t="str">
        <f aca="false">IF($H363=Q$4,$D363*$N363,"")</f>
        <v/>
      </c>
      <c r="R363" s="1435" t="str">
        <f aca="false">IF($H363=R$4,$D363*$N363,"")</f>
        <v/>
      </c>
      <c r="S363" s="1435" t="str">
        <f aca="false">IF($H363=S$4,$D363*$N363,"")</f>
        <v/>
      </c>
      <c r="T363" s="1435" t="str">
        <f aca="false">IF($H363=T$4,$D363*$N363,"")</f>
        <v/>
      </c>
      <c r="U363" s="1436" t="str">
        <f aca="false">IF($H363=U$4,$D363*$N363,"")</f>
        <v/>
      </c>
      <c r="V363" s="1472"/>
      <c r="W363" s="1471"/>
      <c r="X363" s="1471"/>
      <c r="Y363" s="1471"/>
      <c r="Z363" s="1471"/>
      <c r="AA363" s="1471"/>
      <c r="AB363" s="1473"/>
      <c r="AC363" s="1319"/>
      <c r="AD363" s="2" t="str">
        <f aca="false">IF(AND(AD$4=$G363,AD$6=$F363),$B363,"")</f>
        <v/>
      </c>
      <c r="AE363" s="2" t="str">
        <f aca="false">IF(AND(AE$4=$G363,AE$6=$F363),$B363,"")</f>
        <v/>
      </c>
      <c r="AF363" s="2" t="str">
        <f aca="false">IF(AND(AF$4=$G363,AF$6=$F363),$B363,"")</f>
        <v/>
      </c>
      <c r="AG363" s="2" t="str">
        <f aca="false">IF(AND(AG$4=$G363,AG$6=$F363),$B363,"")</f>
        <v/>
      </c>
      <c r="AI363" s="366"/>
      <c r="AL363" s="367"/>
      <c r="AO363" s="367"/>
      <c r="AP363" s="2" t="str">
        <f aca="false">IF(AT363&gt;0,RANK(AT363,AT$7:AT$423),"")</f>
        <v/>
      </c>
      <c r="AQ363" s="1475" t="n">
        <f aca="false">'O_MN, PE_UTA_UGM 2024'!C360</f>
        <v>483</v>
      </c>
      <c r="AR363" s="1421" t="n">
        <v>4050</v>
      </c>
      <c r="AS363" s="2" t="str">
        <f aca="false">IF(AY363&lt;&gt;"",AY363,"")</f>
        <v/>
      </c>
      <c r="AT363" s="1422" t="n">
        <f aca="false">IF(ISNUMBER($AR363),SUMIF(B$7:B$505,AR363,D$7:D$505),"")</f>
        <v>0</v>
      </c>
      <c r="AU363" s="1411" t="n">
        <f aca="false">IF(ISNUMBER($AR363),SUMIF(AD$7:AD$503,$AR363,J$7:J$503),"")</f>
        <v>0</v>
      </c>
      <c r="AV363" s="1411" t="n">
        <f aca="false">IF(ISNUMBER($AR363),SUMIF(AF$7:AF$503,$AR363,L$7:L$503),"")</f>
        <v>0</v>
      </c>
      <c r="AW363" s="1423" t="n">
        <f aca="false">IF(ISNUMBER($AR363),SUMIF(AE$7:AE$503,$AR363,K$7:K$503),"")</f>
        <v>0</v>
      </c>
      <c r="AX363" s="1423" t="n">
        <f aca="false">IF(ISNUMBER($AR363),SUMIF(AG$7:AG$503,$AR363,M$7:M$503),"")</f>
        <v>0</v>
      </c>
      <c r="AY363" s="2" t="str">
        <f aca="false">IF($AT363&gt;0,VLOOKUP($AR363,'O_MN, PE_UTA_UGM 2024'!E360:O775,2),"")</f>
        <v/>
      </c>
      <c r="AZ363" s="1424"/>
      <c r="BA363" s="1424"/>
      <c r="BB363" s="1424" t="str">
        <f aca="false">IF($AT363&gt;0,VLOOKUP($AR363,'O_MN, PE_UTA_UGM 2024'!$E$3:$O$419,BB$6),"")</f>
        <v/>
      </c>
      <c r="BC363" s="1424" t="str">
        <f aca="false">IF($AT363&gt;0,VLOOKUP($AR363,'O_MN, PE_UTA_UGM 2024'!$E$3:$O$419,BC$6),"")</f>
        <v/>
      </c>
      <c r="BD363" s="1424" t="str">
        <f aca="false">IF($AT363&gt;0,VLOOKUP($AR363,'O_MN, PE_UTA_UGM 2024'!$E$3:$O$419,BD$6),"")</f>
        <v/>
      </c>
      <c r="BE363" s="1424" t="str">
        <f aca="false">IF($AT363&gt;0,VLOOKUP($AR363,'O_MN, PE_UTA_UGM 2024'!$E$3:$O$419,BE$6),"")</f>
        <v/>
      </c>
      <c r="BF363" s="1424" t="str">
        <f aca="false">IF($AT363&gt;0,VLOOKUP($AR363,'O_MN, PE_UTA_UGM 2024'!$E$3:$O$419,BF$6),"")</f>
        <v/>
      </c>
      <c r="BG363" s="1424" t="str">
        <f aca="false">IF($AT363&gt;0,VLOOKUP($AR363,'O_MN, PE_UTA_UGM 2024'!$E$3:$O$419,BG$6),"")</f>
        <v/>
      </c>
      <c r="BH363" s="872"/>
      <c r="BI363" s="872"/>
      <c r="BJ363" s="872"/>
      <c r="BK363" s="872"/>
      <c r="BM363" s="1411"/>
      <c r="BN363" s="1411"/>
      <c r="BO363" s="1425" t="str">
        <f aca="false">IF(ISNUMBER($AU363*BB363*1),$AU363*BB363*1,"")</f>
        <v/>
      </c>
      <c r="BP363" s="1425" t="str">
        <f aca="false">IF(ISNUMBER($AV363*BC363*1),$AV363*BC363*1,"")</f>
        <v/>
      </c>
      <c r="BQ363" s="1425" t="str">
        <f aca="false">IF(ISNUMBER($AU363*BD363*1),$AU363*BD363*1,"")</f>
        <v/>
      </c>
      <c r="BR363" s="1425" t="str">
        <f aca="false">IF(ISNUMBER($AV363*BE363*1),$AV363*BE363*1,"")</f>
        <v/>
      </c>
      <c r="BS363" s="1411" t="str">
        <f aca="false">IF(ISNUMBER($AU363*BF363),$AU363*BF363,"")</f>
        <v/>
      </c>
      <c r="BT363" s="1411" t="str">
        <f aca="false">IF(ISNUMBER($AV363*BG363),$AV363*BG363,"")</f>
        <v/>
      </c>
      <c r="BU363" s="1411"/>
      <c r="BV363" s="1411"/>
      <c r="BW363" s="1411"/>
      <c r="BX363" s="1411"/>
      <c r="BZ363" s="1372"/>
      <c r="CA363" s="1372"/>
      <c r="CB363" s="1426" t="str">
        <f aca="false">IF(ISNUMBER($AW363*BB363),$AW363*BB363,"")</f>
        <v/>
      </c>
      <c r="CC363" s="1426" t="str">
        <f aca="false">IF(ISNUMBER($AX363*BC363),$AX363*BC363,"")</f>
        <v/>
      </c>
      <c r="CD363" s="1426" t="str">
        <f aca="false">IF(ISNUMBER($AW363*BD363),$AW363*BD363,"")</f>
        <v/>
      </c>
      <c r="CE363" s="1426" t="str">
        <f aca="false">IF(ISNUMBER($AX363*BE363),$AX363*BE363,"")</f>
        <v/>
      </c>
      <c r="CF363" s="1372" t="str">
        <f aca="false">IF(ISNUMBER($AW363*BF363),$AW363*BF363,"")</f>
        <v/>
      </c>
      <c r="CG363" s="1372" t="str">
        <f aca="false">IF(ISNUMBER($AX363*BG363),$AX363*BG363,"")</f>
        <v/>
      </c>
      <c r="CH363" s="1438"/>
      <c r="CI363" s="1438"/>
      <c r="CJ363" s="1438"/>
      <c r="CK363" s="1438"/>
      <c r="CU363" s="1411"/>
      <c r="CV363" s="1411"/>
      <c r="CW363" s="1425"/>
      <c r="CX363" s="1425"/>
      <c r="CY363" s="1425"/>
      <c r="CZ363" s="1425"/>
      <c r="DA363" s="1411"/>
      <c r="DB363" s="1411"/>
      <c r="DC363" s="1411"/>
      <c r="DD363" s="1411"/>
      <c r="DE363" s="1411"/>
      <c r="DF363" s="1411"/>
      <c r="DH363" s="1432"/>
      <c r="DI363" s="1432"/>
      <c r="DJ363" s="1437"/>
      <c r="DK363" s="1437"/>
      <c r="DL363" s="1437"/>
      <c r="DM363" s="1437"/>
      <c r="DN363" s="1432"/>
      <c r="DO363" s="1432"/>
      <c r="DP363" s="1432"/>
      <c r="DQ363" s="1432"/>
      <c r="DR363" s="1432"/>
      <c r="DS363" s="1432"/>
      <c r="DT363" s="1316"/>
      <c r="DU363" s="1433"/>
      <c r="DV363" s="1433"/>
      <c r="DW363" s="1433"/>
      <c r="DX363" s="1433"/>
      <c r="DY363" s="1433"/>
      <c r="DZ363" s="1433"/>
      <c r="EA363" s="1433"/>
      <c r="EB363" s="1433"/>
    </row>
    <row r="364" customFormat="false" ht="14.25" hidden="false" customHeight="false" outlineLevel="0" collapsed="false">
      <c r="A364" s="2" t="n">
        <f aca="false">'V_DATOS PAC_SGA'!R359</f>
        <v>0</v>
      </c>
      <c r="B364" s="2" t="n">
        <f aca="false">IF(I364="IV",CONCATENATE('V_DATOS PAC_SGA'!R359,"4")+0,CONCATENATE('V_DATOS PAC_SGA'!R359,"0")+0)</f>
        <v>0</v>
      </c>
      <c r="C364" s="2" t="n">
        <f aca="false">'V_DATOS PAC_SGA'!S359</f>
        <v>0</v>
      </c>
      <c r="D364" s="1409" t="n">
        <f aca="false">'V_DATOS PAC_SGA'!Y359</f>
        <v>0</v>
      </c>
      <c r="E364" s="1410" t="str">
        <f aca="false">IF('V_DATOS PAC_SGA'!AV359="","Regadio",'V_DATOS PAC_SGA'!AV359)</f>
        <v>Regadio</v>
      </c>
      <c r="F364" s="1411" t="n">
        <f aca="false">'V_DATOS PAC_SGA'!BK359</f>
        <v>0</v>
      </c>
      <c r="G364" s="1412" t="n">
        <f aca="false">'V_DATOS PAC_SGA'!AN359</f>
        <v>0</v>
      </c>
      <c r="H364" s="1413" t="str">
        <f aca="false">IF(B364&gt;0,VLOOKUP(B364,'O_MN, PE_UTA_UGM 2024'!E$3:O$419,10),"")</f>
        <v/>
      </c>
      <c r="I364" s="1359" t="n">
        <f aca="false">'V_DATOS PAC_SGA'!BV359</f>
        <v>0</v>
      </c>
      <c r="J364" s="2" t="str">
        <f aca="false">IF(AND(J$4=$G364,J$6=$F364),$D364*J$5,"")</f>
        <v/>
      </c>
      <c r="K364" s="2" t="str">
        <f aca="false">IF(AND(K$4=$G364,K$6=$F364),$D364*K$5,"")</f>
        <v/>
      </c>
      <c r="L364" s="2" t="str">
        <f aca="false">IF(AND(L$4=$G364,L$6=$F364),$D364*L$5,"")</f>
        <v/>
      </c>
      <c r="M364" s="2" t="str">
        <f aca="false">IF(AND(M$4=$G364,M$6=$F364),$D364*M$5,"")</f>
        <v/>
      </c>
      <c r="N364" s="1414" t="n">
        <f aca="false">VLOOKUP(B364,'O_MN, PE_UTA_UGM 2024'!$E$2:$K$419,IF(G364&gt;1,6,7))</f>
        <v>0</v>
      </c>
      <c r="O364" s="1434" t="str">
        <f aca="false">IF($H364=O$4,$D364*$N364,"")</f>
        <v/>
      </c>
      <c r="P364" s="1435" t="str">
        <f aca="false">IF($H364=P$4,$D364*$N364,"")</f>
        <v/>
      </c>
      <c r="Q364" s="1435" t="str">
        <f aca="false">IF($H364=Q$4,$D364*$N364,"")</f>
        <v/>
      </c>
      <c r="R364" s="1435" t="str">
        <f aca="false">IF($H364=R$4,$D364*$N364,"")</f>
        <v/>
      </c>
      <c r="S364" s="1435" t="str">
        <f aca="false">IF($H364=S$4,$D364*$N364,"")</f>
        <v/>
      </c>
      <c r="T364" s="1435" t="str">
        <f aca="false">IF($H364=T$4,$D364*$N364,"")</f>
        <v/>
      </c>
      <c r="U364" s="1436" t="str">
        <f aca="false">IF($H364=U$4,$D364*$N364,"")</f>
        <v/>
      </c>
      <c r="V364" s="1472"/>
      <c r="W364" s="1471"/>
      <c r="X364" s="1471"/>
      <c r="Y364" s="1471"/>
      <c r="Z364" s="1471"/>
      <c r="AA364" s="1471"/>
      <c r="AB364" s="1473"/>
      <c r="AC364" s="1319"/>
      <c r="AD364" s="2" t="str">
        <f aca="false">IF(AND(AD$4=$G364,AD$6=$F364),$B364,"")</f>
        <v/>
      </c>
      <c r="AE364" s="2" t="str">
        <f aca="false">IF(AND(AE$4=$G364,AE$6=$F364),$B364,"")</f>
        <v/>
      </c>
      <c r="AF364" s="2" t="str">
        <f aca="false">IF(AND(AF$4=$G364,AF$6=$F364),$B364,"")</f>
        <v/>
      </c>
      <c r="AG364" s="2" t="str">
        <f aca="false">IF(AND(AG$4=$G364,AG$6=$F364),$B364,"")</f>
        <v/>
      </c>
      <c r="AI364" s="366"/>
      <c r="AL364" s="367"/>
      <c r="AO364" s="367"/>
      <c r="AP364" s="2" t="str">
        <f aca="false">IF(AT364&gt;0,RANK(AT364,AT$7:AT$423),"")</f>
        <v/>
      </c>
      <c r="AQ364" s="1475" t="n">
        <f aca="false">'O_MN, PE_UTA_UGM 2024'!C361</f>
        <v>486</v>
      </c>
      <c r="AR364" s="1421" t="n">
        <v>4060</v>
      </c>
      <c r="AS364" s="2" t="str">
        <f aca="false">IF(AY364&lt;&gt;"",AY364,"")</f>
        <v/>
      </c>
      <c r="AT364" s="1422" t="n">
        <f aca="false">IF(ISNUMBER($AR364),SUMIF(B$7:B$505,AR364,D$7:D$505),"")</f>
        <v>0</v>
      </c>
      <c r="AU364" s="1411" t="n">
        <f aca="false">IF(ISNUMBER($AR364),SUMIF(AD$7:AD$503,$AR364,J$7:J$503),"")</f>
        <v>0</v>
      </c>
      <c r="AV364" s="1411" t="n">
        <f aca="false">IF(ISNUMBER($AR364),SUMIF(AF$7:AF$503,$AR364,L$7:L$503),"")</f>
        <v>0</v>
      </c>
      <c r="AW364" s="1423" t="n">
        <f aca="false">IF(ISNUMBER($AR364),SUMIF(AE$7:AE$503,$AR364,K$7:K$503),"")</f>
        <v>0</v>
      </c>
      <c r="AX364" s="1423" t="n">
        <f aca="false">IF(ISNUMBER($AR364),SUMIF(AG$7:AG$503,$AR364,M$7:M$503),"")</f>
        <v>0</v>
      </c>
      <c r="AY364" s="2" t="str">
        <f aca="false">IF($AT364&gt;0,VLOOKUP($AR364,'O_MN, PE_UTA_UGM 2024'!E361:O776,2),"")</f>
        <v/>
      </c>
      <c r="AZ364" s="1424"/>
      <c r="BA364" s="1424"/>
      <c r="BB364" s="1424" t="str">
        <f aca="false">IF($AT364&gt;0,VLOOKUP($AR364,'O_MN, PE_UTA_UGM 2024'!$E$3:$O$419,BB$6),"")</f>
        <v/>
      </c>
      <c r="BC364" s="1424" t="str">
        <f aca="false">IF($AT364&gt;0,VLOOKUP($AR364,'O_MN, PE_UTA_UGM 2024'!$E$3:$O$419,BC$6),"")</f>
        <v/>
      </c>
      <c r="BD364" s="1424" t="str">
        <f aca="false">IF($AT364&gt;0,VLOOKUP($AR364,'O_MN, PE_UTA_UGM 2024'!$E$3:$O$419,BD$6),"")</f>
        <v/>
      </c>
      <c r="BE364" s="1424" t="str">
        <f aca="false">IF($AT364&gt;0,VLOOKUP($AR364,'O_MN, PE_UTA_UGM 2024'!$E$3:$O$419,BE$6),"")</f>
        <v/>
      </c>
      <c r="BF364" s="1424" t="str">
        <f aca="false">IF($AT364&gt;0,VLOOKUP($AR364,'O_MN, PE_UTA_UGM 2024'!$E$3:$O$419,BF$6),"")</f>
        <v/>
      </c>
      <c r="BG364" s="1424" t="str">
        <f aca="false">IF($AT364&gt;0,VLOOKUP($AR364,'O_MN, PE_UTA_UGM 2024'!$E$3:$O$419,BG$6),"")</f>
        <v/>
      </c>
      <c r="BH364" s="872"/>
      <c r="BI364" s="872"/>
      <c r="BJ364" s="872"/>
      <c r="BK364" s="872"/>
      <c r="BM364" s="1411"/>
      <c r="BN364" s="1411"/>
      <c r="BO364" s="1425" t="str">
        <f aca="false">IF(ISNUMBER($AU364*BB364*1),$AU364*BB364*1,"")</f>
        <v/>
      </c>
      <c r="BP364" s="1425" t="str">
        <f aca="false">IF(ISNUMBER($AV364*BC364*1),$AV364*BC364*1,"")</f>
        <v/>
      </c>
      <c r="BQ364" s="1425" t="str">
        <f aca="false">IF(ISNUMBER($AU364*BD364*1),$AU364*BD364*1,"")</f>
        <v/>
      </c>
      <c r="BR364" s="1425" t="str">
        <f aca="false">IF(ISNUMBER($AV364*BE364*1),$AV364*BE364*1,"")</f>
        <v/>
      </c>
      <c r="BS364" s="1411" t="str">
        <f aca="false">IF(ISNUMBER($AU364*BF364),$AU364*BF364,"")</f>
        <v/>
      </c>
      <c r="BT364" s="1411" t="str">
        <f aca="false">IF(ISNUMBER($AV364*BG364),$AV364*BG364,"")</f>
        <v/>
      </c>
      <c r="BU364" s="1411"/>
      <c r="BV364" s="1411"/>
      <c r="BW364" s="1411"/>
      <c r="BX364" s="1411"/>
      <c r="BZ364" s="1372"/>
      <c r="CA364" s="1372"/>
      <c r="CB364" s="1426" t="str">
        <f aca="false">IF(ISNUMBER($AW364*BB364),$AW364*BB364,"")</f>
        <v/>
      </c>
      <c r="CC364" s="1426" t="str">
        <f aca="false">IF(ISNUMBER($AX364*BC364),$AX364*BC364,"")</f>
        <v/>
      </c>
      <c r="CD364" s="1426" t="str">
        <f aca="false">IF(ISNUMBER($AW364*BD364),$AW364*BD364,"")</f>
        <v/>
      </c>
      <c r="CE364" s="1426" t="str">
        <f aca="false">IF(ISNUMBER($AX364*BE364),$AX364*BE364,"")</f>
        <v/>
      </c>
      <c r="CF364" s="1372" t="str">
        <f aca="false">IF(ISNUMBER($AW364*BF364),$AW364*BF364,"")</f>
        <v/>
      </c>
      <c r="CG364" s="1372" t="str">
        <f aca="false">IF(ISNUMBER($AX364*BG364),$AX364*BG364,"")</f>
        <v/>
      </c>
      <c r="CH364" s="1438"/>
      <c r="CI364" s="1438"/>
      <c r="CJ364" s="1438"/>
      <c r="CK364" s="1438"/>
      <c r="CU364" s="1411"/>
      <c r="CV364" s="1411"/>
      <c r="CW364" s="1425"/>
      <c r="CX364" s="1425"/>
      <c r="CY364" s="1425"/>
      <c r="CZ364" s="1425"/>
      <c r="DA364" s="1411"/>
      <c r="DB364" s="1411"/>
      <c r="DC364" s="1411"/>
      <c r="DD364" s="1411"/>
      <c r="DE364" s="1411"/>
      <c r="DF364" s="1411"/>
      <c r="DH364" s="1432"/>
      <c r="DI364" s="1432"/>
      <c r="DJ364" s="1437"/>
      <c r="DK364" s="1437"/>
      <c r="DL364" s="1437"/>
      <c r="DM364" s="1437"/>
      <c r="DN364" s="1432"/>
      <c r="DO364" s="1432"/>
      <c r="DP364" s="1432"/>
      <c r="DQ364" s="1432"/>
      <c r="DR364" s="1432"/>
      <c r="DS364" s="1432"/>
      <c r="DT364" s="1316"/>
      <c r="DU364" s="1433"/>
      <c r="DV364" s="1433"/>
      <c r="DW364" s="1433"/>
      <c r="DX364" s="1433"/>
      <c r="DY364" s="1433"/>
      <c r="DZ364" s="1433"/>
      <c r="EA364" s="1433"/>
      <c r="EB364" s="1433"/>
    </row>
    <row r="365" customFormat="false" ht="14.25" hidden="false" customHeight="false" outlineLevel="0" collapsed="false">
      <c r="A365" s="2" t="n">
        <f aca="false">'V_DATOS PAC_SGA'!R360</f>
        <v>0</v>
      </c>
      <c r="B365" s="2" t="n">
        <f aca="false">IF(I365="IV",CONCATENATE('V_DATOS PAC_SGA'!R360,"4")+0,CONCATENATE('V_DATOS PAC_SGA'!R360,"0")+0)</f>
        <v>0</v>
      </c>
      <c r="C365" s="2" t="n">
        <f aca="false">'V_DATOS PAC_SGA'!S360</f>
        <v>0</v>
      </c>
      <c r="D365" s="1409" t="n">
        <f aca="false">'V_DATOS PAC_SGA'!Y360</f>
        <v>0</v>
      </c>
      <c r="E365" s="1410" t="str">
        <f aca="false">IF('V_DATOS PAC_SGA'!AV360="","Regadio",'V_DATOS PAC_SGA'!AV360)</f>
        <v>Regadio</v>
      </c>
      <c r="F365" s="1411" t="n">
        <f aca="false">'V_DATOS PAC_SGA'!BK360</f>
        <v>0</v>
      </c>
      <c r="G365" s="1412" t="n">
        <f aca="false">'V_DATOS PAC_SGA'!AN360</f>
        <v>0</v>
      </c>
      <c r="H365" s="1413" t="str">
        <f aca="false">IF(B365&gt;0,VLOOKUP(B365,'O_MN, PE_UTA_UGM 2024'!E$3:O$419,10),"")</f>
        <v/>
      </c>
      <c r="I365" s="1359" t="n">
        <f aca="false">'V_DATOS PAC_SGA'!BV360</f>
        <v>0</v>
      </c>
      <c r="J365" s="2" t="str">
        <f aca="false">IF(AND(J$4=$G365,J$6=$F365),$D365*J$5,"")</f>
        <v/>
      </c>
      <c r="K365" s="2" t="str">
        <f aca="false">IF(AND(K$4=$G365,K$6=$F365),$D365*K$5,"")</f>
        <v/>
      </c>
      <c r="L365" s="2" t="str">
        <f aca="false">IF(AND(L$4=$G365,L$6=$F365),$D365*L$5,"")</f>
        <v/>
      </c>
      <c r="M365" s="2" t="str">
        <f aca="false">IF(AND(M$4=$G365,M$6=$F365),$D365*M$5,"")</f>
        <v/>
      </c>
      <c r="N365" s="1414" t="n">
        <f aca="false">VLOOKUP(B365,'O_MN, PE_UTA_UGM 2024'!$E$2:$K$419,IF(G365&gt;1,6,7))</f>
        <v>0</v>
      </c>
      <c r="O365" s="1434" t="str">
        <f aca="false">IF($H365=O$4,$D365*$N365,"")</f>
        <v/>
      </c>
      <c r="P365" s="1435" t="str">
        <f aca="false">IF($H365=P$4,$D365*$N365,"")</f>
        <v/>
      </c>
      <c r="Q365" s="1435" t="str">
        <f aca="false">IF($H365=Q$4,$D365*$N365,"")</f>
        <v/>
      </c>
      <c r="R365" s="1435" t="str">
        <f aca="false">IF($H365=R$4,$D365*$N365,"")</f>
        <v/>
      </c>
      <c r="S365" s="1435" t="str">
        <f aca="false">IF($H365=S$4,$D365*$N365,"")</f>
        <v/>
      </c>
      <c r="T365" s="1435" t="str">
        <f aca="false">IF($H365=T$4,$D365*$N365,"")</f>
        <v/>
      </c>
      <c r="U365" s="1436" t="str">
        <f aca="false">IF($H365=U$4,$D365*$N365,"")</f>
        <v/>
      </c>
      <c r="V365" s="1472"/>
      <c r="W365" s="1471"/>
      <c r="X365" s="1471"/>
      <c r="Y365" s="1471"/>
      <c r="Z365" s="1471"/>
      <c r="AA365" s="1471"/>
      <c r="AB365" s="1473"/>
      <c r="AC365" s="1319"/>
      <c r="AD365" s="2" t="str">
        <f aca="false">IF(AND(AD$4=$G365,AD$6=$F365),$B365,"")</f>
        <v/>
      </c>
      <c r="AE365" s="2" t="str">
        <f aca="false">IF(AND(AE$4=$G365,AE$6=$F365),$B365,"")</f>
        <v/>
      </c>
      <c r="AF365" s="2" t="str">
        <f aca="false">IF(AND(AF$4=$G365,AF$6=$F365),$B365,"")</f>
        <v/>
      </c>
      <c r="AG365" s="2" t="str">
        <f aca="false">IF(AND(AG$4=$G365,AG$6=$F365),$B365,"")</f>
        <v/>
      </c>
      <c r="AI365" s="366"/>
      <c r="AL365" s="367"/>
      <c r="AO365" s="367"/>
      <c r="AP365" s="2" t="str">
        <f aca="false">IF(AT365&gt;0,RANK(AT365,AT$7:AT$423),"")</f>
        <v/>
      </c>
      <c r="AQ365" s="1475" t="n">
        <f aca="false">'O_MN, PE_UTA_UGM 2024'!C362</f>
        <v>496</v>
      </c>
      <c r="AR365" s="1421" t="n">
        <v>4110</v>
      </c>
      <c r="AS365" s="2" t="str">
        <f aca="false">IF(AY365&lt;&gt;"",AY365,"")</f>
        <v/>
      </c>
      <c r="AT365" s="1422" t="n">
        <f aca="false">IF(ISNUMBER($AR365),SUMIF(B$7:B$505,AR365,D$7:D$505),"")</f>
        <v>0</v>
      </c>
      <c r="AU365" s="1411" t="n">
        <f aca="false">IF(ISNUMBER($AR365),SUMIF(AD$7:AD$503,$AR365,J$7:J$503),"")</f>
        <v>0</v>
      </c>
      <c r="AV365" s="1411" t="n">
        <f aca="false">IF(ISNUMBER($AR365),SUMIF(AF$7:AF$503,$AR365,L$7:L$503),"")</f>
        <v>0</v>
      </c>
      <c r="AW365" s="1423" t="n">
        <f aca="false">IF(ISNUMBER($AR365),SUMIF(AE$7:AE$503,$AR365,K$7:K$503),"")</f>
        <v>0</v>
      </c>
      <c r="AX365" s="1423" t="n">
        <f aca="false">IF(ISNUMBER($AR365),SUMIF(AG$7:AG$503,$AR365,M$7:M$503),"")</f>
        <v>0</v>
      </c>
      <c r="AY365" s="2" t="str">
        <f aca="false">IF($AT365&gt;0,VLOOKUP($AR365,'O_MN, PE_UTA_UGM 2024'!E362:O777,2),"")</f>
        <v/>
      </c>
      <c r="AZ365" s="1424"/>
      <c r="BA365" s="1424"/>
      <c r="BB365" s="1424" t="str">
        <f aca="false">IF($AT365&gt;0,VLOOKUP($AR365,'O_MN, PE_UTA_UGM 2024'!$E$3:$O$419,BB$6),"")</f>
        <v/>
      </c>
      <c r="BC365" s="1424" t="str">
        <f aca="false">IF($AT365&gt;0,VLOOKUP($AR365,'O_MN, PE_UTA_UGM 2024'!$E$3:$O$419,BC$6),"")</f>
        <v/>
      </c>
      <c r="BD365" s="1424" t="str">
        <f aca="false">IF($AT365&gt;0,VLOOKUP($AR365,'O_MN, PE_UTA_UGM 2024'!$E$3:$O$419,BD$6),"")</f>
        <v/>
      </c>
      <c r="BE365" s="1424" t="str">
        <f aca="false">IF($AT365&gt;0,VLOOKUP($AR365,'O_MN, PE_UTA_UGM 2024'!$E$3:$O$419,BE$6),"")</f>
        <v/>
      </c>
      <c r="BF365" s="1424" t="str">
        <f aca="false">IF($AT365&gt;0,VLOOKUP($AR365,'O_MN, PE_UTA_UGM 2024'!$E$3:$O$419,BF$6),"")</f>
        <v/>
      </c>
      <c r="BG365" s="1424" t="str">
        <f aca="false">IF($AT365&gt;0,VLOOKUP($AR365,'O_MN, PE_UTA_UGM 2024'!$E$3:$O$419,BG$6),"")</f>
        <v/>
      </c>
      <c r="BH365" s="872"/>
      <c r="BI365" s="872"/>
      <c r="BJ365" s="872"/>
      <c r="BK365" s="872"/>
      <c r="BM365" s="1411"/>
      <c r="BN365" s="1411"/>
      <c r="BO365" s="1425" t="str">
        <f aca="false">IF(ISNUMBER($AU365*BB365*1),$AU365*BB365*1,"")</f>
        <v/>
      </c>
      <c r="BP365" s="1425" t="str">
        <f aca="false">IF(ISNUMBER($AV365*BC365*1),$AV365*BC365*1,"")</f>
        <v/>
      </c>
      <c r="BQ365" s="1425" t="str">
        <f aca="false">IF(ISNUMBER($AU365*BD365*1),$AU365*BD365*1,"")</f>
        <v/>
      </c>
      <c r="BR365" s="1425" t="str">
        <f aca="false">IF(ISNUMBER($AV365*BE365*1),$AV365*BE365*1,"")</f>
        <v/>
      </c>
      <c r="BS365" s="1411" t="str">
        <f aca="false">IF(ISNUMBER($AU365*BF365),$AU365*BF365,"")</f>
        <v/>
      </c>
      <c r="BT365" s="1411" t="str">
        <f aca="false">IF(ISNUMBER($AV365*BG365),$AV365*BG365,"")</f>
        <v/>
      </c>
      <c r="BU365" s="1411"/>
      <c r="BV365" s="1411"/>
      <c r="BW365" s="1411"/>
      <c r="BX365" s="1411"/>
      <c r="BZ365" s="1372"/>
      <c r="CA365" s="1372"/>
      <c r="CB365" s="1426" t="str">
        <f aca="false">IF(ISNUMBER($AW365*BB365),$AW365*BB365,"")</f>
        <v/>
      </c>
      <c r="CC365" s="1426" t="str">
        <f aca="false">IF(ISNUMBER($AX365*BC365),$AX365*BC365,"")</f>
        <v/>
      </c>
      <c r="CD365" s="1426" t="str">
        <f aca="false">IF(ISNUMBER($AW365*BD365),$AW365*BD365,"")</f>
        <v/>
      </c>
      <c r="CE365" s="1426" t="str">
        <f aca="false">IF(ISNUMBER($AX365*BE365),$AX365*BE365,"")</f>
        <v/>
      </c>
      <c r="CF365" s="1372" t="str">
        <f aca="false">IF(ISNUMBER($AW365*BF365),$AW365*BF365,"")</f>
        <v/>
      </c>
      <c r="CG365" s="1372" t="str">
        <f aca="false">IF(ISNUMBER($AX365*BG365),$AX365*BG365,"")</f>
        <v/>
      </c>
      <c r="CH365" s="1438"/>
      <c r="CI365" s="1438"/>
      <c r="CJ365" s="1438"/>
      <c r="CK365" s="1438"/>
      <c r="CU365" s="1411"/>
      <c r="CV365" s="1411"/>
      <c r="CW365" s="1425"/>
      <c r="CX365" s="1425"/>
      <c r="CY365" s="1425"/>
      <c r="CZ365" s="1425"/>
      <c r="DA365" s="1411"/>
      <c r="DB365" s="1411"/>
      <c r="DC365" s="1411"/>
      <c r="DD365" s="1411"/>
      <c r="DE365" s="1411"/>
      <c r="DF365" s="1411"/>
      <c r="DH365" s="1432"/>
      <c r="DI365" s="1432"/>
      <c r="DJ365" s="1437"/>
      <c r="DK365" s="1437"/>
      <c r="DL365" s="1437"/>
      <c r="DM365" s="1437"/>
      <c r="DN365" s="1432"/>
      <c r="DO365" s="1432"/>
      <c r="DP365" s="1432"/>
      <c r="DQ365" s="1432"/>
      <c r="DR365" s="1432"/>
      <c r="DS365" s="1432"/>
      <c r="DT365" s="1316"/>
      <c r="DU365" s="1433"/>
      <c r="DV365" s="1433"/>
      <c r="DW365" s="1433"/>
      <c r="DX365" s="1433"/>
      <c r="DY365" s="1433"/>
      <c r="DZ365" s="1433"/>
      <c r="EA365" s="1433"/>
      <c r="EB365" s="1433"/>
    </row>
    <row r="366" customFormat="false" ht="14.25" hidden="false" customHeight="false" outlineLevel="0" collapsed="false">
      <c r="A366" s="2" t="n">
        <f aca="false">'V_DATOS PAC_SGA'!R361</f>
        <v>0</v>
      </c>
      <c r="B366" s="2" t="n">
        <f aca="false">IF(I366="IV",CONCATENATE('V_DATOS PAC_SGA'!R361,"4")+0,CONCATENATE('V_DATOS PAC_SGA'!R361,"0")+0)</f>
        <v>0</v>
      </c>
      <c r="C366" s="2" t="n">
        <f aca="false">'V_DATOS PAC_SGA'!S361</f>
        <v>0</v>
      </c>
      <c r="D366" s="1409" t="n">
        <f aca="false">'V_DATOS PAC_SGA'!Y361</f>
        <v>0</v>
      </c>
      <c r="E366" s="1410" t="str">
        <f aca="false">IF('V_DATOS PAC_SGA'!AV361="","Regadio",'V_DATOS PAC_SGA'!AV361)</f>
        <v>Regadio</v>
      </c>
      <c r="F366" s="1411" t="n">
        <f aca="false">'V_DATOS PAC_SGA'!BK361</f>
        <v>0</v>
      </c>
      <c r="G366" s="1412" t="n">
        <f aca="false">'V_DATOS PAC_SGA'!AN361</f>
        <v>0</v>
      </c>
      <c r="H366" s="1413" t="str">
        <f aca="false">IF(B366&gt;0,VLOOKUP(B366,'O_MN, PE_UTA_UGM 2024'!E$3:O$419,10),"")</f>
        <v/>
      </c>
      <c r="I366" s="1359" t="n">
        <f aca="false">'V_DATOS PAC_SGA'!BV361</f>
        <v>0</v>
      </c>
      <c r="J366" s="2" t="str">
        <f aca="false">IF(AND(J$4=$G366,J$6=$F366),$D366*J$5,"")</f>
        <v/>
      </c>
      <c r="K366" s="2" t="str">
        <f aca="false">IF(AND(K$4=$G366,K$6=$F366),$D366*K$5,"")</f>
        <v/>
      </c>
      <c r="L366" s="2" t="str">
        <f aca="false">IF(AND(L$4=$G366,L$6=$F366),$D366*L$5,"")</f>
        <v/>
      </c>
      <c r="M366" s="2" t="str">
        <f aca="false">IF(AND(M$4=$G366,M$6=$F366),$D366*M$5,"")</f>
        <v/>
      </c>
      <c r="N366" s="1414" t="n">
        <f aca="false">VLOOKUP(B366,'O_MN, PE_UTA_UGM 2024'!$E$2:$K$419,IF(G366&gt;1,6,7))</f>
        <v>0</v>
      </c>
      <c r="O366" s="1434" t="str">
        <f aca="false">IF($H366=O$4,$D366*$N366,"")</f>
        <v/>
      </c>
      <c r="P366" s="1435" t="str">
        <f aca="false">IF($H366=P$4,$D366*$N366,"")</f>
        <v/>
      </c>
      <c r="Q366" s="1435" t="str">
        <f aca="false">IF($H366=Q$4,$D366*$N366,"")</f>
        <v/>
      </c>
      <c r="R366" s="1435" t="str">
        <f aca="false">IF($H366=R$4,$D366*$N366,"")</f>
        <v/>
      </c>
      <c r="S366" s="1435" t="str">
        <f aca="false">IF($H366=S$4,$D366*$N366,"")</f>
        <v/>
      </c>
      <c r="T366" s="1435" t="str">
        <f aca="false">IF($H366=T$4,$D366*$N366,"")</f>
        <v/>
      </c>
      <c r="U366" s="1436" t="str">
        <f aca="false">IF($H366=U$4,$D366*$N366,"")</f>
        <v/>
      </c>
      <c r="V366" s="1472"/>
      <c r="W366" s="1471"/>
      <c r="X366" s="1471"/>
      <c r="Y366" s="1471"/>
      <c r="Z366" s="1471"/>
      <c r="AA366" s="1471"/>
      <c r="AB366" s="1473"/>
      <c r="AC366" s="1319"/>
      <c r="AD366" s="2" t="str">
        <f aca="false">IF(AND(AD$4=$G366,AD$6=$F366),$B366,"")</f>
        <v/>
      </c>
      <c r="AE366" s="2" t="str">
        <f aca="false">IF(AND(AE$4=$G366,AE$6=$F366),$B366,"")</f>
        <v/>
      </c>
      <c r="AF366" s="2" t="str">
        <f aca="false">IF(AND(AF$4=$G366,AF$6=$F366),$B366,"")</f>
        <v/>
      </c>
      <c r="AG366" s="2" t="str">
        <f aca="false">IF(AND(AG$4=$G366,AG$6=$F366),$B366,"")</f>
        <v/>
      </c>
      <c r="AI366" s="366"/>
      <c r="AL366" s="367"/>
      <c r="AO366" s="367"/>
      <c r="AP366" s="2" t="str">
        <f aca="false">IF(AT366&gt;0,RANK(AT366,AT$7:AT$423),"")</f>
        <v/>
      </c>
      <c r="AQ366" s="1475" t="n">
        <f aca="false">'O_MN, PE_UTA_UGM 2024'!C363</f>
        <v>904</v>
      </c>
      <c r="AR366" s="1421" t="n">
        <v>4120</v>
      </c>
      <c r="AS366" s="2" t="str">
        <f aca="false">IF(AY366&lt;&gt;"",AY366,"")</f>
        <v/>
      </c>
      <c r="AT366" s="1422" t="n">
        <f aca="false">IF(ISNUMBER($AR366),SUMIF(B$7:B$505,AR366,D$7:D$505),"")</f>
        <v>0</v>
      </c>
      <c r="AU366" s="1411" t="n">
        <f aca="false">IF(ISNUMBER($AR366),SUMIF(AD$7:AD$503,$AR366,J$7:J$503),"")</f>
        <v>0</v>
      </c>
      <c r="AV366" s="1411" t="n">
        <f aca="false">IF(ISNUMBER($AR366),SUMIF(AF$7:AF$503,$AR366,L$7:L$503),"")</f>
        <v>0</v>
      </c>
      <c r="AW366" s="1423" t="n">
        <f aca="false">IF(ISNUMBER($AR366),SUMIF(AE$7:AE$503,$AR366,K$7:K$503),"")</f>
        <v>0</v>
      </c>
      <c r="AX366" s="1423" t="n">
        <f aca="false">IF(ISNUMBER($AR366),SUMIF(AG$7:AG$503,$AR366,M$7:M$503),"")</f>
        <v>0</v>
      </c>
      <c r="AY366" s="2" t="str">
        <f aca="false">IF($AT366&gt;0,VLOOKUP($AR366,'O_MN, PE_UTA_UGM 2024'!E363:O778,2),"")</f>
        <v/>
      </c>
      <c r="AZ366" s="1424"/>
      <c r="BA366" s="1424"/>
      <c r="BB366" s="1424" t="str">
        <f aca="false">IF($AT366&gt;0,VLOOKUP($AR366,'O_MN, PE_UTA_UGM 2024'!$E$3:$O$419,BB$6),"")</f>
        <v/>
      </c>
      <c r="BC366" s="1424" t="str">
        <f aca="false">IF($AT366&gt;0,VLOOKUP($AR366,'O_MN, PE_UTA_UGM 2024'!$E$3:$O$419,BC$6),"")</f>
        <v/>
      </c>
      <c r="BD366" s="1424" t="str">
        <f aca="false">IF($AT366&gt;0,VLOOKUP($AR366,'O_MN, PE_UTA_UGM 2024'!$E$3:$O$419,BD$6),"")</f>
        <v/>
      </c>
      <c r="BE366" s="1424" t="str">
        <f aca="false">IF($AT366&gt;0,VLOOKUP($AR366,'O_MN, PE_UTA_UGM 2024'!$E$3:$O$419,BE$6),"")</f>
        <v/>
      </c>
      <c r="BF366" s="1424" t="str">
        <f aca="false">IF($AT366&gt;0,VLOOKUP($AR366,'O_MN, PE_UTA_UGM 2024'!$E$3:$O$419,BF$6),"")</f>
        <v/>
      </c>
      <c r="BG366" s="1424" t="str">
        <f aca="false">IF($AT366&gt;0,VLOOKUP($AR366,'O_MN, PE_UTA_UGM 2024'!$E$3:$O$419,BG$6),"")</f>
        <v/>
      </c>
      <c r="BH366" s="872"/>
      <c r="BI366" s="872"/>
      <c r="BJ366" s="872"/>
      <c r="BK366" s="872"/>
      <c r="BM366" s="1411"/>
      <c r="BN366" s="1411"/>
      <c r="BO366" s="1425" t="str">
        <f aca="false">IF(ISNUMBER($AU366*BB366*1),$AU366*BB366*1,"")</f>
        <v/>
      </c>
      <c r="BP366" s="1425" t="str">
        <f aca="false">IF(ISNUMBER($AV366*BC366*1),$AV366*BC366*1,"")</f>
        <v/>
      </c>
      <c r="BQ366" s="1425" t="str">
        <f aca="false">IF(ISNUMBER($AU366*BD366*1),$AU366*BD366*1,"")</f>
        <v/>
      </c>
      <c r="BR366" s="1425" t="str">
        <f aca="false">IF(ISNUMBER($AV366*BE366*1),$AV366*BE366*1,"")</f>
        <v/>
      </c>
      <c r="BS366" s="1411" t="str">
        <f aca="false">IF(ISNUMBER($AU366*BF366),$AU366*BF366,"")</f>
        <v/>
      </c>
      <c r="BT366" s="1411" t="str">
        <f aca="false">IF(ISNUMBER($AV366*BG366),$AV366*BG366,"")</f>
        <v/>
      </c>
      <c r="BU366" s="1411"/>
      <c r="BV366" s="1411"/>
      <c r="BW366" s="1411"/>
      <c r="BX366" s="1411"/>
      <c r="BZ366" s="1372"/>
      <c r="CA366" s="1372"/>
      <c r="CB366" s="1426" t="str">
        <f aca="false">IF(ISNUMBER($AW366*BB366),$AW366*BB366,"")</f>
        <v/>
      </c>
      <c r="CC366" s="1426" t="str">
        <f aca="false">IF(ISNUMBER($AX366*BC366),$AX366*BC366,"")</f>
        <v/>
      </c>
      <c r="CD366" s="1426" t="str">
        <f aca="false">IF(ISNUMBER($AW366*BD366),$AW366*BD366,"")</f>
        <v/>
      </c>
      <c r="CE366" s="1426" t="str">
        <f aca="false">IF(ISNUMBER($AX366*BE366),$AX366*BE366,"")</f>
        <v/>
      </c>
      <c r="CF366" s="1372" t="str">
        <f aca="false">IF(ISNUMBER($AW366*BF366),$AW366*BF366,"")</f>
        <v/>
      </c>
      <c r="CG366" s="1372" t="str">
        <f aca="false">IF(ISNUMBER($AX366*BG366),$AX366*BG366,"")</f>
        <v/>
      </c>
      <c r="CH366" s="1438"/>
      <c r="CI366" s="1438"/>
      <c r="CJ366" s="1438"/>
      <c r="CK366" s="1438"/>
      <c r="CU366" s="1411"/>
      <c r="CV366" s="1411"/>
      <c r="CW366" s="1425"/>
      <c r="CX366" s="1425"/>
      <c r="CY366" s="1425"/>
      <c r="CZ366" s="1425"/>
      <c r="DA366" s="1411"/>
      <c r="DB366" s="1411"/>
      <c r="DC366" s="1411"/>
      <c r="DD366" s="1411"/>
      <c r="DE366" s="1411"/>
      <c r="DF366" s="1411"/>
      <c r="DH366" s="1432"/>
      <c r="DI366" s="1432"/>
      <c r="DJ366" s="1437"/>
      <c r="DK366" s="1437"/>
      <c r="DL366" s="1437"/>
      <c r="DM366" s="1437"/>
      <c r="DN366" s="1432"/>
      <c r="DO366" s="1432"/>
      <c r="DP366" s="1432"/>
      <c r="DQ366" s="1432"/>
      <c r="DR366" s="1432"/>
      <c r="DS366" s="1432"/>
      <c r="DT366" s="1316"/>
      <c r="DU366" s="1433"/>
      <c r="DV366" s="1433"/>
      <c r="DW366" s="1433"/>
      <c r="DX366" s="1433"/>
      <c r="DY366" s="1433"/>
      <c r="DZ366" s="1433"/>
      <c r="EA366" s="1433"/>
      <c r="EB366" s="1433"/>
    </row>
    <row r="367" customFormat="false" ht="14.25" hidden="false" customHeight="false" outlineLevel="0" collapsed="false">
      <c r="A367" s="2" t="n">
        <f aca="false">'V_DATOS PAC_SGA'!R362</f>
        <v>0</v>
      </c>
      <c r="B367" s="2" t="n">
        <f aca="false">IF(I367="IV",CONCATENATE('V_DATOS PAC_SGA'!R362,"4")+0,CONCATENATE('V_DATOS PAC_SGA'!R362,"0")+0)</f>
        <v>0</v>
      </c>
      <c r="C367" s="2" t="n">
        <f aca="false">'V_DATOS PAC_SGA'!S362</f>
        <v>0</v>
      </c>
      <c r="D367" s="1409" t="n">
        <f aca="false">'V_DATOS PAC_SGA'!Y362</f>
        <v>0</v>
      </c>
      <c r="E367" s="1410" t="str">
        <f aca="false">IF('V_DATOS PAC_SGA'!AV362="","Regadio",'V_DATOS PAC_SGA'!AV362)</f>
        <v>Regadio</v>
      </c>
      <c r="F367" s="1411" t="n">
        <f aca="false">'V_DATOS PAC_SGA'!BK362</f>
        <v>0</v>
      </c>
      <c r="G367" s="1412" t="n">
        <f aca="false">'V_DATOS PAC_SGA'!AN362</f>
        <v>0</v>
      </c>
      <c r="H367" s="1413" t="str">
        <f aca="false">IF(B367&gt;0,VLOOKUP(B367,'O_MN, PE_UTA_UGM 2024'!E$3:O$419,10),"")</f>
        <v/>
      </c>
      <c r="I367" s="1359" t="n">
        <f aca="false">'V_DATOS PAC_SGA'!BV362</f>
        <v>0</v>
      </c>
      <c r="J367" s="2" t="str">
        <f aca="false">IF(AND(J$4=$G367,J$6=$F367),$D367*J$5,"")</f>
        <v/>
      </c>
      <c r="K367" s="2" t="str">
        <f aca="false">IF(AND(K$4=$G367,K$6=$F367),$D367*K$5,"")</f>
        <v/>
      </c>
      <c r="L367" s="2" t="str">
        <f aca="false">IF(AND(L$4=$G367,L$6=$F367),$D367*L$5,"")</f>
        <v/>
      </c>
      <c r="M367" s="2" t="str">
        <f aca="false">IF(AND(M$4=$G367,M$6=$F367),$D367*M$5,"")</f>
        <v/>
      </c>
      <c r="N367" s="1414" t="n">
        <f aca="false">VLOOKUP(B367,'O_MN, PE_UTA_UGM 2024'!$E$2:$K$419,IF(G367&gt;1,6,7))</f>
        <v>0</v>
      </c>
      <c r="O367" s="1434" t="str">
        <f aca="false">IF($H367=O$4,$D367*$N367,"")</f>
        <v/>
      </c>
      <c r="P367" s="1435" t="str">
        <f aca="false">IF($H367=P$4,$D367*$N367,"")</f>
        <v/>
      </c>
      <c r="Q367" s="1435" t="str">
        <f aca="false">IF($H367=Q$4,$D367*$N367,"")</f>
        <v/>
      </c>
      <c r="R367" s="1435" t="str">
        <f aca="false">IF($H367=R$4,$D367*$N367,"")</f>
        <v/>
      </c>
      <c r="S367" s="1435" t="str">
        <f aca="false">IF($H367=S$4,$D367*$N367,"")</f>
        <v/>
      </c>
      <c r="T367" s="1435" t="str">
        <f aca="false">IF($H367=T$4,$D367*$N367,"")</f>
        <v/>
      </c>
      <c r="U367" s="1436" t="str">
        <f aca="false">IF($H367=U$4,$D367*$N367,"")</f>
        <v/>
      </c>
      <c r="V367" s="1472"/>
      <c r="W367" s="1471"/>
      <c r="X367" s="1471"/>
      <c r="Y367" s="1471"/>
      <c r="Z367" s="1471"/>
      <c r="AA367" s="1471"/>
      <c r="AB367" s="1473"/>
      <c r="AC367" s="1319"/>
      <c r="AD367" s="2" t="str">
        <f aca="false">IF(AND(AD$4=$G367,AD$6=$F367),$B367,"")</f>
        <v/>
      </c>
      <c r="AE367" s="2" t="str">
        <f aca="false">IF(AND(AE$4=$G367,AE$6=$F367),$B367,"")</f>
        <v/>
      </c>
      <c r="AF367" s="2" t="str">
        <f aca="false">IF(AND(AF$4=$G367,AF$6=$F367),$B367,"")</f>
        <v/>
      </c>
      <c r="AG367" s="2" t="str">
        <f aca="false">IF(AND(AG$4=$G367,AG$6=$F367),$B367,"")</f>
        <v/>
      </c>
      <c r="AI367" s="366"/>
      <c r="AL367" s="367"/>
      <c r="AO367" s="367"/>
      <c r="AP367" s="2" t="str">
        <f aca="false">IF(AT367&gt;0,RANK(AT367,AT$7:AT$423),"")</f>
        <v/>
      </c>
      <c r="AQ367" s="1475" t="n">
        <f aca="false">'O_MN, PE_UTA_UGM 2024'!C364</f>
        <v>915</v>
      </c>
      <c r="AR367" s="1421" t="n">
        <v>4130</v>
      </c>
      <c r="AS367" s="2" t="str">
        <f aca="false">IF(AY367&lt;&gt;"",AY367,"")</f>
        <v/>
      </c>
      <c r="AT367" s="1422" t="n">
        <f aca="false">IF(ISNUMBER($AR367),SUMIF(B$7:B$505,AR367,D$7:D$505),"")</f>
        <v>0</v>
      </c>
      <c r="AU367" s="1411" t="n">
        <f aca="false">IF(ISNUMBER($AR367),SUMIF(AD$7:AD$503,$AR367,J$7:J$503),"")</f>
        <v>0</v>
      </c>
      <c r="AV367" s="1411" t="n">
        <f aca="false">IF(ISNUMBER($AR367),SUMIF(AF$7:AF$503,$AR367,L$7:L$503),"")</f>
        <v>0</v>
      </c>
      <c r="AW367" s="1423" t="n">
        <f aca="false">IF(ISNUMBER($AR367),SUMIF(AE$7:AE$503,$AR367,K$7:K$503),"")</f>
        <v>0</v>
      </c>
      <c r="AX367" s="1423" t="n">
        <f aca="false">IF(ISNUMBER($AR367),SUMIF(AG$7:AG$503,$AR367,M$7:M$503),"")</f>
        <v>0</v>
      </c>
      <c r="AY367" s="2" t="str">
        <f aca="false">IF($AT367&gt;0,VLOOKUP($AR367,'O_MN, PE_UTA_UGM 2024'!E364:O779,2),"")</f>
        <v/>
      </c>
      <c r="AZ367" s="1424"/>
      <c r="BA367" s="1424"/>
      <c r="BB367" s="1424" t="str">
        <f aca="false">IF($AT367&gt;0,VLOOKUP($AR367,'O_MN, PE_UTA_UGM 2024'!$E$3:$O$419,BB$6),"")</f>
        <v/>
      </c>
      <c r="BC367" s="1424" t="str">
        <f aca="false">IF($AT367&gt;0,VLOOKUP($AR367,'O_MN, PE_UTA_UGM 2024'!$E$3:$O$419,BC$6),"")</f>
        <v/>
      </c>
      <c r="BD367" s="1424" t="str">
        <f aca="false">IF($AT367&gt;0,VLOOKUP($AR367,'O_MN, PE_UTA_UGM 2024'!$E$3:$O$419,BD$6),"")</f>
        <v/>
      </c>
      <c r="BE367" s="1424" t="str">
        <f aca="false">IF($AT367&gt;0,VLOOKUP($AR367,'O_MN, PE_UTA_UGM 2024'!$E$3:$O$419,BE$6),"")</f>
        <v/>
      </c>
      <c r="BF367" s="1424" t="str">
        <f aca="false">IF($AT367&gt;0,VLOOKUP($AR367,'O_MN, PE_UTA_UGM 2024'!$E$3:$O$419,BF$6),"")</f>
        <v/>
      </c>
      <c r="BG367" s="1424" t="str">
        <f aca="false">IF($AT367&gt;0,VLOOKUP($AR367,'O_MN, PE_UTA_UGM 2024'!$E$3:$O$419,BG$6),"")</f>
        <v/>
      </c>
      <c r="BH367" s="872"/>
      <c r="BI367" s="872"/>
      <c r="BJ367" s="872"/>
      <c r="BK367" s="872"/>
      <c r="BM367" s="1411"/>
      <c r="BN367" s="1411"/>
      <c r="BO367" s="1425" t="str">
        <f aca="false">IF(ISNUMBER($AU367*BB367*1),$AU367*BB367*1,"")</f>
        <v/>
      </c>
      <c r="BP367" s="1425" t="str">
        <f aca="false">IF(ISNUMBER($AV367*BC367*1),$AV367*BC367*1,"")</f>
        <v/>
      </c>
      <c r="BQ367" s="1425" t="str">
        <f aca="false">IF(ISNUMBER($AU367*BD367*1),$AU367*BD367*1,"")</f>
        <v/>
      </c>
      <c r="BR367" s="1425" t="str">
        <f aca="false">IF(ISNUMBER($AV367*BE367*1),$AV367*BE367*1,"")</f>
        <v/>
      </c>
      <c r="BS367" s="1411" t="str">
        <f aca="false">IF(ISNUMBER($AU367*BF367),$AU367*BF367,"")</f>
        <v/>
      </c>
      <c r="BT367" s="1411" t="str">
        <f aca="false">IF(ISNUMBER($AV367*BG367),$AV367*BG367,"")</f>
        <v/>
      </c>
      <c r="BU367" s="1411"/>
      <c r="BV367" s="1411"/>
      <c r="BW367" s="1411"/>
      <c r="BX367" s="1411"/>
      <c r="BZ367" s="1372"/>
      <c r="CA367" s="1372"/>
      <c r="CB367" s="1426" t="str">
        <f aca="false">IF(ISNUMBER($AW367*BB367),$AW367*BB367,"")</f>
        <v/>
      </c>
      <c r="CC367" s="1426" t="str">
        <f aca="false">IF(ISNUMBER($AX367*BC367),$AX367*BC367,"")</f>
        <v/>
      </c>
      <c r="CD367" s="1426" t="str">
        <f aca="false">IF(ISNUMBER($AW367*BD367),$AW367*BD367,"")</f>
        <v/>
      </c>
      <c r="CE367" s="1426" t="str">
        <f aca="false">IF(ISNUMBER($AX367*BE367),$AX367*BE367,"")</f>
        <v/>
      </c>
      <c r="CF367" s="1372" t="str">
        <f aca="false">IF(ISNUMBER($AW367*BF367),$AW367*BF367,"")</f>
        <v/>
      </c>
      <c r="CG367" s="1372" t="str">
        <f aca="false">IF(ISNUMBER($AX367*BG367),$AX367*BG367,"")</f>
        <v/>
      </c>
      <c r="CH367" s="1438"/>
      <c r="CI367" s="1438"/>
      <c r="CJ367" s="1438"/>
      <c r="CK367" s="1438"/>
      <c r="CU367" s="1411"/>
      <c r="CV367" s="1411"/>
      <c r="CW367" s="1425"/>
      <c r="CX367" s="1425"/>
      <c r="CY367" s="1425"/>
      <c r="CZ367" s="1425"/>
      <c r="DA367" s="1411"/>
      <c r="DB367" s="1411"/>
      <c r="DC367" s="1411"/>
      <c r="DD367" s="1411"/>
      <c r="DE367" s="1411"/>
      <c r="DF367" s="1411"/>
      <c r="DH367" s="1432"/>
      <c r="DI367" s="1432"/>
      <c r="DJ367" s="1437"/>
      <c r="DK367" s="1437"/>
      <c r="DL367" s="1437"/>
      <c r="DM367" s="1437"/>
      <c r="DN367" s="1432"/>
      <c r="DO367" s="1432"/>
      <c r="DP367" s="1432"/>
      <c r="DQ367" s="1432"/>
      <c r="DR367" s="1432"/>
      <c r="DS367" s="1432"/>
      <c r="DT367" s="1316"/>
      <c r="DU367" s="1433"/>
      <c r="DV367" s="1433"/>
      <c r="DW367" s="1433"/>
      <c r="DX367" s="1433"/>
      <c r="DY367" s="1433"/>
      <c r="DZ367" s="1433"/>
      <c r="EA367" s="1433"/>
      <c r="EB367" s="1433"/>
    </row>
    <row r="368" customFormat="false" ht="14.25" hidden="false" customHeight="false" outlineLevel="0" collapsed="false">
      <c r="A368" s="2" t="n">
        <f aca="false">'V_DATOS PAC_SGA'!R363</f>
        <v>0</v>
      </c>
      <c r="B368" s="2" t="n">
        <f aca="false">IF(I368="IV",CONCATENATE('V_DATOS PAC_SGA'!R363,"4")+0,CONCATENATE('V_DATOS PAC_SGA'!R363,"0")+0)</f>
        <v>0</v>
      </c>
      <c r="C368" s="2" t="n">
        <f aca="false">'V_DATOS PAC_SGA'!S363</f>
        <v>0</v>
      </c>
      <c r="D368" s="1409" t="n">
        <f aca="false">'V_DATOS PAC_SGA'!Y363</f>
        <v>0</v>
      </c>
      <c r="E368" s="1410" t="str">
        <f aca="false">IF('V_DATOS PAC_SGA'!AV363="","Regadio",'V_DATOS PAC_SGA'!AV363)</f>
        <v>Regadio</v>
      </c>
      <c r="F368" s="1411" t="n">
        <f aca="false">'V_DATOS PAC_SGA'!BK363</f>
        <v>0</v>
      </c>
      <c r="G368" s="1412" t="n">
        <f aca="false">'V_DATOS PAC_SGA'!AN363</f>
        <v>0</v>
      </c>
      <c r="H368" s="1413" t="str">
        <f aca="false">IF(B368&gt;0,VLOOKUP(B368,'O_MN, PE_UTA_UGM 2024'!E$3:O$419,10),"")</f>
        <v/>
      </c>
      <c r="I368" s="1359" t="n">
        <f aca="false">'V_DATOS PAC_SGA'!BV363</f>
        <v>0</v>
      </c>
      <c r="J368" s="2" t="str">
        <f aca="false">IF(AND(J$4=$G368,J$6=$F368),$D368*J$5,"")</f>
        <v/>
      </c>
      <c r="K368" s="2" t="str">
        <f aca="false">IF(AND(K$4=$G368,K$6=$F368),$D368*K$5,"")</f>
        <v/>
      </c>
      <c r="L368" s="2" t="str">
        <f aca="false">IF(AND(L$4=$G368,L$6=$F368),$D368*L$5,"")</f>
        <v/>
      </c>
      <c r="M368" s="2" t="str">
        <f aca="false">IF(AND(M$4=$G368,M$6=$F368),$D368*M$5,"")</f>
        <v/>
      </c>
      <c r="N368" s="1414" t="n">
        <f aca="false">VLOOKUP(B368,'O_MN, PE_UTA_UGM 2024'!$E$2:$K$419,IF(G368&gt;1,6,7))</f>
        <v>0</v>
      </c>
      <c r="O368" s="1434" t="str">
        <f aca="false">IF($H368=O$4,$D368*$N368,"")</f>
        <v/>
      </c>
      <c r="P368" s="1435" t="str">
        <f aca="false">IF($H368=P$4,$D368*$N368,"")</f>
        <v/>
      </c>
      <c r="Q368" s="1435" t="str">
        <f aca="false">IF($H368=Q$4,$D368*$N368,"")</f>
        <v/>
      </c>
      <c r="R368" s="1435" t="str">
        <f aca="false">IF($H368=R$4,$D368*$N368,"")</f>
        <v/>
      </c>
      <c r="S368" s="1435" t="str">
        <f aca="false">IF($H368=S$4,$D368*$N368,"")</f>
        <v/>
      </c>
      <c r="T368" s="1435" t="str">
        <f aca="false">IF($H368=T$4,$D368*$N368,"")</f>
        <v/>
      </c>
      <c r="U368" s="1436" t="str">
        <f aca="false">IF($H368=U$4,$D368*$N368,"")</f>
        <v/>
      </c>
      <c r="V368" s="1472"/>
      <c r="W368" s="1471"/>
      <c r="X368" s="1471"/>
      <c r="Y368" s="1471"/>
      <c r="Z368" s="1471"/>
      <c r="AA368" s="1471"/>
      <c r="AB368" s="1473"/>
      <c r="AC368" s="1319"/>
      <c r="AD368" s="2" t="str">
        <f aca="false">IF(AND(AD$4=$G368,AD$6=$F368),$B368,"")</f>
        <v/>
      </c>
      <c r="AE368" s="2" t="str">
        <f aca="false">IF(AND(AE$4=$G368,AE$6=$F368),$B368,"")</f>
        <v/>
      </c>
      <c r="AF368" s="2" t="str">
        <f aca="false">IF(AND(AF$4=$G368,AF$6=$F368),$B368,"")</f>
        <v/>
      </c>
      <c r="AG368" s="2" t="str">
        <f aca="false">IF(AND(AG$4=$G368,AG$6=$F368),$B368,"")</f>
        <v/>
      </c>
      <c r="AI368" s="366"/>
      <c r="AL368" s="367"/>
      <c r="AO368" s="367"/>
      <c r="AP368" s="2" t="str">
        <f aca="false">IF(AT368&gt;0,RANK(AT368,AT$7:AT$423),"")</f>
        <v/>
      </c>
      <c r="AQ368" s="1475" t="n">
        <f aca="false">'O_MN, PE_UTA_UGM 2024'!C365</f>
        <v>916</v>
      </c>
      <c r="AR368" s="1421" t="n">
        <v>4140</v>
      </c>
      <c r="AS368" s="2" t="str">
        <f aca="false">IF(AY368&lt;&gt;"",AY368,"")</f>
        <v/>
      </c>
      <c r="AT368" s="1422" t="n">
        <f aca="false">IF(ISNUMBER($AR368),SUMIF(B$7:B$505,AR368,D$7:D$505),"")</f>
        <v>0</v>
      </c>
      <c r="AU368" s="1411" t="n">
        <f aca="false">IF(ISNUMBER($AR368),SUMIF(AD$7:AD$503,$AR368,J$7:J$503),"")</f>
        <v>0</v>
      </c>
      <c r="AV368" s="1411" t="n">
        <f aca="false">IF(ISNUMBER($AR368),SUMIF(AF$7:AF$503,$AR368,L$7:L$503),"")</f>
        <v>0</v>
      </c>
      <c r="AW368" s="1423" t="n">
        <f aca="false">IF(ISNUMBER($AR368),SUMIF(AE$7:AE$503,$AR368,K$7:K$503),"")</f>
        <v>0</v>
      </c>
      <c r="AX368" s="1423" t="n">
        <f aca="false">IF(ISNUMBER($AR368),SUMIF(AG$7:AG$503,$AR368,M$7:M$503),"")</f>
        <v>0</v>
      </c>
      <c r="AY368" s="2" t="str">
        <f aca="false">IF($AT368&gt;0,VLOOKUP($AR368,'O_MN, PE_UTA_UGM 2024'!E365:O780,2),"")</f>
        <v/>
      </c>
      <c r="AZ368" s="1424"/>
      <c r="BA368" s="1424"/>
      <c r="BB368" s="1424" t="str">
        <f aca="false">IF($AT368&gt;0,VLOOKUP($AR368,'O_MN, PE_UTA_UGM 2024'!$E$3:$O$419,BB$6),"")</f>
        <v/>
      </c>
      <c r="BC368" s="1424" t="str">
        <f aca="false">IF($AT368&gt;0,VLOOKUP($AR368,'O_MN, PE_UTA_UGM 2024'!$E$3:$O$419,BC$6),"")</f>
        <v/>
      </c>
      <c r="BD368" s="1424" t="str">
        <f aca="false">IF($AT368&gt;0,VLOOKUP($AR368,'O_MN, PE_UTA_UGM 2024'!$E$3:$O$419,BD$6),"")</f>
        <v/>
      </c>
      <c r="BE368" s="1424" t="str">
        <f aca="false">IF($AT368&gt;0,VLOOKUP($AR368,'O_MN, PE_UTA_UGM 2024'!$E$3:$O$419,BE$6),"")</f>
        <v/>
      </c>
      <c r="BF368" s="1424" t="str">
        <f aca="false">IF($AT368&gt;0,VLOOKUP($AR368,'O_MN, PE_UTA_UGM 2024'!$E$3:$O$419,BF$6),"")</f>
        <v/>
      </c>
      <c r="BG368" s="1424" t="str">
        <f aca="false">IF($AT368&gt;0,VLOOKUP($AR368,'O_MN, PE_UTA_UGM 2024'!$E$3:$O$419,BG$6),"")</f>
        <v/>
      </c>
      <c r="BH368" s="872"/>
      <c r="BI368" s="872"/>
      <c r="BJ368" s="872"/>
      <c r="BK368" s="872"/>
      <c r="BM368" s="1411"/>
      <c r="BN368" s="1411"/>
      <c r="BO368" s="1425" t="str">
        <f aca="false">IF(ISNUMBER($AU368*BB368*1),$AU368*BB368*1,"")</f>
        <v/>
      </c>
      <c r="BP368" s="1425" t="str">
        <f aca="false">IF(ISNUMBER($AV368*BC368*1),$AV368*BC368*1,"")</f>
        <v/>
      </c>
      <c r="BQ368" s="1425" t="str">
        <f aca="false">IF(ISNUMBER($AU368*BD368*1),$AU368*BD368*1,"")</f>
        <v/>
      </c>
      <c r="BR368" s="1425" t="str">
        <f aca="false">IF(ISNUMBER($AV368*BE368*1),$AV368*BE368*1,"")</f>
        <v/>
      </c>
      <c r="BS368" s="1411" t="str">
        <f aca="false">IF(ISNUMBER($AU368*BF368),$AU368*BF368,"")</f>
        <v/>
      </c>
      <c r="BT368" s="1411" t="str">
        <f aca="false">IF(ISNUMBER($AV368*BG368),$AV368*BG368,"")</f>
        <v/>
      </c>
      <c r="BU368" s="1411"/>
      <c r="BV368" s="1411"/>
      <c r="BW368" s="1411"/>
      <c r="BX368" s="1411"/>
      <c r="BZ368" s="1372"/>
      <c r="CA368" s="1372"/>
      <c r="CB368" s="1426" t="str">
        <f aca="false">IF(ISNUMBER($AW368*BB368),$AW368*BB368,"")</f>
        <v/>
      </c>
      <c r="CC368" s="1426" t="str">
        <f aca="false">IF(ISNUMBER($AX368*BC368),$AX368*BC368,"")</f>
        <v/>
      </c>
      <c r="CD368" s="1426" t="str">
        <f aca="false">IF(ISNUMBER($AW368*BD368),$AW368*BD368,"")</f>
        <v/>
      </c>
      <c r="CE368" s="1426" t="str">
        <f aca="false">IF(ISNUMBER($AX368*BE368),$AX368*BE368,"")</f>
        <v/>
      </c>
      <c r="CF368" s="1372" t="str">
        <f aca="false">IF(ISNUMBER($AW368*BF368),$AW368*BF368,"")</f>
        <v/>
      </c>
      <c r="CG368" s="1372" t="str">
        <f aca="false">IF(ISNUMBER($AX368*BG368),$AX368*BG368,"")</f>
        <v/>
      </c>
      <c r="CH368" s="1438"/>
      <c r="CI368" s="1438"/>
      <c r="CJ368" s="1438"/>
      <c r="CK368" s="1438"/>
      <c r="CU368" s="1411"/>
      <c r="CV368" s="1411"/>
      <c r="CW368" s="1425"/>
      <c r="CX368" s="1425"/>
      <c r="CY368" s="1425"/>
      <c r="CZ368" s="1425"/>
      <c r="DA368" s="1411"/>
      <c r="DB368" s="1411"/>
      <c r="DC368" s="1411"/>
      <c r="DD368" s="1411"/>
      <c r="DE368" s="1411"/>
      <c r="DF368" s="1411"/>
      <c r="DH368" s="1432"/>
      <c r="DI368" s="1432"/>
      <c r="DJ368" s="1437"/>
      <c r="DK368" s="1437"/>
      <c r="DL368" s="1437"/>
      <c r="DM368" s="1437"/>
      <c r="DN368" s="1432"/>
      <c r="DO368" s="1432"/>
      <c r="DP368" s="1432"/>
      <c r="DQ368" s="1432"/>
      <c r="DR368" s="1432"/>
      <c r="DS368" s="1432"/>
      <c r="DT368" s="1316"/>
      <c r="DU368" s="1433"/>
      <c r="DV368" s="1433"/>
      <c r="DW368" s="1433"/>
      <c r="DX368" s="1433"/>
      <c r="DY368" s="1433"/>
      <c r="DZ368" s="1433"/>
      <c r="EA368" s="1433"/>
      <c r="EB368" s="1433"/>
    </row>
    <row r="369" customFormat="false" ht="14.25" hidden="false" customHeight="false" outlineLevel="0" collapsed="false">
      <c r="A369" s="2" t="n">
        <f aca="false">'V_DATOS PAC_SGA'!R364</f>
        <v>0</v>
      </c>
      <c r="B369" s="2" t="n">
        <f aca="false">IF(I369="IV",CONCATENATE('V_DATOS PAC_SGA'!R364,"4")+0,CONCATENATE('V_DATOS PAC_SGA'!R364,"0")+0)</f>
        <v>0</v>
      </c>
      <c r="C369" s="2" t="n">
        <f aca="false">'V_DATOS PAC_SGA'!S364</f>
        <v>0</v>
      </c>
      <c r="D369" s="1409" t="n">
        <f aca="false">'V_DATOS PAC_SGA'!Y364</f>
        <v>0</v>
      </c>
      <c r="E369" s="1410" t="str">
        <f aca="false">IF('V_DATOS PAC_SGA'!AV364="","Regadio",'V_DATOS PAC_SGA'!AV364)</f>
        <v>Regadio</v>
      </c>
      <c r="F369" s="1411" t="n">
        <f aca="false">'V_DATOS PAC_SGA'!BK364</f>
        <v>0</v>
      </c>
      <c r="G369" s="1412" t="n">
        <f aca="false">'V_DATOS PAC_SGA'!AN364</f>
        <v>0</v>
      </c>
      <c r="H369" s="1413" t="str">
        <f aca="false">IF(B369&gt;0,VLOOKUP(B369,'O_MN, PE_UTA_UGM 2024'!E$3:O$419,10),"")</f>
        <v/>
      </c>
      <c r="I369" s="1359" t="n">
        <f aca="false">'V_DATOS PAC_SGA'!BV364</f>
        <v>0</v>
      </c>
      <c r="J369" s="2" t="str">
        <f aca="false">IF(AND(J$4=$G369,J$6=$F369),$D369*J$5,"")</f>
        <v/>
      </c>
      <c r="K369" s="2" t="str">
        <f aca="false">IF(AND(K$4=$G369,K$6=$F369),$D369*K$5,"")</f>
        <v/>
      </c>
      <c r="L369" s="2" t="str">
        <f aca="false">IF(AND(L$4=$G369,L$6=$F369),$D369*L$5,"")</f>
        <v/>
      </c>
      <c r="M369" s="2" t="str">
        <f aca="false">IF(AND(M$4=$G369,M$6=$F369),$D369*M$5,"")</f>
        <v/>
      </c>
      <c r="N369" s="1414" t="n">
        <f aca="false">VLOOKUP(B369,'O_MN, PE_UTA_UGM 2024'!$E$2:$K$419,IF(G369&gt;1,6,7))</f>
        <v>0</v>
      </c>
      <c r="O369" s="1434" t="str">
        <f aca="false">IF($H369=O$4,$D369*$N369,"")</f>
        <v/>
      </c>
      <c r="P369" s="1435" t="str">
        <f aca="false">IF($H369=P$4,$D369*$N369,"")</f>
        <v/>
      </c>
      <c r="Q369" s="1435" t="str">
        <f aca="false">IF($H369=Q$4,$D369*$N369,"")</f>
        <v/>
      </c>
      <c r="R369" s="1435" t="str">
        <f aca="false">IF($H369=R$4,$D369*$N369,"")</f>
        <v/>
      </c>
      <c r="S369" s="1435" t="str">
        <f aca="false">IF($H369=S$4,$D369*$N369,"")</f>
        <v/>
      </c>
      <c r="T369" s="1435" t="str">
        <f aca="false">IF($H369=T$4,$D369*$N369,"")</f>
        <v/>
      </c>
      <c r="U369" s="1436" t="str">
        <f aca="false">IF($H369=U$4,$D369*$N369,"")</f>
        <v/>
      </c>
      <c r="V369" s="1472"/>
      <c r="W369" s="1471"/>
      <c r="X369" s="1471"/>
      <c r="Y369" s="1471"/>
      <c r="Z369" s="1471"/>
      <c r="AA369" s="1471"/>
      <c r="AB369" s="1473"/>
      <c r="AC369" s="1319"/>
      <c r="AD369" s="2" t="str">
        <f aca="false">IF(AND(AD$4=$G369,AD$6=$F369),$B369,"")</f>
        <v/>
      </c>
      <c r="AE369" s="2" t="str">
        <f aca="false">IF(AND(AE$4=$G369,AE$6=$F369),$B369,"")</f>
        <v/>
      </c>
      <c r="AF369" s="2" t="str">
        <f aca="false">IF(AND(AF$4=$G369,AF$6=$F369),$B369,"")</f>
        <v/>
      </c>
      <c r="AG369" s="2" t="str">
        <f aca="false">IF(AND(AG$4=$G369,AG$6=$F369),$B369,"")</f>
        <v/>
      </c>
      <c r="AI369" s="366"/>
      <c r="AL369" s="367"/>
      <c r="AO369" s="367"/>
      <c r="AP369" s="2" t="str">
        <f aca="false">IF(AT369&gt;0,RANK(AT369,AT$7:AT$423),"")</f>
        <v/>
      </c>
      <c r="AQ369" s="1475" t="n">
        <f aca="false">'O_MN, PE_UTA_UGM 2024'!C366</f>
        <v>927</v>
      </c>
      <c r="AR369" s="1421" t="n">
        <v>4150</v>
      </c>
      <c r="AS369" s="2" t="str">
        <f aca="false">IF(AY369&lt;&gt;"",AY369,"")</f>
        <v/>
      </c>
      <c r="AT369" s="1422" t="n">
        <f aca="false">IF(ISNUMBER($AR369),SUMIF(B$7:B$505,AR369,D$7:D$505),"")</f>
        <v>0</v>
      </c>
      <c r="AU369" s="1411" t="n">
        <f aca="false">IF(ISNUMBER($AR369),SUMIF(AD$7:AD$503,$AR369,J$7:J$503),"")</f>
        <v>0</v>
      </c>
      <c r="AV369" s="1411" t="n">
        <f aca="false">IF(ISNUMBER($AR369),SUMIF(AF$7:AF$503,$AR369,L$7:L$503),"")</f>
        <v>0</v>
      </c>
      <c r="AW369" s="1423" t="n">
        <f aca="false">IF(ISNUMBER($AR369),SUMIF(AE$7:AE$503,$AR369,K$7:K$503),"")</f>
        <v>0</v>
      </c>
      <c r="AX369" s="1423" t="n">
        <f aca="false">IF(ISNUMBER($AR369),SUMIF(AG$7:AG$503,$AR369,M$7:M$503),"")</f>
        <v>0</v>
      </c>
      <c r="AY369" s="2" t="str">
        <f aca="false">IF($AT369&gt;0,VLOOKUP($AR369,'O_MN, PE_UTA_UGM 2024'!E366:O781,2),"")</f>
        <v/>
      </c>
      <c r="AZ369" s="1424"/>
      <c r="BA369" s="1424"/>
      <c r="BB369" s="1424" t="str">
        <f aca="false">IF($AT369&gt;0,VLOOKUP($AR369,'O_MN, PE_UTA_UGM 2024'!$E$3:$O$419,BB$6),"")</f>
        <v/>
      </c>
      <c r="BC369" s="1424" t="str">
        <f aca="false">IF($AT369&gt;0,VLOOKUP($AR369,'O_MN, PE_UTA_UGM 2024'!$E$3:$O$419,BC$6),"")</f>
        <v/>
      </c>
      <c r="BD369" s="1424" t="str">
        <f aca="false">IF($AT369&gt;0,VLOOKUP($AR369,'O_MN, PE_UTA_UGM 2024'!$E$3:$O$419,BD$6),"")</f>
        <v/>
      </c>
      <c r="BE369" s="1424" t="str">
        <f aca="false">IF($AT369&gt;0,VLOOKUP($AR369,'O_MN, PE_UTA_UGM 2024'!$E$3:$O$419,BE$6),"")</f>
        <v/>
      </c>
      <c r="BF369" s="1424" t="str">
        <f aca="false">IF($AT369&gt;0,VLOOKUP($AR369,'O_MN, PE_UTA_UGM 2024'!$E$3:$O$419,BF$6),"")</f>
        <v/>
      </c>
      <c r="BG369" s="1424" t="str">
        <f aca="false">IF($AT369&gt;0,VLOOKUP($AR369,'O_MN, PE_UTA_UGM 2024'!$E$3:$O$419,BG$6),"")</f>
        <v/>
      </c>
      <c r="BH369" s="872"/>
      <c r="BI369" s="872"/>
      <c r="BJ369" s="872"/>
      <c r="BK369" s="872"/>
      <c r="BM369" s="1411"/>
      <c r="BN369" s="1411"/>
      <c r="BO369" s="1425" t="str">
        <f aca="false">IF(ISNUMBER($AU369*BB369*1),$AU369*BB369*1,"")</f>
        <v/>
      </c>
      <c r="BP369" s="1425" t="str">
        <f aca="false">IF(ISNUMBER($AV369*BC369*1),$AV369*BC369*1,"")</f>
        <v/>
      </c>
      <c r="BQ369" s="1425" t="str">
        <f aca="false">IF(ISNUMBER($AU369*BD369*1),$AU369*BD369*1,"")</f>
        <v/>
      </c>
      <c r="BR369" s="1425" t="str">
        <f aca="false">IF(ISNUMBER($AV369*BE369*1),$AV369*BE369*1,"")</f>
        <v/>
      </c>
      <c r="BS369" s="1411" t="str">
        <f aca="false">IF(ISNUMBER($AU369*BF369),$AU369*BF369,"")</f>
        <v/>
      </c>
      <c r="BT369" s="1411" t="str">
        <f aca="false">IF(ISNUMBER($AV369*BG369),$AV369*BG369,"")</f>
        <v/>
      </c>
      <c r="BU369" s="1411"/>
      <c r="BV369" s="1411"/>
      <c r="BW369" s="1411"/>
      <c r="BX369" s="1411"/>
      <c r="BZ369" s="1372"/>
      <c r="CA369" s="1372"/>
      <c r="CB369" s="1426" t="str">
        <f aca="false">IF(ISNUMBER($AW369*BB369),$AW369*BB369,"")</f>
        <v/>
      </c>
      <c r="CC369" s="1426" t="str">
        <f aca="false">IF(ISNUMBER($AX369*BC369),$AX369*BC369,"")</f>
        <v/>
      </c>
      <c r="CD369" s="1426" t="str">
        <f aca="false">IF(ISNUMBER($AW369*BD369),$AW369*BD369,"")</f>
        <v/>
      </c>
      <c r="CE369" s="1426" t="str">
        <f aca="false">IF(ISNUMBER($AX369*BE369),$AX369*BE369,"")</f>
        <v/>
      </c>
      <c r="CF369" s="1372" t="str">
        <f aca="false">IF(ISNUMBER($AW369*BF369),$AW369*BF369,"")</f>
        <v/>
      </c>
      <c r="CG369" s="1372" t="str">
        <f aca="false">IF(ISNUMBER($AX369*BG369),$AX369*BG369,"")</f>
        <v/>
      </c>
      <c r="CH369" s="1438"/>
      <c r="CI369" s="1438"/>
      <c r="CJ369" s="1438"/>
      <c r="CK369" s="1438"/>
      <c r="CU369" s="1411"/>
      <c r="CV369" s="1411"/>
      <c r="CW369" s="1425"/>
      <c r="CX369" s="1425"/>
      <c r="CY369" s="1425"/>
      <c r="CZ369" s="1425"/>
      <c r="DA369" s="1411"/>
      <c r="DB369" s="1411"/>
      <c r="DC369" s="1411"/>
      <c r="DD369" s="1411"/>
      <c r="DE369" s="1411"/>
      <c r="DF369" s="1411"/>
      <c r="DH369" s="1432"/>
      <c r="DI369" s="1432"/>
      <c r="DJ369" s="1437"/>
      <c r="DK369" s="1437"/>
      <c r="DL369" s="1437"/>
      <c r="DM369" s="1437"/>
      <c r="DN369" s="1432"/>
      <c r="DO369" s="1432"/>
      <c r="DP369" s="1432"/>
      <c r="DQ369" s="1432"/>
      <c r="DR369" s="1432"/>
      <c r="DS369" s="1432"/>
      <c r="DT369" s="1316"/>
      <c r="DU369" s="1433"/>
      <c r="DV369" s="1433"/>
      <c r="DW369" s="1433"/>
      <c r="DX369" s="1433"/>
      <c r="DY369" s="1433"/>
      <c r="DZ369" s="1433"/>
      <c r="EA369" s="1433"/>
      <c r="EB369" s="1433"/>
    </row>
    <row r="370" customFormat="false" ht="14.25" hidden="false" customHeight="false" outlineLevel="0" collapsed="false">
      <c r="A370" s="2" t="n">
        <f aca="false">'V_DATOS PAC_SGA'!R365</f>
        <v>0</v>
      </c>
      <c r="B370" s="2" t="n">
        <f aca="false">IF(I370="IV",CONCATENATE('V_DATOS PAC_SGA'!R365,"4")+0,CONCATENATE('V_DATOS PAC_SGA'!R365,"0")+0)</f>
        <v>0</v>
      </c>
      <c r="C370" s="2" t="n">
        <f aca="false">'V_DATOS PAC_SGA'!S365</f>
        <v>0</v>
      </c>
      <c r="D370" s="1409" t="n">
        <f aca="false">'V_DATOS PAC_SGA'!Y365</f>
        <v>0</v>
      </c>
      <c r="E370" s="1410" t="str">
        <f aca="false">IF('V_DATOS PAC_SGA'!AV365="","Regadio",'V_DATOS PAC_SGA'!AV365)</f>
        <v>Regadio</v>
      </c>
      <c r="F370" s="1411" t="n">
        <f aca="false">'V_DATOS PAC_SGA'!BK365</f>
        <v>0</v>
      </c>
      <c r="G370" s="1412" t="n">
        <f aca="false">'V_DATOS PAC_SGA'!AN365</f>
        <v>0</v>
      </c>
      <c r="H370" s="1413" t="str">
        <f aca="false">IF(B370&gt;0,VLOOKUP(B370,'O_MN, PE_UTA_UGM 2024'!E$3:O$419,10),"")</f>
        <v/>
      </c>
      <c r="I370" s="1359" t="n">
        <f aca="false">'V_DATOS PAC_SGA'!BV365</f>
        <v>0</v>
      </c>
      <c r="J370" s="2" t="str">
        <f aca="false">IF(AND(J$4=$G370,J$6=$F370),$D370*J$5,"")</f>
        <v/>
      </c>
      <c r="K370" s="2" t="str">
        <f aca="false">IF(AND(K$4=$G370,K$6=$F370),$D370*K$5,"")</f>
        <v/>
      </c>
      <c r="L370" s="2" t="str">
        <f aca="false">IF(AND(L$4=$G370,L$6=$F370),$D370*L$5,"")</f>
        <v/>
      </c>
      <c r="M370" s="2" t="str">
        <f aca="false">IF(AND(M$4=$G370,M$6=$F370),$D370*M$5,"")</f>
        <v/>
      </c>
      <c r="N370" s="1414" t="n">
        <f aca="false">VLOOKUP(B370,'O_MN, PE_UTA_UGM 2024'!$E$2:$K$419,IF(G370&gt;1,6,7))</f>
        <v>0</v>
      </c>
      <c r="O370" s="1434" t="str">
        <f aca="false">IF($H370=O$4,$D370*$N370,"")</f>
        <v/>
      </c>
      <c r="P370" s="1435" t="str">
        <f aca="false">IF($H370=P$4,$D370*$N370,"")</f>
        <v/>
      </c>
      <c r="Q370" s="1435" t="str">
        <f aca="false">IF($H370=Q$4,$D370*$N370,"")</f>
        <v/>
      </c>
      <c r="R370" s="1435" t="str">
        <f aca="false">IF($H370=R$4,$D370*$N370,"")</f>
        <v/>
      </c>
      <c r="S370" s="1435" t="str">
        <f aca="false">IF($H370=S$4,$D370*$N370,"")</f>
        <v/>
      </c>
      <c r="T370" s="1435" t="str">
        <f aca="false">IF($H370=T$4,$D370*$N370,"")</f>
        <v/>
      </c>
      <c r="U370" s="1436" t="str">
        <f aca="false">IF($H370=U$4,$D370*$N370,"")</f>
        <v/>
      </c>
      <c r="V370" s="1472"/>
      <c r="W370" s="1471"/>
      <c r="X370" s="1471"/>
      <c r="Y370" s="1471"/>
      <c r="Z370" s="1471"/>
      <c r="AA370" s="1471"/>
      <c r="AB370" s="1473"/>
      <c r="AC370" s="1319"/>
      <c r="AD370" s="2" t="str">
        <f aca="false">IF(AND(AD$4=$G370,AD$6=$F370),$B370,"")</f>
        <v/>
      </c>
      <c r="AE370" s="2" t="str">
        <f aca="false">IF(AND(AE$4=$G370,AE$6=$F370),$B370,"")</f>
        <v/>
      </c>
      <c r="AF370" s="2" t="str">
        <f aca="false">IF(AND(AF$4=$G370,AF$6=$F370),$B370,"")</f>
        <v/>
      </c>
      <c r="AG370" s="2" t="str">
        <f aca="false">IF(AND(AG$4=$G370,AG$6=$F370),$B370,"")</f>
        <v/>
      </c>
      <c r="AI370" s="366"/>
      <c r="AL370" s="367"/>
      <c r="AO370" s="367"/>
      <c r="AP370" s="2" t="str">
        <f aca="false">IF(AT370&gt;0,RANK(AT370,AT$7:AT$423),"")</f>
        <v/>
      </c>
      <c r="AQ370" s="1475" t="n">
        <f aca="false">'O_MN, PE_UTA_UGM 2024'!C367</f>
        <v>938</v>
      </c>
      <c r="AR370" s="1421" t="n">
        <v>4170</v>
      </c>
      <c r="AS370" s="2" t="str">
        <f aca="false">IF(AY370&lt;&gt;"",AY370,"")</f>
        <v/>
      </c>
      <c r="AT370" s="1422" t="n">
        <f aca="false">IF(ISNUMBER($AR370),SUMIF(B$7:B$505,AR370,D$7:D$505),"")</f>
        <v>0</v>
      </c>
      <c r="AU370" s="1411" t="n">
        <f aca="false">IF(ISNUMBER($AR370),SUMIF(AD$7:AD$503,$AR370,J$7:J$503),"")</f>
        <v>0</v>
      </c>
      <c r="AV370" s="1411" t="n">
        <f aca="false">IF(ISNUMBER($AR370),SUMIF(AF$7:AF$503,$AR370,L$7:L$503),"")</f>
        <v>0</v>
      </c>
      <c r="AW370" s="1423" t="n">
        <f aca="false">IF(ISNUMBER($AR370),SUMIF(AE$7:AE$503,$AR370,K$7:K$503),"")</f>
        <v>0</v>
      </c>
      <c r="AX370" s="1423" t="n">
        <f aca="false">IF(ISNUMBER($AR370),SUMIF(AG$7:AG$503,$AR370,M$7:M$503),"")</f>
        <v>0</v>
      </c>
      <c r="AY370" s="2" t="str">
        <f aca="false">IF($AT370&gt;0,VLOOKUP($AR370,'O_MN, PE_UTA_UGM 2024'!E367:O782,2),"")</f>
        <v/>
      </c>
      <c r="AZ370" s="1424"/>
      <c r="BA370" s="1424"/>
      <c r="BB370" s="1424" t="str">
        <f aca="false">IF($AT370&gt;0,VLOOKUP($AR370,'O_MN, PE_UTA_UGM 2024'!$E$3:$O$419,BB$6),"")</f>
        <v/>
      </c>
      <c r="BC370" s="1424" t="str">
        <f aca="false">IF($AT370&gt;0,VLOOKUP($AR370,'O_MN, PE_UTA_UGM 2024'!$E$3:$O$419,BC$6),"")</f>
        <v/>
      </c>
      <c r="BD370" s="1424" t="str">
        <f aca="false">IF($AT370&gt;0,VLOOKUP($AR370,'O_MN, PE_UTA_UGM 2024'!$E$3:$O$419,BD$6),"")</f>
        <v/>
      </c>
      <c r="BE370" s="1424" t="str">
        <f aca="false">IF($AT370&gt;0,VLOOKUP($AR370,'O_MN, PE_UTA_UGM 2024'!$E$3:$O$419,BE$6),"")</f>
        <v/>
      </c>
      <c r="BF370" s="1424" t="str">
        <f aca="false">IF($AT370&gt;0,VLOOKUP($AR370,'O_MN, PE_UTA_UGM 2024'!$E$3:$O$419,BF$6),"")</f>
        <v/>
      </c>
      <c r="BG370" s="1424" t="str">
        <f aca="false">IF($AT370&gt;0,VLOOKUP($AR370,'O_MN, PE_UTA_UGM 2024'!$E$3:$O$419,BG$6),"")</f>
        <v/>
      </c>
      <c r="BH370" s="872"/>
      <c r="BI370" s="872"/>
      <c r="BJ370" s="872"/>
      <c r="BK370" s="872"/>
      <c r="BM370" s="1411"/>
      <c r="BN370" s="1411"/>
      <c r="BO370" s="1425" t="str">
        <f aca="false">IF(ISNUMBER($AU370*BB370*1),$AU370*BB370*1,"")</f>
        <v/>
      </c>
      <c r="BP370" s="1425" t="str">
        <f aca="false">IF(ISNUMBER($AV370*BC370*1),$AV370*BC370*1,"")</f>
        <v/>
      </c>
      <c r="BQ370" s="1425" t="str">
        <f aca="false">IF(ISNUMBER($AU370*BD370*1),$AU370*BD370*1,"")</f>
        <v/>
      </c>
      <c r="BR370" s="1425" t="str">
        <f aca="false">IF(ISNUMBER($AV370*BE370*1),$AV370*BE370*1,"")</f>
        <v/>
      </c>
      <c r="BS370" s="1411" t="str">
        <f aca="false">IF(ISNUMBER($AU370*BF370),$AU370*BF370,"")</f>
        <v/>
      </c>
      <c r="BT370" s="1411" t="str">
        <f aca="false">IF(ISNUMBER($AV370*BG370),$AV370*BG370,"")</f>
        <v/>
      </c>
      <c r="BU370" s="1411"/>
      <c r="BV370" s="1411"/>
      <c r="BW370" s="1411"/>
      <c r="BX370" s="1411"/>
      <c r="BZ370" s="1372"/>
      <c r="CA370" s="1372"/>
      <c r="CB370" s="1426" t="str">
        <f aca="false">IF(ISNUMBER($AW370*BB370),$AW370*BB370,"")</f>
        <v/>
      </c>
      <c r="CC370" s="1426" t="str">
        <f aca="false">IF(ISNUMBER($AX370*BC370),$AX370*BC370,"")</f>
        <v/>
      </c>
      <c r="CD370" s="1426" t="str">
        <f aca="false">IF(ISNUMBER($AW370*BD370),$AW370*BD370,"")</f>
        <v/>
      </c>
      <c r="CE370" s="1426" t="str">
        <f aca="false">IF(ISNUMBER($AX370*BE370),$AX370*BE370,"")</f>
        <v/>
      </c>
      <c r="CF370" s="1372" t="str">
        <f aca="false">IF(ISNUMBER($AW370*BF370),$AW370*BF370,"")</f>
        <v/>
      </c>
      <c r="CG370" s="1372" t="str">
        <f aca="false">IF(ISNUMBER($AX370*BG370),$AX370*BG370,"")</f>
        <v/>
      </c>
      <c r="CH370" s="1438"/>
      <c r="CI370" s="1438"/>
      <c r="CJ370" s="1438"/>
      <c r="CK370" s="1438"/>
      <c r="CU370" s="1411"/>
      <c r="CV370" s="1411"/>
      <c r="CW370" s="1425"/>
      <c r="CX370" s="1425"/>
      <c r="CY370" s="1425"/>
      <c r="CZ370" s="1425"/>
      <c r="DA370" s="1411"/>
      <c r="DB370" s="1411"/>
      <c r="DC370" s="1411"/>
      <c r="DD370" s="1411"/>
      <c r="DE370" s="1411"/>
      <c r="DF370" s="1411"/>
      <c r="DH370" s="1432"/>
      <c r="DI370" s="1432"/>
      <c r="DJ370" s="1437"/>
      <c r="DK370" s="1437"/>
      <c r="DL370" s="1437"/>
      <c r="DM370" s="1437"/>
      <c r="DN370" s="1432"/>
      <c r="DO370" s="1432"/>
      <c r="DP370" s="1432"/>
      <c r="DQ370" s="1432"/>
      <c r="DR370" s="1432"/>
      <c r="DS370" s="1432"/>
      <c r="DT370" s="1316"/>
      <c r="DU370" s="1433"/>
      <c r="DV370" s="1433"/>
      <c r="DW370" s="1433"/>
      <c r="DX370" s="1433"/>
      <c r="DY370" s="1433"/>
      <c r="DZ370" s="1433"/>
      <c r="EA370" s="1433"/>
      <c r="EB370" s="1433"/>
    </row>
    <row r="371" customFormat="false" ht="14.25" hidden="false" customHeight="false" outlineLevel="0" collapsed="false">
      <c r="A371" s="2" t="n">
        <f aca="false">'V_DATOS PAC_SGA'!R366</f>
        <v>0</v>
      </c>
      <c r="B371" s="2" t="n">
        <f aca="false">IF(I371="IV",CONCATENATE('V_DATOS PAC_SGA'!R366,"4")+0,CONCATENATE('V_DATOS PAC_SGA'!R366,"0")+0)</f>
        <v>0</v>
      </c>
      <c r="C371" s="2" t="n">
        <f aca="false">'V_DATOS PAC_SGA'!S366</f>
        <v>0</v>
      </c>
      <c r="D371" s="1409" t="n">
        <f aca="false">'V_DATOS PAC_SGA'!Y366</f>
        <v>0</v>
      </c>
      <c r="E371" s="1410" t="str">
        <f aca="false">IF('V_DATOS PAC_SGA'!AV366="","Regadio",'V_DATOS PAC_SGA'!AV366)</f>
        <v>Regadio</v>
      </c>
      <c r="F371" s="1411" t="n">
        <f aca="false">'V_DATOS PAC_SGA'!BK366</f>
        <v>0</v>
      </c>
      <c r="G371" s="1412" t="n">
        <f aca="false">'V_DATOS PAC_SGA'!AN366</f>
        <v>0</v>
      </c>
      <c r="H371" s="1413" t="str">
        <f aca="false">IF(B371&gt;0,VLOOKUP(B371,'O_MN, PE_UTA_UGM 2024'!E$3:O$419,10),"")</f>
        <v/>
      </c>
      <c r="I371" s="1359" t="n">
        <f aca="false">'V_DATOS PAC_SGA'!BV366</f>
        <v>0</v>
      </c>
      <c r="J371" s="2" t="str">
        <f aca="false">IF(AND(J$4=$G371,J$6=$F371),$D371*J$5,"")</f>
        <v/>
      </c>
      <c r="K371" s="2" t="str">
        <f aca="false">IF(AND(K$4=$G371,K$6=$F371),$D371*K$5,"")</f>
        <v/>
      </c>
      <c r="L371" s="2" t="str">
        <f aca="false">IF(AND(L$4=$G371,L$6=$F371),$D371*L$5,"")</f>
        <v/>
      </c>
      <c r="M371" s="2" t="str">
        <f aca="false">IF(AND(M$4=$G371,M$6=$F371),$D371*M$5,"")</f>
        <v/>
      </c>
      <c r="N371" s="1414" t="n">
        <f aca="false">VLOOKUP(B371,'O_MN, PE_UTA_UGM 2024'!$E$2:$K$419,IF(G371&gt;1,6,7))</f>
        <v>0</v>
      </c>
      <c r="O371" s="1434" t="str">
        <f aca="false">IF($H371=O$4,$D371*$N371,"")</f>
        <v/>
      </c>
      <c r="P371" s="1435" t="str">
        <f aca="false">IF($H371=P$4,$D371*$N371,"")</f>
        <v/>
      </c>
      <c r="Q371" s="1435" t="str">
        <f aca="false">IF($H371=Q$4,$D371*$N371,"")</f>
        <v/>
      </c>
      <c r="R371" s="1435" t="str">
        <f aca="false">IF($H371=R$4,$D371*$N371,"")</f>
        <v/>
      </c>
      <c r="S371" s="1435" t="str">
        <f aca="false">IF($H371=S$4,$D371*$N371,"")</f>
        <v/>
      </c>
      <c r="T371" s="1435" t="str">
        <f aca="false">IF($H371=T$4,$D371*$N371,"")</f>
        <v/>
      </c>
      <c r="U371" s="1436" t="str">
        <f aca="false">IF($H371=U$4,$D371*$N371,"")</f>
        <v/>
      </c>
      <c r="V371" s="1472"/>
      <c r="W371" s="1471"/>
      <c r="X371" s="1471"/>
      <c r="Y371" s="1471"/>
      <c r="Z371" s="1471"/>
      <c r="AA371" s="1471"/>
      <c r="AB371" s="1473"/>
      <c r="AC371" s="1319"/>
      <c r="AD371" s="2" t="str">
        <f aca="false">IF(AND(AD$4=$G371,AD$6=$F371),$B371,"")</f>
        <v/>
      </c>
      <c r="AE371" s="2" t="str">
        <f aca="false">IF(AND(AE$4=$G371,AE$6=$F371),$B371,"")</f>
        <v/>
      </c>
      <c r="AF371" s="2" t="str">
        <f aca="false">IF(AND(AF$4=$G371,AF$6=$F371),$B371,"")</f>
        <v/>
      </c>
      <c r="AG371" s="2" t="str">
        <f aca="false">IF(AND(AG$4=$G371,AG$6=$F371),$B371,"")</f>
        <v/>
      </c>
      <c r="AI371" s="366"/>
      <c r="AL371" s="367"/>
      <c r="AO371" s="367"/>
      <c r="AP371" s="2" t="str">
        <f aca="false">IF(AT371&gt;0,RANK(AT371,AT$7:AT$423),"")</f>
        <v/>
      </c>
      <c r="AQ371" s="1475" t="n">
        <f aca="false">'O_MN, PE_UTA_UGM 2024'!C368</f>
        <v>939</v>
      </c>
      <c r="AR371" s="1421" t="n">
        <v>4180</v>
      </c>
      <c r="AS371" s="2" t="str">
        <f aca="false">IF(AY371&lt;&gt;"",AY371,"")</f>
        <v/>
      </c>
      <c r="AT371" s="1422" t="n">
        <f aca="false">IF(ISNUMBER($AR371),SUMIF(B$7:B$505,AR371,D$7:D$505),"")</f>
        <v>0</v>
      </c>
      <c r="AU371" s="1411" t="n">
        <f aca="false">IF(ISNUMBER($AR371),SUMIF(AD$7:AD$503,$AR371,J$7:J$503),"")</f>
        <v>0</v>
      </c>
      <c r="AV371" s="1411" t="n">
        <f aca="false">IF(ISNUMBER($AR371),SUMIF(AF$7:AF$503,$AR371,L$7:L$503),"")</f>
        <v>0</v>
      </c>
      <c r="AW371" s="1423" t="n">
        <f aca="false">IF(ISNUMBER($AR371),SUMIF(AE$7:AE$503,$AR371,K$7:K$503),"")</f>
        <v>0</v>
      </c>
      <c r="AX371" s="1423" t="n">
        <f aca="false">IF(ISNUMBER($AR371),SUMIF(AG$7:AG$503,$AR371,M$7:M$503),"")</f>
        <v>0</v>
      </c>
      <c r="AY371" s="2" t="str">
        <f aca="false">IF($AT371&gt;0,VLOOKUP($AR371,'O_MN, PE_UTA_UGM 2024'!E368:O783,2),"")</f>
        <v/>
      </c>
      <c r="AZ371" s="1424"/>
      <c r="BA371" s="1424"/>
      <c r="BB371" s="1424" t="str">
        <f aca="false">IF($AT371&gt;0,VLOOKUP($AR371,'O_MN, PE_UTA_UGM 2024'!$E$3:$O$419,BB$6),"")</f>
        <v/>
      </c>
      <c r="BC371" s="1424" t="str">
        <f aca="false">IF($AT371&gt;0,VLOOKUP($AR371,'O_MN, PE_UTA_UGM 2024'!$E$3:$O$419,BC$6),"")</f>
        <v/>
      </c>
      <c r="BD371" s="1424" t="str">
        <f aca="false">IF($AT371&gt;0,VLOOKUP($AR371,'O_MN, PE_UTA_UGM 2024'!$E$3:$O$419,BD$6),"")</f>
        <v/>
      </c>
      <c r="BE371" s="1424" t="str">
        <f aca="false">IF($AT371&gt;0,VLOOKUP($AR371,'O_MN, PE_UTA_UGM 2024'!$E$3:$O$419,BE$6),"")</f>
        <v/>
      </c>
      <c r="BF371" s="1424" t="str">
        <f aca="false">IF($AT371&gt;0,VLOOKUP($AR371,'O_MN, PE_UTA_UGM 2024'!$E$3:$O$419,BF$6),"")</f>
        <v/>
      </c>
      <c r="BG371" s="1424" t="str">
        <f aca="false">IF($AT371&gt;0,VLOOKUP($AR371,'O_MN, PE_UTA_UGM 2024'!$E$3:$O$419,BG$6),"")</f>
        <v/>
      </c>
      <c r="BH371" s="872"/>
      <c r="BI371" s="872"/>
      <c r="BJ371" s="872"/>
      <c r="BK371" s="872"/>
      <c r="BM371" s="1411"/>
      <c r="BN371" s="1411"/>
      <c r="BO371" s="1425" t="str">
        <f aca="false">IF(ISNUMBER($AU371*BB371*1),$AU371*BB371*1,"")</f>
        <v/>
      </c>
      <c r="BP371" s="1425" t="str">
        <f aca="false">IF(ISNUMBER($AV371*BC371*1),$AV371*BC371*1,"")</f>
        <v/>
      </c>
      <c r="BQ371" s="1425" t="str">
        <f aca="false">IF(ISNUMBER($AU371*BD371*1),$AU371*BD371*1,"")</f>
        <v/>
      </c>
      <c r="BR371" s="1425" t="str">
        <f aca="false">IF(ISNUMBER($AV371*BE371*1),$AV371*BE371*1,"")</f>
        <v/>
      </c>
      <c r="BS371" s="1411" t="str">
        <f aca="false">IF(ISNUMBER($AU371*BF371),$AU371*BF371,"")</f>
        <v/>
      </c>
      <c r="BT371" s="1411" t="str">
        <f aca="false">IF(ISNUMBER($AV371*BG371),$AV371*BG371,"")</f>
        <v/>
      </c>
      <c r="BU371" s="1411"/>
      <c r="BV371" s="1411"/>
      <c r="BW371" s="1411"/>
      <c r="BX371" s="1411"/>
      <c r="BZ371" s="1372"/>
      <c r="CA371" s="1372"/>
      <c r="CB371" s="1426" t="str">
        <f aca="false">IF(ISNUMBER($AW371*BB371),$AW371*BB371,"")</f>
        <v/>
      </c>
      <c r="CC371" s="1426" t="str">
        <f aca="false">IF(ISNUMBER($AX371*BC371),$AX371*BC371,"")</f>
        <v/>
      </c>
      <c r="CD371" s="1426" t="str">
        <f aca="false">IF(ISNUMBER($AW371*BD371),$AW371*BD371,"")</f>
        <v/>
      </c>
      <c r="CE371" s="1426" t="str">
        <f aca="false">IF(ISNUMBER($AX371*BE371),$AX371*BE371,"")</f>
        <v/>
      </c>
      <c r="CF371" s="1372" t="str">
        <f aca="false">IF(ISNUMBER($AW371*BF371),$AW371*BF371,"")</f>
        <v/>
      </c>
      <c r="CG371" s="1372" t="str">
        <f aca="false">IF(ISNUMBER($AX371*BG371),$AX371*BG371,"")</f>
        <v/>
      </c>
      <c r="CH371" s="1438"/>
      <c r="CI371" s="1438"/>
      <c r="CJ371" s="1438"/>
      <c r="CK371" s="1438"/>
      <c r="CU371" s="1411"/>
      <c r="CV371" s="1411"/>
      <c r="CW371" s="1425"/>
      <c r="CX371" s="1425"/>
      <c r="CY371" s="1425"/>
      <c r="CZ371" s="1425"/>
      <c r="DA371" s="1411"/>
      <c r="DB371" s="1411"/>
      <c r="DC371" s="1411"/>
      <c r="DD371" s="1411"/>
      <c r="DE371" s="1411"/>
      <c r="DF371" s="1411"/>
      <c r="DH371" s="1432"/>
      <c r="DI371" s="1432"/>
      <c r="DJ371" s="1437"/>
      <c r="DK371" s="1437"/>
      <c r="DL371" s="1437"/>
      <c r="DM371" s="1437"/>
      <c r="DN371" s="1432"/>
      <c r="DO371" s="1432"/>
      <c r="DP371" s="1432"/>
      <c r="DQ371" s="1432"/>
      <c r="DR371" s="1432"/>
      <c r="DS371" s="1432"/>
      <c r="DT371" s="1316"/>
      <c r="DU371" s="1433"/>
      <c r="DV371" s="1433"/>
      <c r="DW371" s="1433"/>
      <c r="DX371" s="1433"/>
      <c r="DY371" s="1433"/>
      <c r="DZ371" s="1433"/>
      <c r="EA371" s="1433"/>
      <c r="EB371" s="1433"/>
    </row>
    <row r="372" customFormat="false" ht="14.25" hidden="false" customHeight="false" outlineLevel="0" collapsed="false">
      <c r="A372" s="2" t="n">
        <f aca="false">'V_DATOS PAC_SGA'!R367</f>
        <v>0</v>
      </c>
      <c r="B372" s="2" t="n">
        <f aca="false">IF(I372="IV",CONCATENATE('V_DATOS PAC_SGA'!R367,"4")+0,CONCATENATE('V_DATOS PAC_SGA'!R367,"0")+0)</f>
        <v>0</v>
      </c>
      <c r="C372" s="2" t="n">
        <f aca="false">'V_DATOS PAC_SGA'!S367</f>
        <v>0</v>
      </c>
      <c r="D372" s="1409" t="n">
        <f aca="false">'V_DATOS PAC_SGA'!Y367</f>
        <v>0</v>
      </c>
      <c r="E372" s="1410" t="str">
        <f aca="false">IF('V_DATOS PAC_SGA'!AV367="","Regadio",'V_DATOS PAC_SGA'!AV367)</f>
        <v>Regadio</v>
      </c>
      <c r="F372" s="1411" t="n">
        <f aca="false">'V_DATOS PAC_SGA'!BK367</f>
        <v>0</v>
      </c>
      <c r="G372" s="1412" t="n">
        <f aca="false">'V_DATOS PAC_SGA'!AN367</f>
        <v>0</v>
      </c>
      <c r="H372" s="1413" t="str">
        <f aca="false">IF(B372&gt;0,VLOOKUP(B372,'O_MN, PE_UTA_UGM 2024'!E$3:O$419,10),"")</f>
        <v/>
      </c>
      <c r="I372" s="1359" t="n">
        <f aca="false">'V_DATOS PAC_SGA'!BV367</f>
        <v>0</v>
      </c>
      <c r="J372" s="2" t="str">
        <f aca="false">IF(AND(J$4=$G372,J$6=$F372),$D372*J$5,"")</f>
        <v/>
      </c>
      <c r="K372" s="2" t="str">
        <f aca="false">IF(AND(K$4=$G372,K$6=$F372),$D372*K$5,"")</f>
        <v/>
      </c>
      <c r="L372" s="2" t="str">
        <f aca="false">IF(AND(L$4=$G372,L$6=$F372),$D372*L$5,"")</f>
        <v/>
      </c>
      <c r="M372" s="2" t="str">
        <f aca="false">IF(AND(M$4=$G372,M$6=$F372),$D372*M$5,"")</f>
        <v/>
      </c>
      <c r="N372" s="1414" t="n">
        <f aca="false">VLOOKUP(B372,'O_MN, PE_UTA_UGM 2024'!$E$2:$K$419,IF(G372&gt;1,6,7))</f>
        <v>0</v>
      </c>
      <c r="O372" s="1434" t="str">
        <f aca="false">IF($H372=O$4,$D372*$N372,"")</f>
        <v/>
      </c>
      <c r="P372" s="1435" t="str">
        <f aca="false">IF($H372=P$4,$D372*$N372,"")</f>
        <v/>
      </c>
      <c r="Q372" s="1435" t="str">
        <f aca="false">IF($H372=Q$4,$D372*$N372,"")</f>
        <v/>
      </c>
      <c r="R372" s="1435" t="str">
        <f aca="false">IF($H372=R$4,$D372*$N372,"")</f>
        <v/>
      </c>
      <c r="S372" s="1435" t="str">
        <f aca="false">IF($H372=S$4,$D372*$N372,"")</f>
        <v/>
      </c>
      <c r="T372" s="1435" t="str">
        <f aca="false">IF($H372=T$4,$D372*$N372,"")</f>
        <v/>
      </c>
      <c r="U372" s="1436" t="str">
        <f aca="false">IF($H372=U$4,$D372*$N372,"")</f>
        <v/>
      </c>
      <c r="V372" s="1472"/>
      <c r="W372" s="1471"/>
      <c r="X372" s="1471"/>
      <c r="Y372" s="1471"/>
      <c r="Z372" s="1471"/>
      <c r="AA372" s="1471"/>
      <c r="AB372" s="1473"/>
      <c r="AC372" s="1319"/>
      <c r="AD372" s="2" t="str">
        <f aca="false">IF(AND(AD$4=$G372,AD$6=$F372),$B372,"")</f>
        <v/>
      </c>
      <c r="AE372" s="2" t="str">
        <f aca="false">IF(AND(AE$4=$G372,AE$6=$F372),$B372,"")</f>
        <v/>
      </c>
      <c r="AF372" s="2" t="str">
        <f aca="false">IF(AND(AF$4=$G372,AF$6=$F372),$B372,"")</f>
        <v/>
      </c>
      <c r="AG372" s="2" t="str">
        <f aca="false">IF(AND(AG$4=$G372,AG$6=$F372),$B372,"")</f>
        <v/>
      </c>
      <c r="AI372" s="366"/>
      <c r="AL372" s="367"/>
      <c r="AO372" s="367"/>
      <c r="AP372" s="2" t="str">
        <f aca="false">IF(AT372&gt;0,RANK(AT372,AT$7:AT$423),"")</f>
        <v/>
      </c>
      <c r="AQ372" s="1475" t="n">
        <f aca="false">'O_MN, PE_UTA_UGM 2024'!C369</f>
        <v>940</v>
      </c>
      <c r="AR372" s="1421" t="n">
        <v>4190</v>
      </c>
      <c r="AS372" s="2" t="str">
        <f aca="false">IF(AY372&lt;&gt;"",AY372,"")</f>
        <v/>
      </c>
      <c r="AT372" s="1422" t="n">
        <f aca="false">IF(ISNUMBER($AR372),SUMIF(B$7:B$505,AR372,D$7:D$505),"")</f>
        <v>0</v>
      </c>
      <c r="AU372" s="1411" t="n">
        <f aca="false">IF(ISNUMBER($AR372),SUMIF(AD$7:AD$503,$AR372,J$7:J$503),"")</f>
        <v>0</v>
      </c>
      <c r="AV372" s="1411" t="n">
        <f aca="false">IF(ISNUMBER($AR372),SUMIF(AF$7:AF$503,$AR372,L$7:L$503),"")</f>
        <v>0</v>
      </c>
      <c r="AW372" s="1423" t="n">
        <f aca="false">IF(ISNUMBER($AR372),SUMIF(AE$7:AE$503,$AR372,K$7:K$503),"")</f>
        <v>0</v>
      </c>
      <c r="AX372" s="1423" t="n">
        <f aca="false">IF(ISNUMBER($AR372),SUMIF(AG$7:AG$503,$AR372,M$7:M$503),"")</f>
        <v>0</v>
      </c>
      <c r="AY372" s="2" t="str">
        <f aca="false">IF($AT372&gt;0,VLOOKUP($AR372,'O_MN, PE_UTA_UGM 2024'!E369:O784,2),"")</f>
        <v/>
      </c>
      <c r="AZ372" s="1424"/>
      <c r="BA372" s="1424"/>
      <c r="BB372" s="1424" t="str">
        <f aca="false">IF($AT372&gt;0,VLOOKUP($AR372,'O_MN, PE_UTA_UGM 2024'!$E$3:$O$419,BB$6),"")</f>
        <v/>
      </c>
      <c r="BC372" s="1424" t="str">
        <f aca="false">IF($AT372&gt;0,VLOOKUP($AR372,'O_MN, PE_UTA_UGM 2024'!$E$3:$O$419,BC$6),"")</f>
        <v/>
      </c>
      <c r="BD372" s="1424" t="str">
        <f aca="false">IF($AT372&gt;0,VLOOKUP($AR372,'O_MN, PE_UTA_UGM 2024'!$E$3:$O$419,BD$6),"")</f>
        <v/>
      </c>
      <c r="BE372" s="1424" t="str">
        <f aca="false">IF($AT372&gt;0,VLOOKUP($AR372,'O_MN, PE_UTA_UGM 2024'!$E$3:$O$419,BE$6),"")</f>
        <v/>
      </c>
      <c r="BF372" s="1424" t="str">
        <f aca="false">IF($AT372&gt;0,VLOOKUP($AR372,'O_MN, PE_UTA_UGM 2024'!$E$3:$O$419,BF$6),"")</f>
        <v/>
      </c>
      <c r="BG372" s="1424" t="str">
        <f aca="false">IF($AT372&gt;0,VLOOKUP($AR372,'O_MN, PE_UTA_UGM 2024'!$E$3:$O$419,BG$6),"")</f>
        <v/>
      </c>
      <c r="BH372" s="872"/>
      <c r="BI372" s="872"/>
      <c r="BJ372" s="872"/>
      <c r="BK372" s="872"/>
      <c r="BM372" s="1411"/>
      <c r="BN372" s="1411"/>
      <c r="BO372" s="1425" t="str">
        <f aca="false">IF(ISNUMBER($AU372*BB372*1),$AU372*BB372*1,"")</f>
        <v/>
      </c>
      <c r="BP372" s="1425" t="str">
        <f aca="false">IF(ISNUMBER($AV372*BC372*1),$AV372*BC372*1,"")</f>
        <v/>
      </c>
      <c r="BQ372" s="1425" t="str">
        <f aca="false">IF(ISNUMBER($AU372*BD372*1),$AU372*BD372*1,"")</f>
        <v/>
      </c>
      <c r="BR372" s="1425" t="str">
        <f aca="false">IF(ISNUMBER($AV372*BE372*1),$AV372*BE372*1,"")</f>
        <v/>
      </c>
      <c r="BS372" s="1411" t="str">
        <f aca="false">IF(ISNUMBER($AU372*BF372),$AU372*BF372,"")</f>
        <v/>
      </c>
      <c r="BT372" s="1411" t="str">
        <f aca="false">IF(ISNUMBER($AV372*BG372),$AV372*BG372,"")</f>
        <v/>
      </c>
      <c r="BU372" s="1411"/>
      <c r="BV372" s="1411"/>
      <c r="BW372" s="1411"/>
      <c r="BX372" s="1411"/>
      <c r="BZ372" s="1372"/>
      <c r="CA372" s="1372"/>
      <c r="CB372" s="1426" t="str">
        <f aca="false">IF(ISNUMBER($AW372*BB372),$AW372*BB372,"")</f>
        <v/>
      </c>
      <c r="CC372" s="1426" t="str">
        <f aca="false">IF(ISNUMBER($AX372*BC372),$AX372*BC372,"")</f>
        <v/>
      </c>
      <c r="CD372" s="1426" t="str">
        <f aca="false">IF(ISNUMBER($AW372*BD372),$AW372*BD372,"")</f>
        <v/>
      </c>
      <c r="CE372" s="1426" t="str">
        <f aca="false">IF(ISNUMBER($AX372*BE372),$AX372*BE372,"")</f>
        <v/>
      </c>
      <c r="CF372" s="1372" t="str">
        <f aca="false">IF(ISNUMBER($AW372*BF372),$AW372*BF372,"")</f>
        <v/>
      </c>
      <c r="CG372" s="1372" t="str">
        <f aca="false">IF(ISNUMBER($AX372*BG372),$AX372*BG372,"")</f>
        <v/>
      </c>
      <c r="CH372" s="1438"/>
      <c r="CI372" s="1438"/>
      <c r="CJ372" s="1438"/>
      <c r="CK372" s="1438"/>
      <c r="CU372" s="1411"/>
      <c r="CV372" s="1411"/>
      <c r="CW372" s="1425"/>
      <c r="CX372" s="1425"/>
      <c r="CY372" s="1425"/>
      <c r="CZ372" s="1425"/>
      <c r="DA372" s="1411"/>
      <c r="DB372" s="1411"/>
      <c r="DC372" s="1411"/>
      <c r="DD372" s="1411"/>
      <c r="DE372" s="1411"/>
      <c r="DF372" s="1411"/>
      <c r="DH372" s="1432"/>
      <c r="DI372" s="1432"/>
      <c r="DJ372" s="1437"/>
      <c r="DK372" s="1437"/>
      <c r="DL372" s="1437"/>
      <c r="DM372" s="1437"/>
      <c r="DN372" s="1432"/>
      <c r="DO372" s="1432"/>
      <c r="DP372" s="1432"/>
      <c r="DQ372" s="1432"/>
      <c r="DR372" s="1432"/>
      <c r="DS372" s="1432"/>
      <c r="DT372" s="1316"/>
      <c r="DU372" s="1433"/>
      <c r="DV372" s="1433"/>
      <c r="DW372" s="1433"/>
      <c r="DX372" s="1433"/>
      <c r="DY372" s="1433"/>
      <c r="DZ372" s="1433"/>
      <c r="EA372" s="1433"/>
      <c r="EB372" s="1433"/>
    </row>
    <row r="373" customFormat="false" ht="14.25" hidden="false" customHeight="false" outlineLevel="0" collapsed="false">
      <c r="A373" s="2" t="n">
        <f aca="false">'V_DATOS PAC_SGA'!R368</f>
        <v>0</v>
      </c>
      <c r="B373" s="2" t="n">
        <f aca="false">IF(I373="IV",CONCATENATE('V_DATOS PAC_SGA'!R368,"4")+0,CONCATENATE('V_DATOS PAC_SGA'!R368,"0")+0)</f>
        <v>0</v>
      </c>
      <c r="C373" s="2" t="n">
        <f aca="false">'V_DATOS PAC_SGA'!S368</f>
        <v>0</v>
      </c>
      <c r="D373" s="1409" t="n">
        <f aca="false">'V_DATOS PAC_SGA'!Y368</f>
        <v>0</v>
      </c>
      <c r="E373" s="1410" t="str">
        <f aca="false">IF('V_DATOS PAC_SGA'!AV368="","Regadio",'V_DATOS PAC_SGA'!AV368)</f>
        <v>Regadio</v>
      </c>
      <c r="F373" s="1411" t="n">
        <f aca="false">'V_DATOS PAC_SGA'!BK368</f>
        <v>0</v>
      </c>
      <c r="G373" s="1412" t="n">
        <f aca="false">'V_DATOS PAC_SGA'!AN368</f>
        <v>0</v>
      </c>
      <c r="H373" s="1413" t="str">
        <f aca="false">IF(B373&gt;0,VLOOKUP(B373,'O_MN, PE_UTA_UGM 2024'!E$3:O$419,10),"")</f>
        <v/>
      </c>
      <c r="I373" s="1359" t="n">
        <f aca="false">'V_DATOS PAC_SGA'!BV368</f>
        <v>0</v>
      </c>
      <c r="J373" s="2" t="str">
        <f aca="false">IF(AND(J$4=$G373,J$6=$F373),$D373*J$5,"")</f>
        <v/>
      </c>
      <c r="K373" s="2" t="str">
        <f aca="false">IF(AND(K$4=$G373,K$6=$F373),$D373*K$5,"")</f>
        <v/>
      </c>
      <c r="L373" s="2" t="str">
        <f aca="false">IF(AND(L$4=$G373,L$6=$F373),$D373*L$5,"")</f>
        <v/>
      </c>
      <c r="M373" s="2" t="str">
        <f aca="false">IF(AND(M$4=$G373,M$6=$F373),$D373*M$5,"")</f>
        <v/>
      </c>
      <c r="N373" s="1414" t="n">
        <f aca="false">VLOOKUP(B373,'O_MN, PE_UTA_UGM 2024'!$E$2:$K$419,IF(G373&gt;1,6,7))</f>
        <v>0</v>
      </c>
      <c r="O373" s="1434" t="str">
        <f aca="false">IF($H373=O$4,$D373*$N373,"")</f>
        <v/>
      </c>
      <c r="P373" s="1435" t="str">
        <f aca="false">IF($H373=P$4,$D373*$N373,"")</f>
        <v/>
      </c>
      <c r="Q373" s="1435" t="str">
        <f aca="false">IF($H373=Q$4,$D373*$N373,"")</f>
        <v/>
      </c>
      <c r="R373" s="1435" t="str">
        <f aca="false">IF($H373=R$4,$D373*$N373,"")</f>
        <v/>
      </c>
      <c r="S373" s="1435" t="str">
        <f aca="false">IF($H373=S$4,$D373*$N373,"")</f>
        <v/>
      </c>
      <c r="T373" s="1435" t="str">
        <f aca="false">IF($H373=T$4,$D373*$N373,"")</f>
        <v/>
      </c>
      <c r="U373" s="1436" t="str">
        <f aca="false">IF($H373=U$4,$D373*$N373,"")</f>
        <v/>
      </c>
      <c r="V373" s="1472"/>
      <c r="W373" s="1471"/>
      <c r="X373" s="1471"/>
      <c r="Y373" s="1471"/>
      <c r="Z373" s="1471"/>
      <c r="AA373" s="1471"/>
      <c r="AB373" s="1473"/>
      <c r="AC373" s="1319"/>
      <c r="AD373" s="2" t="str">
        <f aca="false">IF(AND(AD$4=$G373,AD$6=$F373),$B373,"")</f>
        <v/>
      </c>
      <c r="AE373" s="2" t="str">
        <f aca="false">IF(AND(AE$4=$G373,AE$6=$F373),$B373,"")</f>
        <v/>
      </c>
      <c r="AF373" s="2" t="str">
        <f aca="false">IF(AND(AF$4=$G373,AF$6=$F373),$B373,"")</f>
        <v/>
      </c>
      <c r="AG373" s="2" t="str">
        <f aca="false">IF(AND(AG$4=$G373,AG$6=$F373),$B373,"")</f>
        <v/>
      </c>
      <c r="AI373" s="366"/>
      <c r="AL373" s="367"/>
      <c r="AO373" s="367"/>
      <c r="AP373" s="2" t="str">
        <f aca="false">IF(AT373&gt;0,RANK(AT373,AT$7:AT$423),"")</f>
        <v/>
      </c>
      <c r="AQ373" s="1475" t="n">
        <f aca="false">'O_MN, PE_UTA_UGM 2024'!C370</f>
        <v>941</v>
      </c>
      <c r="AR373" s="1421" t="n">
        <v>4200</v>
      </c>
      <c r="AS373" s="2" t="str">
        <f aca="false">IF(AY373&lt;&gt;"",AY373,"")</f>
        <v/>
      </c>
      <c r="AT373" s="1422" t="n">
        <f aca="false">IF(ISNUMBER($AR373),SUMIF(B$7:B$505,AR373,D$7:D$505),"")</f>
        <v>0</v>
      </c>
      <c r="AU373" s="1411" t="n">
        <f aca="false">IF(ISNUMBER($AR373),SUMIF(AD$7:AD$503,$AR373,J$7:J$503),"")</f>
        <v>0</v>
      </c>
      <c r="AV373" s="1411" t="n">
        <f aca="false">IF(ISNUMBER($AR373),SUMIF(AF$7:AF$503,$AR373,L$7:L$503),"")</f>
        <v>0</v>
      </c>
      <c r="AW373" s="1423" t="n">
        <f aca="false">IF(ISNUMBER($AR373),SUMIF(AE$7:AE$503,$AR373,K$7:K$503),"")</f>
        <v>0</v>
      </c>
      <c r="AX373" s="1423" t="n">
        <f aca="false">IF(ISNUMBER($AR373),SUMIF(AG$7:AG$503,$AR373,M$7:M$503),"")</f>
        <v>0</v>
      </c>
      <c r="AY373" s="2" t="str">
        <f aca="false">IF($AT373&gt;0,VLOOKUP($AR373,'O_MN, PE_UTA_UGM 2024'!E370:O785,2),"")</f>
        <v/>
      </c>
      <c r="AZ373" s="1424"/>
      <c r="BA373" s="1424"/>
      <c r="BB373" s="1424" t="str">
        <f aca="false">IF($AT373&gt;0,VLOOKUP($AR373,'O_MN, PE_UTA_UGM 2024'!$E$3:$O$419,BB$6),"")</f>
        <v/>
      </c>
      <c r="BC373" s="1424" t="str">
        <f aca="false">IF($AT373&gt;0,VLOOKUP($AR373,'O_MN, PE_UTA_UGM 2024'!$E$3:$O$419,BC$6),"")</f>
        <v/>
      </c>
      <c r="BD373" s="1424" t="str">
        <f aca="false">IF($AT373&gt;0,VLOOKUP($AR373,'O_MN, PE_UTA_UGM 2024'!$E$3:$O$419,BD$6),"")</f>
        <v/>
      </c>
      <c r="BE373" s="1424" t="str">
        <f aca="false">IF($AT373&gt;0,VLOOKUP($AR373,'O_MN, PE_UTA_UGM 2024'!$E$3:$O$419,BE$6),"")</f>
        <v/>
      </c>
      <c r="BF373" s="1424" t="str">
        <f aca="false">IF($AT373&gt;0,VLOOKUP($AR373,'O_MN, PE_UTA_UGM 2024'!$E$3:$O$419,BF$6),"")</f>
        <v/>
      </c>
      <c r="BG373" s="1424" t="str">
        <f aca="false">IF($AT373&gt;0,VLOOKUP($AR373,'O_MN, PE_UTA_UGM 2024'!$E$3:$O$419,BG$6),"")</f>
        <v/>
      </c>
      <c r="BH373" s="872"/>
      <c r="BI373" s="872"/>
      <c r="BJ373" s="872"/>
      <c r="BK373" s="872"/>
      <c r="BM373" s="1411"/>
      <c r="BN373" s="1411"/>
      <c r="BO373" s="1425" t="str">
        <f aca="false">IF(ISNUMBER($AU373*BB373*1),$AU373*BB373*1,"")</f>
        <v/>
      </c>
      <c r="BP373" s="1425" t="str">
        <f aca="false">IF(ISNUMBER($AV373*BC373*1),$AV373*BC373*1,"")</f>
        <v/>
      </c>
      <c r="BQ373" s="1425" t="str">
        <f aca="false">IF(ISNUMBER($AU373*BD373*1),$AU373*BD373*1,"")</f>
        <v/>
      </c>
      <c r="BR373" s="1425" t="str">
        <f aca="false">IF(ISNUMBER($AV373*BE373*1),$AV373*BE373*1,"")</f>
        <v/>
      </c>
      <c r="BS373" s="1411" t="str">
        <f aca="false">IF(ISNUMBER($AU373*BF373),$AU373*BF373,"")</f>
        <v/>
      </c>
      <c r="BT373" s="1411" t="str">
        <f aca="false">IF(ISNUMBER($AV373*BG373),$AV373*BG373,"")</f>
        <v/>
      </c>
      <c r="BU373" s="1411"/>
      <c r="BV373" s="1411"/>
      <c r="BW373" s="1411"/>
      <c r="BX373" s="1411"/>
      <c r="BZ373" s="1372"/>
      <c r="CA373" s="1372"/>
      <c r="CB373" s="1426" t="str">
        <f aca="false">IF(ISNUMBER($AW373*BB373),$AW373*BB373,"")</f>
        <v/>
      </c>
      <c r="CC373" s="1426" t="str">
        <f aca="false">IF(ISNUMBER($AX373*BC373),$AX373*BC373,"")</f>
        <v/>
      </c>
      <c r="CD373" s="1426" t="str">
        <f aca="false">IF(ISNUMBER($AW373*BD373),$AW373*BD373,"")</f>
        <v/>
      </c>
      <c r="CE373" s="1426" t="str">
        <f aca="false">IF(ISNUMBER($AX373*BE373),$AX373*BE373,"")</f>
        <v/>
      </c>
      <c r="CF373" s="1372" t="str">
        <f aca="false">IF(ISNUMBER($AW373*BF373),$AW373*BF373,"")</f>
        <v/>
      </c>
      <c r="CG373" s="1372" t="str">
        <f aca="false">IF(ISNUMBER($AX373*BG373),$AX373*BG373,"")</f>
        <v/>
      </c>
      <c r="CH373" s="1438"/>
      <c r="CI373" s="1438"/>
      <c r="CJ373" s="1438"/>
      <c r="CK373" s="1438"/>
      <c r="CU373" s="1411"/>
      <c r="CV373" s="1411"/>
      <c r="CW373" s="1425"/>
      <c r="CX373" s="1425"/>
      <c r="CY373" s="1425"/>
      <c r="CZ373" s="1425"/>
      <c r="DA373" s="1411"/>
      <c r="DB373" s="1411"/>
      <c r="DC373" s="1411"/>
      <c r="DD373" s="1411"/>
      <c r="DE373" s="1411"/>
      <c r="DF373" s="1411"/>
      <c r="DH373" s="1432"/>
      <c r="DI373" s="1432"/>
      <c r="DJ373" s="1437"/>
      <c r="DK373" s="1437"/>
      <c r="DL373" s="1437"/>
      <c r="DM373" s="1437"/>
      <c r="DN373" s="1432"/>
      <c r="DO373" s="1432"/>
      <c r="DP373" s="1432"/>
      <c r="DQ373" s="1432"/>
      <c r="DR373" s="1432"/>
      <c r="DS373" s="1432"/>
      <c r="DT373" s="1316"/>
      <c r="DU373" s="1433"/>
      <c r="DV373" s="1433"/>
      <c r="DW373" s="1433"/>
      <c r="DX373" s="1433"/>
      <c r="DY373" s="1433"/>
      <c r="DZ373" s="1433"/>
      <c r="EA373" s="1433"/>
      <c r="EB373" s="1433"/>
    </row>
    <row r="374" customFormat="false" ht="14.25" hidden="false" customHeight="false" outlineLevel="0" collapsed="false">
      <c r="A374" s="2" t="n">
        <f aca="false">'V_DATOS PAC_SGA'!R369</f>
        <v>0</v>
      </c>
      <c r="B374" s="2" t="n">
        <f aca="false">IF(I374="IV",CONCATENATE('V_DATOS PAC_SGA'!R369,"4")+0,CONCATENATE('V_DATOS PAC_SGA'!R369,"0")+0)</f>
        <v>0</v>
      </c>
      <c r="C374" s="2" t="n">
        <f aca="false">'V_DATOS PAC_SGA'!S369</f>
        <v>0</v>
      </c>
      <c r="D374" s="1409" t="n">
        <f aca="false">'V_DATOS PAC_SGA'!Y369</f>
        <v>0</v>
      </c>
      <c r="E374" s="1410" t="str">
        <f aca="false">IF('V_DATOS PAC_SGA'!AV369="","Regadio",'V_DATOS PAC_SGA'!AV369)</f>
        <v>Regadio</v>
      </c>
      <c r="F374" s="1411" t="n">
        <f aca="false">'V_DATOS PAC_SGA'!BK369</f>
        <v>0</v>
      </c>
      <c r="G374" s="1412" t="n">
        <f aca="false">'V_DATOS PAC_SGA'!AN369</f>
        <v>0</v>
      </c>
      <c r="H374" s="1413" t="str">
        <f aca="false">IF(B374&gt;0,VLOOKUP(B374,'O_MN, PE_UTA_UGM 2024'!E$3:O$419,10),"")</f>
        <v/>
      </c>
      <c r="I374" s="1359" t="n">
        <f aca="false">'V_DATOS PAC_SGA'!BV369</f>
        <v>0</v>
      </c>
      <c r="J374" s="2" t="str">
        <f aca="false">IF(AND(J$4=$G374,J$6=$F374),$D374*J$5,"")</f>
        <v/>
      </c>
      <c r="K374" s="2" t="str">
        <f aca="false">IF(AND(K$4=$G374,K$6=$F374),$D374*K$5,"")</f>
        <v/>
      </c>
      <c r="L374" s="2" t="str">
        <f aca="false">IF(AND(L$4=$G374,L$6=$F374),$D374*L$5,"")</f>
        <v/>
      </c>
      <c r="M374" s="2" t="str">
        <f aca="false">IF(AND(M$4=$G374,M$6=$F374),$D374*M$5,"")</f>
        <v/>
      </c>
      <c r="N374" s="1414" t="n">
        <f aca="false">VLOOKUP(B374,'O_MN, PE_UTA_UGM 2024'!$E$2:$K$419,IF(G374&gt;1,6,7))</f>
        <v>0</v>
      </c>
      <c r="O374" s="1434" t="str">
        <f aca="false">IF($H374=O$4,$D374*$N374,"")</f>
        <v/>
      </c>
      <c r="P374" s="1435" t="str">
        <f aca="false">IF($H374=P$4,$D374*$N374,"")</f>
        <v/>
      </c>
      <c r="Q374" s="1435" t="str">
        <f aca="false">IF($H374=Q$4,$D374*$N374,"")</f>
        <v/>
      </c>
      <c r="R374" s="1435" t="str">
        <f aca="false">IF($H374=R$4,$D374*$N374,"")</f>
        <v/>
      </c>
      <c r="S374" s="1435" t="str">
        <f aca="false">IF($H374=S$4,$D374*$N374,"")</f>
        <v/>
      </c>
      <c r="T374" s="1435" t="str">
        <f aca="false">IF($H374=T$4,$D374*$N374,"")</f>
        <v/>
      </c>
      <c r="U374" s="1436" t="str">
        <f aca="false">IF($H374=U$4,$D374*$N374,"")</f>
        <v/>
      </c>
      <c r="V374" s="1472"/>
      <c r="W374" s="1471"/>
      <c r="X374" s="1471"/>
      <c r="Y374" s="1471"/>
      <c r="Z374" s="1471"/>
      <c r="AA374" s="1471"/>
      <c r="AB374" s="1473"/>
      <c r="AC374" s="1319"/>
      <c r="AD374" s="2" t="str">
        <f aca="false">IF(AND(AD$4=$G374,AD$6=$F374),$B374,"")</f>
        <v/>
      </c>
      <c r="AE374" s="2" t="str">
        <f aca="false">IF(AND(AE$4=$G374,AE$6=$F374),$B374,"")</f>
        <v/>
      </c>
      <c r="AF374" s="2" t="str">
        <f aca="false">IF(AND(AF$4=$G374,AF$6=$F374),$B374,"")</f>
        <v/>
      </c>
      <c r="AG374" s="2" t="str">
        <f aca="false">IF(AND(AG$4=$G374,AG$6=$F374),$B374,"")</f>
        <v/>
      </c>
      <c r="AI374" s="366"/>
      <c r="AL374" s="367"/>
      <c r="AO374" s="367"/>
      <c r="AP374" s="2" t="str">
        <f aca="false">IF(AT374&gt;0,RANK(AT374,AT$7:AT$423),"")</f>
        <v/>
      </c>
      <c r="AQ374" s="1475" t="n">
        <f aca="false">'O_MN, PE_UTA_UGM 2024'!C371</f>
        <v>942</v>
      </c>
      <c r="AR374" s="1421" t="n">
        <v>4210</v>
      </c>
      <c r="AS374" s="2" t="str">
        <f aca="false">IF(AY374&lt;&gt;"",AY374,"")</f>
        <v/>
      </c>
      <c r="AT374" s="1422" t="n">
        <f aca="false">IF(ISNUMBER($AR374),SUMIF(B$7:B$505,AR374,D$7:D$505),"")</f>
        <v>0</v>
      </c>
      <c r="AU374" s="1411" t="n">
        <f aca="false">IF(ISNUMBER($AR374),SUMIF(AD$7:AD$503,$AR374,J$7:J$503),"")</f>
        <v>0</v>
      </c>
      <c r="AV374" s="1411" t="n">
        <f aca="false">IF(ISNUMBER($AR374),SUMIF(AF$7:AF$503,$AR374,L$7:L$503),"")</f>
        <v>0</v>
      </c>
      <c r="AW374" s="1423" t="n">
        <f aca="false">IF(ISNUMBER($AR374),SUMIF(AE$7:AE$503,$AR374,K$7:K$503),"")</f>
        <v>0</v>
      </c>
      <c r="AX374" s="1423" t="n">
        <f aca="false">IF(ISNUMBER($AR374),SUMIF(AG$7:AG$503,$AR374,M$7:M$503),"")</f>
        <v>0</v>
      </c>
      <c r="AY374" s="2" t="str">
        <f aca="false">IF($AT374&gt;0,VLOOKUP($AR374,'O_MN, PE_UTA_UGM 2024'!E371:O786,2),"")</f>
        <v/>
      </c>
      <c r="AZ374" s="1424"/>
      <c r="BA374" s="1424"/>
      <c r="BB374" s="1424" t="str">
        <f aca="false">IF($AT374&gt;0,VLOOKUP($AR374,'O_MN, PE_UTA_UGM 2024'!$E$3:$O$419,BB$6),"")</f>
        <v/>
      </c>
      <c r="BC374" s="1424" t="str">
        <f aca="false">IF($AT374&gt;0,VLOOKUP($AR374,'O_MN, PE_UTA_UGM 2024'!$E$3:$O$419,BC$6),"")</f>
        <v/>
      </c>
      <c r="BD374" s="1424" t="str">
        <f aca="false">IF($AT374&gt;0,VLOOKUP($AR374,'O_MN, PE_UTA_UGM 2024'!$E$3:$O$419,BD$6),"")</f>
        <v/>
      </c>
      <c r="BE374" s="1424" t="str">
        <f aca="false">IF($AT374&gt;0,VLOOKUP($AR374,'O_MN, PE_UTA_UGM 2024'!$E$3:$O$419,BE$6),"")</f>
        <v/>
      </c>
      <c r="BF374" s="1424" t="str">
        <f aca="false">IF($AT374&gt;0,VLOOKUP($AR374,'O_MN, PE_UTA_UGM 2024'!$E$3:$O$419,BF$6),"")</f>
        <v/>
      </c>
      <c r="BG374" s="1424" t="str">
        <f aca="false">IF($AT374&gt;0,VLOOKUP($AR374,'O_MN, PE_UTA_UGM 2024'!$E$3:$O$419,BG$6),"")</f>
        <v/>
      </c>
      <c r="BH374" s="872"/>
      <c r="BI374" s="872"/>
      <c r="BJ374" s="872"/>
      <c r="BK374" s="872"/>
      <c r="BM374" s="1411"/>
      <c r="BN374" s="1411"/>
      <c r="BO374" s="1425" t="str">
        <f aca="false">IF(ISNUMBER($AU374*BB374*1),$AU374*BB374*1,"")</f>
        <v/>
      </c>
      <c r="BP374" s="1425" t="str">
        <f aca="false">IF(ISNUMBER($AV374*BC374*1),$AV374*BC374*1,"")</f>
        <v/>
      </c>
      <c r="BQ374" s="1425" t="str">
        <f aca="false">IF(ISNUMBER($AU374*BD374*1),$AU374*BD374*1,"")</f>
        <v/>
      </c>
      <c r="BR374" s="1425" t="str">
        <f aca="false">IF(ISNUMBER($AV374*BE374*1),$AV374*BE374*1,"")</f>
        <v/>
      </c>
      <c r="BS374" s="1411" t="str">
        <f aca="false">IF(ISNUMBER($AU374*BF374),$AU374*BF374,"")</f>
        <v/>
      </c>
      <c r="BT374" s="1411" t="str">
        <f aca="false">IF(ISNUMBER($AV374*BG374),$AV374*BG374,"")</f>
        <v/>
      </c>
      <c r="BU374" s="1411"/>
      <c r="BV374" s="1411"/>
      <c r="BW374" s="1411"/>
      <c r="BX374" s="1411"/>
      <c r="BZ374" s="1372"/>
      <c r="CA374" s="1372"/>
      <c r="CB374" s="1426" t="str">
        <f aca="false">IF(ISNUMBER($AW374*BB374),$AW374*BB374,"")</f>
        <v/>
      </c>
      <c r="CC374" s="1426" t="str">
        <f aca="false">IF(ISNUMBER($AX374*BC374),$AX374*BC374,"")</f>
        <v/>
      </c>
      <c r="CD374" s="1426" t="str">
        <f aca="false">IF(ISNUMBER($AW374*BD374),$AW374*BD374,"")</f>
        <v/>
      </c>
      <c r="CE374" s="1426" t="str">
        <f aca="false">IF(ISNUMBER($AX374*BE374),$AX374*BE374,"")</f>
        <v/>
      </c>
      <c r="CF374" s="1372" t="str">
        <f aca="false">IF(ISNUMBER($AW374*BF374),$AW374*BF374,"")</f>
        <v/>
      </c>
      <c r="CG374" s="1372" t="str">
        <f aca="false">IF(ISNUMBER($AX374*BG374),$AX374*BG374,"")</f>
        <v/>
      </c>
      <c r="CH374" s="1438"/>
      <c r="CI374" s="1438"/>
      <c r="CJ374" s="1438"/>
      <c r="CK374" s="1438"/>
      <c r="CU374" s="1411"/>
      <c r="CV374" s="1411"/>
      <c r="CW374" s="1425"/>
      <c r="CX374" s="1425"/>
      <c r="CY374" s="1425"/>
      <c r="CZ374" s="1425"/>
      <c r="DA374" s="1411"/>
      <c r="DB374" s="1411"/>
      <c r="DC374" s="1411"/>
      <c r="DD374" s="1411"/>
      <c r="DE374" s="1411"/>
      <c r="DF374" s="1411"/>
      <c r="DH374" s="1432"/>
      <c r="DI374" s="1432"/>
      <c r="DJ374" s="1437"/>
      <c r="DK374" s="1437"/>
      <c r="DL374" s="1437"/>
      <c r="DM374" s="1437"/>
      <c r="DN374" s="1432"/>
      <c r="DO374" s="1432"/>
      <c r="DP374" s="1432"/>
      <c r="DQ374" s="1432"/>
      <c r="DR374" s="1432"/>
      <c r="DS374" s="1432"/>
      <c r="DT374" s="1316"/>
      <c r="DU374" s="1433"/>
      <c r="DV374" s="1433"/>
      <c r="DW374" s="1433"/>
      <c r="DX374" s="1433"/>
      <c r="DY374" s="1433"/>
      <c r="DZ374" s="1433"/>
      <c r="EA374" s="1433"/>
      <c r="EB374" s="1433"/>
    </row>
    <row r="375" customFormat="false" ht="14.25" hidden="false" customHeight="false" outlineLevel="0" collapsed="false">
      <c r="A375" s="2" t="n">
        <f aca="false">'V_DATOS PAC_SGA'!R370</f>
        <v>0</v>
      </c>
      <c r="B375" s="2" t="n">
        <f aca="false">IF(I375="IV",CONCATENATE('V_DATOS PAC_SGA'!R370,"4")+0,CONCATENATE('V_DATOS PAC_SGA'!R370,"0")+0)</f>
        <v>0</v>
      </c>
      <c r="C375" s="2" t="n">
        <f aca="false">'V_DATOS PAC_SGA'!S370</f>
        <v>0</v>
      </c>
      <c r="D375" s="1409" t="n">
        <f aca="false">'V_DATOS PAC_SGA'!Y370</f>
        <v>0</v>
      </c>
      <c r="E375" s="1410" t="str">
        <f aca="false">IF('V_DATOS PAC_SGA'!AV370="","Regadio",'V_DATOS PAC_SGA'!AV370)</f>
        <v>Regadio</v>
      </c>
      <c r="F375" s="1411" t="n">
        <f aca="false">'V_DATOS PAC_SGA'!BK370</f>
        <v>0</v>
      </c>
      <c r="G375" s="1412" t="n">
        <f aca="false">'V_DATOS PAC_SGA'!AN370</f>
        <v>0</v>
      </c>
      <c r="H375" s="1413" t="str">
        <f aca="false">IF(B375&gt;0,VLOOKUP(B375,'O_MN, PE_UTA_UGM 2024'!E$3:O$419,10),"")</f>
        <v/>
      </c>
      <c r="I375" s="1359" t="n">
        <f aca="false">'V_DATOS PAC_SGA'!BV370</f>
        <v>0</v>
      </c>
      <c r="J375" s="2" t="str">
        <f aca="false">IF(AND(J$4=$G375,J$6=$F375),$D375*J$5,"")</f>
        <v/>
      </c>
      <c r="K375" s="2" t="str">
        <f aca="false">IF(AND(K$4=$G375,K$6=$F375),$D375*K$5,"")</f>
        <v/>
      </c>
      <c r="L375" s="2" t="str">
        <f aca="false">IF(AND(L$4=$G375,L$6=$F375),$D375*L$5,"")</f>
        <v/>
      </c>
      <c r="M375" s="2" t="str">
        <f aca="false">IF(AND(M$4=$G375,M$6=$F375),$D375*M$5,"")</f>
        <v/>
      </c>
      <c r="N375" s="1414" t="n">
        <f aca="false">VLOOKUP(B375,'O_MN, PE_UTA_UGM 2024'!$E$2:$K$419,IF(G375&gt;1,6,7))</f>
        <v>0</v>
      </c>
      <c r="O375" s="1434" t="str">
        <f aca="false">IF($H375=O$4,$D375*$N375,"")</f>
        <v/>
      </c>
      <c r="P375" s="1435" t="str">
        <f aca="false">IF($H375=P$4,$D375*$N375,"")</f>
        <v/>
      </c>
      <c r="Q375" s="1435" t="str">
        <f aca="false">IF($H375=Q$4,$D375*$N375,"")</f>
        <v/>
      </c>
      <c r="R375" s="1435" t="str">
        <f aca="false">IF($H375=R$4,$D375*$N375,"")</f>
        <v/>
      </c>
      <c r="S375" s="1435" t="str">
        <f aca="false">IF($H375=S$4,$D375*$N375,"")</f>
        <v/>
      </c>
      <c r="T375" s="1435" t="str">
        <f aca="false">IF($H375=T$4,$D375*$N375,"")</f>
        <v/>
      </c>
      <c r="U375" s="1436" t="str">
        <f aca="false">IF($H375=U$4,$D375*$N375,"")</f>
        <v/>
      </c>
      <c r="V375" s="1472"/>
      <c r="W375" s="1471"/>
      <c r="X375" s="1471"/>
      <c r="Y375" s="1471"/>
      <c r="Z375" s="1471"/>
      <c r="AA375" s="1471"/>
      <c r="AB375" s="1473"/>
      <c r="AC375" s="1319"/>
      <c r="AD375" s="2" t="str">
        <f aca="false">IF(AND(AD$4=$G375,AD$6=$F375),$B375,"")</f>
        <v/>
      </c>
      <c r="AE375" s="2" t="str">
        <f aca="false">IF(AND(AE$4=$G375,AE$6=$F375),$B375,"")</f>
        <v/>
      </c>
      <c r="AF375" s="2" t="str">
        <f aca="false">IF(AND(AF$4=$G375,AF$6=$F375),$B375,"")</f>
        <v/>
      </c>
      <c r="AG375" s="2" t="str">
        <f aca="false">IF(AND(AG$4=$G375,AG$6=$F375),$B375,"")</f>
        <v/>
      </c>
      <c r="AI375" s="366"/>
      <c r="AL375" s="367"/>
      <c r="AO375" s="367"/>
      <c r="AP375" s="2" t="str">
        <f aca="false">IF(AT375&gt;0,RANK(AT375,AT$7:AT$423),"")</f>
        <v/>
      </c>
      <c r="AQ375" s="1475" t="n">
        <f aca="false">'O_MN, PE_UTA_UGM 2024'!C372</f>
        <v>943</v>
      </c>
      <c r="AR375" s="1421" t="n">
        <v>4270</v>
      </c>
      <c r="AS375" s="2" t="str">
        <f aca="false">IF(AY375&lt;&gt;"",AY375,"")</f>
        <v/>
      </c>
      <c r="AT375" s="1422" t="n">
        <f aca="false">IF(ISNUMBER($AR375),SUMIF(B$7:B$505,AR375,D$7:D$505),"")</f>
        <v>0</v>
      </c>
      <c r="AU375" s="1411" t="n">
        <f aca="false">IF(ISNUMBER($AR375),SUMIF(AD$7:AD$503,$AR375,J$7:J$503),"")</f>
        <v>0</v>
      </c>
      <c r="AV375" s="1411" t="n">
        <f aca="false">IF(ISNUMBER($AR375),SUMIF(AF$7:AF$503,$AR375,L$7:L$503),"")</f>
        <v>0</v>
      </c>
      <c r="AW375" s="1423" t="n">
        <f aca="false">IF(ISNUMBER($AR375),SUMIF(AE$7:AE$503,$AR375,K$7:K$503),"")</f>
        <v>0</v>
      </c>
      <c r="AX375" s="1423" t="n">
        <f aca="false">IF(ISNUMBER($AR375),SUMIF(AG$7:AG$503,$AR375,M$7:M$503),"")</f>
        <v>0</v>
      </c>
      <c r="AY375" s="2" t="str">
        <f aca="false">IF($AT375&gt;0,VLOOKUP($AR375,'O_MN, PE_UTA_UGM 2024'!E372:O787,2),"")</f>
        <v/>
      </c>
      <c r="AZ375" s="1424"/>
      <c r="BA375" s="1424"/>
      <c r="BB375" s="1424" t="str">
        <f aca="false">IF($AT375&gt;0,VLOOKUP($AR375,'O_MN, PE_UTA_UGM 2024'!$E$3:$O$419,BB$6),"")</f>
        <v/>
      </c>
      <c r="BC375" s="1424" t="str">
        <f aca="false">IF($AT375&gt;0,VLOOKUP($AR375,'O_MN, PE_UTA_UGM 2024'!$E$3:$O$419,BC$6),"")</f>
        <v/>
      </c>
      <c r="BD375" s="1424" t="str">
        <f aca="false">IF($AT375&gt;0,VLOOKUP($AR375,'O_MN, PE_UTA_UGM 2024'!$E$3:$O$419,BD$6),"")</f>
        <v/>
      </c>
      <c r="BE375" s="1424" t="str">
        <f aca="false">IF($AT375&gt;0,VLOOKUP($AR375,'O_MN, PE_UTA_UGM 2024'!$E$3:$O$419,BE$6),"")</f>
        <v/>
      </c>
      <c r="BF375" s="1424" t="str">
        <f aca="false">IF($AT375&gt;0,VLOOKUP($AR375,'O_MN, PE_UTA_UGM 2024'!$E$3:$O$419,BF$6),"")</f>
        <v/>
      </c>
      <c r="BG375" s="1424" t="str">
        <f aca="false">IF($AT375&gt;0,VLOOKUP($AR375,'O_MN, PE_UTA_UGM 2024'!$E$3:$O$419,BG$6),"")</f>
        <v/>
      </c>
      <c r="BH375" s="872"/>
      <c r="BI375" s="872"/>
      <c r="BJ375" s="872"/>
      <c r="BK375" s="872"/>
      <c r="BM375" s="1411"/>
      <c r="BN375" s="1411"/>
      <c r="BO375" s="1425" t="str">
        <f aca="false">IF(ISNUMBER($AU375*BB375*1),$AU375*BB375*1,"")</f>
        <v/>
      </c>
      <c r="BP375" s="1425" t="str">
        <f aca="false">IF(ISNUMBER($AV375*BC375*1),$AV375*BC375*1,"")</f>
        <v/>
      </c>
      <c r="BQ375" s="1425" t="str">
        <f aca="false">IF(ISNUMBER($AU375*BD375*1),$AU375*BD375*1,"")</f>
        <v/>
      </c>
      <c r="BR375" s="1425" t="str">
        <f aca="false">IF(ISNUMBER($AV375*BE375*1),$AV375*BE375*1,"")</f>
        <v/>
      </c>
      <c r="BS375" s="1411" t="str">
        <f aca="false">IF(ISNUMBER($AU375*BF375),$AU375*BF375,"")</f>
        <v/>
      </c>
      <c r="BT375" s="1411" t="str">
        <f aca="false">IF(ISNUMBER($AV375*BG375),$AV375*BG375,"")</f>
        <v/>
      </c>
      <c r="BU375" s="1411"/>
      <c r="BV375" s="1411"/>
      <c r="BW375" s="1411"/>
      <c r="BX375" s="1411"/>
      <c r="BZ375" s="1372"/>
      <c r="CA375" s="1372"/>
      <c r="CB375" s="1426" t="str">
        <f aca="false">IF(ISNUMBER($AW375*BB375),$AW375*BB375,"")</f>
        <v/>
      </c>
      <c r="CC375" s="1426" t="str">
        <f aca="false">IF(ISNUMBER($AX375*BC375),$AX375*BC375,"")</f>
        <v/>
      </c>
      <c r="CD375" s="1426" t="str">
        <f aca="false">IF(ISNUMBER($AW375*BD375),$AW375*BD375,"")</f>
        <v/>
      </c>
      <c r="CE375" s="1426" t="str">
        <f aca="false">IF(ISNUMBER($AX375*BE375),$AX375*BE375,"")</f>
        <v/>
      </c>
      <c r="CF375" s="1372" t="str">
        <f aca="false">IF(ISNUMBER($AW375*BF375),$AW375*BF375,"")</f>
        <v/>
      </c>
      <c r="CG375" s="1372" t="str">
        <f aca="false">IF(ISNUMBER($AX375*BG375),$AX375*BG375,"")</f>
        <v/>
      </c>
      <c r="CH375" s="1438"/>
      <c r="CI375" s="1438"/>
      <c r="CJ375" s="1438"/>
      <c r="CK375" s="1438"/>
      <c r="CU375" s="1411"/>
      <c r="CV375" s="1411"/>
      <c r="CW375" s="1425"/>
      <c r="CX375" s="1425"/>
      <c r="CY375" s="1425"/>
      <c r="CZ375" s="1425"/>
      <c r="DA375" s="1411"/>
      <c r="DB375" s="1411"/>
      <c r="DC375" s="1411"/>
      <c r="DD375" s="1411"/>
      <c r="DE375" s="1411"/>
      <c r="DF375" s="1411"/>
      <c r="DH375" s="1432"/>
      <c r="DI375" s="1432"/>
      <c r="DJ375" s="1437"/>
      <c r="DK375" s="1437"/>
      <c r="DL375" s="1437"/>
      <c r="DM375" s="1437"/>
      <c r="DN375" s="1432"/>
      <c r="DO375" s="1432"/>
      <c r="DP375" s="1432"/>
      <c r="DQ375" s="1432"/>
      <c r="DR375" s="1432"/>
      <c r="DS375" s="1432"/>
      <c r="DT375" s="1316"/>
      <c r="DU375" s="1433"/>
      <c r="DV375" s="1433"/>
      <c r="DW375" s="1433"/>
      <c r="DX375" s="1433"/>
      <c r="DY375" s="1433"/>
      <c r="DZ375" s="1433"/>
      <c r="EA375" s="1433"/>
      <c r="EB375" s="1433"/>
    </row>
    <row r="376" customFormat="false" ht="14.25" hidden="false" customHeight="false" outlineLevel="0" collapsed="false">
      <c r="A376" s="2" t="n">
        <f aca="false">'V_DATOS PAC_SGA'!R371</f>
        <v>0</v>
      </c>
      <c r="B376" s="2" t="n">
        <f aca="false">IF(I376="IV",CONCATENATE('V_DATOS PAC_SGA'!R371,"4")+0,CONCATENATE('V_DATOS PAC_SGA'!R371,"0")+0)</f>
        <v>0</v>
      </c>
      <c r="C376" s="2" t="n">
        <f aca="false">'V_DATOS PAC_SGA'!S371</f>
        <v>0</v>
      </c>
      <c r="D376" s="1409" t="n">
        <f aca="false">'V_DATOS PAC_SGA'!Y371</f>
        <v>0</v>
      </c>
      <c r="E376" s="1410" t="str">
        <f aca="false">IF('V_DATOS PAC_SGA'!AV371="","Regadio",'V_DATOS PAC_SGA'!AV371)</f>
        <v>Regadio</v>
      </c>
      <c r="F376" s="1411" t="n">
        <f aca="false">'V_DATOS PAC_SGA'!BK371</f>
        <v>0</v>
      </c>
      <c r="G376" s="1412" t="n">
        <f aca="false">'V_DATOS PAC_SGA'!AN371</f>
        <v>0</v>
      </c>
      <c r="H376" s="1413" t="str">
        <f aca="false">IF(B376&gt;0,VLOOKUP(B376,'O_MN, PE_UTA_UGM 2024'!E$3:O$419,10),"")</f>
        <v/>
      </c>
      <c r="I376" s="1359" t="n">
        <f aca="false">'V_DATOS PAC_SGA'!BV371</f>
        <v>0</v>
      </c>
      <c r="J376" s="2" t="str">
        <f aca="false">IF(AND(J$4=$G376,J$6=$F376),$D376*J$5,"")</f>
        <v/>
      </c>
      <c r="K376" s="2" t="str">
        <f aca="false">IF(AND(K$4=$G376,K$6=$F376),$D376*K$5,"")</f>
        <v/>
      </c>
      <c r="L376" s="2" t="str">
        <f aca="false">IF(AND(L$4=$G376,L$6=$F376),$D376*L$5,"")</f>
        <v/>
      </c>
      <c r="M376" s="2" t="str">
        <f aca="false">IF(AND(M$4=$G376,M$6=$F376),$D376*M$5,"")</f>
        <v/>
      </c>
      <c r="N376" s="1414" t="n">
        <f aca="false">VLOOKUP(B376,'O_MN, PE_UTA_UGM 2024'!$E$2:$K$419,IF(G376&gt;1,6,7))</f>
        <v>0</v>
      </c>
      <c r="O376" s="1434" t="str">
        <f aca="false">IF($H376=O$4,$D376*$N376,"")</f>
        <v/>
      </c>
      <c r="P376" s="1435" t="str">
        <f aca="false">IF($H376=P$4,$D376*$N376,"")</f>
        <v/>
      </c>
      <c r="Q376" s="1435" t="str">
        <f aca="false">IF($H376=Q$4,$D376*$N376,"")</f>
        <v/>
      </c>
      <c r="R376" s="1435" t="str">
        <f aca="false">IF($H376=R$4,$D376*$N376,"")</f>
        <v/>
      </c>
      <c r="S376" s="1435" t="str">
        <f aca="false">IF($H376=S$4,$D376*$N376,"")</f>
        <v/>
      </c>
      <c r="T376" s="1435" t="str">
        <f aca="false">IF($H376=T$4,$D376*$N376,"")</f>
        <v/>
      </c>
      <c r="U376" s="1436" t="str">
        <f aca="false">IF($H376=U$4,$D376*$N376,"")</f>
        <v/>
      </c>
      <c r="V376" s="1472"/>
      <c r="W376" s="1471"/>
      <c r="X376" s="1471"/>
      <c r="Y376" s="1471"/>
      <c r="Z376" s="1471"/>
      <c r="AA376" s="1471"/>
      <c r="AB376" s="1473"/>
      <c r="AC376" s="1319"/>
      <c r="AD376" s="2" t="str">
        <f aca="false">IF(AND(AD$4=$G376,AD$6=$F376),$B376,"")</f>
        <v/>
      </c>
      <c r="AE376" s="2" t="str">
        <f aca="false">IF(AND(AE$4=$G376,AE$6=$F376),$B376,"")</f>
        <v/>
      </c>
      <c r="AF376" s="2" t="str">
        <f aca="false">IF(AND(AF$4=$G376,AF$6=$F376),$B376,"")</f>
        <v/>
      </c>
      <c r="AG376" s="2" t="str">
        <f aca="false">IF(AND(AG$4=$G376,AG$6=$F376),$B376,"")</f>
        <v/>
      </c>
      <c r="AI376" s="366"/>
      <c r="AL376" s="367"/>
      <c r="AO376" s="367"/>
      <c r="AP376" s="2" t="str">
        <f aca="false">IF(AT376&gt;0,RANK(AT376,AT$7:AT$423),"")</f>
        <v/>
      </c>
      <c r="AQ376" s="1475" t="n">
        <f aca="false">'O_MN, PE_UTA_UGM 2024'!C373</f>
        <v>945</v>
      </c>
      <c r="AR376" s="1421" t="n">
        <v>4280</v>
      </c>
      <c r="AS376" s="2" t="str">
        <f aca="false">IF(AY376&lt;&gt;"",AY376,"")</f>
        <v/>
      </c>
      <c r="AT376" s="1422" t="n">
        <f aca="false">IF(ISNUMBER($AR376),SUMIF(B$7:B$505,AR376,D$7:D$505),"")</f>
        <v>0</v>
      </c>
      <c r="AU376" s="1411" t="n">
        <f aca="false">IF(ISNUMBER($AR376),SUMIF(AD$7:AD$503,$AR376,J$7:J$503),"")</f>
        <v>0</v>
      </c>
      <c r="AV376" s="1411" t="n">
        <f aca="false">IF(ISNUMBER($AR376),SUMIF(AF$7:AF$503,$AR376,L$7:L$503),"")</f>
        <v>0</v>
      </c>
      <c r="AW376" s="1423" t="n">
        <f aca="false">IF(ISNUMBER($AR376),SUMIF(AE$7:AE$503,$AR376,K$7:K$503),"")</f>
        <v>0</v>
      </c>
      <c r="AX376" s="1423" t="n">
        <f aca="false">IF(ISNUMBER($AR376),SUMIF(AG$7:AG$503,$AR376,M$7:M$503),"")</f>
        <v>0</v>
      </c>
      <c r="AY376" s="2" t="str">
        <f aca="false">IF($AT376&gt;0,VLOOKUP($AR376,'O_MN, PE_UTA_UGM 2024'!E373:O788,2),"")</f>
        <v/>
      </c>
      <c r="AZ376" s="1424"/>
      <c r="BA376" s="1424"/>
      <c r="BB376" s="1424" t="str">
        <f aca="false">IF($AT376&gt;0,VLOOKUP($AR376,'O_MN, PE_UTA_UGM 2024'!$E$3:$O$419,BB$6),"")</f>
        <v/>
      </c>
      <c r="BC376" s="1424" t="str">
        <f aca="false">IF($AT376&gt;0,VLOOKUP($AR376,'O_MN, PE_UTA_UGM 2024'!$E$3:$O$419,BC$6),"")</f>
        <v/>
      </c>
      <c r="BD376" s="1424" t="str">
        <f aca="false">IF($AT376&gt;0,VLOOKUP($AR376,'O_MN, PE_UTA_UGM 2024'!$E$3:$O$419,BD$6),"")</f>
        <v/>
      </c>
      <c r="BE376" s="1424" t="str">
        <f aca="false">IF($AT376&gt;0,VLOOKUP($AR376,'O_MN, PE_UTA_UGM 2024'!$E$3:$O$419,BE$6),"")</f>
        <v/>
      </c>
      <c r="BF376" s="1424" t="str">
        <f aca="false">IF($AT376&gt;0,VLOOKUP($AR376,'O_MN, PE_UTA_UGM 2024'!$E$3:$O$419,BF$6),"")</f>
        <v/>
      </c>
      <c r="BG376" s="1424" t="str">
        <f aca="false">IF($AT376&gt;0,VLOOKUP($AR376,'O_MN, PE_UTA_UGM 2024'!$E$3:$O$419,BG$6),"")</f>
        <v/>
      </c>
      <c r="BH376" s="872"/>
      <c r="BI376" s="872"/>
      <c r="BJ376" s="872"/>
      <c r="BK376" s="872"/>
      <c r="BM376" s="1411"/>
      <c r="BN376" s="1411"/>
      <c r="BO376" s="1425" t="str">
        <f aca="false">IF(ISNUMBER($AU376*BB376*1),$AU376*BB376*1,"")</f>
        <v/>
      </c>
      <c r="BP376" s="1425" t="str">
        <f aca="false">IF(ISNUMBER($AV376*BC376*1),$AV376*BC376*1,"")</f>
        <v/>
      </c>
      <c r="BQ376" s="1425" t="str">
        <f aca="false">IF(ISNUMBER($AU376*BD376*1),$AU376*BD376*1,"")</f>
        <v/>
      </c>
      <c r="BR376" s="1425" t="str">
        <f aca="false">IF(ISNUMBER($AV376*BE376*1),$AV376*BE376*1,"")</f>
        <v/>
      </c>
      <c r="BS376" s="1411" t="str">
        <f aca="false">IF(ISNUMBER($AU376*BF376),$AU376*BF376,"")</f>
        <v/>
      </c>
      <c r="BT376" s="1411" t="str">
        <f aca="false">IF(ISNUMBER($AV376*BG376),$AV376*BG376,"")</f>
        <v/>
      </c>
      <c r="BU376" s="1411"/>
      <c r="BV376" s="1411"/>
      <c r="BW376" s="1411"/>
      <c r="BX376" s="1411"/>
      <c r="BZ376" s="1372"/>
      <c r="CA376" s="1372"/>
      <c r="CB376" s="1426" t="str">
        <f aca="false">IF(ISNUMBER($AW376*BB376),$AW376*BB376,"")</f>
        <v/>
      </c>
      <c r="CC376" s="1426" t="str">
        <f aca="false">IF(ISNUMBER($AX376*BC376),$AX376*BC376,"")</f>
        <v/>
      </c>
      <c r="CD376" s="1426" t="str">
        <f aca="false">IF(ISNUMBER($AW376*BD376),$AW376*BD376,"")</f>
        <v/>
      </c>
      <c r="CE376" s="1426" t="str">
        <f aca="false">IF(ISNUMBER($AX376*BE376),$AX376*BE376,"")</f>
        <v/>
      </c>
      <c r="CF376" s="1372" t="str">
        <f aca="false">IF(ISNUMBER($AW376*BF376),$AW376*BF376,"")</f>
        <v/>
      </c>
      <c r="CG376" s="1372" t="str">
        <f aca="false">IF(ISNUMBER($AX376*BG376),$AX376*BG376,"")</f>
        <v/>
      </c>
      <c r="CH376" s="1438"/>
      <c r="CI376" s="1438"/>
      <c r="CJ376" s="1438"/>
      <c r="CK376" s="1438"/>
      <c r="CU376" s="1411"/>
      <c r="CV376" s="1411"/>
      <c r="CW376" s="1425"/>
      <c r="CX376" s="1425"/>
      <c r="CY376" s="1425"/>
      <c r="CZ376" s="1425"/>
      <c r="DA376" s="1411"/>
      <c r="DB376" s="1411"/>
      <c r="DC376" s="1411"/>
      <c r="DD376" s="1411"/>
      <c r="DE376" s="1411"/>
      <c r="DF376" s="1411"/>
      <c r="DH376" s="1432"/>
      <c r="DI376" s="1432"/>
      <c r="DJ376" s="1437"/>
      <c r="DK376" s="1437"/>
      <c r="DL376" s="1437"/>
      <c r="DM376" s="1437"/>
      <c r="DN376" s="1432"/>
      <c r="DO376" s="1432"/>
      <c r="DP376" s="1432"/>
      <c r="DQ376" s="1432"/>
      <c r="DR376" s="1432"/>
      <c r="DS376" s="1432"/>
      <c r="DT376" s="1316"/>
      <c r="DU376" s="1433"/>
      <c r="DV376" s="1433"/>
      <c r="DW376" s="1433"/>
      <c r="DX376" s="1433"/>
      <c r="DY376" s="1433"/>
      <c r="DZ376" s="1433"/>
      <c r="EA376" s="1433"/>
      <c r="EB376" s="1433"/>
    </row>
    <row r="377" customFormat="false" ht="14.25" hidden="false" customHeight="false" outlineLevel="0" collapsed="false">
      <c r="A377" s="2" t="n">
        <f aca="false">'V_DATOS PAC_SGA'!R372</f>
        <v>0</v>
      </c>
      <c r="B377" s="2" t="n">
        <f aca="false">IF(I377="IV",CONCATENATE('V_DATOS PAC_SGA'!R372,"4")+0,CONCATENATE('V_DATOS PAC_SGA'!R372,"0")+0)</f>
        <v>0</v>
      </c>
      <c r="C377" s="2" t="n">
        <f aca="false">'V_DATOS PAC_SGA'!S372</f>
        <v>0</v>
      </c>
      <c r="D377" s="1409" t="n">
        <f aca="false">'V_DATOS PAC_SGA'!Y372</f>
        <v>0</v>
      </c>
      <c r="E377" s="1410" t="str">
        <f aca="false">IF('V_DATOS PAC_SGA'!AV372="","Regadio",'V_DATOS PAC_SGA'!AV372)</f>
        <v>Regadio</v>
      </c>
      <c r="F377" s="1411" t="n">
        <f aca="false">'V_DATOS PAC_SGA'!BK372</f>
        <v>0</v>
      </c>
      <c r="G377" s="1412" t="n">
        <f aca="false">'V_DATOS PAC_SGA'!AN372</f>
        <v>0</v>
      </c>
      <c r="H377" s="1413" t="str">
        <f aca="false">IF(B377&gt;0,VLOOKUP(B377,'O_MN, PE_UTA_UGM 2024'!E$3:O$419,10),"")</f>
        <v/>
      </c>
      <c r="I377" s="1359" t="n">
        <f aca="false">'V_DATOS PAC_SGA'!BV372</f>
        <v>0</v>
      </c>
      <c r="J377" s="2" t="str">
        <f aca="false">IF(AND(J$4=$G377,J$6=$F377),$D377*J$5,"")</f>
        <v/>
      </c>
      <c r="K377" s="2" t="str">
        <f aca="false">IF(AND(K$4=$G377,K$6=$F377),$D377*K$5,"")</f>
        <v/>
      </c>
      <c r="L377" s="2" t="str">
        <f aca="false">IF(AND(L$4=$G377,L$6=$F377),$D377*L$5,"")</f>
        <v/>
      </c>
      <c r="M377" s="2" t="str">
        <f aca="false">IF(AND(M$4=$G377,M$6=$F377),$D377*M$5,"")</f>
        <v/>
      </c>
      <c r="N377" s="1414" t="n">
        <f aca="false">VLOOKUP(B377,'O_MN, PE_UTA_UGM 2024'!$E$2:$K$419,IF(G377&gt;1,6,7))</f>
        <v>0</v>
      </c>
      <c r="O377" s="1434" t="str">
        <f aca="false">IF($H377=O$4,$D377*$N377,"")</f>
        <v/>
      </c>
      <c r="P377" s="1435" t="str">
        <f aca="false">IF($H377=P$4,$D377*$N377,"")</f>
        <v/>
      </c>
      <c r="Q377" s="1435" t="str">
        <f aca="false">IF($H377=Q$4,$D377*$N377,"")</f>
        <v/>
      </c>
      <c r="R377" s="1435" t="str">
        <f aca="false">IF($H377=R$4,$D377*$N377,"")</f>
        <v/>
      </c>
      <c r="S377" s="1435" t="str">
        <f aca="false">IF($H377=S$4,$D377*$N377,"")</f>
        <v/>
      </c>
      <c r="T377" s="1435" t="str">
        <f aca="false">IF($H377=T$4,$D377*$N377,"")</f>
        <v/>
      </c>
      <c r="U377" s="1436" t="str">
        <f aca="false">IF($H377=U$4,$D377*$N377,"")</f>
        <v/>
      </c>
      <c r="V377" s="1472"/>
      <c r="W377" s="1471"/>
      <c r="X377" s="1471"/>
      <c r="Y377" s="1471"/>
      <c r="Z377" s="1471"/>
      <c r="AA377" s="1471"/>
      <c r="AB377" s="1473"/>
      <c r="AC377" s="1319"/>
      <c r="AD377" s="2" t="str">
        <f aca="false">IF(AND(AD$4=$G377,AD$6=$F377),$B377,"")</f>
        <v/>
      </c>
      <c r="AE377" s="2" t="str">
        <f aca="false">IF(AND(AE$4=$G377,AE$6=$F377),$B377,"")</f>
        <v/>
      </c>
      <c r="AF377" s="2" t="str">
        <f aca="false">IF(AND(AF$4=$G377,AF$6=$F377),$B377,"")</f>
        <v/>
      </c>
      <c r="AG377" s="2" t="str">
        <f aca="false">IF(AND(AG$4=$G377,AG$6=$F377),$B377,"")</f>
        <v/>
      </c>
      <c r="AI377" s="366"/>
      <c r="AL377" s="367"/>
      <c r="AO377" s="367"/>
      <c r="AP377" s="2" t="str">
        <f aca="false">IF(AT377&gt;0,RANK(AT377,AT$7:AT$423),"")</f>
        <v/>
      </c>
      <c r="AQ377" s="1475" t="n">
        <f aca="false">'O_MN, PE_UTA_UGM 2024'!C374</f>
        <v>946</v>
      </c>
      <c r="AR377" s="1421" t="n">
        <v>4450</v>
      </c>
      <c r="AS377" s="2" t="str">
        <f aca="false">IF(AY377&lt;&gt;"",AY377,"")</f>
        <v/>
      </c>
      <c r="AT377" s="1422" t="n">
        <f aca="false">IF(ISNUMBER($AR377),SUMIF(B$7:B$505,AR377,D$7:D$505),"")</f>
        <v>0</v>
      </c>
      <c r="AU377" s="1411" t="n">
        <f aca="false">IF(ISNUMBER($AR377),SUMIF(AD$7:AD$503,$AR377,J$7:J$503),"")</f>
        <v>0</v>
      </c>
      <c r="AV377" s="1411" t="n">
        <f aca="false">IF(ISNUMBER($AR377),SUMIF(AF$7:AF$503,$AR377,L$7:L$503),"")</f>
        <v>0</v>
      </c>
      <c r="AW377" s="1423" t="n">
        <f aca="false">IF(ISNUMBER($AR377),SUMIF(AE$7:AE$503,$AR377,K$7:K$503),"")</f>
        <v>0</v>
      </c>
      <c r="AX377" s="1423" t="n">
        <f aca="false">IF(ISNUMBER($AR377),SUMIF(AG$7:AG$503,$AR377,M$7:M$503),"")</f>
        <v>0</v>
      </c>
      <c r="AY377" s="2" t="str">
        <f aca="false">IF($AT377&gt;0,VLOOKUP($AR377,'O_MN, PE_UTA_UGM 2024'!E374:O789,2),"")</f>
        <v/>
      </c>
      <c r="AZ377" s="1424"/>
      <c r="BA377" s="1424"/>
      <c r="BB377" s="1424" t="str">
        <f aca="false">IF($AT377&gt;0,VLOOKUP($AR377,'O_MN, PE_UTA_UGM 2024'!$E$3:$O$419,BB$6),"")</f>
        <v/>
      </c>
      <c r="BC377" s="1424" t="str">
        <f aca="false">IF($AT377&gt;0,VLOOKUP($AR377,'O_MN, PE_UTA_UGM 2024'!$E$3:$O$419,BC$6),"")</f>
        <v/>
      </c>
      <c r="BD377" s="1424" t="str">
        <f aca="false">IF($AT377&gt;0,VLOOKUP($AR377,'O_MN, PE_UTA_UGM 2024'!$E$3:$O$419,BD$6),"")</f>
        <v/>
      </c>
      <c r="BE377" s="1424" t="str">
        <f aca="false">IF($AT377&gt;0,VLOOKUP($AR377,'O_MN, PE_UTA_UGM 2024'!$E$3:$O$419,BE$6),"")</f>
        <v/>
      </c>
      <c r="BF377" s="1424" t="str">
        <f aca="false">IF($AT377&gt;0,VLOOKUP($AR377,'O_MN, PE_UTA_UGM 2024'!$E$3:$O$419,BF$6),"")</f>
        <v/>
      </c>
      <c r="BG377" s="1424" t="str">
        <f aca="false">IF($AT377&gt;0,VLOOKUP($AR377,'O_MN, PE_UTA_UGM 2024'!$E$3:$O$419,BG$6),"")</f>
        <v/>
      </c>
      <c r="BH377" s="872"/>
      <c r="BI377" s="872"/>
      <c r="BJ377" s="872"/>
      <c r="BK377" s="872"/>
      <c r="BM377" s="1411"/>
      <c r="BN377" s="1411"/>
      <c r="BO377" s="1425" t="str">
        <f aca="false">IF(ISNUMBER($AU377*BB377*1),$AU377*BB377*1,"")</f>
        <v/>
      </c>
      <c r="BP377" s="1425" t="str">
        <f aca="false">IF(ISNUMBER($AV377*BC377*1),$AV377*BC377*1,"")</f>
        <v/>
      </c>
      <c r="BQ377" s="1425" t="str">
        <f aca="false">IF(ISNUMBER($AU377*BD377*1),$AU377*BD377*1,"")</f>
        <v/>
      </c>
      <c r="BR377" s="1425" t="str">
        <f aca="false">IF(ISNUMBER($AV377*BE377*1),$AV377*BE377*1,"")</f>
        <v/>
      </c>
      <c r="BS377" s="1411" t="str">
        <f aca="false">IF(ISNUMBER($AU377*BF377),$AU377*BF377,"")</f>
        <v/>
      </c>
      <c r="BT377" s="1411" t="str">
        <f aca="false">IF(ISNUMBER($AV377*BG377),$AV377*BG377,"")</f>
        <v/>
      </c>
      <c r="BU377" s="1411"/>
      <c r="BV377" s="1411"/>
      <c r="BW377" s="1411"/>
      <c r="BX377" s="1411"/>
      <c r="BZ377" s="1372"/>
      <c r="CA377" s="1372"/>
      <c r="CB377" s="1426" t="str">
        <f aca="false">IF(ISNUMBER($AW377*BB377),$AW377*BB377,"")</f>
        <v/>
      </c>
      <c r="CC377" s="1426" t="str">
        <f aca="false">IF(ISNUMBER($AX377*BC377),$AX377*BC377,"")</f>
        <v/>
      </c>
      <c r="CD377" s="1426" t="str">
        <f aca="false">IF(ISNUMBER($AW377*BD377),$AW377*BD377,"")</f>
        <v/>
      </c>
      <c r="CE377" s="1426" t="str">
        <f aca="false">IF(ISNUMBER($AX377*BE377),$AX377*BE377,"")</f>
        <v/>
      </c>
      <c r="CF377" s="1372" t="str">
        <f aca="false">IF(ISNUMBER($AW377*BF377),$AW377*BF377,"")</f>
        <v/>
      </c>
      <c r="CG377" s="1372" t="str">
        <f aca="false">IF(ISNUMBER($AX377*BG377),$AX377*BG377,"")</f>
        <v/>
      </c>
      <c r="CH377" s="1438"/>
      <c r="CI377" s="1438"/>
      <c r="CJ377" s="1438"/>
      <c r="CK377" s="1438"/>
      <c r="CU377" s="1411"/>
      <c r="CV377" s="1411"/>
      <c r="CW377" s="1425"/>
      <c r="CX377" s="1425"/>
      <c r="CY377" s="1425"/>
      <c r="CZ377" s="1425"/>
      <c r="DA377" s="1411"/>
      <c r="DB377" s="1411"/>
      <c r="DC377" s="1411"/>
      <c r="DD377" s="1411"/>
      <c r="DE377" s="1411"/>
      <c r="DF377" s="1411"/>
      <c r="DH377" s="1432"/>
      <c r="DI377" s="1432"/>
      <c r="DJ377" s="1437"/>
      <c r="DK377" s="1437"/>
      <c r="DL377" s="1437"/>
      <c r="DM377" s="1437"/>
      <c r="DN377" s="1432"/>
      <c r="DO377" s="1432"/>
      <c r="DP377" s="1432"/>
      <c r="DQ377" s="1432"/>
      <c r="DR377" s="1432"/>
      <c r="DS377" s="1432"/>
      <c r="DT377" s="1316"/>
      <c r="DU377" s="1433"/>
      <c r="DV377" s="1433"/>
      <c r="DW377" s="1433"/>
      <c r="DX377" s="1433"/>
      <c r="DY377" s="1433"/>
      <c r="DZ377" s="1433"/>
      <c r="EA377" s="1433"/>
      <c r="EB377" s="1433"/>
    </row>
    <row r="378" customFormat="false" ht="14.25" hidden="false" customHeight="false" outlineLevel="0" collapsed="false">
      <c r="A378" s="2" t="n">
        <f aca="false">'V_DATOS PAC_SGA'!R373</f>
        <v>0</v>
      </c>
      <c r="B378" s="2" t="n">
        <f aca="false">IF(I378="IV",CONCATENATE('V_DATOS PAC_SGA'!R373,"4")+0,CONCATENATE('V_DATOS PAC_SGA'!R373,"0")+0)</f>
        <v>0</v>
      </c>
      <c r="C378" s="2" t="n">
        <f aca="false">'V_DATOS PAC_SGA'!S373</f>
        <v>0</v>
      </c>
      <c r="D378" s="1409" t="n">
        <f aca="false">'V_DATOS PAC_SGA'!Y373</f>
        <v>0</v>
      </c>
      <c r="E378" s="1410" t="str">
        <f aca="false">IF('V_DATOS PAC_SGA'!AV373="","Regadio",'V_DATOS PAC_SGA'!AV373)</f>
        <v>Regadio</v>
      </c>
      <c r="F378" s="1411" t="n">
        <f aca="false">'V_DATOS PAC_SGA'!BK373</f>
        <v>0</v>
      </c>
      <c r="G378" s="1412" t="n">
        <f aca="false">'V_DATOS PAC_SGA'!AN373</f>
        <v>0</v>
      </c>
      <c r="H378" s="1413" t="str">
        <f aca="false">IF(B378&gt;0,VLOOKUP(B378,'O_MN, PE_UTA_UGM 2024'!E$3:O$419,10),"")</f>
        <v/>
      </c>
      <c r="I378" s="1359" t="n">
        <f aca="false">'V_DATOS PAC_SGA'!BV373</f>
        <v>0</v>
      </c>
      <c r="J378" s="2" t="str">
        <f aca="false">IF(AND(J$4=$G378,J$6=$F378),$D378*J$5,"")</f>
        <v/>
      </c>
      <c r="K378" s="2" t="str">
        <f aca="false">IF(AND(K$4=$G378,K$6=$F378),$D378*K$5,"")</f>
        <v/>
      </c>
      <c r="L378" s="2" t="str">
        <f aca="false">IF(AND(L$4=$G378,L$6=$F378),$D378*L$5,"")</f>
        <v/>
      </c>
      <c r="M378" s="2" t="str">
        <f aca="false">IF(AND(M$4=$G378,M$6=$F378),$D378*M$5,"")</f>
        <v/>
      </c>
      <c r="N378" s="1414" t="n">
        <f aca="false">VLOOKUP(B378,'O_MN, PE_UTA_UGM 2024'!$E$2:$K$419,IF(G378&gt;1,6,7))</f>
        <v>0</v>
      </c>
      <c r="O378" s="1434" t="str">
        <f aca="false">IF($H378=O$4,$D378*$N378,"")</f>
        <v/>
      </c>
      <c r="P378" s="1435" t="str">
        <f aca="false">IF($H378=P$4,$D378*$N378,"")</f>
        <v/>
      </c>
      <c r="Q378" s="1435" t="str">
        <f aca="false">IF($H378=Q$4,$D378*$N378,"")</f>
        <v/>
      </c>
      <c r="R378" s="1435" t="str">
        <f aca="false">IF($H378=R$4,$D378*$N378,"")</f>
        <v/>
      </c>
      <c r="S378" s="1435" t="str">
        <f aca="false">IF($H378=S$4,$D378*$N378,"")</f>
        <v/>
      </c>
      <c r="T378" s="1435" t="str">
        <f aca="false">IF($H378=T$4,$D378*$N378,"")</f>
        <v/>
      </c>
      <c r="U378" s="1436" t="str">
        <f aca="false">IF($H378=U$4,$D378*$N378,"")</f>
        <v/>
      </c>
      <c r="V378" s="1472"/>
      <c r="W378" s="1471"/>
      <c r="X378" s="1471"/>
      <c r="Y378" s="1471"/>
      <c r="Z378" s="1471"/>
      <c r="AA378" s="1471"/>
      <c r="AB378" s="1473"/>
      <c r="AC378" s="1319"/>
      <c r="AD378" s="2" t="str">
        <f aca="false">IF(AND(AD$4=$G378,AD$6=$F378),$B378,"")</f>
        <v/>
      </c>
      <c r="AE378" s="2" t="str">
        <f aca="false">IF(AND(AE$4=$G378,AE$6=$F378),$B378,"")</f>
        <v/>
      </c>
      <c r="AF378" s="2" t="str">
        <f aca="false">IF(AND(AF$4=$G378,AF$6=$F378),$B378,"")</f>
        <v/>
      </c>
      <c r="AG378" s="2" t="str">
        <f aca="false">IF(AND(AG$4=$G378,AG$6=$F378),$B378,"")</f>
        <v/>
      </c>
      <c r="AI378" s="366"/>
      <c r="AL378" s="367"/>
      <c r="AO378" s="367"/>
      <c r="AP378" s="2" t="str">
        <f aca="false">IF(AT378&gt;0,RANK(AT378,AT$7:AT$423),"")</f>
        <v/>
      </c>
      <c r="AQ378" s="1475" t="n">
        <f aca="false">'O_MN, PE_UTA_UGM 2024'!C375</f>
        <v>948</v>
      </c>
      <c r="AR378" s="1421" t="n">
        <v>4470</v>
      </c>
      <c r="AS378" s="2" t="str">
        <f aca="false">IF(AY378&lt;&gt;"",AY378,"")</f>
        <v/>
      </c>
      <c r="AT378" s="1422" t="n">
        <f aca="false">IF(ISNUMBER($AR378),SUMIF(B$7:B$505,AR378,D$7:D$505),"")</f>
        <v>0</v>
      </c>
      <c r="AU378" s="1411" t="n">
        <f aca="false">IF(ISNUMBER($AR378),SUMIF(AD$7:AD$503,$AR378,J$7:J$503),"")</f>
        <v>0</v>
      </c>
      <c r="AV378" s="1411" t="n">
        <f aca="false">IF(ISNUMBER($AR378),SUMIF(AF$7:AF$503,$AR378,L$7:L$503),"")</f>
        <v>0</v>
      </c>
      <c r="AW378" s="1423" t="n">
        <f aca="false">IF(ISNUMBER($AR378),SUMIF(AE$7:AE$503,$AR378,K$7:K$503),"")</f>
        <v>0</v>
      </c>
      <c r="AX378" s="1423" t="n">
        <f aca="false">IF(ISNUMBER($AR378),SUMIF(AG$7:AG$503,$AR378,M$7:M$503),"")</f>
        <v>0</v>
      </c>
      <c r="AY378" s="2" t="str">
        <f aca="false">IF($AT378&gt;0,VLOOKUP($AR378,'O_MN, PE_UTA_UGM 2024'!E375:O790,2),"")</f>
        <v/>
      </c>
      <c r="AZ378" s="1424"/>
      <c r="BA378" s="1424"/>
      <c r="BB378" s="1424" t="str">
        <f aca="false">IF($AT378&gt;0,VLOOKUP($AR378,'O_MN, PE_UTA_UGM 2024'!$E$3:$O$419,BB$6),"")</f>
        <v/>
      </c>
      <c r="BC378" s="1424" t="str">
        <f aca="false">IF($AT378&gt;0,VLOOKUP($AR378,'O_MN, PE_UTA_UGM 2024'!$E$3:$O$419,BC$6),"")</f>
        <v/>
      </c>
      <c r="BD378" s="1424" t="str">
        <f aca="false">IF($AT378&gt;0,VLOOKUP($AR378,'O_MN, PE_UTA_UGM 2024'!$E$3:$O$419,BD$6),"")</f>
        <v/>
      </c>
      <c r="BE378" s="1424" t="str">
        <f aca="false">IF($AT378&gt;0,VLOOKUP($AR378,'O_MN, PE_UTA_UGM 2024'!$E$3:$O$419,BE$6),"")</f>
        <v/>
      </c>
      <c r="BF378" s="1424" t="str">
        <f aca="false">IF($AT378&gt;0,VLOOKUP($AR378,'O_MN, PE_UTA_UGM 2024'!$E$3:$O$419,BF$6),"")</f>
        <v/>
      </c>
      <c r="BG378" s="1424" t="str">
        <f aca="false">IF($AT378&gt;0,VLOOKUP($AR378,'O_MN, PE_UTA_UGM 2024'!$E$3:$O$419,BG$6),"")</f>
        <v/>
      </c>
      <c r="BH378" s="872"/>
      <c r="BI378" s="872"/>
      <c r="BJ378" s="872"/>
      <c r="BK378" s="872"/>
      <c r="BM378" s="1411"/>
      <c r="BN378" s="1411"/>
      <c r="BO378" s="1425" t="str">
        <f aca="false">IF(ISNUMBER($AU378*BB378*1),$AU378*BB378*1,"")</f>
        <v/>
      </c>
      <c r="BP378" s="1425" t="str">
        <f aca="false">IF(ISNUMBER($AV378*BC378*1),$AV378*BC378*1,"")</f>
        <v/>
      </c>
      <c r="BQ378" s="1425" t="str">
        <f aca="false">IF(ISNUMBER($AU378*BD378*1),$AU378*BD378*1,"")</f>
        <v/>
      </c>
      <c r="BR378" s="1425" t="str">
        <f aca="false">IF(ISNUMBER($AV378*BE378*1),$AV378*BE378*1,"")</f>
        <v/>
      </c>
      <c r="BS378" s="1411" t="str">
        <f aca="false">IF(ISNUMBER($AU378*BF378),$AU378*BF378,"")</f>
        <v/>
      </c>
      <c r="BT378" s="1411" t="str">
        <f aca="false">IF(ISNUMBER($AV378*BG378),$AV378*BG378,"")</f>
        <v/>
      </c>
      <c r="BU378" s="1411"/>
      <c r="BV378" s="1411"/>
      <c r="BW378" s="1411"/>
      <c r="BX378" s="1411"/>
      <c r="BZ378" s="1372"/>
      <c r="CA378" s="1372"/>
      <c r="CB378" s="1426" t="str">
        <f aca="false">IF(ISNUMBER($AW378*BB378),$AW378*BB378,"")</f>
        <v/>
      </c>
      <c r="CC378" s="1426" t="str">
        <f aca="false">IF(ISNUMBER($AX378*BC378),$AX378*BC378,"")</f>
        <v/>
      </c>
      <c r="CD378" s="1426" t="str">
        <f aca="false">IF(ISNUMBER($AW378*BD378),$AW378*BD378,"")</f>
        <v/>
      </c>
      <c r="CE378" s="1426" t="str">
        <f aca="false">IF(ISNUMBER($AX378*BE378),$AX378*BE378,"")</f>
        <v/>
      </c>
      <c r="CF378" s="1372" t="str">
        <f aca="false">IF(ISNUMBER($AW378*BF378),$AW378*BF378,"")</f>
        <v/>
      </c>
      <c r="CG378" s="1372" t="str">
        <f aca="false">IF(ISNUMBER($AX378*BG378),$AX378*BG378,"")</f>
        <v/>
      </c>
      <c r="CH378" s="1438"/>
      <c r="CI378" s="1438"/>
      <c r="CJ378" s="1438"/>
      <c r="CK378" s="1438"/>
      <c r="CU378" s="1411"/>
      <c r="CV378" s="1411"/>
      <c r="CW378" s="1425"/>
      <c r="CX378" s="1425"/>
      <c r="CY378" s="1425"/>
      <c r="CZ378" s="1425"/>
      <c r="DA378" s="1411"/>
      <c r="DB378" s="1411"/>
      <c r="DC378" s="1411"/>
      <c r="DD378" s="1411"/>
      <c r="DE378" s="1411"/>
      <c r="DF378" s="1411"/>
      <c r="DH378" s="1432"/>
      <c r="DI378" s="1432"/>
      <c r="DJ378" s="1437"/>
      <c r="DK378" s="1437"/>
      <c r="DL378" s="1437"/>
      <c r="DM378" s="1437"/>
      <c r="DN378" s="1432"/>
      <c r="DO378" s="1432"/>
      <c r="DP378" s="1432"/>
      <c r="DQ378" s="1432"/>
      <c r="DR378" s="1432"/>
      <c r="DS378" s="1432"/>
      <c r="DT378" s="1316"/>
      <c r="DU378" s="1433"/>
      <c r="DV378" s="1433"/>
      <c r="DW378" s="1433"/>
      <c r="DX378" s="1433"/>
      <c r="DY378" s="1433"/>
      <c r="DZ378" s="1433"/>
      <c r="EA378" s="1433"/>
      <c r="EB378" s="1433"/>
    </row>
    <row r="379" customFormat="false" ht="14.25" hidden="false" customHeight="false" outlineLevel="0" collapsed="false">
      <c r="A379" s="2" t="n">
        <f aca="false">'V_DATOS PAC_SGA'!R374</f>
        <v>0</v>
      </c>
      <c r="B379" s="2" t="n">
        <f aca="false">IF(I379="IV",CONCATENATE('V_DATOS PAC_SGA'!R374,"4")+0,CONCATENATE('V_DATOS PAC_SGA'!R374,"0")+0)</f>
        <v>0</v>
      </c>
      <c r="C379" s="2" t="n">
        <f aca="false">'V_DATOS PAC_SGA'!S374</f>
        <v>0</v>
      </c>
      <c r="D379" s="1409" t="n">
        <f aca="false">'V_DATOS PAC_SGA'!Y374</f>
        <v>0</v>
      </c>
      <c r="E379" s="1410" t="str">
        <f aca="false">IF('V_DATOS PAC_SGA'!AV374="","Regadio",'V_DATOS PAC_SGA'!AV374)</f>
        <v>Regadio</v>
      </c>
      <c r="F379" s="1411" t="n">
        <f aca="false">'V_DATOS PAC_SGA'!BK374</f>
        <v>0</v>
      </c>
      <c r="G379" s="1412" t="n">
        <f aca="false">'V_DATOS PAC_SGA'!AN374</f>
        <v>0</v>
      </c>
      <c r="H379" s="1413" t="str">
        <f aca="false">IF(B379&gt;0,VLOOKUP(B379,'O_MN, PE_UTA_UGM 2024'!E$3:O$419,10),"")</f>
        <v/>
      </c>
      <c r="I379" s="1359" t="n">
        <f aca="false">'V_DATOS PAC_SGA'!BV374</f>
        <v>0</v>
      </c>
      <c r="J379" s="2" t="str">
        <f aca="false">IF(AND(J$4=$G379,J$6=$F379),$D379*J$5,"")</f>
        <v/>
      </c>
      <c r="K379" s="2" t="str">
        <f aca="false">IF(AND(K$4=$G379,K$6=$F379),$D379*K$5,"")</f>
        <v/>
      </c>
      <c r="L379" s="2" t="str">
        <f aca="false">IF(AND(L$4=$G379,L$6=$F379),$D379*L$5,"")</f>
        <v/>
      </c>
      <c r="M379" s="2" t="str">
        <f aca="false">IF(AND(M$4=$G379,M$6=$F379),$D379*M$5,"")</f>
        <v/>
      </c>
      <c r="N379" s="1414" t="n">
        <f aca="false">VLOOKUP(B379,'O_MN, PE_UTA_UGM 2024'!$E$2:$K$419,IF(G379&gt;1,6,7))</f>
        <v>0</v>
      </c>
      <c r="O379" s="1434" t="str">
        <f aca="false">IF($H379=O$4,$D379*$N379,"")</f>
        <v/>
      </c>
      <c r="P379" s="1435" t="str">
        <f aca="false">IF($H379=P$4,$D379*$N379,"")</f>
        <v/>
      </c>
      <c r="Q379" s="1435" t="str">
        <f aca="false">IF($H379=Q$4,$D379*$N379,"")</f>
        <v/>
      </c>
      <c r="R379" s="1435" t="str">
        <f aca="false">IF($H379=R$4,$D379*$N379,"")</f>
        <v/>
      </c>
      <c r="S379" s="1435" t="str">
        <f aca="false">IF($H379=S$4,$D379*$N379,"")</f>
        <v/>
      </c>
      <c r="T379" s="1435" t="str">
        <f aca="false">IF($H379=T$4,$D379*$N379,"")</f>
        <v/>
      </c>
      <c r="U379" s="1436" t="str">
        <f aca="false">IF($H379=U$4,$D379*$N379,"")</f>
        <v/>
      </c>
      <c r="V379" s="1472"/>
      <c r="W379" s="1471"/>
      <c r="X379" s="1471"/>
      <c r="Y379" s="1471"/>
      <c r="Z379" s="1471"/>
      <c r="AA379" s="1471"/>
      <c r="AB379" s="1473"/>
      <c r="AC379" s="1319"/>
      <c r="AD379" s="2" t="str">
        <f aca="false">IF(AND(AD$4=$G379,AD$6=$F379),$B379,"")</f>
        <v/>
      </c>
      <c r="AE379" s="2" t="str">
        <f aca="false">IF(AND(AE$4=$G379,AE$6=$F379),$B379,"")</f>
        <v/>
      </c>
      <c r="AF379" s="2" t="str">
        <f aca="false">IF(AND(AF$4=$G379,AF$6=$F379),$B379,"")</f>
        <v/>
      </c>
      <c r="AG379" s="2" t="str">
        <f aca="false">IF(AND(AG$4=$G379,AG$6=$F379),$B379,"")</f>
        <v/>
      </c>
      <c r="AI379" s="366"/>
      <c r="AL379" s="367"/>
      <c r="AO379" s="367"/>
      <c r="AP379" s="2" t="str">
        <f aca="false">IF(AT379&gt;0,RANK(AT379,AT$7:AT$423),"")</f>
        <v/>
      </c>
      <c r="AQ379" s="1475" t="n">
        <f aca="false">'O_MN, PE_UTA_UGM 2024'!C376</f>
        <v>949</v>
      </c>
      <c r="AR379" s="1421" t="n">
        <v>4480</v>
      </c>
      <c r="AS379" s="2" t="str">
        <f aca="false">IF(AY379&lt;&gt;"",AY379,"")</f>
        <v/>
      </c>
      <c r="AT379" s="1422" t="n">
        <f aca="false">IF(ISNUMBER($AR379),SUMIF(B$7:B$505,AR379,D$7:D$505),"")</f>
        <v>0</v>
      </c>
      <c r="AU379" s="1411" t="n">
        <f aca="false">IF(ISNUMBER($AR379),SUMIF(AD$7:AD$503,$AR379,J$7:J$503),"")</f>
        <v>0</v>
      </c>
      <c r="AV379" s="1411" t="n">
        <f aca="false">IF(ISNUMBER($AR379),SUMIF(AF$7:AF$503,$AR379,L$7:L$503),"")</f>
        <v>0</v>
      </c>
      <c r="AW379" s="1423" t="n">
        <f aca="false">IF(ISNUMBER($AR379),SUMIF(AE$7:AE$503,$AR379,K$7:K$503),"")</f>
        <v>0</v>
      </c>
      <c r="AX379" s="1423" t="n">
        <f aca="false">IF(ISNUMBER($AR379),SUMIF(AG$7:AG$503,$AR379,M$7:M$503),"")</f>
        <v>0</v>
      </c>
      <c r="AY379" s="2" t="str">
        <f aca="false">IF($AT379&gt;0,VLOOKUP($AR379,'O_MN, PE_UTA_UGM 2024'!E376:O791,2),"")</f>
        <v/>
      </c>
      <c r="AZ379" s="1424"/>
      <c r="BA379" s="1424"/>
      <c r="BB379" s="1424" t="str">
        <f aca="false">IF($AT379&gt;0,VLOOKUP($AR379,'O_MN, PE_UTA_UGM 2024'!$E$3:$O$419,BB$6),"")</f>
        <v/>
      </c>
      <c r="BC379" s="1424" t="str">
        <f aca="false">IF($AT379&gt;0,VLOOKUP($AR379,'O_MN, PE_UTA_UGM 2024'!$E$3:$O$419,BC$6),"")</f>
        <v/>
      </c>
      <c r="BD379" s="1424" t="str">
        <f aca="false">IF($AT379&gt;0,VLOOKUP($AR379,'O_MN, PE_UTA_UGM 2024'!$E$3:$O$419,BD$6),"")</f>
        <v/>
      </c>
      <c r="BE379" s="1424" t="str">
        <f aca="false">IF($AT379&gt;0,VLOOKUP($AR379,'O_MN, PE_UTA_UGM 2024'!$E$3:$O$419,BE$6),"")</f>
        <v/>
      </c>
      <c r="BF379" s="1424" t="str">
        <f aca="false">IF($AT379&gt;0,VLOOKUP($AR379,'O_MN, PE_UTA_UGM 2024'!$E$3:$O$419,BF$6),"")</f>
        <v/>
      </c>
      <c r="BG379" s="1424" t="str">
        <f aca="false">IF($AT379&gt;0,VLOOKUP($AR379,'O_MN, PE_UTA_UGM 2024'!$E$3:$O$419,BG$6),"")</f>
        <v/>
      </c>
      <c r="BH379" s="872"/>
      <c r="BI379" s="872"/>
      <c r="BJ379" s="872"/>
      <c r="BK379" s="872"/>
      <c r="BM379" s="1411"/>
      <c r="BN379" s="1411"/>
      <c r="BO379" s="1425" t="str">
        <f aca="false">IF(ISNUMBER($AU379*BB379*1),$AU379*BB379*1,"")</f>
        <v/>
      </c>
      <c r="BP379" s="1425" t="str">
        <f aca="false">IF(ISNUMBER($AV379*BC379*1),$AV379*BC379*1,"")</f>
        <v/>
      </c>
      <c r="BQ379" s="1425" t="str">
        <f aca="false">IF(ISNUMBER($AU379*BD379*1),$AU379*BD379*1,"")</f>
        <v/>
      </c>
      <c r="BR379" s="1425" t="str">
        <f aca="false">IF(ISNUMBER($AV379*BE379*1),$AV379*BE379*1,"")</f>
        <v/>
      </c>
      <c r="BS379" s="1411" t="str">
        <f aca="false">IF(ISNUMBER($AU379*BF379),$AU379*BF379,"")</f>
        <v/>
      </c>
      <c r="BT379" s="1411" t="str">
        <f aca="false">IF(ISNUMBER($AV379*BG379),$AV379*BG379,"")</f>
        <v/>
      </c>
      <c r="BU379" s="1411"/>
      <c r="BV379" s="1411"/>
      <c r="BW379" s="1411"/>
      <c r="BX379" s="1411"/>
      <c r="BZ379" s="1372"/>
      <c r="CA379" s="1372"/>
      <c r="CB379" s="1426" t="str">
        <f aca="false">IF(ISNUMBER($AW379*BB379),$AW379*BB379,"")</f>
        <v/>
      </c>
      <c r="CC379" s="1426" t="str">
        <f aca="false">IF(ISNUMBER($AX379*BC379),$AX379*BC379,"")</f>
        <v/>
      </c>
      <c r="CD379" s="1426" t="str">
        <f aca="false">IF(ISNUMBER($AW379*BD379),$AW379*BD379,"")</f>
        <v/>
      </c>
      <c r="CE379" s="1426" t="str">
        <f aca="false">IF(ISNUMBER($AX379*BE379),$AX379*BE379,"")</f>
        <v/>
      </c>
      <c r="CF379" s="1372" t="str">
        <f aca="false">IF(ISNUMBER($AW379*BF379),$AW379*BF379,"")</f>
        <v/>
      </c>
      <c r="CG379" s="1372" t="str">
        <f aca="false">IF(ISNUMBER($AX379*BG379),$AX379*BG379,"")</f>
        <v/>
      </c>
      <c r="CH379" s="1438"/>
      <c r="CI379" s="1438"/>
      <c r="CJ379" s="1438"/>
      <c r="CK379" s="1438"/>
      <c r="CU379" s="1411"/>
      <c r="CV379" s="1411"/>
      <c r="CW379" s="1425"/>
      <c r="CX379" s="1425"/>
      <c r="CY379" s="1425"/>
      <c r="CZ379" s="1425"/>
      <c r="DA379" s="1411"/>
      <c r="DB379" s="1411"/>
      <c r="DC379" s="1411"/>
      <c r="DD379" s="1411"/>
      <c r="DE379" s="1411"/>
      <c r="DF379" s="1411"/>
      <c r="DH379" s="1432"/>
      <c r="DI379" s="1432"/>
      <c r="DJ379" s="1437"/>
      <c r="DK379" s="1437"/>
      <c r="DL379" s="1437"/>
      <c r="DM379" s="1437"/>
      <c r="DN379" s="1432"/>
      <c r="DO379" s="1432"/>
      <c r="DP379" s="1432"/>
      <c r="DQ379" s="1432"/>
      <c r="DR379" s="1432"/>
      <c r="DS379" s="1432"/>
      <c r="DT379" s="1316"/>
      <c r="DU379" s="1433"/>
      <c r="DV379" s="1433"/>
      <c r="DW379" s="1433"/>
      <c r="DX379" s="1433"/>
      <c r="DY379" s="1433"/>
      <c r="DZ379" s="1433"/>
      <c r="EA379" s="1433"/>
      <c r="EB379" s="1433"/>
    </row>
    <row r="380" customFormat="false" ht="14.25" hidden="false" customHeight="false" outlineLevel="0" collapsed="false">
      <c r="A380" s="2" t="n">
        <f aca="false">'V_DATOS PAC_SGA'!R375</f>
        <v>0</v>
      </c>
      <c r="B380" s="2" t="n">
        <f aca="false">IF(I380="IV",CONCATENATE('V_DATOS PAC_SGA'!R375,"4")+0,CONCATENATE('V_DATOS PAC_SGA'!R375,"0")+0)</f>
        <v>0</v>
      </c>
      <c r="C380" s="2" t="n">
        <f aca="false">'V_DATOS PAC_SGA'!S375</f>
        <v>0</v>
      </c>
      <c r="D380" s="1409" t="n">
        <f aca="false">'V_DATOS PAC_SGA'!Y375</f>
        <v>0</v>
      </c>
      <c r="E380" s="1410" t="str">
        <f aca="false">IF('V_DATOS PAC_SGA'!AV375="","Regadio",'V_DATOS PAC_SGA'!AV375)</f>
        <v>Regadio</v>
      </c>
      <c r="F380" s="1411" t="n">
        <f aca="false">'V_DATOS PAC_SGA'!BK375</f>
        <v>0</v>
      </c>
      <c r="G380" s="1412" t="n">
        <f aca="false">'V_DATOS PAC_SGA'!AN375</f>
        <v>0</v>
      </c>
      <c r="H380" s="1413" t="str">
        <f aca="false">IF(B380&gt;0,VLOOKUP(B380,'O_MN, PE_UTA_UGM 2024'!E$3:O$419,10),"")</f>
        <v/>
      </c>
      <c r="I380" s="1359" t="n">
        <f aca="false">'V_DATOS PAC_SGA'!BV375</f>
        <v>0</v>
      </c>
      <c r="J380" s="2" t="str">
        <f aca="false">IF(AND(J$4=$G380,J$6=$F380),$D380*J$5,"")</f>
        <v/>
      </c>
      <c r="K380" s="2" t="str">
        <f aca="false">IF(AND(K$4=$G380,K$6=$F380),$D380*K$5,"")</f>
        <v/>
      </c>
      <c r="L380" s="2" t="str">
        <f aca="false">IF(AND(L$4=$G380,L$6=$F380),$D380*L$5,"")</f>
        <v/>
      </c>
      <c r="M380" s="2" t="str">
        <f aca="false">IF(AND(M$4=$G380,M$6=$F380),$D380*M$5,"")</f>
        <v/>
      </c>
      <c r="N380" s="1414" t="n">
        <f aca="false">VLOOKUP(B380,'O_MN, PE_UTA_UGM 2024'!$E$2:$K$419,IF(G380&gt;1,6,7))</f>
        <v>0</v>
      </c>
      <c r="O380" s="1434" t="str">
        <f aca="false">IF($H380=O$4,$D380*$N380,"")</f>
        <v/>
      </c>
      <c r="P380" s="1435" t="str">
        <f aca="false">IF($H380=P$4,$D380*$N380,"")</f>
        <v/>
      </c>
      <c r="Q380" s="1435" t="str">
        <f aca="false">IF($H380=Q$4,$D380*$N380,"")</f>
        <v/>
      </c>
      <c r="R380" s="1435" t="str">
        <f aca="false">IF($H380=R$4,$D380*$N380,"")</f>
        <v/>
      </c>
      <c r="S380" s="1435" t="str">
        <f aca="false">IF($H380=S$4,$D380*$N380,"")</f>
        <v/>
      </c>
      <c r="T380" s="1435" t="str">
        <f aca="false">IF($H380=T$4,$D380*$N380,"")</f>
        <v/>
      </c>
      <c r="U380" s="1436" t="str">
        <f aca="false">IF($H380=U$4,$D380*$N380,"")</f>
        <v/>
      </c>
      <c r="V380" s="1472"/>
      <c r="W380" s="1471"/>
      <c r="X380" s="1471"/>
      <c r="Y380" s="1471"/>
      <c r="Z380" s="1471"/>
      <c r="AA380" s="1471"/>
      <c r="AB380" s="1473"/>
      <c r="AC380" s="1319"/>
      <c r="AD380" s="2" t="str">
        <f aca="false">IF(AND(AD$4=$G380,AD$6=$F380),$B380,"")</f>
        <v/>
      </c>
      <c r="AE380" s="2" t="str">
        <f aca="false">IF(AND(AE$4=$G380,AE$6=$F380),$B380,"")</f>
        <v/>
      </c>
      <c r="AF380" s="2" t="str">
        <f aca="false">IF(AND(AF$4=$G380,AF$6=$F380),$B380,"")</f>
        <v/>
      </c>
      <c r="AG380" s="2" t="str">
        <f aca="false">IF(AND(AG$4=$G380,AG$6=$F380),$B380,"")</f>
        <v/>
      </c>
      <c r="AI380" s="366"/>
      <c r="AL380" s="367"/>
      <c r="AO380" s="367"/>
      <c r="AP380" s="2" t="str">
        <f aca="false">IF(AT380&gt;0,RANK(AT380,AT$7:AT$423),"")</f>
        <v/>
      </c>
      <c r="AQ380" s="1475" t="n">
        <f aca="false">'O_MN, PE_UTA_UGM 2024'!C377</f>
        <v>0</v>
      </c>
      <c r="AR380" s="1421" t="n">
        <v>4490</v>
      </c>
      <c r="AS380" s="2" t="str">
        <f aca="false">IF(AY380&lt;&gt;"",AY380,"")</f>
        <v/>
      </c>
      <c r="AT380" s="1422" t="n">
        <f aca="false">IF(ISNUMBER($AR380),SUMIF(B$7:B$505,AR380,D$7:D$505),"")</f>
        <v>0</v>
      </c>
      <c r="AU380" s="1411" t="n">
        <f aca="false">IF(ISNUMBER($AR380),SUMIF(AD$7:AD$503,$AR380,J$7:J$503),"")</f>
        <v>0</v>
      </c>
      <c r="AV380" s="1411" t="n">
        <f aca="false">IF(ISNUMBER($AR380),SUMIF(AF$7:AF$503,$AR380,L$7:L$503),"")</f>
        <v>0</v>
      </c>
      <c r="AW380" s="1423" t="n">
        <f aca="false">IF(ISNUMBER($AR380),SUMIF(AE$7:AE$503,$AR380,K$7:K$503),"")</f>
        <v>0</v>
      </c>
      <c r="AX380" s="1423" t="n">
        <f aca="false">IF(ISNUMBER($AR380),SUMIF(AG$7:AG$503,$AR380,M$7:M$503),"")</f>
        <v>0</v>
      </c>
      <c r="AY380" s="2" t="str">
        <f aca="false">IF($AT380&gt;0,VLOOKUP($AR380,'O_MN, PE_UTA_UGM 2024'!E377:O792,2),"")</f>
        <v/>
      </c>
      <c r="AZ380" s="1424"/>
      <c r="BA380" s="1424"/>
      <c r="BB380" s="1424" t="str">
        <f aca="false">IF($AT380&gt;0,VLOOKUP($AR380,'O_MN, PE_UTA_UGM 2024'!$E$3:$O$419,BB$6),"")</f>
        <v/>
      </c>
      <c r="BC380" s="1424" t="str">
        <f aca="false">IF($AT380&gt;0,VLOOKUP($AR380,'O_MN, PE_UTA_UGM 2024'!$E$3:$O$419,BC$6),"")</f>
        <v/>
      </c>
      <c r="BD380" s="1424" t="str">
        <f aca="false">IF($AT380&gt;0,VLOOKUP($AR380,'O_MN, PE_UTA_UGM 2024'!$E$3:$O$419,BD$6),"")</f>
        <v/>
      </c>
      <c r="BE380" s="1424" t="str">
        <f aca="false">IF($AT380&gt;0,VLOOKUP($AR380,'O_MN, PE_UTA_UGM 2024'!$E$3:$O$419,BE$6),"")</f>
        <v/>
      </c>
      <c r="BF380" s="1424" t="str">
        <f aca="false">IF($AT380&gt;0,VLOOKUP($AR380,'O_MN, PE_UTA_UGM 2024'!$E$3:$O$419,BF$6),"")</f>
        <v/>
      </c>
      <c r="BG380" s="1424" t="str">
        <f aca="false">IF($AT380&gt;0,VLOOKUP($AR380,'O_MN, PE_UTA_UGM 2024'!$E$3:$O$419,BG$6),"")</f>
        <v/>
      </c>
      <c r="BH380" s="872"/>
      <c r="BI380" s="872"/>
      <c r="BJ380" s="872"/>
      <c r="BK380" s="872"/>
      <c r="BM380" s="1411"/>
      <c r="BN380" s="1411"/>
      <c r="BO380" s="1425" t="str">
        <f aca="false">IF(ISNUMBER($AU380*BB380*1),$AU380*BB380*1,"")</f>
        <v/>
      </c>
      <c r="BP380" s="1425" t="str">
        <f aca="false">IF(ISNUMBER($AV380*BC380*1),$AV380*BC380*1,"")</f>
        <v/>
      </c>
      <c r="BQ380" s="1425" t="str">
        <f aca="false">IF(ISNUMBER($AU380*BD380*1),$AU380*BD380*1,"")</f>
        <v/>
      </c>
      <c r="BR380" s="1425" t="str">
        <f aca="false">IF(ISNUMBER($AV380*BE380*1),$AV380*BE380*1,"")</f>
        <v/>
      </c>
      <c r="BS380" s="1411" t="str">
        <f aca="false">IF(ISNUMBER($AU380*BF380),$AU380*BF380,"")</f>
        <v/>
      </c>
      <c r="BT380" s="1411" t="str">
        <f aca="false">IF(ISNUMBER($AV380*BG380),$AV380*BG380,"")</f>
        <v/>
      </c>
      <c r="BU380" s="1411"/>
      <c r="BV380" s="1411"/>
      <c r="BW380" s="1411"/>
      <c r="BX380" s="1411"/>
      <c r="BZ380" s="1372"/>
      <c r="CA380" s="1372"/>
      <c r="CB380" s="1426" t="str">
        <f aca="false">IF(ISNUMBER($AW380*BB380),$AW380*BB380,"")</f>
        <v/>
      </c>
      <c r="CC380" s="1426" t="str">
        <f aca="false">IF(ISNUMBER($AX380*BC380),$AX380*BC380,"")</f>
        <v/>
      </c>
      <c r="CD380" s="1426" t="str">
        <f aca="false">IF(ISNUMBER($AW380*BD380),$AW380*BD380,"")</f>
        <v/>
      </c>
      <c r="CE380" s="1426" t="str">
        <f aca="false">IF(ISNUMBER($AX380*BE380),$AX380*BE380,"")</f>
        <v/>
      </c>
      <c r="CF380" s="1372" t="str">
        <f aca="false">IF(ISNUMBER($AW380*BF380),$AW380*BF380,"")</f>
        <v/>
      </c>
      <c r="CG380" s="1372" t="str">
        <f aca="false">IF(ISNUMBER($AX380*BG380),$AX380*BG380,"")</f>
        <v/>
      </c>
      <c r="CH380" s="1438"/>
      <c r="CI380" s="1438"/>
      <c r="CJ380" s="1438"/>
      <c r="CK380" s="1438"/>
      <c r="CU380" s="1411"/>
      <c r="CV380" s="1411"/>
      <c r="CW380" s="1425"/>
      <c r="CX380" s="1425"/>
      <c r="CY380" s="1425"/>
      <c r="CZ380" s="1425"/>
      <c r="DA380" s="1411"/>
      <c r="DB380" s="1411"/>
      <c r="DC380" s="1411"/>
      <c r="DD380" s="1411"/>
      <c r="DE380" s="1411"/>
      <c r="DF380" s="1411"/>
      <c r="DH380" s="1432"/>
      <c r="DI380" s="1432"/>
      <c r="DJ380" s="1437"/>
      <c r="DK380" s="1437"/>
      <c r="DL380" s="1437"/>
      <c r="DM380" s="1437"/>
      <c r="DN380" s="1432"/>
      <c r="DO380" s="1432"/>
      <c r="DP380" s="1432"/>
      <c r="DQ380" s="1432"/>
      <c r="DR380" s="1432"/>
      <c r="DS380" s="1432"/>
      <c r="DT380" s="1316"/>
      <c r="DU380" s="1433"/>
      <c r="DV380" s="1433"/>
      <c r="DW380" s="1433"/>
      <c r="DX380" s="1433"/>
      <c r="DY380" s="1433"/>
      <c r="DZ380" s="1433"/>
      <c r="EA380" s="1433"/>
      <c r="EB380" s="1433"/>
    </row>
    <row r="381" customFormat="false" ht="14.25" hidden="false" customHeight="false" outlineLevel="0" collapsed="false">
      <c r="A381" s="2" t="n">
        <f aca="false">'V_DATOS PAC_SGA'!R376</f>
        <v>0</v>
      </c>
      <c r="B381" s="2" t="n">
        <f aca="false">IF(I381="IV",CONCATENATE('V_DATOS PAC_SGA'!R376,"4")+0,CONCATENATE('V_DATOS PAC_SGA'!R376,"0")+0)</f>
        <v>0</v>
      </c>
      <c r="C381" s="2" t="n">
        <f aca="false">'V_DATOS PAC_SGA'!S376</f>
        <v>0</v>
      </c>
      <c r="D381" s="1409" t="n">
        <f aca="false">'V_DATOS PAC_SGA'!Y376</f>
        <v>0</v>
      </c>
      <c r="E381" s="1410" t="str">
        <f aca="false">IF('V_DATOS PAC_SGA'!AV376="","Regadio",'V_DATOS PAC_SGA'!AV376)</f>
        <v>Regadio</v>
      </c>
      <c r="F381" s="1411" t="n">
        <f aca="false">'V_DATOS PAC_SGA'!BK376</f>
        <v>0</v>
      </c>
      <c r="G381" s="1412" t="n">
        <f aca="false">'V_DATOS PAC_SGA'!AN376</f>
        <v>0</v>
      </c>
      <c r="H381" s="1413" t="str">
        <f aca="false">IF(B381&gt;0,VLOOKUP(B381,'O_MN, PE_UTA_UGM 2024'!E$3:O$419,10),"")</f>
        <v/>
      </c>
      <c r="I381" s="1359" t="n">
        <f aca="false">'V_DATOS PAC_SGA'!BV376</f>
        <v>0</v>
      </c>
      <c r="J381" s="2" t="str">
        <f aca="false">IF(AND(J$4=$G381,J$6=$F381),$D381*J$5,"")</f>
        <v/>
      </c>
      <c r="K381" s="2" t="str">
        <f aca="false">IF(AND(K$4=$G381,K$6=$F381),$D381*K$5,"")</f>
        <v/>
      </c>
      <c r="L381" s="2" t="str">
        <f aca="false">IF(AND(L$4=$G381,L$6=$F381),$D381*L$5,"")</f>
        <v/>
      </c>
      <c r="M381" s="2" t="str">
        <f aca="false">IF(AND(M$4=$G381,M$6=$F381),$D381*M$5,"")</f>
        <v/>
      </c>
      <c r="N381" s="1414" t="n">
        <f aca="false">VLOOKUP(B381,'O_MN, PE_UTA_UGM 2024'!$E$2:$K$419,IF(G381&gt;1,6,7))</f>
        <v>0</v>
      </c>
      <c r="O381" s="1434" t="str">
        <f aca="false">IF($H381=O$4,$D381*$N381,"")</f>
        <v/>
      </c>
      <c r="P381" s="1435" t="str">
        <f aca="false">IF($H381=P$4,$D381*$N381,"")</f>
        <v/>
      </c>
      <c r="Q381" s="1435" t="str">
        <f aca="false">IF($H381=Q$4,$D381*$N381,"")</f>
        <v/>
      </c>
      <c r="R381" s="1435" t="str">
        <f aca="false">IF($H381=R$4,$D381*$N381,"")</f>
        <v/>
      </c>
      <c r="S381" s="1435" t="str">
        <f aca="false">IF($H381=S$4,$D381*$N381,"")</f>
        <v/>
      </c>
      <c r="T381" s="1435" t="str">
        <f aca="false">IF($H381=T$4,$D381*$N381,"")</f>
        <v/>
      </c>
      <c r="U381" s="1436" t="str">
        <f aca="false">IF($H381=U$4,$D381*$N381,"")</f>
        <v/>
      </c>
      <c r="V381" s="1472"/>
      <c r="W381" s="1471"/>
      <c r="X381" s="1471"/>
      <c r="Y381" s="1471"/>
      <c r="Z381" s="1471"/>
      <c r="AA381" s="1471"/>
      <c r="AB381" s="1473"/>
      <c r="AC381" s="1319"/>
      <c r="AD381" s="2" t="str">
        <f aca="false">IF(AND(AD$4=$G381,AD$6=$F381),$B381,"")</f>
        <v/>
      </c>
      <c r="AE381" s="2" t="str">
        <f aca="false">IF(AND(AE$4=$G381,AE$6=$F381),$B381,"")</f>
        <v/>
      </c>
      <c r="AF381" s="2" t="str">
        <f aca="false">IF(AND(AF$4=$G381,AF$6=$F381),$B381,"")</f>
        <v/>
      </c>
      <c r="AG381" s="2" t="str">
        <f aca="false">IF(AND(AG$4=$G381,AG$6=$F381),$B381,"")</f>
        <v/>
      </c>
      <c r="AI381" s="366"/>
      <c r="AL381" s="367"/>
      <c r="AO381" s="367"/>
      <c r="AP381" s="2" t="str">
        <f aca="false">IF(AT381&gt;0,RANK(AT381,AT$7:AT$423),"")</f>
        <v/>
      </c>
      <c r="AQ381" s="1475" t="n">
        <f aca="false">'O_MN, PE_UTA_UGM 2024'!C378</f>
        <v>0</v>
      </c>
      <c r="AR381" s="1421" t="n">
        <v>4500</v>
      </c>
      <c r="AS381" s="2" t="str">
        <f aca="false">IF(AY381&lt;&gt;"",AY381,"")</f>
        <v/>
      </c>
      <c r="AT381" s="1422" t="n">
        <f aca="false">IF(ISNUMBER($AR381),SUMIF(B$7:B$505,AR381,D$7:D$505),"")</f>
        <v>0</v>
      </c>
      <c r="AU381" s="1411" t="n">
        <f aca="false">IF(ISNUMBER($AR381),SUMIF(AD$7:AD$503,$AR381,J$7:J$503),"")</f>
        <v>0</v>
      </c>
      <c r="AV381" s="1411" t="n">
        <f aca="false">IF(ISNUMBER($AR381),SUMIF(AF$7:AF$503,$AR381,L$7:L$503),"")</f>
        <v>0</v>
      </c>
      <c r="AW381" s="1423" t="n">
        <f aca="false">IF(ISNUMBER($AR381),SUMIF(AE$7:AE$503,$AR381,K$7:K$503),"")</f>
        <v>0</v>
      </c>
      <c r="AX381" s="1423" t="n">
        <f aca="false">IF(ISNUMBER($AR381),SUMIF(AG$7:AG$503,$AR381,M$7:M$503),"")</f>
        <v>0</v>
      </c>
      <c r="AY381" s="2" t="str">
        <f aca="false">IF($AT381&gt;0,VLOOKUP($AR381,'O_MN, PE_UTA_UGM 2024'!E378:O793,2),"")</f>
        <v/>
      </c>
      <c r="AZ381" s="1424"/>
      <c r="BA381" s="1424"/>
      <c r="BB381" s="1424" t="str">
        <f aca="false">IF($AT381&gt;0,VLOOKUP($AR381,'O_MN, PE_UTA_UGM 2024'!$E$3:$O$419,BB$6),"")</f>
        <v/>
      </c>
      <c r="BC381" s="1424" t="str">
        <f aca="false">IF($AT381&gt;0,VLOOKUP($AR381,'O_MN, PE_UTA_UGM 2024'!$E$3:$O$419,BC$6),"")</f>
        <v/>
      </c>
      <c r="BD381" s="1424" t="str">
        <f aca="false">IF($AT381&gt;0,VLOOKUP($AR381,'O_MN, PE_UTA_UGM 2024'!$E$3:$O$419,BD$6),"")</f>
        <v/>
      </c>
      <c r="BE381" s="1424" t="str">
        <f aca="false">IF($AT381&gt;0,VLOOKUP($AR381,'O_MN, PE_UTA_UGM 2024'!$E$3:$O$419,BE$6),"")</f>
        <v/>
      </c>
      <c r="BF381" s="1424" t="str">
        <f aca="false">IF($AT381&gt;0,VLOOKUP($AR381,'O_MN, PE_UTA_UGM 2024'!$E$3:$O$419,BF$6),"")</f>
        <v/>
      </c>
      <c r="BG381" s="1424" t="str">
        <f aca="false">IF($AT381&gt;0,VLOOKUP($AR381,'O_MN, PE_UTA_UGM 2024'!$E$3:$O$419,BG$6),"")</f>
        <v/>
      </c>
      <c r="BH381" s="872"/>
      <c r="BI381" s="872"/>
      <c r="BJ381" s="872"/>
      <c r="BK381" s="872"/>
      <c r="BM381" s="1411"/>
      <c r="BN381" s="1411"/>
      <c r="BO381" s="1425" t="str">
        <f aca="false">IF(ISNUMBER($AU381*BB381*1),$AU381*BB381*1,"")</f>
        <v/>
      </c>
      <c r="BP381" s="1425" t="str">
        <f aca="false">IF(ISNUMBER($AV381*BC381*1),$AV381*BC381*1,"")</f>
        <v/>
      </c>
      <c r="BQ381" s="1425" t="str">
        <f aca="false">IF(ISNUMBER($AU381*BD381*1),$AU381*BD381*1,"")</f>
        <v/>
      </c>
      <c r="BR381" s="1425" t="str">
        <f aca="false">IF(ISNUMBER($AV381*BE381*1),$AV381*BE381*1,"")</f>
        <v/>
      </c>
      <c r="BS381" s="1411" t="str">
        <f aca="false">IF(ISNUMBER($AU381*BF381),$AU381*BF381,"")</f>
        <v/>
      </c>
      <c r="BT381" s="1411" t="str">
        <f aca="false">IF(ISNUMBER($AV381*BG381),$AV381*BG381,"")</f>
        <v/>
      </c>
      <c r="BU381" s="1411"/>
      <c r="BV381" s="1411"/>
      <c r="BW381" s="1411"/>
      <c r="BX381" s="1411"/>
      <c r="BZ381" s="1372"/>
      <c r="CA381" s="1372"/>
      <c r="CB381" s="1426" t="str">
        <f aca="false">IF(ISNUMBER($AW381*BB381),$AW381*BB381,"")</f>
        <v/>
      </c>
      <c r="CC381" s="1426" t="str">
        <f aca="false">IF(ISNUMBER($AX381*BC381),$AX381*BC381,"")</f>
        <v/>
      </c>
      <c r="CD381" s="1426" t="str">
        <f aca="false">IF(ISNUMBER($AW381*BD381),$AW381*BD381,"")</f>
        <v/>
      </c>
      <c r="CE381" s="1426" t="str">
        <f aca="false">IF(ISNUMBER($AX381*BE381),$AX381*BE381,"")</f>
        <v/>
      </c>
      <c r="CF381" s="1372" t="str">
        <f aca="false">IF(ISNUMBER($AW381*BF381),$AW381*BF381,"")</f>
        <v/>
      </c>
      <c r="CG381" s="1372" t="str">
        <f aca="false">IF(ISNUMBER($AX381*BG381),$AX381*BG381,"")</f>
        <v/>
      </c>
      <c r="CH381" s="1438"/>
      <c r="CI381" s="1438"/>
      <c r="CJ381" s="1438"/>
      <c r="CK381" s="1438"/>
      <c r="CU381" s="1411"/>
      <c r="CV381" s="1411"/>
      <c r="CW381" s="1425"/>
      <c r="CX381" s="1425"/>
      <c r="CY381" s="1425"/>
      <c r="CZ381" s="1425"/>
      <c r="DA381" s="1411"/>
      <c r="DB381" s="1411"/>
      <c r="DC381" s="1411"/>
      <c r="DD381" s="1411"/>
      <c r="DE381" s="1411"/>
      <c r="DF381" s="1411"/>
      <c r="DH381" s="1432"/>
      <c r="DI381" s="1432"/>
      <c r="DJ381" s="1437"/>
      <c r="DK381" s="1437"/>
      <c r="DL381" s="1437"/>
      <c r="DM381" s="1437"/>
      <c r="DN381" s="1432"/>
      <c r="DO381" s="1432"/>
      <c r="DP381" s="1432"/>
      <c r="DQ381" s="1432"/>
      <c r="DR381" s="1432"/>
      <c r="DS381" s="1432"/>
      <c r="DT381" s="1316"/>
      <c r="DU381" s="1433"/>
      <c r="DV381" s="1433"/>
      <c r="DW381" s="1433"/>
      <c r="DX381" s="1433"/>
      <c r="DY381" s="1433"/>
      <c r="DZ381" s="1433"/>
      <c r="EA381" s="1433"/>
      <c r="EB381" s="1433"/>
    </row>
    <row r="382" customFormat="false" ht="14.25" hidden="false" customHeight="false" outlineLevel="0" collapsed="false">
      <c r="A382" s="2" t="n">
        <f aca="false">'V_DATOS PAC_SGA'!R377</f>
        <v>0</v>
      </c>
      <c r="B382" s="2" t="n">
        <f aca="false">IF(I382="IV",CONCATENATE('V_DATOS PAC_SGA'!R377,"4")+0,CONCATENATE('V_DATOS PAC_SGA'!R377,"0")+0)</f>
        <v>0</v>
      </c>
      <c r="C382" s="2" t="n">
        <f aca="false">'V_DATOS PAC_SGA'!S377</f>
        <v>0</v>
      </c>
      <c r="D382" s="1409" t="n">
        <f aca="false">'V_DATOS PAC_SGA'!Y377</f>
        <v>0</v>
      </c>
      <c r="E382" s="1410" t="str">
        <f aca="false">IF('V_DATOS PAC_SGA'!AV377="","Regadio",'V_DATOS PAC_SGA'!AV377)</f>
        <v>Regadio</v>
      </c>
      <c r="F382" s="1411" t="n">
        <f aca="false">'V_DATOS PAC_SGA'!BK377</f>
        <v>0</v>
      </c>
      <c r="G382" s="1412" t="n">
        <f aca="false">'V_DATOS PAC_SGA'!AN377</f>
        <v>0</v>
      </c>
      <c r="H382" s="1413" t="str">
        <f aca="false">IF(B382&gt;0,VLOOKUP(B382,'O_MN, PE_UTA_UGM 2024'!E$3:O$419,10),"")</f>
        <v/>
      </c>
      <c r="I382" s="1359" t="n">
        <f aca="false">'V_DATOS PAC_SGA'!BV377</f>
        <v>0</v>
      </c>
      <c r="J382" s="2" t="str">
        <f aca="false">IF(AND(J$4=$G382,J$6=$F382),$D382*J$5,"")</f>
        <v/>
      </c>
      <c r="K382" s="2" t="str">
        <f aca="false">IF(AND(K$4=$G382,K$6=$F382),$D382*K$5,"")</f>
        <v/>
      </c>
      <c r="L382" s="2" t="str">
        <f aca="false">IF(AND(L$4=$G382,L$6=$F382),$D382*L$5,"")</f>
        <v/>
      </c>
      <c r="M382" s="2" t="str">
        <f aca="false">IF(AND(M$4=$G382,M$6=$F382),$D382*M$5,"")</f>
        <v/>
      </c>
      <c r="N382" s="1414" t="n">
        <f aca="false">VLOOKUP(B382,'O_MN, PE_UTA_UGM 2024'!$E$2:$K$419,IF(G382&gt;1,6,7))</f>
        <v>0</v>
      </c>
      <c r="O382" s="1434" t="str">
        <f aca="false">IF($H382=O$4,$D382*$N382,"")</f>
        <v/>
      </c>
      <c r="P382" s="1435" t="str">
        <f aca="false">IF($H382=P$4,$D382*$N382,"")</f>
        <v/>
      </c>
      <c r="Q382" s="1435" t="str">
        <f aca="false">IF($H382=Q$4,$D382*$N382,"")</f>
        <v/>
      </c>
      <c r="R382" s="1435" t="str">
        <f aca="false">IF($H382=R$4,$D382*$N382,"")</f>
        <v/>
      </c>
      <c r="S382" s="1435" t="str">
        <f aca="false">IF($H382=S$4,$D382*$N382,"")</f>
        <v/>
      </c>
      <c r="T382" s="1435" t="str">
        <f aca="false">IF($H382=T$4,$D382*$N382,"")</f>
        <v/>
      </c>
      <c r="U382" s="1436" t="str">
        <f aca="false">IF($H382=U$4,$D382*$N382,"")</f>
        <v/>
      </c>
      <c r="V382" s="1472"/>
      <c r="W382" s="1471"/>
      <c r="X382" s="1471"/>
      <c r="Y382" s="1471"/>
      <c r="Z382" s="1471"/>
      <c r="AA382" s="1471"/>
      <c r="AB382" s="1473"/>
      <c r="AC382" s="1319"/>
      <c r="AD382" s="2" t="str">
        <f aca="false">IF(AND(AD$4=$G382,AD$6=$F382),$B382,"")</f>
        <v/>
      </c>
      <c r="AE382" s="2" t="str">
        <f aca="false">IF(AND(AE$4=$G382,AE$6=$F382),$B382,"")</f>
        <v/>
      </c>
      <c r="AF382" s="2" t="str">
        <f aca="false">IF(AND(AF$4=$G382,AF$6=$F382),$B382,"")</f>
        <v/>
      </c>
      <c r="AG382" s="2" t="str">
        <f aca="false">IF(AND(AG$4=$G382,AG$6=$F382),$B382,"")</f>
        <v/>
      </c>
      <c r="AI382" s="366"/>
      <c r="AL382" s="367"/>
      <c r="AO382" s="367"/>
      <c r="AP382" s="2" t="str">
        <f aca="false">IF(AT382&gt;0,RANK(AT382,AT$7:AT$423),"")</f>
        <v/>
      </c>
      <c r="AQ382" s="1475" t="n">
        <f aca="false">'O_MN, PE_UTA_UGM 2024'!C379</f>
        <v>0</v>
      </c>
      <c r="AR382" s="1421" t="n">
        <v>4510</v>
      </c>
      <c r="AS382" s="2" t="str">
        <f aca="false">IF(AY382&lt;&gt;"",AY382,"")</f>
        <v/>
      </c>
      <c r="AT382" s="1422" t="n">
        <f aca="false">IF(ISNUMBER($AR382),SUMIF(B$7:B$505,AR382,D$7:D$505),"")</f>
        <v>0</v>
      </c>
      <c r="AU382" s="1411" t="n">
        <f aca="false">IF(ISNUMBER($AR382),SUMIF(AD$7:AD$503,$AR382,J$7:J$503),"")</f>
        <v>0</v>
      </c>
      <c r="AV382" s="1411" t="n">
        <f aca="false">IF(ISNUMBER($AR382),SUMIF(AF$7:AF$503,$AR382,L$7:L$503),"")</f>
        <v>0</v>
      </c>
      <c r="AW382" s="1423" t="n">
        <f aca="false">IF(ISNUMBER($AR382),SUMIF(AE$7:AE$503,$AR382,K$7:K$503),"")</f>
        <v>0</v>
      </c>
      <c r="AX382" s="1423" t="n">
        <f aca="false">IF(ISNUMBER($AR382),SUMIF(AG$7:AG$503,$AR382,M$7:M$503),"")</f>
        <v>0</v>
      </c>
      <c r="AY382" s="2" t="str">
        <f aca="false">IF($AT382&gt;0,VLOOKUP($AR382,'O_MN, PE_UTA_UGM 2024'!E379:O794,2),"")</f>
        <v/>
      </c>
      <c r="AZ382" s="1424"/>
      <c r="BA382" s="1424"/>
      <c r="BB382" s="1424" t="str">
        <f aca="false">IF($AT382&gt;0,VLOOKUP($AR382,'O_MN, PE_UTA_UGM 2024'!$E$3:$O$419,BB$6),"")</f>
        <v/>
      </c>
      <c r="BC382" s="1424" t="str">
        <f aca="false">IF($AT382&gt;0,VLOOKUP($AR382,'O_MN, PE_UTA_UGM 2024'!$E$3:$O$419,BC$6),"")</f>
        <v/>
      </c>
      <c r="BD382" s="1424" t="str">
        <f aca="false">IF($AT382&gt;0,VLOOKUP($AR382,'O_MN, PE_UTA_UGM 2024'!$E$3:$O$419,BD$6),"")</f>
        <v/>
      </c>
      <c r="BE382" s="1424" t="str">
        <f aca="false">IF($AT382&gt;0,VLOOKUP($AR382,'O_MN, PE_UTA_UGM 2024'!$E$3:$O$419,BE$6),"")</f>
        <v/>
      </c>
      <c r="BF382" s="1424" t="str">
        <f aca="false">IF($AT382&gt;0,VLOOKUP($AR382,'O_MN, PE_UTA_UGM 2024'!$E$3:$O$419,BF$6),"")</f>
        <v/>
      </c>
      <c r="BG382" s="1424" t="str">
        <f aca="false">IF($AT382&gt;0,VLOOKUP($AR382,'O_MN, PE_UTA_UGM 2024'!$E$3:$O$419,BG$6),"")</f>
        <v/>
      </c>
      <c r="BH382" s="872"/>
      <c r="BI382" s="872"/>
      <c r="BJ382" s="872"/>
      <c r="BK382" s="872"/>
      <c r="BM382" s="1411"/>
      <c r="BN382" s="1411"/>
      <c r="BO382" s="1425" t="str">
        <f aca="false">IF(ISNUMBER($AU382*BB382*1),$AU382*BB382*1,"")</f>
        <v/>
      </c>
      <c r="BP382" s="1425" t="str">
        <f aca="false">IF(ISNUMBER($AV382*BC382*1),$AV382*BC382*1,"")</f>
        <v/>
      </c>
      <c r="BQ382" s="1425" t="str">
        <f aca="false">IF(ISNUMBER($AU382*BD382*1),$AU382*BD382*1,"")</f>
        <v/>
      </c>
      <c r="BR382" s="1425" t="str">
        <f aca="false">IF(ISNUMBER($AV382*BE382*1),$AV382*BE382*1,"")</f>
        <v/>
      </c>
      <c r="BS382" s="1411" t="str">
        <f aca="false">IF(ISNUMBER($AU382*BF382),$AU382*BF382,"")</f>
        <v/>
      </c>
      <c r="BT382" s="1411" t="str">
        <f aca="false">IF(ISNUMBER($AV382*BG382),$AV382*BG382,"")</f>
        <v/>
      </c>
      <c r="BU382" s="1411"/>
      <c r="BV382" s="1411"/>
      <c r="BW382" s="1411"/>
      <c r="BX382" s="1411"/>
      <c r="BZ382" s="1372"/>
      <c r="CA382" s="1372"/>
      <c r="CB382" s="1426" t="str">
        <f aca="false">IF(ISNUMBER($AW382*BB382),$AW382*BB382,"")</f>
        <v/>
      </c>
      <c r="CC382" s="1426" t="str">
        <f aca="false">IF(ISNUMBER($AX382*BC382),$AX382*BC382,"")</f>
        <v/>
      </c>
      <c r="CD382" s="1426" t="str">
        <f aca="false">IF(ISNUMBER($AW382*BD382),$AW382*BD382,"")</f>
        <v/>
      </c>
      <c r="CE382" s="1426" t="str">
        <f aca="false">IF(ISNUMBER($AX382*BE382),$AX382*BE382,"")</f>
        <v/>
      </c>
      <c r="CF382" s="1372" t="str">
        <f aca="false">IF(ISNUMBER($AW382*BF382),$AW382*BF382,"")</f>
        <v/>
      </c>
      <c r="CG382" s="1372" t="str">
        <f aca="false">IF(ISNUMBER($AX382*BG382),$AX382*BG382,"")</f>
        <v/>
      </c>
      <c r="CH382" s="1438"/>
      <c r="CI382" s="1438"/>
      <c r="CJ382" s="1438"/>
      <c r="CK382" s="1438"/>
      <c r="CU382" s="1411"/>
      <c r="CV382" s="1411"/>
      <c r="CW382" s="1425"/>
      <c r="CX382" s="1425"/>
      <c r="CY382" s="1425"/>
      <c r="CZ382" s="1425"/>
      <c r="DA382" s="1411"/>
      <c r="DB382" s="1411"/>
      <c r="DC382" s="1411"/>
      <c r="DD382" s="1411"/>
      <c r="DE382" s="1411"/>
      <c r="DF382" s="1411"/>
      <c r="DH382" s="1432"/>
      <c r="DI382" s="1432"/>
      <c r="DJ382" s="1437"/>
      <c r="DK382" s="1437"/>
      <c r="DL382" s="1437"/>
      <c r="DM382" s="1437"/>
      <c r="DN382" s="1432"/>
      <c r="DO382" s="1432"/>
      <c r="DP382" s="1432"/>
      <c r="DQ382" s="1432"/>
      <c r="DR382" s="1432"/>
      <c r="DS382" s="1432"/>
      <c r="DT382" s="1316"/>
      <c r="DU382" s="1433"/>
      <c r="DV382" s="1433"/>
      <c r="DW382" s="1433"/>
      <c r="DX382" s="1433"/>
      <c r="DY382" s="1433"/>
      <c r="DZ382" s="1433"/>
      <c r="EA382" s="1433"/>
      <c r="EB382" s="1433"/>
    </row>
    <row r="383" customFormat="false" ht="14.25" hidden="false" customHeight="false" outlineLevel="0" collapsed="false">
      <c r="A383" s="2" t="n">
        <f aca="false">'V_DATOS PAC_SGA'!R378</f>
        <v>0</v>
      </c>
      <c r="B383" s="2" t="n">
        <f aca="false">IF(I383="IV",CONCATENATE('V_DATOS PAC_SGA'!R378,"4")+0,CONCATENATE('V_DATOS PAC_SGA'!R378,"0")+0)</f>
        <v>0</v>
      </c>
      <c r="C383" s="2" t="n">
        <f aca="false">'V_DATOS PAC_SGA'!S378</f>
        <v>0</v>
      </c>
      <c r="D383" s="1409" t="n">
        <f aca="false">'V_DATOS PAC_SGA'!Y378</f>
        <v>0</v>
      </c>
      <c r="E383" s="1410" t="str">
        <f aca="false">IF('V_DATOS PAC_SGA'!AV378="","Regadio",'V_DATOS PAC_SGA'!AV378)</f>
        <v>Regadio</v>
      </c>
      <c r="F383" s="1411" t="n">
        <f aca="false">'V_DATOS PAC_SGA'!BK378</f>
        <v>0</v>
      </c>
      <c r="G383" s="1412" t="n">
        <f aca="false">'V_DATOS PAC_SGA'!AN378</f>
        <v>0</v>
      </c>
      <c r="H383" s="1413" t="str">
        <f aca="false">IF(B383&gt;0,VLOOKUP(B383,'O_MN, PE_UTA_UGM 2024'!E$3:O$419,10),"")</f>
        <v/>
      </c>
      <c r="I383" s="1359" t="n">
        <f aca="false">'V_DATOS PAC_SGA'!BV378</f>
        <v>0</v>
      </c>
      <c r="J383" s="2" t="str">
        <f aca="false">IF(AND(J$4=$G383,J$6=$F383),$D383*J$5,"")</f>
        <v/>
      </c>
      <c r="K383" s="2" t="str">
        <f aca="false">IF(AND(K$4=$G383,K$6=$F383),$D383*K$5,"")</f>
        <v/>
      </c>
      <c r="L383" s="2" t="str">
        <f aca="false">IF(AND(L$4=$G383,L$6=$F383),$D383*L$5,"")</f>
        <v/>
      </c>
      <c r="M383" s="2" t="str">
        <f aca="false">IF(AND(M$4=$G383,M$6=$F383),$D383*M$5,"")</f>
        <v/>
      </c>
      <c r="N383" s="1414" t="n">
        <f aca="false">VLOOKUP(B383,'O_MN, PE_UTA_UGM 2024'!$E$2:$K$419,IF(G383&gt;1,6,7))</f>
        <v>0</v>
      </c>
      <c r="O383" s="1434" t="str">
        <f aca="false">IF($H383=O$4,$D383*$N383,"")</f>
        <v/>
      </c>
      <c r="P383" s="1435" t="str">
        <f aca="false">IF($H383=P$4,$D383*$N383,"")</f>
        <v/>
      </c>
      <c r="Q383" s="1435" t="str">
        <f aca="false">IF($H383=Q$4,$D383*$N383,"")</f>
        <v/>
      </c>
      <c r="R383" s="1435" t="str">
        <f aca="false">IF($H383=R$4,$D383*$N383,"")</f>
        <v/>
      </c>
      <c r="S383" s="1435" t="str">
        <f aca="false">IF($H383=S$4,$D383*$N383,"")</f>
        <v/>
      </c>
      <c r="T383" s="1435" t="str">
        <f aca="false">IF($H383=T$4,$D383*$N383,"")</f>
        <v/>
      </c>
      <c r="U383" s="1436" t="str">
        <f aca="false">IF($H383=U$4,$D383*$N383,"")</f>
        <v/>
      </c>
      <c r="V383" s="1472"/>
      <c r="W383" s="1471"/>
      <c r="X383" s="1471"/>
      <c r="Y383" s="1471"/>
      <c r="Z383" s="1471"/>
      <c r="AA383" s="1471"/>
      <c r="AB383" s="1473"/>
      <c r="AC383" s="1319"/>
      <c r="AD383" s="2" t="str">
        <f aca="false">IF(AND(AD$4=$G383,AD$6=$F383),$B383,"")</f>
        <v/>
      </c>
      <c r="AE383" s="2" t="str">
        <f aca="false">IF(AND(AE$4=$G383,AE$6=$F383),$B383,"")</f>
        <v/>
      </c>
      <c r="AF383" s="2" t="str">
        <f aca="false">IF(AND(AF$4=$G383,AF$6=$F383),$B383,"")</f>
        <v/>
      </c>
      <c r="AG383" s="2" t="str">
        <f aca="false">IF(AND(AG$4=$G383,AG$6=$F383),$B383,"")</f>
        <v/>
      </c>
      <c r="AI383" s="366"/>
      <c r="AL383" s="367"/>
      <c r="AO383" s="367"/>
      <c r="AP383" s="2" t="str">
        <f aca="false">IF(AT383&gt;0,RANK(AT383,AT$7:AT$423),"")</f>
        <v/>
      </c>
      <c r="AQ383" s="1475" t="n">
        <f aca="false">'O_MN, PE_UTA_UGM 2024'!C380</f>
        <v>0</v>
      </c>
      <c r="AR383" s="1421" t="n">
        <v>4520</v>
      </c>
      <c r="AS383" s="2" t="str">
        <f aca="false">IF(AY383&lt;&gt;"",AY383,"")</f>
        <v/>
      </c>
      <c r="AT383" s="1422" t="n">
        <f aca="false">IF(ISNUMBER($AR383),SUMIF(B$7:B$505,AR383,D$7:D$505),"")</f>
        <v>0</v>
      </c>
      <c r="AU383" s="1411" t="n">
        <f aca="false">IF(ISNUMBER($AR383),SUMIF(AD$7:AD$503,$AR383,J$7:J$503),"")</f>
        <v>0</v>
      </c>
      <c r="AV383" s="1411" t="n">
        <f aca="false">IF(ISNUMBER($AR383),SUMIF(AF$7:AF$503,$AR383,L$7:L$503),"")</f>
        <v>0</v>
      </c>
      <c r="AW383" s="1423" t="n">
        <f aca="false">IF(ISNUMBER($AR383),SUMIF(AE$7:AE$503,$AR383,K$7:K$503),"")</f>
        <v>0</v>
      </c>
      <c r="AX383" s="1423" t="n">
        <f aca="false">IF(ISNUMBER($AR383),SUMIF(AG$7:AG$503,$AR383,M$7:M$503),"")</f>
        <v>0</v>
      </c>
      <c r="AY383" s="2" t="str">
        <f aca="false">IF($AT383&gt;0,VLOOKUP($AR383,'O_MN, PE_UTA_UGM 2024'!E380:O795,2),"")</f>
        <v/>
      </c>
      <c r="AZ383" s="1424"/>
      <c r="BA383" s="1424"/>
      <c r="BB383" s="1424" t="str">
        <f aca="false">IF($AT383&gt;0,VLOOKUP($AR383,'O_MN, PE_UTA_UGM 2024'!$E$3:$O$419,BB$6),"")</f>
        <v/>
      </c>
      <c r="BC383" s="1424" t="str">
        <f aca="false">IF($AT383&gt;0,VLOOKUP($AR383,'O_MN, PE_UTA_UGM 2024'!$E$3:$O$419,BC$6),"")</f>
        <v/>
      </c>
      <c r="BD383" s="1424" t="str">
        <f aca="false">IF($AT383&gt;0,VLOOKUP($AR383,'O_MN, PE_UTA_UGM 2024'!$E$3:$O$419,BD$6),"")</f>
        <v/>
      </c>
      <c r="BE383" s="1424" t="str">
        <f aca="false">IF($AT383&gt;0,VLOOKUP($AR383,'O_MN, PE_UTA_UGM 2024'!$E$3:$O$419,BE$6),"")</f>
        <v/>
      </c>
      <c r="BF383" s="1424" t="str">
        <f aca="false">IF($AT383&gt;0,VLOOKUP($AR383,'O_MN, PE_UTA_UGM 2024'!$E$3:$O$419,BF$6),"")</f>
        <v/>
      </c>
      <c r="BG383" s="1424" t="str">
        <f aca="false">IF($AT383&gt;0,VLOOKUP($AR383,'O_MN, PE_UTA_UGM 2024'!$E$3:$O$419,BG$6),"")</f>
        <v/>
      </c>
      <c r="BH383" s="872"/>
      <c r="BI383" s="872"/>
      <c r="BJ383" s="872"/>
      <c r="BK383" s="872"/>
      <c r="BM383" s="1411"/>
      <c r="BN383" s="1411"/>
      <c r="BO383" s="1425" t="str">
        <f aca="false">IF(ISNUMBER($AU383*BB383*1),$AU383*BB383*1,"")</f>
        <v/>
      </c>
      <c r="BP383" s="1425" t="str">
        <f aca="false">IF(ISNUMBER($AV383*BC383*1),$AV383*BC383*1,"")</f>
        <v/>
      </c>
      <c r="BQ383" s="1425" t="str">
        <f aca="false">IF(ISNUMBER($AU383*BD383*1),$AU383*BD383*1,"")</f>
        <v/>
      </c>
      <c r="BR383" s="1425" t="str">
        <f aca="false">IF(ISNUMBER($AV383*BE383*1),$AV383*BE383*1,"")</f>
        <v/>
      </c>
      <c r="BS383" s="1411" t="str">
        <f aca="false">IF(ISNUMBER($AU383*BF383),$AU383*BF383,"")</f>
        <v/>
      </c>
      <c r="BT383" s="1411" t="str">
        <f aca="false">IF(ISNUMBER($AV383*BG383),$AV383*BG383,"")</f>
        <v/>
      </c>
      <c r="BU383" s="1411"/>
      <c r="BV383" s="1411"/>
      <c r="BW383" s="1411"/>
      <c r="BX383" s="1411"/>
      <c r="BZ383" s="1372"/>
      <c r="CA383" s="1372"/>
      <c r="CB383" s="1426" t="str">
        <f aca="false">IF(ISNUMBER($AW383*BB383),$AW383*BB383,"")</f>
        <v/>
      </c>
      <c r="CC383" s="1426" t="str">
        <f aca="false">IF(ISNUMBER($AX383*BC383),$AX383*BC383,"")</f>
        <v/>
      </c>
      <c r="CD383" s="1426" t="str">
        <f aca="false">IF(ISNUMBER($AW383*BD383),$AW383*BD383,"")</f>
        <v/>
      </c>
      <c r="CE383" s="1426" t="str">
        <f aca="false">IF(ISNUMBER($AX383*BE383),$AX383*BE383,"")</f>
        <v/>
      </c>
      <c r="CF383" s="1372" t="str">
        <f aca="false">IF(ISNUMBER($AW383*BF383),$AW383*BF383,"")</f>
        <v/>
      </c>
      <c r="CG383" s="1372" t="str">
        <f aca="false">IF(ISNUMBER($AX383*BG383),$AX383*BG383,"")</f>
        <v/>
      </c>
      <c r="CH383" s="1438"/>
      <c r="CI383" s="1438"/>
      <c r="CJ383" s="1438"/>
      <c r="CK383" s="1438"/>
      <c r="CU383" s="1411"/>
      <c r="CV383" s="1411"/>
      <c r="CW383" s="1425"/>
      <c r="CX383" s="1425"/>
      <c r="CY383" s="1425"/>
      <c r="CZ383" s="1425"/>
      <c r="DA383" s="1411"/>
      <c r="DB383" s="1411"/>
      <c r="DC383" s="1411"/>
      <c r="DD383" s="1411"/>
      <c r="DE383" s="1411"/>
      <c r="DF383" s="1411"/>
      <c r="DH383" s="1432"/>
      <c r="DI383" s="1432"/>
      <c r="DJ383" s="1437"/>
      <c r="DK383" s="1437"/>
      <c r="DL383" s="1437"/>
      <c r="DM383" s="1437"/>
      <c r="DN383" s="1432"/>
      <c r="DO383" s="1432"/>
      <c r="DP383" s="1432"/>
      <c r="DQ383" s="1432"/>
      <c r="DR383" s="1432"/>
      <c r="DS383" s="1432"/>
      <c r="DT383" s="1316"/>
      <c r="DU383" s="1433"/>
      <c r="DV383" s="1433"/>
      <c r="DW383" s="1433"/>
      <c r="DX383" s="1433"/>
      <c r="DY383" s="1433"/>
      <c r="DZ383" s="1433"/>
      <c r="EA383" s="1433"/>
      <c r="EB383" s="1433"/>
    </row>
    <row r="384" customFormat="false" ht="14.25" hidden="false" customHeight="false" outlineLevel="0" collapsed="false">
      <c r="A384" s="2" t="n">
        <f aca="false">'V_DATOS PAC_SGA'!R379</f>
        <v>0</v>
      </c>
      <c r="B384" s="2" t="n">
        <f aca="false">IF(I384="IV",CONCATENATE('V_DATOS PAC_SGA'!R379,"4")+0,CONCATENATE('V_DATOS PAC_SGA'!R379,"0")+0)</f>
        <v>0</v>
      </c>
      <c r="C384" s="2" t="n">
        <f aca="false">'V_DATOS PAC_SGA'!S379</f>
        <v>0</v>
      </c>
      <c r="D384" s="1409" t="n">
        <f aca="false">'V_DATOS PAC_SGA'!Y379</f>
        <v>0</v>
      </c>
      <c r="E384" s="1410" t="str">
        <f aca="false">IF('V_DATOS PAC_SGA'!AV379="","Regadio",'V_DATOS PAC_SGA'!AV379)</f>
        <v>Regadio</v>
      </c>
      <c r="F384" s="1411" t="n">
        <f aca="false">'V_DATOS PAC_SGA'!BK379</f>
        <v>0</v>
      </c>
      <c r="G384" s="1412" t="n">
        <f aca="false">'V_DATOS PAC_SGA'!AN379</f>
        <v>0</v>
      </c>
      <c r="H384" s="1413" t="str">
        <f aca="false">IF(B384&gt;0,VLOOKUP(B384,'O_MN, PE_UTA_UGM 2024'!E$3:O$419,10),"")</f>
        <v/>
      </c>
      <c r="I384" s="1359" t="n">
        <f aca="false">'V_DATOS PAC_SGA'!BV379</f>
        <v>0</v>
      </c>
      <c r="J384" s="2" t="str">
        <f aca="false">IF(AND(J$4=$G384,J$6=$F384),$D384*J$5,"")</f>
        <v/>
      </c>
      <c r="K384" s="2" t="str">
        <f aca="false">IF(AND(K$4=$G384,K$6=$F384),$D384*K$5,"")</f>
        <v/>
      </c>
      <c r="L384" s="2" t="str">
        <f aca="false">IF(AND(L$4=$G384,L$6=$F384),$D384*L$5,"")</f>
        <v/>
      </c>
      <c r="M384" s="2" t="str">
        <f aca="false">IF(AND(M$4=$G384,M$6=$F384),$D384*M$5,"")</f>
        <v/>
      </c>
      <c r="N384" s="1414" t="n">
        <f aca="false">VLOOKUP(B384,'O_MN, PE_UTA_UGM 2024'!$E$2:$K$419,IF(G384&gt;1,6,7))</f>
        <v>0</v>
      </c>
      <c r="O384" s="1434" t="str">
        <f aca="false">IF($H384=O$4,$D384*$N384,"")</f>
        <v/>
      </c>
      <c r="P384" s="1435" t="str">
        <f aca="false">IF($H384=P$4,$D384*$N384,"")</f>
        <v/>
      </c>
      <c r="Q384" s="1435" t="str">
        <f aca="false">IF($H384=Q$4,$D384*$N384,"")</f>
        <v/>
      </c>
      <c r="R384" s="1435" t="str">
        <f aca="false">IF($H384=R$4,$D384*$N384,"")</f>
        <v/>
      </c>
      <c r="S384" s="1435" t="str">
        <f aca="false">IF($H384=S$4,$D384*$N384,"")</f>
        <v/>
      </c>
      <c r="T384" s="1435" t="str">
        <f aca="false">IF($H384=T$4,$D384*$N384,"")</f>
        <v/>
      </c>
      <c r="U384" s="1436" t="str">
        <f aca="false">IF($H384=U$4,$D384*$N384,"")</f>
        <v/>
      </c>
      <c r="V384" s="1472"/>
      <c r="W384" s="1471"/>
      <c r="X384" s="1471"/>
      <c r="Y384" s="1471"/>
      <c r="Z384" s="1471"/>
      <c r="AA384" s="1471"/>
      <c r="AB384" s="1473"/>
      <c r="AC384" s="1319"/>
      <c r="AD384" s="2" t="str">
        <f aca="false">IF(AND(AD$4=$G384,AD$6=$F384),$B384,"")</f>
        <v/>
      </c>
      <c r="AE384" s="2" t="str">
        <f aca="false">IF(AND(AE$4=$G384,AE$6=$F384),$B384,"")</f>
        <v/>
      </c>
      <c r="AF384" s="2" t="str">
        <f aca="false">IF(AND(AF$4=$G384,AF$6=$F384),$B384,"")</f>
        <v/>
      </c>
      <c r="AG384" s="2" t="str">
        <f aca="false">IF(AND(AG$4=$G384,AG$6=$F384),$B384,"")</f>
        <v/>
      </c>
      <c r="AI384" s="366"/>
      <c r="AL384" s="367"/>
      <c r="AO384" s="367"/>
      <c r="AP384" s="2" t="str">
        <f aca="false">IF(AT384&gt;0,RANK(AT384,AT$7:AT$423),"")</f>
        <v/>
      </c>
      <c r="AQ384" s="1475" t="n">
        <f aca="false">'O_MN, PE_UTA_UGM 2024'!C381</f>
        <v>0</v>
      </c>
      <c r="AR384" s="1421" t="n">
        <v>4530</v>
      </c>
      <c r="AS384" s="2" t="str">
        <f aca="false">IF(AY384&lt;&gt;"",AY384,"")</f>
        <v/>
      </c>
      <c r="AT384" s="1422" t="n">
        <f aca="false">IF(ISNUMBER($AR384),SUMIF(B$7:B$505,AR384,D$7:D$505),"")</f>
        <v>0</v>
      </c>
      <c r="AU384" s="1411" t="n">
        <f aca="false">IF(ISNUMBER($AR384),SUMIF(AD$7:AD$503,$AR384,J$7:J$503),"")</f>
        <v>0</v>
      </c>
      <c r="AV384" s="1411" t="n">
        <f aca="false">IF(ISNUMBER($AR384),SUMIF(AF$7:AF$503,$AR384,L$7:L$503),"")</f>
        <v>0</v>
      </c>
      <c r="AW384" s="1423" t="n">
        <f aca="false">IF(ISNUMBER($AR384),SUMIF(AE$7:AE$503,$AR384,K$7:K$503),"")</f>
        <v>0</v>
      </c>
      <c r="AX384" s="1423" t="n">
        <f aca="false">IF(ISNUMBER($AR384),SUMIF(AG$7:AG$503,$AR384,M$7:M$503),"")</f>
        <v>0</v>
      </c>
      <c r="AY384" s="2" t="str">
        <f aca="false">IF($AT384&gt;0,VLOOKUP($AR384,'O_MN, PE_UTA_UGM 2024'!E381:O796,2),"")</f>
        <v/>
      </c>
      <c r="AZ384" s="1424"/>
      <c r="BA384" s="1424"/>
      <c r="BB384" s="1424" t="str">
        <f aca="false">IF($AT384&gt;0,VLOOKUP($AR384,'O_MN, PE_UTA_UGM 2024'!$E$3:$O$419,BB$6),"")</f>
        <v/>
      </c>
      <c r="BC384" s="1424" t="str">
        <f aca="false">IF($AT384&gt;0,VLOOKUP($AR384,'O_MN, PE_UTA_UGM 2024'!$E$3:$O$419,BC$6),"")</f>
        <v/>
      </c>
      <c r="BD384" s="1424" t="str">
        <f aca="false">IF($AT384&gt;0,VLOOKUP($AR384,'O_MN, PE_UTA_UGM 2024'!$E$3:$O$419,BD$6),"")</f>
        <v/>
      </c>
      <c r="BE384" s="1424" t="str">
        <f aca="false">IF($AT384&gt;0,VLOOKUP($AR384,'O_MN, PE_UTA_UGM 2024'!$E$3:$O$419,BE$6),"")</f>
        <v/>
      </c>
      <c r="BF384" s="1424" t="str">
        <f aca="false">IF($AT384&gt;0,VLOOKUP($AR384,'O_MN, PE_UTA_UGM 2024'!$E$3:$O$419,BF$6),"")</f>
        <v/>
      </c>
      <c r="BG384" s="1424" t="str">
        <f aca="false">IF($AT384&gt;0,VLOOKUP($AR384,'O_MN, PE_UTA_UGM 2024'!$E$3:$O$419,BG$6),"")</f>
        <v/>
      </c>
      <c r="BH384" s="872"/>
      <c r="BI384" s="872"/>
      <c r="BJ384" s="872"/>
      <c r="BK384" s="872"/>
      <c r="BM384" s="1411"/>
      <c r="BN384" s="1411"/>
      <c r="BO384" s="1425" t="str">
        <f aca="false">IF(ISNUMBER($AU384*BB384*1),$AU384*BB384*1,"")</f>
        <v/>
      </c>
      <c r="BP384" s="1425" t="str">
        <f aca="false">IF(ISNUMBER($AV384*BC384*1),$AV384*BC384*1,"")</f>
        <v/>
      </c>
      <c r="BQ384" s="1425" t="str">
        <f aca="false">IF(ISNUMBER($AU384*BD384*1),$AU384*BD384*1,"")</f>
        <v/>
      </c>
      <c r="BR384" s="1425" t="str">
        <f aca="false">IF(ISNUMBER($AV384*BE384*1),$AV384*BE384*1,"")</f>
        <v/>
      </c>
      <c r="BS384" s="1411" t="str">
        <f aca="false">IF(ISNUMBER($AU384*BF384),$AU384*BF384,"")</f>
        <v/>
      </c>
      <c r="BT384" s="1411" t="str">
        <f aca="false">IF(ISNUMBER($AV384*BG384),$AV384*BG384,"")</f>
        <v/>
      </c>
      <c r="BU384" s="1411"/>
      <c r="BV384" s="1411"/>
      <c r="BW384" s="1411"/>
      <c r="BX384" s="1411"/>
      <c r="BZ384" s="1372"/>
      <c r="CA384" s="1372"/>
      <c r="CB384" s="1426" t="str">
        <f aca="false">IF(ISNUMBER($AW384*BB384),$AW384*BB384,"")</f>
        <v/>
      </c>
      <c r="CC384" s="1426" t="str">
        <f aca="false">IF(ISNUMBER($AX384*BC384),$AX384*BC384,"")</f>
        <v/>
      </c>
      <c r="CD384" s="1426" t="str">
        <f aca="false">IF(ISNUMBER($AW384*BD384),$AW384*BD384,"")</f>
        <v/>
      </c>
      <c r="CE384" s="1426" t="str">
        <f aca="false">IF(ISNUMBER($AX384*BE384),$AX384*BE384,"")</f>
        <v/>
      </c>
      <c r="CF384" s="1372" t="str">
        <f aca="false">IF(ISNUMBER($AW384*BF384),$AW384*BF384,"")</f>
        <v/>
      </c>
      <c r="CG384" s="1372" t="str">
        <f aca="false">IF(ISNUMBER($AX384*BG384),$AX384*BG384,"")</f>
        <v/>
      </c>
      <c r="CH384" s="1438"/>
      <c r="CI384" s="1438"/>
      <c r="CJ384" s="1438"/>
      <c r="CK384" s="1438"/>
      <c r="CU384" s="1411"/>
      <c r="CV384" s="1411"/>
      <c r="CW384" s="1425"/>
      <c r="CX384" s="1425"/>
      <c r="CY384" s="1425"/>
      <c r="CZ384" s="1425"/>
      <c r="DA384" s="1411"/>
      <c r="DB384" s="1411"/>
      <c r="DC384" s="1411"/>
      <c r="DD384" s="1411"/>
      <c r="DE384" s="1411"/>
      <c r="DF384" s="1411"/>
      <c r="DH384" s="1432"/>
      <c r="DI384" s="1432"/>
      <c r="DJ384" s="1437"/>
      <c r="DK384" s="1437"/>
      <c r="DL384" s="1437"/>
      <c r="DM384" s="1437"/>
      <c r="DN384" s="1432"/>
      <c r="DO384" s="1432"/>
      <c r="DP384" s="1432"/>
      <c r="DQ384" s="1432"/>
      <c r="DR384" s="1432"/>
      <c r="DS384" s="1432"/>
      <c r="DT384" s="1316"/>
      <c r="DU384" s="1433"/>
      <c r="DV384" s="1433"/>
      <c r="DW384" s="1433"/>
      <c r="DX384" s="1433"/>
      <c r="DY384" s="1433"/>
      <c r="DZ384" s="1433"/>
      <c r="EA384" s="1433"/>
      <c r="EB384" s="1433"/>
    </row>
    <row r="385" customFormat="false" ht="14.25" hidden="false" customHeight="false" outlineLevel="0" collapsed="false">
      <c r="A385" s="2" t="n">
        <f aca="false">'V_DATOS PAC_SGA'!R380</f>
        <v>0</v>
      </c>
      <c r="B385" s="2" t="n">
        <f aca="false">IF(I385="IV",CONCATENATE('V_DATOS PAC_SGA'!R380,"4")+0,CONCATENATE('V_DATOS PAC_SGA'!R380,"0")+0)</f>
        <v>0</v>
      </c>
      <c r="C385" s="2" t="n">
        <f aca="false">'V_DATOS PAC_SGA'!S380</f>
        <v>0</v>
      </c>
      <c r="D385" s="1409" t="n">
        <f aca="false">'V_DATOS PAC_SGA'!Y380</f>
        <v>0</v>
      </c>
      <c r="E385" s="1410" t="str">
        <f aca="false">IF('V_DATOS PAC_SGA'!AV380="","Regadio",'V_DATOS PAC_SGA'!AV380)</f>
        <v>Regadio</v>
      </c>
      <c r="F385" s="1411" t="n">
        <f aca="false">'V_DATOS PAC_SGA'!BK380</f>
        <v>0</v>
      </c>
      <c r="G385" s="1412" t="n">
        <f aca="false">'V_DATOS PAC_SGA'!AN380</f>
        <v>0</v>
      </c>
      <c r="H385" s="1413" t="str">
        <f aca="false">IF(B385&gt;0,VLOOKUP(B385,'O_MN, PE_UTA_UGM 2024'!E$3:O$419,10),"")</f>
        <v/>
      </c>
      <c r="I385" s="1359" t="n">
        <f aca="false">'V_DATOS PAC_SGA'!BV380</f>
        <v>0</v>
      </c>
      <c r="J385" s="2" t="str">
        <f aca="false">IF(AND(J$4=$G385,J$6=$F385),$D385*J$5,"")</f>
        <v/>
      </c>
      <c r="K385" s="2" t="str">
        <f aca="false">IF(AND(K$4=$G385,K$6=$F385),$D385*K$5,"")</f>
        <v/>
      </c>
      <c r="L385" s="2" t="str">
        <f aca="false">IF(AND(L$4=$G385,L$6=$F385),$D385*L$5,"")</f>
        <v/>
      </c>
      <c r="M385" s="2" t="str">
        <f aca="false">IF(AND(M$4=$G385,M$6=$F385),$D385*M$5,"")</f>
        <v/>
      </c>
      <c r="N385" s="1414" t="n">
        <f aca="false">VLOOKUP(B385,'O_MN, PE_UTA_UGM 2024'!$E$2:$K$419,IF(G385&gt;1,6,7))</f>
        <v>0</v>
      </c>
      <c r="O385" s="1434" t="str">
        <f aca="false">IF($H385=O$4,$D385*$N385,"")</f>
        <v/>
      </c>
      <c r="P385" s="1435" t="str">
        <f aca="false">IF($H385=P$4,$D385*$N385,"")</f>
        <v/>
      </c>
      <c r="Q385" s="1435" t="str">
        <f aca="false">IF($H385=Q$4,$D385*$N385,"")</f>
        <v/>
      </c>
      <c r="R385" s="1435" t="str">
        <f aca="false">IF($H385=R$4,$D385*$N385,"")</f>
        <v/>
      </c>
      <c r="S385" s="1435" t="str">
        <f aca="false">IF($H385=S$4,$D385*$N385,"")</f>
        <v/>
      </c>
      <c r="T385" s="1435" t="str">
        <f aca="false">IF($H385=T$4,$D385*$N385,"")</f>
        <v/>
      </c>
      <c r="U385" s="1436" t="str">
        <f aca="false">IF($H385=U$4,$D385*$N385,"")</f>
        <v/>
      </c>
      <c r="V385" s="1472"/>
      <c r="W385" s="1471"/>
      <c r="X385" s="1471"/>
      <c r="Y385" s="1471"/>
      <c r="Z385" s="1471"/>
      <c r="AA385" s="1471"/>
      <c r="AB385" s="1473"/>
      <c r="AC385" s="1319"/>
      <c r="AD385" s="2" t="str">
        <f aca="false">IF(AND(AD$4=$G385,AD$6=$F385),$B385,"")</f>
        <v/>
      </c>
      <c r="AE385" s="2" t="str">
        <f aca="false">IF(AND(AE$4=$G385,AE$6=$F385),$B385,"")</f>
        <v/>
      </c>
      <c r="AF385" s="2" t="str">
        <f aca="false">IF(AND(AF$4=$G385,AF$6=$F385),$B385,"")</f>
        <v/>
      </c>
      <c r="AG385" s="2" t="str">
        <f aca="false">IF(AND(AG$4=$G385,AG$6=$F385),$B385,"")</f>
        <v/>
      </c>
      <c r="AI385" s="366"/>
      <c r="AL385" s="367"/>
      <c r="AO385" s="367"/>
      <c r="AP385" s="2" t="str">
        <f aca="false">IF(AT385&gt;0,RANK(AT385,AT$7:AT$423),"")</f>
        <v/>
      </c>
      <c r="AQ385" s="1475" t="n">
        <f aca="false">'O_MN, PE_UTA_UGM 2024'!C382</f>
        <v>0</v>
      </c>
      <c r="AR385" s="1421" t="n">
        <v>4540</v>
      </c>
      <c r="AS385" s="2" t="str">
        <f aca="false">IF(AY385&lt;&gt;"",AY385,"")</f>
        <v/>
      </c>
      <c r="AT385" s="1422" t="n">
        <f aca="false">IF(ISNUMBER($AR385),SUMIF(B$7:B$505,AR385,D$7:D$505),"")</f>
        <v>0</v>
      </c>
      <c r="AU385" s="1411" t="n">
        <f aca="false">IF(ISNUMBER($AR385),SUMIF(AD$7:AD$503,$AR385,J$7:J$503),"")</f>
        <v>0</v>
      </c>
      <c r="AV385" s="1411" t="n">
        <f aca="false">IF(ISNUMBER($AR385),SUMIF(AF$7:AF$503,$AR385,L$7:L$503),"")</f>
        <v>0</v>
      </c>
      <c r="AW385" s="1423" t="n">
        <f aca="false">IF(ISNUMBER($AR385),SUMIF(AE$7:AE$503,$AR385,K$7:K$503),"")</f>
        <v>0</v>
      </c>
      <c r="AX385" s="1423" t="n">
        <f aca="false">IF(ISNUMBER($AR385),SUMIF(AG$7:AG$503,$AR385,M$7:M$503),"")</f>
        <v>0</v>
      </c>
      <c r="AY385" s="2" t="str">
        <f aca="false">IF($AT385&gt;0,VLOOKUP($AR385,'O_MN, PE_UTA_UGM 2024'!E382:O797,2),"")</f>
        <v/>
      </c>
      <c r="AZ385" s="1424"/>
      <c r="BA385" s="1424"/>
      <c r="BB385" s="1424" t="str">
        <f aca="false">IF($AT385&gt;0,VLOOKUP($AR385,'O_MN, PE_UTA_UGM 2024'!$E$3:$O$419,BB$6),"")</f>
        <v/>
      </c>
      <c r="BC385" s="1424" t="str">
        <f aca="false">IF($AT385&gt;0,VLOOKUP($AR385,'O_MN, PE_UTA_UGM 2024'!$E$3:$O$419,BC$6),"")</f>
        <v/>
      </c>
      <c r="BD385" s="1424" t="str">
        <f aca="false">IF($AT385&gt;0,VLOOKUP($AR385,'O_MN, PE_UTA_UGM 2024'!$E$3:$O$419,BD$6),"")</f>
        <v/>
      </c>
      <c r="BE385" s="1424" t="str">
        <f aca="false">IF($AT385&gt;0,VLOOKUP($AR385,'O_MN, PE_UTA_UGM 2024'!$E$3:$O$419,BE$6),"")</f>
        <v/>
      </c>
      <c r="BF385" s="1424" t="str">
        <f aca="false">IF($AT385&gt;0,VLOOKUP($AR385,'O_MN, PE_UTA_UGM 2024'!$E$3:$O$419,BF$6),"")</f>
        <v/>
      </c>
      <c r="BG385" s="1424" t="str">
        <f aca="false">IF($AT385&gt;0,VLOOKUP($AR385,'O_MN, PE_UTA_UGM 2024'!$E$3:$O$419,BG$6),"")</f>
        <v/>
      </c>
      <c r="BH385" s="872"/>
      <c r="BI385" s="872"/>
      <c r="BJ385" s="872"/>
      <c r="BK385" s="872"/>
      <c r="BM385" s="1411"/>
      <c r="BN385" s="1411"/>
      <c r="BO385" s="1425" t="str">
        <f aca="false">IF(ISNUMBER($AU385*BB385*1),$AU385*BB385*1,"")</f>
        <v/>
      </c>
      <c r="BP385" s="1425" t="str">
        <f aca="false">IF(ISNUMBER($AV385*BC385*1),$AV385*BC385*1,"")</f>
        <v/>
      </c>
      <c r="BQ385" s="1425" t="str">
        <f aca="false">IF(ISNUMBER($AU385*BD385*1),$AU385*BD385*1,"")</f>
        <v/>
      </c>
      <c r="BR385" s="1425" t="str">
        <f aca="false">IF(ISNUMBER($AV385*BE385*1),$AV385*BE385*1,"")</f>
        <v/>
      </c>
      <c r="BS385" s="1411" t="str">
        <f aca="false">IF(ISNUMBER($AU385*BF385),$AU385*BF385,"")</f>
        <v/>
      </c>
      <c r="BT385" s="1411" t="str">
        <f aca="false">IF(ISNUMBER($AV385*BG385),$AV385*BG385,"")</f>
        <v/>
      </c>
      <c r="BU385" s="1411"/>
      <c r="BV385" s="1411"/>
      <c r="BW385" s="1411"/>
      <c r="BX385" s="1411"/>
      <c r="BZ385" s="1372"/>
      <c r="CA385" s="1372"/>
      <c r="CB385" s="1426" t="str">
        <f aca="false">IF(ISNUMBER($AW385*BB385),$AW385*BB385,"")</f>
        <v/>
      </c>
      <c r="CC385" s="1426" t="str">
        <f aca="false">IF(ISNUMBER($AX385*BC385),$AX385*BC385,"")</f>
        <v/>
      </c>
      <c r="CD385" s="1426" t="str">
        <f aca="false">IF(ISNUMBER($AW385*BD385),$AW385*BD385,"")</f>
        <v/>
      </c>
      <c r="CE385" s="1426" t="str">
        <f aca="false">IF(ISNUMBER($AX385*BE385),$AX385*BE385,"")</f>
        <v/>
      </c>
      <c r="CF385" s="1372" t="str">
        <f aca="false">IF(ISNUMBER($AW385*BF385),$AW385*BF385,"")</f>
        <v/>
      </c>
      <c r="CG385" s="1372" t="str">
        <f aca="false">IF(ISNUMBER($AX385*BG385),$AX385*BG385,"")</f>
        <v/>
      </c>
      <c r="CH385" s="1438"/>
      <c r="CI385" s="1438"/>
      <c r="CJ385" s="1438"/>
      <c r="CK385" s="1438"/>
      <c r="CU385" s="1411"/>
      <c r="CV385" s="1411"/>
      <c r="CW385" s="1425"/>
      <c r="CX385" s="1425"/>
      <c r="CY385" s="1425"/>
      <c r="CZ385" s="1425"/>
      <c r="DA385" s="1411"/>
      <c r="DB385" s="1411"/>
      <c r="DC385" s="1411"/>
      <c r="DD385" s="1411"/>
      <c r="DE385" s="1411"/>
      <c r="DF385" s="1411"/>
      <c r="DH385" s="1432"/>
      <c r="DI385" s="1432"/>
      <c r="DJ385" s="1437"/>
      <c r="DK385" s="1437"/>
      <c r="DL385" s="1437"/>
      <c r="DM385" s="1437"/>
      <c r="DN385" s="1432"/>
      <c r="DO385" s="1432"/>
      <c r="DP385" s="1432"/>
      <c r="DQ385" s="1432"/>
      <c r="DR385" s="1432"/>
      <c r="DS385" s="1432"/>
      <c r="DT385" s="1316"/>
      <c r="DU385" s="1433"/>
      <c r="DV385" s="1433"/>
      <c r="DW385" s="1433"/>
      <c r="DX385" s="1433"/>
      <c r="DY385" s="1433"/>
      <c r="DZ385" s="1433"/>
      <c r="EA385" s="1433"/>
      <c r="EB385" s="1433"/>
    </row>
    <row r="386" customFormat="false" ht="14.25" hidden="false" customHeight="false" outlineLevel="0" collapsed="false">
      <c r="A386" s="2" t="n">
        <f aca="false">'V_DATOS PAC_SGA'!R381</f>
        <v>0</v>
      </c>
      <c r="B386" s="2" t="n">
        <f aca="false">IF(I386="IV",CONCATENATE('V_DATOS PAC_SGA'!R381,"4")+0,CONCATENATE('V_DATOS PAC_SGA'!R381,"0")+0)</f>
        <v>0</v>
      </c>
      <c r="C386" s="2" t="n">
        <f aca="false">'V_DATOS PAC_SGA'!S381</f>
        <v>0</v>
      </c>
      <c r="D386" s="1409" t="n">
        <f aca="false">'V_DATOS PAC_SGA'!Y381</f>
        <v>0</v>
      </c>
      <c r="E386" s="1410" t="str">
        <f aca="false">IF('V_DATOS PAC_SGA'!AV381="","Regadio",'V_DATOS PAC_SGA'!AV381)</f>
        <v>Regadio</v>
      </c>
      <c r="F386" s="1411" t="n">
        <f aca="false">'V_DATOS PAC_SGA'!BK381</f>
        <v>0</v>
      </c>
      <c r="G386" s="1412" t="n">
        <f aca="false">'V_DATOS PAC_SGA'!AN381</f>
        <v>0</v>
      </c>
      <c r="H386" s="1413" t="str">
        <f aca="false">IF(B386&gt;0,VLOOKUP(B386,'O_MN, PE_UTA_UGM 2024'!E$3:O$419,10),"")</f>
        <v/>
      </c>
      <c r="I386" s="1359" t="n">
        <f aca="false">'V_DATOS PAC_SGA'!BV381</f>
        <v>0</v>
      </c>
      <c r="J386" s="2" t="str">
        <f aca="false">IF(AND(J$4=$G386,J$6=$F386),$D386*J$5,"")</f>
        <v/>
      </c>
      <c r="K386" s="2" t="str">
        <f aca="false">IF(AND(K$4=$G386,K$6=$F386),$D386*K$5,"")</f>
        <v/>
      </c>
      <c r="L386" s="2" t="str">
        <f aca="false">IF(AND(L$4=$G386,L$6=$F386),$D386*L$5,"")</f>
        <v/>
      </c>
      <c r="M386" s="2" t="str">
        <f aca="false">IF(AND(M$4=$G386,M$6=$F386),$D386*M$5,"")</f>
        <v/>
      </c>
      <c r="N386" s="1414" t="n">
        <f aca="false">VLOOKUP(B386,'O_MN, PE_UTA_UGM 2024'!$E$2:$K$419,IF(G386&gt;1,6,7))</f>
        <v>0</v>
      </c>
      <c r="O386" s="1434" t="str">
        <f aca="false">IF($H386=O$4,$D386*$N386,"")</f>
        <v/>
      </c>
      <c r="P386" s="1435" t="str">
        <f aca="false">IF($H386=P$4,$D386*$N386,"")</f>
        <v/>
      </c>
      <c r="Q386" s="1435" t="str">
        <f aca="false">IF($H386=Q$4,$D386*$N386,"")</f>
        <v/>
      </c>
      <c r="R386" s="1435" t="str">
        <f aca="false">IF($H386=R$4,$D386*$N386,"")</f>
        <v/>
      </c>
      <c r="S386" s="1435" t="str">
        <f aca="false">IF($H386=S$4,$D386*$N386,"")</f>
        <v/>
      </c>
      <c r="T386" s="1435" t="str">
        <f aca="false">IF($H386=T$4,$D386*$N386,"")</f>
        <v/>
      </c>
      <c r="U386" s="1436" t="str">
        <f aca="false">IF($H386=U$4,$D386*$N386,"")</f>
        <v/>
      </c>
      <c r="V386" s="1472"/>
      <c r="W386" s="1471"/>
      <c r="X386" s="1471"/>
      <c r="Y386" s="1471"/>
      <c r="Z386" s="1471"/>
      <c r="AA386" s="1471"/>
      <c r="AB386" s="1473"/>
      <c r="AC386" s="1319"/>
      <c r="AD386" s="2" t="str">
        <f aca="false">IF(AND(AD$4=$G386,AD$6=$F386),$B386,"")</f>
        <v/>
      </c>
      <c r="AE386" s="2" t="str">
        <f aca="false">IF(AND(AE$4=$G386,AE$6=$F386),$B386,"")</f>
        <v/>
      </c>
      <c r="AF386" s="2" t="str">
        <f aca="false">IF(AND(AF$4=$G386,AF$6=$F386),$B386,"")</f>
        <v/>
      </c>
      <c r="AG386" s="2" t="str">
        <f aca="false">IF(AND(AG$4=$G386,AG$6=$F386),$B386,"")</f>
        <v/>
      </c>
      <c r="AI386" s="366"/>
      <c r="AL386" s="367"/>
      <c r="AO386" s="367"/>
      <c r="AP386" s="2" t="str">
        <f aca="false">IF(AT386&gt;0,RANK(AT386,AT$7:AT$423),"")</f>
        <v/>
      </c>
      <c r="AQ386" s="1475" t="n">
        <f aca="false">'O_MN, PE_UTA_UGM 2024'!C383</f>
        <v>0</v>
      </c>
      <c r="AR386" s="1421" t="n">
        <v>4550</v>
      </c>
      <c r="AS386" s="2" t="str">
        <f aca="false">IF(AY386&lt;&gt;"",AY386,"")</f>
        <v/>
      </c>
      <c r="AT386" s="1422" t="n">
        <f aca="false">IF(ISNUMBER($AR386),SUMIF(B$7:B$505,AR386,D$7:D$505),"")</f>
        <v>0</v>
      </c>
      <c r="AU386" s="1411" t="n">
        <f aca="false">IF(ISNUMBER($AR386),SUMIF(AD$7:AD$503,$AR386,J$7:J$503),"")</f>
        <v>0</v>
      </c>
      <c r="AV386" s="1411" t="n">
        <f aca="false">IF(ISNUMBER($AR386),SUMIF(AF$7:AF$503,$AR386,L$7:L$503),"")</f>
        <v>0</v>
      </c>
      <c r="AW386" s="1423" t="n">
        <f aca="false">IF(ISNUMBER($AR386),SUMIF(AE$7:AE$503,$AR386,K$7:K$503),"")</f>
        <v>0</v>
      </c>
      <c r="AX386" s="1423" t="n">
        <f aca="false">IF(ISNUMBER($AR386),SUMIF(AG$7:AG$503,$AR386,M$7:M$503),"")</f>
        <v>0</v>
      </c>
      <c r="AY386" s="2" t="str">
        <f aca="false">IF($AT386&gt;0,VLOOKUP($AR386,'O_MN, PE_UTA_UGM 2024'!E383:O798,2),"")</f>
        <v/>
      </c>
      <c r="AZ386" s="1424"/>
      <c r="BA386" s="1424"/>
      <c r="BB386" s="1424" t="str">
        <f aca="false">IF($AT386&gt;0,VLOOKUP($AR386,'O_MN, PE_UTA_UGM 2024'!$E$3:$O$419,BB$6),"")</f>
        <v/>
      </c>
      <c r="BC386" s="1424" t="str">
        <f aca="false">IF($AT386&gt;0,VLOOKUP($AR386,'O_MN, PE_UTA_UGM 2024'!$E$3:$O$419,BC$6),"")</f>
        <v/>
      </c>
      <c r="BD386" s="1424" t="str">
        <f aca="false">IF($AT386&gt;0,VLOOKUP($AR386,'O_MN, PE_UTA_UGM 2024'!$E$3:$O$419,BD$6),"")</f>
        <v/>
      </c>
      <c r="BE386" s="1424" t="str">
        <f aca="false">IF($AT386&gt;0,VLOOKUP($AR386,'O_MN, PE_UTA_UGM 2024'!$E$3:$O$419,BE$6),"")</f>
        <v/>
      </c>
      <c r="BF386" s="1424" t="str">
        <f aca="false">IF($AT386&gt;0,VLOOKUP($AR386,'O_MN, PE_UTA_UGM 2024'!$E$3:$O$419,BF$6),"")</f>
        <v/>
      </c>
      <c r="BG386" s="1424" t="str">
        <f aca="false">IF($AT386&gt;0,VLOOKUP($AR386,'O_MN, PE_UTA_UGM 2024'!$E$3:$O$419,BG$6),"")</f>
        <v/>
      </c>
      <c r="BH386" s="872"/>
      <c r="BI386" s="872"/>
      <c r="BJ386" s="872"/>
      <c r="BK386" s="872"/>
      <c r="BM386" s="1411"/>
      <c r="BN386" s="1411"/>
      <c r="BO386" s="1425" t="str">
        <f aca="false">IF(ISNUMBER($AU386*BB386*1),$AU386*BB386*1,"")</f>
        <v/>
      </c>
      <c r="BP386" s="1425" t="str">
        <f aca="false">IF(ISNUMBER($AV386*BC386*1),$AV386*BC386*1,"")</f>
        <v/>
      </c>
      <c r="BQ386" s="1425" t="str">
        <f aca="false">IF(ISNUMBER($AU386*BD386*1),$AU386*BD386*1,"")</f>
        <v/>
      </c>
      <c r="BR386" s="1425" t="str">
        <f aca="false">IF(ISNUMBER($AV386*BE386*1),$AV386*BE386*1,"")</f>
        <v/>
      </c>
      <c r="BS386" s="1411" t="str">
        <f aca="false">IF(ISNUMBER($AU386*BF386),$AU386*BF386,"")</f>
        <v/>
      </c>
      <c r="BT386" s="1411" t="str">
        <f aca="false">IF(ISNUMBER($AV386*BG386),$AV386*BG386,"")</f>
        <v/>
      </c>
      <c r="BU386" s="1411"/>
      <c r="BV386" s="1411"/>
      <c r="BW386" s="1411"/>
      <c r="BX386" s="1411"/>
      <c r="BZ386" s="1372"/>
      <c r="CA386" s="1372"/>
      <c r="CB386" s="1426" t="str">
        <f aca="false">IF(ISNUMBER($AW386*BB386),$AW386*BB386,"")</f>
        <v/>
      </c>
      <c r="CC386" s="1426" t="str">
        <f aca="false">IF(ISNUMBER($AX386*BC386),$AX386*BC386,"")</f>
        <v/>
      </c>
      <c r="CD386" s="1426" t="str">
        <f aca="false">IF(ISNUMBER($AW386*BD386),$AW386*BD386,"")</f>
        <v/>
      </c>
      <c r="CE386" s="1426" t="str">
        <f aca="false">IF(ISNUMBER($AX386*BE386),$AX386*BE386,"")</f>
        <v/>
      </c>
      <c r="CF386" s="1372" t="str">
        <f aca="false">IF(ISNUMBER($AW386*BF386),$AW386*BF386,"")</f>
        <v/>
      </c>
      <c r="CG386" s="1372" t="str">
        <f aca="false">IF(ISNUMBER($AX386*BG386),$AX386*BG386,"")</f>
        <v/>
      </c>
      <c r="CH386" s="1438"/>
      <c r="CI386" s="1438"/>
      <c r="CJ386" s="1438"/>
      <c r="CK386" s="1438"/>
      <c r="CU386" s="1411"/>
      <c r="CV386" s="1411"/>
      <c r="CW386" s="1425"/>
      <c r="CX386" s="1425"/>
      <c r="CY386" s="1425"/>
      <c r="CZ386" s="1425"/>
      <c r="DA386" s="1411"/>
      <c r="DB386" s="1411"/>
      <c r="DC386" s="1411"/>
      <c r="DD386" s="1411"/>
      <c r="DE386" s="1411"/>
      <c r="DF386" s="1411"/>
      <c r="DH386" s="1432"/>
      <c r="DI386" s="1432"/>
      <c r="DJ386" s="1437"/>
      <c r="DK386" s="1437"/>
      <c r="DL386" s="1437"/>
      <c r="DM386" s="1437"/>
      <c r="DN386" s="1432"/>
      <c r="DO386" s="1432"/>
      <c r="DP386" s="1432"/>
      <c r="DQ386" s="1432"/>
      <c r="DR386" s="1432"/>
      <c r="DS386" s="1432"/>
      <c r="DT386" s="1316"/>
      <c r="DU386" s="1433"/>
      <c r="DV386" s="1433"/>
      <c r="DW386" s="1433"/>
      <c r="DX386" s="1433"/>
      <c r="DY386" s="1433"/>
      <c r="DZ386" s="1433"/>
      <c r="EA386" s="1433"/>
      <c r="EB386" s="1433"/>
    </row>
    <row r="387" customFormat="false" ht="14.25" hidden="false" customHeight="false" outlineLevel="0" collapsed="false">
      <c r="A387" s="2" t="n">
        <f aca="false">'V_DATOS PAC_SGA'!R382</f>
        <v>0</v>
      </c>
      <c r="B387" s="2" t="n">
        <f aca="false">IF(I387="IV",CONCATENATE('V_DATOS PAC_SGA'!R382,"4")+0,CONCATENATE('V_DATOS PAC_SGA'!R382,"0")+0)</f>
        <v>0</v>
      </c>
      <c r="C387" s="2" t="n">
        <f aca="false">'V_DATOS PAC_SGA'!S382</f>
        <v>0</v>
      </c>
      <c r="D387" s="1409" t="n">
        <f aca="false">'V_DATOS PAC_SGA'!Y382</f>
        <v>0</v>
      </c>
      <c r="E387" s="1410" t="str">
        <f aca="false">IF('V_DATOS PAC_SGA'!AV382="","Regadio",'V_DATOS PAC_SGA'!AV382)</f>
        <v>Regadio</v>
      </c>
      <c r="F387" s="1411" t="n">
        <f aca="false">'V_DATOS PAC_SGA'!BK382</f>
        <v>0</v>
      </c>
      <c r="G387" s="1412" t="n">
        <f aca="false">'V_DATOS PAC_SGA'!AN382</f>
        <v>0</v>
      </c>
      <c r="H387" s="1413" t="str">
        <f aca="false">IF(B387&gt;0,VLOOKUP(B387,'O_MN, PE_UTA_UGM 2024'!E$3:O$419,10),"")</f>
        <v/>
      </c>
      <c r="I387" s="1359" t="n">
        <f aca="false">'V_DATOS PAC_SGA'!BV382</f>
        <v>0</v>
      </c>
      <c r="J387" s="2" t="str">
        <f aca="false">IF(AND(J$4=$G387,J$6=$F387),$D387*J$5,"")</f>
        <v/>
      </c>
      <c r="K387" s="2" t="str">
        <f aca="false">IF(AND(K$4=$G387,K$6=$F387),$D387*K$5,"")</f>
        <v/>
      </c>
      <c r="L387" s="2" t="str">
        <f aca="false">IF(AND(L$4=$G387,L$6=$F387),$D387*L$5,"")</f>
        <v/>
      </c>
      <c r="M387" s="2" t="str">
        <f aca="false">IF(AND(M$4=$G387,M$6=$F387),$D387*M$5,"")</f>
        <v/>
      </c>
      <c r="N387" s="1414" t="n">
        <f aca="false">VLOOKUP(B387,'O_MN, PE_UTA_UGM 2024'!$E$2:$K$419,IF(G387&gt;1,6,7))</f>
        <v>0</v>
      </c>
      <c r="O387" s="1434" t="str">
        <f aca="false">IF($H387=O$4,$D387*$N387,"")</f>
        <v/>
      </c>
      <c r="P387" s="1435" t="str">
        <f aca="false">IF($H387=P$4,$D387*$N387,"")</f>
        <v/>
      </c>
      <c r="Q387" s="1435" t="str">
        <f aca="false">IF($H387=Q$4,$D387*$N387,"")</f>
        <v/>
      </c>
      <c r="R387" s="1435" t="str">
        <f aca="false">IF($H387=R$4,$D387*$N387,"")</f>
        <v/>
      </c>
      <c r="S387" s="1435" t="str">
        <f aca="false">IF($H387=S$4,$D387*$N387,"")</f>
        <v/>
      </c>
      <c r="T387" s="1435" t="str">
        <f aca="false">IF($H387=T$4,$D387*$N387,"")</f>
        <v/>
      </c>
      <c r="U387" s="1436" t="str">
        <f aca="false">IF($H387=U$4,$D387*$N387,"")</f>
        <v/>
      </c>
      <c r="V387" s="1472"/>
      <c r="W387" s="1471"/>
      <c r="X387" s="1471"/>
      <c r="Y387" s="1471"/>
      <c r="Z387" s="1471"/>
      <c r="AA387" s="1471"/>
      <c r="AB387" s="1473"/>
      <c r="AC387" s="1319"/>
      <c r="AD387" s="2" t="str">
        <f aca="false">IF(AND(AD$4=$G387,AD$6=$F387),$B387,"")</f>
        <v/>
      </c>
      <c r="AE387" s="2" t="str">
        <f aca="false">IF(AND(AE$4=$G387,AE$6=$F387),$B387,"")</f>
        <v/>
      </c>
      <c r="AF387" s="2" t="str">
        <f aca="false">IF(AND(AF$4=$G387,AF$6=$F387),$B387,"")</f>
        <v/>
      </c>
      <c r="AG387" s="2" t="str">
        <f aca="false">IF(AND(AG$4=$G387,AG$6=$F387),$B387,"")</f>
        <v/>
      </c>
      <c r="AI387" s="366"/>
      <c r="AL387" s="367"/>
      <c r="AO387" s="367"/>
      <c r="AP387" s="2" t="str">
        <f aca="false">IF(AT387&gt;0,RANK(AT387,AT$7:AT$423),"")</f>
        <v/>
      </c>
      <c r="AQ387" s="1475" t="n">
        <f aca="false">'O_MN, PE_UTA_UGM 2024'!C384</f>
        <v>0</v>
      </c>
      <c r="AR387" s="1421" t="n">
        <v>4560</v>
      </c>
      <c r="AS387" s="2" t="str">
        <f aca="false">IF(AY387&lt;&gt;"",AY387,"")</f>
        <v/>
      </c>
      <c r="AT387" s="1422" t="n">
        <f aca="false">IF(ISNUMBER($AR387),SUMIF(B$7:B$505,AR387,D$7:D$505),"")</f>
        <v>0</v>
      </c>
      <c r="AU387" s="1411" t="n">
        <f aca="false">IF(ISNUMBER($AR387),SUMIF(AD$7:AD$503,$AR387,J$7:J$503),"")</f>
        <v>0</v>
      </c>
      <c r="AV387" s="1411" t="n">
        <f aca="false">IF(ISNUMBER($AR387),SUMIF(AF$7:AF$503,$AR387,L$7:L$503),"")</f>
        <v>0</v>
      </c>
      <c r="AW387" s="1423" t="n">
        <f aca="false">IF(ISNUMBER($AR387),SUMIF(AE$7:AE$503,$AR387,K$7:K$503),"")</f>
        <v>0</v>
      </c>
      <c r="AX387" s="1423" t="n">
        <f aca="false">IF(ISNUMBER($AR387),SUMIF(AG$7:AG$503,$AR387,M$7:M$503),"")</f>
        <v>0</v>
      </c>
      <c r="AY387" s="2" t="str">
        <f aca="false">IF($AT387&gt;0,VLOOKUP($AR387,'O_MN, PE_UTA_UGM 2024'!E384:O799,2),"")</f>
        <v/>
      </c>
      <c r="AZ387" s="1424"/>
      <c r="BA387" s="1424"/>
      <c r="BB387" s="1424" t="str">
        <f aca="false">IF($AT387&gt;0,VLOOKUP($AR387,'O_MN, PE_UTA_UGM 2024'!$E$3:$O$419,BB$6),"")</f>
        <v/>
      </c>
      <c r="BC387" s="1424" t="str">
        <f aca="false">IF($AT387&gt;0,VLOOKUP($AR387,'O_MN, PE_UTA_UGM 2024'!$E$3:$O$419,BC$6),"")</f>
        <v/>
      </c>
      <c r="BD387" s="1424" t="str">
        <f aca="false">IF($AT387&gt;0,VLOOKUP($AR387,'O_MN, PE_UTA_UGM 2024'!$E$3:$O$419,BD$6),"")</f>
        <v/>
      </c>
      <c r="BE387" s="1424" t="str">
        <f aca="false">IF($AT387&gt;0,VLOOKUP($AR387,'O_MN, PE_UTA_UGM 2024'!$E$3:$O$419,BE$6),"")</f>
        <v/>
      </c>
      <c r="BF387" s="1424" t="str">
        <f aca="false">IF($AT387&gt;0,VLOOKUP($AR387,'O_MN, PE_UTA_UGM 2024'!$E$3:$O$419,BF$6),"")</f>
        <v/>
      </c>
      <c r="BG387" s="1424" t="str">
        <f aca="false">IF($AT387&gt;0,VLOOKUP($AR387,'O_MN, PE_UTA_UGM 2024'!$E$3:$O$419,BG$6),"")</f>
        <v/>
      </c>
      <c r="BH387" s="872"/>
      <c r="BI387" s="872"/>
      <c r="BJ387" s="872"/>
      <c r="BK387" s="872"/>
      <c r="BM387" s="1411"/>
      <c r="BN387" s="1411"/>
      <c r="BO387" s="1425" t="str">
        <f aca="false">IF(ISNUMBER($AU387*BB387*1),$AU387*BB387*1,"")</f>
        <v/>
      </c>
      <c r="BP387" s="1425" t="str">
        <f aca="false">IF(ISNUMBER($AV387*BC387*1),$AV387*BC387*1,"")</f>
        <v/>
      </c>
      <c r="BQ387" s="1425" t="str">
        <f aca="false">IF(ISNUMBER($AU387*BD387*1),$AU387*BD387*1,"")</f>
        <v/>
      </c>
      <c r="BR387" s="1425" t="str">
        <f aca="false">IF(ISNUMBER($AV387*BE387*1),$AV387*BE387*1,"")</f>
        <v/>
      </c>
      <c r="BS387" s="1411" t="str">
        <f aca="false">IF(ISNUMBER($AU387*BF387),$AU387*BF387,"")</f>
        <v/>
      </c>
      <c r="BT387" s="1411" t="str">
        <f aca="false">IF(ISNUMBER($AV387*BG387),$AV387*BG387,"")</f>
        <v/>
      </c>
      <c r="BU387" s="1411"/>
      <c r="BV387" s="1411"/>
      <c r="BW387" s="1411"/>
      <c r="BX387" s="1411"/>
      <c r="BZ387" s="1372"/>
      <c r="CA387" s="1372"/>
      <c r="CB387" s="1426" t="str">
        <f aca="false">IF(ISNUMBER($AW387*BB387),$AW387*BB387,"")</f>
        <v/>
      </c>
      <c r="CC387" s="1426" t="str">
        <f aca="false">IF(ISNUMBER($AX387*BC387),$AX387*BC387,"")</f>
        <v/>
      </c>
      <c r="CD387" s="1426" t="str">
        <f aca="false">IF(ISNUMBER($AW387*BD387),$AW387*BD387,"")</f>
        <v/>
      </c>
      <c r="CE387" s="1426" t="str">
        <f aca="false">IF(ISNUMBER($AX387*BE387),$AX387*BE387,"")</f>
        <v/>
      </c>
      <c r="CF387" s="1372" t="str">
        <f aca="false">IF(ISNUMBER($AW387*BF387),$AW387*BF387,"")</f>
        <v/>
      </c>
      <c r="CG387" s="1372" t="str">
        <f aca="false">IF(ISNUMBER($AX387*BG387),$AX387*BG387,"")</f>
        <v/>
      </c>
      <c r="CH387" s="1438"/>
      <c r="CI387" s="1438"/>
      <c r="CJ387" s="1438"/>
      <c r="CK387" s="1438"/>
      <c r="CU387" s="1411"/>
      <c r="CV387" s="1411"/>
      <c r="CW387" s="1425"/>
      <c r="CX387" s="1425"/>
      <c r="CY387" s="1425"/>
      <c r="CZ387" s="1425"/>
      <c r="DA387" s="1411"/>
      <c r="DB387" s="1411"/>
      <c r="DC387" s="1411"/>
      <c r="DD387" s="1411"/>
      <c r="DE387" s="1411"/>
      <c r="DF387" s="1411"/>
      <c r="DH387" s="1432"/>
      <c r="DI387" s="1432"/>
      <c r="DJ387" s="1437"/>
      <c r="DK387" s="1437"/>
      <c r="DL387" s="1437"/>
      <c r="DM387" s="1437"/>
      <c r="DN387" s="1432"/>
      <c r="DO387" s="1432"/>
      <c r="DP387" s="1432"/>
      <c r="DQ387" s="1432"/>
      <c r="DR387" s="1432"/>
      <c r="DS387" s="1432"/>
      <c r="DT387" s="1316"/>
      <c r="DU387" s="1433"/>
      <c r="DV387" s="1433"/>
      <c r="DW387" s="1433"/>
      <c r="DX387" s="1433"/>
      <c r="DY387" s="1433"/>
      <c r="DZ387" s="1433"/>
      <c r="EA387" s="1433"/>
      <c r="EB387" s="1433"/>
    </row>
    <row r="388" customFormat="false" ht="14.25" hidden="false" customHeight="false" outlineLevel="0" collapsed="false">
      <c r="A388" s="2" t="n">
        <f aca="false">'V_DATOS PAC_SGA'!R383</f>
        <v>0</v>
      </c>
      <c r="B388" s="2" t="n">
        <f aca="false">IF(I388="IV",CONCATENATE('V_DATOS PAC_SGA'!R383,"4")+0,CONCATENATE('V_DATOS PAC_SGA'!R383,"0")+0)</f>
        <v>0</v>
      </c>
      <c r="C388" s="2" t="n">
        <f aca="false">'V_DATOS PAC_SGA'!S383</f>
        <v>0</v>
      </c>
      <c r="D388" s="1409" t="n">
        <f aca="false">'V_DATOS PAC_SGA'!Y383</f>
        <v>0</v>
      </c>
      <c r="E388" s="1410" t="str">
        <f aca="false">IF('V_DATOS PAC_SGA'!AV383="","Regadio",'V_DATOS PAC_SGA'!AV383)</f>
        <v>Regadio</v>
      </c>
      <c r="F388" s="1411" t="n">
        <f aca="false">'V_DATOS PAC_SGA'!BK383</f>
        <v>0</v>
      </c>
      <c r="G388" s="1412" t="n">
        <f aca="false">'V_DATOS PAC_SGA'!AN383</f>
        <v>0</v>
      </c>
      <c r="H388" s="1413" t="str">
        <f aca="false">IF(B388&gt;0,VLOOKUP(B388,'O_MN, PE_UTA_UGM 2024'!E$3:O$419,10),"")</f>
        <v/>
      </c>
      <c r="I388" s="1359" t="n">
        <f aca="false">'V_DATOS PAC_SGA'!BV383</f>
        <v>0</v>
      </c>
      <c r="J388" s="2" t="str">
        <f aca="false">IF(AND(J$4=$G388,J$6=$F388),$D388*J$5,"")</f>
        <v/>
      </c>
      <c r="K388" s="2" t="str">
        <f aca="false">IF(AND(K$4=$G388,K$6=$F388),$D388*K$5,"")</f>
        <v/>
      </c>
      <c r="L388" s="2" t="str">
        <f aca="false">IF(AND(L$4=$G388,L$6=$F388),$D388*L$5,"")</f>
        <v/>
      </c>
      <c r="M388" s="2" t="str">
        <f aca="false">IF(AND(M$4=$G388,M$6=$F388),$D388*M$5,"")</f>
        <v/>
      </c>
      <c r="N388" s="1414" t="n">
        <f aca="false">VLOOKUP(B388,'O_MN, PE_UTA_UGM 2024'!$E$2:$K$419,IF(G388&gt;1,6,7))</f>
        <v>0</v>
      </c>
      <c r="O388" s="1434" t="str">
        <f aca="false">IF($H388=O$4,$D388*$N388,"")</f>
        <v/>
      </c>
      <c r="P388" s="1435" t="str">
        <f aca="false">IF($H388=P$4,$D388*$N388,"")</f>
        <v/>
      </c>
      <c r="Q388" s="1435" t="str">
        <f aca="false">IF($H388=Q$4,$D388*$N388,"")</f>
        <v/>
      </c>
      <c r="R388" s="1435" t="str">
        <f aca="false">IF($H388=R$4,$D388*$N388,"")</f>
        <v/>
      </c>
      <c r="S388" s="1435" t="str">
        <f aca="false">IF($H388=S$4,$D388*$N388,"")</f>
        <v/>
      </c>
      <c r="T388" s="1435" t="str">
        <f aca="false">IF($H388=T$4,$D388*$N388,"")</f>
        <v/>
      </c>
      <c r="U388" s="1436" t="str">
        <f aca="false">IF($H388=U$4,$D388*$N388,"")</f>
        <v/>
      </c>
      <c r="V388" s="1472"/>
      <c r="W388" s="1471"/>
      <c r="X388" s="1471"/>
      <c r="Y388" s="1471"/>
      <c r="Z388" s="1471"/>
      <c r="AA388" s="1471"/>
      <c r="AB388" s="1473"/>
      <c r="AC388" s="1319"/>
      <c r="AD388" s="2" t="str">
        <f aca="false">IF(AND(AD$4=$G388,AD$6=$F388),$B388,"")</f>
        <v/>
      </c>
      <c r="AE388" s="2" t="str">
        <f aca="false">IF(AND(AE$4=$G388,AE$6=$F388),$B388,"")</f>
        <v/>
      </c>
      <c r="AF388" s="2" t="str">
        <f aca="false">IF(AND(AF$4=$G388,AF$6=$F388),$B388,"")</f>
        <v/>
      </c>
      <c r="AG388" s="2" t="str">
        <f aca="false">IF(AND(AG$4=$G388,AG$6=$F388),$B388,"")</f>
        <v/>
      </c>
      <c r="AI388" s="366"/>
      <c r="AL388" s="367"/>
      <c r="AO388" s="367"/>
      <c r="AP388" s="2" t="str">
        <f aca="false">IF(AT388&gt;0,RANK(AT388,AT$7:AT$423),"")</f>
        <v/>
      </c>
      <c r="AQ388" s="1475" t="n">
        <f aca="false">'O_MN, PE_UTA_UGM 2024'!C385</f>
        <v>0</v>
      </c>
      <c r="AR388" s="1421" t="n">
        <v>4570</v>
      </c>
      <c r="AS388" s="2" t="str">
        <f aca="false">IF(AY388&lt;&gt;"",AY388,"")</f>
        <v/>
      </c>
      <c r="AT388" s="1422" t="n">
        <f aca="false">IF(ISNUMBER($AR388),SUMIF(B$7:B$505,AR388,D$7:D$505),"")</f>
        <v>0</v>
      </c>
      <c r="AU388" s="1411" t="n">
        <f aca="false">IF(ISNUMBER($AR388),SUMIF(AD$7:AD$503,$AR388,J$7:J$503),"")</f>
        <v>0</v>
      </c>
      <c r="AV388" s="1411" t="n">
        <f aca="false">IF(ISNUMBER($AR388),SUMIF(AF$7:AF$503,$AR388,L$7:L$503),"")</f>
        <v>0</v>
      </c>
      <c r="AW388" s="1423" t="n">
        <f aca="false">IF(ISNUMBER($AR388),SUMIF(AE$7:AE$503,$AR388,K$7:K$503),"")</f>
        <v>0</v>
      </c>
      <c r="AX388" s="1423" t="n">
        <f aca="false">IF(ISNUMBER($AR388),SUMIF(AG$7:AG$503,$AR388,M$7:M$503),"")</f>
        <v>0</v>
      </c>
      <c r="AY388" s="2" t="str">
        <f aca="false">IF($AT388&gt;0,VLOOKUP($AR388,'O_MN, PE_UTA_UGM 2024'!E385:O800,2),"")</f>
        <v/>
      </c>
      <c r="AZ388" s="1424"/>
      <c r="BA388" s="1424"/>
      <c r="BB388" s="1424" t="str">
        <f aca="false">IF($AT388&gt;0,VLOOKUP($AR388,'O_MN, PE_UTA_UGM 2024'!$E$3:$O$419,BB$6),"")</f>
        <v/>
      </c>
      <c r="BC388" s="1424" t="str">
        <f aca="false">IF($AT388&gt;0,VLOOKUP($AR388,'O_MN, PE_UTA_UGM 2024'!$E$3:$O$419,BC$6),"")</f>
        <v/>
      </c>
      <c r="BD388" s="1424" t="str">
        <f aca="false">IF($AT388&gt;0,VLOOKUP($AR388,'O_MN, PE_UTA_UGM 2024'!$E$3:$O$419,BD$6),"")</f>
        <v/>
      </c>
      <c r="BE388" s="1424" t="str">
        <f aca="false">IF($AT388&gt;0,VLOOKUP($AR388,'O_MN, PE_UTA_UGM 2024'!$E$3:$O$419,BE$6),"")</f>
        <v/>
      </c>
      <c r="BF388" s="1424" t="str">
        <f aca="false">IF($AT388&gt;0,VLOOKUP($AR388,'O_MN, PE_UTA_UGM 2024'!$E$3:$O$419,BF$6),"")</f>
        <v/>
      </c>
      <c r="BG388" s="1424" t="str">
        <f aca="false">IF($AT388&gt;0,VLOOKUP($AR388,'O_MN, PE_UTA_UGM 2024'!$E$3:$O$419,BG$6),"")</f>
        <v/>
      </c>
      <c r="BH388" s="872"/>
      <c r="BI388" s="872"/>
      <c r="BJ388" s="872"/>
      <c r="BK388" s="872"/>
      <c r="BM388" s="1411"/>
      <c r="BN388" s="1411"/>
      <c r="BO388" s="1425" t="str">
        <f aca="false">IF(ISNUMBER($AU388*BB388*1),$AU388*BB388*1,"")</f>
        <v/>
      </c>
      <c r="BP388" s="1425" t="str">
        <f aca="false">IF(ISNUMBER($AV388*BC388*1),$AV388*BC388*1,"")</f>
        <v/>
      </c>
      <c r="BQ388" s="1425" t="str">
        <f aca="false">IF(ISNUMBER($AU388*BD388*1),$AU388*BD388*1,"")</f>
        <v/>
      </c>
      <c r="BR388" s="1425" t="str">
        <f aca="false">IF(ISNUMBER($AV388*BE388*1),$AV388*BE388*1,"")</f>
        <v/>
      </c>
      <c r="BS388" s="1411" t="str">
        <f aca="false">IF(ISNUMBER($AU388*BF388),$AU388*BF388,"")</f>
        <v/>
      </c>
      <c r="BT388" s="1411" t="str">
        <f aca="false">IF(ISNUMBER($AV388*BG388),$AV388*BG388,"")</f>
        <v/>
      </c>
      <c r="BU388" s="1411"/>
      <c r="BV388" s="1411"/>
      <c r="BW388" s="1411"/>
      <c r="BX388" s="1411"/>
      <c r="BZ388" s="1372"/>
      <c r="CA388" s="1372"/>
      <c r="CB388" s="1426" t="str">
        <f aca="false">IF(ISNUMBER($AW388*BB388),$AW388*BB388,"")</f>
        <v/>
      </c>
      <c r="CC388" s="1426" t="str">
        <f aca="false">IF(ISNUMBER($AX388*BC388),$AX388*BC388,"")</f>
        <v/>
      </c>
      <c r="CD388" s="1426" t="str">
        <f aca="false">IF(ISNUMBER($AW388*BD388),$AW388*BD388,"")</f>
        <v/>
      </c>
      <c r="CE388" s="1426" t="str">
        <f aca="false">IF(ISNUMBER($AX388*BE388),$AX388*BE388,"")</f>
        <v/>
      </c>
      <c r="CF388" s="1372" t="str">
        <f aca="false">IF(ISNUMBER($AW388*BF388),$AW388*BF388,"")</f>
        <v/>
      </c>
      <c r="CG388" s="1372" t="str">
        <f aca="false">IF(ISNUMBER($AX388*BG388),$AX388*BG388,"")</f>
        <v/>
      </c>
      <c r="CH388" s="1438"/>
      <c r="CI388" s="1438"/>
      <c r="CJ388" s="1438"/>
      <c r="CK388" s="1438"/>
      <c r="CU388" s="1411"/>
      <c r="CV388" s="1411"/>
      <c r="CW388" s="1425"/>
      <c r="CX388" s="1425"/>
      <c r="CY388" s="1425"/>
      <c r="CZ388" s="1425"/>
      <c r="DA388" s="1411"/>
      <c r="DB388" s="1411"/>
      <c r="DC388" s="1411"/>
      <c r="DD388" s="1411"/>
      <c r="DE388" s="1411"/>
      <c r="DF388" s="1411"/>
      <c r="DH388" s="1432"/>
      <c r="DI388" s="1432"/>
      <c r="DJ388" s="1437"/>
      <c r="DK388" s="1437"/>
      <c r="DL388" s="1437"/>
      <c r="DM388" s="1437"/>
      <c r="DN388" s="1432"/>
      <c r="DO388" s="1432"/>
      <c r="DP388" s="1432"/>
      <c r="DQ388" s="1432"/>
      <c r="DR388" s="1432"/>
      <c r="DS388" s="1432"/>
      <c r="DT388" s="1316"/>
      <c r="DU388" s="1433"/>
      <c r="DV388" s="1433"/>
      <c r="DW388" s="1433"/>
      <c r="DX388" s="1433"/>
      <c r="DY388" s="1433"/>
      <c r="DZ388" s="1433"/>
      <c r="EA388" s="1433"/>
      <c r="EB388" s="1433"/>
    </row>
    <row r="389" customFormat="false" ht="14.25" hidden="false" customHeight="false" outlineLevel="0" collapsed="false">
      <c r="A389" s="2" t="n">
        <f aca="false">'V_DATOS PAC_SGA'!R384</f>
        <v>0</v>
      </c>
      <c r="B389" s="2" t="n">
        <f aca="false">IF(I389="IV",CONCATENATE('V_DATOS PAC_SGA'!R384,"4")+0,CONCATENATE('V_DATOS PAC_SGA'!R384,"0")+0)</f>
        <v>0</v>
      </c>
      <c r="C389" s="2" t="n">
        <f aca="false">'V_DATOS PAC_SGA'!S384</f>
        <v>0</v>
      </c>
      <c r="D389" s="1409" t="n">
        <f aca="false">'V_DATOS PAC_SGA'!Y384</f>
        <v>0</v>
      </c>
      <c r="E389" s="1410" t="str">
        <f aca="false">IF('V_DATOS PAC_SGA'!AV384="","Regadio",'V_DATOS PAC_SGA'!AV384)</f>
        <v>Regadio</v>
      </c>
      <c r="F389" s="1411" t="n">
        <f aca="false">'V_DATOS PAC_SGA'!BK384</f>
        <v>0</v>
      </c>
      <c r="G389" s="1412" t="n">
        <f aca="false">'V_DATOS PAC_SGA'!AN384</f>
        <v>0</v>
      </c>
      <c r="H389" s="1413" t="str">
        <f aca="false">IF(B389&gt;0,VLOOKUP(B389,'O_MN, PE_UTA_UGM 2024'!E$3:O$419,10),"")</f>
        <v/>
      </c>
      <c r="I389" s="1359" t="n">
        <f aca="false">'V_DATOS PAC_SGA'!BV384</f>
        <v>0</v>
      </c>
      <c r="J389" s="2" t="str">
        <f aca="false">IF(AND(J$4=$G389,J$6=$F389),$D389*J$5,"")</f>
        <v/>
      </c>
      <c r="K389" s="2" t="str">
        <f aca="false">IF(AND(K$4=$G389,K$6=$F389),$D389*K$5,"")</f>
        <v/>
      </c>
      <c r="L389" s="2" t="str">
        <f aca="false">IF(AND(L$4=$G389,L$6=$F389),$D389*L$5,"")</f>
        <v/>
      </c>
      <c r="M389" s="2" t="str">
        <f aca="false">IF(AND(M$4=$G389,M$6=$F389),$D389*M$5,"")</f>
        <v/>
      </c>
      <c r="N389" s="1414" t="n">
        <f aca="false">VLOOKUP(B389,'O_MN, PE_UTA_UGM 2024'!$E$2:$K$419,IF(G389&gt;1,6,7))</f>
        <v>0</v>
      </c>
      <c r="O389" s="1434" t="str">
        <f aca="false">IF($H389=O$4,$D389*$N389,"")</f>
        <v/>
      </c>
      <c r="P389" s="1435" t="str">
        <f aca="false">IF($H389=P$4,$D389*$N389,"")</f>
        <v/>
      </c>
      <c r="Q389" s="1435" t="str">
        <f aca="false">IF($H389=Q$4,$D389*$N389,"")</f>
        <v/>
      </c>
      <c r="R389" s="1435" t="str">
        <f aca="false">IF($H389=R$4,$D389*$N389,"")</f>
        <v/>
      </c>
      <c r="S389" s="1435" t="str">
        <f aca="false">IF($H389=S$4,$D389*$N389,"")</f>
        <v/>
      </c>
      <c r="T389" s="1435" t="str">
        <f aca="false">IF($H389=T$4,$D389*$N389,"")</f>
        <v/>
      </c>
      <c r="U389" s="1436" t="str">
        <f aca="false">IF($H389=U$4,$D389*$N389,"")</f>
        <v/>
      </c>
      <c r="V389" s="1472"/>
      <c r="W389" s="1471"/>
      <c r="X389" s="1471"/>
      <c r="Y389" s="1471"/>
      <c r="Z389" s="1471"/>
      <c r="AA389" s="1471"/>
      <c r="AB389" s="1473"/>
      <c r="AC389" s="1319"/>
      <c r="AD389" s="2" t="str">
        <f aca="false">IF(AND(AD$4=$G389,AD$6=$F389),$B389,"")</f>
        <v/>
      </c>
      <c r="AE389" s="2" t="str">
        <f aca="false">IF(AND(AE$4=$G389,AE$6=$F389),$B389,"")</f>
        <v/>
      </c>
      <c r="AF389" s="2" t="str">
        <f aca="false">IF(AND(AF$4=$G389,AF$6=$F389),$B389,"")</f>
        <v/>
      </c>
      <c r="AG389" s="2" t="str">
        <f aca="false">IF(AND(AG$4=$G389,AG$6=$F389),$B389,"")</f>
        <v/>
      </c>
      <c r="AI389" s="366"/>
      <c r="AL389" s="367"/>
      <c r="AO389" s="367"/>
      <c r="AP389" s="2" t="str">
        <f aca="false">IF(AT389&gt;0,RANK(AT389,AT$7:AT$423),"")</f>
        <v/>
      </c>
      <c r="AQ389" s="1475" t="n">
        <f aca="false">'O_MN, PE_UTA_UGM 2024'!C386</f>
        <v>0</v>
      </c>
      <c r="AR389" s="1421" t="n">
        <v>4600</v>
      </c>
      <c r="AS389" s="2" t="str">
        <f aca="false">IF(AY389&lt;&gt;"",AY389,"")</f>
        <v/>
      </c>
      <c r="AT389" s="1422" t="n">
        <f aca="false">IF(ISNUMBER($AR389),SUMIF(B$7:B$505,AR389,D$7:D$505),"")</f>
        <v>0</v>
      </c>
      <c r="AU389" s="1411" t="n">
        <f aca="false">IF(ISNUMBER($AR389),SUMIF(AD$7:AD$503,$AR389,J$7:J$503),"")</f>
        <v>0</v>
      </c>
      <c r="AV389" s="1411" t="n">
        <f aca="false">IF(ISNUMBER($AR389),SUMIF(AF$7:AF$503,$AR389,L$7:L$503),"")</f>
        <v>0</v>
      </c>
      <c r="AW389" s="1423" t="n">
        <f aca="false">IF(ISNUMBER($AR389),SUMIF(AE$7:AE$503,$AR389,K$7:K$503),"")</f>
        <v>0</v>
      </c>
      <c r="AX389" s="1423" t="n">
        <f aca="false">IF(ISNUMBER($AR389),SUMIF(AG$7:AG$503,$AR389,M$7:M$503),"")</f>
        <v>0</v>
      </c>
      <c r="AY389" s="2" t="str">
        <f aca="false">IF($AT389&gt;0,VLOOKUP($AR389,'O_MN, PE_UTA_UGM 2024'!E386:O801,2),"")</f>
        <v/>
      </c>
      <c r="AZ389" s="1424"/>
      <c r="BA389" s="1424"/>
      <c r="BB389" s="1424" t="str">
        <f aca="false">IF($AT389&gt;0,VLOOKUP($AR389,'O_MN, PE_UTA_UGM 2024'!$E$3:$O$419,BB$6),"")</f>
        <v/>
      </c>
      <c r="BC389" s="1424" t="str">
        <f aca="false">IF($AT389&gt;0,VLOOKUP($AR389,'O_MN, PE_UTA_UGM 2024'!$E$3:$O$419,BC$6),"")</f>
        <v/>
      </c>
      <c r="BD389" s="1424" t="str">
        <f aca="false">IF($AT389&gt;0,VLOOKUP($AR389,'O_MN, PE_UTA_UGM 2024'!$E$3:$O$419,BD$6),"")</f>
        <v/>
      </c>
      <c r="BE389" s="1424" t="str">
        <f aca="false">IF($AT389&gt;0,VLOOKUP($AR389,'O_MN, PE_UTA_UGM 2024'!$E$3:$O$419,BE$6),"")</f>
        <v/>
      </c>
      <c r="BF389" s="1424" t="str">
        <f aca="false">IF($AT389&gt;0,VLOOKUP($AR389,'O_MN, PE_UTA_UGM 2024'!$E$3:$O$419,BF$6),"")</f>
        <v/>
      </c>
      <c r="BG389" s="1424" t="str">
        <f aca="false">IF($AT389&gt;0,VLOOKUP($AR389,'O_MN, PE_UTA_UGM 2024'!$E$3:$O$419,BG$6),"")</f>
        <v/>
      </c>
      <c r="BH389" s="872"/>
      <c r="BI389" s="872"/>
      <c r="BJ389" s="872"/>
      <c r="BK389" s="872"/>
      <c r="BM389" s="1411"/>
      <c r="BN389" s="1411"/>
      <c r="BO389" s="1425" t="str">
        <f aca="false">IF(ISNUMBER($AU389*BB389*1),$AU389*BB389*1,"")</f>
        <v/>
      </c>
      <c r="BP389" s="1425" t="str">
        <f aca="false">IF(ISNUMBER($AV389*BC389*1),$AV389*BC389*1,"")</f>
        <v/>
      </c>
      <c r="BQ389" s="1425" t="str">
        <f aca="false">IF(ISNUMBER($AU389*BD389*1),$AU389*BD389*1,"")</f>
        <v/>
      </c>
      <c r="BR389" s="1425" t="str">
        <f aca="false">IF(ISNUMBER($AV389*BE389*1),$AV389*BE389*1,"")</f>
        <v/>
      </c>
      <c r="BS389" s="1411" t="str">
        <f aca="false">IF(ISNUMBER($AU389*BF389),$AU389*BF389,"")</f>
        <v/>
      </c>
      <c r="BT389" s="1411" t="str">
        <f aca="false">IF(ISNUMBER($AV389*BG389),$AV389*BG389,"")</f>
        <v/>
      </c>
      <c r="BU389" s="1411"/>
      <c r="BV389" s="1411"/>
      <c r="BW389" s="1411"/>
      <c r="BX389" s="1411"/>
      <c r="BZ389" s="1372"/>
      <c r="CA389" s="1372"/>
      <c r="CB389" s="1426" t="str">
        <f aca="false">IF(ISNUMBER($AW389*BB389),$AW389*BB389,"")</f>
        <v/>
      </c>
      <c r="CC389" s="1426" t="str">
        <f aca="false">IF(ISNUMBER($AX389*BC389),$AX389*BC389,"")</f>
        <v/>
      </c>
      <c r="CD389" s="1426" t="str">
        <f aca="false">IF(ISNUMBER($AW389*BD389),$AW389*BD389,"")</f>
        <v/>
      </c>
      <c r="CE389" s="1426" t="str">
        <f aca="false">IF(ISNUMBER($AX389*BE389),$AX389*BE389,"")</f>
        <v/>
      </c>
      <c r="CF389" s="1372" t="str">
        <f aca="false">IF(ISNUMBER($AW389*BF389),$AW389*BF389,"")</f>
        <v/>
      </c>
      <c r="CG389" s="1372" t="str">
        <f aca="false">IF(ISNUMBER($AX389*BG389),$AX389*BG389,"")</f>
        <v/>
      </c>
      <c r="CH389" s="1438"/>
      <c r="CI389" s="1438"/>
      <c r="CJ389" s="1438"/>
      <c r="CK389" s="1438"/>
      <c r="CU389" s="1411"/>
      <c r="CV389" s="1411"/>
      <c r="CW389" s="1425"/>
      <c r="CX389" s="1425"/>
      <c r="CY389" s="1425"/>
      <c r="CZ389" s="1425"/>
      <c r="DA389" s="1411"/>
      <c r="DB389" s="1411"/>
      <c r="DC389" s="1411"/>
      <c r="DD389" s="1411"/>
      <c r="DE389" s="1411"/>
      <c r="DF389" s="1411"/>
      <c r="DH389" s="1432"/>
      <c r="DI389" s="1432"/>
      <c r="DJ389" s="1437"/>
      <c r="DK389" s="1437"/>
      <c r="DL389" s="1437"/>
      <c r="DM389" s="1437"/>
      <c r="DN389" s="1432"/>
      <c r="DO389" s="1432"/>
      <c r="DP389" s="1432"/>
      <c r="DQ389" s="1432"/>
      <c r="DR389" s="1432"/>
      <c r="DS389" s="1432"/>
      <c r="DT389" s="1316"/>
      <c r="DU389" s="1433"/>
      <c r="DV389" s="1433"/>
      <c r="DW389" s="1433"/>
      <c r="DX389" s="1433"/>
      <c r="DY389" s="1433"/>
      <c r="DZ389" s="1433"/>
      <c r="EA389" s="1433"/>
      <c r="EB389" s="1433"/>
    </row>
    <row r="390" customFormat="false" ht="14.25" hidden="false" customHeight="false" outlineLevel="0" collapsed="false">
      <c r="A390" s="2" t="n">
        <f aca="false">'V_DATOS PAC_SGA'!R385</f>
        <v>0</v>
      </c>
      <c r="B390" s="2" t="n">
        <f aca="false">IF(I390="IV",CONCATENATE('V_DATOS PAC_SGA'!R385,"4")+0,CONCATENATE('V_DATOS PAC_SGA'!R385,"0")+0)</f>
        <v>0</v>
      </c>
      <c r="C390" s="2" t="n">
        <f aca="false">'V_DATOS PAC_SGA'!S385</f>
        <v>0</v>
      </c>
      <c r="D390" s="1409" t="n">
        <f aca="false">'V_DATOS PAC_SGA'!Y385</f>
        <v>0</v>
      </c>
      <c r="E390" s="1410" t="str">
        <f aca="false">IF('V_DATOS PAC_SGA'!AV385="","Regadio",'V_DATOS PAC_SGA'!AV385)</f>
        <v>Regadio</v>
      </c>
      <c r="F390" s="1411" t="n">
        <f aca="false">'V_DATOS PAC_SGA'!BK385</f>
        <v>0</v>
      </c>
      <c r="G390" s="1412" t="n">
        <f aca="false">'V_DATOS PAC_SGA'!AN385</f>
        <v>0</v>
      </c>
      <c r="H390" s="1413" t="str">
        <f aca="false">IF(B390&gt;0,VLOOKUP(B390,'O_MN, PE_UTA_UGM 2024'!E$3:O$419,10),"")</f>
        <v/>
      </c>
      <c r="I390" s="1359" t="n">
        <f aca="false">'V_DATOS PAC_SGA'!BV385</f>
        <v>0</v>
      </c>
      <c r="J390" s="2" t="str">
        <f aca="false">IF(AND(J$4=$G390,J$6=$F390),$D390*J$5,"")</f>
        <v/>
      </c>
      <c r="K390" s="2" t="str">
        <f aca="false">IF(AND(K$4=$G390,K$6=$F390),$D390*K$5,"")</f>
        <v/>
      </c>
      <c r="L390" s="2" t="str">
        <f aca="false">IF(AND(L$4=$G390,L$6=$F390),$D390*L$5,"")</f>
        <v/>
      </c>
      <c r="M390" s="2" t="str">
        <f aca="false">IF(AND(M$4=$G390,M$6=$F390),$D390*M$5,"")</f>
        <v/>
      </c>
      <c r="N390" s="1414" t="n">
        <f aca="false">VLOOKUP(B390,'O_MN, PE_UTA_UGM 2024'!$E$2:$K$419,IF(G390&gt;1,6,7))</f>
        <v>0</v>
      </c>
      <c r="O390" s="1434" t="str">
        <f aca="false">IF($H390=O$4,$D390*$N390,"")</f>
        <v/>
      </c>
      <c r="P390" s="1435" t="str">
        <f aca="false">IF($H390=P$4,$D390*$N390,"")</f>
        <v/>
      </c>
      <c r="Q390" s="1435" t="str">
        <f aca="false">IF($H390=Q$4,$D390*$N390,"")</f>
        <v/>
      </c>
      <c r="R390" s="1435" t="str">
        <f aca="false">IF($H390=R$4,$D390*$N390,"")</f>
        <v/>
      </c>
      <c r="S390" s="1435" t="str">
        <f aca="false">IF($H390=S$4,$D390*$N390,"")</f>
        <v/>
      </c>
      <c r="T390" s="1435" t="str">
        <f aca="false">IF($H390=T$4,$D390*$N390,"")</f>
        <v/>
      </c>
      <c r="U390" s="1436" t="str">
        <f aca="false">IF($H390=U$4,$D390*$N390,"")</f>
        <v/>
      </c>
      <c r="V390" s="1472"/>
      <c r="W390" s="1471"/>
      <c r="X390" s="1471"/>
      <c r="Y390" s="1471"/>
      <c r="Z390" s="1471"/>
      <c r="AA390" s="1471"/>
      <c r="AB390" s="1473"/>
      <c r="AC390" s="1319"/>
      <c r="AD390" s="2" t="str">
        <f aca="false">IF(AND(AD$4=$G390,AD$6=$F390),$B390,"")</f>
        <v/>
      </c>
      <c r="AE390" s="2" t="str">
        <f aca="false">IF(AND(AE$4=$G390,AE$6=$F390),$B390,"")</f>
        <v/>
      </c>
      <c r="AF390" s="2" t="str">
        <f aca="false">IF(AND(AF$4=$G390,AF$6=$F390),$B390,"")</f>
        <v/>
      </c>
      <c r="AG390" s="2" t="str">
        <f aca="false">IF(AND(AG$4=$G390,AG$6=$F390),$B390,"")</f>
        <v/>
      </c>
      <c r="AI390" s="366"/>
      <c r="AL390" s="367"/>
      <c r="AO390" s="367"/>
      <c r="AP390" s="2" t="str">
        <f aca="false">IF(AT390&gt;0,RANK(AT390,AT$7:AT$423),"")</f>
        <v/>
      </c>
      <c r="AQ390" s="1475" t="n">
        <f aca="false">'O_MN, PE_UTA_UGM 2024'!C387</f>
        <v>0</v>
      </c>
      <c r="AR390" s="1421" t="n">
        <v>4610</v>
      </c>
      <c r="AS390" s="2" t="str">
        <f aca="false">IF(AY390&lt;&gt;"",AY390,"")</f>
        <v/>
      </c>
      <c r="AT390" s="1422" t="n">
        <f aca="false">IF(ISNUMBER($AR390),SUMIF(B$7:B$505,AR390,D$7:D$505),"")</f>
        <v>0</v>
      </c>
      <c r="AU390" s="1411" t="n">
        <f aca="false">IF(ISNUMBER($AR390),SUMIF(AD$7:AD$503,$AR390,J$7:J$503),"")</f>
        <v>0</v>
      </c>
      <c r="AV390" s="1411" t="n">
        <f aca="false">IF(ISNUMBER($AR390),SUMIF(AF$7:AF$503,$AR390,L$7:L$503),"")</f>
        <v>0</v>
      </c>
      <c r="AW390" s="1423" t="n">
        <f aca="false">IF(ISNUMBER($AR390),SUMIF(AE$7:AE$503,$AR390,K$7:K$503),"")</f>
        <v>0</v>
      </c>
      <c r="AX390" s="1423" t="n">
        <f aca="false">IF(ISNUMBER($AR390),SUMIF(AG$7:AG$503,$AR390,M$7:M$503),"")</f>
        <v>0</v>
      </c>
      <c r="AY390" s="2" t="str">
        <f aca="false">IF($AT390&gt;0,VLOOKUP($AR390,'O_MN, PE_UTA_UGM 2024'!E387:O802,2),"")</f>
        <v/>
      </c>
      <c r="AZ390" s="1424"/>
      <c r="BA390" s="1424"/>
      <c r="BB390" s="1424" t="str">
        <f aca="false">IF($AT390&gt;0,VLOOKUP($AR390,'O_MN, PE_UTA_UGM 2024'!$E$3:$O$419,BB$6),"")</f>
        <v/>
      </c>
      <c r="BC390" s="1424" t="str">
        <f aca="false">IF($AT390&gt;0,VLOOKUP($AR390,'O_MN, PE_UTA_UGM 2024'!$E$3:$O$419,BC$6),"")</f>
        <v/>
      </c>
      <c r="BD390" s="1424" t="str">
        <f aca="false">IF($AT390&gt;0,VLOOKUP($AR390,'O_MN, PE_UTA_UGM 2024'!$E$3:$O$419,BD$6),"")</f>
        <v/>
      </c>
      <c r="BE390" s="1424" t="str">
        <f aca="false">IF($AT390&gt;0,VLOOKUP($AR390,'O_MN, PE_UTA_UGM 2024'!$E$3:$O$419,BE$6),"")</f>
        <v/>
      </c>
      <c r="BF390" s="1424" t="str">
        <f aca="false">IF($AT390&gt;0,VLOOKUP($AR390,'O_MN, PE_UTA_UGM 2024'!$E$3:$O$419,BF$6),"")</f>
        <v/>
      </c>
      <c r="BG390" s="1424" t="str">
        <f aca="false">IF($AT390&gt;0,VLOOKUP($AR390,'O_MN, PE_UTA_UGM 2024'!$E$3:$O$419,BG$6),"")</f>
        <v/>
      </c>
      <c r="BH390" s="872"/>
      <c r="BI390" s="872"/>
      <c r="BJ390" s="872"/>
      <c r="BK390" s="872"/>
      <c r="BM390" s="1411"/>
      <c r="BN390" s="1411"/>
      <c r="BO390" s="1425" t="str">
        <f aca="false">IF(ISNUMBER($AU390*BB390*1),$AU390*BB390*1,"")</f>
        <v/>
      </c>
      <c r="BP390" s="1425" t="str">
        <f aca="false">IF(ISNUMBER($AV390*BC390*1),$AV390*BC390*1,"")</f>
        <v/>
      </c>
      <c r="BQ390" s="1425" t="str">
        <f aca="false">IF(ISNUMBER($AU390*BD390*1),$AU390*BD390*1,"")</f>
        <v/>
      </c>
      <c r="BR390" s="1425" t="str">
        <f aca="false">IF(ISNUMBER($AV390*BE390*1),$AV390*BE390*1,"")</f>
        <v/>
      </c>
      <c r="BS390" s="1411" t="str">
        <f aca="false">IF(ISNUMBER($AU390*BF390),$AU390*BF390,"")</f>
        <v/>
      </c>
      <c r="BT390" s="1411" t="str">
        <f aca="false">IF(ISNUMBER($AV390*BG390),$AV390*BG390,"")</f>
        <v/>
      </c>
      <c r="BU390" s="1411"/>
      <c r="BV390" s="1411"/>
      <c r="BW390" s="1411"/>
      <c r="BX390" s="1411"/>
      <c r="BZ390" s="1372"/>
      <c r="CA390" s="1372"/>
      <c r="CB390" s="1426" t="str">
        <f aca="false">IF(ISNUMBER($AW390*BB390),$AW390*BB390,"")</f>
        <v/>
      </c>
      <c r="CC390" s="1426" t="str">
        <f aca="false">IF(ISNUMBER($AX390*BC390),$AX390*BC390,"")</f>
        <v/>
      </c>
      <c r="CD390" s="1426" t="str">
        <f aca="false">IF(ISNUMBER($AW390*BD390),$AW390*BD390,"")</f>
        <v/>
      </c>
      <c r="CE390" s="1426" t="str">
        <f aca="false">IF(ISNUMBER($AX390*BE390),$AX390*BE390,"")</f>
        <v/>
      </c>
      <c r="CF390" s="1372" t="str">
        <f aca="false">IF(ISNUMBER($AW390*BF390),$AW390*BF390,"")</f>
        <v/>
      </c>
      <c r="CG390" s="1372" t="str">
        <f aca="false">IF(ISNUMBER($AX390*BG390),$AX390*BG390,"")</f>
        <v/>
      </c>
      <c r="CH390" s="1438"/>
      <c r="CI390" s="1438"/>
      <c r="CJ390" s="1438"/>
      <c r="CK390" s="1438"/>
      <c r="CU390" s="1411"/>
      <c r="CV390" s="1411"/>
      <c r="CW390" s="1425"/>
      <c r="CX390" s="1425"/>
      <c r="CY390" s="1425"/>
      <c r="CZ390" s="1425"/>
      <c r="DA390" s="1411"/>
      <c r="DB390" s="1411"/>
      <c r="DC390" s="1411"/>
      <c r="DD390" s="1411"/>
      <c r="DE390" s="1411"/>
      <c r="DF390" s="1411"/>
      <c r="DH390" s="1432"/>
      <c r="DI390" s="1432"/>
      <c r="DJ390" s="1437"/>
      <c r="DK390" s="1437"/>
      <c r="DL390" s="1437"/>
      <c r="DM390" s="1437"/>
      <c r="DN390" s="1432"/>
      <c r="DO390" s="1432"/>
      <c r="DP390" s="1432"/>
      <c r="DQ390" s="1432"/>
      <c r="DR390" s="1432"/>
      <c r="DS390" s="1432"/>
      <c r="DT390" s="1316"/>
      <c r="DU390" s="1433"/>
      <c r="DV390" s="1433"/>
      <c r="DW390" s="1433"/>
      <c r="DX390" s="1433"/>
      <c r="DY390" s="1433"/>
      <c r="DZ390" s="1433"/>
      <c r="EA390" s="1433"/>
      <c r="EB390" s="1433"/>
    </row>
    <row r="391" customFormat="false" ht="14.25" hidden="false" customHeight="false" outlineLevel="0" collapsed="false">
      <c r="A391" s="2" t="n">
        <f aca="false">'V_DATOS PAC_SGA'!R386</f>
        <v>0</v>
      </c>
      <c r="B391" s="2" t="n">
        <f aca="false">IF(I391="IV",CONCATENATE('V_DATOS PAC_SGA'!R386,"4")+0,CONCATENATE('V_DATOS PAC_SGA'!R386,"0")+0)</f>
        <v>0</v>
      </c>
      <c r="C391" s="2" t="n">
        <f aca="false">'V_DATOS PAC_SGA'!S386</f>
        <v>0</v>
      </c>
      <c r="D391" s="1409" t="n">
        <f aca="false">'V_DATOS PAC_SGA'!Y386</f>
        <v>0</v>
      </c>
      <c r="E391" s="1410" t="str">
        <f aca="false">IF('V_DATOS PAC_SGA'!AV386="","Regadio",'V_DATOS PAC_SGA'!AV386)</f>
        <v>Regadio</v>
      </c>
      <c r="F391" s="1411" t="n">
        <f aca="false">'V_DATOS PAC_SGA'!BK386</f>
        <v>0</v>
      </c>
      <c r="G391" s="1412" t="n">
        <f aca="false">'V_DATOS PAC_SGA'!AN386</f>
        <v>0</v>
      </c>
      <c r="H391" s="1413" t="str">
        <f aca="false">IF(B391&gt;0,VLOOKUP(B391,'O_MN, PE_UTA_UGM 2024'!E$3:O$419,10),"")</f>
        <v/>
      </c>
      <c r="I391" s="1359" t="n">
        <f aca="false">'V_DATOS PAC_SGA'!BV386</f>
        <v>0</v>
      </c>
      <c r="J391" s="2" t="str">
        <f aca="false">IF(AND(J$4=$G391,J$6=$F391),$D391*J$5,"")</f>
        <v/>
      </c>
      <c r="K391" s="2" t="str">
        <f aca="false">IF(AND(K$4=$G391,K$6=$F391),$D391*K$5,"")</f>
        <v/>
      </c>
      <c r="L391" s="2" t="str">
        <f aca="false">IF(AND(L$4=$G391,L$6=$F391),$D391*L$5,"")</f>
        <v/>
      </c>
      <c r="M391" s="2" t="str">
        <f aca="false">IF(AND(M$4=$G391,M$6=$F391),$D391*M$5,"")</f>
        <v/>
      </c>
      <c r="N391" s="1414" t="n">
        <f aca="false">VLOOKUP(B391,'O_MN, PE_UTA_UGM 2024'!$E$2:$K$419,IF(G391&gt;1,6,7))</f>
        <v>0</v>
      </c>
      <c r="O391" s="1434" t="str">
        <f aca="false">IF($H391=O$4,$D391*$N391,"")</f>
        <v/>
      </c>
      <c r="P391" s="1435" t="str">
        <f aca="false">IF($H391=P$4,$D391*$N391,"")</f>
        <v/>
      </c>
      <c r="Q391" s="1435" t="str">
        <f aca="false">IF($H391=Q$4,$D391*$N391,"")</f>
        <v/>
      </c>
      <c r="R391" s="1435" t="str">
        <f aca="false">IF($H391=R$4,$D391*$N391,"")</f>
        <v/>
      </c>
      <c r="S391" s="1435" t="str">
        <f aca="false">IF($H391=S$4,$D391*$N391,"")</f>
        <v/>
      </c>
      <c r="T391" s="1435" t="str">
        <f aca="false">IF($H391=T$4,$D391*$N391,"")</f>
        <v/>
      </c>
      <c r="U391" s="1436" t="str">
        <f aca="false">IF($H391=U$4,$D391*$N391,"")</f>
        <v/>
      </c>
      <c r="V391" s="1472"/>
      <c r="W391" s="1471"/>
      <c r="X391" s="1471"/>
      <c r="Y391" s="1471"/>
      <c r="Z391" s="1471"/>
      <c r="AA391" s="1471"/>
      <c r="AB391" s="1473"/>
      <c r="AC391" s="1319"/>
      <c r="AD391" s="2" t="str">
        <f aca="false">IF(AND(AD$4=$G391,AD$6=$F391),$B391,"")</f>
        <v/>
      </c>
      <c r="AE391" s="2" t="str">
        <f aca="false">IF(AND(AE$4=$G391,AE$6=$F391),$B391,"")</f>
        <v/>
      </c>
      <c r="AF391" s="2" t="str">
        <f aca="false">IF(AND(AF$4=$G391,AF$6=$F391),$B391,"")</f>
        <v/>
      </c>
      <c r="AG391" s="2" t="str">
        <f aca="false">IF(AND(AG$4=$G391,AG$6=$F391),$B391,"")</f>
        <v/>
      </c>
      <c r="AI391" s="366"/>
      <c r="AL391" s="367"/>
      <c r="AO391" s="367"/>
      <c r="AP391" s="2" t="str">
        <f aca="false">IF(AT391&gt;0,RANK(AT391,AT$7:AT$423),"")</f>
        <v/>
      </c>
      <c r="AQ391" s="1475" t="n">
        <f aca="false">'O_MN, PE_UTA_UGM 2024'!C388</f>
        <v>0</v>
      </c>
      <c r="AR391" s="1421" t="n">
        <v>4640</v>
      </c>
      <c r="AS391" s="2" t="str">
        <f aca="false">IF(AY391&lt;&gt;"",AY391,"")</f>
        <v/>
      </c>
      <c r="AT391" s="1422" t="n">
        <f aca="false">IF(ISNUMBER($AR391),SUMIF(B$7:B$505,AR391,D$7:D$505),"")</f>
        <v>0</v>
      </c>
      <c r="AU391" s="1411" t="n">
        <f aca="false">IF(ISNUMBER($AR391),SUMIF(AD$7:AD$503,$AR391,J$7:J$503),"")</f>
        <v>0</v>
      </c>
      <c r="AV391" s="1411" t="n">
        <f aca="false">IF(ISNUMBER($AR391),SUMIF(AF$7:AF$503,$AR391,L$7:L$503),"")</f>
        <v>0</v>
      </c>
      <c r="AW391" s="1423" t="n">
        <f aca="false">IF(ISNUMBER($AR391),SUMIF(AE$7:AE$503,$AR391,K$7:K$503),"")</f>
        <v>0</v>
      </c>
      <c r="AX391" s="1423" t="n">
        <f aca="false">IF(ISNUMBER($AR391),SUMIF(AG$7:AG$503,$AR391,M$7:M$503),"")</f>
        <v>0</v>
      </c>
      <c r="AY391" s="2" t="str">
        <f aca="false">IF($AT391&gt;0,VLOOKUP($AR391,'O_MN, PE_UTA_UGM 2024'!E388:O803,2),"")</f>
        <v/>
      </c>
      <c r="AZ391" s="1424"/>
      <c r="BA391" s="1424"/>
      <c r="BB391" s="1424" t="str">
        <f aca="false">IF($AT391&gt;0,VLOOKUP($AR391,'O_MN, PE_UTA_UGM 2024'!$E$3:$O$419,BB$6),"")</f>
        <v/>
      </c>
      <c r="BC391" s="1424" t="str">
        <f aca="false">IF($AT391&gt;0,VLOOKUP($AR391,'O_MN, PE_UTA_UGM 2024'!$E$3:$O$419,BC$6),"")</f>
        <v/>
      </c>
      <c r="BD391" s="1424" t="str">
        <f aca="false">IF($AT391&gt;0,VLOOKUP($AR391,'O_MN, PE_UTA_UGM 2024'!$E$3:$O$419,BD$6),"")</f>
        <v/>
      </c>
      <c r="BE391" s="1424" t="str">
        <f aca="false">IF($AT391&gt;0,VLOOKUP($AR391,'O_MN, PE_UTA_UGM 2024'!$E$3:$O$419,BE$6),"")</f>
        <v/>
      </c>
      <c r="BF391" s="1424" t="str">
        <f aca="false">IF($AT391&gt;0,VLOOKUP($AR391,'O_MN, PE_UTA_UGM 2024'!$E$3:$O$419,BF$6),"")</f>
        <v/>
      </c>
      <c r="BG391" s="1424" t="str">
        <f aca="false">IF($AT391&gt;0,VLOOKUP($AR391,'O_MN, PE_UTA_UGM 2024'!$E$3:$O$419,BG$6),"")</f>
        <v/>
      </c>
      <c r="BH391" s="872"/>
      <c r="BI391" s="872"/>
      <c r="BJ391" s="872"/>
      <c r="BK391" s="872"/>
      <c r="BM391" s="1411"/>
      <c r="BN391" s="1411"/>
      <c r="BO391" s="1425" t="str">
        <f aca="false">IF(ISNUMBER($AU391*BB391*1),$AU391*BB391*1,"")</f>
        <v/>
      </c>
      <c r="BP391" s="1425" t="str">
        <f aca="false">IF(ISNUMBER($AV391*BC391*1),$AV391*BC391*1,"")</f>
        <v/>
      </c>
      <c r="BQ391" s="1425" t="str">
        <f aca="false">IF(ISNUMBER($AU391*BD391*1),$AU391*BD391*1,"")</f>
        <v/>
      </c>
      <c r="BR391" s="1425" t="str">
        <f aca="false">IF(ISNUMBER($AV391*BE391*1),$AV391*BE391*1,"")</f>
        <v/>
      </c>
      <c r="BS391" s="1411" t="str">
        <f aca="false">IF(ISNUMBER($AU391*BF391),$AU391*BF391,"")</f>
        <v/>
      </c>
      <c r="BT391" s="1411" t="str">
        <f aca="false">IF(ISNUMBER($AV391*BG391),$AV391*BG391,"")</f>
        <v/>
      </c>
      <c r="BU391" s="1411"/>
      <c r="BV391" s="1411"/>
      <c r="BW391" s="1411"/>
      <c r="BX391" s="1411"/>
      <c r="BZ391" s="1372"/>
      <c r="CA391" s="1372"/>
      <c r="CB391" s="1426" t="str">
        <f aca="false">IF(ISNUMBER($AW391*BB391),$AW391*BB391,"")</f>
        <v/>
      </c>
      <c r="CC391" s="1426" t="str">
        <f aca="false">IF(ISNUMBER($AX391*BC391),$AX391*BC391,"")</f>
        <v/>
      </c>
      <c r="CD391" s="1426" t="str">
        <f aca="false">IF(ISNUMBER($AW391*BD391),$AW391*BD391,"")</f>
        <v/>
      </c>
      <c r="CE391" s="1426" t="str">
        <f aca="false">IF(ISNUMBER($AX391*BE391),$AX391*BE391,"")</f>
        <v/>
      </c>
      <c r="CF391" s="1372" t="str">
        <f aca="false">IF(ISNUMBER($AW391*BF391),$AW391*BF391,"")</f>
        <v/>
      </c>
      <c r="CG391" s="1372" t="str">
        <f aca="false">IF(ISNUMBER($AX391*BG391),$AX391*BG391,"")</f>
        <v/>
      </c>
      <c r="CH391" s="1438"/>
      <c r="CI391" s="1438"/>
      <c r="CJ391" s="1438"/>
      <c r="CK391" s="1438"/>
      <c r="CU391" s="1411"/>
      <c r="CV391" s="1411"/>
      <c r="CW391" s="1425"/>
      <c r="CX391" s="1425"/>
      <c r="CY391" s="1425"/>
      <c r="CZ391" s="1425"/>
      <c r="DA391" s="1411"/>
      <c r="DB391" s="1411"/>
      <c r="DC391" s="1411"/>
      <c r="DD391" s="1411"/>
      <c r="DE391" s="1411"/>
      <c r="DF391" s="1411"/>
      <c r="DH391" s="1432"/>
      <c r="DI391" s="1432"/>
      <c r="DJ391" s="1437"/>
      <c r="DK391" s="1437"/>
      <c r="DL391" s="1437"/>
      <c r="DM391" s="1437"/>
      <c r="DN391" s="1432"/>
      <c r="DO391" s="1432"/>
      <c r="DP391" s="1432"/>
      <c r="DQ391" s="1432"/>
      <c r="DR391" s="1432"/>
      <c r="DS391" s="1432"/>
      <c r="DT391" s="1316"/>
      <c r="DU391" s="1433"/>
      <c r="DV391" s="1433"/>
      <c r="DW391" s="1433"/>
      <c r="DX391" s="1433"/>
      <c r="DY391" s="1433"/>
      <c r="DZ391" s="1433"/>
      <c r="EA391" s="1433"/>
      <c r="EB391" s="1433"/>
    </row>
    <row r="392" customFormat="false" ht="14.25" hidden="false" customHeight="false" outlineLevel="0" collapsed="false">
      <c r="A392" s="2" t="n">
        <f aca="false">'V_DATOS PAC_SGA'!R387</f>
        <v>0</v>
      </c>
      <c r="B392" s="2" t="n">
        <f aca="false">IF(I392="IV",CONCATENATE('V_DATOS PAC_SGA'!R387,"4")+0,CONCATENATE('V_DATOS PAC_SGA'!R387,"0")+0)</f>
        <v>0</v>
      </c>
      <c r="C392" s="2" t="n">
        <f aca="false">'V_DATOS PAC_SGA'!S387</f>
        <v>0</v>
      </c>
      <c r="D392" s="1409" t="n">
        <f aca="false">'V_DATOS PAC_SGA'!Y387</f>
        <v>0</v>
      </c>
      <c r="E392" s="1410" t="str">
        <f aca="false">IF('V_DATOS PAC_SGA'!AV387="","Regadio",'V_DATOS PAC_SGA'!AV387)</f>
        <v>Regadio</v>
      </c>
      <c r="F392" s="1411" t="n">
        <f aca="false">'V_DATOS PAC_SGA'!BK387</f>
        <v>0</v>
      </c>
      <c r="G392" s="1412" t="n">
        <f aca="false">'V_DATOS PAC_SGA'!AN387</f>
        <v>0</v>
      </c>
      <c r="H392" s="1413" t="str">
        <f aca="false">IF(B392&gt;0,VLOOKUP(B392,'O_MN, PE_UTA_UGM 2024'!E$3:O$419,10),"")</f>
        <v/>
      </c>
      <c r="I392" s="1359" t="n">
        <f aca="false">'V_DATOS PAC_SGA'!BV387</f>
        <v>0</v>
      </c>
      <c r="J392" s="2" t="str">
        <f aca="false">IF(AND(J$4=$G392,J$6=$F392),$D392*J$5,"")</f>
        <v/>
      </c>
      <c r="K392" s="2" t="str">
        <f aca="false">IF(AND(K$4=$G392,K$6=$F392),$D392*K$5,"")</f>
        <v/>
      </c>
      <c r="L392" s="2" t="str">
        <f aca="false">IF(AND(L$4=$G392,L$6=$F392),$D392*L$5,"")</f>
        <v/>
      </c>
      <c r="M392" s="2" t="str">
        <f aca="false">IF(AND(M$4=$G392,M$6=$F392),$D392*M$5,"")</f>
        <v/>
      </c>
      <c r="N392" s="1414" t="n">
        <f aca="false">VLOOKUP(B392,'O_MN, PE_UTA_UGM 2024'!$E$2:$K$419,IF(G392&gt;1,6,7))</f>
        <v>0</v>
      </c>
      <c r="O392" s="1434" t="str">
        <f aca="false">IF($H392=O$4,$D392*$N392,"")</f>
        <v/>
      </c>
      <c r="P392" s="1435" t="str">
        <f aca="false">IF($H392=P$4,$D392*$N392,"")</f>
        <v/>
      </c>
      <c r="Q392" s="1435" t="str">
        <f aca="false">IF($H392=Q$4,$D392*$N392,"")</f>
        <v/>
      </c>
      <c r="R392" s="1435" t="str">
        <f aca="false">IF($H392=R$4,$D392*$N392,"")</f>
        <v/>
      </c>
      <c r="S392" s="1435" t="str">
        <f aca="false">IF($H392=S$4,$D392*$N392,"")</f>
        <v/>
      </c>
      <c r="T392" s="1435" t="str">
        <f aca="false">IF($H392=T$4,$D392*$N392,"")</f>
        <v/>
      </c>
      <c r="U392" s="1436" t="str">
        <f aca="false">IF($H392=U$4,$D392*$N392,"")</f>
        <v/>
      </c>
      <c r="V392" s="1472"/>
      <c r="W392" s="1471"/>
      <c r="X392" s="1471"/>
      <c r="Y392" s="1471"/>
      <c r="Z392" s="1471"/>
      <c r="AA392" s="1471"/>
      <c r="AB392" s="1473"/>
      <c r="AC392" s="1319"/>
      <c r="AD392" s="2" t="str">
        <f aca="false">IF(AND(AD$4=$G392,AD$6=$F392),$B392,"")</f>
        <v/>
      </c>
      <c r="AE392" s="2" t="str">
        <f aca="false">IF(AND(AE$4=$G392,AE$6=$F392),$B392,"")</f>
        <v/>
      </c>
      <c r="AF392" s="2" t="str">
        <f aca="false">IF(AND(AF$4=$G392,AF$6=$F392),$B392,"")</f>
        <v/>
      </c>
      <c r="AG392" s="2" t="str">
        <f aca="false">IF(AND(AG$4=$G392,AG$6=$F392),$B392,"")</f>
        <v/>
      </c>
      <c r="AI392" s="366"/>
      <c r="AL392" s="367"/>
      <c r="AO392" s="367"/>
      <c r="AP392" s="2" t="str">
        <f aca="false">IF(AT392&gt;0,RANK(AT392,AT$7:AT$423),"")</f>
        <v/>
      </c>
      <c r="AQ392" s="1475" t="n">
        <f aca="false">'O_MN, PE_UTA_UGM 2024'!C389</f>
        <v>0</v>
      </c>
      <c r="AR392" s="1421" t="n">
        <v>4650</v>
      </c>
      <c r="AS392" s="2" t="str">
        <f aca="false">IF(AY392&lt;&gt;"",AY392,"")</f>
        <v/>
      </c>
      <c r="AT392" s="1422" t="n">
        <f aca="false">IF(ISNUMBER($AR392),SUMIF(B$7:B$505,AR392,D$7:D$505),"")</f>
        <v>0</v>
      </c>
      <c r="AU392" s="1411" t="n">
        <f aca="false">IF(ISNUMBER($AR392),SUMIF(AD$7:AD$503,$AR392,J$7:J$503),"")</f>
        <v>0</v>
      </c>
      <c r="AV392" s="1411" t="n">
        <f aca="false">IF(ISNUMBER($AR392),SUMIF(AF$7:AF$503,$AR392,L$7:L$503),"")</f>
        <v>0</v>
      </c>
      <c r="AW392" s="1423" t="n">
        <f aca="false">IF(ISNUMBER($AR392),SUMIF(AE$7:AE$503,$AR392,K$7:K$503),"")</f>
        <v>0</v>
      </c>
      <c r="AX392" s="1423" t="n">
        <f aca="false">IF(ISNUMBER($AR392),SUMIF(AG$7:AG$503,$AR392,M$7:M$503),"")</f>
        <v>0</v>
      </c>
      <c r="AY392" s="2" t="str">
        <f aca="false">IF($AT392&gt;0,VLOOKUP($AR392,'O_MN, PE_UTA_UGM 2024'!E389:O804,2),"")</f>
        <v/>
      </c>
      <c r="AZ392" s="1424"/>
      <c r="BA392" s="1424"/>
      <c r="BB392" s="1424" t="str">
        <f aca="false">IF($AT392&gt;0,VLOOKUP($AR392,'O_MN, PE_UTA_UGM 2024'!$E$3:$O$419,BB$6),"")</f>
        <v/>
      </c>
      <c r="BC392" s="1424" t="str">
        <f aca="false">IF($AT392&gt;0,VLOOKUP($AR392,'O_MN, PE_UTA_UGM 2024'!$E$3:$O$419,BC$6),"")</f>
        <v/>
      </c>
      <c r="BD392" s="1424" t="str">
        <f aca="false">IF($AT392&gt;0,VLOOKUP($AR392,'O_MN, PE_UTA_UGM 2024'!$E$3:$O$419,BD$6),"")</f>
        <v/>
      </c>
      <c r="BE392" s="1424" t="str">
        <f aca="false">IF($AT392&gt;0,VLOOKUP($AR392,'O_MN, PE_UTA_UGM 2024'!$E$3:$O$419,BE$6),"")</f>
        <v/>
      </c>
      <c r="BF392" s="1424" t="str">
        <f aca="false">IF($AT392&gt;0,VLOOKUP($AR392,'O_MN, PE_UTA_UGM 2024'!$E$3:$O$419,BF$6),"")</f>
        <v/>
      </c>
      <c r="BG392" s="1424" t="str">
        <f aca="false">IF($AT392&gt;0,VLOOKUP($AR392,'O_MN, PE_UTA_UGM 2024'!$E$3:$O$419,BG$6),"")</f>
        <v/>
      </c>
      <c r="BH392" s="872"/>
      <c r="BI392" s="872"/>
      <c r="BJ392" s="872"/>
      <c r="BK392" s="872"/>
      <c r="BM392" s="1411"/>
      <c r="BN392" s="1411"/>
      <c r="BO392" s="1425" t="str">
        <f aca="false">IF(ISNUMBER($AU392*BB392*1),$AU392*BB392*1,"")</f>
        <v/>
      </c>
      <c r="BP392" s="1425" t="str">
        <f aca="false">IF(ISNUMBER($AV392*BC392*1),$AV392*BC392*1,"")</f>
        <v/>
      </c>
      <c r="BQ392" s="1425" t="str">
        <f aca="false">IF(ISNUMBER($AU392*BD392*1),$AU392*BD392*1,"")</f>
        <v/>
      </c>
      <c r="BR392" s="1425" t="str">
        <f aca="false">IF(ISNUMBER($AV392*BE392*1),$AV392*BE392*1,"")</f>
        <v/>
      </c>
      <c r="BS392" s="1411" t="str">
        <f aca="false">IF(ISNUMBER($AU392*BF392),$AU392*BF392,"")</f>
        <v/>
      </c>
      <c r="BT392" s="1411" t="str">
        <f aca="false">IF(ISNUMBER($AV392*BG392),$AV392*BG392,"")</f>
        <v/>
      </c>
      <c r="BU392" s="1411"/>
      <c r="BV392" s="1411"/>
      <c r="BW392" s="1411"/>
      <c r="BX392" s="1411"/>
      <c r="BZ392" s="1372"/>
      <c r="CA392" s="1372"/>
      <c r="CB392" s="1426" t="str">
        <f aca="false">IF(ISNUMBER($AW392*BB392),$AW392*BB392,"")</f>
        <v/>
      </c>
      <c r="CC392" s="1426" t="str">
        <f aca="false">IF(ISNUMBER($AX392*BC392),$AX392*BC392,"")</f>
        <v/>
      </c>
      <c r="CD392" s="1426" t="str">
        <f aca="false">IF(ISNUMBER($AW392*BD392),$AW392*BD392,"")</f>
        <v/>
      </c>
      <c r="CE392" s="1426" t="str">
        <f aca="false">IF(ISNUMBER($AX392*BE392),$AX392*BE392,"")</f>
        <v/>
      </c>
      <c r="CF392" s="1372" t="str">
        <f aca="false">IF(ISNUMBER($AW392*BF392),$AW392*BF392,"")</f>
        <v/>
      </c>
      <c r="CG392" s="1372" t="str">
        <f aca="false">IF(ISNUMBER($AX392*BG392),$AX392*BG392,"")</f>
        <v/>
      </c>
      <c r="CH392" s="1438"/>
      <c r="CI392" s="1438"/>
      <c r="CJ392" s="1438"/>
      <c r="CK392" s="1438"/>
      <c r="CU392" s="1411"/>
      <c r="CV392" s="1411"/>
      <c r="CW392" s="1425"/>
      <c r="CX392" s="1425"/>
      <c r="CY392" s="1425"/>
      <c r="CZ392" s="1425"/>
      <c r="DA392" s="1411"/>
      <c r="DB392" s="1411"/>
      <c r="DC392" s="1411"/>
      <c r="DD392" s="1411"/>
      <c r="DE392" s="1411"/>
      <c r="DF392" s="1411"/>
      <c r="DH392" s="1432"/>
      <c r="DI392" s="1432"/>
      <c r="DJ392" s="1437"/>
      <c r="DK392" s="1437"/>
      <c r="DL392" s="1437"/>
      <c r="DM392" s="1437"/>
      <c r="DN392" s="1432"/>
      <c r="DO392" s="1432"/>
      <c r="DP392" s="1432"/>
      <c r="DQ392" s="1432"/>
      <c r="DR392" s="1432"/>
      <c r="DS392" s="1432"/>
      <c r="DT392" s="1316"/>
      <c r="DU392" s="1433"/>
      <c r="DV392" s="1433"/>
      <c r="DW392" s="1433"/>
      <c r="DX392" s="1433"/>
      <c r="DY392" s="1433"/>
      <c r="DZ392" s="1433"/>
      <c r="EA392" s="1433"/>
      <c r="EB392" s="1433"/>
    </row>
    <row r="393" customFormat="false" ht="14.25" hidden="false" customHeight="false" outlineLevel="0" collapsed="false">
      <c r="A393" s="2" t="n">
        <f aca="false">'V_DATOS PAC_SGA'!R388</f>
        <v>0</v>
      </c>
      <c r="B393" s="2" t="n">
        <f aca="false">IF(I393="IV",CONCATENATE('V_DATOS PAC_SGA'!R388,"4")+0,CONCATENATE('V_DATOS PAC_SGA'!R388,"0")+0)</f>
        <v>0</v>
      </c>
      <c r="C393" s="2" t="n">
        <f aca="false">'V_DATOS PAC_SGA'!S388</f>
        <v>0</v>
      </c>
      <c r="D393" s="1409" t="n">
        <f aca="false">'V_DATOS PAC_SGA'!Y388</f>
        <v>0</v>
      </c>
      <c r="E393" s="1410" t="str">
        <f aca="false">IF('V_DATOS PAC_SGA'!AV388="","Regadio",'V_DATOS PAC_SGA'!AV388)</f>
        <v>Regadio</v>
      </c>
      <c r="F393" s="1411" t="n">
        <f aca="false">'V_DATOS PAC_SGA'!BK388</f>
        <v>0</v>
      </c>
      <c r="G393" s="1412" t="n">
        <f aca="false">'V_DATOS PAC_SGA'!AN388</f>
        <v>0</v>
      </c>
      <c r="H393" s="1413" t="str">
        <f aca="false">IF(B393&gt;0,VLOOKUP(B393,'O_MN, PE_UTA_UGM 2024'!E$3:O$419,10),"")</f>
        <v/>
      </c>
      <c r="I393" s="1359" t="n">
        <f aca="false">'V_DATOS PAC_SGA'!BV388</f>
        <v>0</v>
      </c>
      <c r="J393" s="2" t="str">
        <f aca="false">IF(AND(J$4=$G393,J$6=$F393),$D393*J$5,"")</f>
        <v/>
      </c>
      <c r="K393" s="2" t="str">
        <f aca="false">IF(AND(K$4=$G393,K$6=$F393),$D393*K$5,"")</f>
        <v/>
      </c>
      <c r="L393" s="2" t="str">
        <f aca="false">IF(AND(L$4=$G393,L$6=$F393),$D393*L$5,"")</f>
        <v/>
      </c>
      <c r="M393" s="2" t="str">
        <f aca="false">IF(AND(M$4=$G393,M$6=$F393),$D393*M$5,"")</f>
        <v/>
      </c>
      <c r="N393" s="1414" t="n">
        <f aca="false">VLOOKUP(B393,'O_MN, PE_UTA_UGM 2024'!$E$2:$K$419,IF(G393&gt;1,6,7))</f>
        <v>0</v>
      </c>
      <c r="O393" s="1434" t="str">
        <f aca="false">IF($H393=O$4,$D393*$N393,"")</f>
        <v/>
      </c>
      <c r="P393" s="1435" t="str">
        <f aca="false">IF($H393=P$4,$D393*$N393,"")</f>
        <v/>
      </c>
      <c r="Q393" s="1435" t="str">
        <f aca="false">IF($H393=Q$4,$D393*$N393,"")</f>
        <v/>
      </c>
      <c r="R393" s="1435" t="str">
        <f aca="false">IF($H393=R$4,$D393*$N393,"")</f>
        <v/>
      </c>
      <c r="S393" s="1435" t="str">
        <f aca="false">IF($H393=S$4,$D393*$N393,"")</f>
        <v/>
      </c>
      <c r="T393" s="1435" t="str">
        <f aca="false">IF($H393=T$4,$D393*$N393,"")</f>
        <v/>
      </c>
      <c r="U393" s="1436" t="str">
        <f aca="false">IF($H393=U$4,$D393*$N393,"")</f>
        <v/>
      </c>
      <c r="V393" s="1472"/>
      <c r="W393" s="1471"/>
      <c r="X393" s="1471"/>
      <c r="Y393" s="1471"/>
      <c r="Z393" s="1471"/>
      <c r="AA393" s="1471"/>
      <c r="AB393" s="1473"/>
      <c r="AC393" s="1319"/>
      <c r="AD393" s="2" t="str">
        <f aca="false">IF(AND(AD$4=$G393,AD$6=$F393),$B393,"")</f>
        <v/>
      </c>
      <c r="AE393" s="2" t="str">
        <f aca="false">IF(AND(AE$4=$G393,AE$6=$F393),$B393,"")</f>
        <v/>
      </c>
      <c r="AF393" s="2" t="str">
        <f aca="false">IF(AND(AF$4=$G393,AF$6=$F393),$B393,"")</f>
        <v/>
      </c>
      <c r="AG393" s="2" t="str">
        <f aca="false">IF(AND(AG$4=$G393,AG$6=$F393),$B393,"")</f>
        <v/>
      </c>
      <c r="AI393" s="366"/>
      <c r="AL393" s="367"/>
      <c r="AO393" s="367"/>
      <c r="AP393" s="2" t="str">
        <f aca="false">IF(AT393&gt;0,RANK(AT393,AT$7:AT$423),"")</f>
        <v/>
      </c>
      <c r="AQ393" s="1475" t="n">
        <f aca="false">'O_MN, PE_UTA_UGM 2024'!C390</f>
        <v>0</v>
      </c>
      <c r="AR393" s="1421" t="n">
        <v>4700</v>
      </c>
      <c r="AS393" s="2" t="str">
        <f aca="false">IF(AY393&lt;&gt;"",AY393,"")</f>
        <v/>
      </c>
      <c r="AT393" s="1422" t="n">
        <f aca="false">IF(ISNUMBER($AR393),SUMIF(B$7:B$505,AR393,D$7:D$505),"")</f>
        <v>0</v>
      </c>
      <c r="AU393" s="1411" t="n">
        <f aca="false">IF(ISNUMBER($AR393),SUMIF(AD$7:AD$503,$AR393,J$7:J$503),"")</f>
        <v>0</v>
      </c>
      <c r="AV393" s="1411" t="n">
        <f aca="false">IF(ISNUMBER($AR393),SUMIF(AF$7:AF$503,$AR393,L$7:L$503),"")</f>
        <v>0</v>
      </c>
      <c r="AW393" s="1423" t="n">
        <f aca="false">IF(ISNUMBER($AR393),SUMIF(AE$7:AE$503,$AR393,K$7:K$503),"")</f>
        <v>0</v>
      </c>
      <c r="AX393" s="1423" t="n">
        <f aca="false">IF(ISNUMBER($AR393),SUMIF(AG$7:AG$503,$AR393,M$7:M$503),"")</f>
        <v>0</v>
      </c>
      <c r="AY393" s="2" t="str">
        <f aca="false">IF($AT393&gt;0,VLOOKUP($AR393,'O_MN, PE_UTA_UGM 2024'!E390:O805,2),"")</f>
        <v/>
      </c>
      <c r="AZ393" s="1424"/>
      <c r="BA393" s="1424"/>
      <c r="BB393" s="1424" t="str">
        <f aca="false">IF($AT393&gt;0,VLOOKUP($AR393,'O_MN, PE_UTA_UGM 2024'!$E$3:$O$419,BB$6),"")</f>
        <v/>
      </c>
      <c r="BC393" s="1424" t="str">
        <f aca="false">IF($AT393&gt;0,VLOOKUP($AR393,'O_MN, PE_UTA_UGM 2024'!$E$3:$O$419,BC$6),"")</f>
        <v/>
      </c>
      <c r="BD393" s="1424" t="str">
        <f aca="false">IF($AT393&gt;0,VLOOKUP($AR393,'O_MN, PE_UTA_UGM 2024'!$E$3:$O$419,BD$6),"")</f>
        <v/>
      </c>
      <c r="BE393" s="1424" t="str">
        <f aca="false">IF($AT393&gt;0,VLOOKUP($AR393,'O_MN, PE_UTA_UGM 2024'!$E$3:$O$419,BE$6),"")</f>
        <v/>
      </c>
      <c r="BF393" s="1424" t="str">
        <f aca="false">IF($AT393&gt;0,VLOOKUP($AR393,'O_MN, PE_UTA_UGM 2024'!$E$3:$O$419,BF$6),"")</f>
        <v/>
      </c>
      <c r="BG393" s="1424" t="str">
        <f aca="false">IF($AT393&gt;0,VLOOKUP($AR393,'O_MN, PE_UTA_UGM 2024'!$E$3:$O$419,BG$6),"")</f>
        <v/>
      </c>
      <c r="BH393" s="872"/>
      <c r="BI393" s="872"/>
      <c r="BJ393" s="872"/>
      <c r="BK393" s="872"/>
      <c r="BM393" s="1411"/>
      <c r="BN393" s="1411"/>
      <c r="BO393" s="1425" t="str">
        <f aca="false">IF(ISNUMBER($AU393*BB393*1),$AU393*BB393*1,"")</f>
        <v/>
      </c>
      <c r="BP393" s="1425" t="str">
        <f aca="false">IF(ISNUMBER($AV393*BC393*1),$AV393*BC393*1,"")</f>
        <v/>
      </c>
      <c r="BQ393" s="1425" t="str">
        <f aca="false">IF(ISNUMBER($AU393*BD393*1),$AU393*BD393*1,"")</f>
        <v/>
      </c>
      <c r="BR393" s="1425" t="str">
        <f aca="false">IF(ISNUMBER($AV393*BE393*1),$AV393*BE393*1,"")</f>
        <v/>
      </c>
      <c r="BS393" s="1411" t="str">
        <f aca="false">IF(ISNUMBER($AU393*BF393),$AU393*BF393,"")</f>
        <v/>
      </c>
      <c r="BT393" s="1411" t="str">
        <f aca="false">IF(ISNUMBER($AV393*BG393),$AV393*BG393,"")</f>
        <v/>
      </c>
      <c r="BU393" s="1411"/>
      <c r="BV393" s="1411"/>
      <c r="BW393" s="1411"/>
      <c r="BX393" s="1411"/>
      <c r="BZ393" s="1372"/>
      <c r="CA393" s="1372"/>
      <c r="CB393" s="1426" t="str">
        <f aca="false">IF(ISNUMBER($AW393*BB393),$AW393*BB393,"")</f>
        <v/>
      </c>
      <c r="CC393" s="1426" t="str">
        <f aca="false">IF(ISNUMBER($AX393*BC393),$AX393*BC393,"")</f>
        <v/>
      </c>
      <c r="CD393" s="1426" t="str">
        <f aca="false">IF(ISNUMBER($AW393*BD393),$AW393*BD393,"")</f>
        <v/>
      </c>
      <c r="CE393" s="1426" t="str">
        <f aca="false">IF(ISNUMBER($AX393*BE393),$AX393*BE393,"")</f>
        <v/>
      </c>
      <c r="CF393" s="1372" t="str">
        <f aca="false">IF(ISNUMBER($AW393*BF393),$AW393*BF393,"")</f>
        <v/>
      </c>
      <c r="CG393" s="1372" t="str">
        <f aca="false">IF(ISNUMBER($AX393*BG393),$AX393*BG393,"")</f>
        <v/>
      </c>
      <c r="CH393" s="1438"/>
      <c r="CI393" s="1438"/>
      <c r="CJ393" s="1438"/>
      <c r="CK393" s="1438"/>
      <c r="CU393" s="1411"/>
      <c r="CV393" s="1411"/>
      <c r="CW393" s="1425"/>
      <c r="CX393" s="1425"/>
      <c r="CY393" s="1425"/>
      <c r="CZ393" s="1425"/>
      <c r="DA393" s="1411"/>
      <c r="DB393" s="1411"/>
      <c r="DC393" s="1411"/>
      <c r="DD393" s="1411"/>
      <c r="DE393" s="1411"/>
      <c r="DF393" s="1411"/>
      <c r="DH393" s="1432"/>
      <c r="DI393" s="1432"/>
      <c r="DJ393" s="1437"/>
      <c r="DK393" s="1437"/>
      <c r="DL393" s="1437"/>
      <c r="DM393" s="1437"/>
      <c r="DN393" s="1432"/>
      <c r="DO393" s="1432"/>
      <c r="DP393" s="1432"/>
      <c r="DQ393" s="1432"/>
      <c r="DR393" s="1432"/>
      <c r="DS393" s="1432"/>
      <c r="DT393" s="1316"/>
      <c r="DU393" s="1433"/>
      <c r="DV393" s="1433"/>
      <c r="DW393" s="1433"/>
      <c r="DX393" s="1433"/>
      <c r="DY393" s="1433"/>
      <c r="DZ393" s="1433"/>
      <c r="EA393" s="1433"/>
      <c r="EB393" s="1433"/>
    </row>
    <row r="394" customFormat="false" ht="14.25" hidden="false" customHeight="false" outlineLevel="0" collapsed="false">
      <c r="A394" s="2" t="n">
        <f aca="false">'V_DATOS PAC_SGA'!R389</f>
        <v>0</v>
      </c>
      <c r="B394" s="2" t="n">
        <f aca="false">IF(I394="IV",CONCATENATE('V_DATOS PAC_SGA'!R389,"4")+0,CONCATENATE('V_DATOS PAC_SGA'!R389,"0")+0)</f>
        <v>0</v>
      </c>
      <c r="C394" s="2" t="n">
        <f aca="false">'V_DATOS PAC_SGA'!S389</f>
        <v>0</v>
      </c>
      <c r="D394" s="1409" t="n">
        <f aca="false">'V_DATOS PAC_SGA'!Y389</f>
        <v>0</v>
      </c>
      <c r="E394" s="1410" t="str">
        <f aca="false">IF('V_DATOS PAC_SGA'!AV389="","Regadio",'V_DATOS PAC_SGA'!AV389)</f>
        <v>Regadio</v>
      </c>
      <c r="F394" s="1411" t="n">
        <f aca="false">'V_DATOS PAC_SGA'!BK389</f>
        <v>0</v>
      </c>
      <c r="G394" s="1412" t="n">
        <f aca="false">'V_DATOS PAC_SGA'!AN389</f>
        <v>0</v>
      </c>
      <c r="H394" s="1413" t="str">
        <f aca="false">IF(B394&gt;0,VLOOKUP(B394,'O_MN, PE_UTA_UGM 2024'!E$3:O$419,10),"")</f>
        <v/>
      </c>
      <c r="I394" s="1359" t="n">
        <f aca="false">'V_DATOS PAC_SGA'!BV389</f>
        <v>0</v>
      </c>
      <c r="J394" s="2" t="str">
        <f aca="false">IF(AND(J$4=$G394,J$6=$F394),$D394*J$5,"")</f>
        <v/>
      </c>
      <c r="K394" s="2" t="str">
        <f aca="false">IF(AND(K$4=$G394,K$6=$F394),$D394*K$5,"")</f>
        <v/>
      </c>
      <c r="L394" s="2" t="str">
        <f aca="false">IF(AND(L$4=$G394,L$6=$F394),$D394*L$5,"")</f>
        <v/>
      </c>
      <c r="M394" s="2" t="str">
        <f aca="false">IF(AND(M$4=$G394,M$6=$F394),$D394*M$5,"")</f>
        <v/>
      </c>
      <c r="N394" s="1414" t="n">
        <f aca="false">VLOOKUP(B394,'O_MN, PE_UTA_UGM 2024'!$E$2:$K$419,IF(G394&gt;1,6,7))</f>
        <v>0</v>
      </c>
      <c r="O394" s="1434" t="str">
        <f aca="false">IF($H394=O$4,$D394*$N394,"")</f>
        <v/>
      </c>
      <c r="P394" s="1435" t="str">
        <f aca="false">IF($H394=P$4,$D394*$N394,"")</f>
        <v/>
      </c>
      <c r="Q394" s="1435" t="str">
        <f aca="false">IF($H394=Q$4,$D394*$N394,"")</f>
        <v/>
      </c>
      <c r="R394" s="1435" t="str">
        <f aca="false">IF($H394=R$4,$D394*$N394,"")</f>
        <v/>
      </c>
      <c r="S394" s="1435" t="str">
        <f aca="false">IF($H394=S$4,$D394*$N394,"")</f>
        <v/>
      </c>
      <c r="T394" s="1435" t="str">
        <f aca="false">IF($H394=T$4,$D394*$N394,"")</f>
        <v/>
      </c>
      <c r="U394" s="1436" t="str">
        <f aca="false">IF($H394=U$4,$D394*$N394,"")</f>
        <v/>
      </c>
      <c r="V394" s="1472"/>
      <c r="W394" s="1471"/>
      <c r="X394" s="1471"/>
      <c r="Y394" s="1471"/>
      <c r="Z394" s="1471"/>
      <c r="AA394" s="1471"/>
      <c r="AB394" s="1473"/>
      <c r="AC394" s="1319"/>
      <c r="AD394" s="2" t="str">
        <f aca="false">IF(AND(AD$4=$G394,AD$6=$F394),$B394,"")</f>
        <v/>
      </c>
      <c r="AE394" s="2" t="str">
        <f aca="false">IF(AND(AE$4=$G394,AE$6=$F394),$B394,"")</f>
        <v/>
      </c>
      <c r="AF394" s="2" t="str">
        <f aca="false">IF(AND(AF$4=$G394,AF$6=$F394),$B394,"")</f>
        <v/>
      </c>
      <c r="AG394" s="2" t="str">
        <f aca="false">IF(AND(AG$4=$G394,AG$6=$F394),$B394,"")</f>
        <v/>
      </c>
      <c r="AI394" s="366"/>
      <c r="AL394" s="367"/>
      <c r="AO394" s="367"/>
      <c r="AP394" s="2" t="str">
        <f aca="false">IF(AT394&gt;0,RANK(AT394,AT$7:AT$423),"")</f>
        <v/>
      </c>
      <c r="AQ394" s="1475" t="n">
        <f aca="false">'O_MN, PE_UTA_UGM 2024'!C391</f>
        <v>0</v>
      </c>
      <c r="AR394" s="1421" t="n">
        <v>4780</v>
      </c>
      <c r="AS394" s="2" t="str">
        <f aca="false">IF(AY394&lt;&gt;"",AY394,"")</f>
        <v/>
      </c>
      <c r="AT394" s="1422" t="n">
        <f aca="false">IF(ISNUMBER($AR394),SUMIF(B$7:B$505,AR394,D$7:D$505),"")</f>
        <v>0</v>
      </c>
      <c r="AU394" s="1411" t="n">
        <f aca="false">IF(ISNUMBER($AR394),SUMIF(AD$7:AD$503,$AR394,J$7:J$503),"")</f>
        <v>0</v>
      </c>
      <c r="AV394" s="1411" t="n">
        <f aca="false">IF(ISNUMBER($AR394),SUMIF(AF$7:AF$503,$AR394,L$7:L$503),"")</f>
        <v>0</v>
      </c>
      <c r="AW394" s="1423" t="n">
        <f aca="false">IF(ISNUMBER($AR394),SUMIF(AE$7:AE$503,$AR394,K$7:K$503),"")</f>
        <v>0</v>
      </c>
      <c r="AX394" s="1423" t="n">
        <f aca="false">IF(ISNUMBER($AR394),SUMIF(AG$7:AG$503,$AR394,M$7:M$503),"")</f>
        <v>0</v>
      </c>
      <c r="AY394" s="2" t="str">
        <f aca="false">IF($AT394&gt;0,VLOOKUP($AR394,'O_MN, PE_UTA_UGM 2024'!E391:O806,2),"")</f>
        <v/>
      </c>
      <c r="AZ394" s="1424"/>
      <c r="BA394" s="1424"/>
      <c r="BB394" s="1424" t="str">
        <f aca="false">IF($AT394&gt;0,VLOOKUP($AR394,'O_MN, PE_UTA_UGM 2024'!$E$3:$O$419,BB$6),"")</f>
        <v/>
      </c>
      <c r="BC394" s="1424" t="str">
        <f aca="false">IF($AT394&gt;0,VLOOKUP($AR394,'O_MN, PE_UTA_UGM 2024'!$E$3:$O$419,BC$6),"")</f>
        <v/>
      </c>
      <c r="BD394" s="1424" t="str">
        <f aca="false">IF($AT394&gt;0,VLOOKUP($AR394,'O_MN, PE_UTA_UGM 2024'!$E$3:$O$419,BD$6),"")</f>
        <v/>
      </c>
      <c r="BE394" s="1424" t="str">
        <f aca="false">IF($AT394&gt;0,VLOOKUP($AR394,'O_MN, PE_UTA_UGM 2024'!$E$3:$O$419,BE$6),"")</f>
        <v/>
      </c>
      <c r="BF394" s="1424" t="str">
        <f aca="false">IF($AT394&gt;0,VLOOKUP($AR394,'O_MN, PE_UTA_UGM 2024'!$E$3:$O$419,BF$6),"")</f>
        <v/>
      </c>
      <c r="BG394" s="1424" t="str">
        <f aca="false">IF($AT394&gt;0,VLOOKUP($AR394,'O_MN, PE_UTA_UGM 2024'!$E$3:$O$419,BG$6),"")</f>
        <v/>
      </c>
      <c r="BH394" s="872"/>
      <c r="BI394" s="872"/>
      <c r="BJ394" s="872"/>
      <c r="BK394" s="872"/>
      <c r="BM394" s="1411"/>
      <c r="BN394" s="1411"/>
      <c r="BO394" s="1425" t="str">
        <f aca="false">IF(ISNUMBER($AU394*BB394*1),$AU394*BB394*1,"")</f>
        <v/>
      </c>
      <c r="BP394" s="1425" t="str">
        <f aca="false">IF(ISNUMBER($AV394*BC394*1),$AV394*BC394*1,"")</f>
        <v/>
      </c>
      <c r="BQ394" s="1425" t="str">
        <f aca="false">IF(ISNUMBER($AU394*BD394*1),$AU394*BD394*1,"")</f>
        <v/>
      </c>
      <c r="BR394" s="1425" t="str">
        <f aca="false">IF(ISNUMBER($AV394*BE394*1),$AV394*BE394*1,"")</f>
        <v/>
      </c>
      <c r="BS394" s="1411" t="str">
        <f aca="false">IF(ISNUMBER($AU394*BF394),$AU394*BF394,"")</f>
        <v/>
      </c>
      <c r="BT394" s="1411" t="str">
        <f aca="false">IF(ISNUMBER($AV394*BG394),$AV394*BG394,"")</f>
        <v/>
      </c>
      <c r="BU394" s="1411"/>
      <c r="BV394" s="1411"/>
      <c r="BW394" s="1411"/>
      <c r="BX394" s="1411"/>
      <c r="BZ394" s="1372"/>
      <c r="CA394" s="1372"/>
      <c r="CB394" s="1426" t="str">
        <f aca="false">IF(ISNUMBER($AW394*BB394),$AW394*BB394,"")</f>
        <v/>
      </c>
      <c r="CC394" s="1426" t="str">
        <f aca="false">IF(ISNUMBER($AX394*BC394),$AX394*BC394,"")</f>
        <v/>
      </c>
      <c r="CD394" s="1426" t="str">
        <f aca="false">IF(ISNUMBER($AW394*BD394),$AW394*BD394,"")</f>
        <v/>
      </c>
      <c r="CE394" s="1426" t="str">
        <f aca="false">IF(ISNUMBER($AX394*BE394),$AX394*BE394,"")</f>
        <v/>
      </c>
      <c r="CF394" s="1372" t="str">
        <f aca="false">IF(ISNUMBER($AW394*BF394),$AW394*BF394,"")</f>
        <v/>
      </c>
      <c r="CG394" s="1372" t="str">
        <f aca="false">IF(ISNUMBER($AX394*BG394),$AX394*BG394,"")</f>
        <v/>
      </c>
      <c r="CH394" s="1438"/>
      <c r="CI394" s="1438"/>
      <c r="CJ394" s="1438"/>
      <c r="CK394" s="1438"/>
      <c r="CU394" s="1411"/>
      <c r="CV394" s="1411"/>
      <c r="CW394" s="1425"/>
      <c r="CX394" s="1425"/>
      <c r="CY394" s="1425"/>
      <c r="CZ394" s="1425"/>
      <c r="DA394" s="1411"/>
      <c r="DB394" s="1411"/>
      <c r="DC394" s="1411"/>
      <c r="DD394" s="1411"/>
      <c r="DE394" s="1411"/>
      <c r="DF394" s="1411"/>
      <c r="DH394" s="1432"/>
      <c r="DI394" s="1432"/>
      <c r="DJ394" s="1437"/>
      <c r="DK394" s="1437"/>
      <c r="DL394" s="1437"/>
      <c r="DM394" s="1437"/>
      <c r="DN394" s="1432"/>
      <c r="DO394" s="1432"/>
      <c r="DP394" s="1432"/>
      <c r="DQ394" s="1432"/>
      <c r="DR394" s="1432"/>
      <c r="DS394" s="1432"/>
      <c r="DT394" s="1316"/>
      <c r="DU394" s="1433"/>
      <c r="DV394" s="1433"/>
      <c r="DW394" s="1433"/>
      <c r="DX394" s="1433"/>
      <c r="DY394" s="1433"/>
      <c r="DZ394" s="1433"/>
      <c r="EA394" s="1433"/>
      <c r="EB394" s="1433"/>
    </row>
    <row r="395" customFormat="false" ht="14.25" hidden="false" customHeight="false" outlineLevel="0" collapsed="false">
      <c r="A395" s="2" t="n">
        <f aca="false">'V_DATOS PAC_SGA'!R390</f>
        <v>0</v>
      </c>
      <c r="B395" s="2" t="n">
        <f aca="false">IF(I395="IV",CONCATENATE('V_DATOS PAC_SGA'!R390,"4")+0,CONCATENATE('V_DATOS PAC_SGA'!R390,"0")+0)</f>
        <v>0</v>
      </c>
      <c r="C395" s="2" t="n">
        <f aca="false">'V_DATOS PAC_SGA'!S390</f>
        <v>0</v>
      </c>
      <c r="D395" s="1409" t="n">
        <f aca="false">'V_DATOS PAC_SGA'!Y390</f>
        <v>0</v>
      </c>
      <c r="E395" s="1410" t="str">
        <f aca="false">IF('V_DATOS PAC_SGA'!AV390="","Regadio",'V_DATOS PAC_SGA'!AV390)</f>
        <v>Regadio</v>
      </c>
      <c r="F395" s="1411" t="n">
        <f aca="false">'V_DATOS PAC_SGA'!BK390</f>
        <v>0</v>
      </c>
      <c r="G395" s="1412" t="n">
        <f aca="false">'V_DATOS PAC_SGA'!AN390</f>
        <v>0</v>
      </c>
      <c r="H395" s="1413" t="str">
        <f aca="false">IF(B395&gt;0,VLOOKUP(B395,'O_MN, PE_UTA_UGM 2024'!E$3:O$419,10),"")</f>
        <v/>
      </c>
      <c r="I395" s="1359" t="n">
        <f aca="false">'V_DATOS PAC_SGA'!BV390</f>
        <v>0</v>
      </c>
      <c r="J395" s="2" t="str">
        <f aca="false">IF(AND(J$4=$G395,J$6=$F395),$D395*J$5,"")</f>
        <v/>
      </c>
      <c r="K395" s="2" t="str">
        <f aca="false">IF(AND(K$4=$G395,K$6=$F395),$D395*K$5,"")</f>
        <v/>
      </c>
      <c r="L395" s="2" t="str">
        <f aca="false">IF(AND(L$4=$G395,L$6=$F395),$D395*L$5,"")</f>
        <v/>
      </c>
      <c r="M395" s="2" t="str">
        <f aca="false">IF(AND(M$4=$G395,M$6=$F395),$D395*M$5,"")</f>
        <v/>
      </c>
      <c r="N395" s="1414" t="n">
        <f aca="false">VLOOKUP(B395,'O_MN, PE_UTA_UGM 2024'!$E$2:$K$419,IF(G395&gt;1,6,7))</f>
        <v>0</v>
      </c>
      <c r="O395" s="1434" t="str">
        <f aca="false">IF($H395=O$4,$D395*$N395,"")</f>
        <v/>
      </c>
      <c r="P395" s="1435" t="str">
        <f aca="false">IF($H395=P$4,$D395*$N395,"")</f>
        <v/>
      </c>
      <c r="Q395" s="1435" t="str">
        <f aca="false">IF($H395=Q$4,$D395*$N395,"")</f>
        <v/>
      </c>
      <c r="R395" s="1435" t="str">
        <f aca="false">IF($H395=R$4,$D395*$N395,"")</f>
        <v/>
      </c>
      <c r="S395" s="1435" t="str">
        <f aca="false">IF($H395=S$4,$D395*$N395,"")</f>
        <v/>
      </c>
      <c r="T395" s="1435" t="str">
        <f aca="false">IF($H395=T$4,$D395*$N395,"")</f>
        <v/>
      </c>
      <c r="U395" s="1436" t="str">
        <f aca="false">IF($H395=U$4,$D395*$N395,"")</f>
        <v/>
      </c>
      <c r="V395" s="1472"/>
      <c r="W395" s="1471"/>
      <c r="X395" s="1471"/>
      <c r="Y395" s="1471"/>
      <c r="Z395" s="1471"/>
      <c r="AA395" s="1471"/>
      <c r="AB395" s="1473"/>
      <c r="AC395" s="1319"/>
      <c r="AD395" s="2" t="str">
        <f aca="false">IF(AND(AD$4=$G395,AD$6=$F395),$B395,"")</f>
        <v/>
      </c>
      <c r="AE395" s="2" t="str">
        <f aca="false">IF(AND(AE$4=$G395,AE$6=$F395),$B395,"")</f>
        <v/>
      </c>
      <c r="AF395" s="2" t="str">
        <f aca="false">IF(AND(AF$4=$G395,AF$6=$F395),$B395,"")</f>
        <v/>
      </c>
      <c r="AG395" s="2" t="str">
        <f aca="false">IF(AND(AG$4=$G395,AG$6=$F395),$B395,"")</f>
        <v/>
      </c>
      <c r="AI395" s="366"/>
      <c r="AL395" s="367"/>
      <c r="AO395" s="367"/>
      <c r="AP395" s="2" t="str">
        <f aca="false">IF(AT395&gt;0,RANK(AT395,AT$7:AT$423),"")</f>
        <v/>
      </c>
      <c r="AQ395" s="1475" t="n">
        <f aca="false">'O_MN, PE_UTA_UGM 2024'!C392</f>
        <v>0</v>
      </c>
      <c r="AR395" s="1421" t="n">
        <v>4830</v>
      </c>
      <c r="AS395" s="2" t="str">
        <f aca="false">IF(AY395&lt;&gt;"",AY395,"")</f>
        <v/>
      </c>
      <c r="AT395" s="1422" t="n">
        <f aca="false">IF(ISNUMBER($AR395),SUMIF(B$7:B$505,AR395,D$7:D$505),"")</f>
        <v>0</v>
      </c>
      <c r="AU395" s="1411" t="n">
        <f aca="false">IF(ISNUMBER($AR395),SUMIF(AD$7:AD$503,$AR395,J$7:J$503),"")</f>
        <v>0</v>
      </c>
      <c r="AV395" s="1411" t="n">
        <f aca="false">IF(ISNUMBER($AR395),SUMIF(AF$7:AF$503,$AR395,L$7:L$503),"")</f>
        <v>0</v>
      </c>
      <c r="AW395" s="1423" t="n">
        <f aca="false">IF(ISNUMBER($AR395),SUMIF(AE$7:AE$503,$AR395,K$7:K$503),"")</f>
        <v>0</v>
      </c>
      <c r="AX395" s="1423" t="n">
        <f aca="false">IF(ISNUMBER($AR395),SUMIF(AG$7:AG$503,$AR395,M$7:M$503),"")</f>
        <v>0</v>
      </c>
      <c r="AY395" s="2" t="str">
        <f aca="false">IF($AT395&gt;0,VLOOKUP($AR395,'O_MN, PE_UTA_UGM 2024'!E392:O807,2),"")</f>
        <v/>
      </c>
      <c r="AZ395" s="1424"/>
      <c r="BA395" s="1424"/>
      <c r="BB395" s="1424" t="str">
        <f aca="false">IF($AT395&gt;0,VLOOKUP($AR395,'O_MN, PE_UTA_UGM 2024'!$E$3:$O$419,BB$6),"")</f>
        <v/>
      </c>
      <c r="BC395" s="1424" t="str">
        <f aca="false">IF($AT395&gt;0,VLOOKUP($AR395,'O_MN, PE_UTA_UGM 2024'!$E$3:$O$419,BC$6),"")</f>
        <v/>
      </c>
      <c r="BD395" s="1424" t="str">
        <f aca="false">IF($AT395&gt;0,VLOOKUP($AR395,'O_MN, PE_UTA_UGM 2024'!$E$3:$O$419,BD$6),"")</f>
        <v/>
      </c>
      <c r="BE395" s="1424" t="str">
        <f aca="false">IF($AT395&gt;0,VLOOKUP($AR395,'O_MN, PE_UTA_UGM 2024'!$E$3:$O$419,BE$6),"")</f>
        <v/>
      </c>
      <c r="BF395" s="1424" t="str">
        <f aca="false">IF($AT395&gt;0,VLOOKUP($AR395,'O_MN, PE_UTA_UGM 2024'!$E$3:$O$419,BF$6),"")</f>
        <v/>
      </c>
      <c r="BG395" s="1424" t="str">
        <f aca="false">IF($AT395&gt;0,VLOOKUP($AR395,'O_MN, PE_UTA_UGM 2024'!$E$3:$O$419,BG$6),"")</f>
        <v/>
      </c>
      <c r="BH395" s="872"/>
      <c r="BI395" s="872"/>
      <c r="BJ395" s="872"/>
      <c r="BK395" s="872"/>
      <c r="BM395" s="1411"/>
      <c r="BN395" s="1411"/>
      <c r="BO395" s="1425" t="str">
        <f aca="false">IF(ISNUMBER($AU395*BB395*1),$AU395*BB395*1,"")</f>
        <v/>
      </c>
      <c r="BP395" s="1425" t="str">
        <f aca="false">IF(ISNUMBER($AV395*BC395*1),$AV395*BC395*1,"")</f>
        <v/>
      </c>
      <c r="BQ395" s="1425" t="str">
        <f aca="false">IF(ISNUMBER($AU395*BD395*1),$AU395*BD395*1,"")</f>
        <v/>
      </c>
      <c r="BR395" s="1425" t="str">
        <f aca="false">IF(ISNUMBER($AV395*BE395*1),$AV395*BE395*1,"")</f>
        <v/>
      </c>
      <c r="BS395" s="1411" t="str">
        <f aca="false">IF(ISNUMBER($AU395*BF395),$AU395*BF395,"")</f>
        <v/>
      </c>
      <c r="BT395" s="1411" t="str">
        <f aca="false">IF(ISNUMBER($AV395*BG395),$AV395*BG395,"")</f>
        <v/>
      </c>
      <c r="BU395" s="1411"/>
      <c r="BV395" s="1411"/>
      <c r="BW395" s="1411"/>
      <c r="BX395" s="1411"/>
      <c r="BZ395" s="1372"/>
      <c r="CA395" s="1372"/>
      <c r="CB395" s="1426" t="str">
        <f aca="false">IF(ISNUMBER($AW395*BB395),$AW395*BB395,"")</f>
        <v/>
      </c>
      <c r="CC395" s="1426" t="str">
        <f aca="false">IF(ISNUMBER($AX395*BC395),$AX395*BC395,"")</f>
        <v/>
      </c>
      <c r="CD395" s="1426" t="str">
        <f aca="false">IF(ISNUMBER($AW395*BD395),$AW395*BD395,"")</f>
        <v/>
      </c>
      <c r="CE395" s="1426" t="str">
        <f aca="false">IF(ISNUMBER($AX395*BE395),$AX395*BE395,"")</f>
        <v/>
      </c>
      <c r="CF395" s="1372" t="str">
        <f aca="false">IF(ISNUMBER($AW395*BF395),$AW395*BF395,"")</f>
        <v/>
      </c>
      <c r="CG395" s="1372" t="str">
        <f aca="false">IF(ISNUMBER($AX395*BG395),$AX395*BG395,"")</f>
        <v/>
      </c>
      <c r="CH395" s="1438"/>
      <c r="CI395" s="1438"/>
      <c r="CJ395" s="1438"/>
      <c r="CK395" s="1438"/>
      <c r="CU395" s="1411"/>
      <c r="CV395" s="1411"/>
      <c r="CW395" s="1425"/>
      <c r="CX395" s="1425"/>
      <c r="CY395" s="1425"/>
      <c r="CZ395" s="1425"/>
      <c r="DA395" s="1411"/>
      <c r="DB395" s="1411"/>
      <c r="DC395" s="1411"/>
      <c r="DD395" s="1411"/>
      <c r="DE395" s="1411"/>
      <c r="DF395" s="1411"/>
      <c r="DH395" s="1432"/>
      <c r="DI395" s="1432"/>
      <c r="DJ395" s="1437"/>
      <c r="DK395" s="1437"/>
      <c r="DL395" s="1437"/>
      <c r="DM395" s="1437"/>
      <c r="DN395" s="1432"/>
      <c r="DO395" s="1432"/>
      <c r="DP395" s="1432"/>
      <c r="DQ395" s="1432"/>
      <c r="DR395" s="1432"/>
      <c r="DS395" s="1432"/>
      <c r="DT395" s="1316"/>
      <c r="DU395" s="1433"/>
      <c r="DV395" s="1433"/>
      <c r="DW395" s="1433"/>
      <c r="DX395" s="1433"/>
      <c r="DY395" s="1433"/>
      <c r="DZ395" s="1433"/>
      <c r="EA395" s="1433"/>
      <c r="EB395" s="1433"/>
    </row>
    <row r="396" customFormat="false" ht="14.25" hidden="false" customHeight="false" outlineLevel="0" collapsed="false">
      <c r="A396" s="2" t="n">
        <f aca="false">'V_DATOS PAC_SGA'!R391</f>
        <v>0</v>
      </c>
      <c r="B396" s="2" t="n">
        <f aca="false">IF(I396="IV",CONCATENATE('V_DATOS PAC_SGA'!R391,"4")+0,CONCATENATE('V_DATOS PAC_SGA'!R391,"0")+0)</f>
        <v>0</v>
      </c>
      <c r="C396" s="2" t="n">
        <f aca="false">'V_DATOS PAC_SGA'!S391</f>
        <v>0</v>
      </c>
      <c r="D396" s="1409" t="n">
        <f aca="false">'V_DATOS PAC_SGA'!Y391</f>
        <v>0</v>
      </c>
      <c r="E396" s="1410" t="str">
        <f aca="false">IF('V_DATOS PAC_SGA'!AV391="","Regadio",'V_DATOS PAC_SGA'!AV391)</f>
        <v>Regadio</v>
      </c>
      <c r="F396" s="1411" t="n">
        <f aca="false">'V_DATOS PAC_SGA'!BK391</f>
        <v>0</v>
      </c>
      <c r="G396" s="1412" t="n">
        <f aca="false">'V_DATOS PAC_SGA'!AN391</f>
        <v>0</v>
      </c>
      <c r="H396" s="1413" t="str">
        <f aca="false">IF(B396&gt;0,VLOOKUP(B396,'O_MN, PE_UTA_UGM 2024'!E$3:O$419,10),"")</f>
        <v/>
      </c>
      <c r="I396" s="1359" t="n">
        <f aca="false">'V_DATOS PAC_SGA'!BV391</f>
        <v>0</v>
      </c>
      <c r="J396" s="2" t="str">
        <f aca="false">IF(AND(J$4=$G396,J$6=$F396),$D396*J$5,"")</f>
        <v/>
      </c>
      <c r="K396" s="2" t="str">
        <f aca="false">IF(AND(K$4=$G396,K$6=$F396),$D396*K$5,"")</f>
        <v/>
      </c>
      <c r="L396" s="2" t="str">
        <f aca="false">IF(AND(L$4=$G396,L$6=$F396),$D396*L$5,"")</f>
        <v/>
      </c>
      <c r="M396" s="2" t="str">
        <f aca="false">IF(AND(M$4=$G396,M$6=$F396),$D396*M$5,"")</f>
        <v/>
      </c>
      <c r="N396" s="1414" t="n">
        <f aca="false">VLOOKUP(B396,'O_MN, PE_UTA_UGM 2024'!$E$2:$K$419,IF(G396&gt;1,6,7))</f>
        <v>0</v>
      </c>
      <c r="O396" s="1434" t="str">
        <f aca="false">IF($H396=O$4,$D396*$N396,"")</f>
        <v/>
      </c>
      <c r="P396" s="1435" t="str">
        <f aca="false">IF($H396=P$4,$D396*$N396,"")</f>
        <v/>
      </c>
      <c r="Q396" s="1435" t="str">
        <f aca="false">IF($H396=Q$4,$D396*$N396,"")</f>
        <v/>
      </c>
      <c r="R396" s="1435" t="str">
        <f aca="false">IF($H396=R$4,$D396*$N396,"")</f>
        <v/>
      </c>
      <c r="S396" s="1435" t="str">
        <f aca="false">IF($H396=S$4,$D396*$N396,"")</f>
        <v/>
      </c>
      <c r="T396" s="1435" t="str">
        <f aca="false">IF($H396=T$4,$D396*$N396,"")</f>
        <v/>
      </c>
      <c r="U396" s="1436" t="str">
        <f aca="false">IF($H396=U$4,$D396*$N396,"")</f>
        <v/>
      </c>
      <c r="V396" s="1472"/>
      <c r="W396" s="1471"/>
      <c r="X396" s="1471"/>
      <c r="Y396" s="1471"/>
      <c r="Z396" s="1471"/>
      <c r="AA396" s="1471"/>
      <c r="AB396" s="1473"/>
      <c r="AC396" s="1319"/>
      <c r="AD396" s="2" t="str">
        <f aca="false">IF(AND(AD$4=$G396,AD$6=$F396),$B396,"")</f>
        <v/>
      </c>
      <c r="AE396" s="2" t="str">
        <f aca="false">IF(AND(AE$4=$G396,AE$6=$F396),$B396,"")</f>
        <v/>
      </c>
      <c r="AF396" s="2" t="str">
        <f aca="false">IF(AND(AF$4=$G396,AF$6=$F396),$B396,"")</f>
        <v/>
      </c>
      <c r="AG396" s="2" t="str">
        <f aca="false">IF(AND(AG$4=$G396,AG$6=$F396),$B396,"")</f>
        <v/>
      </c>
      <c r="AI396" s="366"/>
      <c r="AL396" s="367"/>
      <c r="AO396" s="367"/>
      <c r="AP396" s="2" t="str">
        <f aca="false">IF(AT396&gt;0,RANK(AT396,AT$7:AT$423),"")</f>
        <v/>
      </c>
      <c r="AQ396" s="1475" t="n">
        <f aca="false">'O_MN, PE_UTA_UGM 2024'!C393</f>
        <v>0</v>
      </c>
      <c r="AR396" s="1421" t="n">
        <v>4840</v>
      </c>
      <c r="AS396" s="2" t="str">
        <f aca="false">IF(AY396&lt;&gt;"",AY396,"")</f>
        <v/>
      </c>
      <c r="AT396" s="1422" t="n">
        <f aca="false">IF(ISNUMBER($AR396),SUMIF(B$7:B$505,AR396,D$7:D$505),"")</f>
        <v>0</v>
      </c>
      <c r="AU396" s="1411" t="n">
        <f aca="false">IF(ISNUMBER($AR396),SUMIF(AD$7:AD$503,$AR396,J$7:J$503),"")</f>
        <v>0</v>
      </c>
      <c r="AV396" s="1411" t="n">
        <f aca="false">IF(ISNUMBER($AR396),SUMIF(AF$7:AF$503,$AR396,L$7:L$503),"")</f>
        <v>0</v>
      </c>
      <c r="AW396" s="1423" t="n">
        <f aca="false">IF(ISNUMBER($AR396),SUMIF(AE$7:AE$503,$AR396,K$7:K$503),"")</f>
        <v>0</v>
      </c>
      <c r="AX396" s="1423" t="n">
        <f aca="false">IF(ISNUMBER($AR396),SUMIF(AG$7:AG$503,$AR396,M$7:M$503),"")</f>
        <v>0</v>
      </c>
      <c r="AY396" s="2" t="str">
        <f aca="false">IF($AT396&gt;0,VLOOKUP($AR396,'O_MN, PE_UTA_UGM 2024'!E393:O808,2),"")</f>
        <v/>
      </c>
      <c r="AZ396" s="1424"/>
      <c r="BA396" s="1424"/>
      <c r="BB396" s="1424" t="str">
        <f aca="false">IF($AT396&gt;0,VLOOKUP($AR396,'O_MN, PE_UTA_UGM 2024'!$E$3:$O$419,BB$6),"")</f>
        <v/>
      </c>
      <c r="BC396" s="1424" t="str">
        <f aca="false">IF($AT396&gt;0,VLOOKUP($AR396,'O_MN, PE_UTA_UGM 2024'!$E$3:$O$419,BC$6),"")</f>
        <v/>
      </c>
      <c r="BD396" s="1424" t="str">
        <f aca="false">IF($AT396&gt;0,VLOOKUP($AR396,'O_MN, PE_UTA_UGM 2024'!$E$3:$O$419,BD$6),"")</f>
        <v/>
      </c>
      <c r="BE396" s="1424" t="str">
        <f aca="false">IF($AT396&gt;0,VLOOKUP($AR396,'O_MN, PE_UTA_UGM 2024'!$E$3:$O$419,BE$6),"")</f>
        <v/>
      </c>
      <c r="BF396" s="1424" t="str">
        <f aca="false">IF($AT396&gt;0,VLOOKUP($AR396,'O_MN, PE_UTA_UGM 2024'!$E$3:$O$419,BF$6),"")</f>
        <v/>
      </c>
      <c r="BG396" s="1424" t="str">
        <f aca="false">IF($AT396&gt;0,VLOOKUP($AR396,'O_MN, PE_UTA_UGM 2024'!$E$3:$O$419,BG$6),"")</f>
        <v/>
      </c>
      <c r="BH396" s="872"/>
      <c r="BI396" s="872"/>
      <c r="BJ396" s="872"/>
      <c r="BK396" s="872"/>
      <c r="BM396" s="1411"/>
      <c r="BN396" s="1411"/>
      <c r="BO396" s="1425" t="str">
        <f aca="false">IF(ISNUMBER($AU396*BB396*1),$AU396*BB396*1,"")</f>
        <v/>
      </c>
      <c r="BP396" s="1425" t="str">
        <f aca="false">IF(ISNUMBER($AV396*BC396*1),$AV396*BC396*1,"")</f>
        <v/>
      </c>
      <c r="BQ396" s="1425" t="str">
        <f aca="false">IF(ISNUMBER($AU396*BD396*1),$AU396*BD396*1,"")</f>
        <v/>
      </c>
      <c r="BR396" s="1425" t="str">
        <f aca="false">IF(ISNUMBER($AV396*BE396*1),$AV396*BE396*1,"")</f>
        <v/>
      </c>
      <c r="BS396" s="1411" t="str">
        <f aca="false">IF(ISNUMBER($AU396*BF396),$AU396*BF396,"")</f>
        <v/>
      </c>
      <c r="BT396" s="1411" t="str">
        <f aca="false">IF(ISNUMBER($AV396*BG396),$AV396*BG396,"")</f>
        <v/>
      </c>
      <c r="BU396" s="1411"/>
      <c r="BV396" s="1411"/>
      <c r="BW396" s="1411"/>
      <c r="BX396" s="1411"/>
      <c r="BZ396" s="1372"/>
      <c r="CA396" s="1372"/>
      <c r="CB396" s="1426" t="str">
        <f aca="false">IF(ISNUMBER($AW396*BB396),$AW396*BB396,"")</f>
        <v/>
      </c>
      <c r="CC396" s="1426" t="str">
        <f aca="false">IF(ISNUMBER($AX396*BC396),$AX396*BC396,"")</f>
        <v/>
      </c>
      <c r="CD396" s="1426" t="str">
        <f aca="false">IF(ISNUMBER($AW396*BD396),$AW396*BD396,"")</f>
        <v/>
      </c>
      <c r="CE396" s="1426" t="str">
        <f aca="false">IF(ISNUMBER($AX396*BE396),$AX396*BE396,"")</f>
        <v/>
      </c>
      <c r="CF396" s="1372" t="str">
        <f aca="false">IF(ISNUMBER($AW396*BF396),$AW396*BF396,"")</f>
        <v/>
      </c>
      <c r="CG396" s="1372" t="str">
        <f aca="false">IF(ISNUMBER($AX396*BG396),$AX396*BG396,"")</f>
        <v/>
      </c>
      <c r="CH396" s="1438"/>
      <c r="CI396" s="1438"/>
      <c r="CJ396" s="1438"/>
      <c r="CK396" s="1438"/>
      <c r="CU396" s="1411"/>
      <c r="CV396" s="1411"/>
      <c r="CW396" s="1425"/>
      <c r="CX396" s="1425"/>
      <c r="CY396" s="1425"/>
      <c r="CZ396" s="1425"/>
      <c r="DA396" s="1411"/>
      <c r="DB396" s="1411"/>
      <c r="DC396" s="1411"/>
      <c r="DD396" s="1411"/>
      <c r="DE396" s="1411"/>
      <c r="DF396" s="1411"/>
      <c r="DH396" s="1432"/>
      <c r="DI396" s="1432"/>
      <c r="DJ396" s="1437"/>
      <c r="DK396" s="1437"/>
      <c r="DL396" s="1437"/>
      <c r="DM396" s="1437"/>
      <c r="DN396" s="1432"/>
      <c r="DO396" s="1432"/>
      <c r="DP396" s="1432"/>
      <c r="DQ396" s="1432"/>
      <c r="DR396" s="1432"/>
      <c r="DS396" s="1432"/>
      <c r="DT396" s="1316"/>
      <c r="DU396" s="1433"/>
      <c r="DV396" s="1433"/>
      <c r="DW396" s="1433"/>
      <c r="DX396" s="1433"/>
      <c r="DY396" s="1433"/>
      <c r="DZ396" s="1433"/>
      <c r="EA396" s="1433"/>
      <c r="EB396" s="1433"/>
    </row>
    <row r="397" customFormat="false" ht="14.25" hidden="false" customHeight="false" outlineLevel="0" collapsed="false">
      <c r="A397" s="2" t="n">
        <f aca="false">'V_DATOS PAC_SGA'!R392</f>
        <v>0</v>
      </c>
      <c r="B397" s="2" t="n">
        <f aca="false">IF(I397="IV",CONCATENATE('V_DATOS PAC_SGA'!R392,"4")+0,CONCATENATE('V_DATOS PAC_SGA'!R392,"0")+0)</f>
        <v>0</v>
      </c>
      <c r="C397" s="2" t="n">
        <f aca="false">'V_DATOS PAC_SGA'!S392</f>
        <v>0</v>
      </c>
      <c r="D397" s="1409" t="n">
        <f aca="false">'V_DATOS PAC_SGA'!Y392</f>
        <v>0</v>
      </c>
      <c r="E397" s="1410" t="str">
        <f aca="false">IF('V_DATOS PAC_SGA'!AV392="","Regadio",'V_DATOS PAC_SGA'!AV392)</f>
        <v>Regadio</v>
      </c>
      <c r="F397" s="1411" t="n">
        <f aca="false">'V_DATOS PAC_SGA'!BK392</f>
        <v>0</v>
      </c>
      <c r="G397" s="1412" t="n">
        <f aca="false">'V_DATOS PAC_SGA'!AN392</f>
        <v>0</v>
      </c>
      <c r="H397" s="1413" t="str">
        <f aca="false">IF(B397&gt;0,VLOOKUP(B397,'O_MN, PE_UTA_UGM 2024'!E$3:O$419,10),"")</f>
        <v/>
      </c>
      <c r="I397" s="1359" t="n">
        <f aca="false">'V_DATOS PAC_SGA'!BV392</f>
        <v>0</v>
      </c>
      <c r="J397" s="2" t="str">
        <f aca="false">IF(AND(J$4=$G397,J$6=$F397),$D397*J$5,"")</f>
        <v/>
      </c>
      <c r="K397" s="2" t="str">
        <f aca="false">IF(AND(K$4=$G397,K$6=$F397),$D397*K$5,"")</f>
        <v/>
      </c>
      <c r="L397" s="2" t="str">
        <f aca="false">IF(AND(L$4=$G397,L$6=$F397),$D397*L$5,"")</f>
        <v/>
      </c>
      <c r="M397" s="2" t="str">
        <f aca="false">IF(AND(M$4=$G397,M$6=$F397),$D397*M$5,"")</f>
        <v/>
      </c>
      <c r="N397" s="1414" t="n">
        <f aca="false">VLOOKUP(B397,'O_MN, PE_UTA_UGM 2024'!$E$2:$K$419,IF(G397&gt;1,6,7))</f>
        <v>0</v>
      </c>
      <c r="O397" s="1434" t="str">
        <f aca="false">IF($H397=O$4,$D397*$N397,"")</f>
        <v/>
      </c>
      <c r="P397" s="1435" t="str">
        <f aca="false">IF($H397=P$4,$D397*$N397,"")</f>
        <v/>
      </c>
      <c r="Q397" s="1435" t="str">
        <f aca="false">IF($H397=Q$4,$D397*$N397,"")</f>
        <v/>
      </c>
      <c r="R397" s="1435" t="str">
        <f aca="false">IF($H397=R$4,$D397*$N397,"")</f>
        <v/>
      </c>
      <c r="S397" s="1435" t="str">
        <f aca="false">IF($H397=S$4,$D397*$N397,"")</f>
        <v/>
      </c>
      <c r="T397" s="1435" t="str">
        <f aca="false">IF($H397=T$4,$D397*$N397,"")</f>
        <v/>
      </c>
      <c r="U397" s="1436" t="str">
        <f aca="false">IF($H397=U$4,$D397*$N397,"")</f>
        <v/>
      </c>
      <c r="V397" s="1472"/>
      <c r="W397" s="1471"/>
      <c r="X397" s="1471"/>
      <c r="Y397" s="1471"/>
      <c r="Z397" s="1471"/>
      <c r="AA397" s="1471"/>
      <c r="AB397" s="1473"/>
      <c r="AC397" s="1319"/>
      <c r="AD397" s="2" t="str">
        <f aca="false">IF(AND(AD$4=$G397,AD$6=$F397),$B397,"")</f>
        <v/>
      </c>
      <c r="AE397" s="2" t="str">
        <f aca="false">IF(AND(AE$4=$G397,AE$6=$F397),$B397,"")</f>
        <v/>
      </c>
      <c r="AF397" s="2" t="str">
        <f aca="false">IF(AND(AF$4=$G397,AF$6=$F397),$B397,"")</f>
        <v/>
      </c>
      <c r="AG397" s="2" t="str">
        <f aca="false">IF(AND(AG$4=$G397,AG$6=$F397),$B397,"")</f>
        <v/>
      </c>
      <c r="AI397" s="366"/>
      <c r="AL397" s="367"/>
      <c r="AO397" s="367"/>
      <c r="AP397" s="2" t="str">
        <f aca="false">IF(AT397&gt;0,RANK(AT397,AT$7:AT$423),"")</f>
        <v/>
      </c>
      <c r="AQ397" s="1475" t="n">
        <f aca="false">'O_MN, PE_UTA_UGM 2024'!C394</f>
        <v>0</v>
      </c>
      <c r="AR397" s="1421" t="n">
        <v>4860</v>
      </c>
      <c r="AS397" s="2" t="str">
        <f aca="false">IF(AY397&lt;&gt;"",AY397,"")</f>
        <v/>
      </c>
      <c r="AT397" s="1422" t="n">
        <f aca="false">IF(ISNUMBER($AR397),SUMIF(B$7:B$505,AR397,D$7:D$505),"")</f>
        <v>0</v>
      </c>
      <c r="AU397" s="1411" t="n">
        <f aca="false">IF(ISNUMBER($AR397),SUMIF(AD$7:AD$503,$AR397,J$7:J$503),"")</f>
        <v>0</v>
      </c>
      <c r="AV397" s="1411" t="n">
        <f aca="false">IF(ISNUMBER($AR397),SUMIF(AF$7:AF$503,$AR397,L$7:L$503),"")</f>
        <v>0</v>
      </c>
      <c r="AW397" s="1423" t="n">
        <f aca="false">IF(ISNUMBER($AR397),SUMIF(AE$7:AE$503,$AR397,K$7:K$503),"")</f>
        <v>0</v>
      </c>
      <c r="AX397" s="1423" t="n">
        <f aca="false">IF(ISNUMBER($AR397),SUMIF(AG$7:AG$503,$AR397,M$7:M$503),"")</f>
        <v>0</v>
      </c>
      <c r="AY397" s="2" t="str">
        <f aca="false">IF($AT397&gt;0,VLOOKUP($AR397,'O_MN, PE_UTA_UGM 2024'!E394:O809,2),"")</f>
        <v/>
      </c>
      <c r="AZ397" s="1424"/>
      <c r="BA397" s="1424"/>
      <c r="BB397" s="1424" t="str">
        <f aca="false">IF($AT397&gt;0,VLOOKUP($AR397,'O_MN, PE_UTA_UGM 2024'!$E$3:$O$419,BB$6),"")</f>
        <v/>
      </c>
      <c r="BC397" s="1424" t="str">
        <f aca="false">IF($AT397&gt;0,VLOOKUP($AR397,'O_MN, PE_UTA_UGM 2024'!$E$3:$O$419,BC$6),"")</f>
        <v/>
      </c>
      <c r="BD397" s="1424" t="str">
        <f aca="false">IF($AT397&gt;0,VLOOKUP($AR397,'O_MN, PE_UTA_UGM 2024'!$E$3:$O$419,BD$6),"")</f>
        <v/>
      </c>
      <c r="BE397" s="1424" t="str">
        <f aca="false">IF($AT397&gt;0,VLOOKUP($AR397,'O_MN, PE_UTA_UGM 2024'!$E$3:$O$419,BE$6),"")</f>
        <v/>
      </c>
      <c r="BF397" s="1424" t="str">
        <f aca="false">IF($AT397&gt;0,VLOOKUP($AR397,'O_MN, PE_UTA_UGM 2024'!$E$3:$O$419,BF$6),"")</f>
        <v/>
      </c>
      <c r="BG397" s="1424" t="str">
        <f aca="false">IF($AT397&gt;0,VLOOKUP($AR397,'O_MN, PE_UTA_UGM 2024'!$E$3:$O$419,BG$6),"")</f>
        <v/>
      </c>
      <c r="BH397" s="872"/>
      <c r="BI397" s="872"/>
      <c r="BJ397" s="872"/>
      <c r="BK397" s="872"/>
      <c r="BM397" s="1411"/>
      <c r="BN397" s="1411"/>
      <c r="BO397" s="1425" t="str">
        <f aca="false">IF(ISNUMBER($AU397*BB397*1),$AU397*BB397*1,"")</f>
        <v/>
      </c>
      <c r="BP397" s="1425" t="str">
        <f aca="false">IF(ISNUMBER($AV397*BC397*1),$AV397*BC397*1,"")</f>
        <v/>
      </c>
      <c r="BQ397" s="1425" t="str">
        <f aca="false">IF(ISNUMBER($AU397*BD397*1),$AU397*BD397*1,"")</f>
        <v/>
      </c>
      <c r="BR397" s="1425" t="str">
        <f aca="false">IF(ISNUMBER($AV397*BE397*1),$AV397*BE397*1,"")</f>
        <v/>
      </c>
      <c r="BS397" s="1411" t="str">
        <f aca="false">IF(ISNUMBER($AU397*BF397),$AU397*BF397,"")</f>
        <v/>
      </c>
      <c r="BT397" s="1411" t="str">
        <f aca="false">IF(ISNUMBER($AV397*BG397),$AV397*BG397,"")</f>
        <v/>
      </c>
      <c r="BU397" s="1411"/>
      <c r="BV397" s="1411"/>
      <c r="BW397" s="1411"/>
      <c r="BX397" s="1411"/>
      <c r="BZ397" s="1372"/>
      <c r="CA397" s="1372"/>
      <c r="CB397" s="1426" t="str">
        <f aca="false">IF(ISNUMBER($AW397*BB397),$AW397*BB397,"")</f>
        <v/>
      </c>
      <c r="CC397" s="1426" t="str">
        <f aca="false">IF(ISNUMBER($AX397*BC397),$AX397*BC397,"")</f>
        <v/>
      </c>
      <c r="CD397" s="1426" t="str">
        <f aca="false">IF(ISNUMBER($AW397*BD397),$AW397*BD397,"")</f>
        <v/>
      </c>
      <c r="CE397" s="1426" t="str">
        <f aca="false">IF(ISNUMBER($AX397*BE397),$AX397*BE397,"")</f>
        <v/>
      </c>
      <c r="CF397" s="1372" t="str">
        <f aca="false">IF(ISNUMBER($AW397*BF397),$AW397*BF397,"")</f>
        <v/>
      </c>
      <c r="CG397" s="1372" t="str">
        <f aca="false">IF(ISNUMBER($AX397*BG397),$AX397*BG397,"")</f>
        <v/>
      </c>
      <c r="CH397" s="1438"/>
      <c r="CI397" s="1438"/>
      <c r="CJ397" s="1438"/>
      <c r="CK397" s="1438"/>
      <c r="CU397" s="1411"/>
      <c r="CV397" s="1411"/>
      <c r="CW397" s="1425"/>
      <c r="CX397" s="1425"/>
      <c r="CY397" s="1425"/>
      <c r="CZ397" s="1425"/>
      <c r="DA397" s="1411"/>
      <c r="DB397" s="1411"/>
      <c r="DC397" s="1411"/>
      <c r="DD397" s="1411"/>
      <c r="DE397" s="1411"/>
      <c r="DF397" s="1411"/>
      <c r="DH397" s="1432"/>
      <c r="DI397" s="1432"/>
      <c r="DJ397" s="1437"/>
      <c r="DK397" s="1437"/>
      <c r="DL397" s="1437"/>
      <c r="DM397" s="1437"/>
      <c r="DN397" s="1432"/>
      <c r="DO397" s="1432"/>
      <c r="DP397" s="1432"/>
      <c r="DQ397" s="1432"/>
      <c r="DR397" s="1432"/>
      <c r="DS397" s="1432"/>
      <c r="DT397" s="1316"/>
      <c r="DU397" s="1433"/>
      <c r="DV397" s="1433"/>
      <c r="DW397" s="1433"/>
      <c r="DX397" s="1433"/>
      <c r="DY397" s="1433"/>
      <c r="DZ397" s="1433"/>
      <c r="EA397" s="1433"/>
      <c r="EB397" s="1433"/>
    </row>
    <row r="398" customFormat="false" ht="14.25" hidden="false" customHeight="false" outlineLevel="0" collapsed="false">
      <c r="A398" s="2" t="n">
        <f aca="false">'V_DATOS PAC_SGA'!R393</f>
        <v>0</v>
      </c>
      <c r="B398" s="2" t="n">
        <f aca="false">IF(I398="IV",CONCATENATE('V_DATOS PAC_SGA'!R393,"4")+0,CONCATENATE('V_DATOS PAC_SGA'!R393,"0")+0)</f>
        <v>0</v>
      </c>
      <c r="C398" s="2" t="n">
        <f aca="false">'V_DATOS PAC_SGA'!S393</f>
        <v>0</v>
      </c>
      <c r="D398" s="1409" t="n">
        <f aca="false">'V_DATOS PAC_SGA'!Y393</f>
        <v>0</v>
      </c>
      <c r="E398" s="1410" t="str">
        <f aca="false">IF('V_DATOS PAC_SGA'!AV393="","Regadio",'V_DATOS PAC_SGA'!AV393)</f>
        <v>Regadio</v>
      </c>
      <c r="F398" s="1411" t="n">
        <f aca="false">'V_DATOS PAC_SGA'!BK393</f>
        <v>0</v>
      </c>
      <c r="G398" s="1412" t="n">
        <f aca="false">'V_DATOS PAC_SGA'!AN393</f>
        <v>0</v>
      </c>
      <c r="H398" s="1413" t="str">
        <f aca="false">IF(B398&gt;0,VLOOKUP(B398,'O_MN, PE_UTA_UGM 2024'!E$3:O$419,10),"")</f>
        <v/>
      </c>
      <c r="I398" s="1359" t="n">
        <f aca="false">'V_DATOS PAC_SGA'!BV393</f>
        <v>0</v>
      </c>
      <c r="J398" s="2" t="str">
        <f aca="false">IF(AND(J$4=$G398,J$6=$F398),$D398*J$5,"")</f>
        <v/>
      </c>
      <c r="K398" s="2" t="str">
        <f aca="false">IF(AND(K$4=$G398,K$6=$F398),$D398*K$5,"")</f>
        <v/>
      </c>
      <c r="L398" s="2" t="str">
        <f aca="false">IF(AND(L$4=$G398,L$6=$F398),$D398*L$5,"")</f>
        <v/>
      </c>
      <c r="M398" s="2" t="str">
        <f aca="false">IF(AND(M$4=$G398,M$6=$F398),$D398*M$5,"")</f>
        <v/>
      </c>
      <c r="N398" s="1414" t="n">
        <f aca="false">VLOOKUP(B398,'O_MN, PE_UTA_UGM 2024'!$E$2:$K$419,IF(G398&gt;1,6,7))</f>
        <v>0</v>
      </c>
      <c r="O398" s="1434" t="str">
        <f aca="false">IF($H398=O$4,$D398*$N398,"")</f>
        <v/>
      </c>
      <c r="P398" s="1435" t="str">
        <f aca="false">IF($H398=P$4,$D398*$N398,"")</f>
        <v/>
      </c>
      <c r="Q398" s="1435" t="str">
        <f aca="false">IF($H398=Q$4,$D398*$N398,"")</f>
        <v/>
      </c>
      <c r="R398" s="1435" t="str">
        <f aca="false">IF($H398=R$4,$D398*$N398,"")</f>
        <v/>
      </c>
      <c r="S398" s="1435" t="str">
        <f aca="false">IF($H398=S$4,$D398*$N398,"")</f>
        <v/>
      </c>
      <c r="T398" s="1435" t="str">
        <f aca="false">IF($H398=T$4,$D398*$N398,"")</f>
        <v/>
      </c>
      <c r="U398" s="1436" t="str">
        <f aca="false">IF($H398=U$4,$D398*$N398,"")</f>
        <v/>
      </c>
      <c r="V398" s="1472"/>
      <c r="W398" s="1471"/>
      <c r="X398" s="1471"/>
      <c r="Y398" s="1471"/>
      <c r="Z398" s="1471"/>
      <c r="AA398" s="1471"/>
      <c r="AB398" s="1473"/>
      <c r="AC398" s="1319"/>
      <c r="AD398" s="2" t="str">
        <f aca="false">IF(AND(AD$4=$G398,AD$6=$F398),$B398,"")</f>
        <v/>
      </c>
      <c r="AE398" s="2" t="str">
        <f aca="false">IF(AND(AE$4=$G398,AE$6=$F398),$B398,"")</f>
        <v/>
      </c>
      <c r="AF398" s="2" t="str">
        <f aca="false">IF(AND(AF$4=$G398,AF$6=$F398),$B398,"")</f>
        <v/>
      </c>
      <c r="AG398" s="2" t="str">
        <f aca="false">IF(AND(AG$4=$G398,AG$6=$F398),$B398,"")</f>
        <v/>
      </c>
      <c r="AI398" s="366"/>
      <c r="AL398" s="367"/>
      <c r="AO398" s="367"/>
      <c r="AP398" s="2" t="str">
        <f aca="false">IF(AT398&gt;0,RANK(AT398,AT$7:AT$423),"")</f>
        <v/>
      </c>
      <c r="AQ398" s="1475" t="n">
        <f aca="false">'O_MN, PE_UTA_UGM 2024'!C395</f>
        <v>0</v>
      </c>
      <c r="AR398" s="1421" t="n">
        <v>4960</v>
      </c>
      <c r="AS398" s="2" t="str">
        <f aca="false">IF(AY398&lt;&gt;"",AY398,"")</f>
        <v/>
      </c>
      <c r="AT398" s="1422" t="n">
        <f aca="false">IF(ISNUMBER($AR398),SUMIF(B$7:B$505,AR398,D$7:D$505),"")</f>
        <v>0</v>
      </c>
      <c r="AU398" s="1411" t="n">
        <f aca="false">IF(ISNUMBER($AR398),SUMIF(AD$7:AD$503,$AR398,J$7:J$503),"")</f>
        <v>0</v>
      </c>
      <c r="AV398" s="1411" t="n">
        <f aca="false">IF(ISNUMBER($AR398),SUMIF(AF$7:AF$503,$AR398,L$7:L$503),"")</f>
        <v>0</v>
      </c>
      <c r="AW398" s="1423" t="n">
        <f aca="false">IF(ISNUMBER($AR398),SUMIF(AE$7:AE$503,$AR398,K$7:K$503),"")</f>
        <v>0</v>
      </c>
      <c r="AX398" s="1423" t="n">
        <f aca="false">IF(ISNUMBER($AR398),SUMIF(AG$7:AG$503,$AR398,M$7:M$503),"")</f>
        <v>0</v>
      </c>
      <c r="AY398" s="2" t="str">
        <f aca="false">IF($AT398&gt;0,VLOOKUP($AR398,'O_MN, PE_UTA_UGM 2024'!E395:O810,2),"")</f>
        <v/>
      </c>
      <c r="AZ398" s="1424"/>
      <c r="BA398" s="1424"/>
      <c r="BB398" s="1424" t="str">
        <f aca="false">IF($AT398&gt;0,VLOOKUP($AR398,'O_MN, PE_UTA_UGM 2024'!$E$3:$O$419,BB$6),"")</f>
        <v/>
      </c>
      <c r="BC398" s="1424" t="str">
        <f aca="false">IF($AT398&gt;0,VLOOKUP($AR398,'O_MN, PE_UTA_UGM 2024'!$E$3:$O$419,BC$6),"")</f>
        <v/>
      </c>
      <c r="BD398" s="1424" t="str">
        <f aca="false">IF($AT398&gt;0,VLOOKUP($AR398,'O_MN, PE_UTA_UGM 2024'!$E$3:$O$419,BD$6),"")</f>
        <v/>
      </c>
      <c r="BE398" s="1424" t="str">
        <f aca="false">IF($AT398&gt;0,VLOOKUP($AR398,'O_MN, PE_UTA_UGM 2024'!$E$3:$O$419,BE$6),"")</f>
        <v/>
      </c>
      <c r="BF398" s="1424" t="str">
        <f aca="false">IF($AT398&gt;0,VLOOKUP($AR398,'O_MN, PE_UTA_UGM 2024'!$E$3:$O$419,BF$6),"")</f>
        <v/>
      </c>
      <c r="BG398" s="1424" t="str">
        <f aca="false">IF($AT398&gt;0,VLOOKUP($AR398,'O_MN, PE_UTA_UGM 2024'!$E$3:$O$419,BG$6),"")</f>
        <v/>
      </c>
      <c r="BH398" s="872"/>
      <c r="BI398" s="872"/>
      <c r="BJ398" s="872"/>
      <c r="BK398" s="872"/>
      <c r="BM398" s="1411"/>
      <c r="BN398" s="1411"/>
      <c r="BO398" s="1425" t="str">
        <f aca="false">IF(ISNUMBER($AU398*BB398*1),$AU398*BB398*1,"")</f>
        <v/>
      </c>
      <c r="BP398" s="1425" t="str">
        <f aca="false">IF(ISNUMBER($AV398*BC398*1),$AV398*BC398*1,"")</f>
        <v/>
      </c>
      <c r="BQ398" s="1425" t="str">
        <f aca="false">IF(ISNUMBER($AU398*BD398*1),$AU398*BD398*1,"")</f>
        <v/>
      </c>
      <c r="BR398" s="1425" t="str">
        <f aca="false">IF(ISNUMBER($AV398*BE398*1),$AV398*BE398*1,"")</f>
        <v/>
      </c>
      <c r="BS398" s="1411" t="str">
        <f aca="false">IF(ISNUMBER($AU398*BF398),$AU398*BF398,"")</f>
        <v/>
      </c>
      <c r="BT398" s="1411" t="str">
        <f aca="false">IF(ISNUMBER($AV398*BG398),$AV398*BG398,"")</f>
        <v/>
      </c>
      <c r="BU398" s="1411"/>
      <c r="BV398" s="1411"/>
      <c r="BW398" s="1411"/>
      <c r="BX398" s="1411"/>
      <c r="BZ398" s="1372"/>
      <c r="CA398" s="1372"/>
      <c r="CB398" s="1426" t="str">
        <f aca="false">IF(ISNUMBER($AW398*BB398),$AW398*BB398,"")</f>
        <v/>
      </c>
      <c r="CC398" s="1426" t="str">
        <f aca="false">IF(ISNUMBER($AX398*BC398),$AX398*BC398,"")</f>
        <v/>
      </c>
      <c r="CD398" s="1426" t="str">
        <f aca="false">IF(ISNUMBER($AW398*BD398),$AW398*BD398,"")</f>
        <v/>
      </c>
      <c r="CE398" s="1426" t="str">
        <f aca="false">IF(ISNUMBER($AX398*BE398),$AX398*BE398,"")</f>
        <v/>
      </c>
      <c r="CF398" s="1372" t="str">
        <f aca="false">IF(ISNUMBER($AW398*BF398),$AW398*BF398,"")</f>
        <v/>
      </c>
      <c r="CG398" s="1372" t="str">
        <f aca="false">IF(ISNUMBER($AX398*BG398),$AX398*BG398,"")</f>
        <v/>
      </c>
      <c r="CH398" s="1438"/>
      <c r="CI398" s="1438"/>
      <c r="CJ398" s="1438"/>
      <c r="CK398" s="1438"/>
      <c r="CU398" s="1411"/>
      <c r="CV398" s="1411"/>
      <c r="CW398" s="1425"/>
      <c r="CX398" s="1425"/>
      <c r="CY398" s="1425"/>
      <c r="CZ398" s="1425"/>
      <c r="DA398" s="1411"/>
      <c r="DB398" s="1411"/>
      <c r="DC398" s="1411"/>
      <c r="DD398" s="1411"/>
      <c r="DE398" s="1411"/>
      <c r="DF398" s="1411"/>
      <c r="DH398" s="1432"/>
      <c r="DI398" s="1432"/>
      <c r="DJ398" s="1437"/>
      <c r="DK398" s="1437"/>
      <c r="DL398" s="1437"/>
      <c r="DM398" s="1437"/>
      <c r="DN398" s="1432"/>
      <c r="DO398" s="1432"/>
      <c r="DP398" s="1432"/>
      <c r="DQ398" s="1432"/>
      <c r="DR398" s="1432"/>
      <c r="DS398" s="1432"/>
      <c r="DT398" s="1316"/>
      <c r="DU398" s="1433"/>
      <c r="DV398" s="1433"/>
      <c r="DW398" s="1433"/>
      <c r="DX398" s="1433"/>
      <c r="DY398" s="1433"/>
      <c r="DZ398" s="1433"/>
      <c r="EA398" s="1433"/>
      <c r="EB398" s="1433"/>
    </row>
    <row r="399" customFormat="false" ht="14.25" hidden="false" customHeight="false" outlineLevel="0" collapsed="false">
      <c r="A399" s="2" t="n">
        <f aca="false">'V_DATOS PAC_SGA'!R394</f>
        <v>0</v>
      </c>
      <c r="B399" s="2" t="n">
        <f aca="false">IF(I399="IV",CONCATENATE('V_DATOS PAC_SGA'!R394,"4")+0,CONCATENATE('V_DATOS PAC_SGA'!R394,"0")+0)</f>
        <v>0</v>
      </c>
      <c r="C399" s="2" t="n">
        <f aca="false">'V_DATOS PAC_SGA'!S394</f>
        <v>0</v>
      </c>
      <c r="D399" s="1409" t="n">
        <f aca="false">'V_DATOS PAC_SGA'!Y394</f>
        <v>0</v>
      </c>
      <c r="E399" s="1410" t="str">
        <f aca="false">IF('V_DATOS PAC_SGA'!AV394="","Regadio",'V_DATOS PAC_SGA'!AV394)</f>
        <v>Regadio</v>
      </c>
      <c r="F399" s="1411" t="n">
        <f aca="false">'V_DATOS PAC_SGA'!BK394</f>
        <v>0</v>
      </c>
      <c r="G399" s="1412" t="n">
        <f aca="false">'V_DATOS PAC_SGA'!AN394</f>
        <v>0</v>
      </c>
      <c r="H399" s="1413" t="str">
        <f aca="false">IF(B399&gt;0,VLOOKUP(B399,'O_MN, PE_UTA_UGM 2024'!E$3:O$419,10),"")</f>
        <v/>
      </c>
      <c r="I399" s="1359" t="n">
        <f aca="false">'V_DATOS PAC_SGA'!BV394</f>
        <v>0</v>
      </c>
      <c r="J399" s="2" t="str">
        <f aca="false">IF(AND(J$4=$G399,J$6=$F399),$D399*J$5,"")</f>
        <v/>
      </c>
      <c r="K399" s="2" t="str">
        <f aca="false">IF(AND(K$4=$G399,K$6=$F399),$D399*K$5,"")</f>
        <v/>
      </c>
      <c r="L399" s="2" t="str">
        <f aca="false">IF(AND(L$4=$G399,L$6=$F399),$D399*L$5,"")</f>
        <v/>
      </c>
      <c r="M399" s="2" t="str">
        <f aca="false">IF(AND(M$4=$G399,M$6=$F399),$D399*M$5,"")</f>
        <v/>
      </c>
      <c r="N399" s="1414" t="n">
        <f aca="false">VLOOKUP(B399,'O_MN, PE_UTA_UGM 2024'!$E$2:$K$419,IF(G399&gt;1,6,7))</f>
        <v>0</v>
      </c>
      <c r="O399" s="1434" t="str">
        <f aca="false">IF($H399=O$4,$D399*$N399,"")</f>
        <v/>
      </c>
      <c r="P399" s="1435" t="str">
        <f aca="false">IF($H399=P$4,$D399*$N399,"")</f>
        <v/>
      </c>
      <c r="Q399" s="1435" t="str">
        <f aca="false">IF($H399=Q$4,$D399*$N399,"")</f>
        <v/>
      </c>
      <c r="R399" s="1435" t="str">
        <f aca="false">IF($H399=R$4,$D399*$N399,"")</f>
        <v/>
      </c>
      <c r="S399" s="1435" t="str">
        <f aca="false">IF($H399=S$4,$D399*$N399,"")</f>
        <v/>
      </c>
      <c r="T399" s="1435" t="str">
        <f aca="false">IF($H399=T$4,$D399*$N399,"")</f>
        <v/>
      </c>
      <c r="U399" s="1436" t="str">
        <f aca="false">IF($H399=U$4,$D399*$N399,"")</f>
        <v/>
      </c>
      <c r="V399" s="1472"/>
      <c r="W399" s="1471"/>
      <c r="X399" s="1471"/>
      <c r="Y399" s="1471"/>
      <c r="Z399" s="1471"/>
      <c r="AA399" s="1471"/>
      <c r="AB399" s="1473"/>
      <c r="AC399" s="1319"/>
      <c r="AD399" s="2" t="str">
        <f aca="false">IF(AND(AD$4=$G399,AD$6=$F399),$B399,"")</f>
        <v/>
      </c>
      <c r="AE399" s="2" t="str">
        <f aca="false">IF(AND(AE$4=$G399,AE$6=$F399),$B399,"")</f>
        <v/>
      </c>
      <c r="AF399" s="2" t="str">
        <f aca="false">IF(AND(AF$4=$G399,AF$6=$F399),$B399,"")</f>
        <v/>
      </c>
      <c r="AG399" s="2" t="str">
        <f aca="false">IF(AND(AG$4=$G399,AG$6=$F399),$B399,"")</f>
        <v/>
      </c>
      <c r="AI399" s="366"/>
      <c r="AL399" s="367"/>
      <c r="AO399" s="367"/>
      <c r="AP399" s="2" t="str">
        <f aca="false">IF(AT399&gt;0,RANK(AT399,AT$7:AT$423),"")</f>
        <v/>
      </c>
      <c r="AQ399" s="1475" t="n">
        <f aca="false">'O_MN, PE_UTA_UGM 2024'!C396</f>
        <v>0</v>
      </c>
      <c r="AR399" s="1421" t="n">
        <v>9040</v>
      </c>
      <c r="AS399" s="2" t="str">
        <f aca="false">IF(AY399&lt;&gt;"",AY399,"")</f>
        <v/>
      </c>
      <c r="AT399" s="1422" t="n">
        <f aca="false">IF(ISNUMBER($AR399),SUMIF(B$7:B$505,AR399,D$7:D$505),"")</f>
        <v>0</v>
      </c>
      <c r="AU399" s="1411" t="n">
        <f aca="false">IF(ISNUMBER($AR399),SUMIF(AD$7:AD$503,$AR399,J$7:J$503),"")</f>
        <v>0</v>
      </c>
      <c r="AV399" s="1411" t="n">
        <f aca="false">IF(ISNUMBER($AR399),SUMIF(AF$7:AF$503,$AR399,L$7:L$503),"")</f>
        <v>0</v>
      </c>
      <c r="AW399" s="1423" t="n">
        <f aca="false">IF(ISNUMBER($AR399),SUMIF(AE$7:AE$503,$AR399,K$7:K$503),"")</f>
        <v>0</v>
      </c>
      <c r="AX399" s="1423" t="n">
        <f aca="false">IF(ISNUMBER($AR399),SUMIF(AG$7:AG$503,$AR399,M$7:M$503),"")</f>
        <v>0</v>
      </c>
      <c r="AY399" s="2" t="str">
        <f aca="false">IF($AT399&gt;0,VLOOKUP($AR399,'O_MN, PE_UTA_UGM 2024'!E396:O811,2),"")</f>
        <v/>
      </c>
      <c r="AZ399" s="1424"/>
      <c r="BA399" s="1424"/>
      <c r="BB399" s="1424" t="str">
        <f aca="false">IF($AT399&gt;0,VLOOKUP($AR399,'O_MN, PE_UTA_UGM 2024'!$E$3:$O$419,BB$6),"")</f>
        <v/>
      </c>
      <c r="BC399" s="1424" t="str">
        <f aca="false">IF($AT399&gt;0,VLOOKUP($AR399,'O_MN, PE_UTA_UGM 2024'!$E$3:$O$419,BC$6),"")</f>
        <v/>
      </c>
      <c r="BD399" s="1424" t="str">
        <f aca="false">IF($AT399&gt;0,VLOOKUP($AR399,'O_MN, PE_UTA_UGM 2024'!$E$3:$O$419,BD$6),"")</f>
        <v/>
      </c>
      <c r="BE399" s="1424" t="str">
        <f aca="false">IF($AT399&gt;0,VLOOKUP($AR399,'O_MN, PE_UTA_UGM 2024'!$E$3:$O$419,BE$6),"")</f>
        <v/>
      </c>
      <c r="BF399" s="1424" t="str">
        <f aca="false">IF($AT399&gt;0,VLOOKUP($AR399,'O_MN, PE_UTA_UGM 2024'!$E$3:$O$419,BF$6),"")</f>
        <v/>
      </c>
      <c r="BG399" s="1424" t="str">
        <f aca="false">IF($AT399&gt;0,VLOOKUP($AR399,'O_MN, PE_UTA_UGM 2024'!$E$3:$O$419,BG$6),"")</f>
        <v/>
      </c>
      <c r="BH399" s="872"/>
      <c r="BI399" s="872"/>
      <c r="BJ399" s="872"/>
      <c r="BK399" s="872"/>
      <c r="BM399" s="1411"/>
      <c r="BN399" s="1411"/>
      <c r="BO399" s="1425" t="str">
        <f aca="false">IF(ISNUMBER($AU399*BB399*1),$AU399*BB399*1,"")</f>
        <v/>
      </c>
      <c r="BP399" s="1425" t="str">
        <f aca="false">IF(ISNUMBER($AV399*BC399*1),$AV399*BC399*1,"")</f>
        <v/>
      </c>
      <c r="BQ399" s="1425" t="str">
        <f aca="false">IF(ISNUMBER($AU399*BD399*1),$AU399*BD399*1,"")</f>
        <v/>
      </c>
      <c r="BR399" s="1425" t="str">
        <f aca="false">IF(ISNUMBER($AV399*BE399*1),$AV399*BE399*1,"")</f>
        <v/>
      </c>
      <c r="BS399" s="1411" t="str">
        <f aca="false">IF(ISNUMBER($AU399*BF399),$AU399*BF399,"")</f>
        <v/>
      </c>
      <c r="BT399" s="1411" t="str">
        <f aca="false">IF(ISNUMBER($AV399*BG399),$AV399*BG399,"")</f>
        <v/>
      </c>
      <c r="BU399" s="1411"/>
      <c r="BV399" s="1411"/>
      <c r="BW399" s="1411"/>
      <c r="BX399" s="1411"/>
      <c r="BZ399" s="1372"/>
      <c r="CA399" s="1372"/>
      <c r="CB399" s="1426" t="str">
        <f aca="false">IF(ISNUMBER($AW399*BB399),$AW399*BB399,"")</f>
        <v/>
      </c>
      <c r="CC399" s="1426" t="str">
        <f aca="false">IF(ISNUMBER($AX399*BC399),$AX399*BC399,"")</f>
        <v/>
      </c>
      <c r="CD399" s="1426" t="str">
        <f aca="false">IF(ISNUMBER($AW399*BD399),$AW399*BD399,"")</f>
        <v/>
      </c>
      <c r="CE399" s="1426" t="str">
        <f aca="false">IF(ISNUMBER($AX399*BE399),$AX399*BE399,"")</f>
        <v/>
      </c>
      <c r="CF399" s="1372" t="str">
        <f aca="false">IF(ISNUMBER($AW399*BF399),$AW399*BF399,"")</f>
        <v/>
      </c>
      <c r="CG399" s="1372" t="str">
        <f aca="false">IF(ISNUMBER($AX399*BG399),$AX399*BG399,"")</f>
        <v/>
      </c>
      <c r="CH399" s="1438"/>
      <c r="CI399" s="1438"/>
      <c r="CJ399" s="1438"/>
      <c r="CK399" s="1438"/>
      <c r="CU399" s="1411"/>
      <c r="CV399" s="1411"/>
      <c r="CW399" s="1425"/>
      <c r="CX399" s="1425"/>
      <c r="CY399" s="1425"/>
      <c r="CZ399" s="1425"/>
      <c r="DA399" s="1411"/>
      <c r="DB399" s="1411"/>
      <c r="DC399" s="1411"/>
      <c r="DD399" s="1411"/>
      <c r="DE399" s="1411"/>
      <c r="DF399" s="1411"/>
      <c r="DH399" s="1432"/>
      <c r="DI399" s="1432"/>
      <c r="DJ399" s="1437"/>
      <c r="DK399" s="1437"/>
      <c r="DL399" s="1437"/>
      <c r="DM399" s="1437"/>
      <c r="DN399" s="1432"/>
      <c r="DO399" s="1432"/>
      <c r="DP399" s="1432"/>
      <c r="DQ399" s="1432"/>
      <c r="DR399" s="1432"/>
      <c r="DS399" s="1432"/>
      <c r="DT399" s="1316"/>
      <c r="DU399" s="1433"/>
      <c r="DV399" s="1433"/>
      <c r="DW399" s="1433"/>
      <c r="DX399" s="1433"/>
      <c r="DY399" s="1433"/>
      <c r="DZ399" s="1433"/>
      <c r="EA399" s="1433"/>
      <c r="EB399" s="1433"/>
    </row>
    <row r="400" customFormat="false" ht="14.25" hidden="false" customHeight="false" outlineLevel="0" collapsed="false">
      <c r="A400" s="2" t="n">
        <f aca="false">'V_DATOS PAC_SGA'!R395</f>
        <v>0</v>
      </c>
      <c r="B400" s="2" t="n">
        <f aca="false">IF(I400="IV",CONCATENATE('V_DATOS PAC_SGA'!R395,"4")+0,CONCATENATE('V_DATOS PAC_SGA'!R395,"0")+0)</f>
        <v>0</v>
      </c>
      <c r="C400" s="2" t="n">
        <f aca="false">'V_DATOS PAC_SGA'!S395</f>
        <v>0</v>
      </c>
      <c r="D400" s="1409" t="n">
        <f aca="false">'V_DATOS PAC_SGA'!Y395</f>
        <v>0</v>
      </c>
      <c r="E400" s="1410" t="str">
        <f aca="false">IF('V_DATOS PAC_SGA'!AV395="","Regadio",'V_DATOS PAC_SGA'!AV395)</f>
        <v>Regadio</v>
      </c>
      <c r="F400" s="1411" t="n">
        <f aca="false">'V_DATOS PAC_SGA'!BK395</f>
        <v>0</v>
      </c>
      <c r="G400" s="1412" t="n">
        <f aca="false">'V_DATOS PAC_SGA'!AN395</f>
        <v>0</v>
      </c>
      <c r="H400" s="1413" t="str">
        <f aca="false">IF(B400&gt;0,VLOOKUP(B400,'O_MN, PE_UTA_UGM 2024'!E$3:O$419,10),"")</f>
        <v/>
      </c>
      <c r="I400" s="1359" t="n">
        <f aca="false">'V_DATOS PAC_SGA'!BV395</f>
        <v>0</v>
      </c>
      <c r="J400" s="2" t="str">
        <f aca="false">IF(AND(J$4=$G400,J$6=$F400),$D400*J$5,"")</f>
        <v/>
      </c>
      <c r="K400" s="2" t="str">
        <f aca="false">IF(AND(K$4=$G400,K$6=$F400),$D400*K$5,"")</f>
        <v/>
      </c>
      <c r="L400" s="2" t="str">
        <f aca="false">IF(AND(L$4=$G400,L$6=$F400),$D400*L$5,"")</f>
        <v/>
      </c>
      <c r="M400" s="2" t="str">
        <f aca="false">IF(AND(M$4=$G400,M$6=$F400),$D400*M$5,"")</f>
        <v/>
      </c>
      <c r="N400" s="1414" t="n">
        <f aca="false">VLOOKUP(B400,'O_MN, PE_UTA_UGM 2024'!$E$2:$K$419,IF(G400&gt;1,6,7))</f>
        <v>0</v>
      </c>
      <c r="O400" s="1434" t="str">
        <f aca="false">IF($H400=O$4,$D400*$N400,"")</f>
        <v/>
      </c>
      <c r="P400" s="1435" t="str">
        <f aca="false">IF($H400=P$4,$D400*$N400,"")</f>
        <v/>
      </c>
      <c r="Q400" s="1435" t="str">
        <f aca="false">IF($H400=Q$4,$D400*$N400,"")</f>
        <v/>
      </c>
      <c r="R400" s="1435" t="str">
        <f aca="false">IF($H400=R$4,$D400*$N400,"")</f>
        <v/>
      </c>
      <c r="S400" s="1435" t="str">
        <f aca="false">IF($H400=S$4,$D400*$N400,"")</f>
        <v/>
      </c>
      <c r="T400" s="1435" t="str">
        <f aca="false">IF($H400=T$4,$D400*$N400,"")</f>
        <v/>
      </c>
      <c r="U400" s="1436" t="str">
        <f aca="false">IF($H400=U$4,$D400*$N400,"")</f>
        <v/>
      </c>
      <c r="V400" s="1472"/>
      <c r="W400" s="1471"/>
      <c r="X400" s="1471"/>
      <c r="Y400" s="1471"/>
      <c r="Z400" s="1471"/>
      <c r="AA400" s="1471"/>
      <c r="AB400" s="1473"/>
      <c r="AC400" s="1319"/>
      <c r="AD400" s="2" t="str">
        <f aca="false">IF(AND(AD$4=$G400,AD$6=$F400),$B400,"")</f>
        <v/>
      </c>
      <c r="AE400" s="2" t="str">
        <f aca="false">IF(AND(AE$4=$G400,AE$6=$F400),$B400,"")</f>
        <v/>
      </c>
      <c r="AF400" s="2" t="str">
        <f aca="false">IF(AND(AF$4=$G400,AF$6=$F400),$B400,"")</f>
        <v/>
      </c>
      <c r="AG400" s="2" t="str">
        <f aca="false">IF(AND(AG$4=$G400,AG$6=$F400),$B400,"")</f>
        <v/>
      </c>
      <c r="AI400" s="366"/>
      <c r="AL400" s="367"/>
      <c r="AO400" s="367"/>
      <c r="AP400" s="2" t="str">
        <f aca="false">IF(AT400&gt;0,RANK(AT400,AT$7:AT$423),"")</f>
        <v/>
      </c>
      <c r="AQ400" s="1475" t="n">
        <f aca="false">'O_MN, PE_UTA_UGM 2024'!C397</f>
        <v>0</v>
      </c>
      <c r="AR400" s="1421" t="n">
        <v>9090</v>
      </c>
      <c r="AS400" s="2" t="str">
        <f aca="false">IF(AY400&lt;&gt;"",AY400,"")</f>
        <v/>
      </c>
      <c r="AT400" s="1422" t="n">
        <f aca="false">IF(ISNUMBER($AR400),SUMIF(B$7:B$505,AR400,D$7:D$505),"")</f>
        <v>0</v>
      </c>
      <c r="AU400" s="1411" t="n">
        <f aca="false">IF(ISNUMBER($AR400),SUMIF(AD$7:AD$503,$AR400,J$7:J$503),"")</f>
        <v>0</v>
      </c>
      <c r="AV400" s="1411" t="n">
        <f aca="false">IF(ISNUMBER($AR400),SUMIF(AF$7:AF$503,$AR400,L$7:L$503),"")</f>
        <v>0</v>
      </c>
      <c r="AW400" s="1423" t="n">
        <f aca="false">IF(ISNUMBER($AR400),SUMIF(AE$7:AE$503,$AR400,K$7:K$503),"")</f>
        <v>0</v>
      </c>
      <c r="AX400" s="1423" t="n">
        <f aca="false">IF(ISNUMBER($AR400),SUMIF(AG$7:AG$503,$AR400,M$7:M$503),"")</f>
        <v>0</v>
      </c>
      <c r="AY400" s="2" t="str">
        <f aca="false">IF($AT400&gt;0,VLOOKUP($AR400,'O_MN, PE_UTA_UGM 2024'!E397:O812,2),"")</f>
        <v/>
      </c>
      <c r="AZ400" s="1424"/>
      <c r="BA400" s="1424"/>
      <c r="BB400" s="1424" t="str">
        <f aca="false">IF($AT400&gt;0,VLOOKUP($AR400,'O_MN, PE_UTA_UGM 2024'!$E$3:$O$419,BB$6),"")</f>
        <v/>
      </c>
      <c r="BC400" s="1424" t="str">
        <f aca="false">IF($AT400&gt;0,VLOOKUP($AR400,'O_MN, PE_UTA_UGM 2024'!$E$3:$O$419,BC$6),"")</f>
        <v/>
      </c>
      <c r="BD400" s="1424" t="str">
        <f aca="false">IF($AT400&gt;0,VLOOKUP($AR400,'O_MN, PE_UTA_UGM 2024'!$E$3:$O$419,BD$6),"")</f>
        <v/>
      </c>
      <c r="BE400" s="1424" t="str">
        <f aca="false">IF($AT400&gt;0,VLOOKUP($AR400,'O_MN, PE_UTA_UGM 2024'!$E$3:$O$419,BE$6),"")</f>
        <v/>
      </c>
      <c r="BF400" s="1424" t="str">
        <f aca="false">IF($AT400&gt;0,VLOOKUP($AR400,'O_MN, PE_UTA_UGM 2024'!$E$3:$O$419,BF$6),"")</f>
        <v/>
      </c>
      <c r="BG400" s="1424" t="str">
        <f aca="false">IF($AT400&gt;0,VLOOKUP($AR400,'O_MN, PE_UTA_UGM 2024'!$E$3:$O$419,BG$6),"")</f>
        <v/>
      </c>
      <c r="BH400" s="872"/>
      <c r="BI400" s="872"/>
      <c r="BJ400" s="872"/>
      <c r="BK400" s="872"/>
      <c r="BM400" s="1411"/>
      <c r="BN400" s="1411"/>
      <c r="BO400" s="1425" t="str">
        <f aca="false">IF(ISNUMBER($AU400*BB400*1),$AU400*BB400*1,"")</f>
        <v/>
      </c>
      <c r="BP400" s="1425" t="str">
        <f aca="false">IF(ISNUMBER($AV400*BC400*1),$AV400*BC400*1,"")</f>
        <v/>
      </c>
      <c r="BQ400" s="1425" t="str">
        <f aca="false">IF(ISNUMBER($AU400*BD400*1),$AU400*BD400*1,"")</f>
        <v/>
      </c>
      <c r="BR400" s="1425" t="str">
        <f aca="false">IF(ISNUMBER($AV400*BE400*1),$AV400*BE400*1,"")</f>
        <v/>
      </c>
      <c r="BS400" s="1411" t="str">
        <f aca="false">IF(ISNUMBER($AU400*BF400),$AU400*BF400,"")</f>
        <v/>
      </c>
      <c r="BT400" s="1411" t="str">
        <f aca="false">IF(ISNUMBER($AV400*BG400),$AV400*BG400,"")</f>
        <v/>
      </c>
      <c r="BU400" s="1411"/>
      <c r="BV400" s="1411"/>
      <c r="BW400" s="1411"/>
      <c r="BX400" s="1411"/>
      <c r="BZ400" s="1372"/>
      <c r="CA400" s="1372"/>
      <c r="CB400" s="1426" t="str">
        <f aca="false">IF(ISNUMBER($AW400*BB400),$AW400*BB400,"")</f>
        <v/>
      </c>
      <c r="CC400" s="1426" t="str">
        <f aca="false">IF(ISNUMBER($AX400*BC400),$AX400*BC400,"")</f>
        <v/>
      </c>
      <c r="CD400" s="1426" t="str">
        <f aca="false">IF(ISNUMBER($AW400*BD400),$AW400*BD400,"")</f>
        <v/>
      </c>
      <c r="CE400" s="1426" t="str">
        <f aca="false">IF(ISNUMBER($AX400*BE400),$AX400*BE400,"")</f>
        <v/>
      </c>
      <c r="CF400" s="1372" t="str">
        <f aca="false">IF(ISNUMBER($AW400*BF400),$AW400*BF400,"")</f>
        <v/>
      </c>
      <c r="CG400" s="1372" t="str">
        <f aca="false">IF(ISNUMBER($AX400*BG400),$AX400*BG400,"")</f>
        <v/>
      </c>
      <c r="CH400" s="1438"/>
      <c r="CI400" s="1438"/>
      <c r="CJ400" s="1438"/>
      <c r="CK400" s="1438"/>
      <c r="CU400" s="1411"/>
      <c r="CV400" s="1411"/>
      <c r="CW400" s="1425"/>
      <c r="CX400" s="1425"/>
      <c r="CY400" s="1425"/>
      <c r="CZ400" s="1425"/>
      <c r="DA400" s="1411"/>
      <c r="DB400" s="1411"/>
      <c r="DC400" s="1411"/>
      <c r="DD400" s="1411"/>
      <c r="DE400" s="1411"/>
      <c r="DF400" s="1411"/>
      <c r="DH400" s="1432"/>
      <c r="DI400" s="1432"/>
      <c r="DJ400" s="1437"/>
      <c r="DK400" s="1437"/>
      <c r="DL400" s="1437"/>
      <c r="DM400" s="1437"/>
      <c r="DN400" s="1432"/>
      <c r="DO400" s="1432"/>
      <c r="DP400" s="1432"/>
      <c r="DQ400" s="1432"/>
      <c r="DR400" s="1432"/>
      <c r="DS400" s="1432"/>
      <c r="DT400" s="1316"/>
      <c r="DU400" s="1433"/>
      <c r="DV400" s="1433"/>
      <c r="DW400" s="1433"/>
      <c r="DX400" s="1433"/>
      <c r="DY400" s="1433"/>
      <c r="DZ400" s="1433"/>
      <c r="EA400" s="1433"/>
      <c r="EB400" s="1433"/>
    </row>
    <row r="401" customFormat="false" ht="14.25" hidden="false" customHeight="false" outlineLevel="0" collapsed="false">
      <c r="A401" s="2" t="n">
        <f aca="false">'V_DATOS PAC_SGA'!R396</f>
        <v>0</v>
      </c>
      <c r="B401" s="2" t="n">
        <f aca="false">IF(I401="IV",CONCATENATE('V_DATOS PAC_SGA'!R396,"4")+0,CONCATENATE('V_DATOS PAC_SGA'!R396,"0")+0)</f>
        <v>0</v>
      </c>
      <c r="C401" s="2" t="n">
        <f aca="false">'V_DATOS PAC_SGA'!S396</f>
        <v>0</v>
      </c>
      <c r="D401" s="1409" t="n">
        <f aca="false">'V_DATOS PAC_SGA'!Y396</f>
        <v>0</v>
      </c>
      <c r="E401" s="1410" t="str">
        <f aca="false">IF('V_DATOS PAC_SGA'!AV396="","Regadio",'V_DATOS PAC_SGA'!AV396)</f>
        <v>Regadio</v>
      </c>
      <c r="F401" s="1411" t="n">
        <f aca="false">'V_DATOS PAC_SGA'!BK396</f>
        <v>0</v>
      </c>
      <c r="G401" s="1412" t="n">
        <f aca="false">'V_DATOS PAC_SGA'!AN396</f>
        <v>0</v>
      </c>
      <c r="H401" s="1413" t="str">
        <f aca="false">IF(B401&gt;0,VLOOKUP(B401,'O_MN, PE_UTA_UGM 2024'!E$3:O$419,10),"")</f>
        <v/>
      </c>
      <c r="I401" s="1359" t="n">
        <f aca="false">'V_DATOS PAC_SGA'!BV396</f>
        <v>0</v>
      </c>
      <c r="J401" s="2" t="str">
        <f aca="false">IF(AND(J$4=$G401,J$6=$F401),$D401*J$5,"")</f>
        <v/>
      </c>
      <c r="K401" s="2" t="str">
        <f aca="false">IF(AND(K$4=$G401,K$6=$F401),$D401*K$5,"")</f>
        <v/>
      </c>
      <c r="L401" s="2" t="str">
        <f aca="false">IF(AND(L$4=$G401,L$6=$F401),$D401*L$5,"")</f>
        <v/>
      </c>
      <c r="M401" s="2" t="str">
        <f aca="false">IF(AND(M$4=$G401,M$6=$F401),$D401*M$5,"")</f>
        <v/>
      </c>
      <c r="N401" s="1414" t="n">
        <f aca="false">VLOOKUP(B401,'O_MN, PE_UTA_UGM 2024'!$E$2:$K$419,IF(G401&gt;1,6,7))</f>
        <v>0</v>
      </c>
      <c r="O401" s="1434" t="str">
        <f aca="false">IF($H401=O$4,$D401*$N401,"")</f>
        <v/>
      </c>
      <c r="P401" s="1435" t="str">
        <f aca="false">IF($H401=P$4,$D401*$N401,"")</f>
        <v/>
      </c>
      <c r="Q401" s="1435" t="str">
        <f aca="false">IF($H401=Q$4,$D401*$N401,"")</f>
        <v/>
      </c>
      <c r="R401" s="1435" t="str">
        <f aca="false">IF($H401=R$4,$D401*$N401,"")</f>
        <v/>
      </c>
      <c r="S401" s="1435" t="str">
        <f aca="false">IF($H401=S$4,$D401*$N401,"")</f>
        <v/>
      </c>
      <c r="T401" s="1435" t="str">
        <f aca="false">IF($H401=T$4,$D401*$N401,"")</f>
        <v/>
      </c>
      <c r="U401" s="1436" t="str">
        <f aca="false">IF($H401=U$4,$D401*$N401,"")</f>
        <v/>
      </c>
      <c r="V401" s="1472"/>
      <c r="W401" s="1471"/>
      <c r="X401" s="1471"/>
      <c r="Y401" s="1471"/>
      <c r="Z401" s="1471"/>
      <c r="AA401" s="1471"/>
      <c r="AB401" s="1473"/>
      <c r="AC401" s="1319"/>
      <c r="AD401" s="2" t="str">
        <f aca="false">IF(AND(AD$4=$G401,AD$6=$F401),$B401,"")</f>
        <v/>
      </c>
      <c r="AE401" s="2" t="str">
        <f aca="false">IF(AND(AE$4=$G401,AE$6=$F401),$B401,"")</f>
        <v/>
      </c>
      <c r="AF401" s="2" t="str">
        <f aca="false">IF(AND(AF$4=$G401,AF$6=$F401),$B401,"")</f>
        <v/>
      </c>
      <c r="AG401" s="2" t="str">
        <f aca="false">IF(AND(AG$4=$G401,AG$6=$F401),$B401,"")</f>
        <v/>
      </c>
      <c r="AI401" s="366"/>
      <c r="AL401" s="367"/>
      <c r="AO401" s="367"/>
      <c r="AP401" s="2" t="str">
        <f aca="false">IF(AT401&gt;0,RANK(AT401,AT$7:AT$423),"")</f>
        <v/>
      </c>
      <c r="AQ401" s="1475" t="n">
        <f aca="false">'O_MN, PE_UTA_UGM 2024'!C398</f>
        <v>0</v>
      </c>
      <c r="AR401" s="1421" t="n">
        <v>9100</v>
      </c>
      <c r="AS401" s="2" t="str">
        <f aca="false">IF(AY401&lt;&gt;"",AY401,"")</f>
        <v/>
      </c>
      <c r="AT401" s="1422" t="n">
        <f aca="false">IF(ISNUMBER($AR401),SUMIF(B$7:B$505,AR401,D$7:D$505),"")</f>
        <v>0</v>
      </c>
      <c r="AU401" s="1411" t="n">
        <f aca="false">IF(ISNUMBER($AR401),SUMIF(AD$7:AD$503,$AR401,J$7:J$503),"")</f>
        <v>0</v>
      </c>
      <c r="AV401" s="1411" t="n">
        <f aca="false">IF(ISNUMBER($AR401),SUMIF(AF$7:AF$503,$AR401,L$7:L$503),"")</f>
        <v>0</v>
      </c>
      <c r="AW401" s="1423" t="n">
        <f aca="false">IF(ISNUMBER($AR401),SUMIF(AE$7:AE$503,$AR401,K$7:K$503),"")</f>
        <v>0</v>
      </c>
      <c r="AX401" s="1423" t="n">
        <f aca="false">IF(ISNUMBER($AR401),SUMIF(AG$7:AG$503,$AR401,M$7:M$503),"")</f>
        <v>0</v>
      </c>
      <c r="AY401" s="2" t="str">
        <f aca="false">IF($AT401&gt;0,VLOOKUP($AR401,'O_MN, PE_UTA_UGM 2024'!E398:O813,2),"")</f>
        <v/>
      </c>
      <c r="AZ401" s="1424"/>
      <c r="BA401" s="1424"/>
      <c r="BB401" s="1424" t="str">
        <f aca="false">IF($AT401&gt;0,VLOOKUP($AR401,'O_MN, PE_UTA_UGM 2024'!$E$3:$O$419,BB$6),"")</f>
        <v/>
      </c>
      <c r="BC401" s="1424" t="str">
        <f aca="false">IF($AT401&gt;0,VLOOKUP($AR401,'O_MN, PE_UTA_UGM 2024'!$E$3:$O$419,BC$6),"")</f>
        <v/>
      </c>
      <c r="BD401" s="1424" t="str">
        <f aca="false">IF($AT401&gt;0,VLOOKUP($AR401,'O_MN, PE_UTA_UGM 2024'!$E$3:$O$419,BD$6),"")</f>
        <v/>
      </c>
      <c r="BE401" s="1424" t="str">
        <f aca="false">IF($AT401&gt;0,VLOOKUP($AR401,'O_MN, PE_UTA_UGM 2024'!$E$3:$O$419,BE$6),"")</f>
        <v/>
      </c>
      <c r="BF401" s="1424" t="str">
        <f aca="false">IF($AT401&gt;0,VLOOKUP($AR401,'O_MN, PE_UTA_UGM 2024'!$E$3:$O$419,BF$6),"")</f>
        <v/>
      </c>
      <c r="BG401" s="1424" t="str">
        <f aca="false">IF($AT401&gt;0,VLOOKUP($AR401,'O_MN, PE_UTA_UGM 2024'!$E$3:$O$419,BG$6),"")</f>
        <v/>
      </c>
      <c r="BH401" s="872"/>
      <c r="BI401" s="872"/>
      <c r="BJ401" s="872"/>
      <c r="BK401" s="872"/>
      <c r="BM401" s="1411"/>
      <c r="BN401" s="1411"/>
      <c r="BO401" s="1425" t="str">
        <f aca="false">IF(ISNUMBER($AU401*BB401*1),$AU401*BB401*1,"")</f>
        <v/>
      </c>
      <c r="BP401" s="1425" t="str">
        <f aca="false">IF(ISNUMBER($AV401*BC401*1),$AV401*BC401*1,"")</f>
        <v/>
      </c>
      <c r="BQ401" s="1425" t="str">
        <f aca="false">IF(ISNUMBER($AU401*BD401*1),$AU401*BD401*1,"")</f>
        <v/>
      </c>
      <c r="BR401" s="1425" t="str">
        <f aca="false">IF(ISNUMBER($AV401*BE401*1),$AV401*BE401*1,"")</f>
        <v/>
      </c>
      <c r="BS401" s="1411" t="str">
        <f aca="false">IF(ISNUMBER($AU401*BF401),$AU401*BF401,"")</f>
        <v/>
      </c>
      <c r="BT401" s="1411" t="str">
        <f aca="false">IF(ISNUMBER($AV401*BG401),$AV401*BG401,"")</f>
        <v/>
      </c>
      <c r="BU401" s="1411"/>
      <c r="BV401" s="1411"/>
      <c r="BW401" s="1411"/>
      <c r="BX401" s="1411"/>
      <c r="BZ401" s="1372"/>
      <c r="CA401" s="1372"/>
      <c r="CB401" s="1426" t="str">
        <f aca="false">IF(ISNUMBER($AW401*BB401),$AW401*BB401,"")</f>
        <v/>
      </c>
      <c r="CC401" s="1426" t="str">
        <f aca="false">IF(ISNUMBER($AX401*BC401),$AX401*BC401,"")</f>
        <v/>
      </c>
      <c r="CD401" s="1426" t="str">
        <f aca="false">IF(ISNUMBER($AW401*BD401),$AW401*BD401,"")</f>
        <v/>
      </c>
      <c r="CE401" s="1426" t="str">
        <f aca="false">IF(ISNUMBER($AX401*BE401),$AX401*BE401,"")</f>
        <v/>
      </c>
      <c r="CF401" s="1372" t="str">
        <f aca="false">IF(ISNUMBER($AW401*BF401),$AW401*BF401,"")</f>
        <v/>
      </c>
      <c r="CG401" s="1372" t="str">
        <f aca="false">IF(ISNUMBER($AX401*BG401),$AX401*BG401,"")</f>
        <v/>
      </c>
      <c r="CH401" s="1438"/>
      <c r="CI401" s="1438"/>
      <c r="CJ401" s="1438"/>
      <c r="CK401" s="1438"/>
      <c r="CU401" s="1411"/>
      <c r="CV401" s="1411"/>
      <c r="CW401" s="1425"/>
      <c r="CX401" s="1425"/>
      <c r="CY401" s="1425"/>
      <c r="CZ401" s="1425"/>
      <c r="DA401" s="1411"/>
      <c r="DB401" s="1411"/>
      <c r="DC401" s="1411"/>
      <c r="DD401" s="1411"/>
      <c r="DE401" s="1411"/>
      <c r="DF401" s="1411"/>
      <c r="DH401" s="1432"/>
      <c r="DI401" s="1432"/>
      <c r="DJ401" s="1437"/>
      <c r="DK401" s="1437"/>
      <c r="DL401" s="1437"/>
      <c r="DM401" s="1437"/>
      <c r="DN401" s="1432"/>
      <c r="DO401" s="1432"/>
      <c r="DP401" s="1432"/>
      <c r="DQ401" s="1432"/>
      <c r="DR401" s="1432"/>
      <c r="DS401" s="1432"/>
      <c r="DT401" s="1316"/>
      <c r="DU401" s="1433"/>
      <c r="DV401" s="1433"/>
      <c r="DW401" s="1433"/>
      <c r="DX401" s="1433"/>
      <c r="DY401" s="1433"/>
      <c r="DZ401" s="1433"/>
      <c r="EA401" s="1433"/>
      <c r="EB401" s="1433"/>
    </row>
    <row r="402" customFormat="false" ht="14.25" hidden="false" customHeight="false" outlineLevel="0" collapsed="false">
      <c r="A402" s="2" t="n">
        <f aca="false">'V_DATOS PAC_SGA'!R397</f>
        <v>0</v>
      </c>
      <c r="B402" s="2" t="n">
        <f aca="false">IF(I402="IV",CONCATENATE('V_DATOS PAC_SGA'!R397,"4")+0,CONCATENATE('V_DATOS PAC_SGA'!R397,"0")+0)</f>
        <v>0</v>
      </c>
      <c r="C402" s="2" t="n">
        <f aca="false">'V_DATOS PAC_SGA'!S397</f>
        <v>0</v>
      </c>
      <c r="D402" s="1409" t="n">
        <f aca="false">'V_DATOS PAC_SGA'!Y397</f>
        <v>0</v>
      </c>
      <c r="E402" s="1410" t="str">
        <f aca="false">IF('V_DATOS PAC_SGA'!AV397="","Regadio",'V_DATOS PAC_SGA'!AV397)</f>
        <v>Regadio</v>
      </c>
      <c r="F402" s="1411" t="n">
        <f aca="false">'V_DATOS PAC_SGA'!BK397</f>
        <v>0</v>
      </c>
      <c r="G402" s="1412" t="n">
        <f aca="false">'V_DATOS PAC_SGA'!AN397</f>
        <v>0</v>
      </c>
      <c r="H402" s="1413" t="str">
        <f aca="false">IF(B402&gt;0,VLOOKUP(B402,'O_MN, PE_UTA_UGM 2024'!E$3:O$419,10),"")</f>
        <v/>
      </c>
      <c r="I402" s="1359" t="n">
        <f aca="false">'V_DATOS PAC_SGA'!BV397</f>
        <v>0</v>
      </c>
      <c r="J402" s="2" t="str">
        <f aca="false">IF(AND(J$4=$G402,J$6=$F402),$D402*J$5,"")</f>
        <v/>
      </c>
      <c r="K402" s="2" t="str">
        <f aca="false">IF(AND(K$4=$G402,K$6=$F402),$D402*K$5,"")</f>
        <v/>
      </c>
      <c r="L402" s="2" t="str">
        <f aca="false">IF(AND(L$4=$G402,L$6=$F402),$D402*L$5,"")</f>
        <v/>
      </c>
      <c r="M402" s="2" t="str">
        <f aca="false">IF(AND(M$4=$G402,M$6=$F402),$D402*M$5,"")</f>
        <v/>
      </c>
      <c r="N402" s="1414" t="n">
        <f aca="false">VLOOKUP(B402,'O_MN, PE_UTA_UGM 2024'!$E$2:$K$419,IF(G402&gt;1,6,7))</f>
        <v>0</v>
      </c>
      <c r="O402" s="1434" t="str">
        <f aca="false">IF($H402=O$4,$D402*$N402,"")</f>
        <v/>
      </c>
      <c r="P402" s="1435" t="str">
        <f aca="false">IF($H402=P$4,$D402*$N402,"")</f>
        <v/>
      </c>
      <c r="Q402" s="1435" t="str">
        <f aca="false">IF($H402=Q$4,$D402*$N402,"")</f>
        <v/>
      </c>
      <c r="R402" s="1435" t="str">
        <f aca="false">IF($H402=R$4,$D402*$N402,"")</f>
        <v/>
      </c>
      <c r="S402" s="1435" t="str">
        <f aca="false">IF($H402=S$4,$D402*$N402,"")</f>
        <v/>
      </c>
      <c r="T402" s="1435" t="str">
        <f aca="false">IF($H402=T$4,$D402*$N402,"")</f>
        <v/>
      </c>
      <c r="U402" s="1436" t="str">
        <f aca="false">IF($H402=U$4,$D402*$N402,"")</f>
        <v/>
      </c>
      <c r="V402" s="1472"/>
      <c r="W402" s="1471"/>
      <c r="X402" s="1471"/>
      <c r="Y402" s="1471"/>
      <c r="Z402" s="1471"/>
      <c r="AA402" s="1471"/>
      <c r="AB402" s="1473"/>
      <c r="AC402" s="1319"/>
      <c r="AD402" s="2" t="str">
        <f aca="false">IF(AND(AD$4=$G402,AD$6=$F402),$B402,"")</f>
        <v/>
      </c>
      <c r="AE402" s="2" t="str">
        <f aca="false">IF(AND(AE$4=$G402,AE$6=$F402),$B402,"")</f>
        <v/>
      </c>
      <c r="AF402" s="2" t="str">
        <f aca="false">IF(AND(AF$4=$G402,AF$6=$F402),$B402,"")</f>
        <v/>
      </c>
      <c r="AG402" s="2" t="str">
        <f aca="false">IF(AND(AG$4=$G402,AG$6=$F402),$B402,"")</f>
        <v/>
      </c>
      <c r="AI402" s="366"/>
      <c r="AL402" s="367"/>
      <c r="AO402" s="367"/>
      <c r="AP402" s="2" t="str">
        <f aca="false">IF(AT402&gt;0,RANK(AT402,AT$7:AT$423),"")</f>
        <v/>
      </c>
      <c r="AQ402" s="1475" t="n">
        <f aca="false">'O_MN, PE_UTA_UGM 2024'!C399</f>
        <v>0</v>
      </c>
      <c r="AR402" s="1421" t="n">
        <v>9110</v>
      </c>
      <c r="AS402" s="2" t="str">
        <f aca="false">IF(AY402&lt;&gt;"",AY402,"")</f>
        <v/>
      </c>
      <c r="AT402" s="1422" t="n">
        <f aca="false">IF(ISNUMBER($AR402),SUMIF(B$7:B$505,AR402,D$7:D$505),"")</f>
        <v>0</v>
      </c>
      <c r="AU402" s="1411" t="n">
        <f aca="false">IF(ISNUMBER($AR402),SUMIF(AD$7:AD$503,$AR402,J$7:J$503),"")</f>
        <v>0</v>
      </c>
      <c r="AV402" s="1411" t="n">
        <f aca="false">IF(ISNUMBER($AR402),SUMIF(AF$7:AF$503,$AR402,L$7:L$503),"")</f>
        <v>0</v>
      </c>
      <c r="AW402" s="1423" t="n">
        <f aca="false">IF(ISNUMBER($AR402),SUMIF(AE$7:AE$503,$AR402,K$7:K$503),"")</f>
        <v>0</v>
      </c>
      <c r="AX402" s="1423" t="n">
        <f aca="false">IF(ISNUMBER($AR402),SUMIF(AG$7:AG$503,$AR402,M$7:M$503),"")</f>
        <v>0</v>
      </c>
      <c r="AY402" s="2" t="str">
        <f aca="false">IF($AT402&gt;0,VLOOKUP($AR402,'O_MN, PE_UTA_UGM 2024'!E399:O814,2),"")</f>
        <v/>
      </c>
      <c r="AZ402" s="1424"/>
      <c r="BA402" s="1424"/>
      <c r="BB402" s="1424" t="str">
        <f aca="false">IF($AT402&gt;0,VLOOKUP($AR402,'O_MN, PE_UTA_UGM 2024'!$E$3:$O$419,BB$6),"")</f>
        <v/>
      </c>
      <c r="BC402" s="1424" t="str">
        <f aca="false">IF($AT402&gt;0,VLOOKUP($AR402,'O_MN, PE_UTA_UGM 2024'!$E$3:$O$419,BC$6),"")</f>
        <v/>
      </c>
      <c r="BD402" s="1424" t="str">
        <f aca="false">IF($AT402&gt;0,VLOOKUP($AR402,'O_MN, PE_UTA_UGM 2024'!$E$3:$O$419,BD$6),"")</f>
        <v/>
      </c>
      <c r="BE402" s="1424" t="str">
        <f aca="false">IF($AT402&gt;0,VLOOKUP($AR402,'O_MN, PE_UTA_UGM 2024'!$E$3:$O$419,BE$6),"")</f>
        <v/>
      </c>
      <c r="BF402" s="1424" t="str">
        <f aca="false">IF($AT402&gt;0,VLOOKUP($AR402,'O_MN, PE_UTA_UGM 2024'!$E$3:$O$419,BF$6),"")</f>
        <v/>
      </c>
      <c r="BG402" s="1424" t="str">
        <f aca="false">IF($AT402&gt;0,VLOOKUP($AR402,'O_MN, PE_UTA_UGM 2024'!$E$3:$O$419,BG$6),"")</f>
        <v/>
      </c>
      <c r="BH402" s="872"/>
      <c r="BI402" s="872"/>
      <c r="BJ402" s="872"/>
      <c r="BK402" s="872"/>
      <c r="BM402" s="1411"/>
      <c r="BN402" s="1411"/>
      <c r="BO402" s="1425" t="str">
        <f aca="false">IF(ISNUMBER($AU402*BB402*1),$AU402*BB402*1,"")</f>
        <v/>
      </c>
      <c r="BP402" s="1425" t="str">
        <f aca="false">IF(ISNUMBER($AV402*BC402*1),$AV402*BC402*1,"")</f>
        <v/>
      </c>
      <c r="BQ402" s="1425" t="str">
        <f aca="false">IF(ISNUMBER($AU402*BD402*1),$AU402*BD402*1,"")</f>
        <v/>
      </c>
      <c r="BR402" s="1425" t="str">
        <f aca="false">IF(ISNUMBER($AV402*BE402*1),$AV402*BE402*1,"")</f>
        <v/>
      </c>
      <c r="BS402" s="1411" t="str">
        <f aca="false">IF(ISNUMBER($AU402*BF402),$AU402*BF402,"")</f>
        <v/>
      </c>
      <c r="BT402" s="1411" t="str">
        <f aca="false">IF(ISNUMBER($AV402*BG402),$AV402*BG402,"")</f>
        <v/>
      </c>
      <c r="BU402" s="1411"/>
      <c r="BV402" s="1411"/>
      <c r="BW402" s="1411"/>
      <c r="BX402" s="1411"/>
      <c r="BZ402" s="1372"/>
      <c r="CA402" s="1372"/>
      <c r="CB402" s="1426" t="str">
        <f aca="false">IF(ISNUMBER($AW402*BB402),$AW402*BB402,"")</f>
        <v/>
      </c>
      <c r="CC402" s="1426" t="str">
        <f aca="false">IF(ISNUMBER($AX402*BC402),$AX402*BC402,"")</f>
        <v/>
      </c>
      <c r="CD402" s="1426" t="str">
        <f aca="false">IF(ISNUMBER($AW402*BD402),$AW402*BD402,"")</f>
        <v/>
      </c>
      <c r="CE402" s="1426" t="str">
        <f aca="false">IF(ISNUMBER($AX402*BE402),$AX402*BE402,"")</f>
        <v/>
      </c>
      <c r="CF402" s="1372" t="str">
        <f aca="false">IF(ISNUMBER($AW402*BF402),$AW402*BF402,"")</f>
        <v/>
      </c>
      <c r="CG402" s="1372" t="str">
        <f aca="false">IF(ISNUMBER($AX402*BG402),$AX402*BG402,"")</f>
        <v/>
      </c>
      <c r="CH402" s="1438"/>
      <c r="CI402" s="1438"/>
      <c r="CJ402" s="1438"/>
      <c r="CK402" s="1438"/>
      <c r="CU402" s="1411"/>
      <c r="CV402" s="1411"/>
      <c r="CW402" s="1425"/>
      <c r="CX402" s="1425"/>
      <c r="CY402" s="1425"/>
      <c r="CZ402" s="1425"/>
      <c r="DA402" s="1411"/>
      <c r="DB402" s="1411"/>
      <c r="DC402" s="1411"/>
      <c r="DD402" s="1411"/>
      <c r="DE402" s="1411"/>
      <c r="DF402" s="1411"/>
      <c r="DH402" s="1432"/>
      <c r="DI402" s="1432"/>
      <c r="DJ402" s="1437"/>
      <c r="DK402" s="1437"/>
      <c r="DL402" s="1437"/>
      <c r="DM402" s="1437"/>
      <c r="DN402" s="1432"/>
      <c r="DO402" s="1432"/>
      <c r="DP402" s="1432"/>
      <c r="DQ402" s="1432"/>
      <c r="DR402" s="1432"/>
      <c r="DS402" s="1432"/>
      <c r="DT402" s="1316"/>
      <c r="DU402" s="1433"/>
      <c r="DV402" s="1433"/>
      <c r="DW402" s="1433"/>
      <c r="DX402" s="1433"/>
      <c r="DY402" s="1433"/>
      <c r="DZ402" s="1433"/>
      <c r="EA402" s="1433"/>
      <c r="EB402" s="1433"/>
    </row>
    <row r="403" customFormat="false" ht="14.25" hidden="false" customHeight="false" outlineLevel="0" collapsed="false">
      <c r="A403" s="2" t="n">
        <f aca="false">'V_DATOS PAC_SGA'!R398</f>
        <v>0</v>
      </c>
      <c r="B403" s="2" t="n">
        <f aca="false">IF(I403="IV",CONCATENATE('V_DATOS PAC_SGA'!R398,"4")+0,CONCATENATE('V_DATOS PAC_SGA'!R398,"0")+0)</f>
        <v>0</v>
      </c>
      <c r="C403" s="2" t="n">
        <f aca="false">'V_DATOS PAC_SGA'!S398</f>
        <v>0</v>
      </c>
      <c r="D403" s="1409" t="n">
        <f aca="false">'V_DATOS PAC_SGA'!Y398</f>
        <v>0</v>
      </c>
      <c r="E403" s="1410" t="str">
        <f aca="false">IF('V_DATOS PAC_SGA'!AV398="","Regadio",'V_DATOS PAC_SGA'!AV398)</f>
        <v>Regadio</v>
      </c>
      <c r="F403" s="1411" t="n">
        <f aca="false">'V_DATOS PAC_SGA'!BK398</f>
        <v>0</v>
      </c>
      <c r="G403" s="1412" t="n">
        <f aca="false">'V_DATOS PAC_SGA'!AN398</f>
        <v>0</v>
      </c>
      <c r="H403" s="1413" t="str">
        <f aca="false">IF(B403&gt;0,VLOOKUP(B403,'O_MN, PE_UTA_UGM 2024'!E$3:O$419,10),"")</f>
        <v/>
      </c>
      <c r="I403" s="1359" t="n">
        <f aca="false">'V_DATOS PAC_SGA'!BV398</f>
        <v>0</v>
      </c>
      <c r="J403" s="2" t="str">
        <f aca="false">IF(AND(J$4=$G403,J$6=$F403),$D403*J$5,"")</f>
        <v/>
      </c>
      <c r="K403" s="2" t="str">
        <f aca="false">IF(AND(K$4=$G403,K$6=$F403),$D403*K$5,"")</f>
        <v/>
      </c>
      <c r="L403" s="2" t="str">
        <f aca="false">IF(AND(L$4=$G403,L$6=$F403),$D403*L$5,"")</f>
        <v/>
      </c>
      <c r="M403" s="2" t="str">
        <f aca="false">IF(AND(M$4=$G403,M$6=$F403),$D403*M$5,"")</f>
        <v/>
      </c>
      <c r="N403" s="1414" t="n">
        <f aca="false">VLOOKUP(B403,'O_MN, PE_UTA_UGM 2024'!$E$2:$K$419,IF(G403&gt;1,6,7))</f>
        <v>0</v>
      </c>
      <c r="O403" s="1434" t="str">
        <f aca="false">IF($H403=O$4,$D403*$N403,"")</f>
        <v/>
      </c>
      <c r="P403" s="1435" t="str">
        <f aca="false">IF($H403=P$4,$D403*$N403,"")</f>
        <v/>
      </c>
      <c r="Q403" s="1435" t="str">
        <f aca="false">IF($H403=Q$4,$D403*$N403,"")</f>
        <v/>
      </c>
      <c r="R403" s="1435" t="str">
        <f aca="false">IF($H403=R$4,$D403*$N403,"")</f>
        <v/>
      </c>
      <c r="S403" s="1435" t="str">
        <f aca="false">IF($H403=S$4,$D403*$N403,"")</f>
        <v/>
      </c>
      <c r="T403" s="1435" t="str">
        <f aca="false">IF($H403=T$4,$D403*$N403,"")</f>
        <v/>
      </c>
      <c r="U403" s="1436" t="str">
        <f aca="false">IF($H403=U$4,$D403*$N403,"")</f>
        <v/>
      </c>
      <c r="V403" s="1472"/>
      <c r="W403" s="1471"/>
      <c r="X403" s="1471"/>
      <c r="Y403" s="1471"/>
      <c r="Z403" s="1471"/>
      <c r="AA403" s="1471"/>
      <c r="AB403" s="1473"/>
      <c r="AC403" s="1319"/>
      <c r="AD403" s="2" t="str">
        <f aca="false">IF(AND(AD$4=$G403,AD$6=$F403),$B403,"")</f>
        <v/>
      </c>
      <c r="AE403" s="2" t="str">
        <f aca="false">IF(AND(AE$4=$G403,AE$6=$F403),$B403,"")</f>
        <v/>
      </c>
      <c r="AF403" s="2" t="str">
        <f aca="false">IF(AND(AF$4=$G403,AF$6=$F403),$B403,"")</f>
        <v/>
      </c>
      <c r="AG403" s="2" t="str">
        <f aca="false">IF(AND(AG$4=$G403,AG$6=$F403),$B403,"")</f>
        <v/>
      </c>
      <c r="AI403" s="366"/>
      <c r="AL403" s="367"/>
      <c r="AO403" s="367"/>
      <c r="AP403" s="2" t="str">
        <f aca="false">IF(AT403&gt;0,RANK(AT403,AT$7:AT$423),"")</f>
        <v/>
      </c>
      <c r="AQ403" s="1475" t="n">
        <f aca="false">'O_MN, PE_UTA_UGM 2024'!C400</f>
        <v>0</v>
      </c>
      <c r="AR403" s="1421" t="n">
        <v>9120</v>
      </c>
      <c r="AS403" s="2" t="str">
        <f aca="false">IF(AY403&lt;&gt;"",AY403,"")</f>
        <v/>
      </c>
      <c r="AT403" s="1422" t="n">
        <f aca="false">IF(ISNUMBER($AR403),SUMIF(B$7:B$505,AR403,D$7:D$505),"")</f>
        <v>0</v>
      </c>
      <c r="AU403" s="1411" t="n">
        <f aca="false">IF(ISNUMBER($AR403),SUMIF(AD$7:AD$503,$AR403,J$7:J$503),"")</f>
        <v>0</v>
      </c>
      <c r="AV403" s="1411" t="n">
        <f aca="false">IF(ISNUMBER($AR403),SUMIF(AF$7:AF$503,$AR403,L$7:L$503),"")</f>
        <v>0</v>
      </c>
      <c r="AW403" s="1423" t="n">
        <f aca="false">IF(ISNUMBER($AR403),SUMIF(AE$7:AE$503,$AR403,K$7:K$503),"")</f>
        <v>0</v>
      </c>
      <c r="AX403" s="1423" t="n">
        <f aca="false">IF(ISNUMBER($AR403),SUMIF(AG$7:AG$503,$AR403,M$7:M$503),"")</f>
        <v>0</v>
      </c>
      <c r="AY403" s="2" t="str">
        <f aca="false">IF($AT403&gt;0,VLOOKUP($AR403,'O_MN, PE_UTA_UGM 2024'!E400:O815,2),"")</f>
        <v/>
      </c>
      <c r="AZ403" s="1424"/>
      <c r="BA403" s="1424"/>
      <c r="BB403" s="1424" t="str">
        <f aca="false">IF($AT403&gt;0,VLOOKUP($AR403,'O_MN, PE_UTA_UGM 2024'!$E$3:$O$419,BB$6),"")</f>
        <v/>
      </c>
      <c r="BC403" s="1424" t="str">
        <f aca="false">IF($AT403&gt;0,VLOOKUP($AR403,'O_MN, PE_UTA_UGM 2024'!$E$3:$O$419,BC$6),"")</f>
        <v/>
      </c>
      <c r="BD403" s="1424" t="str">
        <f aca="false">IF($AT403&gt;0,VLOOKUP($AR403,'O_MN, PE_UTA_UGM 2024'!$E$3:$O$419,BD$6),"")</f>
        <v/>
      </c>
      <c r="BE403" s="1424" t="str">
        <f aca="false">IF($AT403&gt;0,VLOOKUP($AR403,'O_MN, PE_UTA_UGM 2024'!$E$3:$O$419,BE$6),"")</f>
        <v/>
      </c>
      <c r="BF403" s="1424" t="str">
        <f aca="false">IF($AT403&gt;0,VLOOKUP($AR403,'O_MN, PE_UTA_UGM 2024'!$E$3:$O$419,BF$6),"")</f>
        <v/>
      </c>
      <c r="BG403" s="1424" t="str">
        <f aca="false">IF($AT403&gt;0,VLOOKUP($AR403,'O_MN, PE_UTA_UGM 2024'!$E$3:$O$419,BG$6),"")</f>
        <v/>
      </c>
      <c r="BH403" s="872"/>
      <c r="BI403" s="872"/>
      <c r="BJ403" s="872"/>
      <c r="BK403" s="872"/>
      <c r="BM403" s="1411"/>
      <c r="BN403" s="1411"/>
      <c r="BO403" s="1425" t="str">
        <f aca="false">IF(ISNUMBER($AU403*BB403*1),$AU403*BB403*1,"")</f>
        <v/>
      </c>
      <c r="BP403" s="1425" t="str">
        <f aca="false">IF(ISNUMBER($AV403*BC403*1),$AV403*BC403*1,"")</f>
        <v/>
      </c>
      <c r="BQ403" s="1425" t="str">
        <f aca="false">IF(ISNUMBER($AU403*BD403*1),$AU403*BD403*1,"")</f>
        <v/>
      </c>
      <c r="BR403" s="1425" t="str">
        <f aca="false">IF(ISNUMBER($AV403*BE403*1),$AV403*BE403*1,"")</f>
        <v/>
      </c>
      <c r="BS403" s="1411" t="str">
        <f aca="false">IF(ISNUMBER($AU403*BF403),$AU403*BF403,"")</f>
        <v/>
      </c>
      <c r="BT403" s="1411" t="str">
        <f aca="false">IF(ISNUMBER($AV403*BG403),$AV403*BG403,"")</f>
        <v/>
      </c>
      <c r="BU403" s="1411"/>
      <c r="BV403" s="1411"/>
      <c r="BW403" s="1411"/>
      <c r="BX403" s="1411"/>
      <c r="BZ403" s="1372"/>
      <c r="CA403" s="1372"/>
      <c r="CB403" s="1426" t="str">
        <f aca="false">IF(ISNUMBER($AW403*BB403),$AW403*BB403,"")</f>
        <v/>
      </c>
      <c r="CC403" s="1426" t="str">
        <f aca="false">IF(ISNUMBER($AX403*BC403),$AX403*BC403,"")</f>
        <v/>
      </c>
      <c r="CD403" s="1426" t="str">
        <f aca="false">IF(ISNUMBER($AW403*BD403),$AW403*BD403,"")</f>
        <v/>
      </c>
      <c r="CE403" s="1426" t="str">
        <f aca="false">IF(ISNUMBER($AX403*BE403),$AX403*BE403,"")</f>
        <v/>
      </c>
      <c r="CF403" s="1372" t="str">
        <f aca="false">IF(ISNUMBER($AW403*BF403),$AW403*BF403,"")</f>
        <v/>
      </c>
      <c r="CG403" s="1372" t="str">
        <f aca="false">IF(ISNUMBER($AX403*BG403),$AX403*BG403,"")</f>
        <v/>
      </c>
      <c r="CH403" s="1438"/>
      <c r="CI403" s="1438"/>
      <c r="CJ403" s="1438"/>
      <c r="CK403" s="1438"/>
      <c r="CU403" s="1411"/>
      <c r="CV403" s="1411"/>
      <c r="CW403" s="1425"/>
      <c r="CX403" s="1425"/>
      <c r="CY403" s="1425"/>
      <c r="CZ403" s="1425"/>
      <c r="DA403" s="1411"/>
      <c r="DB403" s="1411"/>
      <c r="DC403" s="1411"/>
      <c r="DD403" s="1411"/>
      <c r="DE403" s="1411"/>
      <c r="DF403" s="1411"/>
      <c r="DH403" s="1432"/>
      <c r="DI403" s="1432"/>
      <c r="DJ403" s="1437"/>
      <c r="DK403" s="1437"/>
      <c r="DL403" s="1437"/>
      <c r="DM403" s="1437"/>
      <c r="DN403" s="1432"/>
      <c r="DO403" s="1432"/>
      <c r="DP403" s="1432"/>
      <c r="DQ403" s="1432"/>
      <c r="DR403" s="1432"/>
      <c r="DS403" s="1432"/>
      <c r="DT403" s="1316"/>
      <c r="DU403" s="1433"/>
      <c r="DV403" s="1433"/>
      <c r="DW403" s="1433"/>
      <c r="DX403" s="1433"/>
      <c r="DY403" s="1433"/>
      <c r="DZ403" s="1433"/>
      <c r="EA403" s="1433"/>
      <c r="EB403" s="1433"/>
    </row>
    <row r="404" customFormat="false" ht="14.25" hidden="false" customHeight="false" outlineLevel="0" collapsed="false">
      <c r="A404" s="2" t="n">
        <f aca="false">'V_DATOS PAC_SGA'!R399</f>
        <v>0</v>
      </c>
      <c r="B404" s="2" t="n">
        <f aca="false">IF(I404="IV",CONCATENATE('V_DATOS PAC_SGA'!R399,"4")+0,CONCATENATE('V_DATOS PAC_SGA'!R399,"0")+0)</f>
        <v>0</v>
      </c>
      <c r="C404" s="2" t="n">
        <f aca="false">'V_DATOS PAC_SGA'!S399</f>
        <v>0</v>
      </c>
      <c r="D404" s="1409" t="n">
        <f aca="false">'V_DATOS PAC_SGA'!Y399</f>
        <v>0</v>
      </c>
      <c r="E404" s="1410" t="str">
        <f aca="false">IF('V_DATOS PAC_SGA'!AV399="","Regadio",'V_DATOS PAC_SGA'!AV399)</f>
        <v>Regadio</v>
      </c>
      <c r="F404" s="1411" t="n">
        <f aca="false">'V_DATOS PAC_SGA'!BK399</f>
        <v>0</v>
      </c>
      <c r="G404" s="1412" t="n">
        <f aca="false">'V_DATOS PAC_SGA'!AN399</f>
        <v>0</v>
      </c>
      <c r="H404" s="1413" t="str">
        <f aca="false">IF(B404&gt;0,VLOOKUP(B404,'O_MN, PE_UTA_UGM 2024'!E$3:O$419,10),"")</f>
        <v/>
      </c>
      <c r="I404" s="1359" t="n">
        <f aca="false">'V_DATOS PAC_SGA'!BV399</f>
        <v>0</v>
      </c>
      <c r="J404" s="2" t="str">
        <f aca="false">IF(AND(J$4=$G404,J$6=$F404),$D404*J$5,"")</f>
        <v/>
      </c>
      <c r="K404" s="2" t="str">
        <f aca="false">IF(AND(K$4=$G404,K$6=$F404),$D404*K$5,"")</f>
        <v/>
      </c>
      <c r="L404" s="2" t="str">
        <f aca="false">IF(AND(L$4=$G404,L$6=$F404),$D404*L$5,"")</f>
        <v/>
      </c>
      <c r="M404" s="2" t="str">
        <f aca="false">IF(AND(M$4=$G404,M$6=$F404),$D404*M$5,"")</f>
        <v/>
      </c>
      <c r="N404" s="1414" t="n">
        <f aca="false">VLOOKUP(B404,'O_MN, PE_UTA_UGM 2024'!$E$2:$K$419,IF(G404&gt;1,6,7))</f>
        <v>0</v>
      </c>
      <c r="O404" s="1434" t="str">
        <f aca="false">IF($H404=O$4,$D404*$N404,"")</f>
        <v/>
      </c>
      <c r="P404" s="1435" t="str">
        <f aca="false">IF($H404=P$4,$D404*$N404,"")</f>
        <v/>
      </c>
      <c r="Q404" s="1435" t="str">
        <f aca="false">IF($H404=Q$4,$D404*$N404,"")</f>
        <v/>
      </c>
      <c r="R404" s="1435" t="str">
        <f aca="false">IF($H404=R$4,$D404*$N404,"")</f>
        <v/>
      </c>
      <c r="S404" s="1435" t="str">
        <f aca="false">IF($H404=S$4,$D404*$N404,"")</f>
        <v/>
      </c>
      <c r="T404" s="1435" t="str">
        <f aca="false">IF($H404=T$4,$D404*$N404,"")</f>
        <v/>
      </c>
      <c r="U404" s="1436" t="str">
        <f aca="false">IF($H404=U$4,$D404*$N404,"")</f>
        <v/>
      </c>
      <c r="V404" s="1472"/>
      <c r="W404" s="1471"/>
      <c r="X404" s="1471"/>
      <c r="Y404" s="1471"/>
      <c r="Z404" s="1471"/>
      <c r="AA404" s="1471"/>
      <c r="AB404" s="1473"/>
      <c r="AC404" s="1319"/>
      <c r="AD404" s="2" t="str">
        <f aca="false">IF(AND(AD$4=$G404,AD$6=$F404),$B404,"")</f>
        <v/>
      </c>
      <c r="AE404" s="2" t="str">
        <f aca="false">IF(AND(AE$4=$G404,AE$6=$F404),$B404,"")</f>
        <v/>
      </c>
      <c r="AF404" s="2" t="str">
        <f aca="false">IF(AND(AF$4=$G404,AF$6=$F404),$B404,"")</f>
        <v/>
      </c>
      <c r="AG404" s="2" t="str">
        <f aca="false">IF(AND(AG$4=$G404,AG$6=$F404),$B404,"")</f>
        <v/>
      </c>
      <c r="AI404" s="366"/>
      <c r="AL404" s="367"/>
      <c r="AO404" s="367"/>
      <c r="AP404" s="2" t="str">
        <f aca="false">IF(AT404&gt;0,RANK(AT404,AT$7:AT$423),"")</f>
        <v/>
      </c>
      <c r="AQ404" s="1475" t="n">
        <f aca="false">'O_MN, PE_UTA_UGM 2024'!C401</f>
        <v>0</v>
      </c>
      <c r="AR404" s="1421" t="n">
        <v>9130</v>
      </c>
      <c r="AS404" s="2" t="str">
        <f aca="false">IF(AY404&lt;&gt;"",AY404,"")</f>
        <v/>
      </c>
      <c r="AT404" s="1422" t="n">
        <f aca="false">IF(ISNUMBER($AR404),SUMIF(B$7:B$505,AR404,D$7:D$505),"")</f>
        <v>0</v>
      </c>
      <c r="AU404" s="1411" t="n">
        <f aca="false">IF(ISNUMBER($AR404),SUMIF(AD$7:AD$503,$AR404,J$7:J$503),"")</f>
        <v>0</v>
      </c>
      <c r="AV404" s="1411" t="n">
        <f aca="false">IF(ISNUMBER($AR404),SUMIF(AF$7:AF$503,$AR404,L$7:L$503),"")</f>
        <v>0</v>
      </c>
      <c r="AW404" s="1423" t="n">
        <f aca="false">IF(ISNUMBER($AR404),SUMIF(AE$7:AE$503,$AR404,K$7:K$503),"")</f>
        <v>0</v>
      </c>
      <c r="AX404" s="1423" t="n">
        <f aca="false">IF(ISNUMBER($AR404),SUMIF(AG$7:AG$503,$AR404,M$7:M$503),"")</f>
        <v>0</v>
      </c>
      <c r="AY404" s="2" t="str">
        <f aca="false">IF($AT404&gt;0,VLOOKUP($AR404,'O_MN, PE_UTA_UGM 2024'!E401:O816,2),"")</f>
        <v/>
      </c>
      <c r="AZ404" s="1424"/>
      <c r="BA404" s="1424"/>
      <c r="BB404" s="1424" t="str">
        <f aca="false">IF($AT404&gt;0,VLOOKUP($AR404,'O_MN, PE_UTA_UGM 2024'!$E$3:$O$419,BB$6),"")</f>
        <v/>
      </c>
      <c r="BC404" s="1424" t="str">
        <f aca="false">IF($AT404&gt;0,VLOOKUP($AR404,'O_MN, PE_UTA_UGM 2024'!$E$3:$O$419,BC$6),"")</f>
        <v/>
      </c>
      <c r="BD404" s="1424" t="str">
        <f aca="false">IF($AT404&gt;0,VLOOKUP($AR404,'O_MN, PE_UTA_UGM 2024'!$E$3:$O$419,BD$6),"")</f>
        <v/>
      </c>
      <c r="BE404" s="1424" t="str">
        <f aca="false">IF($AT404&gt;0,VLOOKUP($AR404,'O_MN, PE_UTA_UGM 2024'!$E$3:$O$419,BE$6),"")</f>
        <v/>
      </c>
      <c r="BF404" s="1424" t="str">
        <f aca="false">IF($AT404&gt;0,VLOOKUP($AR404,'O_MN, PE_UTA_UGM 2024'!$E$3:$O$419,BF$6),"")</f>
        <v/>
      </c>
      <c r="BG404" s="1424" t="str">
        <f aca="false">IF($AT404&gt;0,VLOOKUP($AR404,'O_MN, PE_UTA_UGM 2024'!$E$3:$O$419,BG$6),"")</f>
        <v/>
      </c>
      <c r="BH404" s="872"/>
      <c r="BI404" s="872"/>
      <c r="BJ404" s="872"/>
      <c r="BK404" s="872"/>
      <c r="BM404" s="1411"/>
      <c r="BN404" s="1411"/>
      <c r="BO404" s="1425" t="str">
        <f aca="false">IF(ISNUMBER($AU404*BB404*1),$AU404*BB404*1,"")</f>
        <v/>
      </c>
      <c r="BP404" s="1425" t="str">
        <f aca="false">IF(ISNUMBER($AV404*BC404*1),$AV404*BC404*1,"")</f>
        <v/>
      </c>
      <c r="BQ404" s="1425" t="str">
        <f aca="false">IF(ISNUMBER($AU404*BD404*1),$AU404*BD404*1,"")</f>
        <v/>
      </c>
      <c r="BR404" s="1425" t="str">
        <f aca="false">IF(ISNUMBER($AV404*BE404*1),$AV404*BE404*1,"")</f>
        <v/>
      </c>
      <c r="BS404" s="1411" t="str">
        <f aca="false">IF(ISNUMBER($AU404*BF404),$AU404*BF404,"")</f>
        <v/>
      </c>
      <c r="BT404" s="1411" t="str">
        <f aca="false">IF(ISNUMBER($AV404*BG404),$AV404*BG404,"")</f>
        <v/>
      </c>
      <c r="BU404" s="1411"/>
      <c r="BV404" s="1411"/>
      <c r="BW404" s="1411"/>
      <c r="BX404" s="1411"/>
      <c r="BZ404" s="1372"/>
      <c r="CA404" s="1372"/>
      <c r="CB404" s="1426" t="str">
        <f aca="false">IF(ISNUMBER($AW404*BB404),$AW404*BB404,"")</f>
        <v/>
      </c>
      <c r="CC404" s="1426" t="str">
        <f aca="false">IF(ISNUMBER($AX404*BC404),$AX404*BC404,"")</f>
        <v/>
      </c>
      <c r="CD404" s="1426" t="str">
        <f aca="false">IF(ISNUMBER($AW404*BD404),$AW404*BD404,"")</f>
        <v/>
      </c>
      <c r="CE404" s="1426" t="str">
        <f aca="false">IF(ISNUMBER($AX404*BE404),$AX404*BE404,"")</f>
        <v/>
      </c>
      <c r="CF404" s="1372" t="str">
        <f aca="false">IF(ISNUMBER($AW404*BF404),$AW404*BF404,"")</f>
        <v/>
      </c>
      <c r="CG404" s="1372" t="str">
        <f aca="false">IF(ISNUMBER($AX404*BG404),$AX404*BG404,"")</f>
        <v/>
      </c>
      <c r="CH404" s="1438"/>
      <c r="CI404" s="1438"/>
      <c r="CJ404" s="1438"/>
      <c r="CK404" s="1438"/>
      <c r="CU404" s="1411"/>
      <c r="CV404" s="1411"/>
      <c r="CW404" s="1425"/>
      <c r="CX404" s="1425"/>
      <c r="CY404" s="1425"/>
      <c r="CZ404" s="1425"/>
      <c r="DA404" s="1411"/>
      <c r="DB404" s="1411"/>
      <c r="DC404" s="1411"/>
      <c r="DD404" s="1411"/>
      <c r="DE404" s="1411"/>
      <c r="DF404" s="1411"/>
      <c r="DH404" s="1432"/>
      <c r="DI404" s="1432"/>
      <c r="DJ404" s="1437"/>
      <c r="DK404" s="1437"/>
      <c r="DL404" s="1437"/>
      <c r="DM404" s="1437"/>
      <c r="DN404" s="1432"/>
      <c r="DO404" s="1432"/>
      <c r="DP404" s="1432"/>
      <c r="DQ404" s="1432"/>
      <c r="DR404" s="1432"/>
      <c r="DS404" s="1432"/>
      <c r="DT404" s="1316"/>
      <c r="DU404" s="1433"/>
      <c r="DV404" s="1433"/>
      <c r="DW404" s="1433"/>
      <c r="DX404" s="1433"/>
      <c r="DY404" s="1433"/>
      <c r="DZ404" s="1433"/>
      <c r="EA404" s="1433"/>
      <c r="EB404" s="1433"/>
    </row>
    <row r="405" customFormat="false" ht="14.25" hidden="false" customHeight="false" outlineLevel="0" collapsed="false">
      <c r="A405" s="2" t="n">
        <f aca="false">'V_DATOS PAC_SGA'!R400</f>
        <v>0</v>
      </c>
      <c r="B405" s="2" t="n">
        <f aca="false">IF(I405="IV",CONCATENATE('V_DATOS PAC_SGA'!R400,"4")+0,CONCATENATE('V_DATOS PAC_SGA'!R400,"0")+0)</f>
        <v>0</v>
      </c>
      <c r="C405" s="2" t="n">
        <f aca="false">'V_DATOS PAC_SGA'!S400</f>
        <v>0</v>
      </c>
      <c r="D405" s="1409" t="n">
        <f aca="false">'V_DATOS PAC_SGA'!Y400</f>
        <v>0</v>
      </c>
      <c r="E405" s="1410" t="str">
        <f aca="false">IF('V_DATOS PAC_SGA'!AV400="","Regadio",'V_DATOS PAC_SGA'!AV400)</f>
        <v>Regadio</v>
      </c>
      <c r="F405" s="1411" t="n">
        <f aca="false">'V_DATOS PAC_SGA'!BK400</f>
        <v>0</v>
      </c>
      <c r="G405" s="1412" t="n">
        <f aca="false">'V_DATOS PAC_SGA'!AN400</f>
        <v>0</v>
      </c>
      <c r="H405" s="1413" t="str">
        <f aca="false">IF(B405&gt;0,VLOOKUP(B405,'O_MN, PE_UTA_UGM 2024'!E$3:O$419,10),"")</f>
        <v/>
      </c>
      <c r="I405" s="1359" t="n">
        <f aca="false">'V_DATOS PAC_SGA'!BV400</f>
        <v>0</v>
      </c>
      <c r="J405" s="2" t="str">
        <f aca="false">IF(AND(J$4=$G405,J$6=$F405),$D405*J$5,"")</f>
        <v/>
      </c>
      <c r="K405" s="2" t="str">
        <f aca="false">IF(AND(K$4=$G405,K$6=$F405),$D405*K$5,"")</f>
        <v/>
      </c>
      <c r="L405" s="2" t="str">
        <f aca="false">IF(AND(L$4=$G405,L$6=$F405),$D405*L$5,"")</f>
        <v/>
      </c>
      <c r="M405" s="2" t="str">
        <f aca="false">IF(AND(M$4=$G405,M$6=$F405),$D405*M$5,"")</f>
        <v/>
      </c>
      <c r="N405" s="1414" t="n">
        <f aca="false">VLOOKUP(B405,'O_MN, PE_UTA_UGM 2024'!$E$2:$K$419,IF(G405&gt;1,6,7))</f>
        <v>0</v>
      </c>
      <c r="O405" s="1434" t="str">
        <f aca="false">IF($H405=O$4,$D405*$N405,"")</f>
        <v/>
      </c>
      <c r="P405" s="1435" t="str">
        <f aca="false">IF($H405=P$4,$D405*$N405,"")</f>
        <v/>
      </c>
      <c r="Q405" s="1435" t="str">
        <f aca="false">IF($H405=Q$4,$D405*$N405,"")</f>
        <v/>
      </c>
      <c r="R405" s="1435" t="str">
        <f aca="false">IF($H405=R$4,$D405*$N405,"")</f>
        <v/>
      </c>
      <c r="S405" s="1435" t="str">
        <f aca="false">IF($H405=S$4,$D405*$N405,"")</f>
        <v/>
      </c>
      <c r="T405" s="1435" t="str">
        <f aca="false">IF($H405=T$4,$D405*$N405,"")</f>
        <v/>
      </c>
      <c r="U405" s="1436" t="str">
        <f aca="false">IF($H405=U$4,$D405*$N405,"")</f>
        <v/>
      </c>
      <c r="V405" s="1472"/>
      <c r="W405" s="1471"/>
      <c r="X405" s="1471"/>
      <c r="Y405" s="1471"/>
      <c r="Z405" s="1471"/>
      <c r="AA405" s="1471"/>
      <c r="AB405" s="1473"/>
      <c r="AC405" s="1319"/>
      <c r="AD405" s="2" t="str">
        <f aca="false">IF(AND(AD$4=$G405,AD$6=$F405),$B405,"")</f>
        <v/>
      </c>
      <c r="AE405" s="2" t="str">
        <f aca="false">IF(AND(AE$4=$G405,AE$6=$F405),$B405,"")</f>
        <v/>
      </c>
      <c r="AF405" s="2" t="str">
        <f aca="false">IF(AND(AF$4=$G405,AF$6=$F405),$B405,"")</f>
        <v/>
      </c>
      <c r="AG405" s="2" t="str">
        <f aca="false">IF(AND(AG$4=$G405,AG$6=$F405),$B405,"")</f>
        <v/>
      </c>
      <c r="AI405" s="366"/>
      <c r="AL405" s="367"/>
      <c r="AO405" s="367"/>
      <c r="AP405" s="2" t="str">
        <f aca="false">IF(AT405&gt;0,RANK(AT405,AT$7:AT$423),"")</f>
        <v/>
      </c>
      <c r="AQ405" s="1475" t="n">
        <f aca="false">'O_MN, PE_UTA_UGM 2024'!C402</f>
        <v>0</v>
      </c>
      <c r="AR405" s="1421" t="n">
        <v>9140</v>
      </c>
      <c r="AS405" s="2" t="str">
        <f aca="false">IF(AY405&lt;&gt;"",AY405,"")</f>
        <v/>
      </c>
      <c r="AT405" s="1422" t="n">
        <f aca="false">IF(ISNUMBER($AR405),SUMIF(B$7:B$505,AR405,D$7:D$505),"")</f>
        <v>0</v>
      </c>
      <c r="AU405" s="1411" t="n">
        <f aca="false">IF(ISNUMBER($AR405),SUMIF(AD$7:AD$503,$AR405,J$7:J$503),"")</f>
        <v>0</v>
      </c>
      <c r="AV405" s="1411" t="n">
        <f aca="false">IF(ISNUMBER($AR405),SUMIF(AF$7:AF$503,$AR405,L$7:L$503),"")</f>
        <v>0</v>
      </c>
      <c r="AW405" s="1423" t="n">
        <f aca="false">IF(ISNUMBER($AR405),SUMIF(AE$7:AE$503,$AR405,K$7:K$503),"")</f>
        <v>0</v>
      </c>
      <c r="AX405" s="1423" t="n">
        <f aca="false">IF(ISNUMBER($AR405),SUMIF(AG$7:AG$503,$AR405,M$7:M$503),"")</f>
        <v>0</v>
      </c>
      <c r="AY405" s="2" t="str">
        <f aca="false">IF($AT405&gt;0,VLOOKUP($AR405,'O_MN, PE_UTA_UGM 2024'!E402:O817,2),"")</f>
        <v/>
      </c>
      <c r="AZ405" s="1424"/>
      <c r="BA405" s="1424"/>
      <c r="BB405" s="1424" t="str">
        <f aca="false">IF($AT405&gt;0,VLOOKUP($AR405,'O_MN, PE_UTA_UGM 2024'!$E$3:$O$419,BB$6),"")</f>
        <v/>
      </c>
      <c r="BC405" s="1424" t="str">
        <f aca="false">IF($AT405&gt;0,VLOOKUP($AR405,'O_MN, PE_UTA_UGM 2024'!$E$3:$O$419,BC$6),"")</f>
        <v/>
      </c>
      <c r="BD405" s="1424" t="str">
        <f aca="false">IF($AT405&gt;0,VLOOKUP($AR405,'O_MN, PE_UTA_UGM 2024'!$E$3:$O$419,BD$6),"")</f>
        <v/>
      </c>
      <c r="BE405" s="1424" t="str">
        <f aca="false">IF($AT405&gt;0,VLOOKUP($AR405,'O_MN, PE_UTA_UGM 2024'!$E$3:$O$419,BE$6),"")</f>
        <v/>
      </c>
      <c r="BF405" s="1424" t="str">
        <f aca="false">IF($AT405&gt;0,VLOOKUP($AR405,'O_MN, PE_UTA_UGM 2024'!$E$3:$O$419,BF$6),"")</f>
        <v/>
      </c>
      <c r="BG405" s="1424" t="str">
        <f aca="false">IF($AT405&gt;0,VLOOKUP($AR405,'O_MN, PE_UTA_UGM 2024'!$E$3:$O$419,BG$6),"")</f>
        <v/>
      </c>
      <c r="BH405" s="872"/>
      <c r="BI405" s="872"/>
      <c r="BJ405" s="872"/>
      <c r="BK405" s="872"/>
      <c r="BM405" s="1411"/>
      <c r="BN405" s="1411"/>
      <c r="BO405" s="1425" t="str">
        <f aca="false">IF(ISNUMBER($AU405*BB405*1),$AU405*BB405*1,"")</f>
        <v/>
      </c>
      <c r="BP405" s="1425" t="str">
        <f aca="false">IF(ISNUMBER($AV405*BC405*1),$AV405*BC405*1,"")</f>
        <v/>
      </c>
      <c r="BQ405" s="1425" t="str">
        <f aca="false">IF(ISNUMBER($AU405*BD405*1),$AU405*BD405*1,"")</f>
        <v/>
      </c>
      <c r="BR405" s="1425" t="str">
        <f aca="false">IF(ISNUMBER($AV405*BE405*1),$AV405*BE405*1,"")</f>
        <v/>
      </c>
      <c r="BS405" s="1411" t="str">
        <f aca="false">IF(ISNUMBER($AU405*BF405),$AU405*BF405,"")</f>
        <v/>
      </c>
      <c r="BT405" s="1411" t="str">
        <f aca="false">IF(ISNUMBER($AV405*BG405),$AV405*BG405,"")</f>
        <v/>
      </c>
      <c r="BU405" s="1411"/>
      <c r="BV405" s="1411"/>
      <c r="BW405" s="1411"/>
      <c r="BX405" s="1411"/>
      <c r="BZ405" s="1372"/>
      <c r="CA405" s="1372"/>
      <c r="CB405" s="1426" t="str">
        <f aca="false">IF(ISNUMBER($AW405*BB405),$AW405*BB405,"")</f>
        <v/>
      </c>
      <c r="CC405" s="1426" t="str">
        <f aca="false">IF(ISNUMBER($AX405*BC405),$AX405*BC405,"")</f>
        <v/>
      </c>
      <c r="CD405" s="1426" t="str">
        <f aca="false">IF(ISNUMBER($AW405*BD405),$AW405*BD405,"")</f>
        <v/>
      </c>
      <c r="CE405" s="1426" t="str">
        <f aca="false">IF(ISNUMBER($AX405*BE405),$AX405*BE405,"")</f>
        <v/>
      </c>
      <c r="CF405" s="1372" t="str">
        <f aca="false">IF(ISNUMBER($AW405*BF405),$AW405*BF405,"")</f>
        <v/>
      </c>
      <c r="CG405" s="1372" t="str">
        <f aca="false">IF(ISNUMBER($AX405*BG405),$AX405*BG405,"")</f>
        <v/>
      </c>
      <c r="CH405" s="1438"/>
      <c r="CI405" s="1438"/>
      <c r="CJ405" s="1438"/>
      <c r="CK405" s="1438"/>
      <c r="CU405" s="1411"/>
      <c r="CV405" s="1411"/>
      <c r="CW405" s="1425"/>
      <c r="CX405" s="1425"/>
      <c r="CY405" s="1425"/>
      <c r="CZ405" s="1425"/>
      <c r="DA405" s="1411"/>
      <c r="DB405" s="1411"/>
      <c r="DC405" s="1411"/>
      <c r="DD405" s="1411"/>
      <c r="DE405" s="1411"/>
      <c r="DF405" s="1411"/>
      <c r="DH405" s="1432"/>
      <c r="DI405" s="1432"/>
      <c r="DJ405" s="1437"/>
      <c r="DK405" s="1437"/>
      <c r="DL405" s="1437"/>
      <c r="DM405" s="1437"/>
      <c r="DN405" s="1432"/>
      <c r="DO405" s="1432"/>
      <c r="DP405" s="1432"/>
      <c r="DQ405" s="1432"/>
      <c r="DR405" s="1432"/>
      <c r="DS405" s="1432"/>
      <c r="DT405" s="1316"/>
      <c r="DU405" s="1433"/>
      <c r="DV405" s="1433"/>
      <c r="DW405" s="1433"/>
      <c r="DX405" s="1433"/>
      <c r="DY405" s="1433"/>
      <c r="DZ405" s="1433"/>
      <c r="EA405" s="1433"/>
      <c r="EB405" s="1433"/>
    </row>
    <row r="406" customFormat="false" ht="14.25" hidden="false" customHeight="false" outlineLevel="0" collapsed="false">
      <c r="A406" s="2" t="n">
        <f aca="false">'V_DATOS PAC_SGA'!R401</f>
        <v>0</v>
      </c>
      <c r="B406" s="2" t="n">
        <f aca="false">IF(I406="IV",CONCATENATE('V_DATOS PAC_SGA'!R401,"4")+0,CONCATENATE('V_DATOS PAC_SGA'!R401,"0")+0)</f>
        <v>0</v>
      </c>
      <c r="C406" s="2" t="n">
        <f aca="false">'V_DATOS PAC_SGA'!S401</f>
        <v>0</v>
      </c>
      <c r="D406" s="1409" t="n">
        <f aca="false">'V_DATOS PAC_SGA'!Y401</f>
        <v>0</v>
      </c>
      <c r="E406" s="1410" t="str">
        <f aca="false">IF('V_DATOS PAC_SGA'!AV401="","Regadio",'V_DATOS PAC_SGA'!AV401)</f>
        <v>Regadio</v>
      </c>
      <c r="F406" s="1411" t="n">
        <f aca="false">'V_DATOS PAC_SGA'!BK401</f>
        <v>0</v>
      </c>
      <c r="G406" s="1412" t="n">
        <f aca="false">'V_DATOS PAC_SGA'!AN401</f>
        <v>0</v>
      </c>
      <c r="H406" s="1413" t="str">
        <f aca="false">IF(B406&gt;0,VLOOKUP(B406,'O_MN, PE_UTA_UGM 2024'!E$3:O$419,10),"")</f>
        <v/>
      </c>
      <c r="I406" s="1359" t="n">
        <f aca="false">'V_DATOS PAC_SGA'!BV401</f>
        <v>0</v>
      </c>
      <c r="J406" s="2" t="str">
        <f aca="false">IF(AND(J$4=$G406,J$6=$F406),$D406*J$5,"")</f>
        <v/>
      </c>
      <c r="K406" s="2" t="str">
        <f aca="false">IF(AND(K$4=$G406,K$6=$F406),$D406*K$5,"")</f>
        <v/>
      </c>
      <c r="L406" s="2" t="str">
        <f aca="false">IF(AND(L$4=$G406,L$6=$F406),$D406*L$5,"")</f>
        <v/>
      </c>
      <c r="M406" s="2" t="str">
        <f aca="false">IF(AND(M$4=$G406,M$6=$F406),$D406*M$5,"")</f>
        <v/>
      </c>
      <c r="N406" s="1414" t="n">
        <f aca="false">VLOOKUP(B406,'O_MN, PE_UTA_UGM 2024'!$E$2:$K$419,IF(G406&gt;1,6,7))</f>
        <v>0</v>
      </c>
      <c r="O406" s="1434" t="str">
        <f aca="false">IF($H406=O$4,$D406*$N406,"")</f>
        <v/>
      </c>
      <c r="P406" s="1435" t="str">
        <f aca="false">IF($H406=P$4,$D406*$N406,"")</f>
        <v/>
      </c>
      <c r="Q406" s="1435" t="str">
        <f aca="false">IF($H406=Q$4,$D406*$N406,"")</f>
        <v/>
      </c>
      <c r="R406" s="1435" t="str">
        <f aca="false">IF($H406=R$4,$D406*$N406,"")</f>
        <v/>
      </c>
      <c r="S406" s="1435" t="str">
        <f aca="false">IF($H406=S$4,$D406*$N406,"")</f>
        <v/>
      </c>
      <c r="T406" s="1435" t="str">
        <f aca="false">IF($H406=T$4,$D406*$N406,"")</f>
        <v/>
      </c>
      <c r="U406" s="1436" t="str">
        <f aca="false">IF($H406=U$4,$D406*$N406,"")</f>
        <v/>
      </c>
      <c r="V406" s="1472"/>
      <c r="W406" s="1471"/>
      <c r="X406" s="1471"/>
      <c r="Y406" s="1471"/>
      <c r="Z406" s="1471"/>
      <c r="AA406" s="1471"/>
      <c r="AB406" s="1473"/>
      <c r="AC406" s="1319"/>
      <c r="AD406" s="2" t="str">
        <f aca="false">IF(AND(AD$4=$G406,AD$6=$F406),$B406,"")</f>
        <v/>
      </c>
      <c r="AE406" s="2" t="str">
        <f aca="false">IF(AND(AE$4=$G406,AE$6=$F406),$B406,"")</f>
        <v/>
      </c>
      <c r="AF406" s="2" t="str">
        <f aca="false">IF(AND(AF$4=$G406,AF$6=$F406),$B406,"")</f>
        <v/>
      </c>
      <c r="AG406" s="2" t="str">
        <f aca="false">IF(AND(AG$4=$G406,AG$6=$F406),$B406,"")</f>
        <v/>
      </c>
      <c r="AI406" s="366"/>
      <c r="AL406" s="367"/>
      <c r="AO406" s="367"/>
      <c r="AP406" s="2" t="str">
        <f aca="false">IF(AT406&gt;0,RANK(AT406,AT$7:AT$423),"")</f>
        <v/>
      </c>
      <c r="AQ406" s="1475" t="n">
        <f aca="false">'O_MN, PE_UTA_UGM 2024'!C403</f>
        <v>0</v>
      </c>
      <c r="AR406" s="1421" t="n">
        <v>9150</v>
      </c>
      <c r="AS406" s="2" t="str">
        <f aca="false">IF(AY406&lt;&gt;"",AY406,"")</f>
        <v/>
      </c>
      <c r="AT406" s="1422" t="n">
        <f aca="false">IF(ISNUMBER($AR406),SUMIF(B$7:B$505,AR406,D$7:D$505),"")</f>
        <v>0</v>
      </c>
      <c r="AU406" s="1411" t="n">
        <f aca="false">IF(ISNUMBER($AR406),SUMIF(AD$7:AD$503,$AR406,J$7:J$503),"")</f>
        <v>0</v>
      </c>
      <c r="AV406" s="1411" t="n">
        <f aca="false">IF(ISNUMBER($AR406),SUMIF(AF$7:AF$503,$AR406,L$7:L$503),"")</f>
        <v>0</v>
      </c>
      <c r="AW406" s="1423" t="n">
        <f aca="false">IF(ISNUMBER($AR406),SUMIF(AE$7:AE$503,$AR406,K$7:K$503),"")</f>
        <v>0</v>
      </c>
      <c r="AX406" s="1423" t="n">
        <f aca="false">IF(ISNUMBER($AR406),SUMIF(AG$7:AG$503,$AR406,M$7:M$503),"")</f>
        <v>0</v>
      </c>
      <c r="AY406" s="2" t="str">
        <f aca="false">IF($AT406&gt;0,VLOOKUP($AR406,'O_MN, PE_UTA_UGM 2024'!E403:O818,2),"")</f>
        <v/>
      </c>
      <c r="AZ406" s="1424"/>
      <c r="BA406" s="1424"/>
      <c r="BB406" s="1424" t="str">
        <f aca="false">IF($AT406&gt;0,VLOOKUP($AR406,'O_MN, PE_UTA_UGM 2024'!$E$3:$O$419,BB$6),"")</f>
        <v/>
      </c>
      <c r="BC406" s="1424" t="str">
        <f aca="false">IF($AT406&gt;0,VLOOKUP($AR406,'O_MN, PE_UTA_UGM 2024'!$E$3:$O$419,BC$6),"")</f>
        <v/>
      </c>
      <c r="BD406" s="1424" t="str">
        <f aca="false">IF($AT406&gt;0,VLOOKUP($AR406,'O_MN, PE_UTA_UGM 2024'!$E$3:$O$419,BD$6),"")</f>
        <v/>
      </c>
      <c r="BE406" s="1424" t="str">
        <f aca="false">IF($AT406&gt;0,VLOOKUP($AR406,'O_MN, PE_UTA_UGM 2024'!$E$3:$O$419,BE$6),"")</f>
        <v/>
      </c>
      <c r="BF406" s="1424" t="str">
        <f aca="false">IF($AT406&gt;0,VLOOKUP($AR406,'O_MN, PE_UTA_UGM 2024'!$E$3:$O$419,BF$6),"")</f>
        <v/>
      </c>
      <c r="BG406" s="1424" t="str">
        <f aca="false">IF($AT406&gt;0,VLOOKUP($AR406,'O_MN, PE_UTA_UGM 2024'!$E$3:$O$419,BG$6),"")</f>
        <v/>
      </c>
      <c r="BH406" s="872"/>
      <c r="BI406" s="872"/>
      <c r="BJ406" s="872"/>
      <c r="BK406" s="872"/>
      <c r="BM406" s="1411"/>
      <c r="BN406" s="1411"/>
      <c r="BO406" s="1425" t="str">
        <f aca="false">IF(ISNUMBER($AU406*BB406*1),$AU406*BB406*1,"")</f>
        <v/>
      </c>
      <c r="BP406" s="1425" t="str">
        <f aca="false">IF(ISNUMBER($AV406*BC406*1),$AV406*BC406*1,"")</f>
        <v/>
      </c>
      <c r="BQ406" s="1425" t="str">
        <f aca="false">IF(ISNUMBER($AU406*BD406*1),$AU406*BD406*1,"")</f>
        <v/>
      </c>
      <c r="BR406" s="1425" t="str">
        <f aca="false">IF(ISNUMBER($AV406*BE406*1),$AV406*BE406*1,"")</f>
        <v/>
      </c>
      <c r="BS406" s="1411" t="str">
        <f aca="false">IF(ISNUMBER($AU406*BF406),$AU406*BF406,"")</f>
        <v/>
      </c>
      <c r="BT406" s="1411" t="str">
        <f aca="false">IF(ISNUMBER($AV406*BG406),$AV406*BG406,"")</f>
        <v/>
      </c>
      <c r="BU406" s="1411"/>
      <c r="BV406" s="1411"/>
      <c r="BW406" s="1411"/>
      <c r="BX406" s="1411"/>
      <c r="BZ406" s="1372"/>
      <c r="CA406" s="1372"/>
      <c r="CB406" s="1426" t="str">
        <f aca="false">IF(ISNUMBER($AW406*BB406),$AW406*BB406,"")</f>
        <v/>
      </c>
      <c r="CC406" s="1426" t="str">
        <f aca="false">IF(ISNUMBER($AX406*BC406),$AX406*BC406,"")</f>
        <v/>
      </c>
      <c r="CD406" s="1426" t="str">
        <f aca="false">IF(ISNUMBER($AW406*BD406),$AW406*BD406,"")</f>
        <v/>
      </c>
      <c r="CE406" s="1426" t="str">
        <f aca="false">IF(ISNUMBER($AX406*BE406),$AX406*BE406,"")</f>
        <v/>
      </c>
      <c r="CF406" s="1372" t="str">
        <f aca="false">IF(ISNUMBER($AW406*BF406),$AW406*BF406,"")</f>
        <v/>
      </c>
      <c r="CG406" s="1372" t="str">
        <f aca="false">IF(ISNUMBER($AX406*BG406),$AX406*BG406,"")</f>
        <v/>
      </c>
      <c r="CH406" s="1438"/>
      <c r="CI406" s="1438"/>
      <c r="CJ406" s="1438"/>
      <c r="CK406" s="1438"/>
      <c r="CU406" s="1411"/>
      <c r="CV406" s="1411"/>
      <c r="CW406" s="1425"/>
      <c r="CX406" s="1425"/>
      <c r="CY406" s="1425"/>
      <c r="CZ406" s="1425"/>
      <c r="DA406" s="1411"/>
      <c r="DB406" s="1411"/>
      <c r="DC406" s="1411"/>
      <c r="DD406" s="1411"/>
      <c r="DE406" s="1411"/>
      <c r="DF406" s="1411"/>
      <c r="DH406" s="1432"/>
      <c r="DI406" s="1432"/>
      <c r="DJ406" s="1437"/>
      <c r="DK406" s="1437"/>
      <c r="DL406" s="1437"/>
      <c r="DM406" s="1437"/>
      <c r="DN406" s="1432"/>
      <c r="DO406" s="1432"/>
      <c r="DP406" s="1432"/>
      <c r="DQ406" s="1432"/>
      <c r="DR406" s="1432"/>
      <c r="DS406" s="1432"/>
      <c r="DT406" s="1316"/>
      <c r="DU406" s="1433"/>
      <c r="DV406" s="1433"/>
      <c r="DW406" s="1433"/>
      <c r="DX406" s="1433"/>
      <c r="DY406" s="1433"/>
      <c r="DZ406" s="1433"/>
      <c r="EA406" s="1433"/>
      <c r="EB406" s="1433"/>
    </row>
    <row r="407" customFormat="false" ht="14.25" hidden="false" customHeight="false" outlineLevel="0" collapsed="false">
      <c r="A407" s="2" t="n">
        <f aca="false">'V_DATOS PAC_SGA'!R402</f>
        <v>0</v>
      </c>
      <c r="B407" s="2" t="n">
        <f aca="false">IF(I407="IV",CONCATENATE('V_DATOS PAC_SGA'!R402,"4")+0,CONCATENATE('V_DATOS PAC_SGA'!R402,"0")+0)</f>
        <v>0</v>
      </c>
      <c r="C407" s="2" t="n">
        <f aca="false">'V_DATOS PAC_SGA'!S402</f>
        <v>0</v>
      </c>
      <c r="D407" s="1409" t="n">
        <f aca="false">'V_DATOS PAC_SGA'!Y402</f>
        <v>0</v>
      </c>
      <c r="E407" s="1410" t="str">
        <f aca="false">IF('V_DATOS PAC_SGA'!AV402="","Regadio",'V_DATOS PAC_SGA'!AV402)</f>
        <v>Regadio</v>
      </c>
      <c r="F407" s="1411" t="n">
        <f aca="false">'V_DATOS PAC_SGA'!BK402</f>
        <v>0</v>
      </c>
      <c r="G407" s="1412" t="n">
        <f aca="false">'V_DATOS PAC_SGA'!AN402</f>
        <v>0</v>
      </c>
      <c r="H407" s="1413" t="str">
        <f aca="false">IF(B407&gt;0,VLOOKUP(B407,'O_MN, PE_UTA_UGM 2024'!E$3:O$419,10),"")</f>
        <v/>
      </c>
      <c r="I407" s="1359" t="n">
        <f aca="false">'V_DATOS PAC_SGA'!BV402</f>
        <v>0</v>
      </c>
      <c r="J407" s="2" t="str">
        <f aca="false">IF(AND(J$4=$G407,J$6=$F407),$D407*J$5,"")</f>
        <v/>
      </c>
      <c r="K407" s="2" t="str">
        <f aca="false">IF(AND(K$4=$G407,K$6=$F407),$D407*K$5,"")</f>
        <v/>
      </c>
      <c r="L407" s="2" t="str">
        <f aca="false">IF(AND(L$4=$G407,L$6=$F407),$D407*L$5,"")</f>
        <v/>
      </c>
      <c r="M407" s="2" t="str">
        <f aca="false">IF(AND(M$4=$G407,M$6=$F407),$D407*M$5,"")</f>
        <v/>
      </c>
      <c r="N407" s="1414" t="n">
        <f aca="false">VLOOKUP(B407,'O_MN, PE_UTA_UGM 2024'!$E$2:$K$419,IF(G407&gt;1,6,7))</f>
        <v>0</v>
      </c>
      <c r="O407" s="1434" t="str">
        <f aca="false">IF($H407=O$4,$D407*$N407,"")</f>
        <v/>
      </c>
      <c r="P407" s="1435" t="str">
        <f aca="false">IF($H407=P$4,$D407*$N407,"")</f>
        <v/>
      </c>
      <c r="Q407" s="1435" t="str">
        <f aca="false">IF($H407=Q$4,$D407*$N407,"")</f>
        <v/>
      </c>
      <c r="R407" s="1435" t="str">
        <f aca="false">IF($H407=R$4,$D407*$N407,"")</f>
        <v/>
      </c>
      <c r="S407" s="1435" t="str">
        <f aca="false">IF($H407=S$4,$D407*$N407,"")</f>
        <v/>
      </c>
      <c r="T407" s="1435" t="str">
        <f aca="false">IF($H407=T$4,$D407*$N407,"")</f>
        <v/>
      </c>
      <c r="U407" s="1436" t="str">
        <f aca="false">IF($H407=U$4,$D407*$N407,"")</f>
        <v/>
      </c>
      <c r="V407" s="1472"/>
      <c r="W407" s="1471"/>
      <c r="X407" s="1471"/>
      <c r="Y407" s="1471"/>
      <c r="Z407" s="1471"/>
      <c r="AA407" s="1471"/>
      <c r="AB407" s="1473"/>
      <c r="AC407" s="1319"/>
      <c r="AD407" s="2" t="str">
        <f aca="false">IF(AND(AD$4=$G407,AD$6=$F407),$B407,"")</f>
        <v/>
      </c>
      <c r="AE407" s="2" t="str">
        <f aca="false">IF(AND(AE$4=$G407,AE$6=$F407),$B407,"")</f>
        <v/>
      </c>
      <c r="AF407" s="2" t="str">
        <f aca="false">IF(AND(AF$4=$G407,AF$6=$F407),$B407,"")</f>
        <v/>
      </c>
      <c r="AG407" s="2" t="str">
        <f aca="false">IF(AND(AG$4=$G407,AG$6=$F407),$B407,"")</f>
        <v/>
      </c>
      <c r="AI407" s="366"/>
      <c r="AL407" s="367"/>
      <c r="AO407" s="367"/>
      <c r="AP407" s="2" t="str">
        <f aca="false">IF(AT407&gt;0,RANK(AT407,AT$7:AT$423),"")</f>
        <v/>
      </c>
      <c r="AQ407" s="1475" t="n">
        <f aca="false">'O_MN, PE_UTA_UGM 2024'!C404</f>
        <v>0</v>
      </c>
      <c r="AR407" s="1421" t="n">
        <v>9160</v>
      </c>
      <c r="AS407" s="2" t="str">
        <f aca="false">IF(AY407&lt;&gt;"",AY407,"")</f>
        <v/>
      </c>
      <c r="AT407" s="1422" t="n">
        <f aca="false">IF(ISNUMBER($AR407),SUMIF(B$7:B$505,AR407,D$7:D$505),"")</f>
        <v>0</v>
      </c>
      <c r="AU407" s="1411" t="n">
        <f aca="false">IF(ISNUMBER($AR407),SUMIF(AD$7:AD$503,$AR407,J$7:J$503),"")</f>
        <v>0</v>
      </c>
      <c r="AV407" s="1411" t="n">
        <f aca="false">IF(ISNUMBER($AR407),SUMIF(AF$7:AF$503,$AR407,L$7:L$503),"")</f>
        <v>0</v>
      </c>
      <c r="AW407" s="1423" t="n">
        <f aca="false">IF(ISNUMBER($AR407),SUMIF(AE$7:AE$503,$AR407,K$7:K$503),"")</f>
        <v>0</v>
      </c>
      <c r="AX407" s="1423" t="n">
        <f aca="false">IF(ISNUMBER($AR407),SUMIF(AG$7:AG$503,$AR407,M$7:M$503),"")</f>
        <v>0</v>
      </c>
      <c r="AY407" s="2" t="str">
        <f aca="false">IF($AT407&gt;0,VLOOKUP($AR407,'O_MN, PE_UTA_UGM 2024'!E404:O819,2),"")</f>
        <v/>
      </c>
      <c r="AZ407" s="1424"/>
      <c r="BA407" s="1424"/>
      <c r="BB407" s="1424" t="str">
        <f aca="false">IF($AT407&gt;0,VLOOKUP($AR407,'O_MN, PE_UTA_UGM 2024'!$E$3:$O$419,BB$6),"")</f>
        <v/>
      </c>
      <c r="BC407" s="1424" t="str">
        <f aca="false">IF($AT407&gt;0,VLOOKUP($AR407,'O_MN, PE_UTA_UGM 2024'!$E$3:$O$419,BC$6),"")</f>
        <v/>
      </c>
      <c r="BD407" s="1424" t="str">
        <f aca="false">IF($AT407&gt;0,VLOOKUP($AR407,'O_MN, PE_UTA_UGM 2024'!$E$3:$O$419,BD$6),"")</f>
        <v/>
      </c>
      <c r="BE407" s="1424" t="str">
        <f aca="false">IF($AT407&gt;0,VLOOKUP($AR407,'O_MN, PE_UTA_UGM 2024'!$E$3:$O$419,BE$6),"")</f>
        <v/>
      </c>
      <c r="BF407" s="1424" t="str">
        <f aca="false">IF($AT407&gt;0,VLOOKUP($AR407,'O_MN, PE_UTA_UGM 2024'!$E$3:$O$419,BF$6),"")</f>
        <v/>
      </c>
      <c r="BG407" s="1424" t="str">
        <f aca="false">IF($AT407&gt;0,VLOOKUP($AR407,'O_MN, PE_UTA_UGM 2024'!$E$3:$O$419,BG$6),"")</f>
        <v/>
      </c>
      <c r="BH407" s="872"/>
      <c r="BI407" s="872"/>
      <c r="BJ407" s="872"/>
      <c r="BK407" s="872"/>
      <c r="BM407" s="1411"/>
      <c r="BN407" s="1411"/>
      <c r="BO407" s="1425" t="str">
        <f aca="false">IF(ISNUMBER($AU407*BB407*1),$AU407*BB407*1,"")</f>
        <v/>
      </c>
      <c r="BP407" s="1425" t="str">
        <f aca="false">IF(ISNUMBER($AV407*BC407*1),$AV407*BC407*1,"")</f>
        <v/>
      </c>
      <c r="BQ407" s="1425" t="str">
        <f aca="false">IF(ISNUMBER($AU407*BD407*1),$AU407*BD407*1,"")</f>
        <v/>
      </c>
      <c r="BR407" s="1425" t="str">
        <f aca="false">IF(ISNUMBER($AV407*BE407*1),$AV407*BE407*1,"")</f>
        <v/>
      </c>
      <c r="BS407" s="1411" t="str">
        <f aca="false">IF(ISNUMBER($AU407*BF407),$AU407*BF407,"")</f>
        <v/>
      </c>
      <c r="BT407" s="1411" t="str">
        <f aca="false">IF(ISNUMBER($AV407*BG407),$AV407*BG407,"")</f>
        <v/>
      </c>
      <c r="BU407" s="1411"/>
      <c r="BV407" s="1411"/>
      <c r="BW407" s="1411"/>
      <c r="BX407" s="1411"/>
      <c r="BZ407" s="1372"/>
      <c r="CA407" s="1372"/>
      <c r="CB407" s="1426" t="str">
        <f aca="false">IF(ISNUMBER($AW407*BB407),$AW407*BB407,"")</f>
        <v/>
      </c>
      <c r="CC407" s="1426" t="str">
        <f aca="false">IF(ISNUMBER($AX407*BC407),$AX407*BC407,"")</f>
        <v/>
      </c>
      <c r="CD407" s="1426" t="str">
        <f aca="false">IF(ISNUMBER($AW407*BD407),$AW407*BD407,"")</f>
        <v/>
      </c>
      <c r="CE407" s="1426" t="str">
        <f aca="false">IF(ISNUMBER($AX407*BE407),$AX407*BE407,"")</f>
        <v/>
      </c>
      <c r="CF407" s="1372" t="str">
        <f aca="false">IF(ISNUMBER($AW407*BF407),$AW407*BF407,"")</f>
        <v/>
      </c>
      <c r="CG407" s="1372" t="str">
        <f aca="false">IF(ISNUMBER($AX407*BG407),$AX407*BG407,"")</f>
        <v/>
      </c>
      <c r="CH407" s="1438"/>
      <c r="CI407" s="1438"/>
      <c r="CJ407" s="1438"/>
      <c r="CK407" s="1438"/>
      <c r="CU407" s="1411"/>
      <c r="CV407" s="1411"/>
      <c r="CW407" s="1425"/>
      <c r="CX407" s="1425"/>
      <c r="CY407" s="1425"/>
      <c r="CZ407" s="1425"/>
      <c r="DA407" s="1411"/>
      <c r="DB407" s="1411"/>
      <c r="DC407" s="1411"/>
      <c r="DD407" s="1411"/>
      <c r="DE407" s="1411"/>
      <c r="DF407" s="1411"/>
      <c r="DH407" s="1432"/>
      <c r="DI407" s="1432"/>
      <c r="DJ407" s="1437"/>
      <c r="DK407" s="1437"/>
      <c r="DL407" s="1437"/>
      <c r="DM407" s="1437"/>
      <c r="DN407" s="1432"/>
      <c r="DO407" s="1432"/>
      <c r="DP407" s="1432"/>
      <c r="DQ407" s="1432"/>
      <c r="DR407" s="1432"/>
      <c r="DS407" s="1432"/>
      <c r="DT407" s="1316"/>
      <c r="DU407" s="1433"/>
      <c r="DV407" s="1433"/>
      <c r="DW407" s="1433"/>
      <c r="DX407" s="1433"/>
      <c r="DY407" s="1433"/>
      <c r="DZ407" s="1433"/>
      <c r="EA407" s="1433"/>
      <c r="EB407" s="1433"/>
    </row>
    <row r="408" customFormat="false" ht="14.25" hidden="false" customHeight="false" outlineLevel="0" collapsed="false">
      <c r="A408" s="2" t="n">
        <f aca="false">'V_DATOS PAC_SGA'!R403</f>
        <v>0</v>
      </c>
      <c r="B408" s="2" t="n">
        <f aca="false">IF(I408="IV",CONCATENATE('V_DATOS PAC_SGA'!R403,"4")+0,CONCATENATE('V_DATOS PAC_SGA'!R403,"0")+0)</f>
        <v>0</v>
      </c>
      <c r="C408" s="2" t="n">
        <f aca="false">'V_DATOS PAC_SGA'!S403</f>
        <v>0</v>
      </c>
      <c r="D408" s="1409" t="n">
        <f aca="false">'V_DATOS PAC_SGA'!Y403</f>
        <v>0</v>
      </c>
      <c r="E408" s="1410" t="str">
        <f aca="false">IF('V_DATOS PAC_SGA'!AV403="","Regadio",'V_DATOS PAC_SGA'!AV403)</f>
        <v>Regadio</v>
      </c>
      <c r="F408" s="1411" t="n">
        <f aca="false">'V_DATOS PAC_SGA'!BK403</f>
        <v>0</v>
      </c>
      <c r="G408" s="1412" t="n">
        <f aca="false">'V_DATOS PAC_SGA'!AN403</f>
        <v>0</v>
      </c>
      <c r="H408" s="1413" t="str">
        <f aca="false">IF(B408&gt;0,VLOOKUP(B408,'O_MN, PE_UTA_UGM 2024'!E$3:O$419,10),"")</f>
        <v/>
      </c>
      <c r="I408" s="1359" t="n">
        <f aca="false">'V_DATOS PAC_SGA'!BV403</f>
        <v>0</v>
      </c>
      <c r="J408" s="2" t="str">
        <f aca="false">IF(AND(J$4=$G408,J$6=$F408),$D408*J$5,"")</f>
        <v/>
      </c>
      <c r="K408" s="2" t="str">
        <f aca="false">IF(AND(K$4=$G408,K$6=$F408),$D408*K$5,"")</f>
        <v/>
      </c>
      <c r="L408" s="2" t="str">
        <f aca="false">IF(AND(L$4=$G408,L$6=$F408),$D408*L$5,"")</f>
        <v/>
      </c>
      <c r="M408" s="2" t="str">
        <f aca="false">IF(AND(M$4=$G408,M$6=$F408),$D408*M$5,"")</f>
        <v/>
      </c>
      <c r="N408" s="1414" t="n">
        <f aca="false">VLOOKUP(B408,'O_MN, PE_UTA_UGM 2024'!$E$2:$K$419,IF(G408&gt;1,6,7))</f>
        <v>0</v>
      </c>
      <c r="O408" s="1434" t="str">
        <f aca="false">IF($H408=O$4,$D408*$N408,"")</f>
        <v/>
      </c>
      <c r="P408" s="1435" t="str">
        <f aca="false">IF($H408=P$4,$D408*$N408,"")</f>
        <v/>
      </c>
      <c r="Q408" s="1435" t="str">
        <f aca="false">IF($H408=Q$4,$D408*$N408,"")</f>
        <v/>
      </c>
      <c r="R408" s="1435" t="str">
        <f aca="false">IF($H408=R$4,$D408*$N408,"")</f>
        <v/>
      </c>
      <c r="S408" s="1435" t="str">
        <f aca="false">IF($H408=S$4,$D408*$N408,"")</f>
        <v/>
      </c>
      <c r="T408" s="1435" t="str">
        <f aca="false">IF($H408=T$4,$D408*$N408,"")</f>
        <v/>
      </c>
      <c r="U408" s="1436" t="str">
        <f aca="false">IF($H408=U$4,$D408*$N408,"")</f>
        <v/>
      </c>
      <c r="V408" s="1472"/>
      <c r="W408" s="1471"/>
      <c r="X408" s="1471"/>
      <c r="Y408" s="1471"/>
      <c r="Z408" s="1471"/>
      <c r="AA408" s="1471"/>
      <c r="AB408" s="1473"/>
      <c r="AC408" s="1319"/>
      <c r="AD408" s="2" t="str">
        <f aca="false">IF(AND(AD$4=$G408,AD$6=$F408),$B408,"")</f>
        <v/>
      </c>
      <c r="AE408" s="2" t="str">
        <f aca="false">IF(AND(AE$4=$G408,AE$6=$F408),$B408,"")</f>
        <v/>
      </c>
      <c r="AF408" s="2" t="str">
        <f aca="false">IF(AND(AF$4=$G408,AF$6=$F408),$B408,"")</f>
        <v/>
      </c>
      <c r="AG408" s="2" t="str">
        <f aca="false">IF(AND(AG$4=$G408,AG$6=$F408),$B408,"")</f>
        <v/>
      </c>
      <c r="AI408" s="366"/>
      <c r="AL408" s="367"/>
      <c r="AO408" s="367"/>
      <c r="AP408" s="2" t="str">
        <f aca="false">IF(AT408&gt;0,RANK(AT408,AT$7:AT$423),"")</f>
        <v/>
      </c>
      <c r="AQ408" s="1475" t="n">
        <f aca="false">'O_MN, PE_UTA_UGM 2024'!C405</f>
        <v>0</v>
      </c>
      <c r="AR408" s="1421" t="n">
        <v>9270</v>
      </c>
      <c r="AS408" s="2" t="str">
        <f aca="false">IF(AY408&lt;&gt;"",AY408,"")</f>
        <v/>
      </c>
      <c r="AT408" s="1422" t="n">
        <f aca="false">IF(ISNUMBER($AR408),SUMIF(B$7:B$505,AR408,D$7:D$505),"")</f>
        <v>0</v>
      </c>
      <c r="AU408" s="1411" t="n">
        <f aca="false">IF(ISNUMBER($AR408),SUMIF(AD$7:AD$503,$AR408,J$7:J$503),"")</f>
        <v>0</v>
      </c>
      <c r="AV408" s="1411" t="n">
        <f aca="false">IF(ISNUMBER($AR408),SUMIF(AF$7:AF$503,$AR408,L$7:L$503),"")</f>
        <v>0</v>
      </c>
      <c r="AW408" s="1423" t="n">
        <f aca="false">IF(ISNUMBER($AR408),SUMIF(AE$7:AE$503,$AR408,K$7:K$503),"")</f>
        <v>0</v>
      </c>
      <c r="AX408" s="1423" t="n">
        <f aca="false">IF(ISNUMBER($AR408),SUMIF(AG$7:AG$503,$AR408,M$7:M$503),"")</f>
        <v>0</v>
      </c>
      <c r="AY408" s="2" t="str">
        <f aca="false">IF($AT408&gt;0,VLOOKUP($AR408,'O_MN, PE_UTA_UGM 2024'!E405:O820,2),"")</f>
        <v/>
      </c>
      <c r="AZ408" s="1424"/>
      <c r="BA408" s="1424"/>
      <c r="BB408" s="1424" t="str">
        <f aca="false">IF($AT408&gt;0,VLOOKUP($AR408,'O_MN, PE_UTA_UGM 2024'!$E$3:$O$419,BB$6),"")</f>
        <v/>
      </c>
      <c r="BC408" s="1424" t="str">
        <f aca="false">IF($AT408&gt;0,VLOOKUP($AR408,'O_MN, PE_UTA_UGM 2024'!$E$3:$O$419,BC$6),"")</f>
        <v/>
      </c>
      <c r="BD408" s="1424" t="str">
        <f aca="false">IF($AT408&gt;0,VLOOKUP($AR408,'O_MN, PE_UTA_UGM 2024'!$E$3:$O$419,BD$6),"")</f>
        <v/>
      </c>
      <c r="BE408" s="1424" t="str">
        <f aca="false">IF($AT408&gt;0,VLOOKUP($AR408,'O_MN, PE_UTA_UGM 2024'!$E$3:$O$419,BE$6),"")</f>
        <v/>
      </c>
      <c r="BF408" s="1424" t="str">
        <f aca="false">IF($AT408&gt;0,VLOOKUP($AR408,'O_MN, PE_UTA_UGM 2024'!$E$3:$O$419,BF$6),"")</f>
        <v/>
      </c>
      <c r="BG408" s="1424" t="str">
        <f aca="false">IF($AT408&gt;0,VLOOKUP($AR408,'O_MN, PE_UTA_UGM 2024'!$E$3:$O$419,BG$6),"")</f>
        <v/>
      </c>
      <c r="BH408" s="872"/>
      <c r="BI408" s="872"/>
      <c r="BJ408" s="872"/>
      <c r="BK408" s="872"/>
      <c r="BM408" s="1411"/>
      <c r="BN408" s="1411"/>
      <c r="BO408" s="1425" t="str">
        <f aca="false">IF(ISNUMBER($AU408*BB408*1),$AU408*BB408*1,"")</f>
        <v/>
      </c>
      <c r="BP408" s="1425" t="str">
        <f aca="false">IF(ISNUMBER($AV408*BC408*1),$AV408*BC408*1,"")</f>
        <v/>
      </c>
      <c r="BQ408" s="1425" t="str">
        <f aca="false">IF(ISNUMBER($AU408*BD408*1),$AU408*BD408*1,"")</f>
        <v/>
      </c>
      <c r="BR408" s="1425" t="str">
        <f aca="false">IF(ISNUMBER($AV408*BE408*1),$AV408*BE408*1,"")</f>
        <v/>
      </c>
      <c r="BS408" s="1411" t="str">
        <f aca="false">IF(ISNUMBER($AU408*BF408),$AU408*BF408,"")</f>
        <v/>
      </c>
      <c r="BT408" s="1411" t="str">
        <f aca="false">IF(ISNUMBER($AV408*BG408),$AV408*BG408,"")</f>
        <v/>
      </c>
      <c r="BU408" s="1411"/>
      <c r="BV408" s="1411"/>
      <c r="BW408" s="1411"/>
      <c r="BX408" s="1411"/>
      <c r="BZ408" s="1372"/>
      <c r="CA408" s="1372"/>
      <c r="CB408" s="1426" t="str">
        <f aca="false">IF(ISNUMBER($AW408*BB408),$AW408*BB408,"")</f>
        <v/>
      </c>
      <c r="CC408" s="1426" t="str">
        <f aca="false">IF(ISNUMBER($AX408*BC408),$AX408*BC408,"")</f>
        <v/>
      </c>
      <c r="CD408" s="1426" t="str">
        <f aca="false">IF(ISNUMBER($AW408*BD408),$AW408*BD408,"")</f>
        <v/>
      </c>
      <c r="CE408" s="1426" t="str">
        <f aca="false">IF(ISNUMBER($AX408*BE408),$AX408*BE408,"")</f>
        <v/>
      </c>
      <c r="CF408" s="1372" t="str">
        <f aca="false">IF(ISNUMBER($AW408*BF408),$AW408*BF408,"")</f>
        <v/>
      </c>
      <c r="CG408" s="1372" t="str">
        <f aca="false">IF(ISNUMBER($AX408*BG408),$AX408*BG408,"")</f>
        <v/>
      </c>
      <c r="CH408" s="1438"/>
      <c r="CI408" s="1438"/>
      <c r="CJ408" s="1438"/>
      <c r="CK408" s="1438"/>
      <c r="CU408" s="1411"/>
      <c r="CV408" s="1411"/>
      <c r="CW408" s="1425"/>
      <c r="CX408" s="1425"/>
      <c r="CY408" s="1425"/>
      <c r="CZ408" s="1425"/>
      <c r="DA408" s="1411"/>
      <c r="DB408" s="1411"/>
      <c r="DC408" s="1411"/>
      <c r="DD408" s="1411"/>
      <c r="DE408" s="1411"/>
      <c r="DF408" s="1411"/>
      <c r="DH408" s="1432"/>
      <c r="DI408" s="1432"/>
      <c r="DJ408" s="1437"/>
      <c r="DK408" s="1437"/>
      <c r="DL408" s="1437"/>
      <c r="DM408" s="1437"/>
      <c r="DN408" s="1432"/>
      <c r="DO408" s="1432"/>
      <c r="DP408" s="1432"/>
      <c r="DQ408" s="1432"/>
      <c r="DR408" s="1432"/>
      <c r="DS408" s="1432"/>
      <c r="DT408" s="1316"/>
      <c r="DU408" s="1433"/>
      <c r="DV408" s="1433"/>
      <c r="DW408" s="1433"/>
      <c r="DX408" s="1433"/>
      <c r="DY408" s="1433"/>
      <c r="DZ408" s="1433"/>
      <c r="EA408" s="1433"/>
      <c r="EB408" s="1433"/>
    </row>
    <row r="409" customFormat="false" ht="14.25" hidden="false" customHeight="false" outlineLevel="0" collapsed="false">
      <c r="A409" s="2" t="n">
        <f aca="false">'V_DATOS PAC_SGA'!R404</f>
        <v>0</v>
      </c>
      <c r="B409" s="2" t="n">
        <f aca="false">IF(I409="IV",CONCATENATE('V_DATOS PAC_SGA'!R404,"4")+0,CONCATENATE('V_DATOS PAC_SGA'!R404,"0")+0)</f>
        <v>0</v>
      </c>
      <c r="C409" s="2" t="n">
        <f aca="false">'V_DATOS PAC_SGA'!S404</f>
        <v>0</v>
      </c>
      <c r="D409" s="1409" t="n">
        <f aca="false">'V_DATOS PAC_SGA'!Y404</f>
        <v>0</v>
      </c>
      <c r="E409" s="1410" t="str">
        <f aca="false">IF('V_DATOS PAC_SGA'!AV404="","Regadio",'V_DATOS PAC_SGA'!AV404)</f>
        <v>Regadio</v>
      </c>
      <c r="F409" s="1411" t="n">
        <f aca="false">'V_DATOS PAC_SGA'!BK404</f>
        <v>0</v>
      </c>
      <c r="G409" s="1412" t="n">
        <f aca="false">'V_DATOS PAC_SGA'!AN404</f>
        <v>0</v>
      </c>
      <c r="H409" s="1413" t="str">
        <f aca="false">IF(B409&gt;0,VLOOKUP(B409,'O_MN, PE_UTA_UGM 2024'!E$3:O$419,10),"")</f>
        <v/>
      </c>
      <c r="I409" s="1359" t="n">
        <f aca="false">'V_DATOS PAC_SGA'!BV404</f>
        <v>0</v>
      </c>
      <c r="J409" s="2" t="str">
        <f aca="false">IF(AND(J$4=$G409,J$6=$F409),$D409*J$5,"")</f>
        <v/>
      </c>
      <c r="K409" s="2" t="str">
        <f aca="false">IF(AND(K$4=$G409,K$6=$F409),$D409*K$5,"")</f>
        <v/>
      </c>
      <c r="L409" s="2" t="str">
        <f aca="false">IF(AND(L$4=$G409,L$6=$F409),$D409*L$5,"")</f>
        <v/>
      </c>
      <c r="M409" s="2" t="str">
        <f aca="false">IF(AND(M$4=$G409,M$6=$F409),$D409*M$5,"")</f>
        <v/>
      </c>
      <c r="N409" s="1414" t="n">
        <f aca="false">VLOOKUP(B409,'O_MN, PE_UTA_UGM 2024'!$E$2:$K$419,IF(G409&gt;1,6,7))</f>
        <v>0</v>
      </c>
      <c r="O409" s="1434" t="str">
        <f aca="false">IF($H409=O$4,$D409*$N409,"")</f>
        <v/>
      </c>
      <c r="P409" s="1435" t="str">
        <f aca="false">IF($H409=P$4,$D409*$N409,"")</f>
        <v/>
      </c>
      <c r="Q409" s="1435" t="str">
        <f aca="false">IF($H409=Q$4,$D409*$N409,"")</f>
        <v/>
      </c>
      <c r="R409" s="1435" t="str">
        <f aca="false">IF($H409=R$4,$D409*$N409,"")</f>
        <v/>
      </c>
      <c r="S409" s="1435" t="str">
        <f aca="false">IF($H409=S$4,$D409*$N409,"")</f>
        <v/>
      </c>
      <c r="T409" s="1435" t="str">
        <f aca="false">IF($H409=T$4,$D409*$N409,"")</f>
        <v/>
      </c>
      <c r="U409" s="1436" t="str">
        <f aca="false">IF($H409=U$4,$D409*$N409,"")</f>
        <v/>
      </c>
      <c r="V409" s="1472"/>
      <c r="W409" s="1471"/>
      <c r="X409" s="1471"/>
      <c r="Y409" s="1471"/>
      <c r="Z409" s="1471"/>
      <c r="AA409" s="1471"/>
      <c r="AB409" s="1473"/>
      <c r="AC409" s="1319"/>
      <c r="AD409" s="2" t="str">
        <f aca="false">IF(AND(AD$4=$G409,AD$6=$F409),$B409,"")</f>
        <v/>
      </c>
      <c r="AE409" s="2" t="str">
        <f aca="false">IF(AND(AE$4=$G409,AE$6=$F409),$B409,"")</f>
        <v/>
      </c>
      <c r="AF409" s="2" t="str">
        <f aca="false">IF(AND(AF$4=$G409,AF$6=$F409),$B409,"")</f>
        <v/>
      </c>
      <c r="AG409" s="2" t="str">
        <f aca="false">IF(AND(AG$4=$G409,AG$6=$F409),$B409,"")</f>
        <v/>
      </c>
      <c r="AI409" s="366"/>
      <c r="AL409" s="367"/>
      <c r="AO409" s="367"/>
      <c r="AP409" s="2" t="str">
        <f aca="false">IF(AT409&gt;0,RANK(AT409,AT$7:AT$423),"")</f>
        <v/>
      </c>
      <c r="AQ409" s="1475" t="n">
        <f aca="false">'O_MN, PE_UTA_UGM 2024'!C406</f>
        <v>0</v>
      </c>
      <c r="AR409" s="1421" t="n">
        <v>9320</v>
      </c>
      <c r="AS409" s="2" t="str">
        <f aca="false">IF(AY409&lt;&gt;"",AY409,"")</f>
        <v/>
      </c>
      <c r="AT409" s="1422" t="n">
        <f aca="false">IF(ISNUMBER($AR409),SUMIF(B$7:B$505,AR409,D$7:D$505),"")</f>
        <v>0</v>
      </c>
      <c r="AU409" s="1411" t="n">
        <f aca="false">IF(ISNUMBER($AR409),SUMIF(AD$7:AD$503,$AR409,J$7:J$503),"")</f>
        <v>0</v>
      </c>
      <c r="AV409" s="1411" t="n">
        <f aca="false">IF(ISNUMBER($AR409),SUMIF(AF$7:AF$503,$AR409,L$7:L$503),"")</f>
        <v>0</v>
      </c>
      <c r="AW409" s="1423" t="n">
        <f aca="false">IF(ISNUMBER($AR409),SUMIF(AE$7:AE$503,$AR409,K$7:K$503),"")</f>
        <v>0</v>
      </c>
      <c r="AX409" s="1423" t="n">
        <f aca="false">IF(ISNUMBER($AR409),SUMIF(AG$7:AG$503,$AR409,M$7:M$503),"")</f>
        <v>0</v>
      </c>
      <c r="AY409" s="2" t="str">
        <f aca="false">IF($AT409&gt;0,VLOOKUP($AR409,'O_MN, PE_UTA_UGM 2024'!E406:O821,2),"")</f>
        <v/>
      </c>
      <c r="AZ409" s="1424"/>
      <c r="BA409" s="1424"/>
      <c r="BB409" s="1424" t="str">
        <f aca="false">IF($AT409&gt;0,VLOOKUP($AR409,'O_MN, PE_UTA_UGM 2024'!$E$3:$O$419,BB$6),"")</f>
        <v/>
      </c>
      <c r="BC409" s="1424" t="str">
        <f aca="false">IF($AT409&gt;0,VLOOKUP($AR409,'O_MN, PE_UTA_UGM 2024'!$E$3:$O$419,BC$6),"")</f>
        <v/>
      </c>
      <c r="BD409" s="1424" t="str">
        <f aca="false">IF($AT409&gt;0,VLOOKUP($AR409,'O_MN, PE_UTA_UGM 2024'!$E$3:$O$419,BD$6),"")</f>
        <v/>
      </c>
      <c r="BE409" s="1424" t="str">
        <f aca="false">IF($AT409&gt;0,VLOOKUP($AR409,'O_MN, PE_UTA_UGM 2024'!$E$3:$O$419,BE$6),"")</f>
        <v/>
      </c>
      <c r="BF409" s="1424" t="str">
        <f aca="false">IF($AT409&gt;0,VLOOKUP($AR409,'O_MN, PE_UTA_UGM 2024'!$E$3:$O$419,BF$6),"")</f>
        <v/>
      </c>
      <c r="BG409" s="1424" t="str">
        <f aca="false">IF($AT409&gt;0,VLOOKUP($AR409,'O_MN, PE_UTA_UGM 2024'!$E$3:$O$419,BG$6),"")</f>
        <v/>
      </c>
      <c r="BH409" s="872"/>
      <c r="BI409" s="872"/>
      <c r="BJ409" s="872"/>
      <c r="BK409" s="872"/>
      <c r="BM409" s="1411"/>
      <c r="BN409" s="1411"/>
      <c r="BO409" s="1425" t="str">
        <f aca="false">IF(ISNUMBER($AU409*BB409*1),$AU409*BB409*1,"")</f>
        <v/>
      </c>
      <c r="BP409" s="1425" t="str">
        <f aca="false">IF(ISNUMBER($AV409*BC409*1),$AV409*BC409*1,"")</f>
        <v/>
      </c>
      <c r="BQ409" s="1425" t="str">
        <f aca="false">IF(ISNUMBER($AU409*BD409*1),$AU409*BD409*1,"")</f>
        <v/>
      </c>
      <c r="BR409" s="1425" t="str">
        <f aca="false">IF(ISNUMBER($AV409*BE409*1),$AV409*BE409*1,"")</f>
        <v/>
      </c>
      <c r="BS409" s="1411" t="str">
        <f aca="false">IF(ISNUMBER($AU409*BF409),$AU409*BF409,"")</f>
        <v/>
      </c>
      <c r="BT409" s="1411" t="str">
        <f aca="false">IF(ISNUMBER($AV409*BG409),$AV409*BG409,"")</f>
        <v/>
      </c>
      <c r="BU409" s="1411"/>
      <c r="BV409" s="1411"/>
      <c r="BW409" s="1411"/>
      <c r="BX409" s="1411"/>
      <c r="BZ409" s="1372"/>
      <c r="CA409" s="1372"/>
      <c r="CB409" s="1426" t="str">
        <f aca="false">IF(ISNUMBER($AW409*BB409),$AW409*BB409,"")</f>
        <v/>
      </c>
      <c r="CC409" s="1426" t="str">
        <f aca="false">IF(ISNUMBER($AX409*BC409),$AX409*BC409,"")</f>
        <v/>
      </c>
      <c r="CD409" s="1426" t="str">
        <f aca="false">IF(ISNUMBER($AW409*BD409),$AW409*BD409,"")</f>
        <v/>
      </c>
      <c r="CE409" s="1426" t="str">
        <f aca="false">IF(ISNUMBER($AX409*BE409),$AX409*BE409,"")</f>
        <v/>
      </c>
      <c r="CF409" s="1372" t="str">
        <f aca="false">IF(ISNUMBER($AW409*BF409),$AW409*BF409,"")</f>
        <v/>
      </c>
      <c r="CG409" s="1372" t="str">
        <f aca="false">IF(ISNUMBER($AX409*BG409),$AX409*BG409,"")</f>
        <v/>
      </c>
      <c r="CH409" s="1438"/>
      <c r="CI409" s="1438"/>
      <c r="CJ409" s="1438"/>
      <c r="CK409" s="1438"/>
      <c r="CU409" s="1411"/>
      <c r="CV409" s="1411"/>
      <c r="CW409" s="1425"/>
      <c r="CX409" s="1425"/>
      <c r="CY409" s="1425"/>
      <c r="CZ409" s="1425"/>
      <c r="DA409" s="1411"/>
      <c r="DB409" s="1411"/>
      <c r="DC409" s="1411"/>
      <c r="DD409" s="1411"/>
      <c r="DE409" s="1411"/>
      <c r="DF409" s="1411"/>
      <c r="DH409" s="1432"/>
      <c r="DI409" s="1432"/>
      <c r="DJ409" s="1437"/>
      <c r="DK409" s="1437"/>
      <c r="DL409" s="1437"/>
      <c r="DM409" s="1437"/>
      <c r="DN409" s="1432"/>
      <c r="DO409" s="1432"/>
      <c r="DP409" s="1432"/>
      <c r="DQ409" s="1432"/>
      <c r="DR409" s="1432"/>
      <c r="DS409" s="1432"/>
      <c r="DT409" s="1316"/>
      <c r="DU409" s="1433"/>
      <c r="DV409" s="1433"/>
      <c r="DW409" s="1433"/>
      <c r="DX409" s="1433"/>
      <c r="DY409" s="1433"/>
      <c r="DZ409" s="1433"/>
      <c r="EA409" s="1433"/>
      <c r="EB409" s="1433"/>
    </row>
    <row r="410" customFormat="false" ht="14.25" hidden="false" customHeight="false" outlineLevel="0" collapsed="false">
      <c r="A410" s="2" t="n">
        <f aca="false">'V_DATOS PAC_SGA'!R405</f>
        <v>0</v>
      </c>
      <c r="B410" s="2" t="n">
        <f aca="false">IF(I410="IV",CONCATENATE('V_DATOS PAC_SGA'!R405,"4")+0,CONCATENATE('V_DATOS PAC_SGA'!R405,"0")+0)</f>
        <v>0</v>
      </c>
      <c r="C410" s="2" t="n">
        <f aca="false">'V_DATOS PAC_SGA'!S405</f>
        <v>0</v>
      </c>
      <c r="D410" s="1409" t="n">
        <f aca="false">'V_DATOS PAC_SGA'!Y405</f>
        <v>0</v>
      </c>
      <c r="E410" s="1410" t="str">
        <f aca="false">IF('V_DATOS PAC_SGA'!AV405="","Regadio",'V_DATOS PAC_SGA'!AV405)</f>
        <v>Regadio</v>
      </c>
      <c r="F410" s="1411" t="n">
        <f aca="false">'V_DATOS PAC_SGA'!BK405</f>
        <v>0</v>
      </c>
      <c r="G410" s="1412" t="n">
        <f aca="false">'V_DATOS PAC_SGA'!AN405</f>
        <v>0</v>
      </c>
      <c r="H410" s="1413" t="str">
        <f aca="false">IF(B410&gt;0,VLOOKUP(B410,'O_MN, PE_UTA_UGM 2024'!E$3:O$419,10),"")</f>
        <v/>
      </c>
      <c r="I410" s="1359" t="n">
        <f aca="false">'V_DATOS PAC_SGA'!BV405</f>
        <v>0</v>
      </c>
      <c r="J410" s="2" t="str">
        <f aca="false">IF(AND(J$4=$G410,J$6=$F410),$D410*J$5,"")</f>
        <v/>
      </c>
      <c r="K410" s="2" t="str">
        <f aca="false">IF(AND(K$4=$G410,K$6=$F410),$D410*K$5,"")</f>
        <v/>
      </c>
      <c r="L410" s="2" t="str">
        <f aca="false">IF(AND(L$4=$G410,L$6=$F410),$D410*L$5,"")</f>
        <v/>
      </c>
      <c r="M410" s="2" t="str">
        <f aca="false">IF(AND(M$4=$G410,M$6=$F410),$D410*M$5,"")</f>
        <v/>
      </c>
      <c r="N410" s="1414" t="n">
        <f aca="false">VLOOKUP(B410,'O_MN, PE_UTA_UGM 2024'!$E$2:$K$419,IF(G410&gt;1,6,7))</f>
        <v>0</v>
      </c>
      <c r="O410" s="1434" t="str">
        <f aca="false">IF($H410=O$4,$D410*$N410,"")</f>
        <v/>
      </c>
      <c r="P410" s="1435" t="str">
        <f aca="false">IF($H410=P$4,$D410*$N410,"")</f>
        <v/>
      </c>
      <c r="Q410" s="1435" t="str">
        <f aca="false">IF($H410=Q$4,$D410*$N410,"")</f>
        <v/>
      </c>
      <c r="R410" s="1435" t="str">
        <f aca="false">IF($H410=R$4,$D410*$N410,"")</f>
        <v/>
      </c>
      <c r="S410" s="1435" t="str">
        <f aca="false">IF($H410=S$4,$D410*$N410,"")</f>
        <v/>
      </c>
      <c r="T410" s="1435" t="str">
        <f aca="false">IF($H410=T$4,$D410*$N410,"")</f>
        <v/>
      </c>
      <c r="U410" s="1436" t="str">
        <f aca="false">IF($H410=U$4,$D410*$N410,"")</f>
        <v/>
      </c>
      <c r="V410" s="1472"/>
      <c r="W410" s="1471"/>
      <c r="X410" s="1471"/>
      <c r="Y410" s="1471"/>
      <c r="Z410" s="1471"/>
      <c r="AA410" s="1471"/>
      <c r="AB410" s="1473"/>
      <c r="AC410" s="1319"/>
      <c r="AD410" s="2" t="str">
        <f aca="false">IF(AND(AD$4=$G410,AD$6=$F410),$B410,"")</f>
        <v/>
      </c>
      <c r="AE410" s="2" t="str">
        <f aca="false">IF(AND(AE$4=$G410,AE$6=$F410),$B410,"")</f>
        <v/>
      </c>
      <c r="AF410" s="2" t="str">
        <f aca="false">IF(AND(AF$4=$G410,AF$6=$F410),$B410,"")</f>
        <v/>
      </c>
      <c r="AG410" s="2" t="str">
        <f aca="false">IF(AND(AG$4=$G410,AG$6=$F410),$B410,"")</f>
        <v/>
      </c>
      <c r="AI410" s="366"/>
      <c r="AL410" s="367"/>
      <c r="AO410" s="367"/>
      <c r="AP410" s="2" t="str">
        <f aca="false">IF(AT410&gt;0,RANK(AT410,AT$7:AT$423),"")</f>
        <v/>
      </c>
      <c r="AQ410" s="1475" t="n">
        <f aca="false">'O_MN, PE_UTA_UGM 2024'!C407</f>
        <v>0</v>
      </c>
      <c r="AR410" s="1421" t="n">
        <v>9370</v>
      </c>
      <c r="AS410" s="2" t="str">
        <f aca="false">IF(AY410&lt;&gt;"",AY410,"")</f>
        <v/>
      </c>
      <c r="AT410" s="1422" t="n">
        <f aca="false">IF(ISNUMBER($AR410),SUMIF(B$7:B$505,AR410,D$7:D$505),"")</f>
        <v>0</v>
      </c>
      <c r="AU410" s="1411" t="n">
        <f aca="false">IF(ISNUMBER($AR410),SUMIF(AD$7:AD$503,$AR410,J$7:J$503),"")</f>
        <v>0</v>
      </c>
      <c r="AV410" s="1411" t="n">
        <f aca="false">IF(ISNUMBER($AR410),SUMIF(AF$7:AF$503,$AR410,L$7:L$503),"")</f>
        <v>0</v>
      </c>
      <c r="AW410" s="1423" t="n">
        <f aca="false">IF(ISNUMBER($AR410),SUMIF(AE$7:AE$503,$AR410,K$7:K$503),"")</f>
        <v>0</v>
      </c>
      <c r="AX410" s="1423" t="n">
        <f aca="false">IF(ISNUMBER($AR410),SUMIF(AG$7:AG$503,$AR410,M$7:M$503),"")</f>
        <v>0</v>
      </c>
      <c r="AY410" s="2" t="str">
        <f aca="false">IF($AT410&gt;0,VLOOKUP($AR410,'O_MN, PE_UTA_UGM 2024'!E407:O822,2),"")</f>
        <v/>
      </c>
      <c r="AZ410" s="1424"/>
      <c r="BA410" s="1424"/>
      <c r="BB410" s="1424" t="str">
        <f aca="false">IF($AT410&gt;0,VLOOKUP($AR410,'O_MN, PE_UTA_UGM 2024'!$E$3:$O$419,BB$6),"")</f>
        <v/>
      </c>
      <c r="BC410" s="1424" t="str">
        <f aca="false">IF($AT410&gt;0,VLOOKUP($AR410,'O_MN, PE_UTA_UGM 2024'!$E$3:$O$419,BC$6),"")</f>
        <v/>
      </c>
      <c r="BD410" s="1424" t="str">
        <f aca="false">IF($AT410&gt;0,VLOOKUP($AR410,'O_MN, PE_UTA_UGM 2024'!$E$3:$O$419,BD$6),"")</f>
        <v/>
      </c>
      <c r="BE410" s="1424" t="str">
        <f aca="false">IF($AT410&gt;0,VLOOKUP($AR410,'O_MN, PE_UTA_UGM 2024'!$E$3:$O$419,BE$6),"")</f>
        <v/>
      </c>
      <c r="BF410" s="1424" t="str">
        <f aca="false">IF($AT410&gt;0,VLOOKUP($AR410,'O_MN, PE_UTA_UGM 2024'!$E$3:$O$419,BF$6),"")</f>
        <v/>
      </c>
      <c r="BG410" s="1424" t="str">
        <f aca="false">IF($AT410&gt;0,VLOOKUP($AR410,'O_MN, PE_UTA_UGM 2024'!$E$3:$O$419,BG$6),"")</f>
        <v/>
      </c>
      <c r="BH410" s="872"/>
      <c r="BI410" s="872"/>
      <c r="BJ410" s="872"/>
      <c r="BK410" s="872"/>
      <c r="BM410" s="1411"/>
      <c r="BN410" s="1411"/>
      <c r="BO410" s="1425" t="str">
        <f aca="false">IF(ISNUMBER($AU410*BB410*1),$AU410*BB410*1,"")</f>
        <v/>
      </c>
      <c r="BP410" s="1425" t="str">
        <f aca="false">IF(ISNUMBER($AV410*BC410*1),$AV410*BC410*1,"")</f>
        <v/>
      </c>
      <c r="BQ410" s="1425" t="str">
        <f aca="false">IF(ISNUMBER($AU410*BD410*1),$AU410*BD410*1,"")</f>
        <v/>
      </c>
      <c r="BR410" s="1425" t="str">
        <f aca="false">IF(ISNUMBER($AV410*BE410*1),$AV410*BE410*1,"")</f>
        <v/>
      </c>
      <c r="BS410" s="1411" t="str">
        <f aca="false">IF(ISNUMBER($AU410*BF410),$AU410*BF410,"")</f>
        <v/>
      </c>
      <c r="BT410" s="1411" t="str">
        <f aca="false">IF(ISNUMBER($AV410*BG410),$AV410*BG410,"")</f>
        <v/>
      </c>
      <c r="BU410" s="1411"/>
      <c r="BV410" s="1411"/>
      <c r="BW410" s="1411"/>
      <c r="BX410" s="1411"/>
      <c r="BZ410" s="1372"/>
      <c r="CA410" s="1372"/>
      <c r="CB410" s="1426" t="str">
        <f aca="false">IF(ISNUMBER($AW410*BB410),$AW410*BB410,"")</f>
        <v/>
      </c>
      <c r="CC410" s="1426" t="str">
        <f aca="false">IF(ISNUMBER($AX410*BC410),$AX410*BC410,"")</f>
        <v/>
      </c>
      <c r="CD410" s="1426" t="str">
        <f aca="false">IF(ISNUMBER($AW410*BD410),$AW410*BD410,"")</f>
        <v/>
      </c>
      <c r="CE410" s="1426" t="str">
        <f aca="false">IF(ISNUMBER($AX410*BE410),$AX410*BE410,"")</f>
        <v/>
      </c>
      <c r="CF410" s="1372" t="str">
        <f aca="false">IF(ISNUMBER($AW410*BF410),$AW410*BF410,"")</f>
        <v/>
      </c>
      <c r="CG410" s="1372" t="str">
        <f aca="false">IF(ISNUMBER($AX410*BG410),$AX410*BG410,"")</f>
        <v/>
      </c>
      <c r="CH410" s="1438"/>
      <c r="CI410" s="1438"/>
      <c r="CJ410" s="1438"/>
      <c r="CK410" s="1438"/>
      <c r="CU410" s="1411"/>
      <c r="CV410" s="1411"/>
      <c r="CW410" s="1425"/>
      <c r="CX410" s="1425"/>
      <c r="CY410" s="1425"/>
      <c r="CZ410" s="1425"/>
      <c r="DA410" s="1411"/>
      <c r="DB410" s="1411"/>
      <c r="DC410" s="1411"/>
      <c r="DD410" s="1411"/>
      <c r="DE410" s="1411"/>
      <c r="DF410" s="1411"/>
      <c r="DH410" s="1432"/>
      <c r="DI410" s="1432"/>
      <c r="DJ410" s="1437"/>
      <c r="DK410" s="1437"/>
      <c r="DL410" s="1437"/>
      <c r="DM410" s="1437"/>
      <c r="DN410" s="1432"/>
      <c r="DO410" s="1432"/>
      <c r="DP410" s="1432"/>
      <c r="DQ410" s="1432"/>
      <c r="DR410" s="1432"/>
      <c r="DS410" s="1432"/>
      <c r="DT410" s="1316"/>
      <c r="DU410" s="1433"/>
      <c r="DV410" s="1433"/>
      <c r="DW410" s="1433"/>
      <c r="DX410" s="1433"/>
      <c r="DY410" s="1433"/>
      <c r="DZ410" s="1433"/>
      <c r="EA410" s="1433"/>
      <c r="EB410" s="1433"/>
    </row>
    <row r="411" customFormat="false" ht="14.25" hidden="false" customHeight="false" outlineLevel="0" collapsed="false">
      <c r="A411" s="2" t="n">
        <f aca="false">'V_DATOS PAC_SGA'!R406</f>
        <v>0</v>
      </c>
      <c r="B411" s="2" t="n">
        <f aca="false">IF(I411="IV",CONCATENATE('V_DATOS PAC_SGA'!R406,"4")+0,CONCATENATE('V_DATOS PAC_SGA'!R406,"0")+0)</f>
        <v>0</v>
      </c>
      <c r="C411" s="2" t="n">
        <f aca="false">'V_DATOS PAC_SGA'!S406</f>
        <v>0</v>
      </c>
      <c r="D411" s="1409" t="n">
        <f aca="false">'V_DATOS PAC_SGA'!Y406</f>
        <v>0</v>
      </c>
      <c r="E411" s="1410" t="str">
        <f aca="false">IF('V_DATOS PAC_SGA'!AV406="","Regadio",'V_DATOS PAC_SGA'!AV406)</f>
        <v>Regadio</v>
      </c>
      <c r="F411" s="1411" t="n">
        <f aca="false">'V_DATOS PAC_SGA'!BK406</f>
        <v>0</v>
      </c>
      <c r="G411" s="1412" t="n">
        <f aca="false">'V_DATOS PAC_SGA'!AN406</f>
        <v>0</v>
      </c>
      <c r="H411" s="1413" t="str">
        <f aca="false">IF(B411&gt;0,VLOOKUP(B411,'O_MN, PE_UTA_UGM 2024'!E$3:O$419,10),"")</f>
        <v/>
      </c>
      <c r="I411" s="1359" t="n">
        <f aca="false">'V_DATOS PAC_SGA'!BV406</f>
        <v>0</v>
      </c>
      <c r="J411" s="2" t="str">
        <f aca="false">IF(AND(J$4=$G411,J$6=$F411),$D411*J$5,"")</f>
        <v/>
      </c>
      <c r="K411" s="2" t="str">
        <f aca="false">IF(AND(K$4=$G411,K$6=$F411),$D411*K$5,"")</f>
        <v/>
      </c>
      <c r="L411" s="2" t="str">
        <f aca="false">IF(AND(L$4=$G411,L$6=$F411),$D411*L$5,"")</f>
        <v/>
      </c>
      <c r="M411" s="2" t="str">
        <f aca="false">IF(AND(M$4=$G411,M$6=$F411),$D411*M$5,"")</f>
        <v/>
      </c>
      <c r="N411" s="1414" t="n">
        <f aca="false">VLOOKUP(B411,'O_MN, PE_UTA_UGM 2024'!$E$2:$K$419,IF(G411&gt;1,6,7))</f>
        <v>0</v>
      </c>
      <c r="O411" s="1434" t="str">
        <f aca="false">IF($H411=O$4,$D411*$N411,"")</f>
        <v/>
      </c>
      <c r="P411" s="1435" t="str">
        <f aca="false">IF($H411=P$4,$D411*$N411,"")</f>
        <v/>
      </c>
      <c r="Q411" s="1435" t="str">
        <f aca="false">IF($H411=Q$4,$D411*$N411,"")</f>
        <v/>
      </c>
      <c r="R411" s="1435" t="str">
        <f aca="false">IF($H411=R$4,$D411*$N411,"")</f>
        <v/>
      </c>
      <c r="S411" s="1435" t="str">
        <f aca="false">IF($H411=S$4,$D411*$N411,"")</f>
        <v/>
      </c>
      <c r="T411" s="1435" t="str">
        <f aca="false">IF($H411=T$4,$D411*$N411,"")</f>
        <v/>
      </c>
      <c r="U411" s="1436" t="str">
        <f aca="false">IF($H411=U$4,$D411*$N411,"")</f>
        <v/>
      </c>
      <c r="V411" s="1472"/>
      <c r="W411" s="1471"/>
      <c r="X411" s="1471"/>
      <c r="Y411" s="1471"/>
      <c r="Z411" s="1471"/>
      <c r="AA411" s="1471"/>
      <c r="AB411" s="1473"/>
      <c r="AC411" s="1319"/>
      <c r="AD411" s="2" t="str">
        <f aca="false">IF(AND(AD$4=$G411,AD$6=$F411),$B411,"")</f>
        <v/>
      </c>
      <c r="AE411" s="2" t="str">
        <f aca="false">IF(AND(AE$4=$G411,AE$6=$F411),$B411,"")</f>
        <v/>
      </c>
      <c r="AF411" s="2" t="str">
        <f aca="false">IF(AND(AF$4=$G411,AF$6=$F411),$B411,"")</f>
        <v/>
      </c>
      <c r="AG411" s="2" t="str">
        <f aca="false">IF(AND(AG$4=$G411,AG$6=$F411),$B411,"")</f>
        <v/>
      </c>
      <c r="AI411" s="366"/>
      <c r="AL411" s="367"/>
      <c r="AO411" s="367"/>
      <c r="AP411" s="2" t="str">
        <f aca="false">IF(AT411&gt;0,RANK(AT411,AT$7:AT$423),"")</f>
        <v/>
      </c>
      <c r="AQ411" s="1475" t="n">
        <f aca="false">'O_MN, PE_UTA_UGM 2024'!C408</f>
        <v>0</v>
      </c>
      <c r="AR411" s="1421" t="n">
        <v>9380</v>
      </c>
      <c r="AS411" s="2" t="str">
        <f aca="false">IF(AY411&lt;&gt;"",AY411,"")</f>
        <v/>
      </c>
      <c r="AT411" s="1422" t="n">
        <f aca="false">IF(ISNUMBER($AR411),SUMIF(B$7:B$505,AR411,D$7:D$505),"")</f>
        <v>0</v>
      </c>
      <c r="AU411" s="1411" t="n">
        <f aca="false">IF(ISNUMBER($AR411),SUMIF(AD$7:AD$503,$AR411,J$7:J$503),"")</f>
        <v>0</v>
      </c>
      <c r="AV411" s="1411" t="n">
        <f aca="false">IF(ISNUMBER($AR411),SUMIF(AF$7:AF$503,$AR411,L$7:L$503),"")</f>
        <v>0</v>
      </c>
      <c r="AW411" s="1423" t="n">
        <f aca="false">IF(ISNUMBER($AR411),SUMIF(AE$7:AE$503,$AR411,K$7:K$503),"")</f>
        <v>0</v>
      </c>
      <c r="AX411" s="1423" t="n">
        <f aca="false">IF(ISNUMBER($AR411),SUMIF(AG$7:AG$503,$AR411,M$7:M$503),"")</f>
        <v>0</v>
      </c>
      <c r="AY411" s="2" t="str">
        <f aca="false">IF($AT411&gt;0,VLOOKUP($AR411,'O_MN, PE_UTA_UGM 2024'!E408:O823,2),"")</f>
        <v/>
      </c>
      <c r="AZ411" s="1424"/>
      <c r="BA411" s="1424"/>
      <c r="BB411" s="1424" t="str">
        <f aca="false">IF($AT411&gt;0,VLOOKUP($AR411,'O_MN, PE_UTA_UGM 2024'!$E$3:$O$419,BB$6),"")</f>
        <v/>
      </c>
      <c r="BC411" s="1424" t="str">
        <f aca="false">IF($AT411&gt;0,VLOOKUP($AR411,'O_MN, PE_UTA_UGM 2024'!$E$3:$O$419,BC$6),"")</f>
        <v/>
      </c>
      <c r="BD411" s="1424" t="str">
        <f aca="false">IF($AT411&gt;0,VLOOKUP($AR411,'O_MN, PE_UTA_UGM 2024'!$E$3:$O$419,BD$6),"")</f>
        <v/>
      </c>
      <c r="BE411" s="1424" t="str">
        <f aca="false">IF($AT411&gt;0,VLOOKUP($AR411,'O_MN, PE_UTA_UGM 2024'!$E$3:$O$419,BE$6),"")</f>
        <v/>
      </c>
      <c r="BF411" s="1424" t="str">
        <f aca="false">IF($AT411&gt;0,VLOOKUP($AR411,'O_MN, PE_UTA_UGM 2024'!$E$3:$O$419,BF$6),"")</f>
        <v/>
      </c>
      <c r="BG411" s="1424" t="str">
        <f aca="false">IF($AT411&gt;0,VLOOKUP($AR411,'O_MN, PE_UTA_UGM 2024'!$E$3:$O$419,BG$6),"")</f>
        <v/>
      </c>
      <c r="BH411" s="872"/>
      <c r="BI411" s="872"/>
      <c r="BJ411" s="872"/>
      <c r="BK411" s="872"/>
      <c r="BM411" s="1411"/>
      <c r="BN411" s="1411"/>
      <c r="BO411" s="1425" t="str">
        <f aca="false">IF(ISNUMBER($AU411*BB411*1),$AU411*BB411*1,"")</f>
        <v/>
      </c>
      <c r="BP411" s="1425" t="str">
        <f aca="false">IF(ISNUMBER($AV411*BC411*1),$AV411*BC411*1,"")</f>
        <v/>
      </c>
      <c r="BQ411" s="1425" t="str">
        <f aca="false">IF(ISNUMBER($AU411*BD411*1),$AU411*BD411*1,"")</f>
        <v/>
      </c>
      <c r="BR411" s="1425" t="str">
        <f aca="false">IF(ISNUMBER($AV411*BE411*1),$AV411*BE411*1,"")</f>
        <v/>
      </c>
      <c r="BS411" s="1411" t="str">
        <f aca="false">IF(ISNUMBER($AU411*BF411),$AU411*BF411,"")</f>
        <v/>
      </c>
      <c r="BT411" s="1411" t="str">
        <f aca="false">IF(ISNUMBER($AV411*BG411),$AV411*BG411,"")</f>
        <v/>
      </c>
      <c r="BU411" s="1411"/>
      <c r="BV411" s="1411"/>
      <c r="BW411" s="1411"/>
      <c r="BX411" s="1411"/>
      <c r="BZ411" s="1372"/>
      <c r="CA411" s="1372"/>
      <c r="CB411" s="1426" t="str">
        <f aca="false">IF(ISNUMBER($AW411*BB411),$AW411*BB411,"")</f>
        <v/>
      </c>
      <c r="CC411" s="1426" t="str">
        <f aca="false">IF(ISNUMBER($AX411*BC411),$AX411*BC411,"")</f>
        <v/>
      </c>
      <c r="CD411" s="1426" t="str">
        <f aca="false">IF(ISNUMBER($AW411*BD411),$AW411*BD411,"")</f>
        <v/>
      </c>
      <c r="CE411" s="1426" t="str">
        <f aca="false">IF(ISNUMBER($AX411*BE411),$AX411*BE411,"")</f>
        <v/>
      </c>
      <c r="CF411" s="1372" t="str">
        <f aca="false">IF(ISNUMBER($AW411*BF411),$AW411*BF411,"")</f>
        <v/>
      </c>
      <c r="CG411" s="1372" t="str">
        <f aca="false">IF(ISNUMBER($AX411*BG411),$AX411*BG411,"")</f>
        <v/>
      </c>
      <c r="CH411" s="1438"/>
      <c r="CI411" s="1438"/>
      <c r="CJ411" s="1438"/>
      <c r="CK411" s="1438"/>
      <c r="CU411" s="1411"/>
      <c r="CV411" s="1411"/>
      <c r="CW411" s="1425"/>
      <c r="CX411" s="1425"/>
      <c r="CY411" s="1425"/>
      <c r="CZ411" s="1425"/>
      <c r="DA411" s="1411"/>
      <c r="DB411" s="1411"/>
      <c r="DC411" s="1411"/>
      <c r="DD411" s="1411"/>
      <c r="DE411" s="1411"/>
      <c r="DF411" s="1411"/>
      <c r="DH411" s="1432"/>
      <c r="DI411" s="1432"/>
      <c r="DJ411" s="1437"/>
      <c r="DK411" s="1437"/>
      <c r="DL411" s="1437"/>
      <c r="DM411" s="1437"/>
      <c r="DN411" s="1432"/>
      <c r="DO411" s="1432"/>
      <c r="DP411" s="1432"/>
      <c r="DQ411" s="1432"/>
      <c r="DR411" s="1432"/>
      <c r="DS411" s="1432"/>
      <c r="DT411" s="1316"/>
      <c r="DU411" s="1433"/>
      <c r="DV411" s="1433"/>
      <c r="DW411" s="1433"/>
      <c r="DX411" s="1433"/>
      <c r="DY411" s="1433"/>
      <c r="DZ411" s="1433"/>
      <c r="EA411" s="1433"/>
      <c r="EB411" s="1433"/>
    </row>
    <row r="412" customFormat="false" ht="14.25" hidden="false" customHeight="false" outlineLevel="0" collapsed="false">
      <c r="A412" s="2" t="n">
        <f aca="false">'V_DATOS PAC_SGA'!R407</f>
        <v>0</v>
      </c>
      <c r="B412" s="2" t="n">
        <f aca="false">IF(I412="IV",CONCATENATE('V_DATOS PAC_SGA'!R407,"4")+0,CONCATENATE('V_DATOS PAC_SGA'!R407,"0")+0)</f>
        <v>0</v>
      </c>
      <c r="C412" s="2" t="n">
        <f aca="false">'V_DATOS PAC_SGA'!S407</f>
        <v>0</v>
      </c>
      <c r="D412" s="1409" t="n">
        <f aca="false">'V_DATOS PAC_SGA'!Y407</f>
        <v>0</v>
      </c>
      <c r="E412" s="1410" t="str">
        <f aca="false">IF('V_DATOS PAC_SGA'!AV407="","Regadio",'V_DATOS PAC_SGA'!AV407)</f>
        <v>Regadio</v>
      </c>
      <c r="F412" s="1411" t="n">
        <f aca="false">'V_DATOS PAC_SGA'!BK407</f>
        <v>0</v>
      </c>
      <c r="G412" s="1412" t="n">
        <f aca="false">'V_DATOS PAC_SGA'!AN407</f>
        <v>0</v>
      </c>
      <c r="H412" s="1413" t="str">
        <f aca="false">IF(B412&gt;0,VLOOKUP(B412,'O_MN, PE_UTA_UGM 2024'!E$3:O$419,10),"")</f>
        <v/>
      </c>
      <c r="I412" s="1359" t="n">
        <f aca="false">'V_DATOS PAC_SGA'!BV407</f>
        <v>0</v>
      </c>
      <c r="J412" s="2" t="str">
        <f aca="false">IF(AND(J$4=$G412,J$6=$F412),$D412*J$5,"")</f>
        <v/>
      </c>
      <c r="K412" s="2" t="str">
        <f aca="false">IF(AND(K$4=$G412,K$6=$F412),$D412*K$5,"")</f>
        <v/>
      </c>
      <c r="L412" s="2" t="str">
        <f aca="false">IF(AND(L$4=$G412,L$6=$F412),$D412*L$5,"")</f>
        <v/>
      </c>
      <c r="M412" s="2" t="str">
        <f aca="false">IF(AND(M$4=$G412,M$6=$F412),$D412*M$5,"")</f>
        <v/>
      </c>
      <c r="N412" s="1414" t="n">
        <f aca="false">VLOOKUP(B412,'O_MN, PE_UTA_UGM 2024'!$E$2:$K$419,IF(G412&gt;1,6,7))</f>
        <v>0</v>
      </c>
      <c r="O412" s="1434" t="str">
        <f aca="false">IF($H412=O$4,$D412*$N412,"")</f>
        <v/>
      </c>
      <c r="P412" s="1435" t="str">
        <f aca="false">IF($H412=P$4,$D412*$N412,"")</f>
        <v/>
      </c>
      <c r="Q412" s="1435" t="str">
        <f aca="false">IF($H412=Q$4,$D412*$N412,"")</f>
        <v/>
      </c>
      <c r="R412" s="1435" t="str">
        <f aca="false">IF($H412=R$4,$D412*$N412,"")</f>
        <v/>
      </c>
      <c r="S412" s="1435" t="str">
        <f aca="false">IF($H412=S$4,$D412*$N412,"")</f>
        <v/>
      </c>
      <c r="T412" s="1435" t="str">
        <f aca="false">IF($H412=T$4,$D412*$N412,"")</f>
        <v/>
      </c>
      <c r="U412" s="1436" t="str">
        <f aca="false">IF($H412=U$4,$D412*$N412,"")</f>
        <v/>
      </c>
      <c r="V412" s="1472"/>
      <c r="W412" s="1471"/>
      <c r="X412" s="1471"/>
      <c r="Y412" s="1471"/>
      <c r="Z412" s="1471"/>
      <c r="AA412" s="1471"/>
      <c r="AB412" s="1473"/>
      <c r="AC412" s="1319"/>
      <c r="AD412" s="2" t="str">
        <f aca="false">IF(AND(AD$4=$G412,AD$6=$F412),$B412,"")</f>
        <v/>
      </c>
      <c r="AE412" s="2" t="str">
        <f aca="false">IF(AND(AE$4=$G412,AE$6=$F412),$B412,"")</f>
        <v/>
      </c>
      <c r="AF412" s="2" t="str">
        <f aca="false">IF(AND(AF$4=$G412,AF$6=$F412),$B412,"")</f>
        <v/>
      </c>
      <c r="AG412" s="2" t="str">
        <f aca="false">IF(AND(AG$4=$G412,AG$6=$F412),$B412,"")</f>
        <v/>
      </c>
      <c r="AI412" s="366"/>
      <c r="AL412" s="367"/>
      <c r="AO412" s="367"/>
      <c r="AP412" s="2" t="str">
        <f aca="false">IF(AT412&gt;0,RANK(AT412,AT$7:AT$423),"")</f>
        <v/>
      </c>
      <c r="AQ412" s="1475" t="n">
        <f aca="false">'O_MN, PE_UTA_UGM 2024'!C409</f>
        <v>0</v>
      </c>
      <c r="AR412" s="1421" t="n">
        <v>9390</v>
      </c>
      <c r="AS412" s="2" t="str">
        <f aca="false">IF(AY412&lt;&gt;"",AY412,"")</f>
        <v/>
      </c>
      <c r="AT412" s="1422" t="n">
        <f aca="false">IF(ISNUMBER($AR412),SUMIF(B$7:B$505,AR412,D$7:D$505),"")</f>
        <v>0</v>
      </c>
      <c r="AU412" s="1411" t="n">
        <f aca="false">IF(ISNUMBER($AR412),SUMIF(AD$7:AD$503,$AR412,J$7:J$503),"")</f>
        <v>0</v>
      </c>
      <c r="AV412" s="1411" t="n">
        <f aca="false">IF(ISNUMBER($AR412),SUMIF(AF$7:AF$503,$AR412,L$7:L$503),"")</f>
        <v>0</v>
      </c>
      <c r="AW412" s="1423" t="n">
        <f aca="false">IF(ISNUMBER($AR412),SUMIF(AE$7:AE$503,$AR412,K$7:K$503),"")</f>
        <v>0</v>
      </c>
      <c r="AX412" s="1423" t="n">
        <f aca="false">IF(ISNUMBER($AR412),SUMIF(AG$7:AG$503,$AR412,M$7:M$503),"")</f>
        <v>0</v>
      </c>
      <c r="AY412" s="2" t="str">
        <f aca="false">IF($AT412&gt;0,VLOOKUP($AR412,'O_MN, PE_UTA_UGM 2024'!E409:O824,2),"")</f>
        <v/>
      </c>
      <c r="AZ412" s="1424"/>
      <c r="BA412" s="1424"/>
      <c r="BB412" s="1424" t="str">
        <f aca="false">IF($AT412&gt;0,VLOOKUP($AR412,'O_MN, PE_UTA_UGM 2024'!$E$3:$O$419,BB$6),"")</f>
        <v/>
      </c>
      <c r="BC412" s="1424" t="str">
        <f aca="false">IF($AT412&gt;0,VLOOKUP($AR412,'O_MN, PE_UTA_UGM 2024'!$E$3:$O$419,BC$6),"")</f>
        <v/>
      </c>
      <c r="BD412" s="1424" t="str">
        <f aca="false">IF($AT412&gt;0,VLOOKUP($AR412,'O_MN, PE_UTA_UGM 2024'!$E$3:$O$419,BD$6),"")</f>
        <v/>
      </c>
      <c r="BE412" s="1424" t="str">
        <f aca="false">IF($AT412&gt;0,VLOOKUP($AR412,'O_MN, PE_UTA_UGM 2024'!$E$3:$O$419,BE$6),"")</f>
        <v/>
      </c>
      <c r="BF412" s="1424" t="str">
        <f aca="false">IF($AT412&gt;0,VLOOKUP($AR412,'O_MN, PE_UTA_UGM 2024'!$E$3:$O$419,BF$6),"")</f>
        <v/>
      </c>
      <c r="BG412" s="1424" t="str">
        <f aca="false">IF($AT412&gt;0,VLOOKUP($AR412,'O_MN, PE_UTA_UGM 2024'!$E$3:$O$419,BG$6),"")</f>
        <v/>
      </c>
      <c r="BH412" s="872"/>
      <c r="BI412" s="872"/>
      <c r="BJ412" s="872"/>
      <c r="BK412" s="872"/>
      <c r="BM412" s="1411"/>
      <c r="BN412" s="1411"/>
      <c r="BO412" s="1425" t="str">
        <f aca="false">IF(ISNUMBER($AU412*BB412*1),$AU412*BB412*1,"")</f>
        <v/>
      </c>
      <c r="BP412" s="1425" t="str">
        <f aca="false">IF(ISNUMBER($AV412*BC412*1),$AV412*BC412*1,"")</f>
        <v/>
      </c>
      <c r="BQ412" s="1425" t="str">
        <f aca="false">IF(ISNUMBER($AU412*BD412*1),$AU412*BD412*1,"")</f>
        <v/>
      </c>
      <c r="BR412" s="1425" t="str">
        <f aca="false">IF(ISNUMBER($AV412*BE412*1),$AV412*BE412*1,"")</f>
        <v/>
      </c>
      <c r="BS412" s="1411" t="str">
        <f aca="false">IF(ISNUMBER($AU412*BF412),$AU412*BF412,"")</f>
        <v/>
      </c>
      <c r="BT412" s="1411" t="str">
        <f aca="false">IF(ISNUMBER($AV412*BG412),$AV412*BG412,"")</f>
        <v/>
      </c>
      <c r="BU412" s="1411"/>
      <c r="BV412" s="1411"/>
      <c r="BW412" s="1411"/>
      <c r="BX412" s="1411"/>
      <c r="BZ412" s="1372"/>
      <c r="CA412" s="1372"/>
      <c r="CB412" s="1426" t="str">
        <f aca="false">IF(ISNUMBER($AW412*BB412),$AW412*BB412,"")</f>
        <v/>
      </c>
      <c r="CC412" s="1426" t="str">
        <f aca="false">IF(ISNUMBER($AX412*BC412),$AX412*BC412,"")</f>
        <v/>
      </c>
      <c r="CD412" s="1426" t="str">
        <f aca="false">IF(ISNUMBER($AW412*BD412),$AW412*BD412,"")</f>
        <v/>
      </c>
      <c r="CE412" s="1426" t="str">
        <f aca="false">IF(ISNUMBER($AX412*BE412),$AX412*BE412,"")</f>
        <v/>
      </c>
      <c r="CF412" s="1372" t="str">
        <f aca="false">IF(ISNUMBER($AW412*BF412),$AW412*BF412,"")</f>
        <v/>
      </c>
      <c r="CG412" s="1372" t="str">
        <f aca="false">IF(ISNUMBER($AX412*BG412),$AX412*BG412,"")</f>
        <v/>
      </c>
      <c r="CH412" s="1438"/>
      <c r="CI412" s="1438"/>
      <c r="CJ412" s="1438"/>
      <c r="CK412" s="1438"/>
      <c r="CU412" s="1411"/>
      <c r="CV412" s="1411"/>
      <c r="CW412" s="1425"/>
      <c r="CX412" s="1425"/>
      <c r="CY412" s="1425"/>
      <c r="CZ412" s="1425"/>
      <c r="DA412" s="1411"/>
      <c r="DB412" s="1411"/>
      <c r="DC412" s="1411"/>
      <c r="DD412" s="1411"/>
      <c r="DE412" s="1411"/>
      <c r="DF412" s="1411"/>
      <c r="DH412" s="1432"/>
      <c r="DI412" s="1432"/>
      <c r="DJ412" s="1437"/>
      <c r="DK412" s="1437"/>
      <c r="DL412" s="1437"/>
      <c r="DM412" s="1437"/>
      <c r="DN412" s="1432"/>
      <c r="DO412" s="1432"/>
      <c r="DP412" s="1432"/>
      <c r="DQ412" s="1432"/>
      <c r="DR412" s="1432"/>
      <c r="DS412" s="1432"/>
      <c r="DT412" s="1316"/>
      <c r="DU412" s="1433"/>
      <c r="DV412" s="1433"/>
      <c r="DW412" s="1433"/>
      <c r="DX412" s="1433"/>
      <c r="DY412" s="1433"/>
      <c r="DZ412" s="1433"/>
      <c r="EA412" s="1433"/>
      <c r="EB412" s="1433"/>
    </row>
    <row r="413" customFormat="false" ht="14.25" hidden="false" customHeight="false" outlineLevel="0" collapsed="false">
      <c r="A413" s="2" t="n">
        <f aca="false">'V_DATOS PAC_SGA'!R408</f>
        <v>0</v>
      </c>
      <c r="B413" s="2" t="n">
        <f aca="false">IF(I413="IV",CONCATENATE('V_DATOS PAC_SGA'!R408,"4")+0,CONCATENATE('V_DATOS PAC_SGA'!R408,"0")+0)</f>
        <v>0</v>
      </c>
      <c r="C413" s="2" t="n">
        <f aca="false">'V_DATOS PAC_SGA'!S408</f>
        <v>0</v>
      </c>
      <c r="D413" s="1409" t="n">
        <f aca="false">'V_DATOS PAC_SGA'!Y408</f>
        <v>0</v>
      </c>
      <c r="E413" s="1410" t="str">
        <f aca="false">IF('V_DATOS PAC_SGA'!AV408="","Regadio",'V_DATOS PAC_SGA'!AV408)</f>
        <v>Regadio</v>
      </c>
      <c r="F413" s="1411" t="n">
        <f aca="false">'V_DATOS PAC_SGA'!BK408</f>
        <v>0</v>
      </c>
      <c r="G413" s="1412" t="n">
        <f aca="false">'V_DATOS PAC_SGA'!AN408</f>
        <v>0</v>
      </c>
      <c r="H413" s="1413" t="str">
        <f aca="false">IF(B413&gt;0,VLOOKUP(B413,'O_MN, PE_UTA_UGM 2024'!E$3:O$419,10),"")</f>
        <v/>
      </c>
      <c r="I413" s="1359" t="n">
        <f aca="false">'V_DATOS PAC_SGA'!BV408</f>
        <v>0</v>
      </c>
      <c r="J413" s="2" t="str">
        <f aca="false">IF(AND(J$4=$G413,J$6=$F413),$D413*J$5,"")</f>
        <v/>
      </c>
      <c r="K413" s="2" t="str">
        <f aca="false">IF(AND(K$4=$G413,K$6=$F413),$D413*K$5,"")</f>
        <v/>
      </c>
      <c r="L413" s="2" t="str">
        <f aca="false">IF(AND(L$4=$G413,L$6=$F413),$D413*L$5,"")</f>
        <v/>
      </c>
      <c r="M413" s="2" t="str">
        <f aca="false">IF(AND(M$4=$G413,M$6=$F413),$D413*M$5,"")</f>
        <v/>
      </c>
      <c r="N413" s="1414" t="n">
        <f aca="false">VLOOKUP(B413,'O_MN, PE_UTA_UGM 2024'!$E$2:$K$419,IF(G413&gt;1,6,7))</f>
        <v>0</v>
      </c>
      <c r="O413" s="1434" t="str">
        <f aca="false">IF($H413=O$4,$D413*$N413,"")</f>
        <v/>
      </c>
      <c r="P413" s="1435" t="str">
        <f aca="false">IF($H413=P$4,$D413*$N413,"")</f>
        <v/>
      </c>
      <c r="Q413" s="1435" t="str">
        <f aca="false">IF($H413=Q$4,$D413*$N413,"")</f>
        <v/>
      </c>
      <c r="R413" s="1435" t="str">
        <f aca="false">IF($H413=R$4,$D413*$N413,"")</f>
        <v/>
      </c>
      <c r="S413" s="1435" t="str">
        <f aca="false">IF($H413=S$4,$D413*$N413,"")</f>
        <v/>
      </c>
      <c r="T413" s="1435" t="str">
        <f aca="false">IF($H413=T$4,$D413*$N413,"")</f>
        <v/>
      </c>
      <c r="U413" s="1436" t="str">
        <f aca="false">IF($H413=U$4,$D413*$N413,"")</f>
        <v/>
      </c>
      <c r="V413" s="1472"/>
      <c r="W413" s="1471"/>
      <c r="X413" s="1471"/>
      <c r="Y413" s="1471"/>
      <c r="Z413" s="1471"/>
      <c r="AA413" s="1471"/>
      <c r="AB413" s="1473"/>
      <c r="AC413" s="1319"/>
      <c r="AD413" s="2" t="str">
        <f aca="false">IF(AND(AD$4=$G413,AD$6=$F413),$B413,"")</f>
        <v/>
      </c>
      <c r="AE413" s="2" t="str">
        <f aca="false">IF(AND(AE$4=$G413,AE$6=$F413),$B413,"")</f>
        <v/>
      </c>
      <c r="AF413" s="2" t="str">
        <f aca="false">IF(AND(AF$4=$G413,AF$6=$F413),$B413,"")</f>
        <v/>
      </c>
      <c r="AG413" s="2" t="str">
        <f aca="false">IF(AND(AG$4=$G413,AG$6=$F413),$B413,"")</f>
        <v/>
      </c>
      <c r="AI413" s="366"/>
      <c r="AL413" s="367"/>
      <c r="AO413" s="367"/>
      <c r="AP413" s="2" t="str">
        <f aca="false">IF(AT413&gt;0,RANK(AT413,AT$7:AT$423),"")</f>
        <v/>
      </c>
      <c r="AQ413" s="1475" t="n">
        <f aca="false">'O_MN, PE_UTA_UGM 2024'!C410</f>
        <v>0</v>
      </c>
      <c r="AR413" s="1421" t="n">
        <v>9400</v>
      </c>
      <c r="AS413" s="2" t="str">
        <f aca="false">IF(AY413&lt;&gt;"",AY413,"")</f>
        <v/>
      </c>
      <c r="AT413" s="1422" t="n">
        <f aca="false">IF(ISNUMBER($AR413),SUMIF(B$7:B$505,AR413,D$7:D$505),"")</f>
        <v>0</v>
      </c>
      <c r="AU413" s="1411" t="n">
        <f aca="false">IF(ISNUMBER($AR413),SUMIF(AD$7:AD$503,$AR413,J$7:J$503),"")</f>
        <v>0</v>
      </c>
      <c r="AV413" s="1411" t="n">
        <f aca="false">IF(ISNUMBER($AR413),SUMIF(AF$7:AF$503,$AR413,L$7:L$503),"")</f>
        <v>0</v>
      </c>
      <c r="AW413" s="1423" t="n">
        <f aca="false">IF(ISNUMBER($AR413),SUMIF(AE$7:AE$503,$AR413,K$7:K$503),"")</f>
        <v>0</v>
      </c>
      <c r="AX413" s="1423" t="n">
        <f aca="false">IF(ISNUMBER($AR413),SUMIF(AG$7:AG$503,$AR413,M$7:M$503),"")</f>
        <v>0</v>
      </c>
      <c r="AY413" s="2" t="str">
        <f aca="false">IF($AT413&gt;0,VLOOKUP($AR413,'O_MN, PE_UTA_UGM 2024'!E410:O825,2),"")</f>
        <v/>
      </c>
      <c r="AZ413" s="1424"/>
      <c r="BA413" s="1424"/>
      <c r="BB413" s="1424" t="str">
        <f aca="false">IF($AT413&gt;0,VLOOKUP($AR413,'O_MN, PE_UTA_UGM 2024'!$E$3:$O$419,BB$6),"")</f>
        <v/>
      </c>
      <c r="BC413" s="1424" t="str">
        <f aca="false">IF($AT413&gt;0,VLOOKUP($AR413,'O_MN, PE_UTA_UGM 2024'!$E$3:$O$419,BC$6),"")</f>
        <v/>
      </c>
      <c r="BD413" s="1424" t="str">
        <f aca="false">IF($AT413&gt;0,VLOOKUP($AR413,'O_MN, PE_UTA_UGM 2024'!$E$3:$O$419,BD$6),"")</f>
        <v/>
      </c>
      <c r="BE413" s="1424" t="str">
        <f aca="false">IF($AT413&gt;0,VLOOKUP($AR413,'O_MN, PE_UTA_UGM 2024'!$E$3:$O$419,BE$6),"")</f>
        <v/>
      </c>
      <c r="BF413" s="1424" t="str">
        <f aca="false">IF($AT413&gt;0,VLOOKUP($AR413,'O_MN, PE_UTA_UGM 2024'!$E$3:$O$419,BF$6),"")</f>
        <v/>
      </c>
      <c r="BG413" s="1424" t="str">
        <f aca="false">IF($AT413&gt;0,VLOOKUP($AR413,'O_MN, PE_UTA_UGM 2024'!$E$3:$O$419,BG$6),"")</f>
        <v/>
      </c>
      <c r="BH413" s="872"/>
      <c r="BI413" s="872"/>
      <c r="BJ413" s="872"/>
      <c r="BK413" s="872"/>
      <c r="BM413" s="1411"/>
      <c r="BN413" s="1411"/>
      <c r="BO413" s="1425" t="str">
        <f aca="false">IF(ISNUMBER($AU413*BB413*1),$AU413*BB413*1,"")</f>
        <v/>
      </c>
      <c r="BP413" s="1425" t="str">
        <f aca="false">IF(ISNUMBER($AV413*BC413*1),$AV413*BC413*1,"")</f>
        <v/>
      </c>
      <c r="BQ413" s="1425" t="str">
        <f aca="false">IF(ISNUMBER($AU413*BD413*1),$AU413*BD413*1,"")</f>
        <v/>
      </c>
      <c r="BR413" s="1425" t="str">
        <f aca="false">IF(ISNUMBER($AV413*BE413*1),$AV413*BE413*1,"")</f>
        <v/>
      </c>
      <c r="BS413" s="1411" t="str">
        <f aca="false">IF(ISNUMBER($AU413*BF413),$AU413*BF413,"")</f>
        <v/>
      </c>
      <c r="BT413" s="1411" t="str">
        <f aca="false">IF(ISNUMBER($AV413*BG413),$AV413*BG413,"")</f>
        <v/>
      </c>
      <c r="BU413" s="1411"/>
      <c r="BV413" s="1411"/>
      <c r="BW413" s="1411"/>
      <c r="BX413" s="1411"/>
      <c r="BZ413" s="1372"/>
      <c r="CA413" s="1372"/>
      <c r="CB413" s="1426" t="str">
        <f aca="false">IF(ISNUMBER($AW413*BB413),$AW413*BB413,"")</f>
        <v/>
      </c>
      <c r="CC413" s="1426" t="str">
        <f aca="false">IF(ISNUMBER($AX413*BC413),$AX413*BC413,"")</f>
        <v/>
      </c>
      <c r="CD413" s="1426" t="str">
        <f aca="false">IF(ISNUMBER($AW413*BD413),$AW413*BD413,"")</f>
        <v/>
      </c>
      <c r="CE413" s="1426" t="str">
        <f aca="false">IF(ISNUMBER($AX413*BE413),$AX413*BE413,"")</f>
        <v/>
      </c>
      <c r="CF413" s="1372" t="str">
        <f aca="false">IF(ISNUMBER($AW413*BF413),$AW413*BF413,"")</f>
        <v/>
      </c>
      <c r="CG413" s="1372" t="str">
        <f aca="false">IF(ISNUMBER($AX413*BG413),$AX413*BG413,"")</f>
        <v/>
      </c>
      <c r="CH413" s="1438"/>
      <c r="CI413" s="1438"/>
      <c r="CJ413" s="1438"/>
      <c r="CK413" s="1438"/>
      <c r="CU413" s="1411"/>
      <c r="CV413" s="1411"/>
      <c r="CW413" s="1425"/>
      <c r="CX413" s="1425"/>
      <c r="CY413" s="1425"/>
      <c r="CZ413" s="1425"/>
      <c r="DA413" s="1411"/>
      <c r="DB413" s="1411"/>
      <c r="DC413" s="1411"/>
      <c r="DD413" s="1411"/>
      <c r="DE413" s="1411"/>
      <c r="DF413" s="1411"/>
      <c r="DH413" s="1432"/>
      <c r="DI413" s="1432"/>
      <c r="DJ413" s="1437"/>
      <c r="DK413" s="1437"/>
      <c r="DL413" s="1437"/>
      <c r="DM413" s="1437"/>
      <c r="DN413" s="1432"/>
      <c r="DO413" s="1432"/>
      <c r="DP413" s="1432"/>
      <c r="DQ413" s="1432"/>
      <c r="DR413" s="1432"/>
      <c r="DS413" s="1432"/>
      <c r="DT413" s="1316"/>
      <c r="DU413" s="1433"/>
      <c r="DV413" s="1433"/>
      <c r="DW413" s="1433"/>
      <c r="DX413" s="1433"/>
      <c r="DY413" s="1433"/>
      <c r="DZ413" s="1433"/>
      <c r="EA413" s="1433"/>
      <c r="EB413" s="1433"/>
    </row>
    <row r="414" customFormat="false" ht="14.25" hidden="false" customHeight="false" outlineLevel="0" collapsed="false">
      <c r="A414" s="2" t="n">
        <f aca="false">'V_DATOS PAC_SGA'!R409</f>
        <v>0</v>
      </c>
      <c r="B414" s="2" t="n">
        <f aca="false">IF(I414="IV",CONCATENATE('V_DATOS PAC_SGA'!R409,"4")+0,CONCATENATE('V_DATOS PAC_SGA'!R409,"0")+0)</f>
        <v>0</v>
      </c>
      <c r="C414" s="2" t="n">
        <f aca="false">'V_DATOS PAC_SGA'!S409</f>
        <v>0</v>
      </c>
      <c r="D414" s="1409" t="n">
        <f aca="false">'V_DATOS PAC_SGA'!Y409</f>
        <v>0</v>
      </c>
      <c r="E414" s="1410" t="str">
        <f aca="false">IF('V_DATOS PAC_SGA'!AV409="","Regadio",'V_DATOS PAC_SGA'!AV409)</f>
        <v>Regadio</v>
      </c>
      <c r="F414" s="1411" t="n">
        <f aca="false">'V_DATOS PAC_SGA'!BK409</f>
        <v>0</v>
      </c>
      <c r="G414" s="1412" t="n">
        <f aca="false">'V_DATOS PAC_SGA'!AN409</f>
        <v>0</v>
      </c>
      <c r="H414" s="1413" t="str">
        <f aca="false">IF(B414&gt;0,VLOOKUP(B414,'O_MN, PE_UTA_UGM 2024'!E$3:O$419,10),"")</f>
        <v/>
      </c>
      <c r="I414" s="1359" t="n">
        <f aca="false">'V_DATOS PAC_SGA'!BV409</f>
        <v>0</v>
      </c>
      <c r="J414" s="2" t="str">
        <f aca="false">IF(AND(J$4=$G414,J$6=$F414),$D414*J$5,"")</f>
        <v/>
      </c>
      <c r="K414" s="2" t="str">
        <f aca="false">IF(AND(K$4=$G414,K$6=$F414),$D414*K$5,"")</f>
        <v/>
      </c>
      <c r="L414" s="2" t="str">
        <f aca="false">IF(AND(L$4=$G414,L$6=$F414),$D414*L$5,"")</f>
        <v/>
      </c>
      <c r="M414" s="2" t="str">
        <f aca="false">IF(AND(M$4=$G414,M$6=$F414),$D414*M$5,"")</f>
        <v/>
      </c>
      <c r="N414" s="1414" t="n">
        <f aca="false">VLOOKUP(B414,'O_MN, PE_UTA_UGM 2024'!$E$2:$K$419,IF(G414&gt;1,6,7))</f>
        <v>0</v>
      </c>
      <c r="O414" s="1434" t="str">
        <f aca="false">IF($H414=O$4,$D414*$N414,"")</f>
        <v/>
      </c>
      <c r="P414" s="1435" t="str">
        <f aca="false">IF($H414=P$4,$D414*$N414,"")</f>
        <v/>
      </c>
      <c r="Q414" s="1435" t="str">
        <f aca="false">IF($H414=Q$4,$D414*$N414,"")</f>
        <v/>
      </c>
      <c r="R414" s="1435" t="str">
        <f aca="false">IF($H414=R$4,$D414*$N414,"")</f>
        <v/>
      </c>
      <c r="S414" s="1435" t="str">
        <f aca="false">IF($H414=S$4,$D414*$N414,"")</f>
        <v/>
      </c>
      <c r="T414" s="1435" t="str">
        <f aca="false">IF($H414=T$4,$D414*$N414,"")</f>
        <v/>
      </c>
      <c r="U414" s="1436" t="str">
        <f aca="false">IF($H414=U$4,$D414*$N414,"")</f>
        <v/>
      </c>
      <c r="V414" s="1472"/>
      <c r="W414" s="1471"/>
      <c r="X414" s="1471"/>
      <c r="Y414" s="1471"/>
      <c r="Z414" s="1471"/>
      <c r="AA414" s="1471"/>
      <c r="AB414" s="1473"/>
      <c r="AC414" s="1319"/>
      <c r="AD414" s="2" t="str">
        <f aca="false">IF(AND(AD$4=$G414,AD$6=$F414),$B414,"")</f>
        <v/>
      </c>
      <c r="AE414" s="2" t="str">
        <f aca="false">IF(AND(AE$4=$G414,AE$6=$F414),$B414,"")</f>
        <v/>
      </c>
      <c r="AF414" s="2" t="str">
        <f aca="false">IF(AND(AF$4=$G414,AF$6=$F414),$B414,"")</f>
        <v/>
      </c>
      <c r="AG414" s="2" t="str">
        <f aca="false">IF(AND(AG$4=$G414,AG$6=$F414),$B414,"")</f>
        <v/>
      </c>
      <c r="AI414" s="366"/>
      <c r="AL414" s="367"/>
      <c r="AO414" s="367"/>
      <c r="AP414" s="2" t="str">
        <f aca="false">IF(AT414&gt;0,RANK(AT414,AT$7:AT$423),"")</f>
        <v/>
      </c>
      <c r="AQ414" s="1475" t="n">
        <f aca="false">'O_MN, PE_UTA_UGM 2024'!C411</f>
        <v>0</v>
      </c>
      <c r="AR414" s="1421" t="n">
        <v>9410</v>
      </c>
      <c r="AS414" s="2" t="str">
        <f aca="false">IF(AY414&lt;&gt;"",AY414,"")</f>
        <v/>
      </c>
      <c r="AT414" s="1422" t="n">
        <f aca="false">IF(ISNUMBER($AR414),SUMIF(B$7:B$505,AR414,D$7:D$505),"")</f>
        <v>0</v>
      </c>
      <c r="AU414" s="1411" t="n">
        <f aca="false">IF(ISNUMBER($AR414),SUMIF(AD$7:AD$503,$AR414,J$7:J$503),"")</f>
        <v>0</v>
      </c>
      <c r="AV414" s="1411" t="n">
        <f aca="false">IF(ISNUMBER($AR414),SUMIF(AF$7:AF$503,$AR414,L$7:L$503),"")</f>
        <v>0</v>
      </c>
      <c r="AW414" s="1423" t="n">
        <f aca="false">IF(ISNUMBER($AR414),SUMIF(AE$7:AE$503,$AR414,K$7:K$503),"")</f>
        <v>0</v>
      </c>
      <c r="AX414" s="1423" t="n">
        <f aca="false">IF(ISNUMBER($AR414),SUMIF(AG$7:AG$503,$AR414,M$7:M$503),"")</f>
        <v>0</v>
      </c>
      <c r="AY414" s="2" t="str">
        <f aca="false">IF($AT414&gt;0,VLOOKUP($AR414,'O_MN, PE_UTA_UGM 2024'!E411:O826,2),"")</f>
        <v/>
      </c>
      <c r="AZ414" s="1424"/>
      <c r="BA414" s="1424"/>
      <c r="BB414" s="1424" t="str">
        <f aca="false">IF($AT414&gt;0,VLOOKUP($AR414,'O_MN, PE_UTA_UGM 2024'!$E$3:$O$419,BB$6),"")</f>
        <v/>
      </c>
      <c r="BC414" s="1424" t="str">
        <f aca="false">IF($AT414&gt;0,VLOOKUP($AR414,'O_MN, PE_UTA_UGM 2024'!$E$3:$O$419,BC$6),"")</f>
        <v/>
      </c>
      <c r="BD414" s="1424" t="str">
        <f aca="false">IF($AT414&gt;0,VLOOKUP($AR414,'O_MN, PE_UTA_UGM 2024'!$E$3:$O$419,BD$6),"")</f>
        <v/>
      </c>
      <c r="BE414" s="1424" t="str">
        <f aca="false">IF($AT414&gt;0,VLOOKUP($AR414,'O_MN, PE_UTA_UGM 2024'!$E$3:$O$419,BE$6),"")</f>
        <v/>
      </c>
      <c r="BF414" s="1424" t="str">
        <f aca="false">IF($AT414&gt;0,VLOOKUP($AR414,'O_MN, PE_UTA_UGM 2024'!$E$3:$O$419,BF$6),"")</f>
        <v/>
      </c>
      <c r="BG414" s="1424" t="str">
        <f aca="false">IF($AT414&gt;0,VLOOKUP($AR414,'O_MN, PE_UTA_UGM 2024'!$E$3:$O$419,BG$6),"")</f>
        <v/>
      </c>
      <c r="BH414" s="872"/>
      <c r="BI414" s="872"/>
      <c r="BJ414" s="872"/>
      <c r="BK414" s="872"/>
      <c r="BM414" s="1411"/>
      <c r="BN414" s="1411"/>
      <c r="BO414" s="1425" t="str">
        <f aca="false">IF(ISNUMBER($AU414*BB414*1),$AU414*BB414*1,"")</f>
        <v/>
      </c>
      <c r="BP414" s="1425" t="str">
        <f aca="false">IF(ISNUMBER($AV414*BC414*1),$AV414*BC414*1,"")</f>
        <v/>
      </c>
      <c r="BQ414" s="1425" t="str">
        <f aca="false">IF(ISNUMBER($AU414*BD414*1),$AU414*BD414*1,"")</f>
        <v/>
      </c>
      <c r="BR414" s="1425" t="str">
        <f aca="false">IF(ISNUMBER($AV414*BE414*1),$AV414*BE414*1,"")</f>
        <v/>
      </c>
      <c r="BS414" s="1411" t="str">
        <f aca="false">IF(ISNUMBER($AU414*BF414),$AU414*BF414,"")</f>
        <v/>
      </c>
      <c r="BT414" s="1411" t="str">
        <f aca="false">IF(ISNUMBER($AV414*BG414),$AV414*BG414,"")</f>
        <v/>
      </c>
      <c r="BU414" s="1411"/>
      <c r="BV414" s="1411"/>
      <c r="BW414" s="1411"/>
      <c r="BX414" s="1411"/>
      <c r="BZ414" s="1372"/>
      <c r="CA414" s="1372"/>
      <c r="CB414" s="1426" t="str">
        <f aca="false">IF(ISNUMBER($AW414*BB414),$AW414*BB414,"")</f>
        <v/>
      </c>
      <c r="CC414" s="1426" t="str">
        <f aca="false">IF(ISNUMBER($AX414*BC414),$AX414*BC414,"")</f>
        <v/>
      </c>
      <c r="CD414" s="1426" t="str">
        <f aca="false">IF(ISNUMBER($AW414*BD414),$AW414*BD414,"")</f>
        <v/>
      </c>
      <c r="CE414" s="1426" t="str">
        <f aca="false">IF(ISNUMBER($AX414*BE414),$AX414*BE414,"")</f>
        <v/>
      </c>
      <c r="CF414" s="1372" t="str">
        <f aca="false">IF(ISNUMBER($AW414*BF414),$AW414*BF414,"")</f>
        <v/>
      </c>
      <c r="CG414" s="1372" t="str">
        <f aca="false">IF(ISNUMBER($AX414*BG414),$AX414*BG414,"")</f>
        <v/>
      </c>
      <c r="CH414" s="1438"/>
      <c r="CI414" s="1438"/>
      <c r="CJ414" s="1438"/>
      <c r="CK414" s="1438"/>
      <c r="CU414" s="1411"/>
      <c r="CV414" s="1411"/>
      <c r="CW414" s="1425"/>
      <c r="CX414" s="1425"/>
      <c r="CY414" s="1425"/>
      <c r="CZ414" s="1425"/>
      <c r="DA414" s="1411"/>
      <c r="DB414" s="1411"/>
      <c r="DC414" s="1411"/>
      <c r="DD414" s="1411"/>
      <c r="DE414" s="1411"/>
      <c r="DF414" s="1411"/>
      <c r="DH414" s="1432"/>
      <c r="DI414" s="1432"/>
      <c r="DJ414" s="1437"/>
      <c r="DK414" s="1437"/>
      <c r="DL414" s="1437"/>
      <c r="DM414" s="1437"/>
      <c r="DN414" s="1432"/>
      <c r="DO414" s="1432"/>
      <c r="DP414" s="1432"/>
      <c r="DQ414" s="1432"/>
      <c r="DR414" s="1432"/>
      <c r="DS414" s="1432"/>
      <c r="DT414" s="1316"/>
      <c r="DU414" s="1433"/>
      <c r="DV414" s="1433"/>
      <c r="DW414" s="1433"/>
      <c r="DX414" s="1433"/>
      <c r="DY414" s="1433"/>
      <c r="DZ414" s="1433"/>
      <c r="EA414" s="1433"/>
      <c r="EB414" s="1433"/>
    </row>
    <row r="415" customFormat="false" ht="14.25" hidden="false" customHeight="false" outlineLevel="0" collapsed="false">
      <c r="A415" s="2" t="n">
        <f aca="false">'V_DATOS PAC_SGA'!R410</f>
        <v>0</v>
      </c>
      <c r="B415" s="2" t="n">
        <f aca="false">IF(I415="IV",CONCATENATE('V_DATOS PAC_SGA'!R410,"4")+0,CONCATENATE('V_DATOS PAC_SGA'!R410,"0")+0)</f>
        <v>0</v>
      </c>
      <c r="C415" s="2" t="n">
        <f aca="false">'V_DATOS PAC_SGA'!S410</f>
        <v>0</v>
      </c>
      <c r="D415" s="1409" t="n">
        <f aca="false">'V_DATOS PAC_SGA'!Y410</f>
        <v>0</v>
      </c>
      <c r="E415" s="1410" t="str">
        <f aca="false">IF('V_DATOS PAC_SGA'!AV410="","Regadio",'V_DATOS PAC_SGA'!AV410)</f>
        <v>Regadio</v>
      </c>
      <c r="F415" s="1411" t="n">
        <f aca="false">'V_DATOS PAC_SGA'!BK410</f>
        <v>0</v>
      </c>
      <c r="G415" s="1412" t="n">
        <f aca="false">'V_DATOS PAC_SGA'!AN410</f>
        <v>0</v>
      </c>
      <c r="H415" s="1413" t="str">
        <f aca="false">IF(B415&gt;0,VLOOKUP(B415,'O_MN, PE_UTA_UGM 2024'!E$3:O$419,10),"")</f>
        <v/>
      </c>
      <c r="I415" s="1359" t="n">
        <f aca="false">'V_DATOS PAC_SGA'!BV410</f>
        <v>0</v>
      </c>
      <c r="J415" s="2" t="str">
        <f aca="false">IF(AND(J$4=$G415,J$6=$F415),$D415*J$5,"")</f>
        <v/>
      </c>
      <c r="K415" s="2" t="str">
        <f aca="false">IF(AND(K$4=$G415,K$6=$F415),$D415*K$5,"")</f>
        <v/>
      </c>
      <c r="L415" s="2" t="str">
        <f aca="false">IF(AND(L$4=$G415,L$6=$F415),$D415*L$5,"")</f>
        <v/>
      </c>
      <c r="M415" s="2" t="str">
        <f aca="false">IF(AND(M$4=$G415,M$6=$F415),$D415*M$5,"")</f>
        <v/>
      </c>
      <c r="N415" s="1414" t="n">
        <f aca="false">VLOOKUP(B415,'O_MN, PE_UTA_UGM 2024'!$E$2:$K$419,IF(G415&gt;1,6,7))</f>
        <v>0</v>
      </c>
      <c r="O415" s="1434" t="str">
        <f aca="false">IF($H415=O$4,$D415*$N415,"")</f>
        <v/>
      </c>
      <c r="P415" s="1435" t="str">
        <f aca="false">IF($H415=P$4,$D415*$N415,"")</f>
        <v/>
      </c>
      <c r="Q415" s="1435" t="str">
        <f aca="false">IF($H415=Q$4,$D415*$N415,"")</f>
        <v/>
      </c>
      <c r="R415" s="1435" t="str">
        <f aca="false">IF($H415=R$4,$D415*$N415,"")</f>
        <v/>
      </c>
      <c r="S415" s="1435" t="str">
        <f aca="false">IF($H415=S$4,$D415*$N415,"")</f>
        <v/>
      </c>
      <c r="T415" s="1435" t="str">
        <f aca="false">IF($H415=T$4,$D415*$N415,"")</f>
        <v/>
      </c>
      <c r="U415" s="1436" t="str">
        <f aca="false">IF($H415=U$4,$D415*$N415,"")</f>
        <v/>
      </c>
      <c r="V415" s="1472"/>
      <c r="W415" s="1471"/>
      <c r="X415" s="1471"/>
      <c r="Y415" s="1471"/>
      <c r="Z415" s="1471"/>
      <c r="AA415" s="1471"/>
      <c r="AB415" s="1473"/>
      <c r="AC415" s="1319"/>
      <c r="AD415" s="2" t="str">
        <f aca="false">IF(AND(AD$4=$G415,AD$6=$F415),$B415,"")</f>
        <v/>
      </c>
      <c r="AE415" s="2" t="str">
        <f aca="false">IF(AND(AE$4=$G415,AE$6=$F415),$B415,"")</f>
        <v/>
      </c>
      <c r="AF415" s="2" t="str">
        <f aca="false">IF(AND(AF$4=$G415,AF$6=$F415),$B415,"")</f>
        <v/>
      </c>
      <c r="AG415" s="2" t="str">
        <f aca="false">IF(AND(AG$4=$G415,AG$6=$F415),$B415,"")</f>
        <v/>
      </c>
      <c r="AI415" s="366"/>
      <c r="AL415" s="367"/>
      <c r="AO415" s="367"/>
      <c r="AP415" s="2" t="str">
        <f aca="false">IF(AT415&gt;0,RANK(AT415,AT$7:AT$423),"")</f>
        <v/>
      </c>
      <c r="AQ415" s="1475" t="n">
        <f aca="false">'O_MN, PE_UTA_UGM 2024'!C412</f>
        <v>0</v>
      </c>
      <c r="AR415" s="1421" t="n">
        <v>9420</v>
      </c>
      <c r="AS415" s="2" t="str">
        <f aca="false">IF(AY415&lt;&gt;"",AY415,"")</f>
        <v/>
      </c>
      <c r="AT415" s="1422" t="n">
        <f aca="false">IF(ISNUMBER($AR415),SUMIF(B$7:B$505,AR415,D$7:D$505),"")</f>
        <v>0</v>
      </c>
      <c r="AU415" s="1411" t="n">
        <f aca="false">IF(ISNUMBER($AR415),SUMIF(AD$7:AD$503,$AR415,J$7:J$503),"")</f>
        <v>0</v>
      </c>
      <c r="AV415" s="1411" t="n">
        <f aca="false">IF(ISNUMBER($AR415),SUMIF(AF$7:AF$503,$AR415,L$7:L$503),"")</f>
        <v>0</v>
      </c>
      <c r="AW415" s="1423" t="n">
        <f aca="false">IF(ISNUMBER($AR415),SUMIF(AE$7:AE$503,$AR415,K$7:K$503),"")</f>
        <v>0</v>
      </c>
      <c r="AX415" s="1423" t="n">
        <f aca="false">IF(ISNUMBER($AR415),SUMIF(AG$7:AG$503,$AR415,M$7:M$503),"")</f>
        <v>0</v>
      </c>
      <c r="AY415" s="2" t="str">
        <f aca="false">IF($AT415&gt;0,VLOOKUP($AR415,'O_MN, PE_UTA_UGM 2024'!E412:O827,2),"")</f>
        <v/>
      </c>
      <c r="AZ415" s="1424"/>
      <c r="BA415" s="1424"/>
      <c r="BB415" s="1424" t="str">
        <f aca="false">IF($AT415&gt;0,VLOOKUP($AR415,'O_MN, PE_UTA_UGM 2024'!$E$3:$O$419,BB$6),"")</f>
        <v/>
      </c>
      <c r="BC415" s="1424" t="str">
        <f aca="false">IF($AT415&gt;0,VLOOKUP($AR415,'O_MN, PE_UTA_UGM 2024'!$E$3:$O$419,BC$6),"")</f>
        <v/>
      </c>
      <c r="BD415" s="1424" t="str">
        <f aca="false">IF($AT415&gt;0,VLOOKUP($AR415,'O_MN, PE_UTA_UGM 2024'!$E$3:$O$419,BD$6),"")</f>
        <v/>
      </c>
      <c r="BE415" s="1424" t="str">
        <f aca="false">IF($AT415&gt;0,VLOOKUP($AR415,'O_MN, PE_UTA_UGM 2024'!$E$3:$O$419,BE$6),"")</f>
        <v/>
      </c>
      <c r="BF415" s="1424" t="str">
        <f aca="false">IF($AT415&gt;0,VLOOKUP($AR415,'O_MN, PE_UTA_UGM 2024'!$E$3:$O$419,BF$6),"")</f>
        <v/>
      </c>
      <c r="BG415" s="1424" t="str">
        <f aca="false">IF($AT415&gt;0,VLOOKUP($AR415,'O_MN, PE_UTA_UGM 2024'!$E$3:$O$419,BG$6),"")</f>
        <v/>
      </c>
      <c r="BH415" s="872"/>
      <c r="BI415" s="872"/>
      <c r="BJ415" s="872"/>
      <c r="BK415" s="872"/>
      <c r="BM415" s="1411"/>
      <c r="BN415" s="1411"/>
      <c r="BO415" s="1425" t="str">
        <f aca="false">IF(ISNUMBER($AU415*BB415*1),$AU415*BB415*1,"")</f>
        <v/>
      </c>
      <c r="BP415" s="1425" t="str">
        <f aca="false">IF(ISNUMBER($AV415*BC415*1),$AV415*BC415*1,"")</f>
        <v/>
      </c>
      <c r="BQ415" s="1425" t="str">
        <f aca="false">IF(ISNUMBER($AU415*BD415*1),$AU415*BD415*1,"")</f>
        <v/>
      </c>
      <c r="BR415" s="1425" t="str">
        <f aca="false">IF(ISNUMBER($AV415*BE415*1),$AV415*BE415*1,"")</f>
        <v/>
      </c>
      <c r="BS415" s="1411" t="str">
        <f aca="false">IF(ISNUMBER($AU415*BF415),$AU415*BF415,"")</f>
        <v/>
      </c>
      <c r="BT415" s="1411" t="str">
        <f aca="false">IF(ISNUMBER($AV415*BG415),$AV415*BG415,"")</f>
        <v/>
      </c>
      <c r="BU415" s="1411"/>
      <c r="BV415" s="1411"/>
      <c r="BW415" s="1411"/>
      <c r="BX415" s="1411"/>
      <c r="BZ415" s="1372"/>
      <c r="CA415" s="1372"/>
      <c r="CB415" s="1426" t="str">
        <f aca="false">IF(ISNUMBER($AW415*BB415),$AW415*BB415,"")</f>
        <v/>
      </c>
      <c r="CC415" s="1426" t="str">
        <f aca="false">IF(ISNUMBER($AX415*BC415),$AX415*BC415,"")</f>
        <v/>
      </c>
      <c r="CD415" s="1426" t="str">
        <f aca="false">IF(ISNUMBER($AW415*BD415),$AW415*BD415,"")</f>
        <v/>
      </c>
      <c r="CE415" s="1426" t="str">
        <f aca="false">IF(ISNUMBER($AX415*BE415),$AX415*BE415,"")</f>
        <v/>
      </c>
      <c r="CF415" s="1372" t="str">
        <f aca="false">IF(ISNUMBER($AW415*BF415),$AW415*BF415,"")</f>
        <v/>
      </c>
      <c r="CG415" s="1372" t="str">
        <f aca="false">IF(ISNUMBER($AX415*BG415),$AX415*BG415,"")</f>
        <v/>
      </c>
      <c r="CH415" s="1438"/>
      <c r="CI415" s="1438"/>
      <c r="CJ415" s="1438"/>
      <c r="CK415" s="1438"/>
      <c r="CU415" s="1411"/>
      <c r="CV415" s="1411"/>
      <c r="CW415" s="1425"/>
      <c r="CX415" s="1425"/>
      <c r="CY415" s="1425"/>
      <c r="CZ415" s="1425"/>
      <c r="DA415" s="1411"/>
      <c r="DB415" s="1411"/>
      <c r="DC415" s="1411"/>
      <c r="DD415" s="1411"/>
      <c r="DE415" s="1411"/>
      <c r="DF415" s="1411"/>
      <c r="DH415" s="1432"/>
      <c r="DI415" s="1432"/>
      <c r="DJ415" s="1437"/>
      <c r="DK415" s="1437"/>
      <c r="DL415" s="1437"/>
      <c r="DM415" s="1437"/>
      <c r="DN415" s="1432"/>
      <c r="DO415" s="1432"/>
      <c r="DP415" s="1432"/>
      <c r="DQ415" s="1432"/>
      <c r="DR415" s="1432"/>
      <c r="DS415" s="1432"/>
      <c r="DT415" s="1316"/>
      <c r="DU415" s="1433"/>
      <c r="DV415" s="1433"/>
      <c r="DW415" s="1433"/>
      <c r="DX415" s="1433"/>
      <c r="DY415" s="1433"/>
      <c r="DZ415" s="1433"/>
      <c r="EA415" s="1433"/>
      <c r="EB415" s="1433"/>
    </row>
    <row r="416" customFormat="false" ht="14.25" hidden="false" customHeight="false" outlineLevel="0" collapsed="false">
      <c r="A416" s="2" t="n">
        <f aca="false">'V_DATOS PAC_SGA'!R411</f>
        <v>0</v>
      </c>
      <c r="B416" s="2" t="n">
        <f aca="false">IF(I416="IV",CONCATENATE('V_DATOS PAC_SGA'!R411,"4")+0,CONCATENATE('V_DATOS PAC_SGA'!R411,"0")+0)</f>
        <v>0</v>
      </c>
      <c r="C416" s="2" t="n">
        <f aca="false">'V_DATOS PAC_SGA'!S411</f>
        <v>0</v>
      </c>
      <c r="D416" s="1409" t="n">
        <f aca="false">'V_DATOS PAC_SGA'!Y411</f>
        <v>0</v>
      </c>
      <c r="E416" s="1410" t="str">
        <f aca="false">IF('V_DATOS PAC_SGA'!AV411="","Regadio",'V_DATOS PAC_SGA'!AV411)</f>
        <v>Regadio</v>
      </c>
      <c r="F416" s="1411" t="n">
        <f aca="false">'V_DATOS PAC_SGA'!BK411</f>
        <v>0</v>
      </c>
      <c r="G416" s="1412" t="n">
        <f aca="false">'V_DATOS PAC_SGA'!AN411</f>
        <v>0</v>
      </c>
      <c r="H416" s="1413" t="str">
        <f aca="false">IF(B416&gt;0,VLOOKUP(B416,'O_MN, PE_UTA_UGM 2024'!E$3:O$419,10),"")</f>
        <v/>
      </c>
      <c r="I416" s="1359" t="n">
        <f aca="false">'V_DATOS PAC_SGA'!BV411</f>
        <v>0</v>
      </c>
      <c r="J416" s="2" t="str">
        <f aca="false">IF(AND(J$4=$G416,J$6=$F416),$D416*J$5,"")</f>
        <v/>
      </c>
      <c r="K416" s="2" t="str">
        <f aca="false">IF(AND(K$4=$G416,K$6=$F416),$D416*K$5,"")</f>
        <v/>
      </c>
      <c r="L416" s="2" t="str">
        <f aca="false">IF(AND(L$4=$G416,L$6=$F416),$D416*L$5,"")</f>
        <v/>
      </c>
      <c r="M416" s="2" t="str">
        <f aca="false">IF(AND(M$4=$G416,M$6=$F416),$D416*M$5,"")</f>
        <v/>
      </c>
      <c r="N416" s="1414" t="n">
        <f aca="false">VLOOKUP(B416,'O_MN, PE_UTA_UGM 2024'!$E$2:$K$419,IF(G416&gt;1,6,7))</f>
        <v>0</v>
      </c>
      <c r="O416" s="1434" t="str">
        <f aca="false">IF($H416=O$4,$D416*$N416,"")</f>
        <v/>
      </c>
      <c r="P416" s="1435" t="str">
        <f aca="false">IF($H416=P$4,$D416*$N416,"")</f>
        <v/>
      </c>
      <c r="Q416" s="1435" t="str">
        <f aca="false">IF($H416=Q$4,$D416*$N416,"")</f>
        <v/>
      </c>
      <c r="R416" s="1435" t="str">
        <f aca="false">IF($H416=R$4,$D416*$N416,"")</f>
        <v/>
      </c>
      <c r="S416" s="1435" t="str">
        <f aca="false">IF($H416=S$4,$D416*$N416,"")</f>
        <v/>
      </c>
      <c r="T416" s="1435" t="str">
        <f aca="false">IF($H416=T$4,$D416*$N416,"")</f>
        <v/>
      </c>
      <c r="U416" s="1436" t="str">
        <f aca="false">IF($H416=U$4,$D416*$N416,"")</f>
        <v/>
      </c>
      <c r="V416" s="1472"/>
      <c r="W416" s="1471"/>
      <c r="X416" s="1471"/>
      <c r="Y416" s="1471"/>
      <c r="Z416" s="1471"/>
      <c r="AA416" s="1471"/>
      <c r="AB416" s="1473"/>
      <c r="AC416" s="1319"/>
      <c r="AD416" s="2" t="str">
        <f aca="false">IF(AND(AD$4=$G416,AD$6=$F416),$B416,"")</f>
        <v/>
      </c>
      <c r="AE416" s="2" t="str">
        <f aca="false">IF(AND(AE$4=$G416,AE$6=$F416),$B416,"")</f>
        <v/>
      </c>
      <c r="AF416" s="2" t="str">
        <f aca="false">IF(AND(AF$4=$G416,AF$6=$F416),$B416,"")</f>
        <v/>
      </c>
      <c r="AG416" s="2" t="str">
        <f aca="false">IF(AND(AG$4=$G416,AG$6=$F416),$B416,"")</f>
        <v/>
      </c>
      <c r="AI416" s="366"/>
      <c r="AL416" s="367"/>
      <c r="AO416" s="367"/>
      <c r="AP416" s="2" t="str">
        <f aca="false">IF(AT416&gt;0,RANK(AT416,AT$7:AT$423),"")</f>
        <v/>
      </c>
      <c r="AQ416" s="1475" t="n">
        <f aca="false">'O_MN, PE_UTA_UGM 2024'!C413</f>
        <v>0</v>
      </c>
      <c r="AR416" s="1421" t="n">
        <v>9430</v>
      </c>
      <c r="AS416" s="2" t="str">
        <f aca="false">IF(AY416&lt;&gt;"",AY416,"")</f>
        <v/>
      </c>
      <c r="AT416" s="1422" t="n">
        <f aca="false">IF(ISNUMBER($AR416),SUMIF(B$7:B$505,AR416,D$7:D$505),"")</f>
        <v>0</v>
      </c>
      <c r="AU416" s="1411" t="n">
        <f aca="false">IF(ISNUMBER($AR416),SUMIF(AD$7:AD$503,$AR416,J$7:J$503),"")</f>
        <v>0</v>
      </c>
      <c r="AV416" s="1411" t="n">
        <f aca="false">IF(ISNUMBER($AR416),SUMIF(AF$7:AF$503,$AR416,L$7:L$503),"")</f>
        <v>0</v>
      </c>
      <c r="AW416" s="1423" t="n">
        <f aca="false">IF(ISNUMBER($AR416),SUMIF(AE$7:AE$503,$AR416,K$7:K$503),"")</f>
        <v>0</v>
      </c>
      <c r="AX416" s="1423" t="n">
        <f aca="false">IF(ISNUMBER($AR416),SUMIF(AG$7:AG$503,$AR416,M$7:M$503),"")</f>
        <v>0</v>
      </c>
      <c r="AY416" s="2" t="str">
        <f aca="false">IF($AT416&gt;0,VLOOKUP($AR416,'O_MN, PE_UTA_UGM 2024'!E413:O828,2),"")</f>
        <v/>
      </c>
      <c r="AZ416" s="1424"/>
      <c r="BA416" s="1424"/>
      <c r="BB416" s="1424" t="str">
        <f aca="false">IF($AT416&gt;0,VLOOKUP($AR416,'O_MN, PE_UTA_UGM 2024'!$E$3:$O$419,BB$6),"")</f>
        <v/>
      </c>
      <c r="BC416" s="1424" t="str">
        <f aca="false">IF($AT416&gt;0,VLOOKUP($AR416,'O_MN, PE_UTA_UGM 2024'!$E$3:$O$419,BC$6),"")</f>
        <v/>
      </c>
      <c r="BD416" s="1424" t="str">
        <f aca="false">IF($AT416&gt;0,VLOOKUP($AR416,'O_MN, PE_UTA_UGM 2024'!$E$3:$O$419,BD$6),"")</f>
        <v/>
      </c>
      <c r="BE416" s="1424" t="str">
        <f aca="false">IF($AT416&gt;0,VLOOKUP($AR416,'O_MN, PE_UTA_UGM 2024'!$E$3:$O$419,BE$6),"")</f>
        <v/>
      </c>
      <c r="BF416" s="1424" t="str">
        <f aca="false">IF($AT416&gt;0,VLOOKUP($AR416,'O_MN, PE_UTA_UGM 2024'!$E$3:$O$419,BF$6),"")</f>
        <v/>
      </c>
      <c r="BG416" s="1424" t="str">
        <f aca="false">IF($AT416&gt;0,VLOOKUP($AR416,'O_MN, PE_UTA_UGM 2024'!$E$3:$O$419,BG$6),"")</f>
        <v/>
      </c>
      <c r="BH416" s="872"/>
      <c r="BI416" s="872"/>
      <c r="BJ416" s="872"/>
      <c r="BK416" s="872"/>
      <c r="BM416" s="1411"/>
      <c r="BN416" s="1411"/>
      <c r="BO416" s="1425" t="str">
        <f aca="false">IF(ISNUMBER($AU416*BB416*1),$AU416*BB416*1,"")</f>
        <v/>
      </c>
      <c r="BP416" s="1425" t="str">
        <f aca="false">IF(ISNUMBER($AV416*BC416*1),$AV416*BC416*1,"")</f>
        <v/>
      </c>
      <c r="BQ416" s="1425" t="str">
        <f aca="false">IF(ISNUMBER($AU416*BD416*1),$AU416*BD416*1,"")</f>
        <v/>
      </c>
      <c r="BR416" s="1425" t="str">
        <f aca="false">IF(ISNUMBER($AV416*BE416*1),$AV416*BE416*1,"")</f>
        <v/>
      </c>
      <c r="BS416" s="1411" t="str">
        <f aca="false">IF(ISNUMBER($AU416*BF416),$AU416*BF416,"")</f>
        <v/>
      </c>
      <c r="BT416" s="1411" t="str">
        <f aca="false">IF(ISNUMBER($AV416*BG416),$AV416*BG416,"")</f>
        <v/>
      </c>
      <c r="BU416" s="1411"/>
      <c r="BV416" s="1411"/>
      <c r="BW416" s="1411"/>
      <c r="BX416" s="1411"/>
      <c r="BZ416" s="1372"/>
      <c r="CA416" s="1372"/>
      <c r="CB416" s="1426" t="str">
        <f aca="false">IF(ISNUMBER($AW416*BB416),$AW416*BB416,"")</f>
        <v/>
      </c>
      <c r="CC416" s="1426" t="str">
        <f aca="false">IF(ISNUMBER($AX416*BC416),$AX416*BC416,"")</f>
        <v/>
      </c>
      <c r="CD416" s="1426" t="str">
        <f aca="false">IF(ISNUMBER($AW416*BD416),$AW416*BD416,"")</f>
        <v/>
      </c>
      <c r="CE416" s="1426" t="str">
        <f aca="false">IF(ISNUMBER($AX416*BE416),$AX416*BE416,"")</f>
        <v/>
      </c>
      <c r="CF416" s="1372" t="str">
        <f aca="false">IF(ISNUMBER($AW416*BF416),$AW416*BF416,"")</f>
        <v/>
      </c>
      <c r="CG416" s="1372" t="str">
        <f aca="false">IF(ISNUMBER($AX416*BG416),$AX416*BG416,"")</f>
        <v/>
      </c>
      <c r="CH416" s="1438"/>
      <c r="CI416" s="1438"/>
      <c r="CJ416" s="1438"/>
      <c r="CK416" s="1438"/>
      <c r="CU416" s="1411"/>
      <c r="CV416" s="1411"/>
      <c r="CW416" s="1425"/>
      <c r="CX416" s="1425"/>
      <c r="CY416" s="1425"/>
      <c r="CZ416" s="1425"/>
      <c r="DA416" s="1411"/>
      <c r="DB416" s="1411"/>
      <c r="DC416" s="1411"/>
      <c r="DD416" s="1411"/>
      <c r="DE416" s="1411"/>
      <c r="DF416" s="1411"/>
      <c r="DH416" s="1432"/>
      <c r="DI416" s="1432"/>
      <c r="DJ416" s="1437"/>
      <c r="DK416" s="1437"/>
      <c r="DL416" s="1437"/>
      <c r="DM416" s="1437"/>
      <c r="DN416" s="1432"/>
      <c r="DO416" s="1432"/>
      <c r="DP416" s="1432"/>
      <c r="DQ416" s="1432"/>
      <c r="DR416" s="1432"/>
      <c r="DS416" s="1432"/>
      <c r="DT416" s="1316"/>
      <c r="DU416" s="1433"/>
      <c r="DV416" s="1433"/>
      <c r="DW416" s="1433"/>
      <c r="DX416" s="1433"/>
      <c r="DY416" s="1433"/>
      <c r="DZ416" s="1433"/>
      <c r="EA416" s="1433"/>
      <c r="EB416" s="1433"/>
    </row>
    <row r="417" customFormat="false" ht="14.25" hidden="false" customHeight="false" outlineLevel="0" collapsed="false">
      <c r="A417" s="2" t="n">
        <f aca="false">'V_DATOS PAC_SGA'!R412</f>
        <v>0</v>
      </c>
      <c r="B417" s="2" t="n">
        <f aca="false">IF(I417="IV",CONCATENATE('V_DATOS PAC_SGA'!R412,"4")+0,CONCATENATE('V_DATOS PAC_SGA'!R412,"0")+0)</f>
        <v>0</v>
      </c>
      <c r="C417" s="2" t="n">
        <f aca="false">'V_DATOS PAC_SGA'!S412</f>
        <v>0</v>
      </c>
      <c r="D417" s="1409" t="n">
        <f aca="false">'V_DATOS PAC_SGA'!Y412</f>
        <v>0</v>
      </c>
      <c r="E417" s="1410" t="str">
        <f aca="false">IF('V_DATOS PAC_SGA'!AV412="","Regadio",'V_DATOS PAC_SGA'!AV412)</f>
        <v>Regadio</v>
      </c>
      <c r="F417" s="1411" t="n">
        <f aca="false">'V_DATOS PAC_SGA'!BK412</f>
        <v>0</v>
      </c>
      <c r="G417" s="1412" t="n">
        <f aca="false">'V_DATOS PAC_SGA'!AN412</f>
        <v>0</v>
      </c>
      <c r="H417" s="1413" t="str">
        <f aca="false">IF(B417&gt;0,VLOOKUP(B417,'O_MN, PE_UTA_UGM 2024'!E$3:O$419,10),"")</f>
        <v/>
      </c>
      <c r="I417" s="1359" t="n">
        <f aca="false">'V_DATOS PAC_SGA'!BV412</f>
        <v>0</v>
      </c>
      <c r="J417" s="2" t="str">
        <f aca="false">IF(AND(J$4=$G417,J$6=$F417),$D417*J$5,"")</f>
        <v/>
      </c>
      <c r="K417" s="2" t="str">
        <f aca="false">IF(AND(K$4=$G417,K$6=$F417),$D417*K$5,"")</f>
        <v/>
      </c>
      <c r="L417" s="2" t="str">
        <f aca="false">IF(AND(L$4=$G417,L$6=$F417),$D417*L$5,"")</f>
        <v/>
      </c>
      <c r="M417" s="2" t="str">
        <f aca="false">IF(AND(M$4=$G417,M$6=$F417),$D417*M$5,"")</f>
        <v/>
      </c>
      <c r="N417" s="1414" t="n">
        <f aca="false">VLOOKUP(B417,'O_MN, PE_UTA_UGM 2024'!$E$2:$K$419,IF(G417&gt;1,6,7))</f>
        <v>0</v>
      </c>
      <c r="O417" s="1434" t="str">
        <f aca="false">IF($H417=O$4,$D417*$N417,"")</f>
        <v/>
      </c>
      <c r="P417" s="1435" t="str">
        <f aca="false">IF($H417=P$4,$D417*$N417,"")</f>
        <v/>
      </c>
      <c r="Q417" s="1435" t="str">
        <f aca="false">IF($H417=Q$4,$D417*$N417,"")</f>
        <v/>
      </c>
      <c r="R417" s="1435" t="str">
        <f aca="false">IF($H417=R$4,$D417*$N417,"")</f>
        <v/>
      </c>
      <c r="S417" s="1435" t="str">
        <f aca="false">IF($H417=S$4,$D417*$N417,"")</f>
        <v/>
      </c>
      <c r="T417" s="1435" t="str">
        <f aca="false">IF($H417=T$4,$D417*$N417,"")</f>
        <v/>
      </c>
      <c r="U417" s="1436" t="str">
        <f aca="false">IF($H417=U$4,$D417*$N417,"")</f>
        <v/>
      </c>
      <c r="V417" s="1472"/>
      <c r="W417" s="1471"/>
      <c r="X417" s="1471"/>
      <c r="Y417" s="1471"/>
      <c r="Z417" s="1471"/>
      <c r="AA417" s="1471"/>
      <c r="AB417" s="1473"/>
      <c r="AC417" s="1319"/>
      <c r="AD417" s="2" t="str">
        <f aca="false">IF(AND(AD$4=$G417,AD$6=$F417),$B417,"")</f>
        <v/>
      </c>
      <c r="AE417" s="2" t="str">
        <f aca="false">IF(AND(AE$4=$G417,AE$6=$F417),$B417,"")</f>
        <v/>
      </c>
      <c r="AF417" s="2" t="str">
        <f aca="false">IF(AND(AF$4=$G417,AF$6=$F417),$B417,"")</f>
        <v/>
      </c>
      <c r="AG417" s="2" t="str">
        <f aca="false">IF(AND(AG$4=$G417,AG$6=$F417),$B417,"")</f>
        <v/>
      </c>
      <c r="AI417" s="366"/>
      <c r="AL417" s="367"/>
      <c r="AO417" s="367"/>
      <c r="AP417" s="2" t="str">
        <f aca="false">IF(AT417&gt;0,RANK(AT417,AT$7:AT$423),"")</f>
        <v/>
      </c>
      <c r="AQ417" s="1475" t="n">
        <f aca="false">'O_MN, PE_UTA_UGM 2024'!C414</f>
        <v>0</v>
      </c>
      <c r="AR417" s="1421" t="n">
        <v>9440</v>
      </c>
      <c r="AS417" s="2" t="str">
        <f aca="false">IF(AY417&lt;&gt;"",AY417,"")</f>
        <v/>
      </c>
      <c r="AT417" s="1422" t="n">
        <f aca="false">IF(ISNUMBER($AR417),SUMIF(B$7:B$505,AR417,D$7:D$505),"")</f>
        <v>0</v>
      </c>
      <c r="AU417" s="1411" t="n">
        <f aca="false">IF(ISNUMBER($AR417),SUMIF(AD$7:AD$503,$AR417,J$7:J$503),"")</f>
        <v>0</v>
      </c>
      <c r="AV417" s="1411" t="n">
        <f aca="false">IF(ISNUMBER($AR417),SUMIF(AF$7:AF$503,$AR417,L$7:L$503),"")</f>
        <v>0</v>
      </c>
      <c r="AW417" s="1423" t="n">
        <f aca="false">IF(ISNUMBER($AR417),SUMIF(AE$7:AE$503,$AR417,K$7:K$503),"")</f>
        <v>0</v>
      </c>
      <c r="AX417" s="1423" t="n">
        <f aca="false">IF(ISNUMBER($AR417),SUMIF(AG$7:AG$503,$AR417,M$7:M$503),"")</f>
        <v>0</v>
      </c>
      <c r="AY417" s="2" t="str">
        <f aca="false">IF($AT417&gt;0,VLOOKUP($AR417,'O_MN, PE_UTA_UGM 2024'!E414:O829,2),"")</f>
        <v/>
      </c>
      <c r="AZ417" s="1424"/>
      <c r="BA417" s="1424"/>
      <c r="BB417" s="1424" t="str">
        <f aca="false">IF($AT417&gt;0,VLOOKUP($AR417,'O_MN, PE_UTA_UGM 2024'!$E$3:$O$419,BB$6),"")</f>
        <v/>
      </c>
      <c r="BC417" s="1424" t="str">
        <f aca="false">IF($AT417&gt;0,VLOOKUP($AR417,'O_MN, PE_UTA_UGM 2024'!$E$3:$O$419,BC$6),"")</f>
        <v/>
      </c>
      <c r="BD417" s="1424" t="str">
        <f aca="false">IF($AT417&gt;0,VLOOKUP($AR417,'O_MN, PE_UTA_UGM 2024'!$E$3:$O$419,BD$6),"")</f>
        <v/>
      </c>
      <c r="BE417" s="1424" t="str">
        <f aca="false">IF($AT417&gt;0,VLOOKUP($AR417,'O_MN, PE_UTA_UGM 2024'!$E$3:$O$419,BE$6),"")</f>
        <v/>
      </c>
      <c r="BF417" s="1424" t="str">
        <f aca="false">IF($AT417&gt;0,VLOOKUP($AR417,'O_MN, PE_UTA_UGM 2024'!$E$3:$O$419,BF$6),"")</f>
        <v/>
      </c>
      <c r="BG417" s="1424" t="str">
        <f aca="false">IF($AT417&gt;0,VLOOKUP($AR417,'O_MN, PE_UTA_UGM 2024'!$E$3:$O$419,BG$6),"")</f>
        <v/>
      </c>
      <c r="BH417" s="872"/>
      <c r="BI417" s="872"/>
      <c r="BJ417" s="872"/>
      <c r="BK417" s="872"/>
      <c r="BM417" s="1411"/>
      <c r="BN417" s="1411"/>
      <c r="BO417" s="1425" t="str">
        <f aca="false">IF(ISNUMBER($AU417*BB417*1),$AU417*BB417*1,"")</f>
        <v/>
      </c>
      <c r="BP417" s="1425" t="str">
        <f aca="false">IF(ISNUMBER($AV417*BC417*1),$AV417*BC417*1,"")</f>
        <v/>
      </c>
      <c r="BQ417" s="1425" t="str">
        <f aca="false">IF(ISNUMBER($AU417*BD417*1),$AU417*BD417*1,"")</f>
        <v/>
      </c>
      <c r="BR417" s="1425" t="str">
        <f aca="false">IF(ISNUMBER($AV417*BE417*1),$AV417*BE417*1,"")</f>
        <v/>
      </c>
      <c r="BS417" s="1411" t="str">
        <f aca="false">IF(ISNUMBER($AU417*BF417),$AU417*BF417,"")</f>
        <v/>
      </c>
      <c r="BT417" s="1411" t="str">
        <f aca="false">IF(ISNUMBER($AV417*BG417),$AV417*BG417,"")</f>
        <v/>
      </c>
      <c r="BU417" s="1411"/>
      <c r="BV417" s="1411"/>
      <c r="BW417" s="1411"/>
      <c r="BX417" s="1411"/>
      <c r="BZ417" s="1372"/>
      <c r="CA417" s="1372"/>
      <c r="CB417" s="1426" t="str">
        <f aca="false">IF(ISNUMBER($AW417*BB417),$AW417*BB417,"")</f>
        <v/>
      </c>
      <c r="CC417" s="1426" t="str">
        <f aca="false">IF(ISNUMBER($AX417*BC417),$AX417*BC417,"")</f>
        <v/>
      </c>
      <c r="CD417" s="1426" t="str">
        <f aca="false">IF(ISNUMBER($AW417*BD417),$AW417*BD417,"")</f>
        <v/>
      </c>
      <c r="CE417" s="1426" t="str">
        <f aca="false">IF(ISNUMBER($AX417*BE417),$AX417*BE417,"")</f>
        <v/>
      </c>
      <c r="CF417" s="1372" t="str">
        <f aca="false">IF(ISNUMBER($AW417*BF417),$AW417*BF417,"")</f>
        <v/>
      </c>
      <c r="CG417" s="1372" t="str">
        <f aca="false">IF(ISNUMBER($AX417*BG417),$AX417*BG417,"")</f>
        <v/>
      </c>
      <c r="CH417" s="1438"/>
      <c r="CI417" s="1438"/>
      <c r="CJ417" s="1438"/>
      <c r="CK417" s="1438"/>
      <c r="CU417" s="1411"/>
      <c r="CV417" s="1411"/>
      <c r="CW417" s="1425"/>
      <c r="CX417" s="1425"/>
      <c r="CY417" s="1425"/>
      <c r="CZ417" s="1425"/>
      <c r="DA417" s="1411"/>
      <c r="DB417" s="1411"/>
      <c r="DC417" s="1411"/>
      <c r="DD417" s="1411"/>
      <c r="DE417" s="1411"/>
      <c r="DF417" s="1411"/>
      <c r="DH417" s="1432"/>
      <c r="DI417" s="1432"/>
      <c r="DJ417" s="1437"/>
      <c r="DK417" s="1437"/>
      <c r="DL417" s="1437"/>
      <c r="DM417" s="1437"/>
      <c r="DN417" s="1432"/>
      <c r="DO417" s="1432"/>
      <c r="DP417" s="1432"/>
      <c r="DQ417" s="1432"/>
      <c r="DR417" s="1432"/>
      <c r="DS417" s="1432"/>
      <c r="DT417" s="1316"/>
      <c r="DU417" s="1433"/>
      <c r="DV417" s="1433"/>
      <c r="DW417" s="1433"/>
      <c r="DX417" s="1433"/>
      <c r="DY417" s="1433"/>
      <c r="DZ417" s="1433"/>
      <c r="EA417" s="1433"/>
      <c r="EB417" s="1433"/>
    </row>
    <row r="418" customFormat="false" ht="14.25" hidden="false" customHeight="false" outlineLevel="0" collapsed="false">
      <c r="A418" s="2" t="n">
        <f aca="false">'V_DATOS PAC_SGA'!R413</f>
        <v>0</v>
      </c>
      <c r="B418" s="2" t="n">
        <f aca="false">IF(I418="IV",CONCATENATE('V_DATOS PAC_SGA'!R413,"4")+0,CONCATENATE('V_DATOS PAC_SGA'!R413,"0")+0)</f>
        <v>0</v>
      </c>
      <c r="C418" s="2" t="n">
        <f aca="false">'V_DATOS PAC_SGA'!S413</f>
        <v>0</v>
      </c>
      <c r="D418" s="1409" t="n">
        <f aca="false">'V_DATOS PAC_SGA'!Y413</f>
        <v>0</v>
      </c>
      <c r="E418" s="1410" t="str">
        <f aca="false">IF('V_DATOS PAC_SGA'!AV413="","Regadio",'V_DATOS PAC_SGA'!AV413)</f>
        <v>Regadio</v>
      </c>
      <c r="F418" s="1411" t="n">
        <f aca="false">'V_DATOS PAC_SGA'!BK413</f>
        <v>0</v>
      </c>
      <c r="G418" s="1412" t="n">
        <f aca="false">'V_DATOS PAC_SGA'!AN413</f>
        <v>0</v>
      </c>
      <c r="H418" s="1413" t="str">
        <f aca="false">IF(B418&gt;0,VLOOKUP(B418,'O_MN, PE_UTA_UGM 2024'!E$3:O$419,10),"")</f>
        <v/>
      </c>
      <c r="I418" s="1359" t="n">
        <f aca="false">'V_DATOS PAC_SGA'!BV413</f>
        <v>0</v>
      </c>
      <c r="J418" s="2" t="str">
        <f aca="false">IF(AND(J$4=$G418,J$6=$F418),$D418*J$5,"")</f>
        <v/>
      </c>
      <c r="K418" s="2" t="str">
        <f aca="false">IF(AND(K$4=$G418,K$6=$F418),$D418*K$5,"")</f>
        <v/>
      </c>
      <c r="L418" s="2" t="str">
        <f aca="false">IF(AND(L$4=$G418,L$6=$F418),$D418*L$5,"")</f>
        <v/>
      </c>
      <c r="M418" s="2" t="str">
        <f aca="false">IF(AND(M$4=$G418,M$6=$F418),$D418*M$5,"")</f>
        <v/>
      </c>
      <c r="N418" s="1414" t="n">
        <f aca="false">VLOOKUP(B418,'O_MN, PE_UTA_UGM 2024'!$E$2:$K$419,IF(G418&gt;1,6,7))</f>
        <v>0</v>
      </c>
      <c r="O418" s="1434" t="str">
        <f aca="false">IF($H418=O$4,$D418*$N418,"")</f>
        <v/>
      </c>
      <c r="P418" s="1435" t="str">
        <f aca="false">IF($H418=P$4,$D418*$N418,"")</f>
        <v/>
      </c>
      <c r="Q418" s="1435" t="str">
        <f aca="false">IF($H418=Q$4,$D418*$N418,"")</f>
        <v/>
      </c>
      <c r="R418" s="1435" t="str">
        <f aca="false">IF($H418=R$4,$D418*$N418,"")</f>
        <v/>
      </c>
      <c r="S418" s="1435" t="str">
        <f aca="false">IF($H418=S$4,$D418*$N418,"")</f>
        <v/>
      </c>
      <c r="T418" s="1435" t="str">
        <f aca="false">IF($H418=T$4,$D418*$N418,"")</f>
        <v/>
      </c>
      <c r="U418" s="1436" t="str">
        <f aca="false">IF($H418=U$4,$D418*$N418,"")</f>
        <v/>
      </c>
      <c r="V418" s="1472"/>
      <c r="W418" s="1471"/>
      <c r="X418" s="1471"/>
      <c r="Y418" s="1471"/>
      <c r="Z418" s="1471"/>
      <c r="AA418" s="1471"/>
      <c r="AB418" s="1473"/>
      <c r="AC418" s="1319"/>
      <c r="AD418" s="2" t="str">
        <f aca="false">IF(AND(AD$4=$G418,AD$6=$F418),$B418,"")</f>
        <v/>
      </c>
      <c r="AE418" s="2" t="str">
        <f aca="false">IF(AND(AE$4=$G418,AE$6=$F418),$B418,"")</f>
        <v/>
      </c>
      <c r="AF418" s="2" t="str">
        <f aca="false">IF(AND(AF$4=$G418,AF$6=$F418),$B418,"")</f>
        <v/>
      </c>
      <c r="AG418" s="2" t="str">
        <f aca="false">IF(AND(AG$4=$G418,AG$6=$F418),$B418,"")</f>
        <v/>
      </c>
      <c r="AI418" s="366"/>
      <c r="AL418" s="367"/>
      <c r="AO418" s="367"/>
      <c r="AP418" s="2" t="str">
        <f aca="false">IF(AT418&gt;0,RANK(AT418,AT$7:AT$423),"")</f>
        <v/>
      </c>
      <c r="AQ418" s="1475" t="n">
        <f aca="false">'O_MN, PE_UTA_UGM 2024'!C415</f>
        <v>0</v>
      </c>
      <c r="AR418" s="1421" t="n">
        <v>9450</v>
      </c>
      <c r="AS418" s="2" t="str">
        <f aca="false">IF(AY418&lt;&gt;"",AY418,"")</f>
        <v/>
      </c>
      <c r="AT418" s="1422" t="n">
        <f aca="false">IF(ISNUMBER($AR418),SUMIF(B$7:B$505,AR418,D$7:D$505),"")</f>
        <v>0</v>
      </c>
      <c r="AU418" s="1411" t="n">
        <f aca="false">IF(ISNUMBER($AR418),SUMIF(AD$7:AD$503,$AR418,J$7:J$503),"")</f>
        <v>0</v>
      </c>
      <c r="AV418" s="1411" t="n">
        <f aca="false">IF(ISNUMBER($AR418),SUMIF(AF$7:AF$503,$AR418,L$7:L$503),"")</f>
        <v>0</v>
      </c>
      <c r="AW418" s="1423" t="n">
        <f aca="false">IF(ISNUMBER($AR418),SUMIF(AE$7:AE$503,$AR418,K$7:K$503),"")</f>
        <v>0</v>
      </c>
      <c r="AX418" s="1423" t="n">
        <f aca="false">IF(ISNUMBER($AR418),SUMIF(AG$7:AG$503,$AR418,M$7:M$503),"")</f>
        <v>0</v>
      </c>
      <c r="AY418" s="2" t="str">
        <f aca="false">IF($AT418&gt;0,VLOOKUP($AR418,'O_MN, PE_UTA_UGM 2024'!E415:O830,2),"")</f>
        <v/>
      </c>
      <c r="AZ418" s="1424"/>
      <c r="BA418" s="1424"/>
      <c r="BB418" s="1424" t="str">
        <f aca="false">IF($AT418&gt;0,VLOOKUP($AR418,'O_MN, PE_UTA_UGM 2024'!$E$3:$O$419,BB$6),"")</f>
        <v/>
      </c>
      <c r="BC418" s="1424" t="str">
        <f aca="false">IF($AT418&gt;0,VLOOKUP($AR418,'O_MN, PE_UTA_UGM 2024'!$E$3:$O$419,BC$6),"")</f>
        <v/>
      </c>
      <c r="BD418" s="1424" t="str">
        <f aca="false">IF($AT418&gt;0,VLOOKUP($AR418,'O_MN, PE_UTA_UGM 2024'!$E$3:$O$419,BD$6),"")</f>
        <v/>
      </c>
      <c r="BE418" s="1424" t="str">
        <f aca="false">IF($AT418&gt;0,VLOOKUP($AR418,'O_MN, PE_UTA_UGM 2024'!$E$3:$O$419,BE$6),"")</f>
        <v/>
      </c>
      <c r="BF418" s="1424" t="str">
        <f aca="false">IF($AT418&gt;0,VLOOKUP($AR418,'O_MN, PE_UTA_UGM 2024'!$E$3:$O$419,BF$6),"")</f>
        <v/>
      </c>
      <c r="BG418" s="1424" t="str">
        <f aca="false">IF($AT418&gt;0,VLOOKUP($AR418,'O_MN, PE_UTA_UGM 2024'!$E$3:$O$419,BG$6),"")</f>
        <v/>
      </c>
      <c r="BH418" s="872"/>
      <c r="BI418" s="872"/>
      <c r="BJ418" s="872"/>
      <c r="BK418" s="872"/>
      <c r="BM418" s="1411"/>
      <c r="BN418" s="1411"/>
      <c r="BO418" s="1425" t="str">
        <f aca="false">IF(ISNUMBER($AU418*BB418*1),$AU418*BB418*1,"")</f>
        <v/>
      </c>
      <c r="BP418" s="1425" t="str">
        <f aca="false">IF(ISNUMBER($AV418*BC418*1),$AV418*BC418*1,"")</f>
        <v/>
      </c>
      <c r="BQ418" s="1425" t="str">
        <f aca="false">IF(ISNUMBER($AU418*BD418*1),$AU418*BD418*1,"")</f>
        <v/>
      </c>
      <c r="BR418" s="1425" t="str">
        <f aca="false">IF(ISNUMBER($AV418*BE418*1),$AV418*BE418*1,"")</f>
        <v/>
      </c>
      <c r="BS418" s="1411" t="str">
        <f aca="false">IF(ISNUMBER($AU418*BF418),$AU418*BF418,"")</f>
        <v/>
      </c>
      <c r="BT418" s="1411" t="str">
        <f aca="false">IF(ISNUMBER($AV418*BG418),$AV418*BG418,"")</f>
        <v/>
      </c>
      <c r="BU418" s="1411"/>
      <c r="BV418" s="1411"/>
      <c r="BW418" s="1411"/>
      <c r="BX418" s="1411"/>
      <c r="BZ418" s="1372"/>
      <c r="CA418" s="1372"/>
      <c r="CB418" s="1426" t="str">
        <f aca="false">IF(ISNUMBER($AW418*BB418),$AW418*BB418,"")</f>
        <v/>
      </c>
      <c r="CC418" s="1426" t="str">
        <f aca="false">IF(ISNUMBER($AX418*BC418),$AX418*BC418,"")</f>
        <v/>
      </c>
      <c r="CD418" s="1426" t="str">
        <f aca="false">IF(ISNUMBER($AW418*BD418),$AW418*BD418,"")</f>
        <v/>
      </c>
      <c r="CE418" s="1426" t="str">
        <f aca="false">IF(ISNUMBER($AX418*BE418),$AX418*BE418,"")</f>
        <v/>
      </c>
      <c r="CF418" s="1372" t="str">
        <f aca="false">IF(ISNUMBER($AW418*BF418),$AW418*BF418,"")</f>
        <v/>
      </c>
      <c r="CG418" s="1372" t="str">
        <f aca="false">IF(ISNUMBER($AX418*BG418),$AX418*BG418,"")</f>
        <v/>
      </c>
      <c r="CH418" s="1438"/>
      <c r="CI418" s="1438"/>
      <c r="CJ418" s="1438"/>
      <c r="CK418" s="1438"/>
      <c r="CU418" s="1411"/>
      <c r="CV418" s="1411"/>
      <c r="CW418" s="1425"/>
      <c r="CX418" s="1425"/>
      <c r="CY418" s="1425"/>
      <c r="CZ418" s="1425"/>
      <c r="DA418" s="1411"/>
      <c r="DB418" s="1411"/>
      <c r="DC418" s="1411"/>
      <c r="DD418" s="1411"/>
      <c r="DE418" s="1411"/>
      <c r="DF418" s="1411"/>
      <c r="DH418" s="1432"/>
      <c r="DI418" s="1432"/>
      <c r="DJ418" s="1437"/>
      <c r="DK418" s="1437"/>
      <c r="DL418" s="1437"/>
      <c r="DM418" s="1437"/>
      <c r="DN418" s="1432"/>
      <c r="DO418" s="1432"/>
      <c r="DP418" s="1432"/>
      <c r="DQ418" s="1432"/>
      <c r="DR418" s="1432"/>
      <c r="DS418" s="1432"/>
      <c r="DT418" s="1316"/>
      <c r="DU418" s="1433"/>
      <c r="DV418" s="1433"/>
      <c r="DW418" s="1433"/>
      <c r="DX418" s="1433"/>
      <c r="DY418" s="1433"/>
      <c r="DZ418" s="1433"/>
      <c r="EA418" s="1433"/>
      <c r="EB418" s="1433"/>
    </row>
    <row r="419" customFormat="false" ht="14.25" hidden="false" customHeight="false" outlineLevel="0" collapsed="false">
      <c r="A419" s="2" t="n">
        <f aca="false">'V_DATOS PAC_SGA'!R414</f>
        <v>0</v>
      </c>
      <c r="B419" s="2" t="n">
        <f aca="false">IF(I419="IV",CONCATENATE('V_DATOS PAC_SGA'!R414,"4")+0,CONCATENATE('V_DATOS PAC_SGA'!R414,"0")+0)</f>
        <v>0</v>
      </c>
      <c r="C419" s="2" t="n">
        <f aca="false">'V_DATOS PAC_SGA'!S414</f>
        <v>0</v>
      </c>
      <c r="D419" s="1409" t="n">
        <f aca="false">'V_DATOS PAC_SGA'!Y414</f>
        <v>0</v>
      </c>
      <c r="E419" s="1410" t="str">
        <f aca="false">IF('V_DATOS PAC_SGA'!AV414="","Regadio",'V_DATOS PAC_SGA'!AV414)</f>
        <v>Regadio</v>
      </c>
      <c r="F419" s="1411" t="n">
        <f aca="false">'V_DATOS PAC_SGA'!BK414</f>
        <v>0</v>
      </c>
      <c r="G419" s="1412" t="n">
        <f aca="false">'V_DATOS PAC_SGA'!AN414</f>
        <v>0</v>
      </c>
      <c r="H419" s="1413" t="str">
        <f aca="false">IF(B419&gt;0,VLOOKUP(B419,'O_MN, PE_UTA_UGM 2024'!E$3:O$419,10),"")</f>
        <v/>
      </c>
      <c r="I419" s="1359" t="n">
        <f aca="false">'V_DATOS PAC_SGA'!BV414</f>
        <v>0</v>
      </c>
      <c r="J419" s="2" t="str">
        <f aca="false">IF(AND(J$4=$G419,J$6=$F419),$D419*J$5,"")</f>
        <v/>
      </c>
      <c r="K419" s="2" t="str">
        <f aca="false">IF(AND(K$4=$G419,K$6=$F419),$D419*K$5,"")</f>
        <v/>
      </c>
      <c r="L419" s="2" t="str">
        <f aca="false">IF(AND(L$4=$G419,L$6=$F419),$D419*L$5,"")</f>
        <v/>
      </c>
      <c r="M419" s="2" t="str">
        <f aca="false">IF(AND(M$4=$G419,M$6=$F419),$D419*M$5,"")</f>
        <v/>
      </c>
      <c r="N419" s="1414" t="n">
        <f aca="false">VLOOKUP(B419,'O_MN, PE_UTA_UGM 2024'!$E$2:$K$419,IF(G419&gt;1,6,7))</f>
        <v>0</v>
      </c>
      <c r="O419" s="1434" t="str">
        <f aca="false">IF($H419=O$4,$D419*$N419,"")</f>
        <v/>
      </c>
      <c r="P419" s="1435" t="str">
        <f aca="false">IF($H419=P$4,$D419*$N419,"")</f>
        <v/>
      </c>
      <c r="Q419" s="1435" t="str">
        <f aca="false">IF($H419=Q$4,$D419*$N419,"")</f>
        <v/>
      </c>
      <c r="R419" s="1435" t="str">
        <f aca="false">IF($H419=R$4,$D419*$N419,"")</f>
        <v/>
      </c>
      <c r="S419" s="1435" t="str">
        <f aca="false">IF($H419=S$4,$D419*$N419,"")</f>
        <v/>
      </c>
      <c r="T419" s="1435" t="str">
        <f aca="false">IF($H419=T$4,$D419*$N419,"")</f>
        <v/>
      </c>
      <c r="U419" s="1436" t="str">
        <f aca="false">IF($H419=U$4,$D419*$N419,"")</f>
        <v/>
      </c>
      <c r="V419" s="1472"/>
      <c r="W419" s="1471"/>
      <c r="X419" s="1471"/>
      <c r="Y419" s="1471"/>
      <c r="Z419" s="1471"/>
      <c r="AA419" s="1471"/>
      <c r="AB419" s="1473"/>
      <c r="AC419" s="1319"/>
      <c r="AD419" s="2" t="str">
        <f aca="false">IF(AND(AD$4=$G419,AD$6=$F419),$B419,"")</f>
        <v/>
      </c>
      <c r="AE419" s="2" t="str">
        <f aca="false">IF(AND(AE$4=$G419,AE$6=$F419),$B419,"")</f>
        <v/>
      </c>
      <c r="AF419" s="2" t="str">
        <f aca="false">IF(AND(AF$4=$G419,AF$6=$F419),$B419,"")</f>
        <v/>
      </c>
      <c r="AG419" s="2" t="str">
        <f aca="false">IF(AND(AG$4=$G419,AG$6=$F419),$B419,"")</f>
        <v/>
      </c>
      <c r="AI419" s="366"/>
      <c r="AL419" s="367"/>
      <c r="AO419" s="367"/>
      <c r="AP419" s="2" t="str">
        <f aca="false">IF(AT419&gt;0,RANK(AT419,AT$7:AT$423),"")</f>
        <v/>
      </c>
      <c r="AQ419" s="1475" t="n">
        <f aca="false">'O_MN, PE_UTA_UGM 2024'!C416</f>
        <v>0</v>
      </c>
      <c r="AR419" s="1421" t="n">
        <v>9460</v>
      </c>
      <c r="AS419" s="2" t="str">
        <f aca="false">IF(AY419&lt;&gt;"",AY419,"")</f>
        <v/>
      </c>
      <c r="AT419" s="1422" t="n">
        <f aca="false">IF(ISNUMBER($AR419),SUMIF(B$7:B$505,AR419,D$7:D$505),"")</f>
        <v>0</v>
      </c>
      <c r="AU419" s="1411" t="n">
        <f aca="false">IF(ISNUMBER($AR419),SUMIF(AD$7:AD$503,$AR419,J$7:J$503),"")</f>
        <v>0</v>
      </c>
      <c r="AV419" s="1411" t="n">
        <f aca="false">IF(ISNUMBER($AR419),SUMIF(AF$7:AF$503,$AR419,L$7:L$503),"")</f>
        <v>0</v>
      </c>
      <c r="AW419" s="1423" t="n">
        <f aca="false">IF(ISNUMBER($AR419),SUMIF(AE$7:AE$503,$AR419,K$7:K$503),"")</f>
        <v>0</v>
      </c>
      <c r="AX419" s="1423" t="n">
        <f aca="false">IF(ISNUMBER($AR419),SUMIF(AG$7:AG$503,$AR419,M$7:M$503),"")</f>
        <v>0</v>
      </c>
      <c r="AY419" s="2" t="str">
        <f aca="false">IF($AT419&gt;0,VLOOKUP($AR419,'O_MN, PE_UTA_UGM 2024'!E416:O831,2),"")</f>
        <v/>
      </c>
      <c r="AZ419" s="1424"/>
      <c r="BA419" s="1424"/>
      <c r="BB419" s="1424" t="str">
        <f aca="false">IF($AT419&gt;0,VLOOKUP($AR419,'O_MN, PE_UTA_UGM 2024'!$E$3:$O$419,BB$6),"")</f>
        <v/>
      </c>
      <c r="BC419" s="1424" t="str">
        <f aca="false">IF($AT419&gt;0,VLOOKUP($AR419,'O_MN, PE_UTA_UGM 2024'!$E$3:$O$419,BC$6),"")</f>
        <v/>
      </c>
      <c r="BD419" s="1424" t="str">
        <f aca="false">IF($AT419&gt;0,VLOOKUP($AR419,'O_MN, PE_UTA_UGM 2024'!$E$3:$O$419,BD$6),"")</f>
        <v/>
      </c>
      <c r="BE419" s="1424" t="str">
        <f aca="false">IF($AT419&gt;0,VLOOKUP($AR419,'O_MN, PE_UTA_UGM 2024'!$E$3:$O$419,BE$6),"")</f>
        <v/>
      </c>
      <c r="BF419" s="1424" t="str">
        <f aca="false">IF($AT419&gt;0,VLOOKUP($AR419,'O_MN, PE_UTA_UGM 2024'!$E$3:$O$419,BF$6),"")</f>
        <v/>
      </c>
      <c r="BG419" s="1424" t="str">
        <f aca="false">IF($AT419&gt;0,VLOOKUP($AR419,'O_MN, PE_UTA_UGM 2024'!$E$3:$O$419,BG$6),"")</f>
        <v/>
      </c>
      <c r="BH419" s="872"/>
      <c r="BI419" s="872"/>
      <c r="BJ419" s="872"/>
      <c r="BK419" s="872"/>
      <c r="BM419" s="1411"/>
      <c r="BN419" s="1411"/>
      <c r="BO419" s="1425" t="str">
        <f aca="false">IF(ISNUMBER($AU419*BB419*1),$AU419*BB419*1,"")</f>
        <v/>
      </c>
      <c r="BP419" s="1425" t="str">
        <f aca="false">IF(ISNUMBER($AV419*BC419*1),$AV419*BC419*1,"")</f>
        <v/>
      </c>
      <c r="BQ419" s="1425" t="str">
        <f aca="false">IF(ISNUMBER($AU419*BD419*1),$AU419*BD419*1,"")</f>
        <v/>
      </c>
      <c r="BR419" s="1425" t="str">
        <f aca="false">IF(ISNUMBER($AV419*BE419*1),$AV419*BE419*1,"")</f>
        <v/>
      </c>
      <c r="BS419" s="1411" t="str">
        <f aca="false">IF(ISNUMBER($AU419*BF419),$AU419*BF419,"")</f>
        <v/>
      </c>
      <c r="BT419" s="1411" t="str">
        <f aca="false">IF(ISNUMBER($AV419*BG419),$AV419*BG419,"")</f>
        <v/>
      </c>
      <c r="BU419" s="1411"/>
      <c r="BV419" s="1411"/>
      <c r="BW419" s="1411"/>
      <c r="BX419" s="1411"/>
      <c r="BZ419" s="1372"/>
      <c r="CA419" s="1372"/>
      <c r="CB419" s="1426" t="str">
        <f aca="false">IF(ISNUMBER($AW419*BB419),$AW419*BB419,"")</f>
        <v/>
      </c>
      <c r="CC419" s="1426" t="str">
        <f aca="false">IF(ISNUMBER($AX419*BC419),$AX419*BC419,"")</f>
        <v/>
      </c>
      <c r="CD419" s="1426" t="str">
        <f aca="false">IF(ISNUMBER($AW419*BD419),$AW419*BD419,"")</f>
        <v/>
      </c>
      <c r="CE419" s="1426" t="str">
        <f aca="false">IF(ISNUMBER($AX419*BE419),$AX419*BE419,"")</f>
        <v/>
      </c>
      <c r="CF419" s="1372" t="str">
        <f aca="false">IF(ISNUMBER($AW419*BF419),$AW419*BF419,"")</f>
        <v/>
      </c>
      <c r="CG419" s="1372" t="str">
        <f aca="false">IF(ISNUMBER($AX419*BG419),$AX419*BG419,"")</f>
        <v/>
      </c>
      <c r="CH419" s="1438"/>
      <c r="CI419" s="1438"/>
      <c r="CJ419" s="1438"/>
      <c r="CK419" s="1438"/>
      <c r="CU419" s="1411"/>
      <c r="CV419" s="1411"/>
      <c r="CW419" s="1425"/>
      <c r="CX419" s="1425"/>
      <c r="CY419" s="1425"/>
      <c r="CZ419" s="1425"/>
      <c r="DA419" s="1411"/>
      <c r="DB419" s="1411"/>
      <c r="DC419" s="1411"/>
      <c r="DD419" s="1411"/>
      <c r="DE419" s="1411"/>
      <c r="DF419" s="1411"/>
      <c r="DH419" s="1432"/>
      <c r="DI419" s="1432"/>
      <c r="DJ419" s="1437"/>
      <c r="DK419" s="1437"/>
      <c r="DL419" s="1437"/>
      <c r="DM419" s="1437"/>
      <c r="DN419" s="1432"/>
      <c r="DO419" s="1432"/>
      <c r="DP419" s="1432"/>
      <c r="DQ419" s="1432"/>
      <c r="DR419" s="1432"/>
      <c r="DS419" s="1432"/>
      <c r="DT419" s="1316"/>
      <c r="DU419" s="1433"/>
      <c r="DV419" s="1433"/>
      <c r="DW419" s="1433"/>
      <c r="DX419" s="1433"/>
      <c r="DY419" s="1433"/>
      <c r="DZ419" s="1433"/>
      <c r="EA419" s="1433"/>
      <c r="EB419" s="1433"/>
    </row>
    <row r="420" customFormat="false" ht="14.25" hidden="false" customHeight="false" outlineLevel="0" collapsed="false">
      <c r="A420" s="2" t="n">
        <f aca="false">'V_DATOS PAC_SGA'!R415</f>
        <v>0</v>
      </c>
      <c r="B420" s="2" t="n">
        <f aca="false">IF(I420="IV",CONCATENATE('V_DATOS PAC_SGA'!R415,"4")+0,CONCATENATE('V_DATOS PAC_SGA'!R415,"0")+0)</f>
        <v>0</v>
      </c>
      <c r="C420" s="2" t="n">
        <f aca="false">'V_DATOS PAC_SGA'!S415</f>
        <v>0</v>
      </c>
      <c r="D420" s="1409" t="n">
        <f aca="false">'V_DATOS PAC_SGA'!Y415</f>
        <v>0</v>
      </c>
      <c r="E420" s="1410" t="str">
        <f aca="false">IF('V_DATOS PAC_SGA'!AV415="","Regadio",'V_DATOS PAC_SGA'!AV415)</f>
        <v>Regadio</v>
      </c>
      <c r="F420" s="1411" t="n">
        <f aca="false">'V_DATOS PAC_SGA'!BK415</f>
        <v>0</v>
      </c>
      <c r="G420" s="1412" t="n">
        <f aca="false">'V_DATOS PAC_SGA'!AN415</f>
        <v>0</v>
      </c>
      <c r="H420" s="1413" t="str">
        <f aca="false">IF(B420&gt;0,VLOOKUP(B420,'O_MN, PE_UTA_UGM 2024'!E$3:O$419,10),"")</f>
        <v/>
      </c>
      <c r="I420" s="1359" t="n">
        <f aca="false">'V_DATOS PAC_SGA'!BV415</f>
        <v>0</v>
      </c>
      <c r="J420" s="2" t="str">
        <f aca="false">IF(AND(J$4=$G420,J$6=$F420),$D420*J$5,"")</f>
        <v/>
      </c>
      <c r="K420" s="2" t="str">
        <f aca="false">IF(AND(K$4=$G420,K$6=$F420),$D420*K$5,"")</f>
        <v/>
      </c>
      <c r="L420" s="2" t="str">
        <f aca="false">IF(AND(L$4=$G420,L$6=$F420),$D420*L$5,"")</f>
        <v/>
      </c>
      <c r="M420" s="2" t="str">
        <f aca="false">IF(AND(M$4=$G420,M$6=$F420),$D420*M$5,"")</f>
        <v/>
      </c>
      <c r="N420" s="1414" t="n">
        <f aca="false">VLOOKUP(B420,'O_MN, PE_UTA_UGM 2024'!$E$2:$K$419,IF(G420&gt;1,6,7))</f>
        <v>0</v>
      </c>
      <c r="O420" s="1434" t="str">
        <f aca="false">IF($H420=O$4,$D420*$N420,"")</f>
        <v/>
      </c>
      <c r="P420" s="1435" t="str">
        <f aca="false">IF($H420=P$4,$D420*$N420,"")</f>
        <v/>
      </c>
      <c r="Q420" s="1435" t="str">
        <f aca="false">IF($H420=Q$4,$D420*$N420,"")</f>
        <v/>
      </c>
      <c r="R420" s="1435" t="str">
        <f aca="false">IF($H420=R$4,$D420*$N420,"")</f>
        <v/>
      </c>
      <c r="S420" s="1435" t="str">
        <f aca="false">IF($H420=S$4,$D420*$N420,"")</f>
        <v/>
      </c>
      <c r="T420" s="1435" t="str">
        <f aca="false">IF($H420=T$4,$D420*$N420,"")</f>
        <v/>
      </c>
      <c r="U420" s="1436" t="str">
        <f aca="false">IF($H420=U$4,$D420*$N420,"")</f>
        <v/>
      </c>
      <c r="V420" s="1472"/>
      <c r="W420" s="1471"/>
      <c r="X420" s="1471"/>
      <c r="Y420" s="1471"/>
      <c r="Z420" s="1471"/>
      <c r="AA420" s="1471"/>
      <c r="AB420" s="1473"/>
      <c r="AC420" s="1319"/>
      <c r="AD420" s="2" t="str">
        <f aca="false">IF(AND(AD$4=$G420,AD$6=$F420),$B420,"")</f>
        <v/>
      </c>
      <c r="AE420" s="2" t="str">
        <f aca="false">IF(AND(AE$4=$G420,AE$6=$F420),$B420,"")</f>
        <v/>
      </c>
      <c r="AF420" s="2" t="str">
        <f aca="false">IF(AND(AF$4=$G420,AF$6=$F420),$B420,"")</f>
        <v/>
      </c>
      <c r="AG420" s="2" t="str">
        <f aca="false">IF(AND(AG$4=$G420,AG$6=$F420),$B420,"")</f>
        <v/>
      </c>
      <c r="AI420" s="366"/>
      <c r="AL420" s="367"/>
      <c r="AO420" s="367"/>
      <c r="AP420" s="2" t="str">
        <f aca="false">IF(AT420&gt;0,RANK(AT420,AT$7:AT$423),"")</f>
        <v/>
      </c>
      <c r="AQ420" s="1475" t="n">
        <f aca="false">'O_MN, PE_UTA_UGM 2024'!C417</f>
        <v>0</v>
      </c>
      <c r="AR420" s="1421" t="n">
        <v>9470</v>
      </c>
      <c r="AS420" s="2" t="str">
        <f aca="false">IF(AY420&lt;&gt;"",AY420,"")</f>
        <v/>
      </c>
      <c r="AT420" s="1422" t="n">
        <f aca="false">IF(ISNUMBER($AR420),SUMIF(B$7:B$505,AR420,D$7:D$505),"")</f>
        <v>0</v>
      </c>
      <c r="AU420" s="1411" t="n">
        <f aca="false">IF(ISNUMBER($AR420),SUMIF(AD$7:AD$503,$AR420,J$7:J$503),"")</f>
        <v>0</v>
      </c>
      <c r="AV420" s="1411" t="n">
        <f aca="false">IF(ISNUMBER($AR420),SUMIF(AF$7:AF$503,$AR420,L$7:L$503),"")</f>
        <v>0</v>
      </c>
      <c r="AW420" s="1423" t="n">
        <f aca="false">IF(ISNUMBER($AR420),SUMIF(AE$7:AE$503,$AR420,K$7:K$503),"")</f>
        <v>0</v>
      </c>
      <c r="AX420" s="1423" t="n">
        <f aca="false">IF(ISNUMBER($AR420),SUMIF(AG$7:AG$503,$AR420,M$7:M$503),"")</f>
        <v>0</v>
      </c>
      <c r="AY420" s="2" t="str">
        <f aca="false">IF($AT420&gt;0,VLOOKUP($AR420,'O_MN, PE_UTA_UGM 2024'!E417:O832,2),"")</f>
        <v/>
      </c>
      <c r="AZ420" s="1424"/>
      <c r="BA420" s="1424"/>
      <c r="BB420" s="1424" t="str">
        <f aca="false">IF($AT420&gt;0,VLOOKUP($AR420,'O_MN, PE_UTA_UGM 2024'!$E$3:$O$419,BB$6),"")</f>
        <v/>
      </c>
      <c r="BC420" s="1424" t="str">
        <f aca="false">IF($AT420&gt;0,VLOOKUP($AR420,'O_MN, PE_UTA_UGM 2024'!$E$3:$O$419,BC$6),"")</f>
        <v/>
      </c>
      <c r="BD420" s="1424" t="str">
        <f aca="false">IF($AT420&gt;0,VLOOKUP($AR420,'O_MN, PE_UTA_UGM 2024'!$E$3:$O$419,BD$6),"")</f>
        <v/>
      </c>
      <c r="BE420" s="1424" t="str">
        <f aca="false">IF($AT420&gt;0,VLOOKUP($AR420,'O_MN, PE_UTA_UGM 2024'!$E$3:$O$419,BE$6),"")</f>
        <v/>
      </c>
      <c r="BF420" s="1424" t="str">
        <f aca="false">IF($AT420&gt;0,VLOOKUP($AR420,'O_MN, PE_UTA_UGM 2024'!$E$3:$O$419,BF$6),"")</f>
        <v/>
      </c>
      <c r="BG420" s="1424" t="str">
        <f aca="false">IF($AT420&gt;0,VLOOKUP($AR420,'O_MN, PE_UTA_UGM 2024'!$E$3:$O$419,BG$6),"")</f>
        <v/>
      </c>
      <c r="BH420" s="872"/>
      <c r="BI420" s="872"/>
      <c r="BJ420" s="872"/>
      <c r="BK420" s="872"/>
      <c r="BM420" s="1411"/>
      <c r="BN420" s="1411"/>
      <c r="BO420" s="1425" t="str">
        <f aca="false">IF(ISNUMBER($AU420*BB420*1),$AU420*BB420*1,"")</f>
        <v/>
      </c>
      <c r="BP420" s="1425" t="str">
        <f aca="false">IF(ISNUMBER($AV420*BC420*1),$AV420*BC420*1,"")</f>
        <v/>
      </c>
      <c r="BQ420" s="1425" t="str">
        <f aca="false">IF(ISNUMBER($AU420*BD420*1),$AU420*BD420*1,"")</f>
        <v/>
      </c>
      <c r="BR420" s="1425" t="str">
        <f aca="false">IF(ISNUMBER($AV420*BE420*1),$AV420*BE420*1,"")</f>
        <v/>
      </c>
      <c r="BS420" s="1411" t="str">
        <f aca="false">IF(ISNUMBER($AU420*BF420),$AU420*BF420,"")</f>
        <v/>
      </c>
      <c r="BT420" s="1411" t="str">
        <f aca="false">IF(ISNUMBER($AV420*BG420),$AV420*BG420,"")</f>
        <v/>
      </c>
      <c r="BU420" s="1411"/>
      <c r="BV420" s="1411"/>
      <c r="BW420" s="1411"/>
      <c r="BX420" s="1411"/>
      <c r="BZ420" s="1372"/>
      <c r="CA420" s="1372"/>
      <c r="CB420" s="1426" t="str">
        <f aca="false">IF(ISNUMBER($AW420*BB420),$AW420*BB420,"")</f>
        <v/>
      </c>
      <c r="CC420" s="1426" t="str">
        <f aca="false">IF(ISNUMBER($AX420*BC420),$AX420*BC420,"")</f>
        <v/>
      </c>
      <c r="CD420" s="1426" t="str">
        <f aca="false">IF(ISNUMBER($AW420*BD420),$AW420*BD420,"")</f>
        <v/>
      </c>
      <c r="CE420" s="1426" t="str">
        <f aca="false">IF(ISNUMBER($AX420*BE420),$AX420*BE420,"")</f>
        <v/>
      </c>
      <c r="CF420" s="1372" t="str">
        <f aca="false">IF(ISNUMBER($AW420*BF420),$AW420*BF420,"")</f>
        <v/>
      </c>
      <c r="CG420" s="1372" t="str">
        <f aca="false">IF(ISNUMBER($AX420*BG420),$AX420*BG420,"")</f>
        <v/>
      </c>
      <c r="CH420" s="1438"/>
      <c r="CI420" s="1438"/>
      <c r="CJ420" s="1438"/>
      <c r="CK420" s="1438"/>
      <c r="CU420" s="1411"/>
      <c r="CV420" s="1411"/>
      <c r="CW420" s="1425"/>
      <c r="CX420" s="1425"/>
      <c r="CY420" s="1425"/>
      <c r="CZ420" s="1425"/>
      <c r="DA420" s="1411"/>
      <c r="DB420" s="1411"/>
      <c r="DC420" s="1411"/>
      <c r="DD420" s="1411"/>
      <c r="DE420" s="1411"/>
      <c r="DF420" s="1411"/>
      <c r="DH420" s="1432"/>
      <c r="DI420" s="1432"/>
      <c r="DJ420" s="1437"/>
      <c r="DK420" s="1437"/>
      <c r="DL420" s="1437"/>
      <c r="DM420" s="1437"/>
      <c r="DN420" s="1432"/>
      <c r="DO420" s="1432"/>
      <c r="DP420" s="1432"/>
      <c r="DQ420" s="1432"/>
      <c r="DR420" s="1432"/>
      <c r="DS420" s="1432"/>
      <c r="DT420" s="1316"/>
      <c r="DU420" s="1433"/>
      <c r="DV420" s="1433"/>
      <c r="DW420" s="1433"/>
      <c r="DX420" s="1433"/>
      <c r="DY420" s="1433"/>
      <c r="DZ420" s="1433"/>
      <c r="EA420" s="1433"/>
      <c r="EB420" s="1433"/>
    </row>
    <row r="421" customFormat="false" ht="14.25" hidden="false" customHeight="false" outlineLevel="0" collapsed="false">
      <c r="A421" s="2" t="n">
        <f aca="false">'V_DATOS PAC_SGA'!R416</f>
        <v>0</v>
      </c>
      <c r="B421" s="2" t="n">
        <f aca="false">IF(I421="IV",CONCATENATE('V_DATOS PAC_SGA'!R416,"4")+0,CONCATENATE('V_DATOS PAC_SGA'!R416,"0")+0)</f>
        <v>0</v>
      </c>
      <c r="C421" s="2" t="n">
        <f aca="false">'V_DATOS PAC_SGA'!S416</f>
        <v>0</v>
      </c>
      <c r="D421" s="1409" t="n">
        <f aca="false">'V_DATOS PAC_SGA'!Y416</f>
        <v>0</v>
      </c>
      <c r="E421" s="1410" t="str">
        <f aca="false">IF('V_DATOS PAC_SGA'!AV416="","Regadio",'V_DATOS PAC_SGA'!AV416)</f>
        <v>Regadio</v>
      </c>
      <c r="F421" s="1411" t="n">
        <f aca="false">'V_DATOS PAC_SGA'!BK416</f>
        <v>0</v>
      </c>
      <c r="G421" s="1412" t="n">
        <f aca="false">'V_DATOS PAC_SGA'!AN416</f>
        <v>0</v>
      </c>
      <c r="H421" s="1413" t="str">
        <f aca="false">IF(B421&gt;0,VLOOKUP(B421,'O_MN, PE_UTA_UGM 2024'!E$3:O$419,10),"")</f>
        <v/>
      </c>
      <c r="I421" s="1359" t="n">
        <f aca="false">'V_DATOS PAC_SGA'!BV416</f>
        <v>0</v>
      </c>
      <c r="J421" s="2" t="str">
        <f aca="false">IF(AND(J$4=$G421,J$6=$F421),$D421*J$5,"")</f>
        <v/>
      </c>
      <c r="K421" s="2" t="str">
        <f aca="false">IF(AND(K$4=$G421,K$6=$F421),$D421*K$5,"")</f>
        <v/>
      </c>
      <c r="L421" s="2" t="str">
        <f aca="false">IF(AND(L$4=$G421,L$6=$F421),$D421*L$5,"")</f>
        <v/>
      </c>
      <c r="M421" s="2" t="str">
        <f aca="false">IF(AND(M$4=$G421,M$6=$F421),$D421*M$5,"")</f>
        <v/>
      </c>
      <c r="N421" s="1414" t="n">
        <f aca="false">VLOOKUP(B421,'O_MN, PE_UTA_UGM 2024'!$E$2:$K$419,IF(G421&gt;1,6,7))</f>
        <v>0</v>
      </c>
      <c r="O421" s="1434" t="str">
        <f aca="false">IF($H421=O$4,$D421*$N421,"")</f>
        <v/>
      </c>
      <c r="P421" s="1435" t="str">
        <f aca="false">IF($H421=P$4,$D421*$N421,"")</f>
        <v/>
      </c>
      <c r="Q421" s="1435" t="str">
        <f aca="false">IF($H421=Q$4,$D421*$N421,"")</f>
        <v/>
      </c>
      <c r="R421" s="1435" t="str">
        <f aca="false">IF($H421=R$4,$D421*$N421,"")</f>
        <v/>
      </c>
      <c r="S421" s="1435" t="str">
        <f aca="false">IF($H421=S$4,$D421*$N421,"")</f>
        <v/>
      </c>
      <c r="T421" s="1435" t="str">
        <f aca="false">IF($H421=T$4,$D421*$N421,"")</f>
        <v/>
      </c>
      <c r="U421" s="1436" t="str">
        <f aca="false">IF($H421=U$4,$D421*$N421,"")</f>
        <v/>
      </c>
      <c r="V421" s="1472"/>
      <c r="W421" s="1471"/>
      <c r="X421" s="1471"/>
      <c r="Y421" s="1471"/>
      <c r="Z421" s="1471"/>
      <c r="AA421" s="1471"/>
      <c r="AB421" s="1473"/>
      <c r="AC421" s="1319"/>
      <c r="AD421" s="2" t="str">
        <f aca="false">IF(AND(AD$4=$G421,AD$6=$F421),$B421,"")</f>
        <v/>
      </c>
      <c r="AE421" s="2" t="str">
        <f aca="false">IF(AND(AE$4=$G421,AE$6=$F421),$B421,"")</f>
        <v/>
      </c>
      <c r="AF421" s="2" t="str">
        <f aca="false">IF(AND(AF$4=$G421,AF$6=$F421),$B421,"")</f>
        <v/>
      </c>
      <c r="AG421" s="2" t="str">
        <f aca="false">IF(AND(AG$4=$G421,AG$6=$F421),$B421,"")</f>
        <v/>
      </c>
      <c r="AI421" s="366"/>
      <c r="AL421" s="367"/>
      <c r="AO421" s="367"/>
      <c r="AP421" s="2" t="str">
        <f aca="false">IF(AT421&gt;0,RANK(AT421,AT$7:AT$423),"")</f>
        <v/>
      </c>
      <c r="AQ421" s="1475" t="n">
        <f aca="false">'O_MN, PE_UTA_UGM 2024'!C418</f>
        <v>0</v>
      </c>
      <c r="AR421" s="1421" t="n">
        <v>9480</v>
      </c>
      <c r="AS421" s="2" t="str">
        <f aca="false">IF(AY421&lt;&gt;"",AY421,"")</f>
        <v/>
      </c>
      <c r="AT421" s="1422" t="n">
        <f aca="false">IF(ISNUMBER($AR421),SUMIF(B$7:B$505,AR421,D$7:D$505),"")</f>
        <v>0</v>
      </c>
      <c r="AU421" s="1411" t="n">
        <f aca="false">IF(ISNUMBER($AR421),SUMIF(AD$7:AD$503,$AR421,J$7:J$503),"")</f>
        <v>0</v>
      </c>
      <c r="AV421" s="1411" t="n">
        <f aca="false">IF(ISNUMBER($AR421),SUMIF(AF$7:AF$503,$AR421,L$7:L$503),"")</f>
        <v>0</v>
      </c>
      <c r="AW421" s="1423" t="n">
        <f aca="false">IF(ISNUMBER($AR421),SUMIF(AE$7:AE$503,$AR421,K$7:K$503),"")</f>
        <v>0</v>
      </c>
      <c r="AX421" s="1423" t="n">
        <f aca="false">IF(ISNUMBER($AR421),SUMIF(AG$7:AG$503,$AR421,M$7:M$503),"")</f>
        <v>0</v>
      </c>
      <c r="AY421" s="2" t="str">
        <f aca="false">IF($AT421&gt;0,VLOOKUP($AR421,'O_MN, PE_UTA_UGM 2024'!E418:O833,2),"")</f>
        <v/>
      </c>
      <c r="AZ421" s="1424"/>
      <c r="BA421" s="1424"/>
      <c r="BB421" s="1424" t="str">
        <f aca="false">IF($AT421&gt;0,VLOOKUP($AR421,'O_MN, PE_UTA_UGM 2024'!$E$3:$O$419,BB$6),"")</f>
        <v/>
      </c>
      <c r="BC421" s="1424" t="str">
        <f aca="false">IF($AT421&gt;0,VLOOKUP($AR421,'O_MN, PE_UTA_UGM 2024'!$E$3:$O$419,BC$6),"")</f>
        <v/>
      </c>
      <c r="BD421" s="1424" t="str">
        <f aca="false">IF($AT421&gt;0,VLOOKUP($AR421,'O_MN, PE_UTA_UGM 2024'!$E$3:$O$419,BD$6),"")</f>
        <v/>
      </c>
      <c r="BE421" s="1424" t="str">
        <f aca="false">IF($AT421&gt;0,VLOOKUP($AR421,'O_MN, PE_UTA_UGM 2024'!$E$3:$O$419,BE$6),"")</f>
        <v/>
      </c>
      <c r="BF421" s="1424" t="str">
        <f aca="false">IF($AT421&gt;0,VLOOKUP($AR421,'O_MN, PE_UTA_UGM 2024'!$E$3:$O$419,BF$6),"")</f>
        <v/>
      </c>
      <c r="BG421" s="1424" t="str">
        <f aca="false">IF($AT421&gt;0,VLOOKUP($AR421,'O_MN, PE_UTA_UGM 2024'!$E$3:$O$419,BG$6),"")</f>
        <v/>
      </c>
      <c r="BH421" s="872"/>
      <c r="BI421" s="872"/>
      <c r="BJ421" s="872"/>
      <c r="BK421" s="872"/>
      <c r="BM421" s="1411"/>
      <c r="BN421" s="1411"/>
      <c r="BO421" s="1425" t="str">
        <f aca="false">IF(ISNUMBER($AU421*BB421*1),$AU421*BB421*1,"")</f>
        <v/>
      </c>
      <c r="BP421" s="1425" t="str">
        <f aca="false">IF(ISNUMBER($AV421*BC421*1),$AV421*BC421*1,"")</f>
        <v/>
      </c>
      <c r="BQ421" s="1425" t="str">
        <f aca="false">IF(ISNUMBER($AU421*BD421*1),$AU421*BD421*1,"")</f>
        <v/>
      </c>
      <c r="BR421" s="1425" t="str">
        <f aca="false">IF(ISNUMBER($AV421*BE421*1),$AV421*BE421*1,"")</f>
        <v/>
      </c>
      <c r="BS421" s="1411" t="str">
        <f aca="false">IF(ISNUMBER($AU421*BF421),$AU421*BF421,"")</f>
        <v/>
      </c>
      <c r="BT421" s="1411" t="str">
        <f aca="false">IF(ISNUMBER($AV421*BG421),$AV421*BG421,"")</f>
        <v/>
      </c>
      <c r="BU421" s="1411"/>
      <c r="BV421" s="1411"/>
      <c r="BW421" s="1411"/>
      <c r="BX421" s="1411"/>
      <c r="BZ421" s="1372"/>
      <c r="CA421" s="1372"/>
      <c r="CB421" s="1426" t="str">
        <f aca="false">IF(ISNUMBER($AW421*BB421),$AW421*BB421,"")</f>
        <v/>
      </c>
      <c r="CC421" s="1426" t="str">
        <f aca="false">IF(ISNUMBER($AX421*BC421),$AX421*BC421,"")</f>
        <v/>
      </c>
      <c r="CD421" s="1426" t="str">
        <f aca="false">IF(ISNUMBER($AW421*BD421),$AW421*BD421,"")</f>
        <v/>
      </c>
      <c r="CE421" s="1426" t="str">
        <f aca="false">IF(ISNUMBER($AX421*BE421),$AX421*BE421,"")</f>
        <v/>
      </c>
      <c r="CF421" s="1372" t="str">
        <f aca="false">IF(ISNUMBER($AW421*BF421),$AW421*BF421,"")</f>
        <v/>
      </c>
      <c r="CG421" s="1372" t="str">
        <f aca="false">IF(ISNUMBER($AX421*BG421),$AX421*BG421,"")</f>
        <v/>
      </c>
      <c r="CH421" s="1438"/>
      <c r="CI421" s="1438"/>
      <c r="CJ421" s="1438"/>
      <c r="CK421" s="1438"/>
      <c r="CU421" s="1411"/>
      <c r="CV421" s="1411"/>
      <c r="CW421" s="1425"/>
      <c r="CX421" s="1425"/>
      <c r="CY421" s="1425"/>
      <c r="CZ421" s="1425"/>
      <c r="DA421" s="1411"/>
      <c r="DB421" s="1411"/>
      <c r="DC421" s="1411"/>
      <c r="DD421" s="1411"/>
      <c r="DE421" s="1411"/>
      <c r="DF421" s="1411"/>
      <c r="DH421" s="1432"/>
      <c r="DI421" s="1432"/>
      <c r="DJ421" s="1437"/>
      <c r="DK421" s="1437"/>
      <c r="DL421" s="1437"/>
      <c r="DM421" s="1437"/>
      <c r="DN421" s="1432"/>
      <c r="DO421" s="1432"/>
      <c r="DP421" s="1432"/>
      <c r="DQ421" s="1432"/>
      <c r="DR421" s="1432"/>
      <c r="DS421" s="1432"/>
      <c r="DT421" s="1316"/>
      <c r="DU421" s="1433"/>
      <c r="DV421" s="1433"/>
      <c r="DW421" s="1433"/>
      <c r="DX421" s="1433"/>
      <c r="DY421" s="1433"/>
      <c r="DZ421" s="1433"/>
      <c r="EA421" s="1433"/>
      <c r="EB421" s="1433"/>
    </row>
    <row r="422" customFormat="false" ht="14.25" hidden="false" customHeight="false" outlineLevel="0" collapsed="false">
      <c r="A422" s="2" t="n">
        <f aca="false">'V_DATOS PAC_SGA'!R417</f>
        <v>0</v>
      </c>
      <c r="B422" s="2" t="n">
        <f aca="false">IF(I422="IV",CONCATENATE('V_DATOS PAC_SGA'!R417,"4")+0,CONCATENATE('V_DATOS PAC_SGA'!R417,"0")+0)</f>
        <v>0</v>
      </c>
      <c r="C422" s="2" t="n">
        <f aca="false">'V_DATOS PAC_SGA'!S417</f>
        <v>0</v>
      </c>
      <c r="D422" s="1409" t="n">
        <f aca="false">'V_DATOS PAC_SGA'!Y417</f>
        <v>0</v>
      </c>
      <c r="E422" s="1410" t="str">
        <f aca="false">IF('V_DATOS PAC_SGA'!AV417="","Regadio",'V_DATOS PAC_SGA'!AV417)</f>
        <v>Regadio</v>
      </c>
      <c r="F422" s="1411" t="n">
        <f aca="false">'V_DATOS PAC_SGA'!BK417</f>
        <v>0</v>
      </c>
      <c r="G422" s="1412" t="n">
        <f aca="false">'V_DATOS PAC_SGA'!AN417</f>
        <v>0</v>
      </c>
      <c r="H422" s="1413" t="str">
        <f aca="false">IF(B422&gt;0,VLOOKUP(B422,'O_MN, PE_UTA_UGM 2024'!E$3:O$419,10),"")</f>
        <v/>
      </c>
      <c r="I422" s="1359" t="n">
        <f aca="false">'V_DATOS PAC_SGA'!BV417</f>
        <v>0</v>
      </c>
      <c r="J422" s="2" t="str">
        <f aca="false">IF(AND(J$4=$G422,J$6=$F422),$D422*J$5,"")</f>
        <v/>
      </c>
      <c r="K422" s="2" t="str">
        <f aca="false">IF(AND(K$4=$G422,K$6=$F422),$D422*K$5,"")</f>
        <v/>
      </c>
      <c r="L422" s="2" t="str">
        <f aca="false">IF(AND(L$4=$G422,L$6=$F422),$D422*L$5,"")</f>
        <v/>
      </c>
      <c r="M422" s="2" t="str">
        <f aca="false">IF(AND(M$4=$G422,M$6=$F422),$D422*M$5,"")</f>
        <v/>
      </c>
      <c r="N422" s="1414" t="n">
        <f aca="false">VLOOKUP(B422,'O_MN, PE_UTA_UGM 2024'!$E$2:$K$419,IF(G422&gt;1,6,7))</f>
        <v>0</v>
      </c>
      <c r="O422" s="1434" t="str">
        <f aca="false">IF($H422=O$4,$D422*$N422,"")</f>
        <v/>
      </c>
      <c r="P422" s="1435" t="str">
        <f aca="false">IF($H422=P$4,$D422*$N422,"")</f>
        <v/>
      </c>
      <c r="Q422" s="1435" t="str">
        <f aca="false">IF($H422=Q$4,$D422*$N422,"")</f>
        <v/>
      </c>
      <c r="R422" s="1435" t="str">
        <f aca="false">IF($H422=R$4,$D422*$N422,"")</f>
        <v/>
      </c>
      <c r="S422" s="1435" t="str">
        <f aca="false">IF($H422=S$4,$D422*$N422,"")</f>
        <v/>
      </c>
      <c r="T422" s="1435" t="str">
        <f aca="false">IF($H422=T$4,$D422*$N422,"")</f>
        <v/>
      </c>
      <c r="U422" s="1436" t="str">
        <f aca="false">IF($H422=U$4,$D422*$N422,"")</f>
        <v/>
      </c>
      <c r="V422" s="1472"/>
      <c r="W422" s="1471"/>
      <c r="X422" s="1471"/>
      <c r="Y422" s="1471"/>
      <c r="Z422" s="1471"/>
      <c r="AA422" s="1471"/>
      <c r="AB422" s="1473"/>
      <c r="AC422" s="1319"/>
      <c r="AD422" s="2" t="str">
        <f aca="false">IF(AND(AD$4=$G422,AD$6=$F422),$B422,"")</f>
        <v/>
      </c>
      <c r="AE422" s="2" t="str">
        <f aca="false">IF(AND(AE$4=$G422,AE$6=$F422),$B422,"")</f>
        <v/>
      </c>
      <c r="AF422" s="2" t="str">
        <f aca="false">IF(AND(AF$4=$G422,AF$6=$F422),$B422,"")</f>
        <v/>
      </c>
      <c r="AG422" s="2" t="str">
        <f aca="false">IF(AND(AG$4=$G422,AG$6=$F422),$B422,"")</f>
        <v/>
      </c>
      <c r="AI422" s="366"/>
      <c r="AL422" s="367"/>
      <c r="AO422" s="367"/>
      <c r="AP422" s="2" t="str">
        <f aca="false">IF(AT422&gt;0,RANK(AT422,AT$7:AT$423),"")</f>
        <v/>
      </c>
      <c r="AQ422" s="1475" t="n">
        <f aca="false">'O_MN, PE_UTA_UGM 2024'!C419</f>
        <v>0</v>
      </c>
      <c r="AR422" s="1421" t="n">
        <v>9490</v>
      </c>
      <c r="AS422" s="2" t="str">
        <f aca="false">IF(AY422&lt;&gt;"",AY422,"")</f>
        <v/>
      </c>
      <c r="AT422" s="1422" t="n">
        <f aca="false">IF(ISNUMBER($AR422),SUMIF(B$7:B$505,AR422,D$7:D$505),"")</f>
        <v>0</v>
      </c>
      <c r="AU422" s="1411" t="n">
        <f aca="false">IF(ISNUMBER($AR422),SUMIF(AD$7:AD$503,$AR422,J$7:J$503),"")</f>
        <v>0</v>
      </c>
      <c r="AV422" s="1411" t="n">
        <f aca="false">IF(ISNUMBER($AR422),SUMIF(AF$7:AF$503,$AR422,L$7:L$503),"")</f>
        <v>0</v>
      </c>
      <c r="AW422" s="1423" t="n">
        <f aca="false">IF(ISNUMBER($AR422),SUMIF(AE$7:AE$503,$AR422,K$7:K$503),"")</f>
        <v>0</v>
      </c>
      <c r="AX422" s="1423" t="n">
        <f aca="false">IF(ISNUMBER($AR422),SUMIF(AG$7:AG$503,$AR422,M$7:M$503),"")</f>
        <v>0</v>
      </c>
      <c r="AY422" s="2" t="str">
        <f aca="false">IF($AT422&gt;0,VLOOKUP($AR422,'O_MN, PE_UTA_UGM 2024'!E419:O834,2),"")</f>
        <v/>
      </c>
      <c r="AZ422" s="1424"/>
      <c r="BA422" s="1424"/>
      <c r="BB422" s="1424" t="str">
        <f aca="false">IF($AT422&gt;0,VLOOKUP($AR422,'O_MN, PE_UTA_UGM 2024'!$E$3:$O$419,BB$6),"")</f>
        <v/>
      </c>
      <c r="BC422" s="1424" t="str">
        <f aca="false">IF($AT422&gt;0,VLOOKUP($AR422,'O_MN, PE_UTA_UGM 2024'!$E$3:$O$419,BC$6),"")</f>
        <v/>
      </c>
      <c r="BD422" s="1424" t="str">
        <f aca="false">IF($AT422&gt;0,VLOOKUP($AR422,'O_MN, PE_UTA_UGM 2024'!$E$3:$O$419,BD$6),"")</f>
        <v/>
      </c>
      <c r="BE422" s="1424" t="str">
        <f aca="false">IF($AT422&gt;0,VLOOKUP($AR422,'O_MN, PE_UTA_UGM 2024'!$E$3:$O$419,BE$6),"")</f>
        <v/>
      </c>
      <c r="BF422" s="1424" t="str">
        <f aca="false">IF($AT422&gt;0,VLOOKUP($AR422,'O_MN, PE_UTA_UGM 2024'!$E$3:$O$419,BF$6),"")</f>
        <v/>
      </c>
      <c r="BG422" s="1424" t="str">
        <f aca="false">IF($AT422&gt;0,VLOOKUP($AR422,'O_MN, PE_UTA_UGM 2024'!$E$3:$O$419,BG$6),"")</f>
        <v/>
      </c>
      <c r="BH422" s="872"/>
      <c r="BI422" s="872"/>
      <c r="BJ422" s="872"/>
      <c r="BK422" s="872"/>
      <c r="BM422" s="1411"/>
      <c r="BN422" s="1411"/>
      <c r="BO422" s="1425" t="str">
        <f aca="false">IF(ISNUMBER($AU422*BB422*1),$AU422*BB422*1,"")</f>
        <v/>
      </c>
      <c r="BP422" s="1425" t="str">
        <f aca="false">IF(ISNUMBER($AV422*BC422*1),$AV422*BC422*1,"")</f>
        <v/>
      </c>
      <c r="BQ422" s="1425" t="str">
        <f aca="false">IF(ISNUMBER($AU422*BD422*1),$AU422*BD422*1,"")</f>
        <v/>
      </c>
      <c r="BR422" s="1425" t="str">
        <f aca="false">IF(ISNUMBER($AV422*BE422*1),$AV422*BE422*1,"")</f>
        <v/>
      </c>
      <c r="BS422" s="1411" t="str">
        <f aca="false">IF(ISNUMBER($AU422*BF422),$AU422*BF422,"")</f>
        <v/>
      </c>
      <c r="BT422" s="1411" t="str">
        <f aca="false">IF(ISNUMBER($AV422*BG422),$AV422*BG422,"")</f>
        <v/>
      </c>
      <c r="BU422" s="1411"/>
      <c r="BV422" s="1411"/>
      <c r="BW422" s="1411"/>
      <c r="BX422" s="1411"/>
      <c r="BZ422" s="1372"/>
      <c r="CA422" s="1372"/>
      <c r="CB422" s="1426" t="str">
        <f aca="false">IF(ISNUMBER($AW422*BB422),$AW422*BB422,"")</f>
        <v/>
      </c>
      <c r="CC422" s="1426" t="str">
        <f aca="false">IF(ISNUMBER($AX422*BC422),$AX422*BC422,"")</f>
        <v/>
      </c>
      <c r="CD422" s="1426" t="str">
        <f aca="false">IF(ISNUMBER($AW422*BD422),$AW422*BD422,"")</f>
        <v/>
      </c>
      <c r="CE422" s="1426" t="str">
        <f aca="false">IF(ISNUMBER($AX422*BE422),$AX422*BE422,"")</f>
        <v/>
      </c>
      <c r="CF422" s="1372" t="str">
        <f aca="false">IF(ISNUMBER($AW422*BF422),$AW422*BF422,"")</f>
        <v/>
      </c>
      <c r="CG422" s="1372" t="str">
        <f aca="false">IF(ISNUMBER($AX422*BG422),$AX422*BG422,"")</f>
        <v/>
      </c>
      <c r="CH422" s="1438"/>
      <c r="CI422" s="1438"/>
      <c r="CJ422" s="1438"/>
      <c r="CK422" s="1438"/>
      <c r="CU422" s="1411"/>
      <c r="CV422" s="1411"/>
      <c r="CW422" s="1425"/>
      <c r="CX422" s="1425"/>
      <c r="CY422" s="1425"/>
      <c r="CZ422" s="1425"/>
      <c r="DA422" s="1411"/>
      <c r="DB422" s="1411"/>
      <c r="DC422" s="1411"/>
      <c r="DD422" s="1411"/>
      <c r="DE422" s="1411"/>
      <c r="DF422" s="1411"/>
      <c r="DH422" s="1432"/>
      <c r="DI422" s="1432"/>
      <c r="DJ422" s="1437"/>
      <c r="DK422" s="1437"/>
      <c r="DL422" s="1437"/>
      <c r="DM422" s="1437"/>
      <c r="DN422" s="1432"/>
      <c r="DO422" s="1432"/>
      <c r="DP422" s="1432"/>
      <c r="DQ422" s="1432"/>
      <c r="DR422" s="1432"/>
      <c r="DS422" s="1432"/>
      <c r="DT422" s="1316"/>
      <c r="DU422" s="1433"/>
      <c r="DV422" s="1433"/>
      <c r="DW422" s="1433"/>
      <c r="DX422" s="1433"/>
      <c r="DY422" s="1433"/>
      <c r="DZ422" s="1433"/>
      <c r="EA422" s="1433"/>
      <c r="EB422" s="1433"/>
    </row>
    <row r="423" customFormat="false" ht="14.25" hidden="false" customHeight="false" outlineLevel="0" collapsed="false">
      <c r="A423" s="2" t="n">
        <f aca="false">'V_DATOS PAC_SGA'!R418</f>
        <v>0</v>
      </c>
      <c r="B423" s="2" t="n">
        <f aca="false">IF(I423="IV",CONCATENATE('V_DATOS PAC_SGA'!R418,"4")+0,CONCATENATE('V_DATOS PAC_SGA'!R418,"0")+0)</f>
        <v>0</v>
      </c>
      <c r="C423" s="2" t="n">
        <f aca="false">'V_DATOS PAC_SGA'!S418</f>
        <v>0</v>
      </c>
      <c r="D423" s="1409" t="n">
        <f aca="false">'V_DATOS PAC_SGA'!Y418</f>
        <v>0</v>
      </c>
      <c r="E423" s="1410" t="str">
        <f aca="false">IF('V_DATOS PAC_SGA'!AV418="","Regadio",'V_DATOS PAC_SGA'!AV418)</f>
        <v>Regadio</v>
      </c>
      <c r="F423" s="1411" t="n">
        <f aca="false">'V_DATOS PAC_SGA'!BK418</f>
        <v>0</v>
      </c>
      <c r="G423" s="1412" t="n">
        <f aca="false">'V_DATOS PAC_SGA'!AN418</f>
        <v>0</v>
      </c>
      <c r="H423" s="1413" t="str">
        <f aca="false">IF(B423&gt;0,VLOOKUP(B423,'O_MN, PE_UTA_UGM 2024'!E$3:O$419,10),"")</f>
        <v/>
      </c>
      <c r="I423" s="1470" t="n">
        <f aca="false">'V_DATOS PAC_SGA'!BV418</f>
        <v>0</v>
      </c>
      <c r="J423" s="2" t="str">
        <f aca="false">IF(AND(J$4=$G423,J$6=$F423),$D423*J$5,"")</f>
        <v/>
      </c>
      <c r="K423" s="2" t="str">
        <f aca="false">IF(AND(K$4=$G423,K$6=$F423),$D423*K$5,"")</f>
        <v/>
      </c>
      <c r="L423" s="2" t="str">
        <f aca="false">IF(AND(L$4=$G423,L$6=$F423),$D423*L$5,"")</f>
        <v/>
      </c>
      <c r="M423" s="2" t="str">
        <f aca="false">IF(AND(M$4=$G423,M$6=$F423),$D423*M$5,"")</f>
        <v/>
      </c>
      <c r="N423" s="1478" t="n">
        <f aca="false">VLOOKUP(B423,'O_MN, PE_UTA_UGM 2024'!$E$2:$K$419,IF(G423&gt;1,6,7))</f>
        <v>0</v>
      </c>
      <c r="O423" s="1435" t="str">
        <f aca="false">IF($H423=O$4,$D423*$N423,"")</f>
        <v/>
      </c>
      <c r="P423" s="1435" t="str">
        <f aca="false">IF($H423=P$4,$D423*$N423,"")</f>
        <v/>
      </c>
      <c r="Q423" s="1435" t="str">
        <f aca="false">IF($H423=Q$4,$D423*$N423,"")</f>
        <v/>
      </c>
      <c r="R423" s="1435" t="str">
        <f aca="false">IF($H423=R$4,$D423*$N423,"")</f>
        <v/>
      </c>
      <c r="S423" s="1435" t="str">
        <f aca="false">IF($H423=S$4,$D423*$N423,"")</f>
        <v/>
      </c>
      <c r="T423" s="1435" t="str">
        <f aca="false">IF($H423=T$4,$D423*$N423,"")</f>
        <v/>
      </c>
      <c r="U423" s="1435" t="str">
        <f aca="false">IF($H423=U$4,$D423*$N423,"")</f>
        <v/>
      </c>
      <c r="V423" s="1471"/>
      <c r="W423" s="1471"/>
      <c r="X423" s="1471"/>
      <c r="Y423" s="1471"/>
      <c r="Z423" s="1471"/>
      <c r="AA423" s="1471"/>
      <c r="AB423" s="1471"/>
      <c r="AC423" s="1319"/>
      <c r="AD423" s="2" t="str">
        <f aca="false">IF(AND(AD$4=$G423,AD$6=$F423),$B423,"")</f>
        <v/>
      </c>
      <c r="AE423" s="2" t="str">
        <f aca="false">IF(AND(AE$4=$G423,AE$6=$F423),$B423,"")</f>
        <v/>
      </c>
      <c r="AF423" s="2" t="str">
        <f aca="false">IF(AND(AF$4=$G423,AF$6=$F423),$B423,"")</f>
        <v/>
      </c>
      <c r="AG423" s="2" t="str">
        <f aca="false">IF(AND(AG$4=$G423,AG$6=$F423),$B423,"")</f>
        <v/>
      </c>
      <c r="AI423" s="366"/>
      <c r="AL423" s="367"/>
      <c r="AO423" s="367"/>
      <c r="AP423" s="2" t="str">
        <f aca="false">IF(AT423&gt;0,RANK(AT423,AT$7:AT$423),"")</f>
        <v/>
      </c>
      <c r="AQ423" s="1479" t="n">
        <f aca="false">'O_MN, PE_UTA_UGM 2024'!C2</f>
        <v>0</v>
      </c>
      <c r="AR423" s="1421" t="n">
        <f aca="false">0</f>
        <v>0</v>
      </c>
      <c r="AS423" s="2" t="str">
        <f aca="false">IF(AY423&lt;&gt;"",AY423,"")</f>
        <v/>
      </c>
      <c r="AT423" s="1422" t="n">
        <f aca="false">IF(ISNUMBER($AR423),SUMIF(B$7:B$505,AR423,D$7:D$505),"")</f>
        <v>0</v>
      </c>
      <c r="AU423" s="1411" t="n">
        <f aca="false">IF(ISNUMBER($AR423),SUMIF(AD$7:AD$503,$AR423,J$7:J$503),"")</f>
        <v>0</v>
      </c>
      <c r="AV423" s="1411" t="n">
        <f aca="false">IF(ISNUMBER($AR423),SUMIF(AF$7:AF$503,$AR423,L$7:L$503),"")</f>
        <v>0</v>
      </c>
      <c r="AW423" s="1423" t="n">
        <f aca="false">IF(ISNUMBER($AR423),SUMIF(AE$7:AE$503,$AR423,K$7:K$503),"")</f>
        <v>0</v>
      </c>
      <c r="AX423" s="1423" t="n">
        <f aca="false">IF(ISNUMBER($AR423),SUMIF(AG$7:AG$503,$AR423,M$7:M$503),"")</f>
        <v>0</v>
      </c>
      <c r="AY423" s="2" t="str">
        <f aca="false">IF($AT423&gt;0,VLOOKUP($AR423,'O_MN, PE_UTA_UGM 2024'!E2:O835,2),"")</f>
        <v/>
      </c>
      <c r="AZ423" s="1424"/>
      <c r="BA423" s="1424"/>
      <c r="BB423" s="1424" t="str">
        <f aca="false">IF($AT423&gt;0,VLOOKUP($AR423,'O_MN, PE_UTA_UGM 2024'!$E$3:$O$419,BB$6),"")</f>
        <v/>
      </c>
      <c r="BC423" s="1424" t="str">
        <f aca="false">IF($AT423&gt;0,VLOOKUP($AR423,'O_MN, PE_UTA_UGM 2024'!$E$3:$O$419,BC$6),"")</f>
        <v/>
      </c>
      <c r="BD423" s="1424" t="str">
        <f aca="false">IF($AT423&gt;0,VLOOKUP($AR423,'O_MN, PE_UTA_UGM 2024'!$E$3:$O$419,BD$6),"")</f>
        <v/>
      </c>
      <c r="BE423" s="1424" t="str">
        <f aca="false">IF($AT423&gt;0,VLOOKUP($AR423,'O_MN, PE_UTA_UGM 2024'!$E$3:$O$419,BE$6),"")</f>
        <v/>
      </c>
      <c r="BF423" s="1424" t="str">
        <f aca="false">IF($AT423&gt;0,VLOOKUP($AR423,'O_MN, PE_UTA_UGM 2024'!$E$3:$O$419,BF$6),"")</f>
        <v/>
      </c>
      <c r="BG423" s="1424" t="str">
        <f aca="false">IF($AT423&gt;0,VLOOKUP($AR423,'O_MN, PE_UTA_UGM 2024'!$E$3:$O$419,BG$6),"")</f>
        <v/>
      </c>
      <c r="BH423" s="872"/>
      <c r="BI423" s="872"/>
      <c r="BJ423" s="872"/>
      <c r="BK423" s="872"/>
      <c r="BM423" s="1411"/>
      <c r="BN423" s="1411"/>
      <c r="BO423" s="1425" t="str">
        <f aca="false">IF(ISNUMBER($AU423*BB423*1),$AU423*BB423*1,"")</f>
        <v/>
      </c>
      <c r="BP423" s="1425" t="str">
        <f aca="false">IF(ISNUMBER($AV423*BC423*1),$AV423*BC423*1,"")</f>
        <v/>
      </c>
      <c r="BQ423" s="1425" t="str">
        <f aca="false">IF(ISNUMBER($AU423*BD423*1),$AU423*BD423*1,"")</f>
        <v/>
      </c>
      <c r="BR423" s="1425" t="str">
        <f aca="false">IF(ISNUMBER($AV423*BE423*1),$AV423*BE423*1,"")</f>
        <v/>
      </c>
      <c r="BS423" s="1411" t="str">
        <f aca="false">IF(ISNUMBER($AU423*BF423),$AU423*BF423,"")</f>
        <v/>
      </c>
      <c r="BT423" s="1411" t="str">
        <f aca="false">IF(ISNUMBER($AV423*BG423),$AV423*BG423,"")</f>
        <v/>
      </c>
      <c r="BU423" s="1411"/>
      <c r="BV423" s="1411"/>
      <c r="BW423" s="1411"/>
      <c r="BX423" s="1411"/>
      <c r="BZ423" s="1372"/>
      <c r="CA423" s="1372"/>
      <c r="CB423" s="1426" t="str">
        <f aca="false">IF(ISNUMBER($AW423*BB423),$AW423*BB423,"")</f>
        <v/>
      </c>
      <c r="CC423" s="1426" t="str">
        <f aca="false">IF(ISNUMBER($AX423*BC423),$AX423*BC423,"")</f>
        <v/>
      </c>
      <c r="CD423" s="1426" t="str">
        <f aca="false">IF(ISNUMBER($AW423*BD423),$AW423*BD423,"")</f>
        <v/>
      </c>
      <c r="CE423" s="1426" t="str">
        <f aca="false">IF(ISNUMBER($AX423*BE423),$AX423*BE423,"")</f>
        <v/>
      </c>
      <c r="CF423" s="1372" t="str">
        <f aca="false">IF(ISNUMBER($AW423*BF423),$AW423*BF423,"")</f>
        <v/>
      </c>
      <c r="CG423" s="1372" t="str">
        <f aca="false">IF(ISNUMBER($AX423*BG423),$AX423*BG423,"")</f>
        <v/>
      </c>
      <c r="CH423" s="1438"/>
      <c r="CI423" s="1438"/>
      <c r="CJ423" s="1438"/>
      <c r="CK423" s="1438"/>
      <c r="CU423" s="1411"/>
      <c r="CV423" s="1411"/>
      <c r="CW423" s="1425"/>
      <c r="CX423" s="1425"/>
      <c r="CY423" s="1425"/>
      <c r="CZ423" s="1425"/>
      <c r="DA423" s="1411"/>
      <c r="DB423" s="1411"/>
      <c r="DC423" s="1411"/>
      <c r="DD423" s="1411"/>
      <c r="DE423" s="1411"/>
      <c r="DF423" s="1411"/>
      <c r="DH423" s="1432"/>
      <c r="DI423" s="1432"/>
      <c r="DJ423" s="1437"/>
      <c r="DK423" s="1437"/>
      <c r="DL423" s="1437"/>
      <c r="DM423" s="1437"/>
      <c r="DN423" s="1432"/>
      <c r="DO423" s="1432"/>
      <c r="DP423" s="1432"/>
      <c r="DQ423" s="1432"/>
      <c r="DR423" s="1432"/>
      <c r="DS423" s="1432"/>
      <c r="DT423" s="1316"/>
      <c r="DU423" s="1433"/>
      <c r="DV423" s="1433"/>
      <c r="DW423" s="1433"/>
      <c r="DX423" s="1433"/>
      <c r="DY423" s="1433"/>
      <c r="DZ423" s="1433"/>
      <c r="EA423" s="1433"/>
      <c r="EB423" s="1433"/>
    </row>
    <row r="424" customFormat="false" ht="14.25" hidden="false" customHeight="false" outlineLevel="0" collapsed="false">
      <c r="A424" s="1476" t="n">
        <f aca="false">'V_DATOS PAC_SGA'!R419</f>
        <v>0</v>
      </c>
      <c r="B424" s="1476" t="n">
        <f aca="false">IF(I424="IV",CONCATENATE('V_DATOS PAC_SGA'!R419,"4")+0,CONCATENATE('V_DATOS PAC_SGA'!R419,"0")+0)</f>
        <v>0</v>
      </c>
      <c r="C424" s="1476" t="n">
        <f aca="false">'V_DATOS PAC_SGA'!S419</f>
        <v>0</v>
      </c>
      <c r="D424" s="1409" t="n">
        <f aca="false">'V_DATOS PAC_SGA'!Y419</f>
        <v>0</v>
      </c>
      <c r="E424" s="1410" t="str">
        <f aca="false">IF('V_DATOS PAC_SGA'!AV419="","Regadio",'V_DATOS PAC_SGA'!AV419)</f>
        <v>Regadio</v>
      </c>
      <c r="F424" s="1411" t="n">
        <f aca="false">'V_DATOS PAC_SGA'!BK419</f>
        <v>0</v>
      </c>
      <c r="G424" s="1412" t="n">
        <f aca="false">'V_DATOS PAC_SGA'!AN419</f>
        <v>0</v>
      </c>
      <c r="H424" s="1413" t="str">
        <f aca="false">IF(B424&gt;0,VLOOKUP(B424,'O_MN, PE_UTA_UGM 2024'!E$3:O$419,10),"")</f>
        <v/>
      </c>
      <c r="I424" s="1470" t="n">
        <f aca="false">'V_DATOS PAC_SGA'!BV419</f>
        <v>0</v>
      </c>
      <c r="J424" s="1476" t="str">
        <f aca="false">IF(AND(J$4=$G424,J$6=$F424),$D424*J$5,"")</f>
        <v/>
      </c>
      <c r="K424" s="1476" t="str">
        <f aca="false">IF(AND(K$4=$G424,K$6=$F424),$D424*K$5,"")</f>
        <v/>
      </c>
      <c r="L424" s="1476" t="str">
        <f aca="false">IF(AND(L$4=$G424,L$6=$F424),$D424*L$5,"")</f>
        <v/>
      </c>
      <c r="M424" s="1476" t="str">
        <f aca="false">IF(AND(M$4=$G424,M$6=$F424),$D424*M$5,"")</f>
        <v/>
      </c>
      <c r="N424" s="1478" t="n">
        <f aca="false">VLOOKUP(B424,'O_MN, PE_UTA_UGM 2024'!$E$2:$K$419,IF(G424&gt;1,6,7))</f>
        <v>0</v>
      </c>
      <c r="O424" s="1435" t="str">
        <f aca="false">IF($H424=O$4,$D424*$N424,"")</f>
        <v/>
      </c>
      <c r="P424" s="1435" t="str">
        <f aca="false">IF($H424=P$4,$D424*$N424,"")</f>
        <v/>
      </c>
      <c r="Q424" s="1435" t="str">
        <f aca="false">IF($H424=Q$4,$D424*$N424,"")</f>
        <v/>
      </c>
      <c r="R424" s="1435" t="str">
        <f aca="false">IF($H424=R$4,$D424*$N424,"")</f>
        <v/>
      </c>
      <c r="S424" s="1435" t="str">
        <f aca="false">IF($H424=S$4,$D424*$N424,"")</f>
        <v/>
      </c>
      <c r="T424" s="1435" t="str">
        <f aca="false">IF($H424=T$4,$D424*$N424,"")</f>
        <v/>
      </c>
      <c r="U424" s="1435" t="str">
        <f aca="false">IF($H424=U$4,$D424*$N424,"")</f>
        <v/>
      </c>
      <c r="V424" s="1471"/>
      <c r="W424" s="1471"/>
      <c r="X424" s="1471"/>
      <c r="Y424" s="1471"/>
      <c r="Z424" s="1471"/>
      <c r="AA424" s="1471"/>
      <c r="AB424" s="1471"/>
      <c r="AC424" s="1476"/>
      <c r="AD424" s="1476" t="str">
        <f aca="false">IF(AND(AD$4=$G424,AD$6=$F424),$B424,"")</f>
        <v/>
      </c>
      <c r="AE424" s="1476" t="str">
        <f aca="false">IF(AND(AE$4=$G424,AE$6=$F424),$B424,"")</f>
        <v/>
      </c>
      <c r="AF424" s="1476" t="str">
        <f aca="false">IF(AND(AF$4=$G424,AF$6=$F424),$B424,"")</f>
        <v/>
      </c>
      <c r="AG424" s="1476" t="str">
        <f aca="false">IF(AND(AG$4=$G424,AG$6=$F424),$B424,"")</f>
        <v/>
      </c>
      <c r="AH424" s="1476"/>
      <c r="AI424" s="1476"/>
      <c r="AJ424" s="1476"/>
      <c r="AK424" s="1476"/>
      <c r="AL424" s="1476"/>
      <c r="AM424" s="1476"/>
      <c r="AN424" s="1476"/>
      <c r="AO424" s="1476"/>
      <c r="AP424" s="1476"/>
      <c r="AQ424" s="1476"/>
      <c r="AR424" s="1480"/>
      <c r="AS424" s="1476"/>
      <c r="AT424" s="1481"/>
      <c r="AU424" s="1480"/>
      <c r="AV424" s="1480"/>
      <c r="AW424" s="1482"/>
      <c r="AX424" s="1482"/>
      <c r="AY424" s="1476" t="str">
        <f aca="false">IF($AT424&gt;0,VLOOKUP($AR424,'O_MN, PE_UTA_UGM 2024'!E420:O836,2),"")</f>
        <v/>
      </c>
      <c r="AZ424" s="1483"/>
      <c r="BA424" s="1483"/>
      <c r="BB424" s="1483"/>
      <c r="BC424" s="1483"/>
      <c r="BD424" s="1483"/>
      <c r="BE424" s="1483"/>
      <c r="BF424" s="1483"/>
      <c r="BG424" s="1483"/>
      <c r="BH424" s="1484"/>
      <c r="BI424" s="1484"/>
      <c r="BJ424" s="1484"/>
      <c r="BK424" s="1484"/>
      <c r="BL424" s="1476"/>
      <c r="BM424" s="1480"/>
      <c r="BN424" s="1480"/>
      <c r="BO424" s="1485"/>
      <c r="BP424" s="1485"/>
      <c r="BQ424" s="1485"/>
      <c r="BR424" s="1485"/>
      <c r="BS424" s="1480"/>
      <c r="BT424" s="1480"/>
      <c r="BU424" s="1480"/>
      <c r="BV424" s="1480"/>
      <c r="BW424" s="1480"/>
      <c r="BX424" s="1480"/>
      <c r="BY424" s="1476"/>
      <c r="BZ424" s="1486"/>
      <c r="CA424" s="1486"/>
      <c r="CB424" s="1487"/>
      <c r="CC424" s="1487"/>
      <c r="CD424" s="1487"/>
      <c r="CE424" s="1487"/>
      <c r="CF424" s="1486"/>
      <c r="CG424" s="1486"/>
      <c r="CH424" s="1438"/>
      <c r="CI424" s="1438"/>
      <c r="CJ424" s="1438"/>
      <c r="CK424" s="1438"/>
      <c r="CU424" s="1411"/>
      <c r="CV424" s="1411"/>
      <c r="CW424" s="1425"/>
      <c r="CX424" s="1425"/>
      <c r="CY424" s="1425"/>
      <c r="CZ424" s="1425"/>
      <c r="DA424" s="1411"/>
      <c r="DB424" s="1411"/>
      <c r="DC424" s="1411"/>
      <c r="DD424" s="1411"/>
      <c r="DE424" s="1411"/>
      <c r="DF424" s="1411"/>
      <c r="DH424" s="1432"/>
      <c r="DI424" s="1432"/>
      <c r="DJ424" s="1437"/>
      <c r="DK424" s="1437"/>
      <c r="DL424" s="1437"/>
      <c r="DM424" s="1437"/>
      <c r="DN424" s="1432"/>
      <c r="DO424" s="1432"/>
      <c r="DP424" s="1432"/>
      <c r="DQ424" s="1432"/>
      <c r="DR424" s="1432"/>
      <c r="DS424" s="1432"/>
      <c r="DT424" s="1316"/>
      <c r="DU424" s="1433"/>
      <c r="DV424" s="1433"/>
      <c r="DW424" s="1433"/>
      <c r="DX424" s="1433"/>
      <c r="DY424" s="1433"/>
      <c r="DZ424" s="1433"/>
      <c r="EA424" s="1433"/>
      <c r="EB424" s="1433"/>
    </row>
    <row r="425" customFormat="false" ht="14.25" hidden="false" customHeight="false" outlineLevel="0" collapsed="false">
      <c r="A425" s="1477" t="n">
        <f aca="false">'V_DATOS PAC_SGA'!R420</f>
        <v>0</v>
      </c>
      <c r="B425" s="1477" t="n">
        <f aca="false">IF(I425="IV",CONCATENATE('V_DATOS PAC_SGA'!R420,"4")+0,CONCATENATE('V_DATOS PAC_SGA'!R420,"0")+0)</f>
        <v>0</v>
      </c>
      <c r="C425" s="1477" t="n">
        <f aca="false">'V_DATOS PAC_SGA'!S420</f>
        <v>0</v>
      </c>
      <c r="D425" s="1409" t="n">
        <f aca="false">'V_DATOS PAC_SGA'!Y420</f>
        <v>0</v>
      </c>
      <c r="E425" s="1410" t="str">
        <f aca="false">IF('V_DATOS PAC_SGA'!AV420="","Regadio",'V_DATOS PAC_SGA'!AV420)</f>
        <v>Regadio</v>
      </c>
      <c r="F425" s="1411" t="n">
        <f aca="false">'V_DATOS PAC_SGA'!BK420</f>
        <v>0</v>
      </c>
      <c r="G425" s="1412" t="n">
        <f aca="false">'V_DATOS PAC_SGA'!AN420</f>
        <v>0</v>
      </c>
      <c r="H425" s="1413" t="str">
        <f aca="false">IF(B425&gt;0,VLOOKUP(B425,'O_MN, PE_UTA_UGM 2024'!E$3:O$419,10),"")</f>
        <v/>
      </c>
      <c r="I425" s="1470" t="n">
        <f aca="false">'V_DATOS PAC_SGA'!BV420</f>
        <v>0</v>
      </c>
      <c r="J425" s="1477" t="str">
        <f aca="false">IF(AND(J$4=$G425,J$6=$F425),$D425*J$5,"")</f>
        <v/>
      </c>
      <c r="K425" s="1477" t="str">
        <f aca="false">IF(AND(K$4=$G425,K$6=$F425),$D425*K$5,"")</f>
        <v/>
      </c>
      <c r="L425" s="1477" t="str">
        <f aca="false">IF(AND(L$4=$G425,L$6=$F425),$D425*L$5,"")</f>
        <v/>
      </c>
      <c r="M425" s="1477" t="str">
        <f aca="false">IF(AND(M$4=$G425,M$6=$F425),$D425*M$5,"")</f>
        <v/>
      </c>
      <c r="N425" s="1478" t="n">
        <f aca="false">VLOOKUP(B425,'O_MN, PE_UTA_UGM 2024'!$E$2:$K$419,IF(G425&gt;1,6,7))</f>
        <v>0</v>
      </c>
      <c r="O425" s="1435" t="str">
        <f aca="false">IF($H425=O$4,$D425*$N425,"")</f>
        <v/>
      </c>
      <c r="P425" s="1435" t="str">
        <f aca="false">IF($H425=P$4,$D425*$N425,"")</f>
        <v/>
      </c>
      <c r="Q425" s="1435" t="str">
        <f aca="false">IF($H425=Q$4,$D425*$N425,"")</f>
        <v/>
      </c>
      <c r="R425" s="1435" t="str">
        <f aca="false">IF($H425=R$4,$D425*$N425,"")</f>
        <v/>
      </c>
      <c r="S425" s="1435" t="str">
        <f aca="false">IF($H425=S$4,$D425*$N425,"")</f>
        <v/>
      </c>
      <c r="T425" s="1435" t="str">
        <f aca="false">IF($H425=T$4,$D425*$N425,"")</f>
        <v/>
      </c>
      <c r="U425" s="1435" t="str">
        <f aca="false">IF($H425=U$4,$D425*$N425,"")</f>
        <v/>
      </c>
      <c r="V425" s="1471"/>
      <c r="W425" s="1471"/>
      <c r="X425" s="1471"/>
      <c r="Y425" s="1471"/>
      <c r="Z425" s="1471"/>
      <c r="AA425" s="1471"/>
      <c r="AB425" s="1471"/>
      <c r="AC425" s="1477"/>
      <c r="AD425" s="1477" t="str">
        <f aca="false">IF(AND(AD$4=$G425,AD$6=$F425),$B425,"")</f>
        <v/>
      </c>
      <c r="AE425" s="1477" t="str">
        <f aca="false">IF(AND(AE$4=$G425,AE$6=$F425),$B425,"")</f>
        <v/>
      </c>
      <c r="AF425" s="1477" t="str">
        <f aca="false">IF(AND(AF$4=$G425,AF$6=$F425),$B425,"")</f>
        <v/>
      </c>
      <c r="AG425" s="1477" t="str">
        <f aca="false">IF(AND(AG$4=$G425,AG$6=$F425),$B425,"")</f>
        <v/>
      </c>
      <c r="AH425" s="1477"/>
      <c r="AI425" s="1477"/>
      <c r="AJ425" s="1477"/>
      <c r="AK425" s="1477"/>
      <c r="AL425" s="1477"/>
      <c r="AM425" s="1477"/>
      <c r="AN425" s="1477"/>
      <c r="AO425" s="1477"/>
      <c r="AP425" s="1477"/>
      <c r="AQ425" s="1477"/>
      <c r="AR425" s="1488"/>
      <c r="AS425" s="1477"/>
      <c r="AT425" s="1489"/>
      <c r="AU425" s="1488"/>
      <c r="AV425" s="1488"/>
      <c r="AW425" s="1490"/>
      <c r="AX425" s="1490"/>
      <c r="AY425" s="1477"/>
      <c r="AZ425" s="1491"/>
      <c r="BA425" s="1491"/>
      <c r="BB425" s="1491"/>
      <c r="BC425" s="1491"/>
      <c r="BD425" s="1491"/>
      <c r="BE425" s="1491"/>
      <c r="BF425" s="1491"/>
      <c r="BG425" s="1491"/>
      <c r="BH425" s="1492"/>
      <c r="BI425" s="1492"/>
      <c r="BJ425" s="1492"/>
      <c r="BK425" s="1492"/>
      <c r="BL425" s="1477"/>
      <c r="BM425" s="1488"/>
      <c r="BN425" s="1488"/>
      <c r="BO425" s="1493"/>
      <c r="BP425" s="1493"/>
      <c r="BQ425" s="1493"/>
      <c r="BR425" s="1493"/>
      <c r="BS425" s="1488"/>
      <c r="BT425" s="1488"/>
      <c r="BU425" s="1488"/>
      <c r="BV425" s="1488"/>
      <c r="BW425" s="1488"/>
      <c r="BX425" s="1488"/>
      <c r="BY425" s="1477"/>
      <c r="BZ425" s="1494"/>
      <c r="CA425" s="1494"/>
      <c r="CB425" s="1495"/>
      <c r="CC425" s="1495"/>
      <c r="CD425" s="1495"/>
      <c r="CE425" s="1495"/>
      <c r="CF425" s="1494"/>
      <c r="CG425" s="1494"/>
      <c r="CH425" s="1438"/>
      <c r="CI425" s="1438"/>
      <c r="CJ425" s="1438"/>
      <c r="CK425" s="1438"/>
      <c r="CU425" s="1411"/>
      <c r="CV425" s="1411"/>
      <c r="CW425" s="1425"/>
      <c r="CX425" s="1425"/>
      <c r="CY425" s="1425"/>
      <c r="CZ425" s="1425"/>
      <c r="DA425" s="1411"/>
      <c r="DB425" s="1411"/>
      <c r="DC425" s="1411"/>
      <c r="DD425" s="1411"/>
      <c r="DE425" s="1411"/>
      <c r="DF425" s="1411"/>
      <c r="DH425" s="1432"/>
      <c r="DI425" s="1432"/>
      <c r="DJ425" s="1437"/>
      <c r="DK425" s="1437"/>
      <c r="DL425" s="1437"/>
      <c r="DM425" s="1437"/>
      <c r="DN425" s="1432"/>
      <c r="DO425" s="1432"/>
      <c r="DP425" s="1432"/>
      <c r="DQ425" s="1432"/>
      <c r="DR425" s="1432"/>
      <c r="DS425" s="1432"/>
      <c r="DT425" s="1316"/>
      <c r="DU425" s="1433"/>
      <c r="DV425" s="1433"/>
      <c r="DW425" s="1433"/>
      <c r="DX425" s="1433"/>
      <c r="DY425" s="1433"/>
      <c r="DZ425" s="1433"/>
      <c r="EA425" s="1433"/>
      <c r="EB425" s="1433"/>
    </row>
    <row r="426" customFormat="false" ht="14.25" hidden="false" customHeight="false" outlineLevel="0" collapsed="false">
      <c r="A426" s="2" t="n">
        <f aca="false">'V_DATOS PAC_SGA'!R421</f>
        <v>0</v>
      </c>
      <c r="B426" s="2" t="n">
        <f aca="false">IF(I426="IV",CONCATENATE('V_DATOS PAC_SGA'!R421,"4")+0,CONCATENATE('V_DATOS PAC_SGA'!R421,"0")+0)</f>
        <v>0</v>
      </c>
      <c r="C426" s="2" t="n">
        <f aca="false">'V_DATOS PAC_SGA'!S421</f>
        <v>0</v>
      </c>
      <c r="D426" s="1409" t="n">
        <f aca="false">'V_DATOS PAC_SGA'!Y421</f>
        <v>0</v>
      </c>
      <c r="E426" s="1410" t="str">
        <f aca="false">IF('V_DATOS PAC_SGA'!AV421="","Regadio",'V_DATOS PAC_SGA'!AV421)</f>
        <v>Regadio</v>
      </c>
      <c r="F426" s="1411" t="n">
        <f aca="false">'V_DATOS PAC_SGA'!BK421</f>
        <v>0</v>
      </c>
      <c r="G426" s="1412" t="n">
        <f aca="false">'V_DATOS PAC_SGA'!AN421</f>
        <v>0</v>
      </c>
      <c r="H426" s="1413" t="str">
        <f aca="false">IF(B426&gt;0,VLOOKUP(B426,'O_MN, PE_UTA_UGM 2024'!E$3:O$419,10),"")</f>
        <v/>
      </c>
      <c r="I426" s="1470" t="n">
        <f aca="false">'V_DATOS PAC_SGA'!BV421</f>
        <v>0</v>
      </c>
      <c r="J426" s="2" t="str">
        <f aca="false">IF(AND(J$4=$G426,J$6=$F426),$D426*J$5,"")</f>
        <v/>
      </c>
      <c r="K426" s="2" t="str">
        <f aca="false">IF(AND(K$4=$G426,K$6=$F426),$D426*K$5,"")</f>
        <v/>
      </c>
      <c r="L426" s="2" t="str">
        <f aca="false">IF(AND(L$4=$G426,L$6=$F426),$D426*L$5,"")</f>
        <v/>
      </c>
      <c r="M426" s="2" t="str">
        <f aca="false">IF(AND(M$4=$G426,M$6=$F426),$D426*M$5,"")</f>
        <v/>
      </c>
      <c r="N426" s="1478" t="n">
        <f aca="false">VLOOKUP(B426,'O_MN, PE_UTA_UGM 2024'!$E$2:$K$419,IF(G426&gt;1,6,7))</f>
        <v>0</v>
      </c>
      <c r="O426" s="1435" t="str">
        <f aca="false">IF($H426=O$4,$D426*$N426,"")</f>
        <v/>
      </c>
      <c r="P426" s="1435" t="str">
        <f aca="false">IF($H426=P$4,$D426*$N426,"")</f>
        <v/>
      </c>
      <c r="Q426" s="1435" t="str">
        <f aca="false">IF($H426=Q$4,$D426*$N426,"")</f>
        <v/>
      </c>
      <c r="R426" s="1435" t="str">
        <f aca="false">IF($H426=R$4,$D426*$N426,"")</f>
        <v/>
      </c>
      <c r="S426" s="1435" t="str">
        <f aca="false">IF($H426=S$4,$D426*$N426,"")</f>
        <v/>
      </c>
      <c r="T426" s="1435" t="str">
        <f aca="false">IF($H426=T$4,$D426*$N426,"")</f>
        <v/>
      </c>
      <c r="U426" s="1435" t="str">
        <f aca="false">IF($H426=U$4,$D426*$N426,"")</f>
        <v/>
      </c>
      <c r="V426" s="1471"/>
      <c r="W426" s="1471"/>
      <c r="X426" s="1471"/>
      <c r="Y426" s="1471"/>
      <c r="Z426" s="1471"/>
      <c r="AA426" s="1471"/>
      <c r="AB426" s="1471"/>
      <c r="AC426" s="1319"/>
      <c r="AD426" s="2" t="str">
        <f aca="false">IF(AND(AD$4=$G426,AD$6=$F426),$B426,"")</f>
        <v/>
      </c>
      <c r="AE426" s="2" t="str">
        <f aca="false">IF(AND(AE$4=$G426,AE$6=$F426),$B426,"")</f>
        <v/>
      </c>
      <c r="AF426" s="2" t="str">
        <f aca="false">IF(AND(AF$4=$G426,AF$6=$F426),$B426,"")</f>
        <v/>
      </c>
      <c r="AG426" s="2" t="str">
        <f aca="false">IF(AND(AG$4=$G426,AG$6=$F426),$B426,"")</f>
        <v/>
      </c>
      <c r="AI426" s="366"/>
      <c r="AL426" s="367"/>
      <c r="AO426" s="367"/>
      <c r="AR426" s="1411"/>
      <c r="AT426" s="1422"/>
      <c r="AU426" s="1411"/>
      <c r="AV426" s="1411"/>
      <c r="AW426" s="1423"/>
      <c r="AX426" s="1423"/>
      <c r="AZ426" s="1370"/>
      <c r="BA426" s="1370"/>
      <c r="BB426" s="1370"/>
      <c r="BC426" s="1370"/>
      <c r="BD426" s="1370"/>
      <c r="BE426" s="1370"/>
      <c r="BF426" s="1370"/>
      <c r="BG426" s="1370"/>
      <c r="BH426" s="1371"/>
      <c r="BI426" s="1371"/>
      <c r="BJ426" s="1371"/>
      <c r="BK426" s="1371"/>
      <c r="BM426" s="1411"/>
      <c r="BN426" s="1411"/>
      <c r="BO426" s="1425"/>
      <c r="BP426" s="1425"/>
      <c r="BQ426" s="1425"/>
      <c r="BR426" s="1425"/>
      <c r="BS426" s="1411"/>
      <c r="BT426" s="1411"/>
      <c r="BU426" s="1411"/>
      <c r="BV426" s="1411"/>
      <c r="BW426" s="1411"/>
      <c r="BX426" s="1411"/>
      <c r="BZ426" s="1438"/>
      <c r="CA426" s="1438"/>
      <c r="CB426" s="1496"/>
      <c r="CC426" s="1496"/>
      <c r="CD426" s="1496"/>
      <c r="CE426" s="1496"/>
      <c r="CF426" s="1438"/>
      <c r="CG426" s="1438"/>
      <c r="CH426" s="1438"/>
      <c r="CI426" s="1438"/>
      <c r="CJ426" s="1438"/>
      <c r="CK426" s="1438"/>
      <c r="CU426" s="1411"/>
      <c r="CV426" s="1411"/>
      <c r="CW426" s="1425"/>
      <c r="CX426" s="1425"/>
      <c r="CY426" s="1425"/>
      <c r="CZ426" s="1425"/>
      <c r="DA426" s="1411"/>
      <c r="DB426" s="1411"/>
      <c r="DC426" s="1411"/>
      <c r="DD426" s="1411"/>
      <c r="DE426" s="1411"/>
      <c r="DF426" s="1411"/>
      <c r="DH426" s="1432"/>
      <c r="DI426" s="1432"/>
      <c r="DJ426" s="1437"/>
      <c r="DK426" s="1437"/>
      <c r="DL426" s="1437"/>
      <c r="DM426" s="1437"/>
      <c r="DN426" s="1432"/>
      <c r="DO426" s="1432"/>
      <c r="DP426" s="1432"/>
      <c r="DQ426" s="1432"/>
      <c r="DR426" s="1432"/>
      <c r="DS426" s="1432"/>
      <c r="DT426" s="1316"/>
      <c r="DU426" s="1433"/>
      <c r="DV426" s="1433"/>
      <c r="DW426" s="1433"/>
      <c r="DX426" s="1433"/>
      <c r="DY426" s="1433"/>
      <c r="DZ426" s="1433"/>
      <c r="EA426" s="1433"/>
      <c r="EB426" s="1433"/>
    </row>
    <row r="427" customFormat="false" ht="14.25" hidden="false" customHeight="false" outlineLevel="0" collapsed="false">
      <c r="A427" s="2" t="n">
        <f aca="false">'V_DATOS PAC_SGA'!R422</f>
        <v>0</v>
      </c>
      <c r="B427" s="2" t="n">
        <f aca="false">IF(I427="IV",CONCATENATE('V_DATOS PAC_SGA'!R422,"4")+0,CONCATENATE('V_DATOS PAC_SGA'!R422,"0")+0)</f>
        <v>0</v>
      </c>
      <c r="C427" s="2" t="n">
        <f aca="false">'V_DATOS PAC_SGA'!S422</f>
        <v>0</v>
      </c>
      <c r="D427" s="1409" t="n">
        <f aca="false">'V_DATOS PAC_SGA'!Y422</f>
        <v>0</v>
      </c>
      <c r="E427" s="1410" t="str">
        <f aca="false">IF('V_DATOS PAC_SGA'!AV422="","Regadio",'V_DATOS PAC_SGA'!AV422)</f>
        <v>Regadio</v>
      </c>
      <c r="F427" s="1411" t="n">
        <f aca="false">'V_DATOS PAC_SGA'!BK422</f>
        <v>0</v>
      </c>
      <c r="G427" s="1412" t="n">
        <f aca="false">'V_DATOS PAC_SGA'!AN422</f>
        <v>0</v>
      </c>
      <c r="H427" s="1413" t="str">
        <f aca="false">IF(B427&gt;0,VLOOKUP(B427,'O_MN, PE_UTA_UGM 2024'!E$3:O$419,10),"")</f>
        <v/>
      </c>
      <c r="I427" s="1470" t="n">
        <f aca="false">'V_DATOS PAC_SGA'!BV422</f>
        <v>0</v>
      </c>
      <c r="J427" s="2" t="str">
        <f aca="false">IF(AND(J$4=$G427,J$6=$F427),$D427*J$5,"")</f>
        <v/>
      </c>
      <c r="K427" s="2" t="str">
        <f aca="false">IF(AND(K$4=$G427,K$6=$F427),$D427*K$5,"")</f>
        <v/>
      </c>
      <c r="L427" s="2" t="str">
        <f aca="false">IF(AND(L$4=$G427,L$6=$F427),$D427*L$5,"")</f>
        <v/>
      </c>
      <c r="M427" s="2" t="str">
        <f aca="false">IF(AND(M$4=$G427,M$6=$F427),$D427*M$5,"")</f>
        <v/>
      </c>
      <c r="N427" s="1478" t="n">
        <f aca="false">VLOOKUP(B427,'O_MN, PE_UTA_UGM 2024'!$E$2:$K$419,IF(G427&gt;1,6,7))</f>
        <v>0</v>
      </c>
      <c r="O427" s="1435" t="str">
        <f aca="false">IF($H427=O$4,$D427*$N427,"")</f>
        <v/>
      </c>
      <c r="P427" s="1435" t="str">
        <f aca="false">IF($H427=P$4,$D427*$N427,"")</f>
        <v/>
      </c>
      <c r="Q427" s="1435" t="str">
        <f aca="false">IF($H427=Q$4,$D427*$N427,"")</f>
        <v/>
      </c>
      <c r="R427" s="1435" t="str">
        <f aca="false">IF($H427=R$4,$D427*$N427,"")</f>
        <v/>
      </c>
      <c r="S427" s="1435" t="str">
        <f aca="false">IF($H427=S$4,$D427*$N427,"")</f>
        <v/>
      </c>
      <c r="T427" s="1435" t="str">
        <f aca="false">IF($H427=T$4,$D427*$N427,"")</f>
        <v/>
      </c>
      <c r="U427" s="1435" t="str">
        <f aca="false">IF($H427=U$4,$D427*$N427,"")</f>
        <v/>
      </c>
      <c r="V427" s="1471"/>
      <c r="W427" s="1471"/>
      <c r="X427" s="1471"/>
      <c r="Y427" s="1471"/>
      <c r="Z427" s="1471"/>
      <c r="AA427" s="1471"/>
      <c r="AB427" s="1471"/>
      <c r="AC427" s="1319"/>
      <c r="AD427" s="2" t="str">
        <f aca="false">IF(AND(AD$4=$G427,AD$6=$F427),$B427,"")</f>
        <v/>
      </c>
      <c r="AE427" s="2" t="str">
        <f aca="false">IF(AND(AE$4=$G427,AE$6=$F427),$B427,"")</f>
        <v/>
      </c>
      <c r="AF427" s="2" t="str">
        <f aca="false">IF(AND(AF$4=$G427,AF$6=$F427),$B427,"")</f>
        <v/>
      </c>
      <c r="AG427" s="2" t="str">
        <f aca="false">IF(AND(AG$4=$G427,AG$6=$F427),$B427,"")</f>
        <v/>
      </c>
      <c r="AI427" s="366"/>
      <c r="AL427" s="367"/>
      <c r="AO427" s="367"/>
      <c r="AR427" s="1411"/>
      <c r="AT427" s="1422"/>
      <c r="AU427" s="1411"/>
      <c r="AV427" s="1411"/>
      <c r="AW427" s="1423"/>
      <c r="AX427" s="1423"/>
      <c r="AZ427" s="1370"/>
      <c r="BA427" s="1370"/>
      <c r="BB427" s="1370"/>
      <c r="BC427" s="1370"/>
      <c r="BD427" s="1370"/>
      <c r="BE427" s="1370"/>
      <c r="BF427" s="1370"/>
      <c r="BG427" s="1370"/>
      <c r="BH427" s="1371"/>
      <c r="BI427" s="1371"/>
      <c r="BJ427" s="1371"/>
      <c r="BK427" s="1371"/>
      <c r="BM427" s="1411"/>
      <c r="BN427" s="1411"/>
      <c r="BO427" s="1425"/>
      <c r="BP427" s="1425"/>
      <c r="BQ427" s="1425"/>
      <c r="BR427" s="1425"/>
      <c r="BS427" s="1411"/>
      <c r="BT427" s="1411"/>
      <c r="BU427" s="1411"/>
      <c r="BV427" s="1411"/>
      <c r="BW427" s="1411"/>
      <c r="BX427" s="1411"/>
      <c r="BZ427" s="1438"/>
      <c r="CA427" s="1438"/>
      <c r="CB427" s="1496"/>
      <c r="CC427" s="1496"/>
      <c r="CD427" s="1496"/>
      <c r="CE427" s="1496"/>
      <c r="CF427" s="1438"/>
      <c r="CG427" s="1438"/>
      <c r="CH427" s="1438"/>
      <c r="CI427" s="1438"/>
      <c r="CJ427" s="1438"/>
      <c r="CK427" s="1438"/>
      <c r="CU427" s="1411"/>
      <c r="CV427" s="1411"/>
      <c r="CW427" s="1425"/>
      <c r="CX427" s="1425"/>
      <c r="CY427" s="1425"/>
      <c r="CZ427" s="1425"/>
      <c r="DA427" s="1411"/>
      <c r="DB427" s="1411"/>
      <c r="DC427" s="1411"/>
      <c r="DD427" s="1411"/>
      <c r="DE427" s="1411"/>
      <c r="DF427" s="1411"/>
      <c r="DH427" s="1432"/>
      <c r="DI427" s="1432"/>
      <c r="DJ427" s="1437"/>
      <c r="DK427" s="1437"/>
      <c r="DL427" s="1437"/>
      <c r="DM427" s="1437"/>
      <c r="DN427" s="1432"/>
      <c r="DO427" s="1432"/>
      <c r="DP427" s="1432"/>
      <c r="DQ427" s="1432"/>
      <c r="DR427" s="1432"/>
      <c r="DS427" s="1432"/>
      <c r="DT427" s="1316"/>
      <c r="DU427" s="1433"/>
      <c r="DV427" s="1433"/>
      <c r="DW427" s="1433"/>
      <c r="DX427" s="1433"/>
      <c r="DY427" s="1433"/>
      <c r="DZ427" s="1433"/>
      <c r="EA427" s="1433"/>
      <c r="EB427" s="1433"/>
    </row>
    <row r="428" customFormat="false" ht="14.25" hidden="false" customHeight="false" outlineLevel="0" collapsed="false">
      <c r="A428" s="1497" t="n">
        <f aca="false">'V_DATOS PAC_SGA'!R423</f>
        <v>0</v>
      </c>
      <c r="B428" s="1497" t="n">
        <f aca="false">IF(I428="IV",CONCATENATE('V_DATOS PAC_SGA'!R423,"4")+0,CONCATENATE('V_DATOS PAC_SGA'!R423,"0")+0)</f>
        <v>0</v>
      </c>
      <c r="C428" s="1497" t="n">
        <f aca="false">'V_DATOS PAC_SGA'!S423</f>
        <v>0</v>
      </c>
      <c r="D428" s="1409" t="n">
        <f aca="false">'V_DATOS PAC_SGA'!Y423</f>
        <v>0</v>
      </c>
      <c r="E428" s="1410" t="str">
        <f aca="false">IF('V_DATOS PAC_SGA'!AV423="","Regadio",'V_DATOS PAC_SGA'!AV423)</f>
        <v>Regadio</v>
      </c>
      <c r="F428" s="1411" t="n">
        <f aca="false">'V_DATOS PAC_SGA'!BK423</f>
        <v>0</v>
      </c>
      <c r="G428" s="1412" t="n">
        <f aca="false">'V_DATOS PAC_SGA'!AN423</f>
        <v>0</v>
      </c>
      <c r="H428" s="1413" t="str">
        <f aca="false">IF(B428&gt;0,VLOOKUP(B428,'O_MN, PE_UTA_UGM 2024'!E$3:O$419,10),"")</f>
        <v/>
      </c>
      <c r="I428" s="1359" t="n">
        <f aca="false">'V_DATOS PAC_SGA'!BV423</f>
        <v>0</v>
      </c>
      <c r="J428" s="1497" t="str">
        <f aca="false">IF(AND(J$4=$G428,J$6=$F428),$D428*J$5,"")</f>
        <v/>
      </c>
      <c r="K428" s="1497" t="str">
        <f aca="false">IF(AND(K$4=$G428,K$6=$F428),$D428*K$5,"")</f>
        <v/>
      </c>
      <c r="L428" s="1497" t="str">
        <f aca="false">IF(AND(L$4=$G428,L$6=$F428),$D428*L$5,"")</f>
        <v/>
      </c>
      <c r="M428" s="1497" t="str">
        <f aca="false">IF(AND(M$4=$G428,M$6=$F428),$D428*M$5,"")</f>
        <v/>
      </c>
      <c r="N428" s="1478" t="n">
        <f aca="false">VLOOKUP(B428,'O_MN, PE_UTA_UGM 2024'!$E$2:$K$419,IF(G428&gt;1,6,7))</f>
        <v>0</v>
      </c>
      <c r="O428" s="1434" t="str">
        <f aca="false">IF($H428=O$4,$D428*$N428,"")</f>
        <v/>
      </c>
      <c r="P428" s="1435" t="str">
        <f aca="false">IF($H428=P$4,$D428*$N428,"")</f>
        <v/>
      </c>
      <c r="Q428" s="1435" t="str">
        <f aca="false">IF($H428=Q$4,$D428*$N428,"")</f>
        <v/>
      </c>
      <c r="R428" s="1435" t="str">
        <f aca="false">IF($H428=R$4,$D428*$N428,"")</f>
        <v/>
      </c>
      <c r="S428" s="1435" t="str">
        <f aca="false">IF($H428=S$4,$D428*$N428,"")</f>
        <v/>
      </c>
      <c r="T428" s="1435" t="str">
        <f aca="false">IF($H428=T$4,$D428*$N428,"")</f>
        <v/>
      </c>
      <c r="U428" s="1436" t="str">
        <f aca="false">IF($H428=U$4,$D428*$N428,"")</f>
        <v/>
      </c>
      <c r="V428" s="1472"/>
      <c r="W428" s="1471"/>
      <c r="X428" s="1471"/>
      <c r="Y428" s="1471"/>
      <c r="Z428" s="1471"/>
      <c r="AA428" s="1471"/>
      <c r="AB428" s="1473"/>
      <c r="AC428" s="1319"/>
      <c r="AD428" s="1497" t="str">
        <f aca="false">IF(AND(AD$4=$G428,AD$6=$F428),$B428,"")</f>
        <v/>
      </c>
      <c r="AE428" s="1497" t="str">
        <f aca="false">IF(AND(AE$4=$G428,AE$6=$F428),$B428,"")</f>
        <v/>
      </c>
      <c r="AF428" s="1497" t="str">
        <f aca="false">IF(AND(AF$4=$G428,AF$6=$F428),$B428,"")</f>
        <v/>
      </c>
      <c r="AG428" s="1497" t="str">
        <f aca="false">IF(AND(AG$4=$G428,AG$6=$F428),$B428,"")</f>
        <v/>
      </c>
      <c r="AH428" s="1497"/>
      <c r="AI428" s="366"/>
      <c r="AJ428" s="1497"/>
      <c r="AK428" s="1497"/>
      <c r="AL428" s="367"/>
      <c r="AM428" s="1497"/>
      <c r="AN428" s="1497"/>
      <c r="AO428" s="367"/>
      <c r="AP428" s="1497"/>
      <c r="AQ428" s="1497"/>
      <c r="AR428" s="1411"/>
      <c r="AS428" s="1497"/>
      <c r="AT428" s="1422"/>
      <c r="AU428" s="1411"/>
      <c r="AV428" s="1411"/>
      <c r="AW428" s="1423"/>
      <c r="AX428" s="1423"/>
      <c r="AY428" s="1497"/>
      <c r="AZ428" s="1370"/>
      <c r="BA428" s="1370"/>
      <c r="BB428" s="1370"/>
      <c r="BC428" s="1370"/>
      <c r="BD428" s="1370"/>
      <c r="BE428" s="1370"/>
      <c r="BF428" s="1370"/>
      <c r="BG428" s="1370"/>
      <c r="BH428" s="1371"/>
      <c r="BI428" s="1371"/>
      <c r="BJ428" s="1371"/>
      <c r="BK428" s="1371"/>
      <c r="BL428" s="1497"/>
      <c r="BM428" s="1411"/>
      <c r="BN428" s="1411"/>
      <c r="BO428" s="1425"/>
      <c r="BP428" s="1425"/>
      <c r="BQ428" s="1425"/>
      <c r="BR428" s="1425"/>
      <c r="BS428" s="1411"/>
      <c r="BT428" s="1411"/>
      <c r="BU428" s="1411"/>
      <c r="BV428" s="1411"/>
      <c r="BW428" s="1411"/>
      <c r="BX428" s="1411"/>
      <c r="BY428" s="1497"/>
      <c r="BZ428" s="1438"/>
      <c r="CA428" s="1438"/>
      <c r="CB428" s="1496"/>
      <c r="CC428" s="1496"/>
      <c r="CD428" s="1496"/>
      <c r="CE428" s="1496"/>
      <c r="CF428" s="1438"/>
      <c r="CG428" s="1438"/>
      <c r="CH428" s="1438"/>
      <c r="CI428" s="1438"/>
      <c r="CJ428" s="1438"/>
      <c r="CK428" s="1438"/>
      <c r="CL428" s="1497"/>
      <c r="CM428" s="1497"/>
      <c r="CN428" s="1497"/>
      <c r="CO428" s="1497"/>
      <c r="CP428" s="1497"/>
      <c r="CQ428" s="1497"/>
      <c r="CR428" s="1497"/>
      <c r="CS428" s="1497"/>
      <c r="CT428" s="1497"/>
      <c r="CU428" s="1411"/>
      <c r="CV428" s="1411"/>
      <c r="CW428" s="1425"/>
      <c r="CX428" s="1425"/>
      <c r="CY428" s="1425"/>
      <c r="CZ428" s="1425"/>
      <c r="DA428" s="1411"/>
      <c r="DB428" s="1411"/>
      <c r="DC428" s="1411"/>
      <c r="DD428" s="1411"/>
      <c r="DE428" s="1411"/>
      <c r="DF428" s="1411"/>
      <c r="DG428" s="1497"/>
      <c r="DH428" s="1432"/>
      <c r="DI428" s="1432"/>
      <c r="DJ428" s="1437"/>
      <c r="DK428" s="1437"/>
      <c r="DL428" s="1437"/>
      <c r="DM428" s="1437"/>
      <c r="DN428" s="1432"/>
      <c r="DO428" s="1432"/>
      <c r="DP428" s="1432"/>
      <c r="DQ428" s="1432"/>
      <c r="DR428" s="1432"/>
      <c r="DS428" s="1432"/>
      <c r="DT428" s="1316"/>
      <c r="DU428" s="1433"/>
      <c r="DV428" s="1433"/>
      <c r="DW428" s="1433"/>
      <c r="DX428" s="1433"/>
      <c r="DY428" s="1433"/>
      <c r="DZ428" s="1433"/>
      <c r="EA428" s="1433"/>
      <c r="EB428" s="1433"/>
    </row>
    <row r="429" customFormat="false" ht="14.25" hidden="false" customHeight="false" outlineLevel="0" collapsed="false">
      <c r="A429" s="1497" t="n">
        <f aca="false">'V_DATOS PAC_SGA'!R424</f>
        <v>0</v>
      </c>
      <c r="B429" s="1497" t="n">
        <f aca="false">IF(I429="IV",CONCATENATE('V_DATOS PAC_SGA'!R424,"4")+0,CONCATENATE('V_DATOS PAC_SGA'!R424,"0")+0)</f>
        <v>0</v>
      </c>
      <c r="C429" s="1497" t="n">
        <f aca="false">'V_DATOS PAC_SGA'!S424</f>
        <v>0</v>
      </c>
      <c r="D429" s="1409" t="n">
        <f aca="false">'V_DATOS PAC_SGA'!Y424</f>
        <v>0</v>
      </c>
      <c r="E429" s="1410" t="str">
        <f aca="false">IF('V_DATOS PAC_SGA'!AV424="","Regadio",'V_DATOS PAC_SGA'!AV424)</f>
        <v>Regadio</v>
      </c>
      <c r="F429" s="1411" t="n">
        <f aca="false">'V_DATOS PAC_SGA'!BK424</f>
        <v>0</v>
      </c>
      <c r="G429" s="1412" t="n">
        <f aca="false">'V_DATOS PAC_SGA'!AN424</f>
        <v>0</v>
      </c>
      <c r="H429" s="1413" t="str">
        <f aca="false">IF(B429&gt;0,VLOOKUP(B429,'O_MN, PE_UTA_UGM 2024'!E$3:O$419,10),"")</f>
        <v/>
      </c>
      <c r="I429" s="1359" t="n">
        <f aca="false">'V_DATOS PAC_SGA'!BV424</f>
        <v>0</v>
      </c>
      <c r="J429" s="1497" t="str">
        <f aca="false">IF(AND(J$4=$G429,J$6=$F429),$D429*J$5,"")</f>
        <v/>
      </c>
      <c r="K429" s="1497" t="str">
        <f aca="false">IF(AND(K$4=$G429,K$6=$F429),$D429*K$5,"")</f>
        <v/>
      </c>
      <c r="L429" s="1497" t="str">
        <f aca="false">IF(AND(L$4=$G429,L$6=$F429),$D429*L$5,"")</f>
        <v/>
      </c>
      <c r="M429" s="1497" t="str">
        <f aca="false">IF(AND(M$4=$G429,M$6=$F429),$D429*M$5,"")</f>
        <v/>
      </c>
      <c r="N429" s="1478" t="n">
        <f aca="false">VLOOKUP(B429,'O_MN, PE_UTA_UGM 2024'!$E$2:$K$419,IF(G429&gt;1,6,7))</f>
        <v>0</v>
      </c>
      <c r="O429" s="1434" t="str">
        <f aca="false">IF($H429=O$4,$D429*$N429,"")</f>
        <v/>
      </c>
      <c r="P429" s="1435" t="str">
        <f aca="false">IF($H429=P$4,$D429*$N429,"")</f>
        <v/>
      </c>
      <c r="Q429" s="1435" t="str">
        <f aca="false">IF($H429=Q$4,$D429*$N429,"")</f>
        <v/>
      </c>
      <c r="R429" s="1435" t="str">
        <f aca="false">IF($H429=R$4,$D429*$N429,"")</f>
        <v/>
      </c>
      <c r="S429" s="1435" t="str">
        <f aca="false">IF($H429=S$4,$D429*$N429,"")</f>
        <v/>
      </c>
      <c r="T429" s="1435" t="str">
        <f aca="false">IF($H429=T$4,$D429*$N429,"")</f>
        <v/>
      </c>
      <c r="U429" s="1436" t="str">
        <f aca="false">IF($H429=U$4,$D429*$N429,"")</f>
        <v/>
      </c>
      <c r="V429" s="1472"/>
      <c r="W429" s="1471"/>
      <c r="X429" s="1471"/>
      <c r="Y429" s="1471"/>
      <c r="Z429" s="1471"/>
      <c r="AA429" s="1471"/>
      <c r="AB429" s="1473"/>
      <c r="AC429" s="1319"/>
      <c r="AD429" s="1497" t="str">
        <f aca="false">IF(AND(AD$4=$G429,AD$6=$F429),$B429,"")</f>
        <v/>
      </c>
      <c r="AE429" s="1497" t="str">
        <f aca="false">IF(AND(AE$4=$G429,AE$6=$F429),$B429,"")</f>
        <v/>
      </c>
      <c r="AF429" s="1497" t="str">
        <f aca="false">IF(AND(AF$4=$G429,AF$6=$F429),$B429,"")</f>
        <v/>
      </c>
      <c r="AG429" s="1497" t="str">
        <f aca="false">IF(AND(AG$4=$G429,AG$6=$F429),$B429,"")</f>
        <v/>
      </c>
      <c r="AH429" s="1497"/>
      <c r="AI429" s="366"/>
      <c r="AJ429" s="1497"/>
      <c r="AK429" s="1497"/>
      <c r="AL429" s="367"/>
      <c r="AM429" s="1497"/>
      <c r="AN429" s="1497"/>
      <c r="AO429" s="367"/>
      <c r="AP429" s="1497"/>
      <c r="AQ429" s="1497"/>
      <c r="AR429" s="1411"/>
      <c r="AS429" s="1497"/>
      <c r="AT429" s="1422"/>
      <c r="AU429" s="1411"/>
      <c r="AV429" s="1411"/>
      <c r="AW429" s="1423"/>
      <c r="AX429" s="1423"/>
      <c r="AY429" s="1497"/>
      <c r="AZ429" s="1370"/>
      <c r="BA429" s="1370"/>
      <c r="BB429" s="1370"/>
      <c r="BC429" s="1370"/>
      <c r="BD429" s="1370"/>
      <c r="BE429" s="1370"/>
      <c r="BF429" s="1370"/>
      <c r="BG429" s="1370"/>
      <c r="BH429" s="1371"/>
      <c r="BI429" s="1371"/>
      <c r="BJ429" s="1371"/>
      <c r="BK429" s="1371"/>
      <c r="BL429" s="1497"/>
      <c r="BM429" s="1411"/>
      <c r="BN429" s="1411"/>
      <c r="BO429" s="1425"/>
      <c r="BP429" s="1425"/>
      <c r="BQ429" s="1425"/>
      <c r="BR429" s="1425"/>
      <c r="BS429" s="1411"/>
      <c r="BT429" s="1411"/>
      <c r="BU429" s="1411"/>
      <c r="BV429" s="1411"/>
      <c r="BW429" s="1411"/>
      <c r="BX429" s="1411"/>
      <c r="BY429" s="1497"/>
      <c r="BZ429" s="1438"/>
      <c r="CA429" s="1438"/>
      <c r="CB429" s="1496"/>
      <c r="CC429" s="1496"/>
      <c r="CD429" s="1496"/>
      <c r="CE429" s="1496"/>
      <c r="CF429" s="1438"/>
      <c r="CG429" s="1438"/>
      <c r="CH429" s="1497"/>
      <c r="CI429" s="1497"/>
      <c r="CJ429" s="1497"/>
      <c r="CK429" s="1497"/>
      <c r="CL429" s="1497"/>
      <c r="CM429" s="1497"/>
      <c r="CN429" s="1497"/>
      <c r="CO429" s="1497"/>
      <c r="CP429" s="1497"/>
      <c r="CQ429" s="1497"/>
      <c r="CR429" s="1497"/>
      <c r="CS429" s="1497"/>
      <c r="CT429" s="1497"/>
      <c r="CU429" s="1497"/>
      <c r="CV429" s="1497"/>
      <c r="CW429" s="1497"/>
      <c r="CX429" s="1497"/>
      <c r="CY429" s="1497"/>
      <c r="CZ429" s="1497"/>
      <c r="DA429" s="1497"/>
      <c r="DB429" s="1497"/>
      <c r="DC429" s="1497"/>
      <c r="DD429" s="1497"/>
      <c r="DE429" s="1497"/>
      <c r="DF429" s="1497"/>
      <c r="DG429" s="1497"/>
      <c r="DH429" s="1497"/>
      <c r="DI429" s="1497"/>
      <c r="DJ429" s="1497"/>
      <c r="DK429" s="1497"/>
      <c r="DL429" s="1497"/>
      <c r="DM429" s="1497"/>
      <c r="DN429" s="1497"/>
      <c r="DO429" s="1497"/>
      <c r="DP429" s="1497"/>
      <c r="DQ429" s="1497"/>
      <c r="DR429" s="1497"/>
      <c r="DS429" s="1497"/>
      <c r="DT429" s="1497"/>
      <c r="DU429" s="1497"/>
      <c r="DV429" s="1497"/>
      <c r="DW429" s="1497"/>
      <c r="DX429" s="1497"/>
      <c r="DY429" s="1497"/>
      <c r="DZ429" s="1497"/>
      <c r="EA429" s="1497"/>
      <c r="EB429" s="1497"/>
    </row>
    <row r="430" customFormat="false" ht="14.25" hidden="false" customHeight="false" outlineLevel="0" collapsed="false">
      <c r="A430" s="2" t="n">
        <f aca="false">'V_DATOS PAC_SGA'!R425</f>
        <v>0</v>
      </c>
      <c r="B430" s="2" t="n">
        <f aca="false">IF(I430="IV",CONCATENATE('V_DATOS PAC_SGA'!R425,"4")+0,CONCATENATE('V_DATOS PAC_SGA'!R425,"0")+0)</f>
        <v>0</v>
      </c>
      <c r="C430" s="2" t="n">
        <f aca="false">'V_DATOS PAC_SGA'!S425</f>
        <v>0</v>
      </c>
      <c r="D430" s="1409" t="n">
        <f aca="false">'V_DATOS PAC_SGA'!Y425</f>
        <v>0</v>
      </c>
      <c r="E430" s="1410" t="str">
        <f aca="false">IF('V_DATOS PAC_SGA'!AV425="","Regadio",'V_DATOS PAC_SGA'!AV425)</f>
        <v>Regadio</v>
      </c>
      <c r="F430" s="1411" t="n">
        <f aca="false">'V_DATOS PAC_SGA'!BK425</f>
        <v>0</v>
      </c>
      <c r="G430" s="1412" t="n">
        <f aca="false">'V_DATOS PAC_SGA'!AN425</f>
        <v>0</v>
      </c>
      <c r="H430" s="1413" t="str">
        <f aca="false">IF(B430&gt;0,VLOOKUP(B430,'O_MN, PE_UTA_UGM 2024'!E$3:O$419,10),"")</f>
        <v/>
      </c>
      <c r="I430" s="1359" t="n">
        <f aca="false">'V_DATOS PAC_SGA'!BV425</f>
        <v>0</v>
      </c>
      <c r="J430" s="2" t="str">
        <f aca="false">IF(AND(J$4=$G430,J$6=$F430),$D430*J$5,"")</f>
        <v/>
      </c>
      <c r="K430" s="2" t="str">
        <f aca="false">IF(AND(K$4=$G430,K$6=$F430),$D430*K$5,"")</f>
        <v/>
      </c>
      <c r="L430" s="2" t="str">
        <f aca="false">IF(AND(L$4=$G430,L$6=$F430),$D430*L$5,"")</f>
        <v/>
      </c>
      <c r="M430" s="2" t="str">
        <f aca="false">IF(AND(M$4=$G430,M$6=$F430),$D430*M$5,"")</f>
        <v/>
      </c>
      <c r="N430" s="1478" t="n">
        <f aca="false">VLOOKUP(B430,'O_MN, PE_UTA_UGM 2024'!$E$2:$K$419,IF(G430&gt;1,6,7))</f>
        <v>0</v>
      </c>
      <c r="O430" s="1434" t="str">
        <f aca="false">IF($H430=O$4,$D430*$N430,"")</f>
        <v/>
      </c>
      <c r="P430" s="1435" t="str">
        <f aca="false">IF($H430=P$4,$D430*$N430,"")</f>
        <v/>
      </c>
      <c r="Q430" s="1435" t="str">
        <f aca="false">IF($H430=Q$4,$D430*$N430,"")</f>
        <v/>
      </c>
      <c r="R430" s="1435" t="str">
        <f aca="false">IF($H430=R$4,$D430*$N430,"")</f>
        <v/>
      </c>
      <c r="S430" s="1435" t="str">
        <f aca="false">IF($H430=S$4,$D430*$N430,"")</f>
        <v/>
      </c>
      <c r="T430" s="1435" t="str">
        <f aca="false">IF($H430=T$4,$D430*$N430,"")</f>
        <v/>
      </c>
      <c r="U430" s="1436" t="str">
        <f aca="false">IF($H430=U$4,$D430*$N430,"")</f>
        <v/>
      </c>
      <c r="V430" s="1472"/>
      <c r="W430" s="1471"/>
      <c r="X430" s="1471"/>
      <c r="Y430" s="1471"/>
      <c r="Z430" s="1471"/>
      <c r="AA430" s="1471"/>
      <c r="AB430" s="1473"/>
      <c r="AC430" s="1319"/>
      <c r="AD430" s="2" t="str">
        <f aca="false">IF(AND(AD$4=$G430,AD$6=$F430),$B430,"")</f>
        <v/>
      </c>
      <c r="AE430" s="2" t="str">
        <f aca="false">IF(AND(AE$4=$G430,AE$6=$F430),$B430,"")</f>
        <v/>
      </c>
      <c r="AF430" s="2" t="str">
        <f aca="false">IF(AND(AF$4=$G430,AF$6=$F430),$B430,"")</f>
        <v/>
      </c>
      <c r="AG430" s="2" t="str">
        <f aca="false">IF(AND(AG$4=$G430,AG$6=$F430),$B430,"")</f>
        <v/>
      </c>
      <c r="AI430" s="366"/>
      <c r="AL430" s="367"/>
      <c r="AO430" s="367"/>
      <c r="AR430" s="1411"/>
      <c r="AT430" s="1422"/>
      <c r="AU430" s="1411"/>
      <c r="AV430" s="1411"/>
      <c r="AW430" s="1423"/>
      <c r="AX430" s="1423"/>
      <c r="AZ430" s="1370"/>
      <c r="BA430" s="1370"/>
      <c r="BB430" s="1370"/>
      <c r="BC430" s="1370"/>
      <c r="BD430" s="1370"/>
      <c r="BE430" s="1370"/>
      <c r="BF430" s="1370"/>
      <c r="BG430" s="1370"/>
      <c r="BH430" s="1371"/>
      <c r="BI430" s="1371"/>
      <c r="BJ430" s="1371"/>
      <c r="BK430" s="1371"/>
      <c r="BM430" s="1411"/>
      <c r="BN430" s="1411"/>
      <c r="BO430" s="1425"/>
      <c r="BP430" s="1425"/>
      <c r="BQ430" s="1425"/>
      <c r="BR430" s="1425"/>
      <c r="BS430" s="1411"/>
      <c r="BT430" s="1411"/>
      <c r="BU430" s="1411"/>
      <c r="BV430" s="1411"/>
      <c r="BW430" s="1411"/>
      <c r="BX430" s="1411"/>
      <c r="BZ430" s="1438"/>
      <c r="CA430" s="1438"/>
      <c r="CB430" s="1496"/>
      <c r="CC430" s="1496"/>
      <c r="CD430" s="1496"/>
      <c r="CE430" s="1496"/>
      <c r="CF430" s="1438"/>
      <c r="CG430" s="1438"/>
      <c r="CH430" s="1438"/>
      <c r="CI430" s="1438"/>
      <c r="CJ430" s="1438"/>
      <c r="CK430" s="1438"/>
      <c r="CU430" s="1411"/>
      <c r="CV430" s="1411"/>
      <c r="CW430" s="1425"/>
      <c r="CX430" s="1425"/>
      <c r="CY430" s="1425"/>
      <c r="CZ430" s="1425"/>
      <c r="DA430" s="1411"/>
      <c r="DB430" s="1411"/>
      <c r="DC430" s="1411"/>
      <c r="DD430" s="1411"/>
      <c r="DE430" s="1411"/>
      <c r="DF430" s="1411"/>
      <c r="DH430" s="1432"/>
      <c r="DI430" s="1432"/>
      <c r="DJ430" s="1437"/>
      <c r="DK430" s="1437"/>
      <c r="DL430" s="1437"/>
      <c r="DM430" s="1437"/>
      <c r="DN430" s="1432"/>
      <c r="DO430" s="1432"/>
      <c r="DP430" s="1432"/>
      <c r="DQ430" s="1432"/>
      <c r="DR430" s="1432"/>
      <c r="DS430" s="1432"/>
      <c r="DT430" s="1316"/>
      <c r="DU430" s="1433"/>
      <c r="DV430" s="1433"/>
      <c r="DW430" s="1433"/>
      <c r="DX430" s="1433"/>
      <c r="DY430" s="1433"/>
      <c r="DZ430" s="1433"/>
      <c r="EA430" s="1433"/>
      <c r="EB430" s="1433"/>
    </row>
    <row r="431" customFormat="false" ht="14.25" hidden="false" customHeight="false" outlineLevel="0" collapsed="false">
      <c r="A431" s="2" t="n">
        <f aca="false">'V_DATOS PAC_SGA'!R426</f>
        <v>0</v>
      </c>
      <c r="B431" s="2" t="n">
        <f aca="false">IF(I431="IV",CONCATENATE('V_DATOS PAC_SGA'!R426,"4")+0,CONCATENATE('V_DATOS PAC_SGA'!R426,"0")+0)</f>
        <v>0</v>
      </c>
      <c r="C431" s="2" t="n">
        <f aca="false">'V_DATOS PAC_SGA'!S426</f>
        <v>0</v>
      </c>
      <c r="D431" s="1409" t="n">
        <f aca="false">'V_DATOS PAC_SGA'!Y426</f>
        <v>0</v>
      </c>
      <c r="E431" s="1410" t="str">
        <f aca="false">IF('V_DATOS PAC_SGA'!AV426="","Regadio",'V_DATOS PAC_SGA'!AV426)</f>
        <v>Regadio</v>
      </c>
      <c r="F431" s="1411" t="n">
        <f aca="false">'V_DATOS PAC_SGA'!BK426</f>
        <v>0</v>
      </c>
      <c r="G431" s="1412" t="n">
        <f aca="false">'V_DATOS PAC_SGA'!AN426</f>
        <v>0</v>
      </c>
      <c r="H431" s="1413" t="str">
        <f aca="false">IF(B431&gt;0,VLOOKUP(B431,'O_MN, PE_UTA_UGM 2024'!E$3:O$419,10),"")</f>
        <v/>
      </c>
      <c r="I431" s="1359" t="n">
        <f aca="false">'V_DATOS PAC_SGA'!BV426</f>
        <v>0</v>
      </c>
      <c r="J431" s="2" t="str">
        <f aca="false">IF(AND(J$4=$G431,J$6=$F431),$D431*J$5,"")</f>
        <v/>
      </c>
      <c r="K431" s="2" t="str">
        <f aca="false">IF(AND(K$4=$G431,K$6=$F431),$D431*K$5,"")</f>
        <v/>
      </c>
      <c r="L431" s="2" t="str">
        <f aca="false">IF(AND(L$4=$G431,L$6=$F431),$D431*L$5,"")</f>
        <v/>
      </c>
      <c r="M431" s="2" t="str">
        <f aca="false">IF(AND(M$4=$G431,M$6=$F431),$D431*M$5,"")</f>
        <v/>
      </c>
      <c r="N431" s="1478" t="n">
        <f aca="false">VLOOKUP(B431,'O_MN, PE_UTA_UGM 2024'!$E$2:$K$419,IF(G431&gt;1,6,7))</f>
        <v>0</v>
      </c>
      <c r="O431" s="1434" t="str">
        <f aca="false">IF($H431=O$4,$D431*$N431,"")</f>
        <v/>
      </c>
      <c r="P431" s="1435" t="str">
        <f aca="false">IF($H431=P$4,$D431*$N431,"")</f>
        <v/>
      </c>
      <c r="Q431" s="1435" t="str">
        <f aca="false">IF($H431=Q$4,$D431*$N431,"")</f>
        <v/>
      </c>
      <c r="R431" s="1435" t="str">
        <f aca="false">IF($H431=R$4,$D431*$N431,"")</f>
        <v/>
      </c>
      <c r="S431" s="1435" t="str">
        <f aca="false">IF($H431=S$4,$D431*$N431,"")</f>
        <v/>
      </c>
      <c r="T431" s="1435" t="str">
        <f aca="false">IF($H431=T$4,$D431*$N431,"")</f>
        <v/>
      </c>
      <c r="U431" s="1436" t="str">
        <f aca="false">IF($H431=U$4,$D431*$N431,"")</f>
        <v/>
      </c>
      <c r="V431" s="1472"/>
      <c r="W431" s="1471"/>
      <c r="X431" s="1471"/>
      <c r="Y431" s="1471"/>
      <c r="Z431" s="1471"/>
      <c r="AA431" s="1471"/>
      <c r="AB431" s="1473"/>
      <c r="AC431" s="1319"/>
      <c r="AD431" s="2" t="str">
        <f aca="false">IF(AND(AD$4=$G431,AD$6=$F431),$B431,"")</f>
        <v/>
      </c>
      <c r="AE431" s="2" t="str">
        <f aca="false">IF(AND(AE$4=$G431,AE$6=$F431),$B431,"")</f>
        <v/>
      </c>
      <c r="AF431" s="2" t="str">
        <f aca="false">IF(AND(AF$4=$G431,AF$6=$F431),$B431,"")</f>
        <v/>
      </c>
      <c r="AG431" s="2" t="str">
        <f aca="false">IF(AND(AG$4=$G431,AG$6=$F431),$B431,"")</f>
        <v/>
      </c>
      <c r="AI431" s="366"/>
      <c r="AL431" s="367"/>
      <c r="AO431" s="367"/>
      <c r="AR431" s="1411"/>
      <c r="AT431" s="1422"/>
      <c r="AU431" s="1411"/>
      <c r="AV431" s="1411"/>
      <c r="AW431" s="1423"/>
      <c r="AX431" s="1423"/>
      <c r="AZ431" s="1370"/>
      <c r="BA431" s="1370"/>
      <c r="BB431" s="1370"/>
      <c r="BC431" s="1370"/>
      <c r="BD431" s="1370"/>
      <c r="BE431" s="1370"/>
      <c r="BF431" s="1370"/>
      <c r="BG431" s="1370"/>
      <c r="BH431" s="1371"/>
      <c r="BI431" s="1371"/>
      <c r="BJ431" s="1371"/>
      <c r="BK431" s="1371"/>
      <c r="BM431" s="1411"/>
      <c r="BN431" s="1411"/>
      <c r="BO431" s="1425"/>
      <c r="BP431" s="1425"/>
      <c r="BQ431" s="1425"/>
      <c r="BR431" s="1425"/>
      <c r="BS431" s="1411"/>
      <c r="BT431" s="1411"/>
      <c r="BU431" s="1411"/>
      <c r="BV431" s="1411"/>
      <c r="BW431" s="1411"/>
      <c r="BX431" s="1411"/>
      <c r="BZ431" s="1438"/>
      <c r="CA431" s="1438"/>
      <c r="CB431" s="1496"/>
      <c r="CC431" s="1496"/>
      <c r="CD431" s="1496"/>
      <c r="CE431" s="1496"/>
      <c r="CF431" s="1438"/>
      <c r="CG431" s="1438"/>
      <c r="CH431" s="1438"/>
      <c r="CI431" s="1438"/>
      <c r="CJ431" s="1438"/>
      <c r="CK431" s="1438"/>
      <c r="CU431" s="1411"/>
      <c r="CV431" s="1411"/>
      <c r="CW431" s="1425"/>
      <c r="CX431" s="1425"/>
      <c r="CY431" s="1425"/>
      <c r="CZ431" s="1425"/>
      <c r="DA431" s="1411"/>
      <c r="DB431" s="1411"/>
      <c r="DC431" s="1411"/>
      <c r="DD431" s="1411"/>
      <c r="DE431" s="1411"/>
      <c r="DF431" s="1411"/>
      <c r="DH431" s="1432"/>
      <c r="DI431" s="1432"/>
      <c r="DJ431" s="1437"/>
      <c r="DK431" s="1437"/>
      <c r="DL431" s="1437"/>
      <c r="DM431" s="1437"/>
      <c r="DN431" s="1432"/>
      <c r="DO431" s="1432"/>
      <c r="DP431" s="1432"/>
      <c r="DQ431" s="1432"/>
      <c r="DR431" s="1432"/>
      <c r="DS431" s="1432"/>
      <c r="DT431" s="1316"/>
      <c r="DU431" s="1433"/>
      <c r="DV431" s="1433"/>
      <c r="DW431" s="1433"/>
      <c r="DX431" s="1433"/>
      <c r="DY431" s="1433"/>
      <c r="DZ431" s="1433"/>
      <c r="EA431" s="1433"/>
      <c r="EB431" s="1433"/>
    </row>
    <row r="432" customFormat="false" ht="14.25" hidden="false" customHeight="false" outlineLevel="0" collapsed="false">
      <c r="A432" s="2" t="n">
        <f aca="false">'V_DATOS PAC_SGA'!R427</f>
        <v>0</v>
      </c>
      <c r="B432" s="2" t="n">
        <f aca="false">IF(I432="IV",CONCATENATE('V_DATOS PAC_SGA'!R427,"4")+0,CONCATENATE('V_DATOS PAC_SGA'!R427,"0")+0)</f>
        <v>0</v>
      </c>
      <c r="C432" s="2" t="n">
        <f aca="false">'V_DATOS PAC_SGA'!S427</f>
        <v>0</v>
      </c>
      <c r="D432" s="1409" t="n">
        <f aca="false">'V_DATOS PAC_SGA'!Y427</f>
        <v>0</v>
      </c>
      <c r="E432" s="1410" t="str">
        <f aca="false">IF('V_DATOS PAC_SGA'!AV427="","Regadio",'V_DATOS PAC_SGA'!AV427)</f>
        <v>Regadio</v>
      </c>
      <c r="F432" s="1411" t="n">
        <f aca="false">'V_DATOS PAC_SGA'!BK427</f>
        <v>0</v>
      </c>
      <c r="G432" s="1412" t="n">
        <f aca="false">'V_DATOS PAC_SGA'!AN427</f>
        <v>0</v>
      </c>
      <c r="H432" s="1413" t="str">
        <f aca="false">IF(B432&gt;0,VLOOKUP(B432,'O_MN, PE_UTA_UGM 2024'!E$3:O$419,10),"")</f>
        <v/>
      </c>
      <c r="I432" s="1359" t="n">
        <f aca="false">'V_DATOS PAC_SGA'!BV427</f>
        <v>0</v>
      </c>
      <c r="J432" s="2" t="str">
        <f aca="false">IF(AND(J$4=$G432,J$6=$F432),$D432*J$5,"")</f>
        <v/>
      </c>
      <c r="K432" s="2" t="str">
        <f aca="false">IF(AND(K$4=$G432,K$6=$F432),$D432*K$5,"")</f>
        <v/>
      </c>
      <c r="L432" s="2" t="str">
        <f aca="false">IF(AND(L$4=$G432,L$6=$F432),$D432*L$5,"")</f>
        <v/>
      </c>
      <c r="M432" s="2" t="str">
        <f aca="false">IF(AND(M$4=$G432,M$6=$F432),$D432*M$5,"")</f>
        <v/>
      </c>
      <c r="N432" s="1478" t="n">
        <f aca="false">VLOOKUP(B432,'O_MN, PE_UTA_UGM 2024'!$E$2:$K$419,IF(G432&gt;1,6,7))</f>
        <v>0</v>
      </c>
      <c r="O432" s="1434" t="str">
        <f aca="false">IF($H432=O$4,$D432*$N432,"")</f>
        <v/>
      </c>
      <c r="P432" s="1435" t="str">
        <f aca="false">IF($H432=P$4,$D432*$N432,"")</f>
        <v/>
      </c>
      <c r="Q432" s="1435" t="str">
        <f aca="false">IF($H432=Q$4,$D432*$N432,"")</f>
        <v/>
      </c>
      <c r="R432" s="1435" t="str">
        <f aca="false">IF($H432=R$4,$D432*$N432,"")</f>
        <v/>
      </c>
      <c r="S432" s="1435" t="str">
        <f aca="false">IF($H432=S$4,$D432*$N432,"")</f>
        <v/>
      </c>
      <c r="T432" s="1435" t="str">
        <f aca="false">IF($H432=T$4,$D432*$N432,"")</f>
        <v/>
      </c>
      <c r="U432" s="1436" t="str">
        <f aca="false">IF($H432=U$4,$D432*$N432,"")</f>
        <v/>
      </c>
      <c r="V432" s="1472"/>
      <c r="W432" s="1471"/>
      <c r="X432" s="1471"/>
      <c r="Y432" s="1471"/>
      <c r="Z432" s="1471"/>
      <c r="AA432" s="1471"/>
      <c r="AB432" s="1473"/>
      <c r="AC432" s="1319"/>
      <c r="AD432" s="2" t="str">
        <f aca="false">IF(AND(AD$4=$G432,AD$6=$F432),$B432,"")</f>
        <v/>
      </c>
      <c r="AE432" s="2" t="str">
        <f aca="false">IF(AND(AE$4=$G432,AE$6=$F432),$B432,"")</f>
        <v/>
      </c>
      <c r="AF432" s="2" t="str">
        <f aca="false">IF(AND(AF$4=$G432,AF$6=$F432),$B432,"")</f>
        <v/>
      </c>
      <c r="AG432" s="2" t="str">
        <f aca="false">IF(AND(AG$4=$G432,AG$6=$F432),$B432,"")</f>
        <v/>
      </c>
      <c r="AI432" s="366"/>
      <c r="AL432" s="367"/>
      <c r="AO432" s="367"/>
      <c r="AR432" s="1411"/>
      <c r="AT432" s="1422"/>
      <c r="AU432" s="1411"/>
      <c r="AV432" s="1411"/>
      <c r="AW432" s="1423"/>
      <c r="AX432" s="1423"/>
      <c r="AZ432" s="1370"/>
      <c r="BA432" s="1370"/>
      <c r="BB432" s="1370"/>
      <c r="BC432" s="1370"/>
      <c r="BD432" s="1370"/>
      <c r="BE432" s="1370"/>
      <c r="BF432" s="1370"/>
      <c r="BG432" s="1370"/>
      <c r="BH432" s="1371"/>
      <c r="BI432" s="1371"/>
      <c r="BJ432" s="1371"/>
      <c r="BK432" s="1371"/>
      <c r="BM432" s="1411"/>
      <c r="BN432" s="1411"/>
      <c r="BO432" s="1425"/>
      <c r="BP432" s="1425"/>
      <c r="BQ432" s="1425"/>
      <c r="BR432" s="1425"/>
      <c r="BS432" s="1411"/>
      <c r="BT432" s="1411"/>
      <c r="BU432" s="1411"/>
      <c r="BV432" s="1411"/>
      <c r="BW432" s="1411"/>
      <c r="BX432" s="1411"/>
      <c r="BZ432" s="1438"/>
      <c r="CA432" s="1438"/>
      <c r="CB432" s="1496"/>
      <c r="CC432" s="1496"/>
      <c r="CD432" s="1496"/>
      <c r="CE432" s="1496"/>
      <c r="CF432" s="1438"/>
      <c r="CG432" s="1438"/>
      <c r="CH432" s="1438"/>
      <c r="CI432" s="1438"/>
      <c r="CJ432" s="1438"/>
      <c r="CK432" s="1438"/>
      <c r="CU432" s="1411"/>
      <c r="CV432" s="1411"/>
      <c r="CW432" s="1425"/>
      <c r="CX432" s="1425"/>
      <c r="CY432" s="1425"/>
      <c r="CZ432" s="1425"/>
      <c r="DA432" s="1411"/>
      <c r="DB432" s="1411"/>
      <c r="DC432" s="1411"/>
      <c r="DD432" s="1411"/>
      <c r="DE432" s="1411"/>
      <c r="DF432" s="1411"/>
      <c r="DH432" s="1432"/>
      <c r="DI432" s="1432"/>
      <c r="DJ432" s="1437"/>
      <c r="DK432" s="1437"/>
      <c r="DL432" s="1437"/>
      <c r="DM432" s="1437"/>
      <c r="DN432" s="1432"/>
      <c r="DO432" s="1432"/>
      <c r="DP432" s="1432"/>
      <c r="DQ432" s="1432"/>
      <c r="DR432" s="1432"/>
      <c r="DS432" s="1432"/>
      <c r="DT432" s="1316"/>
      <c r="DU432" s="1433"/>
      <c r="DV432" s="1433"/>
      <c r="DW432" s="1433"/>
      <c r="DX432" s="1433"/>
      <c r="DY432" s="1433"/>
      <c r="DZ432" s="1433"/>
      <c r="EA432" s="1433"/>
      <c r="EB432" s="1433"/>
    </row>
    <row r="433" customFormat="false" ht="14.25" hidden="false" customHeight="false" outlineLevel="0" collapsed="false">
      <c r="A433" s="2" t="n">
        <f aca="false">'V_DATOS PAC_SGA'!R428</f>
        <v>0</v>
      </c>
      <c r="B433" s="2" t="n">
        <f aca="false">IF(I433="IV",CONCATENATE('V_DATOS PAC_SGA'!R428,"4")+0,CONCATENATE('V_DATOS PAC_SGA'!R428,"0")+0)</f>
        <v>0</v>
      </c>
      <c r="C433" s="2" t="n">
        <f aca="false">'V_DATOS PAC_SGA'!S428</f>
        <v>0</v>
      </c>
      <c r="D433" s="1409" t="n">
        <f aca="false">'V_DATOS PAC_SGA'!Y428</f>
        <v>0</v>
      </c>
      <c r="E433" s="1410" t="str">
        <f aca="false">IF('V_DATOS PAC_SGA'!AV428="","Regadio",'V_DATOS PAC_SGA'!AV428)</f>
        <v>Regadio</v>
      </c>
      <c r="F433" s="1411" t="n">
        <f aca="false">'V_DATOS PAC_SGA'!BK428</f>
        <v>0</v>
      </c>
      <c r="G433" s="1412" t="n">
        <f aca="false">'V_DATOS PAC_SGA'!AN428</f>
        <v>0</v>
      </c>
      <c r="H433" s="1413" t="str">
        <f aca="false">IF(B433&gt;0,VLOOKUP(B433,'O_MN, PE_UTA_UGM 2024'!E$3:O$419,10),"")</f>
        <v/>
      </c>
      <c r="I433" s="1359" t="n">
        <f aca="false">'V_DATOS PAC_SGA'!BV428</f>
        <v>0</v>
      </c>
      <c r="J433" s="2" t="str">
        <f aca="false">IF(AND(J$4=$G433,J$6=$F433),$D433*J$5,"")</f>
        <v/>
      </c>
      <c r="K433" s="2" t="str">
        <f aca="false">IF(AND(K$4=$G433,K$6=$F433),$D433*K$5,"")</f>
        <v/>
      </c>
      <c r="L433" s="2" t="str">
        <f aca="false">IF(AND(L$4=$G433,L$6=$F433),$D433*L$5,"")</f>
        <v/>
      </c>
      <c r="M433" s="2" t="str">
        <f aca="false">IF(AND(M$4=$G433,M$6=$F433),$D433*M$5,"")</f>
        <v/>
      </c>
      <c r="N433" s="1478" t="n">
        <f aca="false">VLOOKUP(B433,'O_MN, PE_UTA_UGM 2024'!$E$2:$K$419,IF(G433&gt;1,6,7))</f>
        <v>0</v>
      </c>
      <c r="O433" s="1434" t="str">
        <f aca="false">IF($H433=O$4,$D433*$N433,"")</f>
        <v/>
      </c>
      <c r="P433" s="1435" t="str">
        <f aca="false">IF($H433=P$4,$D433*$N433,"")</f>
        <v/>
      </c>
      <c r="Q433" s="1435" t="str">
        <f aca="false">IF($H433=Q$4,$D433*$N433,"")</f>
        <v/>
      </c>
      <c r="R433" s="1435" t="str">
        <f aca="false">IF($H433=R$4,$D433*$N433,"")</f>
        <v/>
      </c>
      <c r="S433" s="1435" t="str">
        <f aca="false">IF($H433=S$4,$D433*$N433,"")</f>
        <v/>
      </c>
      <c r="T433" s="1435" t="str">
        <f aca="false">IF($H433=T$4,$D433*$N433,"")</f>
        <v/>
      </c>
      <c r="U433" s="1436" t="str">
        <f aca="false">IF($H433=U$4,$D433*$N433,"")</f>
        <v/>
      </c>
      <c r="V433" s="1472"/>
      <c r="W433" s="1471"/>
      <c r="X433" s="1471"/>
      <c r="Y433" s="1471"/>
      <c r="Z433" s="1471"/>
      <c r="AA433" s="1471"/>
      <c r="AB433" s="1473"/>
      <c r="AC433" s="1319"/>
      <c r="AD433" s="2" t="str">
        <f aca="false">IF(AND(AD$4=$G433,AD$6=$F433),$B433,"")</f>
        <v/>
      </c>
      <c r="AE433" s="2" t="str">
        <f aca="false">IF(AND(AE$4=$G433,AE$6=$F433),$B433,"")</f>
        <v/>
      </c>
      <c r="AF433" s="2" t="str">
        <f aca="false">IF(AND(AF$4=$G433,AF$6=$F433),$B433,"")</f>
        <v/>
      </c>
      <c r="AG433" s="2" t="str">
        <f aca="false">IF(AND(AG$4=$G433,AG$6=$F433),$B433,"")</f>
        <v/>
      </c>
      <c r="AI433" s="366"/>
      <c r="AL433" s="367"/>
      <c r="AO433" s="367"/>
      <c r="AR433" s="1411"/>
      <c r="AT433" s="1422"/>
      <c r="AU433" s="1411"/>
      <c r="AV433" s="1411"/>
      <c r="AW433" s="1423"/>
      <c r="AX433" s="1423"/>
      <c r="AZ433" s="1370"/>
      <c r="BA433" s="1370"/>
      <c r="BB433" s="1370"/>
      <c r="BC433" s="1370"/>
      <c r="BD433" s="1370"/>
      <c r="BE433" s="1370"/>
      <c r="BF433" s="1370"/>
      <c r="BG433" s="1370"/>
      <c r="BH433" s="1371"/>
      <c r="BI433" s="1371"/>
      <c r="BJ433" s="1371"/>
      <c r="BK433" s="1371"/>
      <c r="BM433" s="1411"/>
      <c r="BN433" s="1411"/>
      <c r="BO433" s="1425"/>
      <c r="BP433" s="1425"/>
      <c r="BQ433" s="1425"/>
      <c r="BR433" s="1425"/>
      <c r="BS433" s="1411"/>
      <c r="BT433" s="1411"/>
      <c r="BU433" s="1411"/>
      <c r="BV433" s="1411"/>
      <c r="BW433" s="1411"/>
      <c r="BX433" s="1411"/>
      <c r="BZ433" s="1438"/>
      <c r="CA433" s="1438"/>
      <c r="CB433" s="1496"/>
      <c r="CC433" s="1496"/>
      <c r="CD433" s="1496"/>
      <c r="CE433" s="1496"/>
      <c r="CF433" s="1438"/>
      <c r="CG433" s="1438"/>
      <c r="CH433" s="1438"/>
      <c r="CI433" s="1438"/>
      <c r="CJ433" s="1438"/>
      <c r="CK433" s="1438"/>
      <c r="CU433" s="1411"/>
      <c r="CV433" s="1411"/>
      <c r="CW433" s="1425"/>
      <c r="CX433" s="1425"/>
      <c r="CY433" s="1425"/>
      <c r="CZ433" s="1425"/>
      <c r="DA433" s="1411"/>
      <c r="DB433" s="1411"/>
      <c r="DC433" s="1411"/>
      <c r="DD433" s="1411"/>
      <c r="DE433" s="1411"/>
      <c r="DF433" s="1411"/>
      <c r="DH433" s="1432"/>
      <c r="DI433" s="1432"/>
      <c r="DJ433" s="1437"/>
      <c r="DK433" s="1437"/>
      <c r="DL433" s="1437"/>
      <c r="DM433" s="1437"/>
      <c r="DN433" s="1432"/>
      <c r="DO433" s="1432"/>
      <c r="DP433" s="1432"/>
      <c r="DQ433" s="1432"/>
      <c r="DR433" s="1432"/>
      <c r="DS433" s="1432"/>
      <c r="DT433" s="1316"/>
      <c r="DU433" s="1433"/>
      <c r="DV433" s="1433"/>
      <c r="DW433" s="1433"/>
      <c r="DX433" s="1433"/>
      <c r="DY433" s="1433"/>
      <c r="DZ433" s="1433"/>
      <c r="EA433" s="1433"/>
      <c r="EB433" s="1433"/>
    </row>
    <row r="434" customFormat="false" ht="14.25" hidden="false" customHeight="false" outlineLevel="0" collapsed="false">
      <c r="A434" s="2" t="n">
        <f aca="false">'V_DATOS PAC_SGA'!R429</f>
        <v>0</v>
      </c>
      <c r="B434" s="2" t="n">
        <f aca="false">IF(I434="IV",CONCATENATE('V_DATOS PAC_SGA'!R429,"4")+0,CONCATENATE('V_DATOS PAC_SGA'!R429,"0")+0)</f>
        <v>0</v>
      </c>
      <c r="C434" s="2" t="n">
        <f aca="false">'V_DATOS PAC_SGA'!S429</f>
        <v>0</v>
      </c>
      <c r="D434" s="1409" t="n">
        <f aca="false">'V_DATOS PAC_SGA'!Y429</f>
        <v>0</v>
      </c>
      <c r="E434" s="1410" t="str">
        <f aca="false">IF('V_DATOS PAC_SGA'!AV429="","Regadio",'V_DATOS PAC_SGA'!AV429)</f>
        <v>Regadio</v>
      </c>
      <c r="F434" s="1411" t="n">
        <f aca="false">'V_DATOS PAC_SGA'!BK429</f>
        <v>0</v>
      </c>
      <c r="G434" s="1412" t="n">
        <f aca="false">'V_DATOS PAC_SGA'!AN429</f>
        <v>0</v>
      </c>
      <c r="H434" s="1413" t="str">
        <f aca="false">IF(B434&gt;0,VLOOKUP(B434,'O_MN, PE_UTA_UGM 2024'!E$3:O$419,10),"")</f>
        <v/>
      </c>
      <c r="I434" s="1359" t="n">
        <f aca="false">'V_DATOS PAC_SGA'!BV429</f>
        <v>0</v>
      </c>
      <c r="J434" s="2" t="str">
        <f aca="false">IF(AND(J$4=$G434,J$6=$F434),$D434*J$5,"")</f>
        <v/>
      </c>
      <c r="K434" s="2" t="str">
        <f aca="false">IF(AND(K$4=$G434,K$6=$F434),$D434*K$5,"")</f>
        <v/>
      </c>
      <c r="L434" s="2" t="str">
        <f aca="false">IF(AND(L$4=$G434,L$6=$F434),$D434*L$5,"")</f>
        <v/>
      </c>
      <c r="M434" s="2" t="str">
        <f aca="false">IF(AND(M$4=$G434,M$6=$F434),$D434*M$5,"")</f>
        <v/>
      </c>
      <c r="N434" s="1478" t="n">
        <f aca="false">VLOOKUP(B434,'O_MN, PE_UTA_UGM 2024'!$E$2:$K$419,IF(G434&gt;1,6,7))</f>
        <v>0</v>
      </c>
      <c r="O434" s="1434" t="str">
        <f aca="false">IF($H434=O$4,$D434*$N434,"")</f>
        <v/>
      </c>
      <c r="P434" s="1435" t="str">
        <f aca="false">IF($H434=P$4,$D434*$N434,"")</f>
        <v/>
      </c>
      <c r="Q434" s="1435" t="str">
        <f aca="false">IF($H434=Q$4,$D434*$N434,"")</f>
        <v/>
      </c>
      <c r="R434" s="1435" t="str">
        <f aca="false">IF($H434=R$4,$D434*$N434,"")</f>
        <v/>
      </c>
      <c r="S434" s="1435" t="str">
        <f aca="false">IF($H434=S$4,$D434*$N434,"")</f>
        <v/>
      </c>
      <c r="T434" s="1435" t="str">
        <f aca="false">IF($H434=T$4,$D434*$N434,"")</f>
        <v/>
      </c>
      <c r="U434" s="1436" t="str">
        <f aca="false">IF($H434=U$4,$D434*$N434,"")</f>
        <v/>
      </c>
      <c r="V434" s="1472"/>
      <c r="W434" s="1471"/>
      <c r="X434" s="1471"/>
      <c r="Y434" s="1471"/>
      <c r="Z434" s="1471"/>
      <c r="AA434" s="1471"/>
      <c r="AB434" s="1473"/>
      <c r="AC434" s="1319"/>
      <c r="AD434" s="2" t="str">
        <f aca="false">IF(AND(AD$4=$G434,AD$6=$F434),$B434,"")</f>
        <v/>
      </c>
      <c r="AE434" s="2" t="str">
        <f aca="false">IF(AND(AE$4=$G434,AE$6=$F434),$B434,"")</f>
        <v/>
      </c>
      <c r="AF434" s="2" t="str">
        <f aca="false">IF(AND(AF$4=$G434,AF$6=$F434),$B434,"")</f>
        <v/>
      </c>
      <c r="AG434" s="2" t="str">
        <f aca="false">IF(AND(AG$4=$G434,AG$6=$F434),$B434,"")</f>
        <v/>
      </c>
      <c r="AI434" s="366"/>
      <c r="AL434" s="367"/>
      <c r="AO434" s="367"/>
      <c r="AR434" s="1411"/>
      <c r="AT434" s="1422"/>
      <c r="AU434" s="1411"/>
      <c r="AV434" s="1411"/>
      <c r="AW434" s="1423"/>
      <c r="AX434" s="1423"/>
      <c r="AZ434" s="1370"/>
      <c r="BA434" s="1370"/>
      <c r="BB434" s="1370"/>
      <c r="BC434" s="1370"/>
      <c r="BD434" s="1370"/>
      <c r="BE434" s="1370"/>
      <c r="BF434" s="1370"/>
      <c r="BG434" s="1370"/>
      <c r="BH434" s="1371"/>
      <c r="BI434" s="1371"/>
      <c r="BJ434" s="1371"/>
      <c r="BK434" s="1371"/>
      <c r="BM434" s="1411"/>
      <c r="BN434" s="1411"/>
      <c r="BO434" s="1425"/>
      <c r="BP434" s="1425"/>
      <c r="BQ434" s="1425"/>
      <c r="BR434" s="1425"/>
      <c r="BS434" s="1411"/>
      <c r="BT434" s="1411"/>
      <c r="BU434" s="1411"/>
      <c r="BV434" s="1411"/>
      <c r="BW434" s="1411"/>
      <c r="BX434" s="1411"/>
      <c r="BZ434" s="1438"/>
      <c r="CA434" s="1438"/>
      <c r="CB434" s="1496"/>
      <c r="CC434" s="1496"/>
      <c r="CD434" s="1496"/>
      <c r="CE434" s="1496"/>
      <c r="CF434" s="1438"/>
      <c r="CG434" s="1438"/>
      <c r="CH434" s="1438"/>
      <c r="CI434" s="1438"/>
      <c r="CJ434" s="1438"/>
      <c r="CK434" s="1438"/>
      <c r="CU434" s="1411"/>
      <c r="CV434" s="1411"/>
      <c r="CW434" s="1425"/>
      <c r="CX434" s="1425"/>
      <c r="CY434" s="1425"/>
      <c r="CZ434" s="1425"/>
      <c r="DA434" s="1411"/>
      <c r="DB434" s="1411"/>
      <c r="DC434" s="1411"/>
      <c r="DD434" s="1411"/>
      <c r="DE434" s="1411"/>
      <c r="DF434" s="1411"/>
      <c r="DH434" s="1432"/>
      <c r="DI434" s="1432"/>
      <c r="DJ434" s="1437"/>
      <c r="DK434" s="1437"/>
      <c r="DL434" s="1437"/>
      <c r="DM434" s="1437"/>
      <c r="DN434" s="1432"/>
      <c r="DO434" s="1432"/>
      <c r="DP434" s="1432"/>
      <c r="DQ434" s="1432"/>
      <c r="DR434" s="1432"/>
      <c r="DS434" s="1432"/>
      <c r="DT434" s="1316"/>
      <c r="DU434" s="1433"/>
      <c r="DV434" s="1433"/>
      <c r="DW434" s="1433"/>
      <c r="DX434" s="1433"/>
      <c r="DY434" s="1433"/>
      <c r="DZ434" s="1433"/>
      <c r="EA434" s="1433"/>
      <c r="EB434" s="1433"/>
    </row>
    <row r="435" customFormat="false" ht="14.25" hidden="false" customHeight="false" outlineLevel="0" collapsed="false">
      <c r="A435" s="2" t="n">
        <f aca="false">'V_DATOS PAC_SGA'!R430</f>
        <v>0</v>
      </c>
      <c r="B435" s="2" t="n">
        <f aca="false">IF(I435="IV",CONCATENATE('V_DATOS PAC_SGA'!R430,"4")+0,CONCATENATE('V_DATOS PAC_SGA'!R430,"0")+0)</f>
        <v>0</v>
      </c>
      <c r="C435" s="2" t="n">
        <f aca="false">'V_DATOS PAC_SGA'!S430</f>
        <v>0</v>
      </c>
      <c r="D435" s="1409" t="n">
        <f aca="false">'V_DATOS PAC_SGA'!Y430</f>
        <v>0</v>
      </c>
      <c r="E435" s="1410" t="str">
        <f aca="false">IF('V_DATOS PAC_SGA'!AV430="","Regadio",'V_DATOS PAC_SGA'!AV430)</f>
        <v>Regadio</v>
      </c>
      <c r="F435" s="1411" t="n">
        <f aca="false">'V_DATOS PAC_SGA'!BK430</f>
        <v>0</v>
      </c>
      <c r="G435" s="1412" t="n">
        <f aca="false">'V_DATOS PAC_SGA'!AN430</f>
        <v>0</v>
      </c>
      <c r="H435" s="1413" t="str">
        <f aca="false">IF(B435&gt;0,VLOOKUP(B435,'O_MN, PE_UTA_UGM 2024'!E$3:O$419,10),"")</f>
        <v/>
      </c>
      <c r="I435" s="1359" t="n">
        <f aca="false">'V_DATOS PAC_SGA'!BV430</f>
        <v>0</v>
      </c>
      <c r="J435" s="2" t="str">
        <f aca="false">IF(AND(J$4=$G435,J$6=$F435),$D435*J$5,"")</f>
        <v/>
      </c>
      <c r="K435" s="2" t="str">
        <f aca="false">IF(AND(K$4=$G435,K$6=$F435),$D435*K$5,"")</f>
        <v/>
      </c>
      <c r="L435" s="2" t="str">
        <f aca="false">IF(AND(L$4=$G435,L$6=$F435),$D435*L$5,"")</f>
        <v/>
      </c>
      <c r="M435" s="2" t="str">
        <f aca="false">IF(AND(M$4=$G435,M$6=$F435),$D435*M$5,"")</f>
        <v/>
      </c>
      <c r="N435" s="1478" t="n">
        <f aca="false">VLOOKUP(B435,'O_MN, PE_UTA_UGM 2024'!$E$2:$K$419,IF(G435&gt;1,6,7))</f>
        <v>0</v>
      </c>
      <c r="O435" s="1434" t="str">
        <f aca="false">IF($H435=O$4,$D435*$N435,"")</f>
        <v/>
      </c>
      <c r="P435" s="1435" t="str">
        <f aca="false">IF($H435=P$4,$D435*$N435,"")</f>
        <v/>
      </c>
      <c r="Q435" s="1435" t="str">
        <f aca="false">IF($H435=Q$4,$D435*$N435,"")</f>
        <v/>
      </c>
      <c r="R435" s="1435" t="str">
        <f aca="false">IF($H435=R$4,$D435*$N435,"")</f>
        <v/>
      </c>
      <c r="S435" s="1435" t="str">
        <f aca="false">IF($H435=S$4,$D435*$N435,"")</f>
        <v/>
      </c>
      <c r="T435" s="1435" t="str">
        <f aca="false">IF($H435=T$4,$D435*$N435,"")</f>
        <v/>
      </c>
      <c r="U435" s="1436" t="str">
        <f aca="false">IF($H435=U$4,$D435*$N435,"")</f>
        <v/>
      </c>
      <c r="V435" s="1472"/>
      <c r="W435" s="1471"/>
      <c r="X435" s="1471"/>
      <c r="Y435" s="1471"/>
      <c r="Z435" s="1471"/>
      <c r="AA435" s="1471"/>
      <c r="AB435" s="1473"/>
      <c r="AC435" s="1319"/>
      <c r="AD435" s="2" t="str">
        <f aca="false">IF(AND(AD$4=$G435,AD$6=$F435),$B435,"")</f>
        <v/>
      </c>
      <c r="AE435" s="2" t="str">
        <f aca="false">IF(AND(AE$4=$G435,AE$6=$F435),$B435,"")</f>
        <v/>
      </c>
      <c r="AF435" s="2" t="str">
        <f aca="false">IF(AND(AF$4=$G435,AF$6=$F435),$B435,"")</f>
        <v/>
      </c>
      <c r="AG435" s="2" t="str">
        <f aca="false">IF(AND(AG$4=$G435,AG$6=$F435),$B435,"")</f>
        <v/>
      </c>
      <c r="AI435" s="366"/>
      <c r="AL435" s="367"/>
      <c r="AO435" s="367"/>
      <c r="AR435" s="1411"/>
      <c r="AT435" s="1422"/>
      <c r="AU435" s="1411"/>
      <c r="AV435" s="1411"/>
      <c r="AW435" s="1423"/>
      <c r="AX435" s="1423"/>
      <c r="AZ435" s="1370"/>
      <c r="BA435" s="1370"/>
      <c r="BB435" s="1370"/>
      <c r="BC435" s="1370"/>
      <c r="BD435" s="1370"/>
      <c r="BE435" s="1370"/>
      <c r="BF435" s="1370"/>
      <c r="BG435" s="1370"/>
      <c r="BH435" s="1371"/>
      <c r="BI435" s="1371"/>
      <c r="BJ435" s="1371"/>
      <c r="BK435" s="1371"/>
      <c r="BM435" s="1411"/>
      <c r="BN435" s="1411"/>
      <c r="BO435" s="1425"/>
      <c r="BP435" s="1425"/>
      <c r="BQ435" s="1425"/>
      <c r="BR435" s="1425"/>
      <c r="BS435" s="1411"/>
      <c r="BT435" s="1411"/>
      <c r="BU435" s="1411"/>
      <c r="BV435" s="1411"/>
      <c r="BW435" s="1411"/>
      <c r="BX435" s="1411"/>
      <c r="BZ435" s="1438"/>
      <c r="CA435" s="1438"/>
      <c r="CB435" s="1496"/>
      <c r="CC435" s="1496"/>
      <c r="CD435" s="1496"/>
      <c r="CE435" s="1496"/>
      <c r="CF435" s="1438"/>
      <c r="CG435" s="1438"/>
      <c r="CH435" s="1438"/>
      <c r="CI435" s="1438"/>
      <c r="CJ435" s="1438"/>
      <c r="CK435" s="1438"/>
      <c r="CU435" s="1411"/>
      <c r="CV435" s="1411"/>
      <c r="CW435" s="1425"/>
      <c r="CX435" s="1425"/>
      <c r="CY435" s="1425"/>
      <c r="CZ435" s="1425"/>
      <c r="DA435" s="1411"/>
      <c r="DB435" s="1411"/>
      <c r="DC435" s="1411"/>
      <c r="DD435" s="1411"/>
      <c r="DE435" s="1411"/>
      <c r="DF435" s="1411"/>
      <c r="DH435" s="1432"/>
      <c r="DI435" s="1432"/>
      <c r="DJ435" s="1437"/>
      <c r="DK435" s="1437"/>
      <c r="DL435" s="1437"/>
      <c r="DM435" s="1437"/>
      <c r="DN435" s="1432"/>
      <c r="DO435" s="1432"/>
      <c r="DP435" s="1432"/>
      <c r="DQ435" s="1432"/>
      <c r="DR435" s="1432"/>
      <c r="DS435" s="1432"/>
      <c r="DT435" s="1316"/>
      <c r="DU435" s="1433"/>
      <c r="DV435" s="1433"/>
      <c r="DW435" s="1433"/>
      <c r="DX435" s="1433"/>
      <c r="DY435" s="1433"/>
      <c r="DZ435" s="1433"/>
      <c r="EA435" s="1433"/>
      <c r="EB435" s="1433"/>
    </row>
    <row r="436" customFormat="false" ht="14.25" hidden="false" customHeight="false" outlineLevel="0" collapsed="false">
      <c r="A436" s="2" t="n">
        <f aca="false">'V_DATOS PAC_SGA'!R431</f>
        <v>0</v>
      </c>
      <c r="B436" s="2" t="n">
        <f aca="false">IF(I436="IV",CONCATENATE('V_DATOS PAC_SGA'!R431,"4")+0,CONCATENATE('V_DATOS PAC_SGA'!R431,"0")+0)</f>
        <v>0</v>
      </c>
      <c r="C436" s="2" t="n">
        <f aca="false">'V_DATOS PAC_SGA'!S431</f>
        <v>0</v>
      </c>
      <c r="D436" s="1409" t="n">
        <f aca="false">'V_DATOS PAC_SGA'!Y431</f>
        <v>0</v>
      </c>
      <c r="E436" s="1410" t="str">
        <f aca="false">IF('V_DATOS PAC_SGA'!AV431="","Regadio",'V_DATOS PAC_SGA'!AV431)</f>
        <v>Regadio</v>
      </c>
      <c r="F436" s="1411" t="n">
        <f aca="false">'V_DATOS PAC_SGA'!BK431</f>
        <v>0</v>
      </c>
      <c r="G436" s="1412" t="n">
        <f aca="false">'V_DATOS PAC_SGA'!AN431</f>
        <v>0</v>
      </c>
      <c r="H436" s="1413" t="str">
        <f aca="false">IF(B436&gt;0,VLOOKUP(B436,'O_MN, PE_UTA_UGM 2024'!E$3:O$419,10),"")</f>
        <v/>
      </c>
      <c r="I436" s="1359" t="n">
        <f aca="false">'V_DATOS PAC_SGA'!BV431</f>
        <v>0</v>
      </c>
      <c r="J436" s="2" t="str">
        <f aca="false">IF(AND(J$4=$G436,J$6=$F436),$D436*J$5,"")</f>
        <v/>
      </c>
      <c r="K436" s="2" t="str">
        <f aca="false">IF(AND(K$4=$G436,K$6=$F436),$D436*K$5,"")</f>
        <v/>
      </c>
      <c r="L436" s="2" t="str">
        <f aca="false">IF(AND(L$4=$G436,L$6=$F436),$D436*L$5,"")</f>
        <v/>
      </c>
      <c r="M436" s="2" t="str">
        <f aca="false">IF(AND(M$4=$G436,M$6=$F436),$D436*M$5,"")</f>
        <v/>
      </c>
      <c r="N436" s="1478" t="n">
        <f aca="false">VLOOKUP(B436,'O_MN, PE_UTA_UGM 2024'!$E$2:$K$419,IF(G436&gt;1,6,7))</f>
        <v>0</v>
      </c>
      <c r="O436" s="1434" t="str">
        <f aca="false">IF($H436=O$4,$D436*$N436,"")</f>
        <v/>
      </c>
      <c r="P436" s="1435" t="str">
        <f aca="false">IF($H436=P$4,$D436*$N436,"")</f>
        <v/>
      </c>
      <c r="Q436" s="1435" t="str">
        <f aca="false">IF($H436=Q$4,$D436*$N436,"")</f>
        <v/>
      </c>
      <c r="R436" s="1435" t="str">
        <f aca="false">IF($H436=R$4,$D436*$N436,"")</f>
        <v/>
      </c>
      <c r="S436" s="1435" t="str">
        <f aca="false">IF($H436=S$4,$D436*$N436,"")</f>
        <v/>
      </c>
      <c r="T436" s="1435" t="str">
        <f aca="false">IF($H436=T$4,$D436*$N436,"")</f>
        <v/>
      </c>
      <c r="U436" s="1436" t="str">
        <f aca="false">IF($H436=U$4,$D436*$N436,"")</f>
        <v/>
      </c>
      <c r="V436" s="1472"/>
      <c r="W436" s="1471"/>
      <c r="X436" s="1471"/>
      <c r="Y436" s="1471"/>
      <c r="Z436" s="1471"/>
      <c r="AA436" s="1471"/>
      <c r="AB436" s="1473"/>
      <c r="AC436" s="1319"/>
      <c r="AD436" s="2" t="str">
        <f aca="false">IF(AND(AD$4=$G436,AD$6=$F436),$B436,"")</f>
        <v/>
      </c>
      <c r="AE436" s="2" t="str">
        <f aca="false">IF(AND(AE$4=$G436,AE$6=$F436),$B436,"")</f>
        <v/>
      </c>
      <c r="AF436" s="2" t="str">
        <f aca="false">IF(AND(AF$4=$G436,AF$6=$F436),$B436,"")</f>
        <v/>
      </c>
      <c r="AG436" s="2" t="str">
        <f aca="false">IF(AND(AG$4=$G436,AG$6=$F436),$B436,"")</f>
        <v/>
      </c>
      <c r="AI436" s="366"/>
      <c r="AL436" s="367"/>
      <c r="AO436" s="367"/>
      <c r="AR436" s="1411"/>
      <c r="AT436" s="1422"/>
      <c r="AU436" s="1411"/>
      <c r="AV436" s="1411"/>
      <c r="AW436" s="1423"/>
      <c r="AX436" s="1423"/>
      <c r="AZ436" s="1370"/>
      <c r="BA436" s="1370"/>
      <c r="BB436" s="1370"/>
      <c r="BC436" s="1370"/>
      <c r="BD436" s="1370"/>
      <c r="BE436" s="1370"/>
      <c r="BF436" s="1370"/>
      <c r="BG436" s="1370"/>
      <c r="BH436" s="1371"/>
      <c r="BI436" s="1371"/>
      <c r="BJ436" s="1371"/>
      <c r="BK436" s="1371"/>
      <c r="BM436" s="1411"/>
      <c r="BN436" s="1411"/>
      <c r="BO436" s="1425"/>
      <c r="BP436" s="1425"/>
      <c r="BQ436" s="1425"/>
      <c r="BR436" s="1425"/>
      <c r="BS436" s="1411"/>
      <c r="BT436" s="1411"/>
      <c r="BU436" s="1411"/>
      <c r="BV436" s="1411"/>
      <c r="BW436" s="1411"/>
      <c r="BX436" s="1411"/>
      <c r="BZ436" s="1438"/>
      <c r="CA436" s="1438"/>
      <c r="CB436" s="1496"/>
      <c r="CC436" s="1496"/>
      <c r="CD436" s="1496"/>
      <c r="CE436" s="1496"/>
      <c r="CF436" s="1438"/>
      <c r="CG436" s="1438"/>
      <c r="CH436" s="1438"/>
      <c r="CI436" s="1438"/>
      <c r="CJ436" s="1438"/>
      <c r="CK436" s="1438"/>
      <c r="CU436" s="1411"/>
      <c r="CV436" s="1411"/>
      <c r="CW436" s="1425"/>
      <c r="CX436" s="1425"/>
      <c r="CY436" s="1425"/>
      <c r="CZ436" s="1425"/>
      <c r="DA436" s="1411"/>
      <c r="DB436" s="1411"/>
      <c r="DC436" s="1411"/>
      <c r="DD436" s="1411"/>
      <c r="DE436" s="1411"/>
      <c r="DF436" s="1411"/>
      <c r="DH436" s="1432"/>
      <c r="DI436" s="1432"/>
      <c r="DJ436" s="1437"/>
      <c r="DK436" s="1437"/>
      <c r="DL436" s="1437"/>
      <c r="DM436" s="1437"/>
      <c r="DN436" s="1432"/>
      <c r="DO436" s="1432"/>
      <c r="DP436" s="1432"/>
      <c r="DQ436" s="1432"/>
      <c r="DR436" s="1432"/>
      <c r="DS436" s="1432"/>
      <c r="DT436" s="1316"/>
      <c r="DU436" s="1433"/>
      <c r="DV436" s="1433"/>
      <c r="DW436" s="1433"/>
      <c r="DX436" s="1433"/>
      <c r="DY436" s="1433"/>
      <c r="DZ436" s="1433"/>
      <c r="EA436" s="1433"/>
      <c r="EB436" s="1433"/>
    </row>
    <row r="437" customFormat="false" ht="14.25" hidden="false" customHeight="false" outlineLevel="0" collapsed="false">
      <c r="A437" s="2" t="n">
        <f aca="false">'V_DATOS PAC_SGA'!R432</f>
        <v>0</v>
      </c>
      <c r="B437" s="2" t="n">
        <f aca="false">IF(I437="IV",CONCATENATE('V_DATOS PAC_SGA'!R432,"4")+0,CONCATENATE('V_DATOS PAC_SGA'!R432,"0")+0)</f>
        <v>0</v>
      </c>
      <c r="C437" s="2" t="n">
        <f aca="false">'V_DATOS PAC_SGA'!S432</f>
        <v>0</v>
      </c>
      <c r="D437" s="1409" t="n">
        <f aca="false">'V_DATOS PAC_SGA'!Y432</f>
        <v>0</v>
      </c>
      <c r="E437" s="1410" t="str">
        <f aca="false">IF('V_DATOS PAC_SGA'!AV432="","Regadio",'V_DATOS PAC_SGA'!AV432)</f>
        <v>Regadio</v>
      </c>
      <c r="F437" s="1411" t="n">
        <f aca="false">'V_DATOS PAC_SGA'!BK432</f>
        <v>0</v>
      </c>
      <c r="G437" s="1412" t="n">
        <f aca="false">'V_DATOS PAC_SGA'!AN432</f>
        <v>0</v>
      </c>
      <c r="H437" s="1413" t="str">
        <f aca="false">IF(B437&gt;0,VLOOKUP(B437,'O_MN, PE_UTA_UGM 2024'!E$3:O$419,10),"")</f>
        <v/>
      </c>
      <c r="I437" s="1359" t="n">
        <f aca="false">'V_DATOS PAC_SGA'!BV432</f>
        <v>0</v>
      </c>
      <c r="J437" s="2" t="str">
        <f aca="false">IF(AND(J$4=$G437,J$6=$F437),$D437*J$5,"")</f>
        <v/>
      </c>
      <c r="K437" s="2" t="str">
        <f aca="false">IF(AND(K$4=$G437,K$6=$F437),$D437*K$5,"")</f>
        <v/>
      </c>
      <c r="L437" s="2" t="str">
        <f aca="false">IF(AND(L$4=$G437,L$6=$F437),$D437*L$5,"")</f>
        <v/>
      </c>
      <c r="M437" s="2" t="str">
        <f aca="false">IF(AND(M$4=$G437,M$6=$F437),$D437*M$5,"")</f>
        <v/>
      </c>
      <c r="N437" s="1478" t="n">
        <f aca="false">VLOOKUP(B437,'O_MN, PE_UTA_UGM 2024'!$E$2:$K$419,IF(G437&gt;1,6,7))</f>
        <v>0</v>
      </c>
      <c r="O437" s="1434" t="str">
        <f aca="false">IF($H437=O$4,$D437*$N437,"")</f>
        <v/>
      </c>
      <c r="P437" s="1435" t="str">
        <f aca="false">IF($H437=P$4,$D437*$N437,"")</f>
        <v/>
      </c>
      <c r="Q437" s="1435" t="str">
        <f aca="false">IF($H437=Q$4,$D437*$N437,"")</f>
        <v/>
      </c>
      <c r="R437" s="1435" t="str">
        <f aca="false">IF($H437=R$4,$D437*$N437,"")</f>
        <v/>
      </c>
      <c r="S437" s="1435" t="str">
        <f aca="false">IF($H437=S$4,$D437*$N437,"")</f>
        <v/>
      </c>
      <c r="T437" s="1435" t="str">
        <f aca="false">IF($H437=T$4,$D437*$N437,"")</f>
        <v/>
      </c>
      <c r="U437" s="1436" t="str">
        <f aca="false">IF($H437=U$4,$D437*$N437,"")</f>
        <v/>
      </c>
      <c r="V437" s="1472"/>
      <c r="W437" s="1471"/>
      <c r="X437" s="1471"/>
      <c r="Y437" s="1471"/>
      <c r="Z437" s="1471"/>
      <c r="AA437" s="1471"/>
      <c r="AB437" s="1473"/>
      <c r="AC437" s="1319"/>
      <c r="AD437" s="2" t="str">
        <f aca="false">IF(AND(AD$4=$G437,AD$6=$F437),$B437,"")</f>
        <v/>
      </c>
      <c r="AE437" s="2" t="str">
        <f aca="false">IF(AND(AE$4=$G437,AE$6=$F437),$B437,"")</f>
        <v/>
      </c>
      <c r="AF437" s="2" t="str">
        <f aca="false">IF(AND(AF$4=$G437,AF$6=$F437),$B437,"")</f>
        <v/>
      </c>
      <c r="AG437" s="2" t="str">
        <f aca="false">IF(AND(AG$4=$G437,AG$6=$F437),$B437,"")</f>
        <v/>
      </c>
      <c r="AI437" s="366"/>
      <c r="AL437" s="367"/>
      <c r="AO437" s="367"/>
      <c r="AR437" s="1411"/>
      <c r="AT437" s="1422"/>
      <c r="AU437" s="1411"/>
      <c r="AV437" s="1411"/>
      <c r="AW437" s="1423"/>
      <c r="AX437" s="1423"/>
      <c r="AZ437" s="1370"/>
      <c r="BA437" s="1370"/>
      <c r="BB437" s="1370"/>
      <c r="BC437" s="1370"/>
      <c r="BD437" s="1370"/>
      <c r="BE437" s="1370"/>
      <c r="BF437" s="1370"/>
      <c r="BG437" s="1370"/>
      <c r="BH437" s="1371"/>
      <c r="BI437" s="1371"/>
      <c r="BJ437" s="1371"/>
      <c r="BK437" s="1371"/>
      <c r="BM437" s="1411"/>
      <c r="BN437" s="1411"/>
      <c r="BO437" s="1425"/>
      <c r="BP437" s="1425"/>
      <c r="BQ437" s="1425"/>
      <c r="BR437" s="1425"/>
      <c r="BS437" s="1411"/>
      <c r="BT437" s="1411"/>
      <c r="BU437" s="1411"/>
      <c r="BV437" s="1411"/>
      <c r="BW437" s="1411"/>
      <c r="BX437" s="1411"/>
      <c r="BZ437" s="1438"/>
      <c r="CA437" s="1438"/>
      <c r="CB437" s="1496"/>
      <c r="CC437" s="1496"/>
      <c r="CD437" s="1496"/>
      <c r="CE437" s="1496"/>
      <c r="CF437" s="1438"/>
      <c r="CG437" s="1438"/>
      <c r="CH437" s="1438"/>
      <c r="CI437" s="1438"/>
      <c r="CJ437" s="1438"/>
      <c r="CK437" s="1438"/>
      <c r="CU437" s="1411"/>
      <c r="CV437" s="1411"/>
      <c r="CW437" s="1425"/>
      <c r="CX437" s="1425"/>
      <c r="CY437" s="1425"/>
      <c r="CZ437" s="1425"/>
      <c r="DA437" s="1411"/>
      <c r="DB437" s="1411"/>
      <c r="DC437" s="1411"/>
      <c r="DD437" s="1411"/>
      <c r="DE437" s="1411"/>
      <c r="DF437" s="1411"/>
      <c r="DH437" s="1432"/>
      <c r="DI437" s="1432"/>
      <c r="DJ437" s="1437"/>
      <c r="DK437" s="1437"/>
      <c r="DL437" s="1437"/>
      <c r="DM437" s="1437"/>
      <c r="DN437" s="1432"/>
      <c r="DO437" s="1432"/>
      <c r="DP437" s="1432"/>
      <c r="DQ437" s="1432"/>
      <c r="DR437" s="1432"/>
      <c r="DS437" s="1432"/>
      <c r="DT437" s="1316"/>
      <c r="DU437" s="1433"/>
      <c r="DV437" s="1433"/>
      <c r="DW437" s="1433"/>
      <c r="DX437" s="1433"/>
      <c r="DY437" s="1433"/>
      <c r="DZ437" s="1433"/>
      <c r="EA437" s="1433"/>
      <c r="EB437" s="1433"/>
    </row>
    <row r="438" customFormat="false" ht="14.25" hidden="false" customHeight="false" outlineLevel="0" collapsed="false">
      <c r="A438" s="2" t="n">
        <f aca="false">'V_DATOS PAC_SGA'!R433</f>
        <v>0</v>
      </c>
      <c r="B438" s="2" t="n">
        <f aca="false">IF(I438="IV",CONCATENATE('V_DATOS PAC_SGA'!R433,"4")+0,CONCATENATE('V_DATOS PAC_SGA'!R433,"0")+0)</f>
        <v>0</v>
      </c>
      <c r="C438" s="2" t="n">
        <f aca="false">'V_DATOS PAC_SGA'!S433</f>
        <v>0</v>
      </c>
      <c r="D438" s="1409" t="n">
        <f aca="false">'V_DATOS PAC_SGA'!Y433</f>
        <v>0</v>
      </c>
      <c r="E438" s="1410" t="str">
        <f aca="false">IF('V_DATOS PAC_SGA'!AV433="","Regadio",'V_DATOS PAC_SGA'!AV433)</f>
        <v>Regadio</v>
      </c>
      <c r="F438" s="1411" t="n">
        <f aca="false">'V_DATOS PAC_SGA'!BK433</f>
        <v>0</v>
      </c>
      <c r="G438" s="1412" t="n">
        <f aca="false">'V_DATOS PAC_SGA'!AN433</f>
        <v>0</v>
      </c>
      <c r="H438" s="1413" t="str">
        <f aca="false">IF(B438&gt;0,VLOOKUP(B438,'O_MN, PE_UTA_UGM 2024'!E$3:O$419,10),"")</f>
        <v/>
      </c>
      <c r="I438" s="1359" t="n">
        <f aca="false">'V_DATOS PAC_SGA'!BV433</f>
        <v>0</v>
      </c>
      <c r="J438" s="2" t="str">
        <f aca="false">IF(AND(J$4=$G438,J$6=$F438),$D438*J$5,"")</f>
        <v/>
      </c>
      <c r="K438" s="2" t="str">
        <f aca="false">IF(AND(K$4=$G438,K$6=$F438),$D438*K$5,"")</f>
        <v/>
      </c>
      <c r="L438" s="2" t="str">
        <f aca="false">IF(AND(L$4=$G438,L$6=$F438),$D438*L$5,"")</f>
        <v/>
      </c>
      <c r="M438" s="2" t="str">
        <f aca="false">IF(AND(M$4=$G438,M$6=$F438),$D438*M$5,"")</f>
        <v/>
      </c>
      <c r="N438" s="1478" t="n">
        <f aca="false">VLOOKUP(B438,'O_MN, PE_UTA_UGM 2024'!$E$2:$K$419,IF(G438&gt;1,6,7))</f>
        <v>0</v>
      </c>
      <c r="O438" s="1434" t="str">
        <f aca="false">IF($H438=O$4,$D438*$N438,"")</f>
        <v/>
      </c>
      <c r="P438" s="1435" t="str">
        <f aca="false">IF($H438=P$4,$D438*$N438,"")</f>
        <v/>
      </c>
      <c r="Q438" s="1435" t="str">
        <f aca="false">IF($H438=Q$4,$D438*$N438,"")</f>
        <v/>
      </c>
      <c r="R438" s="1435" t="str">
        <f aca="false">IF($H438=R$4,$D438*$N438,"")</f>
        <v/>
      </c>
      <c r="S438" s="1435" t="str">
        <f aca="false">IF($H438=S$4,$D438*$N438,"")</f>
        <v/>
      </c>
      <c r="T438" s="1435" t="str">
        <f aca="false">IF($H438=T$4,$D438*$N438,"")</f>
        <v/>
      </c>
      <c r="U438" s="1436" t="str">
        <f aca="false">IF($H438=U$4,$D438*$N438,"")</f>
        <v/>
      </c>
      <c r="V438" s="1472"/>
      <c r="W438" s="1471"/>
      <c r="X438" s="1471"/>
      <c r="Y438" s="1471"/>
      <c r="Z438" s="1471"/>
      <c r="AA438" s="1471"/>
      <c r="AB438" s="1473"/>
      <c r="AC438" s="1319"/>
      <c r="AD438" s="2" t="str">
        <f aca="false">IF(AND(AD$4=$G438,AD$6=$F438),$B438,"")</f>
        <v/>
      </c>
      <c r="AE438" s="2" t="str">
        <f aca="false">IF(AND(AE$4=$G438,AE$6=$F438),$B438,"")</f>
        <v/>
      </c>
      <c r="AF438" s="2" t="str">
        <f aca="false">IF(AND(AF$4=$G438,AF$6=$F438),$B438,"")</f>
        <v/>
      </c>
      <c r="AG438" s="2" t="str">
        <f aca="false">IF(AND(AG$4=$G438,AG$6=$F438),$B438,"")</f>
        <v/>
      </c>
      <c r="AI438" s="366"/>
      <c r="AL438" s="367"/>
      <c r="AO438" s="367"/>
      <c r="AR438" s="1411"/>
      <c r="AT438" s="1422"/>
      <c r="AU438" s="1411"/>
      <c r="AV438" s="1411"/>
      <c r="AW438" s="1423"/>
      <c r="AX438" s="1423"/>
      <c r="AZ438" s="1370"/>
      <c r="BA438" s="1370"/>
      <c r="BB438" s="1370"/>
      <c r="BC438" s="1370"/>
      <c r="BD438" s="1370"/>
      <c r="BE438" s="1370"/>
      <c r="BF438" s="1370"/>
      <c r="BG438" s="1370"/>
      <c r="BH438" s="1371"/>
      <c r="BI438" s="1371"/>
      <c r="BJ438" s="1371"/>
      <c r="BK438" s="1371"/>
      <c r="BM438" s="1411"/>
      <c r="BN438" s="1411"/>
      <c r="BO438" s="1425"/>
      <c r="BP438" s="1425"/>
      <c r="BQ438" s="1425"/>
      <c r="BR438" s="1425"/>
      <c r="BS438" s="1411"/>
      <c r="BT438" s="1411"/>
      <c r="BU438" s="1411"/>
      <c r="BV438" s="1411"/>
      <c r="BW438" s="1411"/>
      <c r="BX438" s="1411"/>
      <c r="BZ438" s="1438"/>
      <c r="CA438" s="1438"/>
      <c r="CB438" s="1496"/>
      <c r="CC438" s="1496"/>
      <c r="CD438" s="1496"/>
      <c r="CE438" s="1496"/>
      <c r="CF438" s="1438"/>
      <c r="CG438" s="1438"/>
      <c r="CH438" s="1438"/>
      <c r="CI438" s="1438"/>
      <c r="CJ438" s="1438"/>
      <c r="CK438" s="1438"/>
      <c r="CU438" s="1411"/>
      <c r="CV438" s="1411"/>
      <c r="CW438" s="1425"/>
      <c r="CX438" s="1425"/>
      <c r="CY438" s="1425"/>
      <c r="CZ438" s="1425"/>
      <c r="DA438" s="1411"/>
      <c r="DB438" s="1411"/>
      <c r="DC438" s="1411"/>
      <c r="DD438" s="1411"/>
      <c r="DE438" s="1411"/>
      <c r="DF438" s="1411"/>
      <c r="DH438" s="1432"/>
      <c r="DI438" s="1432"/>
      <c r="DJ438" s="1437"/>
      <c r="DK438" s="1437"/>
      <c r="DL438" s="1437"/>
      <c r="DM438" s="1437"/>
      <c r="DN438" s="1432"/>
      <c r="DO438" s="1432"/>
      <c r="DP438" s="1432"/>
      <c r="DQ438" s="1432"/>
      <c r="DR438" s="1432"/>
      <c r="DS438" s="1432"/>
      <c r="DT438" s="1316"/>
      <c r="DU438" s="1433"/>
      <c r="DV438" s="1433"/>
      <c r="DW438" s="1433"/>
      <c r="DX438" s="1433"/>
      <c r="DY438" s="1433"/>
      <c r="DZ438" s="1433"/>
      <c r="EA438" s="1433"/>
      <c r="EB438" s="1433"/>
    </row>
    <row r="439" customFormat="false" ht="14.25" hidden="false" customHeight="false" outlineLevel="0" collapsed="false">
      <c r="A439" s="2" t="n">
        <f aca="false">'V_DATOS PAC_SGA'!R434</f>
        <v>0</v>
      </c>
      <c r="B439" s="2" t="n">
        <f aca="false">IF(I439="IV",CONCATENATE('V_DATOS PAC_SGA'!R434,"4")+0,CONCATENATE('V_DATOS PAC_SGA'!R434,"0")+0)</f>
        <v>0</v>
      </c>
      <c r="C439" s="2" t="n">
        <f aca="false">'V_DATOS PAC_SGA'!S434</f>
        <v>0</v>
      </c>
      <c r="D439" s="1409" t="n">
        <f aca="false">'V_DATOS PAC_SGA'!Y434</f>
        <v>0</v>
      </c>
      <c r="E439" s="1410" t="str">
        <f aca="false">IF('V_DATOS PAC_SGA'!AV434="","Regadio",'V_DATOS PAC_SGA'!AV434)</f>
        <v>Regadio</v>
      </c>
      <c r="F439" s="1411" t="n">
        <f aca="false">'V_DATOS PAC_SGA'!BK434</f>
        <v>0</v>
      </c>
      <c r="G439" s="1412" t="n">
        <f aca="false">'V_DATOS PAC_SGA'!AN434</f>
        <v>0</v>
      </c>
      <c r="H439" s="1413" t="str">
        <f aca="false">IF(B439&gt;0,VLOOKUP(B439,'O_MN, PE_UTA_UGM 2024'!E$3:O$419,10),"")</f>
        <v/>
      </c>
      <c r="I439" s="1359" t="n">
        <f aca="false">'V_DATOS PAC_SGA'!BV434</f>
        <v>0</v>
      </c>
      <c r="J439" s="2" t="str">
        <f aca="false">IF(AND(J$4=$G439,J$6=$F439),$D439*J$5,"")</f>
        <v/>
      </c>
      <c r="K439" s="2" t="str">
        <f aca="false">IF(AND(K$4=$G439,K$6=$F439),$D439*K$5,"")</f>
        <v/>
      </c>
      <c r="L439" s="2" t="str">
        <f aca="false">IF(AND(L$4=$G439,L$6=$F439),$D439*L$5,"")</f>
        <v/>
      </c>
      <c r="M439" s="2" t="str">
        <f aca="false">IF(AND(M$4=$G439,M$6=$F439),$D439*M$5,"")</f>
        <v/>
      </c>
      <c r="N439" s="1478" t="n">
        <f aca="false">VLOOKUP(B439,'O_MN, PE_UTA_UGM 2024'!$E$2:$K$419,IF(G439&gt;1,6,7))</f>
        <v>0</v>
      </c>
      <c r="O439" s="1434" t="str">
        <f aca="false">IF($H439=O$4,$D439*$N439,"")</f>
        <v/>
      </c>
      <c r="P439" s="1435" t="str">
        <f aca="false">IF($H439=P$4,$D439*$N439,"")</f>
        <v/>
      </c>
      <c r="Q439" s="1435" t="str">
        <f aca="false">IF($H439=Q$4,$D439*$N439,"")</f>
        <v/>
      </c>
      <c r="R439" s="1435" t="str">
        <f aca="false">IF($H439=R$4,$D439*$N439,"")</f>
        <v/>
      </c>
      <c r="S439" s="1435" t="str">
        <f aca="false">IF($H439=S$4,$D439*$N439,"")</f>
        <v/>
      </c>
      <c r="T439" s="1435" t="str">
        <f aca="false">IF($H439=T$4,$D439*$N439,"")</f>
        <v/>
      </c>
      <c r="U439" s="1436" t="str">
        <f aca="false">IF($H439=U$4,$D439*$N439,"")</f>
        <v/>
      </c>
      <c r="V439" s="1472"/>
      <c r="W439" s="1471"/>
      <c r="X439" s="1471"/>
      <c r="Y439" s="1471"/>
      <c r="Z439" s="1471"/>
      <c r="AA439" s="1471"/>
      <c r="AB439" s="1473"/>
      <c r="AC439" s="1319"/>
      <c r="AD439" s="2" t="str">
        <f aca="false">IF(AND(AD$4=$G439,AD$6=$F439),$B439,"")</f>
        <v/>
      </c>
      <c r="AE439" s="2" t="str">
        <f aca="false">IF(AND(AE$4=$G439,AE$6=$F439),$B439,"")</f>
        <v/>
      </c>
      <c r="AF439" s="2" t="str">
        <f aca="false">IF(AND(AF$4=$G439,AF$6=$F439),$B439,"")</f>
        <v/>
      </c>
      <c r="AG439" s="2" t="str">
        <f aca="false">IF(AND(AG$4=$G439,AG$6=$F439),$B439,"")</f>
        <v/>
      </c>
      <c r="AI439" s="366"/>
      <c r="AL439" s="367"/>
      <c r="AO439" s="367"/>
      <c r="AR439" s="1411"/>
      <c r="AT439" s="1422"/>
      <c r="AU439" s="1411"/>
      <c r="AV439" s="1411"/>
      <c r="AW439" s="1423"/>
      <c r="AX439" s="1423"/>
      <c r="AZ439" s="1370"/>
      <c r="BA439" s="1370"/>
      <c r="BB439" s="1370"/>
      <c r="BC439" s="1370"/>
      <c r="BD439" s="1370"/>
      <c r="BE439" s="1370"/>
      <c r="BF439" s="1370"/>
      <c r="BG439" s="1370"/>
      <c r="BH439" s="1371"/>
      <c r="BI439" s="1371"/>
      <c r="BJ439" s="1371"/>
      <c r="BK439" s="1371"/>
      <c r="BM439" s="1411"/>
      <c r="BN439" s="1411"/>
      <c r="BO439" s="1425"/>
      <c r="BP439" s="1425"/>
      <c r="BQ439" s="1425"/>
      <c r="BR439" s="1425"/>
      <c r="BS439" s="1411"/>
      <c r="BT439" s="1411"/>
      <c r="BU439" s="1411"/>
      <c r="BV439" s="1411"/>
      <c r="BW439" s="1411"/>
      <c r="BX439" s="1411"/>
      <c r="BZ439" s="1438"/>
      <c r="CA439" s="1438"/>
      <c r="CB439" s="1496"/>
      <c r="CC439" s="1496"/>
      <c r="CD439" s="1496"/>
      <c r="CE439" s="1496"/>
      <c r="CF439" s="1438"/>
      <c r="CG439" s="1438"/>
      <c r="CH439" s="1438"/>
      <c r="CI439" s="1438"/>
      <c r="CJ439" s="1438"/>
      <c r="CK439" s="1438"/>
      <c r="CU439" s="1411"/>
      <c r="CV439" s="1411"/>
      <c r="CW439" s="1425"/>
      <c r="CX439" s="1425"/>
      <c r="CY439" s="1425"/>
      <c r="CZ439" s="1425"/>
      <c r="DA439" s="1411"/>
      <c r="DB439" s="1411"/>
      <c r="DC439" s="1411"/>
      <c r="DD439" s="1411"/>
      <c r="DE439" s="1411"/>
      <c r="DF439" s="1411"/>
      <c r="DH439" s="1432"/>
      <c r="DI439" s="1432"/>
      <c r="DJ439" s="1437"/>
      <c r="DK439" s="1437"/>
      <c r="DL439" s="1437"/>
      <c r="DM439" s="1437"/>
      <c r="DN439" s="1432"/>
      <c r="DO439" s="1432"/>
      <c r="DP439" s="1432"/>
      <c r="DQ439" s="1432"/>
      <c r="DR439" s="1432"/>
      <c r="DS439" s="1432"/>
      <c r="DT439" s="1316"/>
      <c r="DU439" s="1433"/>
      <c r="DV439" s="1433"/>
      <c r="DW439" s="1433"/>
      <c r="DX439" s="1433"/>
      <c r="DY439" s="1433"/>
      <c r="DZ439" s="1433"/>
      <c r="EA439" s="1433"/>
      <c r="EB439" s="1433"/>
    </row>
    <row r="440" customFormat="false" ht="14.25" hidden="false" customHeight="false" outlineLevel="0" collapsed="false">
      <c r="A440" s="2" t="n">
        <f aca="false">'V_DATOS PAC_SGA'!R435</f>
        <v>0</v>
      </c>
      <c r="B440" s="2" t="n">
        <f aca="false">IF(I440="IV",CONCATENATE('V_DATOS PAC_SGA'!R435,"4")+0,CONCATENATE('V_DATOS PAC_SGA'!R435,"0")+0)</f>
        <v>0</v>
      </c>
      <c r="C440" s="2" t="n">
        <f aca="false">'V_DATOS PAC_SGA'!S435</f>
        <v>0</v>
      </c>
      <c r="D440" s="1409" t="n">
        <f aca="false">'V_DATOS PAC_SGA'!Y435</f>
        <v>0</v>
      </c>
      <c r="E440" s="1410" t="str">
        <f aca="false">IF('V_DATOS PAC_SGA'!AV435="","Regadio",'V_DATOS PAC_SGA'!AV435)</f>
        <v>Regadio</v>
      </c>
      <c r="F440" s="1411" t="n">
        <f aca="false">'V_DATOS PAC_SGA'!BK435</f>
        <v>0</v>
      </c>
      <c r="G440" s="1412" t="n">
        <f aca="false">'V_DATOS PAC_SGA'!AN435</f>
        <v>0</v>
      </c>
      <c r="H440" s="1413" t="str">
        <f aca="false">IF(B440&gt;0,VLOOKUP(B440,'O_MN, PE_UTA_UGM 2024'!E$3:O$419,10),"")</f>
        <v/>
      </c>
      <c r="I440" s="1359" t="n">
        <f aca="false">'V_DATOS PAC_SGA'!BV435</f>
        <v>0</v>
      </c>
      <c r="J440" s="2" t="str">
        <f aca="false">IF(AND(J$4=$G440,J$6=$F440),$D440*J$5,"")</f>
        <v/>
      </c>
      <c r="K440" s="2" t="str">
        <f aca="false">IF(AND(K$4=$G440,K$6=$F440),$D440*K$5,"")</f>
        <v/>
      </c>
      <c r="L440" s="2" t="str">
        <f aca="false">IF(AND(L$4=$G440,L$6=$F440),$D440*L$5,"")</f>
        <v/>
      </c>
      <c r="M440" s="2" t="str">
        <f aca="false">IF(AND(M$4=$G440,M$6=$F440),$D440*M$5,"")</f>
        <v/>
      </c>
      <c r="N440" s="1478" t="n">
        <f aca="false">VLOOKUP(B440,'O_MN, PE_UTA_UGM 2024'!$E$2:$K$419,IF(G440&gt;1,6,7))</f>
        <v>0</v>
      </c>
      <c r="O440" s="1434" t="str">
        <f aca="false">IF($H440=O$4,$D440*$N440,"")</f>
        <v/>
      </c>
      <c r="P440" s="1435" t="str">
        <f aca="false">IF($H440=P$4,$D440*$N440,"")</f>
        <v/>
      </c>
      <c r="Q440" s="1435" t="str">
        <f aca="false">IF($H440=Q$4,$D440*$N440,"")</f>
        <v/>
      </c>
      <c r="R440" s="1435" t="str">
        <f aca="false">IF($H440=R$4,$D440*$N440,"")</f>
        <v/>
      </c>
      <c r="S440" s="1435" t="str">
        <f aca="false">IF($H440=S$4,$D440*$N440,"")</f>
        <v/>
      </c>
      <c r="T440" s="1435" t="str">
        <f aca="false">IF($H440=T$4,$D440*$N440,"")</f>
        <v/>
      </c>
      <c r="U440" s="1436" t="str">
        <f aca="false">IF($H440=U$4,$D440*$N440,"")</f>
        <v/>
      </c>
      <c r="V440" s="1472"/>
      <c r="W440" s="1471"/>
      <c r="X440" s="1471"/>
      <c r="Y440" s="1471"/>
      <c r="Z440" s="1471"/>
      <c r="AA440" s="1471"/>
      <c r="AB440" s="1473"/>
      <c r="AC440" s="1319"/>
      <c r="AD440" s="2" t="str">
        <f aca="false">IF(AND(AD$4=$G440,AD$6=$F440),$B440,"")</f>
        <v/>
      </c>
      <c r="AE440" s="2" t="str">
        <f aca="false">IF(AND(AE$4=$G440,AE$6=$F440),$B440,"")</f>
        <v/>
      </c>
      <c r="AF440" s="2" t="str">
        <f aca="false">IF(AND(AF$4=$G440,AF$6=$F440),$B440,"")</f>
        <v/>
      </c>
      <c r="AG440" s="2" t="str">
        <f aca="false">IF(AND(AG$4=$G440,AG$6=$F440),$B440,"")</f>
        <v/>
      </c>
      <c r="AI440" s="366"/>
      <c r="AL440" s="367"/>
      <c r="AO440" s="367"/>
      <c r="AR440" s="1411"/>
      <c r="AT440" s="1422"/>
      <c r="AU440" s="1411"/>
      <c r="AV440" s="1411"/>
      <c r="AW440" s="1423"/>
      <c r="AX440" s="1423"/>
      <c r="AZ440" s="1370"/>
      <c r="BA440" s="1370"/>
      <c r="BB440" s="1370"/>
      <c r="BC440" s="1370"/>
      <c r="BD440" s="1370"/>
      <c r="BE440" s="1370"/>
      <c r="BF440" s="1370"/>
      <c r="BG440" s="1370"/>
      <c r="BH440" s="1371"/>
      <c r="BI440" s="1371"/>
      <c r="BJ440" s="1371"/>
      <c r="BK440" s="1371"/>
      <c r="BM440" s="1411"/>
      <c r="BN440" s="1411"/>
      <c r="BO440" s="1425"/>
      <c r="BP440" s="1425"/>
      <c r="BQ440" s="1425"/>
      <c r="BR440" s="1425"/>
      <c r="BS440" s="1411"/>
      <c r="BT440" s="1411"/>
      <c r="BU440" s="1411"/>
      <c r="BV440" s="1411"/>
      <c r="BW440" s="1411"/>
      <c r="BX440" s="1411"/>
      <c r="BZ440" s="1438"/>
      <c r="CA440" s="1438"/>
      <c r="CB440" s="1496"/>
      <c r="CC440" s="1496"/>
      <c r="CD440" s="1496"/>
      <c r="CE440" s="1496"/>
      <c r="CF440" s="1438"/>
      <c r="CG440" s="1438"/>
      <c r="CH440" s="1438"/>
      <c r="CI440" s="1438"/>
      <c r="CJ440" s="1438"/>
      <c r="CK440" s="1438"/>
      <c r="CU440" s="1411"/>
      <c r="CV440" s="1411"/>
      <c r="CW440" s="1425"/>
      <c r="CX440" s="1425"/>
      <c r="CY440" s="1425"/>
      <c r="CZ440" s="1425"/>
      <c r="DA440" s="1411"/>
      <c r="DB440" s="1411"/>
      <c r="DC440" s="1411"/>
      <c r="DD440" s="1411"/>
      <c r="DE440" s="1411"/>
      <c r="DF440" s="1411"/>
      <c r="DH440" s="1432"/>
      <c r="DI440" s="1432"/>
      <c r="DJ440" s="1437"/>
      <c r="DK440" s="1437"/>
      <c r="DL440" s="1437"/>
      <c r="DM440" s="1437"/>
      <c r="DN440" s="1432"/>
      <c r="DO440" s="1432"/>
      <c r="DP440" s="1432"/>
      <c r="DQ440" s="1432"/>
      <c r="DR440" s="1432"/>
      <c r="DS440" s="1432"/>
      <c r="DT440" s="1316"/>
      <c r="DU440" s="1433"/>
      <c r="DV440" s="1433"/>
      <c r="DW440" s="1433"/>
      <c r="DX440" s="1433"/>
      <c r="DY440" s="1433"/>
      <c r="DZ440" s="1433"/>
      <c r="EA440" s="1433"/>
      <c r="EB440" s="1433"/>
    </row>
    <row r="441" customFormat="false" ht="14.25" hidden="false" customHeight="false" outlineLevel="0" collapsed="false">
      <c r="A441" s="2" t="n">
        <f aca="false">'V_DATOS PAC_SGA'!R436</f>
        <v>0</v>
      </c>
      <c r="B441" s="2" t="n">
        <f aca="false">IF(I441="IV",CONCATENATE('V_DATOS PAC_SGA'!R436,"4")+0,CONCATENATE('V_DATOS PAC_SGA'!R436,"0")+0)</f>
        <v>0</v>
      </c>
      <c r="C441" s="2" t="n">
        <f aca="false">'V_DATOS PAC_SGA'!S436</f>
        <v>0</v>
      </c>
      <c r="D441" s="1409" t="n">
        <f aca="false">'V_DATOS PAC_SGA'!Y436</f>
        <v>0</v>
      </c>
      <c r="E441" s="1410" t="str">
        <f aca="false">IF('V_DATOS PAC_SGA'!AV436="","Regadio",'V_DATOS PAC_SGA'!AV436)</f>
        <v>Regadio</v>
      </c>
      <c r="F441" s="1411" t="n">
        <f aca="false">'V_DATOS PAC_SGA'!BK436</f>
        <v>0</v>
      </c>
      <c r="G441" s="1412" t="n">
        <f aca="false">'V_DATOS PAC_SGA'!AN436</f>
        <v>0</v>
      </c>
      <c r="H441" s="1413" t="str">
        <f aca="false">IF(B441&gt;0,VLOOKUP(B441,'O_MN, PE_UTA_UGM 2024'!E$3:O$419,10),"")</f>
        <v/>
      </c>
      <c r="I441" s="1359" t="n">
        <f aca="false">'V_DATOS PAC_SGA'!BV436</f>
        <v>0</v>
      </c>
      <c r="J441" s="2" t="str">
        <f aca="false">IF(AND(J$4=$G441,J$6=$F441),$D441*J$5,"")</f>
        <v/>
      </c>
      <c r="K441" s="2" t="str">
        <f aca="false">IF(AND(K$4=$G441,K$6=$F441),$D441*K$5,"")</f>
        <v/>
      </c>
      <c r="L441" s="2" t="str">
        <f aca="false">IF(AND(L$4=$G441,L$6=$F441),$D441*L$5,"")</f>
        <v/>
      </c>
      <c r="M441" s="2" t="str">
        <f aca="false">IF(AND(M$4=$G441,M$6=$F441),$D441*M$5,"")</f>
        <v/>
      </c>
      <c r="N441" s="1478" t="n">
        <f aca="false">VLOOKUP(B441,'O_MN, PE_UTA_UGM 2024'!$E$2:$K$419,IF(G441&gt;1,6,7))</f>
        <v>0</v>
      </c>
      <c r="O441" s="1434" t="str">
        <f aca="false">IF($H441=O$4,$D441*$N441,"")</f>
        <v/>
      </c>
      <c r="P441" s="1435" t="str">
        <f aca="false">IF($H441=P$4,$D441*$N441,"")</f>
        <v/>
      </c>
      <c r="Q441" s="1435" t="str">
        <f aca="false">IF($H441=Q$4,$D441*$N441,"")</f>
        <v/>
      </c>
      <c r="R441" s="1435" t="str">
        <f aca="false">IF($H441=R$4,$D441*$N441,"")</f>
        <v/>
      </c>
      <c r="S441" s="1435" t="str">
        <f aca="false">IF($H441=S$4,$D441*$N441,"")</f>
        <v/>
      </c>
      <c r="T441" s="1435" t="str">
        <f aca="false">IF($H441=T$4,$D441*$N441,"")</f>
        <v/>
      </c>
      <c r="U441" s="1436" t="str">
        <f aca="false">IF($H441=U$4,$D441*$N441,"")</f>
        <v/>
      </c>
      <c r="V441" s="1472"/>
      <c r="W441" s="1471"/>
      <c r="X441" s="1471"/>
      <c r="Y441" s="1471"/>
      <c r="Z441" s="1471"/>
      <c r="AA441" s="1471"/>
      <c r="AB441" s="1473"/>
      <c r="AC441" s="1319"/>
      <c r="AD441" s="2" t="str">
        <f aca="false">IF(AND(AD$4=$G441,AD$6=$F441),$B441,"")</f>
        <v/>
      </c>
      <c r="AE441" s="2" t="str">
        <f aca="false">IF(AND(AE$4=$G441,AE$6=$F441),$B441,"")</f>
        <v/>
      </c>
      <c r="AF441" s="2" t="str">
        <f aca="false">IF(AND(AF$4=$G441,AF$6=$F441),$B441,"")</f>
        <v/>
      </c>
      <c r="AG441" s="2" t="str">
        <f aca="false">IF(AND(AG$4=$G441,AG$6=$F441),$B441,"")</f>
        <v/>
      </c>
      <c r="AI441" s="366"/>
      <c r="AL441" s="367"/>
      <c r="AO441" s="367"/>
      <c r="AR441" s="1411"/>
      <c r="AT441" s="1422"/>
      <c r="AU441" s="1411"/>
      <c r="AV441" s="1411"/>
      <c r="AW441" s="1423"/>
      <c r="AX441" s="1423"/>
      <c r="AZ441" s="1370"/>
      <c r="BA441" s="1370"/>
      <c r="BB441" s="1370"/>
      <c r="BC441" s="1370"/>
      <c r="BD441" s="1370"/>
      <c r="BE441" s="1370"/>
      <c r="BF441" s="1370"/>
      <c r="BG441" s="1370"/>
      <c r="BH441" s="1371"/>
      <c r="BI441" s="1371"/>
      <c r="BJ441" s="1371"/>
      <c r="BK441" s="1371"/>
      <c r="BM441" s="1411"/>
      <c r="BN441" s="1411"/>
      <c r="BO441" s="1425"/>
      <c r="BP441" s="1425"/>
      <c r="BQ441" s="1425"/>
      <c r="BR441" s="1425"/>
      <c r="BS441" s="1411"/>
      <c r="BT441" s="1411"/>
      <c r="BU441" s="1411"/>
      <c r="BV441" s="1411"/>
      <c r="BW441" s="1411"/>
      <c r="BX441" s="1411"/>
      <c r="BZ441" s="1438"/>
      <c r="CA441" s="1438"/>
      <c r="CB441" s="1496"/>
      <c r="CC441" s="1496"/>
      <c r="CD441" s="1496"/>
      <c r="CE441" s="1496"/>
      <c r="CF441" s="1438"/>
      <c r="CG441" s="1438"/>
      <c r="CH441" s="1438"/>
      <c r="CI441" s="1438"/>
      <c r="CJ441" s="1438"/>
      <c r="CK441" s="1438"/>
      <c r="CU441" s="1411"/>
      <c r="CV441" s="1411"/>
      <c r="CW441" s="1425"/>
      <c r="CX441" s="1425"/>
      <c r="CY441" s="1425"/>
      <c r="CZ441" s="1425"/>
      <c r="DA441" s="1411"/>
      <c r="DB441" s="1411"/>
      <c r="DC441" s="1411"/>
      <c r="DD441" s="1411"/>
      <c r="DE441" s="1411"/>
      <c r="DF441" s="1411"/>
      <c r="DH441" s="1432"/>
      <c r="DI441" s="1432"/>
      <c r="DJ441" s="1437"/>
      <c r="DK441" s="1437"/>
      <c r="DL441" s="1437"/>
      <c r="DM441" s="1437"/>
      <c r="DN441" s="1432"/>
      <c r="DO441" s="1432"/>
      <c r="DP441" s="1432"/>
      <c r="DQ441" s="1432"/>
      <c r="DR441" s="1432"/>
      <c r="DS441" s="1432"/>
      <c r="DT441" s="1316"/>
      <c r="DU441" s="1433"/>
      <c r="DV441" s="1433"/>
      <c r="DW441" s="1433"/>
      <c r="DX441" s="1433"/>
      <c r="DY441" s="1433"/>
      <c r="DZ441" s="1433"/>
      <c r="EA441" s="1433"/>
      <c r="EB441" s="1433"/>
    </row>
    <row r="442" customFormat="false" ht="14.25" hidden="false" customHeight="false" outlineLevel="0" collapsed="false">
      <c r="A442" s="2" t="n">
        <f aca="false">'V_DATOS PAC_SGA'!R437</f>
        <v>0</v>
      </c>
      <c r="B442" s="2" t="n">
        <f aca="false">IF(I442="IV",CONCATENATE('V_DATOS PAC_SGA'!R437,"4")+0,CONCATENATE('V_DATOS PAC_SGA'!R437,"0")+0)</f>
        <v>0</v>
      </c>
      <c r="C442" s="2" t="n">
        <f aca="false">'V_DATOS PAC_SGA'!S437</f>
        <v>0</v>
      </c>
      <c r="D442" s="1409" t="n">
        <f aca="false">'V_DATOS PAC_SGA'!Y437</f>
        <v>0</v>
      </c>
      <c r="E442" s="1410" t="str">
        <f aca="false">IF('V_DATOS PAC_SGA'!AV437="","Regadio",'V_DATOS PAC_SGA'!AV437)</f>
        <v>Regadio</v>
      </c>
      <c r="F442" s="1411" t="n">
        <f aca="false">'V_DATOS PAC_SGA'!BK437</f>
        <v>0</v>
      </c>
      <c r="G442" s="1412" t="n">
        <f aca="false">'V_DATOS PAC_SGA'!AN437</f>
        <v>0</v>
      </c>
      <c r="H442" s="1413" t="str">
        <f aca="false">IF(B442&gt;0,VLOOKUP(B442,'O_MN, PE_UTA_UGM 2024'!E$3:O$419,10),"")</f>
        <v/>
      </c>
      <c r="I442" s="1359" t="n">
        <f aca="false">'V_DATOS PAC_SGA'!BV437</f>
        <v>0</v>
      </c>
      <c r="J442" s="2" t="str">
        <f aca="false">IF(AND(J$4=$G442,J$6=$F442),$D442*J$5,"")</f>
        <v/>
      </c>
      <c r="K442" s="2" t="str">
        <f aca="false">IF(AND(K$4=$G442,K$6=$F442),$D442*K$5,"")</f>
        <v/>
      </c>
      <c r="L442" s="2" t="str">
        <f aca="false">IF(AND(L$4=$G442,L$6=$F442),$D442*L$5,"")</f>
        <v/>
      </c>
      <c r="M442" s="2" t="str">
        <f aca="false">IF(AND(M$4=$G442,M$6=$F442),$D442*M$5,"")</f>
        <v/>
      </c>
      <c r="N442" s="1478" t="n">
        <f aca="false">VLOOKUP(B442,'O_MN, PE_UTA_UGM 2024'!$E$2:$K$419,IF(G442&gt;1,6,7))</f>
        <v>0</v>
      </c>
      <c r="O442" s="1434" t="str">
        <f aca="false">IF($H442=O$4,$D442*$N442,"")</f>
        <v/>
      </c>
      <c r="P442" s="1435" t="str">
        <f aca="false">IF($H442=P$4,$D442*$N442,"")</f>
        <v/>
      </c>
      <c r="Q442" s="1435" t="str">
        <f aca="false">IF($H442=Q$4,$D442*$N442,"")</f>
        <v/>
      </c>
      <c r="R442" s="1435" t="str">
        <f aca="false">IF($H442=R$4,$D442*$N442,"")</f>
        <v/>
      </c>
      <c r="S442" s="1435" t="str">
        <f aca="false">IF($H442=S$4,$D442*$N442,"")</f>
        <v/>
      </c>
      <c r="T442" s="1435" t="str">
        <f aca="false">IF($H442=T$4,$D442*$N442,"")</f>
        <v/>
      </c>
      <c r="U442" s="1436" t="str">
        <f aca="false">IF($H442=U$4,$D442*$N442,"")</f>
        <v/>
      </c>
      <c r="V442" s="1472"/>
      <c r="W442" s="1471"/>
      <c r="X442" s="1471"/>
      <c r="Y442" s="1471"/>
      <c r="Z442" s="1471"/>
      <c r="AA442" s="1471"/>
      <c r="AB442" s="1473"/>
      <c r="AC442" s="1319"/>
      <c r="AD442" s="2" t="str">
        <f aca="false">IF(AND(AD$4=$G442,AD$6=$F442),$B442,"")</f>
        <v/>
      </c>
      <c r="AE442" s="2" t="str">
        <f aca="false">IF(AND(AE$4=$G442,AE$6=$F442),$B442,"")</f>
        <v/>
      </c>
      <c r="AF442" s="2" t="str">
        <f aca="false">IF(AND(AF$4=$G442,AF$6=$F442),$B442,"")</f>
        <v/>
      </c>
      <c r="AG442" s="2" t="str">
        <f aca="false">IF(AND(AG$4=$G442,AG$6=$F442),$B442,"")</f>
        <v/>
      </c>
      <c r="AI442" s="366"/>
      <c r="AL442" s="367"/>
      <c r="AO442" s="367"/>
      <c r="AR442" s="1411"/>
      <c r="AT442" s="1422"/>
      <c r="AU442" s="1411"/>
      <c r="AV442" s="1411"/>
      <c r="AW442" s="1423"/>
      <c r="AX442" s="1423"/>
      <c r="AZ442" s="1370"/>
      <c r="BA442" s="1370"/>
      <c r="BB442" s="1370"/>
      <c r="BC442" s="1370"/>
      <c r="BD442" s="1370"/>
      <c r="BE442" s="1370"/>
      <c r="BF442" s="1370"/>
      <c r="BG442" s="1370"/>
      <c r="BH442" s="1371"/>
      <c r="BI442" s="1371"/>
      <c r="BJ442" s="1371"/>
      <c r="BK442" s="1371"/>
      <c r="BM442" s="1411"/>
      <c r="BN442" s="1411"/>
      <c r="BO442" s="1425"/>
      <c r="BP442" s="1425"/>
      <c r="BQ442" s="1425"/>
      <c r="BR442" s="1425"/>
      <c r="BS442" s="1411"/>
      <c r="BT442" s="1411"/>
      <c r="BU442" s="1411"/>
      <c r="BV442" s="1411"/>
      <c r="BW442" s="1411"/>
      <c r="BX442" s="1411"/>
      <c r="BZ442" s="1438"/>
      <c r="CA442" s="1438"/>
      <c r="CB442" s="1496"/>
      <c r="CC442" s="1496"/>
      <c r="CD442" s="1496"/>
      <c r="CE442" s="1496"/>
      <c r="CF442" s="1438"/>
      <c r="CG442" s="1438"/>
      <c r="CH442" s="1438"/>
      <c r="CI442" s="1438"/>
      <c r="CJ442" s="1438"/>
      <c r="CK442" s="1438"/>
      <c r="CU442" s="1411"/>
      <c r="CV442" s="1411"/>
      <c r="CW442" s="1425"/>
      <c r="CX442" s="1425"/>
      <c r="CY442" s="1425"/>
      <c r="CZ442" s="1425"/>
      <c r="DA442" s="1411"/>
      <c r="DB442" s="1411"/>
      <c r="DC442" s="1411"/>
      <c r="DD442" s="1411"/>
      <c r="DE442" s="1411"/>
      <c r="DF442" s="1411"/>
      <c r="DH442" s="1432"/>
      <c r="DI442" s="1432"/>
      <c r="DJ442" s="1437"/>
      <c r="DK442" s="1437"/>
      <c r="DL442" s="1437"/>
      <c r="DM442" s="1437"/>
      <c r="DN442" s="1432"/>
      <c r="DO442" s="1432"/>
      <c r="DP442" s="1432"/>
      <c r="DQ442" s="1432"/>
      <c r="DR442" s="1432"/>
      <c r="DS442" s="1432"/>
      <c r="DT442" s="1316"/>
      <c r="DU442" s="1433"/>
      <c r="DV442" s="1433"/>
      <c r="DW442" s="1433"/>
      <c r="DX442" s="1433"/>
      <c r="DY442" s="1433"/>
      <c r="DZ442" s="1433"/>
      <c r="EA442" s="1433"/>
      <c r="EB442" s="1433"/>
    </row>
    <row r="443" customFormat="false" ht="14.25" hidden="false" customHeight="false" outlineLevel="0" collapsed="false">
      <c r="A443" s="2" t="n">
        <f aca="false">'V_DATOS PAC_SGA'!R438</f>
        <v>0</v>
      </c>
      <c r="B443" s="2" t="n">
        <f aca="false">IF(I443="IV",CONCATENATE('V_DATOS PAC_SGA'!R438,"4")+0,CONCATENATE('V_DATOS PAC_SGA'!R438,"0")+0)</f>
        <v>0</v>
      </c>
      <c r="C443" s="2" t="n">
        <f aca="false">'V_DATOS PAC_SGA'!S438</f>
        <v>0</v>
      </c>
      <c r="D443" s="1409" t="n">
        <f aca="false">'V_DATOS PAC_SGA'!Y438</f>
        <v>0</v>
      </c>
      <c r="E443" s="1410" t="str">
        <f aca="false">IF('V_DATOS PAC_SGA'!AV438="","Regadio",'V_DATOS PAC_SGA'!AV438)</f>
        <v>Regadio</v>
      </c>
      <c r="F443" s="1411" t="n">
        <f aca="false">'V_DATOS PAC_SGA'!BK438</f>
        <v>0</v>
      </c>
      <c r="G443" s="1412" t="n">
        <f aca="false">'V_DATOS PAC_SGA'!AN438</f>
        <v>0</v>
      </c>
      <c r="H443" s="1413" t="str">
        <f aca="false">IF(B443&gt;0,VLOOKUP(B443,'O_MN, PE_UTA_UGM 2024'!E$3:O$419,10),"")</f>
        <v/>
      </c>
      <c r="I443" s="1359" t="n">
        <f aca="false">'V_DATOS PAC_SGA'!BV438</f>
        <v>0</v>
      </c>
      <c r="J443" s="2" t="str">
        <f aca="false">IF(AND(J$4=$G443,J$6=$F443),$D443*J$5,"")</f>
        <v/>
      </c>
      <c r="K443" s="2" t="str">
        <f aca="false">IF(AND(K$4=$G443,K$6=$F443),$D443*K$5,"")</f>
        <v/>
      </c>
      <c r="L443" s="2" t="str">
        <f aca="false">IF(AND(L$4=$G443,L$6=$F443),$D443*L$5,"")</f>
        <v/>
      </c>
      <c r="M443" s="2" t="str">
        <f aca="false">IF(AND(M$4=$G443,M$6=$F443),$D443*M$5,"")</f>
        <v/>
      </c>
      <c r="N443" s="1478" t="n">
        <f aca="false">VLOOKUP(B443,'O_MN, PE_UTA_UGM 2024'!$E$2:$K$419,IF(G443&gt;1,6,7))</f>
        <v>0</v>
      </c>
      <c r="O443" s="1434" t="str">
        <f aca="false">IF($H443=O$4,$D443*$N443,"")</f>
        <v/>
      </c>
      <c r="P443" s="1435" t="str">
        <f aca="false">IF($H443=P$4,$D443*$N443,"")</f>
        <v/>
      </c>
      <c r="Q443" s="1435" t="str">
        <f aca="false">IF($H443=Q$4,$D443*$N443,"")</f>
        <v/>
      </c>
      <c r="R443" s="1435" t="str">
        <f aca="false">IF($H443=R$4,$D443*$N443,"")</f>
        <v/>
      </c>
      <c r="S443" s="1435" t="str">
        <f aca="false">IF($H443=S$4,$D443*$N443,"")</f>
        <v/>
      </c>
      <c r="T443" s="1435" t="str">
        <f aca="false">IF($H443=T$4,$D443*$N443,"")</f>
        <v/>
      </c>
      <c r="U443" s="1436" t="str">
        <f aca="false">IF($H443=U$4,$D443*$N443,"")</f>
        <v/>
      </c>
      <c r="V443" s="1472"/>
      <c r="W443" s="1471"/>
      <c r="X443" s="1471"/>
      <c r="Y443" s="1471"/>
      <c r="Z443" s="1471"/>
      <c r="AA443" s="1471"/>
      <c r="AB443" s="1473"/>
      <c r="AC443" s="1319"/>
      <c r="AD443" s="2" t="str">
        <f aca="false">IF(AND(AD$4=$G443,AD$6=$F443),$B443,"")</f>
        <v/>
      </c>
      <c r="AE443" s="2" t="str">
        <f aca="false">IF(AND(AE$4=$G443,AE$6=$F443),$B443,"")</f>
        <v/>
      </c>
      <c r="AF443" s="2" t="str">
        <f aca="false">IF(AND(AF$4=$G443,AF$6=$F443),$B443,"")</f>
        <v/>
      </c>
      <c r="AG443" s="2" t="str">
        <f aca="false">IF(AND(AG$4=$G443,AG$6=$F443),$B443,"")</f>
        <v/>
      </c>
      <c r="AI443" s="366"/>
      <c r="AL443" s="367"/>
      <c r="AO443" s="367"/>
      <c r="AR443" s="1411"/>
      <c r="AT443" s="1422"/>
      <c r="AU443" s="1411"/>
      <c r="AV443" s="1411"/>
      <c r="AW443" s="1423"/>
      <c r="AX443" s="1423"/>
      <c r="AZ443" s="1370"/>
      <c r="BA443" s="1370"/>
      <c r="BB443" s="1370"/>
      <c r="BC443" s="1370"/>
      <c r="BD443" s="1370"/>
      <c r="BE443" s="1370"/>
      <c r="BF443" s="1370"/>
      <c r="BG443" s="1370"/>
      <c r="BH443" s="1371"/>
      <c r="BI443" s="1371"/>
      <c r="BJ443" s="1371"/>
      <c r="BK443" s="1371"/>
      <c r="BM443" s="1411"/>
      <c r="BN443" s="1411"/>
      <c r="BO443" s="1425"/>
      <c r="BP443" s="1425"/>
      <c r="BQ443" s="1425"/>
      <c r="BR443" s="1425"/>
      <c r="BS443" s="1411"/>
      <c r="BT443" s="1411"/>
      <c r="BU443" s="1411"/>
      <c r="BV443" s="1411"/>
      <c r="BW443" s="1411"/>
      <c r="BX443" s="1411"/>
      <c r="BZ443" s="1438"/>
      <c r="CA443" s="1438"/>
      <c r="CB443" s="1496"/>
      <c r="CC443" s="1496"/>
      <c r="CD443" s="1496"/>
      <c r="CE443" s="1496"/>
      <c r="CF443" s="1438"/>
      <c r="CG443" s="1438"/>
      <c r="CH443" s="1438"/>
      <c r="CI443" s="1438"/>
      <c r="CJ443" s="1438"/>
      <c r="CK443" s="1438"/>
      <c r="CU443" s="1411"/>
      <c r="CV443" s="1411"/>
      <c r="CW443" s="1425"/>
      <c r="CX443" s="1425"/>
      <c r="CY443" s="1425"/>
      <c r="CZ443" s="1425"/>
      <c r="DA443" s="1411"/>
      <c r="DB443" s="1411"/>
      <c r="DC443" s="1411"/>
      <c r="DD443" s="1411"/>
      <c r="DE443" s="1411"/>
      <c r="DF443" s="1411"/>
      <c r="DH443" s="1432"/>
      <c r="DI443" s="1432"/>
      <c r="DJ443" s="1437"/>
      <c r="DK443" s="1437"/>
      <c r="DL443" s="1437"/>
      <c r="DM443" s="1437"/>
      <c r="DN443" s="1432"/>
      <c r="DO443" s="1432"/>
      <c r="DP443" s="1432"/>
      <c r="DQ443" s="1432"/>
      <c r="DR443" s="1432"/>
      <c r="DS443" s="1432"/>
      <c r="DT443" s="1316"/>
      <c r="DU443" s="1433"/>
      <c r="DV443" s="1433"/>
      <c r="DW443" s="1433"/>
      <c r="DX443" s="1433"/>
      <c r="DY443" s="1433"/>
      <c r="DZ443" s="1433"/>
      <c r="EA443" s="1433"/>
      <c r="EB443" s="1433"/>
    </row>
    <row r="444" customFormat="false" ht="14.25" hidden="false" customHeight="false" outlineLevel="0" collapsed="false">
      <c r="A444" s="2" t="n">
        <f aca="false">'V_DATOS PAC_SGA'!R439</f>
        <v>0</v>
      </c>
      <c r="B444" s="2" t="n">
        <f aca="false">IF(I444="IV",CONCATENATE('V_DATOS PAC_SGA'!R439,"4")+0,CONCATENATE('V_DATOS PAC_SGA'!R439,"0")+0)</f>
        <v>0</v>
      </c>
      <c r="C444" s="2" t="n">
        <f aca="false">'V_DATOS PAC_SGA'!S439</f>
        <v>0</v>
      </c>
      <c r="D444" s="1409" t="n">
        <f aca="false">'V_DATOS PAC_SGA'!Y439</f>
        <v>0</v>
      </c>
      <c r="E444" s="1410" t="str">
        <f aca="false">IF('V_DATOS PAC_SGA'!AV439="","Regadio",'V_DATOS PAC_SGA'!AV439)</f>
        <v>Regadio</v>
      </c>
      <c r="F444" s="1411" t="n">
        <f aca="false">'V_DATOS PAC_SGA'!BK439</f>
        <v>0</v>
      </c>
      <c r="G444" s="1412" t="n">
        <f aca="false">'V_DATOS PAC_SGA'!AN439</f>
        <v>0</v>
      </c>
      <c r="H444" s="1413" t="str">
        <f aca="false">IF(B444&gt;0,VLOOKUP(B444,'O_MN, PE_UTA_UGM 2024'!E$3:O$419,10),"")</f>
        <v/>
      </c>
      <c r="I444" s="1359" t="n">
        <f aca="false">'V_DATOS PAC_SGA'!BV439</f>
        <v>0</v>
      </c>
      <c r="J444" s="2" t="str">
        <f aca="false">IF(AND(J$4=$G444,J$6=$F444),$D444*J$5,"")</f>
        <v/>
      </c>
      <c r="K444" s="2" t="str">
        <f aca="false">IF(AND(K$4=$G444,K$6=$F444),$D444*K$5,"")</f>
        <v/>
      </c>
      <c r="L444" s="2" t="str">
        <f aca="false">IF(AND(L$4=$G444,L$6=$F444),$D444*L$5,"")</f>
        <v/>
      </c>
      <c r="M444" s="2" t="str">
        <f aca="false">IF(AND(M$4=$G444,M$6=$F444),$D444*M$5,"")</f>
        <v/>
      </c>
      <c r="N444" s="1478" t="n">
        <f aca="false">VLOOKUP(B444,'O_MN, PE_UTA_UGM 2024'!$E$2:$K$419,IF(G444&gt;1,6,7))</f>
        <v>0</v>
      </c>
      <c r="O444" s="1434" t="str">
        <f aca="false">IF($H444=O$4,$D444*$N444,"")</f>
        <v/>
      </c>
      <c r="P444" s="1435" t="str">
        <f aca="false">IF($H444=P$4,$D444*$N444,"")</f>
        <v/>
      </c>
      <c r="Q444" s="1435" t="str">
        <f aca="false">IF($H444=Q$4,$D444*$N444,"")</f>
        <v/>
      </c>
      <c r="R444" s="1435" t="str">
        <f aca="false">IF($H444=R$4,$D444*$N444,"")</f>
        <v/>
      </c>
      <c r="S444" s="1435" t="str">
        <f aca="false">IF($H444=S$4,$D444*$N444,"")</f>
        <v/>
      </c>
      <c r="T444" s="1435" t="str">
        <f aca="false">IF($H444=T$4,$D444*$N444,"")</f>
        <v/>
      </c>
      <c r="U444" s="1436" t="str">
        <f aca="false">IF($H444=U$4,$D444*$N444,"")</f>
        <v/>
      </c>
      <c r="V444" s="1472"/>
      <c r="W444" s="1471"/>
      <c r="X444" s="1471"/>
      <c r="Y444" s="1471"/>
      <c r="Z444" s="1471"/>
      <c r="AA444" s="1471"/>
      <c r="AB444" s="1473"/>
      <c r="AC444" s="1319"/>
      <c r="AD444" s="2" t="str">
        <f aca="false">IF(AND(AD$4=$G444,AD$6=$F444),$B444,"")</f>
        <v/>
      </c>
      <c r="AE444" s="2" t="str">
        <f aca="false">IF(AND(AE$4=$G444,AE$6=$F444),$B444,"")</f>
        <v/>
      </c>
      <c r="AF444" s="2" t="str">
        <f aca="false">IF(AND(AF$4=$G444,AF$6=$F444),$B444,"")</f>
        <v/>
      </c>
      <c r="AG444" s="2" t="str">
        <f aca="false">IF(AND(AG$4=$G444,AG$6=$F444),$B444,"")</f>
        <v/>
      </c>
      <c r="AI444" s="366"/>
      <c r="AL444" s="367"/>
      <c r="AO444" s="367"/>
      <c r="AR444" s="1411"/>
      <c r="AT444" s="1422"/>
      <c r="AU444" s="1411"/>
      <c r="AV444" s="1411"/>
      <c r="AW444" s="1423"/>
      <c r="AX444" s="1423"/>
      <c r="AZ444" s="1370"/>
      <c r="BA444" s="1370"/>
      <c r="BB444" s="1370"/>
      <c r="BC444" s="1370"/>
      <c r="BD444" s="1370"/>
      <c r="BE444" s="1370"/>
      <c r="BF444" s="1370"/>
      <c r="BG444" s="1370"/>
      <c r="BH444" s="1371"/>
      <c r="BI444" s="1371"/>
      <c r="BJ444" s="1371"/>
      <c r="BK444" s="1371"/>
      <c r="BM444" s="1411"/>
      <c r="BN444" s="1411"/>
      <c r="BO444" s="1425"/>
      <c r="BP444" s="1425"/>
      <c r="BQ444" s="1425"/>
      <c r="BR444" s="1425"/>
      <c r="BS444" s="1411"/>
      <c r="BT444" s="1411"/>
      <c r="BU444" s="1411"/>
      <c r="BV444" s="1411"/>
      <c r="BW444" s="1411"/>
      <c r="BX444" s="1411"/>
      <c r="BZ444" s="1438"/>
      <c r="CA444" s="1438"/>
      <c r="CB444" s="1496"/>
      <c r="CC444" s="1496"/>
      <c r="CD444" s="1496"/>
      <c r="CE444" s="1496"/>
      <c r="CF444" s="1438"/>
      <c r="CG444" s="1438"/>
      <c r="CH444" s="1438"/>
      <c r="CI444" s="1438"/>
      <c r="CJ444" s="1438"/>
      <c r="CK444" s="1438"/>
      <c r="CU444" s="1411"/>
      <c r="CV444" s="1411"/>
      <c r="CW444" s="1425"/>
      <c r="CX444" s="1425"/>
      <c r="CY444" s="1425"/>
      <c r="CZ444" s="1425"/>
      <c r="DA444" s="1411"/>
      <c r="DB444" s="1411"/>
      <c r="DC444" s="1411"/>
      <c r="DD444" s="1411"/>
      <c r="DE444" s="1411"/>
      <c r="DF444" s="1411"/>
      <c r="DH444" s="1432"/>
      <c r="DI444" s="1432"/>
      <c r="DJ444" s="1437"/>
      <c r="DK444" s="1437"/>
      <c r="DL444" s="1437"/>
      <c r="DM444" s="1437"/>
      <c r="DN444" s="1432"/>
      <c r="DO444" s="1432"/>
      <c r="DP444" s="1432"/>
      <c r="DQ444" s="1432"/>
      <c r="DR444" s="1432"/>
      <c r="DS444" s="1432"/>
      <c r="DT444" s="1316"/>
      <c r="DU444" s="1433"/>
      <c r="DV444" s="1433"/>
      <c r="DW444" s="1433"/>
      <c r="DX444" s="1433"/>
      <c r="DY444" s="1433"/>
      <c r="DZ444" s="1433"/>
      <c r="EA444" s="1433"/>
      <c r="EB444" s="1433"/>
    </row>
    <row r="445" customFormat="false" ht="14.25" hidden="false" customHeight="false" outlineLevel="0" collapsed="false">
      <c r="A445" s="2" t="n">
        <f aca="false">'V_DATOS PAC_SGA'!R440</f>
        <v>0</v>
      </c>
      <c r="B445" s="2" t="n">
        <f aca="false">IF(I445="IV",CONCATENATE('V_DATOS PAC_SGA'!R440,"4")+0,CONCATENATE('V_DATOS PAC_SGA'!R440,"0")+0)</f>
        <v>0</v>
      </c>
      <c r="C445" s="2" t="n">
        <f aca="false">'V_DATOS PAC_SGA'!S440</f>
        <v>0</v>
      </c>
      <c r="D445" s="1409" t="n">
        <f aca="false">'V_DATOS PAC_SGA'!Y440</f>
        <v>0</v>
      </c>
      <c r="E445" s="1410" t="str">
        <f aca="false">IF('V_DATOS PAC_SGA'!AV440="","Regadio",'V_DATOS PAC_SGA'!AV440)</f>
        <v>Regadio</v>
      </c>
      <c r="F445" s="1411" t="n">
        <f aca="false">'V_DATOS PAC_SGA'!BK440</f>
        <v>0</v>
      </c>
      <c r="G445" s="1412" t="n">
        <f aca="false">'V_DATOS PAC_SGA'!AN440</f>
        <v>0</v>
      </c>
      <c r="H445" s="1413" t="str">
        <f aca="false">IF(B445&gt;0,VLOOKUP(B445,'O_MN, PE_UTA_UGM 2024'!E$3:O$419,10),"")</f>
        <v/>
      </c>
      <c r="I445" s="1359" t="n">
        <f aca="false">'V_DATOS PAC_SGA'!BV440</f>
        <v>0</v>
      </c>
      <c r="J445" s="2" t="str">
        <f aca="false">IF(AND(J$4=$G445,J$6=$F445),$D445*J$5,"")</f>
        <v/>
      </c>
      <c r="K445" s="2" t="str">
        <f aca="false">IF(AND(K$4=$G445,K$6=$F445),$D445*K$5,"")</f>
        <v/>
      </c>
      <c r="L445" s="2" t="str">
        <f aca="false">IF(AND(L$4=$G445,L$6=$F445),$D445*L$5,"")</f>
        <v/>
      </c>
      <c r="M445" s="2" t="str">
        <f aca="false">IF(AND(M$4=$G445,M$6=$F445),$D445*M$5,"")</f>
        <v/>
      </c>
      <c r="N445" s="1478" t="n">
        <f aca="false">VLOOKUP(B445,'O_MN, PE_UTA_UGM 2024'!$E$2:$K$419,IF(G445&gt;1,6,7))</f>
        <v>0</v>
      </c>
      <c r="O445" s="1434" t="str">
        <f aca="false">IF($H445=O$4,$D445*$N445,"")</f>
        <v/>
      </c>
      <c r="P445" s="1435" t="str">
        <f aca="false">IF($H445=P$4,$D445*$N445,"")</f>
        <v/>
      </c>
      <c r="Q445" s="1435" t="str">
        <f aca="false">IF($H445=Q$4,$D445*$N445,"")</f>
        <v/>
      </c>
      <c r="R445" s="1435" t="str">
        <f aca="false">IF($H445=R$4,$D445*$N445,"")</f>
        <v/>
      </c>
      <c r="S445" s="1435" t="str">
        <f aca="false">IF($H445=S$4,$D445*$N445,"")</f>
        <v/>
      </c>
      <c r="T445" s="1435" t="str">
        <f aca="false">IF($H445=T$4,$D445*$N445,"")</f>
        <v/>
      </c>
      <c r="U445" s="1436" t="str">
        <f aca="false">IF($H445=U$4,$D445*$N445,"")</f>
        <v/>
      </c>
      <c r="V445" s="1472"/>
      <c r="W445" s="1471"/>
      <c r="X445" s="1471"/>
      <c r="Y445" s="1471"/>
      <c r="Z445" s="1471"/>
      <c r="AA445" s="1471"/>
      <c r="AB445" s="1473"/>
      <c r="AC445" s="1319"/>
      <c r="AD445" s="2" t="str">
        <f aca="false">IF(AND(AD$4=$G445,AD$6=$F445),$B445,"")</f>
        <v/>
      </c>
      <c r="AE445" s="2" t="str">
        <f aca="false">IF(AND(AE$4=$G445,AE$6=$F445),$B445,"")</f>
        <v/>
      </c>
      <c r="AF445" s="2" t="str">
        <f aca="false">IF(AND(AF$4=$G445,AF$6=$F445),$B445,"")</f>
        <v/>
      </c>
      <c r="AG445" s="2" t="str">
        <f aca="false">IF(AND(AG$4=$G445,AG$6=$F445),$B445,"")</f>
        <v/>
      </c>
      <c r="AI445" s="366"/>
      <c r="AL445" s="367"/>
      <c r="AO445" s="367"/>
      <c r="AR445" s="1411"/>
      <c r="AT445" s="1422"/>
      <c r="AU445" s="1411"/>
      <c r="AV445" s="1411"/>
      <c r="AW445" s="1423"/>
      <c r="AX445" s="1423"/>
      <c r="AZ445" s="1370"/>
      <c r="BA445" s="1370"/>
      <c r="BB445" s="1370"/>
      <c r="BC445" s="1370"/>
      <c r="BD445" s="1370"/>
      <c r="BE445" s="1370"/>
      <c r="BF445" s="1370"/>
      <c r="BG445" s="1370"/>
      <c r="BH445" s="1371"/>
      <c r="BI445" s="1371"/>
      <c r="BJ445" s="1371"/>
      <c r="BK445" s="1371"/>
      <c r="BM445" s="1411"/>
      <c r="BN445" s="1411"/>
      <c r="BO445" s="1425"/>
      <c r="BP445" s="1425"/>
      <c r="BQ445" s="1425"/>
      <c r="BR445" s="1425"/>
      <c r="BS445" s="1411"/>
      <c r="BT445" s="1411"/>
      <c r="BU445" s="1411"/>
      <c r="BV445" s="1411"/>
      <c r="BW445" s="1411"/>
      <c r="BX445" s="1411"/>
      <c r="BZ445" s="1438"/>
      <c r="CA445" s="1438"/>
      <c r="CB445" s="1496"/>
      <c r="CC445" s="1496"/>
      <c r="CD445" s="1496"/>
      <c r="CE445" s="1496"/>
      <c r="CF445" s="1438"/>
      <c r="CG445" s="1438"/>
      <c r="CH445" s="1438"/>
      <c r="CI445" s="1438"/>
      <c r="CJ445" s="1438"/>
      <c r="CK445" s="1438"/>
      <c r="CU445" s="1411"/>
      <c r="CV445" s="1411"/>
      <c r="CW445" s="1425"/>
      <c r="CX445" s="1425"/>
      <c r="CY445" s="1425"/>
      <c r="CZ445" s="1425"/>
      <c r="DA445" s="1411"/>
      <c r="DB445" s="1411"/>
      <c r="DC445" s="1411"/>
      <c r="DD445" s="1411"/>
      <c r="DE445" s="1411"/>
      <c r="DF445" s="1411"/>
      <c r="DH445" s="1432"/>
      <c r="DI445" s="1432"/>
      <c r="DJ445" s="1437"/>
      <c r="DK445" s="1437"/>
      <c r="DL445" s="1437"/>
      <c r="DM445" s="1437"/>
      <c r="DN445" s="1432"/>
      <c r="DO445" s="1432"/>
      <c r="DP445" s="1432"/>
      <c r="DQ445" s="1432"/>
      <c r="DR445" s="1432"/>
      <c r="DS445" s="1432"/>
      <c r="DT445" s="1316"/>
      <c r="DU445" s="1433"/>
      <c r="DV445" s="1433"/>
      <c r="DW445" s="1433"/>
      <c r="DX445" s="1433"/>
      <c r="DY445" s="1433"/>
      <c r="DZ445" s="1433"/>
      <c r="EA445" s="1433"/>
      <c r="EB445" s="1433"/>
    </row>
    <row r="446" customFormat="false" ht="14.25" hidden="false" customHeight="false" outlineLevel="0" collapsed="false">
      <c r="A446" s="2" t="n">
        <f aca="false">'V_DATOS PAC_SGA'!R441</f>
        <v>0</v>
      </c>
      <c r="B446" s="2" t="n">
        <f aca="false">IF(I446="IV",CONCATENATE('V_DATOS PAC_SGA'!R441,"4")+0,CONCATENATE('V_DATOS PAC_SGA'!R441,"0")+0)</f>
        <v>0</v>
      </c>
      <c r="C446" s="2" t="n">
        <f aca="false">'V_DATOS PAC_SGA'!S441</f>
        <v>0</v>
      </c>
      <c r="D446" s="1409" t="n">
        <f aca="false">'V_DATOS PAC_SGA'!Y441</f>
        <v>0</v>
      </c>
      <c r="E446" s="1410" t="str">
        <f aca="false">IF('V_DATOS PAC_SGA'!AV441="","Regadio",'V_DATOS PAC_SGA'!AV441)</f>
        <v>Regadio</v>
      </c>
      <c r="F446" s="1411" t="n">
        <f aca="false">'V_DATOS PAC_SGA'!BK441</f>
        <v>0</v>
      </c>
      <c r="G446" s="1412" t="n">
        <f aca="false">'V_DATOS PAC_SGA'!AN441</f>
        <v>0</v>
      </c>
      <c r="H446" s="1413" t="str">
        <f aca="false">IF(B446&gt;0,VLOOKUP(B446,'O_MN, PE_UTA_UGM 2024'!E$3:O$419,10),"")</f>
        <v/>
      </c>
      <c r="I446" s="1359" t="n">
        <f aca="false">'V_DATOS PAC_SGA'!BV441</f>
        <v>0</v>
      </c>
      <c r="J446" s="2" t="str">
        <f aca="false">IF(AND(J$4=$G446,J$6=$F446),$D446*J$5,"")</f>
        <v/>
      </c>
      <c r="K446" s="2" t="str">
        <f aca="false">IF(AND(K$4=$G446,K$6=$F446),$D446*K$5,"")</f>
        <v/>
      </c>
      <c r="L446" s="2" t="str">
        <f aca="false">IF(AND(L$4=$G446,L$6=$F446),$D446*L$5,"")</f>
        <v/>
      </c>
      <c r="M446" s="2" t="str">
        <f aca="false">IF(AND(M$4=$G446,M$6=$F446),$D446*M$5,"")</f>
        <v/>
      </c>
      <c r="N446" s="1478" t="n">
        <f aca="false">VLOOKUP(B446,'O_MN, PE_UTA_UGM 2024'!$E$2:$K$419,IF(G446&gt;1,6,7))</f>
        <v>0</v>
      </c>
      <c r="O446" s="1434" t="str">
        <f aca="false">IF($H446=O$4,$D446*$N446,"")</f>
        <v/>
      </c>
      <c r="P446" s="1435" t="str">
        <f aca="false">IF($H446=P$4,$D446*$N446,"")</f>
        <v/>
      </c>
      <c r="Q446" s="1435" t="str">
        <f aca="false">IF($H446=Q$4,$D446*$N446,"")</f>
        <v/>
      </c>
      <c r="R446" s="1435" t="str">
        <f aca="false">IF($H446=R$4,$D446*$N446,"")</f>
        <v/>
      </c>
      <c r="S446" s="1435" t="str">
        <f aca="false">IF($H446=S$4,$D446*$N446,"")</f>
        <v/>
      </c>
      <c r="T446" s="1435" t="str">
        <f aca="false">IF($H446=T$4,$D446*$N446,"")</f>
        <v/>
      </c>
      <c r="U446" s="1436" t="str">
        <f aca="false">IF($H446=U$4,$D446*$N446,"")</f>
        <v/>
      </c>
      <c r="V446" s="1472"/>
      <c r="W446" s="1471"/>
      <c r="X446" s="1471"/>
      <c r="Y446" s="1471"/>
      <c r="Z446" s="1471"/>
      <c r="AA446" s="1471"/>
      <c r="AB446" s="1473"/>
      <c r="AC446" s="1319"/>
      <c r="AD446" s="2" t="str">
        <f aca="false">IF(AND(AD$4=$G446,AD$6=$F446),$B446,"")</f>
        <v/>
      </c>
      <c r="AE446" s="2" t="str">
        <f aca="false">IF(AND(AE$4=$G446,AE$6=$F446),$B446,"")</f>
        <v/>
      </c>
      <c r="AF446" s="2" t="str">
        <f aca="false">IF(AND(AF$4=$G446,AF$6=$F446),$B446,"")</f>
        <v/>
      </c>
      <c r="AG446" s="2" t="str">
        <f aca="false">IF(AND(AG$4=$G446,AG$6=$F446),$B446,"")</f>
        <v/>
      </c>
      <c r="AI446" s="366"/>
      <c r="AL446" s="367"/>
      <c r="AO446" s="367"/>
      <c r="AR446" s="1411"/>
      <c r="AT446" s="1422"/>
      <c r="AU446" s="1411"/>
      <c r="AV446" s="1411"/>
      <c r="AW446" s="1423"/>
      <c r="AX446" s="1423"/>
      <c r="AZ446" s="1370"/>
      <c r="BA446" s="1370"/>
      <c r="BB446" s="1370"/>
      <c r="BC446" s="1370"/>
      <c r="BD446" s="1370"/>
      <c r="BE446" s="1370"/>
      <c r="BF446" s="1370"/>
      <c r="BG446" s="1370"/>
      <c r="BH446" s="1371"/>
      <c r="BI446" s="1371"/>
      <c r="BJ446" s="1371"/>
      <c r="BK446" s="1371"/>
      <c r="BM446" s="1411"/>
      <c r="BN446" s="1411"/>
      <c r="BO446" s="1425"/>
      <c r="BP446" s="1425"/>
      <c r="BQ446" s="1425"/>
      <c r="BR446" s="1425"/>
      <c r="BS446" s="1411"/>
      <c r="BT446" s="1411"/>
      <c r="BU446" s="1411"/>
      <c r="BV446" s="1411"/>
      <c r="BW446" s="1411"/>
      <c r="BX446" s="1411"/>
      <c r="BZ446" s="1438"/>
      <c r="CA446" s="1438"/>
      <c r="CB446" s="1496"/>
      <c r="CC446" s="1496"/>
      <c r="CD446" s="1496"/>
      <c r="CE446" s="1496"/>
      <c r="CF446" s="1438"/>
      <c r="CG446" s="1438"/>
      <c r="CH446" s="1438"/>
      <c r="CI446" s="1438"/>
      <c r="CJ446" s="1438"/>
      <c r="CK446" s="1438"/>
      <c r="CU446" s="1411"/>
      <c r="CV446" s="1411"/>
      <c r="CW446" s="1425"/>
      <c r="CX446" s="1425"/>
      <c r="CY446" s="1425"/>
      <c r="CZ446" s="1425"/>
      <c r="DA446" s="1411"/>
      <c r="DB446" s="1411"/>
      <c r="DC446" s="1411"/>
      <c r="DD446" s="1411"/>
      <c r="DE446" s="1411"/>
      <c r="DF446" s="1411"/>
      <c r="DH446" s="1432"/>
      <c r="DI446" s="1432"/>
      <c r="DJ446" s="1437"/>
      <c r="DK446" s="1437"/>
      <c r="DL446" s="1437"/>
      <c r="DM446" s="1437"/>
      <c r="DN446" s="1432"/>
      <c r="DO446" s="1432"/>
      <c r="DP446" s="1432"/>
      <c r="DQ446" s="1432"/>
      <c r="DR446" s="1432"/>
      <c r="DS446" s="1432"/>
      <c r="DT446" s="1316"/>
      <c r="DU446" s="1433"/>
      <c r="DV446" s="1433"/>
      <c r="DW446" s="1433"/>
      <c r="DX446" s="1433"/>
      <c r="DY446" s="1433"/>
      <c r="DZ446" s="1433"/>
      <c r="EA446" s="1433"/>
      <c r="EB446" s="1433"/>
    </row>
    <row r="447" customFormat="false" ht="14.25" hidden="false" customHeight="false" outlineLevel="0" collapsed="false">
      <c r="A447" s="2" t="n">
        <f aca="false">'V_DATOS PAC_SGA'!R442</f>
        <v>0</v>
      </c>
      <c r="B447" s="2" t="n">
        <f aca="false">IF(I447="IV",CONCATENATE('V_DATOS PAC_SGA'!R442,"4")+0,CONCATENATE('V_DATOS PAC_SGA'!R442,"0")+0)</f>
        <v>0</v>
      </c>
      <c r="C447" s="2" t="n">
        <f aca="false">'V_DATOS PAC_SGA'!S442</f>
        <v>0</v>
      </c>
      <c r="D447" s="1409" t="n">
        <f aca="false">'V_DATOS PAC_SGA'!Y442</f>
        <v>0</v>
      </c>
      <c r="E447" s="1410" t="str">
        <f aca="false">IF('V_DATOS PAC_SGA'!AV442="","Regadio",'V_DATOS PAC_SGA'!AV442)</f>
        <v>Regadio</v>
      </c>
      <c r="F447" s="1411" t="n">
        <f aca="false">'V_DATOS PAC_SGA'!BK442</f>
        <v>0</v>
      </c>
      <c r="G447" s="1412" t="n">
        <f aca="false">'V_DATOS PAC_SGA'!AN442</f>
        <v>0</v>
      </c>
      <c r="H447" s="1413" t="str">
        <f aca="false">IF(B447&gt;0,VLOOKUP(B447,'O_MN, PE_UTA_UGM 2024'!E$3:O$419,10),"")</f>
        <v/>
      </c>
      <c r="I447" s="1359" t="n">
        <f aca="false">'V_DATOS PAC_SGA'!BV442</f>
        <v>0</v>
      </c>
      <c r="J447" s="2" t="str">
        <f aca="false">IF(AND(J$4=$G447,J$6=$F447),$D447*J$5,"")</f>
        <v/>
      </c>
      <c r="K447" s="2" t="str">
        <f aca="false">IF(AND(K$4=$G447,K$6=$F447),$D447*K$5,"")</f>
        <v/>
      </c>
      <c r="L447" s="2" t="str">
        <f aca="false">IF(AND(L$4=$G447,L$6=$F447),$D447*L$5,"")</f>
        <v/>
      </c>
      <c r="M447" s="2" t="str">
        <f aca="false">IF(AND(M$4=$G447,M$6=$F447),$D447*M$5,"")</f>
        <v/>
      </c>
      <c r="N447" s="1478" t="n">
        <f aca="false">VLOOKUP(B447,'O_MN, PE_UTA_UGM 2024'!$E$2:$K$419,IF(G447&gt;1,6,7))</f>
        <v>0</v>
      </c>
      <c r="O447" s="1434" t="str">
        <f aca="false">IF($H447=O$4,$D447*$N447,"")</f>
        <v/>
      </c>
      <c r="P447" s="1435" t="str">
        <f aca="false">IF($H447=P$4,$D447*$N447,"")</f>
        <v/>
      </c>
      <c r="Q447" s="1435" t="str">
        <f aca="false">IF($H447=Q$4,$D447*$N447,"")</f>
        <v/>
      </c>
      <c r="R447" s="1435" t="str">
        <f aca="false">IF($H447=R$4,$D447*$N447,"")</f>
        <v/>
      </c>
      <c r="S447" s="1435" t="str">
        <f aca="false">IF($H447=S$4,$D447*$N447,"")</f>
        <v/>
      </c>
      <c r="T447" s="1435" t="str">
        <f aca="false">IF($H447=T$4,$D447*$N447,"")</f>
        <v/>
      </c>
      <c r="U447" s="1436" t="str">
        <f aca="false">IF($H447=U$4,$D447*$N447,"")</f>
        <v/>
      </c>
      <c r="V447" s="1472"/>
      <c r="W447" s="1471"/>
      <c r="X447" s="1471"/>
      <c r="Y447" s="1471"/>
      <c r="Z447" s="1471"/>
      <c r="AA447" s="1471"/>
      <c r="AB447" s="1473"/>
      <c r="AC447" s="1319"/>
      <c r="AD447" s="2" t="str">
        <f aca="false">IF(AND(AD$4=$G447,AD$6=$F447),$B447,"")</f>
        <v/>
      </c>
      <c r="AE447" s="2" t="str">
        <f aca="false">IF(AND(AE$4=$G447,AE$6=$F447),$B447,"")</f>
        <v/>
      </c>
      <c r="AF447" s="2" t="str">
        <f aca="false">IF(AND(AF$4=$G447,AF$6=$F447),$B447,"")</f>
        <v/>
      </c>
      <c r="AG447" s="2" t="str">
        <f aca="false">IF(AND(AG$4=$G447,AG$6=$F447),$B447,"")</f>
        <v/>
      </c>
      <c r="AI447" s="366"/>
      <c r="AL447" s="367"/>
      <c r="AO447" s="367"/>
      <c r="AR447" s="1411"/>
      <c r="AT447" s="1422"/>
      <c r="AU447" s="1411"/>
      <c r="AV447" s="1411"/>
      <c r="AW447" s="1423"/>
      <c r="AX447" s="1423"/>
      <c r="AZ447" s="1370"/>
      <c r="BA447" s="1370"/>
      <c r="BB447" s="1370"/>
      <c r="BC447" s="1370"/>
      <c r="BD447" s="1370"/>
      <c r="BE447" s="1370"/>
      <c r="BF447" s="1370"/>
      <c r="BG447" s="1370"/>
      <c r="BH447" s="1371"/>
      <c r="BI447" s="1371"/>
      <c r="BJ447" s="1371"/>
      <c r="BK447" s="1371"/>
      <c r="BM447" s="1411"/>
      <c r="BN447" s="1411"/>
      <c r="BO447" s="1425"/>
      <c r="BP447" s="1425"/>
      <c r="BQ447" s="1425"/>
      <c r="BR447" s="1425"/>
      <c r="BS447" s="1411"/>
      <c r="BT447" s="1411"/>
      <c r="BU447" s="1411"/>
      <c r="BV447" s="1411"/>
      <c r="BW447" s="1411"/>
      <c r="BX447" s="1411"/>
      <c r="BZ447" s="1438"/>
      <c r="CA447" s="1438"/>
      <c r="CB447" s="1496"/>
      <c r="CC447" s="1496"/>
      <c r="CD447" s="1496"/>
      <c r="CE447" s="1496"/>
      <c r="CF447" s="1438"/>
      <c r="CG447" s="1438"/>
      <c r="CH447" s="1438"/>
      <c r="CI447" s="1438"/>
      <c r="CJ447" s="1438"/>
      <c r="CK447" s="1438"/>
      <c r="CU447" s="1411"/>
      <c r="CV447" s="1411"/>
      <c r="CW447" s="1425"/>
      <c r="CX447" s="1425"/>
      <c r="CY447" s="1425"/>
      <c r="CZ447" s="1425"/>
      <c r="DA447" s="1411"/>
      <c r="DB447" s="1411"/>
      <c r="DC447" s="1411"/>
      <c r="DD447" s="1411"/>
      <c r="DE447" s="1411"/>
      <c r="DF447" s="1411"/>
      <c r="DH447" s="1432"/>
      <c r="DI447" s="1432"/>
      <c r="DJ447" s="1437"/>
      <c r="DK447" s="1437"/>
      <c r="DL447" s="1437"/>
      <c r="DM447" s="1437"/>
      <c r="DN447" s="1432"/>
      <c r="DO447" s="1432"/>
      <c r="DP447" s="1432"/>
      <c r="DQ447" s="1432"/>
      <c r="DR447" s="1432"/>
      <c r="DS447" s="1432"/>
      <c r="DT447" s="1316"/>
      <c r="DU447" s="1433"/>
      <c r="DV447" s="1433"/>
      <c r="DW447" s="1433"/>
      <c r="DX447" s="1433"/>
      <c r="DY447" s="1433"/>
      <c r="DZ447" s="1433"/>
      <c r="EA447" s="1433"/>
      <c r="EB447" s="1433"/>
    </row>
    <row r="448" customFormat="false" ht="14.25" hidden="false" customHeight="false" outlineLevel="0" collapsed="false">
      <c r="A448" s="2" t="n">
        <f aca="false">'V_DATOS PAC_SGA'!R443</f>
        <v>0</v>
      </c>
      <c r="B448" s="2" t="n">
        <f aca="false">IF(I448="IV",CONCATENATE('V_DATOS PAC_SGA'!R443,"4")+0,CONCATENATE('V_DATOS PAC_SGA'!R443,"0")+0)</f>
        <v>0</v>
      </c>
      <c r="C448" s="2" t="n">
        <f aca="false">'V_DATOS PAC_SGA'!S443</f>
        <v>0</v>
      </c>
      <c r="D448" s="1409" t="n">
        <f aca="false">'V_DATOS PAC_SGA'!Y443</f>
        <v>0</v>
      </c>
      <c r="E448" s="1410" t="str">
        <f aca="false">IF('V_DATOS PAC_SGA'!AV443="","Regadio",'V_DATOS PAC_SGA'!AV443)</f>
        <v>Regadio</v>
      </c>
      <c r="F448" s="1411" t="n">
        <f aca="false">'V_DATOS PAC_SGA'!BK443</f>
        <v>0</v>
      </c>
      <c r="G448" s="1412" t="n">
        <f aca="false">'V_DATOS PAC_SGA'!AN443</f>
        <v>0</v>
      </c>
      <c r="H448" s="1413" t="str">
        <f aca="false">IF(B448&gt;0,VLOOKUP(B448,'O_MN, PE_UTA_UGM 2024'!E$3:O$419,10),"")</f>
        <v/>
      </c>
      <c r="I448" s="1359" t="n">
        <f aca="false">'V_DATOS PAC_SGA'!BV443</f>
        <v>0</v>
      </c>
      <c r="J448" s="2" t="str">
        <f aca="false">IF(AND(J$4=$G448,J$6=$F448),$D448*J$5,"")</f>
        <v/>
      </c>
      <c r="K448" s="2" t="str">
        <f aca="false">IF(AND(K$4=$G448,K$6=$F448),$D448*K$5,"")</f>
        <v/>
      </c>
      <c r="L448" s="2" t="str">
        <f aca="false">IF(AND(L$4=$G448,L$6=$F448),$D448*L$5,"")</f>
        <v/>
      </c>
      <c r="M448" s="2" t="str">
        <f aca="false">IF(AND(M$4=$G448,M$6=$F448),$D448*M$5,"")</f>
        <v/>
      </c>
      <c r="N448" s="1478" t="n">
        <f aca="false">VLOOKUP(B448,'O_MN, PE_UTA_UGM 2024'!$E$2:$K$419,IF(G448&gt;1,6,7))</f>
        <v>0</v>
      </c>
      <c r="O448" s="1434" t="str">
        <f aca="false">IF($H448=O$4,$D448*$N448,"")</f>
        <v/>
      </c>
      <c r="P448" s="1435" t="str">
        <f aca="false">IF($H448=P$4,$D448*$N448,"")</f>
        <v/>
      </c>
      <c r="Q448" s="1435" t="str">
        <f aca="false">IF($H448=Q$4,$D448*$N448,"")</f>
        <v/>
      </c>
      <c r="R448" s="1435" t="str">
        <f aca="false">IF($H448=R$4,$D448*$N448,"")</f>
        <v/>
      </c>
      <c r="S448" s="1435" t="str">
        <f aca="false">IF($H448=S$4,$D448*$N448,"")</f>
        <v/>
      </c>
      <c r="T448" s="1435" t="str">
        <f aca="false">IF($H448=T$4,$D448*$N448,"")</f>
        <v/>
      </c>
      <c r="U448" s="1436" t="str">
        <f aca="false">IF($H448=U$4,$D448*$N448,"")</f>
        <v/>
      </c>
      <c r="V448" s="1472"/>
      <c r="W448" s="1471"/>
      <c r="X448" s="1471"/>
      <c r="Y448" s="1471"/>
      <c r="Z448" s="1471"/>
      <c r="AA448" s="1471"/>
      <c r="AB448" s="1473"/>
      <c r="AC448" s="1319"/>
      <c r="AD448" s="2" t="str">
        <f aca="false">IF(AND(AD$4=$G448,AD$6=$F448),$B448,"")</f>
        <v/>
      </c>
      <c r="AE448" s="2" t="str">
        <f aca="false">IF(AND(AE$4=$G448,AE$6=$F448),$B448,"")</f>
        <v/>
      </c>
      <c r="AF448" s="2" t="str">
        <f aca="false">IF(AND(AF$4=$G448,AF$6=$F448),$B448,"")</f>
        <v/>
      </c>
      <c r="AG448" s="2" t="str">
        <f aca="false">IF(AND(AG$4=$G448,AG$6=$F448),$B448,"")</f>
        <v/>
      </c>
      <c r="AI448" s="366"/>
      <c r="AL448" s="367"/>
      <c r="AO448" s="367"/>
      <c r="AR448" s="1411"/>
      <c r="AT448" s="1422"/>
      <c r="AU448" s="1411"/>
      <c r="AV448" s="1411"/>
      <c r="AW448" s="1423"/>
      <c r="AX448" s="1423"/>
      <c r="AZ448" s="1370"/>
      <c r="BA448" s="1370"/>
      <c r="BB448" s="1370"/>
      <c r="BC448" s="1370"/>
      <c r="BD448" s="1370"/>
      <c r="BE448" s="1370"/>
      <c r="BF448" s="1370"/>
      <c r="BG448" s="1370"/>
      <c r="BH448" s="1371"/>
      <c r="BI448" s="1371"/>
      <c r="BJ448" s="1371"/>
      <c r="BK448" s="1371"/>
      <c r="BM448" s="1411"/>
      <c r="BN448" s="1411"/>
      <c r="BO448" s="1425"/>
      <c r="BP448" s="1425"/>
      <c r="BQ448" s="1425"/>
      <c r="BR448" s="1425"/>
      <c r="BS448" s="1411"/>
      <c r="BT448" s="1411"/>
      <c r="BU448" s="1411"/>
      <c r="BV448" s="1411"/>
      <c r="BW448" s="1411"/>
      <c r="BX448" s="1411"/>
      <c r="BZ448" s="1438"/>
      <c r="CA448" s="1438"/>
      <c r="CB448" s="1496"/>
      <c r="CC448" s="1496"/>
      <c r="CD448" s="1496"/>
      <c r="CE448" s="1496"/>
      <c r="CF448" s="1438"/>
      <c r="CG448" s="1438"/>
      <c r="CH448" s="1438"/>
      <c r="CI448" s="1438"/>
      <c r="CJ448" s="1438"/>
      <c r="CK448" s="1438"/>
      <c r="CU448" s="1411"/>
      <c r="CV448" s="1411"/>
      <c r="CW448" s="1425"/>
      <c r="CX448" s="1425"/>
      <c r="CY448" s="1425"/>
      <c r="CZ448" s="1425"/>
      <c r="DA448" s="1411"/>
      <c r="DB448" s="1411"/>
      <c r="DC448" s="1411"/>
      <c r="DD448" s="1411"/>
      <c r="DE448" s="1411"/>
      <c r="DF448" s="1411"/>
      <c r="DH448" s="1432"/>
      <c r="DI448" s="1432"/>
      <c r="DJ448" s="1437"/>
      <c r="DK448" s="1437"/>
      <c r="DL448" s="1437"/>
      <c r="DM448" s="1437"/>
      <c r="DN448" s="1432"/>
      <c r="DO448" s="1432"/>
      <c r="DP448" s="1432"/>
      <c r="DQ448" s="1432"/>
      <c r="DR448" s="1432"/>
      <c r="DS448" s="1432"/>
      <c r="DT448" s="1316"/>
      <c r="DU448" s="1433"/>
      <c r="DV448" s="1433"/>
      <c r="DW448" s="1433"/>
      <c r="DX448" s="1433"/>
      <c r="DY448" s="1433"/>
      <c r="DZ448" s="1433"/>
      <c r="EA448" s="1433"/>
      <c r="EB448" s="1433"/>
    </row>
    <row r="449" customFormat="false" ht="14.25" hidden="false" customHeight="false" outlineLevel="0" collapsed="false">
      <c r="A449" s="2" t="n">
        <f aca="false">'V_DATOS PAC_SGA'!R444</f>
        <v>0</v>
      </c>
      <c r="B449" s="2" t="n">
        <f aca="false">IF(I449="IV",CONCATENATE('V_DATOS PAC_SGA'!R444,"4")+0,CONCATENATE('V_DATOS PAC_SGA'!R444,"0")+0)</f>
        <v>0</v>
      </c>
      <c r="C449" s="2" t="n">
        <f aca="false">'V_DATOS PAC_SGA'!S444</f>
        <v>0</v>
      </c>
      <c r="D449" s="1409" t="n">
        <f aca="false">'V_DATOS PAC_SGA'!Y444</f>
        <v>0</v>
      </c>
      <c r="E449" s="1410" t="str">
        <f aca="false">IF('V_DATOS PAC_SGA'!AV444="","Regadio",'V_DATOS PAC_SGA'!AV444)</f>
        <v>Regadio</v>
      </c>
      <c r="F449" s="1411" t="n">
        <f aca="false">'V_DATOS PAC_SGA'!BK444</f>
        <v>0</v>
      </c>
      <c r="G449" s="1412" t="n">
        <f aca="false">'V_DATOS PAC_SGA'!AN444</f>
        <v>0</v>
      </c>
      <c r="H449" s="1413" t="str">
        <f aca="false">IF(B449&gt;0,VLOOKUP(B449,'O_MN, PE_UTA_UGM 2024'!E$3:O$419,10),"")</f>
        <v/>
      </c>
      <c r="I449" s="1359" t="n">
        <f aca="false">'V_DATOS PAC_SGA'!BV444</f>
        <v>0</v>
      </c>
      <c r="J449" s="2" t="str">
        <f aca="false">IF(AND(J$4=$G449,J$6=$F449),$D449*J$5,"")</f>
        <v/>
      </c>
      <c r="K449" s="2" t="str">
        <f aca="false">IF(AND(K$4=$G449,K$6=$F449),$D449*K$5,"")</f>
        <v/>
      </c>
      <c r="L449" s="2" t="str">
        <f aca="false">IF(AND(L$4=$G449,L$6=$F449),$D449*L$5,"")</f>
        <v/>
      </c>
      <c r="M449" s="2" t="str">
        <f aca="false">IF(AND(M$4=$G449,M$6=$F449),$D449*M$5,"")</f>
        <v/>
      </c>
      <c r="N449" s="1478" t="n">
        <f aca="false">VLOOKUP(B449,'O_MN, PE_UTA_UGM 2024'!$E$2:$K$419,IF(G449&gt;1,6,7))</f>
        <v>0</v>
      </c>
      <c r="O449" s="1434" t="str">
        <f aca="false">IF($H449=O$4,$D449*$N449,"")</f>
        <v/>
      </c>
      <c r="P449" s="1435" t="str">
        <f aca="false">IF($H449=P$4,$D449*$N449,"")</f>
        <v/>
      </c>
      <c r="Q449" s="1435" t="str">
        <f aca="false">IF($H449=Q$4,$D449*$N449,"")</f>
        <v/>
      </c>
      <c r="R449" s="1435" t="str">
        <f aca="false">IF($H449=R$4,$D449*$N449,"")</f>
        <v/>
      </c>
      <c r="S449" s="1435" t="str">
        <f aca="false">IF($H449=S$4,$D449*$N449,"")</f>
        <v/>
      </c>
      <c r="T449" s="1435" t="str">
        <f aca="false">IF($H449=T$4,$D449*$N449,"")</f>
        <v/>
      </c>
      <c r="U449" s="1436" t="str">
        <f aca="false">IF($H449=U$4,$D449*$N449,"")</f>
        <v/>
      </c>
      <c r="V449" s="1472"/>
      <c r="W449" s="1471"/>
      <c r="X449" s="1471"/>
      <c r="Y449" s="1471"/>
      <c r="Z449" s="1471"/>
      <c r="AA449" s="1471"/>
      <c r="AB449" s="1473"/>
      <c r="AC449" s="1319"/>
      <c r="AD449" s="2" t="str">
        <f aca="false">IF(AND(AD$4=$G449,AD$6=$F449),$B449,"")</f>
        <v/>
      </c>
      <c r="AE449" s="2" t="str">
        <f aca="false">IF(AND(AE$4=$G449,AE$6=$F449),$B449,"")</f>
        <v/>
      </c>
      <c r="AF449" s="2" t="str">
        <f aca="false">IF(AND(AF$4=$G449,AF$6=$F449),$B449,"")</f>
        <v/>
      </c>
      <c r="AG449" s="2" t="str">
        <f aca="false">IF(AND(AG$4=$G449,AG$6=$F449),$B449,"")</f>
        <v/>
      </c>
      <c r="AI449" s="366"/>
      <c r="AL449" s="367"/>
      <c r="AO449" s="367"/>
      <c r="AR449" s="1411"/>
      <c r="AT449" s="1422"/>
      <c r="AU449" s="1411"/>
      <c r="AV449" s="1411"/>
      <c r="AW449" s="1423"/>
      <c r="AX449" s="1423"/>
      <c r="AZ449" s="1370"/>
      <c r="BA449" s="1370"/>
      <c r="BB449" s="1370"/>
      <c r="BC449" s="1370"/>
      <c r="BD449" s="1370"/>
      <c r="BE449" s="1370"/>
      <c r="BF449" s="1370"/>
      <c r="BG449" s="1370"/>
      <c r="BH449" s="1371"/>
      <c r="BI449" s="1371"/>
      <c r="BJ449" s="1371"/>
      <c r="BK449" s="1371"/>
      <c r="BM449" s="1411"/>
      <c r="BN449" s="1411"/>
      <c r="BO449" s="1425"/>
      <c r="BP449" s="1425"/>
      <c r="BQ449" s="1425"/>
      <c r="BR449" s="1425"/>
      <c r="BS449" s="1411"/>
      <c r="BT449" s="1411"/>
      <c r="BU449" s="1411"/>
      <c r="BV449" s="1411"/>
      <c r="BW449" s="1411"/>
      <c r="BX449" s="1411"/>
      <c r="BZ449" s="1438"/>
      <c r="CA449" s="1438"/>
      <c r="CB449" s="1496"/>
      <c r="CC449" s="1496"/>
      <c r="CD449" s="1496"/>
      <c r="CE449" s="1496"/>
      <c r="CF449" s="1438"/>
      <c r="CG449" s="1438"/>
      <c r="CH449" s="1438"/>
      <c r="CI449" s="1438"/>
      <c r="CJ449" s="1438"/>
      <c r="CK449" s="1438"/>
      <c r="CU449" s="1411"/>
      <c r="CV449" s="1411"/>
      <c r="CW449" s="1425"/>
      <c r="CX449" s="1425"/>
      <c r="CY449" s="1425"/>
      <c r="CZ449" s="1425"/>
      <c r="DA449" s="1411"/>
      <c r="DB449" s="1411"/>
      <c r="DC449" s="1411"/>
      <c r="DD449" s="1411"/>
      <c r="DE449" s="1411"/>
      <c r="DF449" s="1411"/>
      <c r="DH449" s="1432"/>
      <c r="DI449" s="1432"/>
      <c r="DJ449" s="1437"/>
      <c r="DK449" s="1437"/>
      <c r="DL449" s="1437"/>
      <c r="DM449" s="1437"/>
      <c r="DN449" s="1432"/>
      <c r="DO449" s="1432"/>
      <c r="DP449" s="1432"/>
      <c r="DQ449" s="1432"/>
      <c r="DR449" s="1432"/>
      <c r="DS449" s="1432"/>
      <c r="DT449" s="1316"/>
      <c r="DU449" s="1433"/>
      <c r="DV449" s="1433"/>
      <c r="DW449" s="1433"/>
      <c r="DX449" s="1433"/>
      <c r="DY449" s="1433"/>
      <c r="DZ449" s="1433"/>
      <c r="EA449" s="1433"/>
      <c r="EB449" s="1433"/>
    </row>
    <row r="450" customFormat="false" ht="14.25" hidden="false" customHeight="false" outlineLevel="0" collapsed="false">
      <c r="A450" s="2" t="n">
        <f aca="false">'V_DATOS PAC_SGA'!R445</f>
        <v>0</v>
      </c>
      <c r="B450" s="2" t="n">
        <f aca="false">IF(I450="IV",CONCATENATE('V_DATOS PAC_SGA'!R445,"4")+0,CONCATENATE('V_DATOS PAC_SGA'!R445,"0")+0)</f>
        <v>0</v>
      </c>
      <c r="C450" s="2" t="n">
        <f aca="false">'V_DATOS PAC_SGA'!S445</f>
        <v>0</v>
      </c>
      <c r="D450" s="1409" t="n">
        <f aca="false">'V_DATOS PAC_SGA'!Y445</f>
        <v>0</v>
      </c>
      <c r="E450" s="1410" t="str">
        <f aca="false">IF('V_DATOS PAC_SGA'!AV445="","Regadio",'V_DATOS PAC_SGA'!AV445)</f>
        <v>Regadio</v>
      </c>
      <c r="F450" s="1411" t="n">
        <f aca="false">'V_DATOS PAC_SGA'!BK445</f>
        <v>0</v>
      </c>
      <c r="G450" s="1412" t="n">
        <f aca="false">'V_DATOS PAC_SGA'!AN445</f>
        <v>0</v>
      </c>
      <c r="H450" s="1413" t="str">
        <f aca="false">IF(B450&gt;0,VLOOKUP(B450,'O_MN, PE_UTA_UGM 2024'!E$3:O$419,10),"")</f>
        <v/>
      </c>
      <c r="I450" s="1359" t="n">
        <f aca="false">'V_DATOS PAC_SGA'!BV445</f>
        <v>0</v>
      </c>
      <c r="J450" s="2" t="str">
        <f aca="false">IF(AND(J$4=$G450,J$6=$F450),$D450*J$5,"")</f>
        <v/>
      </c>
      <c r="K450" s="2" t="str">
        <f aca="false">IF(AND(K$4=$G450,K$6=$F450),$D450*K$5,"")</f>
        <v/>
      </c>
      <c r="L450" s="2" t="str">
        <f aca="false">IF(AND(L$4=$G450,L$6=$F450),$D450*L$5,"")</f>
        <v/>
      </c>
      <c r="M450" s="2" t="str">
        <f aca="false">IF(AND(M$4=$G450,M$6=$F450),$D450*M$5,"")</f>
        <v/>
      </c>
      <c r="N450" s="1478" t="n">
        <f aca="false">VLOOKUP(B450,'O_MN, PE_UTA_UGM 2024'!$E$2:$K$419,IF(G450&gt;1,6,7))</f>
        <v>0</v>
      </c>
      <c r="O450" s="1434" t="str">
        <f aca="false">IF($H450=O$4,$D450*$N450,"")</f>
        <v/>
      </c>
      <c r="P450" s="1435" t="str">
        <f aca="false">IF($H450=P$4,$D450*$N450,"")</f>
        <v/>
      </c>
      <c r="Q450" s="1435" t="str">
        <f aca="false">IF($H450=Q$4,$D450*$N450,"")</f>
        <v/>
      </c>
      <c r="R450" s="1435" t="str">
        <f aca="false">IF($H450=R$4,$D450*$N450,"")</f>
        <v/>
      </c>
      <c r="S450" s="1435" t="str">
        <f aca="false">IF($H450=S$4,$D450*$N450,"")</f>
        <v/>
      </c>
      <c r="T450" s="1435" t="str">
        <f aca="false">IF($H450=T$4,$D450*$N450,"")</f>
        <v/>
      </c>
      <c r="U450" s="1436" t="str">
        <f aca="false">IF($H450=U$4,$D450*$N450,"")</f>
        <v/>
      </c>
      <c r="V450" s="1472"/>
      <c r="W450" s="1471"/>
      <c r="X450" s="1471"/>
      <c r="Y450" s="1471"/>
      <c r="Z450" s="1471"/>
      <c r="AA450" s="1471"/>
      <c r="AB450" s="1473"/>
      <c r="AC450" s="1319"/>
      <c r="AD450" s="2" t="str">
        <f aca="false">IF(AND(AD$4=$G450,AD$6=$F450),$B450,"")</f>
        <v/>
      </c>
      <c r="AE450" s="2" t="str">
        <f aca="false">IF(AND(AE$4=$G450,AE$6=$F450),$B450,"")</f>
        <v/>
      </c>
      <c r="AF450" s="2" t="str">
        <f aca="false">IF(AND(AF$4=$G450,AF$6=$F450),$B450,"")</f>
        <v/>
      </c>
      <c r="AG450" s="2" t="str">
        <f aca="false">IF(AND(AG$4=$G450,AG$6=$F450),$B450,"")</f>
        <v/>
      </c>
      <c r="AI450" s="366"/>
      <c r="AL450" s="367"/>
      <c r="AO450" s="367"/>
      <c r="AR450" s="1411"/>
      <c r="AT450" s="1422"/>
      <c r="AU450" s="1411"/>
      <c r="AV450" s="1411"/>
      <c r="AW450" s="1423"/>
      <c r="AX450" s="1423"/>
      <c r="AZ450" s="1370"/>
      <c r="BA450" s="1370"/>
      <c r="BB450" s="1370"/>
      <c r="BC450" s="1370"/>
      <c r="BD450" s="1370"/>
      <c r="BE450" s="1370"/>
      <c r="BF450" s="1370"/>
      <c r="BG450" s="1370"/>
      <c r="BH450" s="1371"/>
      <c r="BI450" s="1371"/>
      <c r="BJ450" s="1371"/>
      <c r="BK450" s="1371"/>
      <c r="BM450" s="1411"/>
      <c r="BN450" s="1411"/>
      <c r="BO450" s="1425"/>
      <c r="BP450" s="1425"/>
      <c r="BQ450" s="1425"/>
      <c r="BR450" s="1425"/>
      <c r="BS450" s="1411"/>
      <c r="BT450" s="1411"/>
      <c r="BU450" s="1411"/>
      <c r="BV450" s="1411"/>
      <c r="BW450" s="1411"/>
      <c r="BX450" s="1411"/>
      <c r="BZ450" s="1438"/>
      <c r="CA450" s="1438"/>
      <c r="CB450" s="1496"/>
      <c r="CC450" s="1496"/>
      <c r="CD450" s="1496"/>
      <c r="CE450" s="1496"/>
      <c r="CF450" s="1438"/>
      <c r="CG450" s="1438"/>
      <c r="CH450" s="1438"/>
      <c r="CI450" s="1438"/>
      <c r="CJ450" s="1438"/>
      <c r="CK450" s="1438"/>
      <c r="CU450" s="1411"/>
      <c r="CV450" s="1411"/>
      <c r="CW450" s="1425"/>
      <c r="CX450" s="1425"/>
      <c r="CY450" s="1425"/>
      <c r="CZ450" s="1425"/>
      <c r="DA450" s="1411"/>
      <c r="DB450" s="1411"/>
      <c r="DC450" s="1411"/>
      <c r="DD450" s="1411"/>
      <c r="DE450" s="1411"/>
      <c r="DF450" s="1411"/>
      <c r="DH450" s="1432"/>
      <c r="DI450" s="1432"/>
      <c r="DJ450" s="1437"/>
      <c r="DK450" s="1437"/>
      <c r="DL450" s="1437"/>
      <c r="DM450" s="1437"/>
      <c r="DN450" s="1432"/>
      <c r="DO450" s="1432"/>
      <c r="DP450" s="1432"/>
      <c r="DQ450" s="1432"/>
      <c r="DR450" s="1432"/>
      <c r="DS450" s="1432"/>
      <c r="DT450" s="1316"/>
      <c r="DU450" s="1433"/>
      <c r="DV450" s="1433"/>
      <c r="DW450" s="1433"/>
      <c r="DX450" s="1433"/>
      <c r="DY450" s="1433"/>
      <c r="DZ450" s="1433"/>
      <c r="EA450" s="1433"/>
      <c r="EB450" s="1433"/>
    </row>
    <row r="451" customFormat="false" ht="14.25" hidden="false" customHeight="false" outlineLevel="0" collapsed="false">
      <c r="A451" s="2" t="n">
        <f aca="false">'V_DATOS PAC_SGA'!R446</f>
        <v>0</v>
      </c>
      <c r="B451" s="2" t="n">
        <f aca="false">IF(I451="IV",CONCATENATE('V_DATOS PAC_SGA'!R446,"4")+0,CONCATENATE('V_DATOS PAC_SGA'!R446,"0")+0)</f>
        <v>0</v>
      </c>
      <c r="C451" s="2" t="n">
        <f aca="false">'V_DATOS PAC_SGA'!S446</f>
        <v>0</v>
      </c>
      <c r="D451" s="1409" t="n">
        <f aca="false">'V_DATOS PAC_SGA'!Y446</f>
        <v>0</v>
      </c>
      <c r="E451" s="1410" t="str">
        <f aca="false">IF('V_DATOS PAC_SGA'!AV446="","Regadio",'V_DATOS PAC_SGA'!AV446)</f>
        <v>Regadio</v>
      </c>
      <c r="F451" s="1411" t="n">
        <f aca="false">'V_DATOS PAC_SGA'!BK446</f>
        <v>0</v>
      </c>
      <c r="G451" s="1412" t="n">
        <f aca="false">'V_DATOS PAC_SGA'!AN446</f>
        <v>0</v>
      </c>
      <c r="H451" s="1413" t="str">
        <f aca="false">IF(B451&gt;0,VLOOKUP(B451,'O_MN, PE_UTA_UGM 2024'!E$3:O$419,10),"")</f>
        <v/>
      </c>
      <c r="I451" s="1359" t="n">
        <f aca="false">'V_DATOS PAC_SGA'!BV446</f>
        <v>0</v>
      </c>
      <c r="J451" s="2" t="str">
        <f aca="false">IF(AND(J$4=$G451,J$6=$F451),$D451*J$5,"")</f>
        <v/>
      </c>
      <c r="K451" s="2" t="str">
        <f aca="false">IF(AND(K$4=$G451,K$6=$F451),$D451*K$5,"")</f>
        <v/>
      </c>
      <c r="L451" s="2" t="str">
        <f aca="false">IF(AND(L$4=$G451,L$6=$F451),$D451*L$5,"")</f>
        <v/>
      </c>
      <c r="M451" s="2" t="str">
        <f aca="false">IF(AND(M$4=$G451,M$6=$F451),$D451*M$5,"")</f>
        <v/>
      </c>
      <c r="N451" s="1478" t="n">
        <f aca="false">VLOOKUP(B451,'O_MN, PE_UTA_UGM 2024'!$E$2:$K$419,IF(G451&gt;1,6,7))</f>
        <v>0</v>
      </c>
      <c r="O451" s="1434" t="str">
        <f aca="false">IF($H451=O$4,$D451*$N451,"")</f>
        <v/>
      </c>
      <c r="P451" s="1435" t="str">
        <f aca="false">IF($H451=P$4,$D451*$N451,"")</f>
        <v/>
      </c>
      <c r="Q451" s="1435" t="str">
        <f aca="false">IF($H451=Q$4,$D451*$N451,"")</f>
        <v/>
      </c>
      <c r="R451" s="1435" t="str">
        <f aca="false">IF($H451=R$4,$D451*$N451,"")</f>
        <v/>
      </c>
      <c r="S451" s="1435" t="str">
        <f aca="false">IF($H451=S$4,$D451*$N451,"")</f>
        <v/>
      </c>
      <c r="T451" s="1435" t="str">
        <f aca="false">IF($H451=T$4,$D451*$N451,"")</f>
        <v/>
      </c>
      <c r="U451" s="1436" t="str">
        <f aca="false">IF($H451=U$4,$D451*$N451,"")</f>
        <v/>
      </c>
      <c r="V451" s="1472"/>
      <c r="W451" s="1471"/>
      <c r="X451" s="1471"/>
      <c r="Y451" s="1471"/>
      <c r="Z451" s="1471"/>
      <c r="AA451" s="1471"/>
      <c r="AB451" s="1473"/>
      <c r="AC451" s="1319"/>
      <c r="AD451" s="2" t="str">
        <f aca="false">IF(AND(AD$4=$G451,AD$6=$F451),$B451,"")</f>
        <v/>
      </c>
      <c r="AE451" s="2" t="str">
        <f aca="false">IF(AND(AE$4=$G451,AE$6=$F451),$B451,"")</f>
        <v/>
      </c>
      <c r="AF451" s="2" t="str">
        <f aca="false">IF(AND(AF$4=$G451,AF$6=$F451),$B451,"")</f>
        <v/>
      </c>
      <c r="AG451" s="2" t="str">
        <f aca="false">IF(AND(AG$4=$G451,AG$6=$F451),$B451,"")</f>
        <v/>
      </c>
      <c r="AI451" s="366"/>
      <c r="AL451" s="367"/>
      <c r="AO451" s="367"/>
      <c r="AR451" s="1411"/>
      <c r="AT451" s="1422"/>
      <c r="AU451" s="1411"/>
      <c r="AV451" s="1411"/>
      <c r="AW451" s="1423"/>
      <c r="AX451" s="1423"/>
      <c r="AZ451" s="1370"/>
      <c r="BA451" s="1370"/>
      <c r="BB451" s="1370"/>
      <c r="BC451" s="1370"/>
      <c r="BD451" s="1370"/>
      <c r="BE451" s="1370"/>
      <c r="BF451" s="1370"/>
      <c r="BG451" s="1370"/>
      <c r="BH451" s="1371"/>
      <c r="BI451" s="1371"/>
      <c r="BJ451" s="1371"/>
      <c r="BK451" s="1371"/>
      <c r="BM451" s="1411"/>
      <c r="BN451" s="1411"/>
      <c r="BO451" s="1425"/>
      <c r="BP451" s="1425"/>
      <c r="BQ451" s="1425"/>
      <c r="BR451" s="1425"/>
      <c r="BS451" s="1411"/>
      <c r="BT451" s="1411"/>
      <c r="BU451" s="1411"/>
      <c r="BV451" s="1411"/>
      <c r="BW451" s="1411"/>
      <c r="BX451" s="1411"/>
      <c r="BZ451" s="1438"/>
      <c r="CA451" s="1438"/>
      <c r="CB451" s="1496"/>
      <c r="CC451" s="1496"/>
      <c r="CD451" s="1496"/>
      <c r="CE451" s="1496"/>
      <c r="CF451" s="1438"/>
      <c r="CG451" s="1438"/>
      <c r="CH451" s="1438"/>
      <c r="CI451" s="1438"/>
      <c r="CJ451" s="1438"/>
      <c r="CK451" s="1438"/>
      <c r="CU451" s="1411"/>
      <c r="CV451" s="1411"/>
      <c r="CW451" s="1425"/>
      <c r="CX451" s="1425"/>
      <c r="CY451" s="1425"/>
      <c r="CZ451" s="1425"/>
      <c r="DA451" s="1411"/>
      <c r="DB451" s="1411"/>
      <c r="DC451" s="1411"/>
      <c r="DD451" s="1411"/>
      <c r="DE451" s="1411"/>
      <c r="DF451" s="1411"/>
      <c r="DH451" s="1432"/>
      <c r="DI451" s="1432"/>
      <c r="DJ451" s="1437"/>
      <c r="DK451" s="1437"/>
      <c r="DL451" s="1437"/>
      <c r="DM451" s="1437"/>
      <c r="DN451" s="1432"/>
      <c r="DO451" s="1432"/>
      <c r="DP451" s="1432"/>
      <c r="DQ451" s="1432"/>
      <c r="DR451" s="1432"/>
      <c r="DS451" s="1432"/>
      <c r="DT451" s="1316"/>
      <c r="DU451" s="1433"/>
      <c r="DV451" s="1433"/>
      <c r="DW451" s="1433"/>
      <c r="DX451" s="1433"/>
      <c r="DY451" s="1433"/>
      <c r="DZ451" s="1433"/>
      <c r="EA451" s="1433"/>
      <c r="EB451" s="1433"/>
    </row>
    <row r="452" customFormat="false" ht="14.25" hidden="false" customHeight="false" outlineLevel="0" collapsed="false">
      <c r="A452" s="2" t="n">
        <f aca="false">'V_DATOS PAC_SGA'!R447</f>
        <v>0</v>
      </c>
      <c r="B452" s="2" t="n">
        <f aca="false">IF(I452="IV",CONCATENATE('V_DATOS PAC_SGA'!R447,"4")+0,CONCATENATE('V_DATOS PAC_SGA'!R447,"0")+0)</f>
        <v>0</v>
      </c>
      <c r="C452" s="2" t="n">
        <f aca="false">'V_DATOS PAC_SGA'!S447</f>
        <v>0</v>
      </c>
      <c r="D452" s="1409" t="n">
        <f aca="false">'V_DATOS PAC_SGA'!Y447</f>
        <v>0</v>
      </c>
      <c r="E452" s="1410" t="str">
        <f aca="false">IF('V_DATOS PAC_SGA'!AV447="","Regadio",'V_DATOS PAC_SGA'!AV447)</f>
        <v>Regadio</v>
      </c>
      <c r="F452" s="1411" t="n">
        <f aca="false">'V_DATOS PAC_SGA'!BK447</f>
        <v>0</v>
      </c>
      <c r="G452" s="1412" t="n">
        <f aca="false">'V_DATOS PAC_SGA'!AN447</f>
        <v>0</v>
      </c>
      <c r="H452" s="1413" t="str">
        <f aca="false">IF(B452&gt;0,VLOOKUP(B452,'O_MN, PE_UTA_UGM 2024'!E$3:O$419,10),"")</f>
        <v/>
      </c>
      <c r="I452" s="1359" t="n">
        <f aca="false">'V_DATOS PAC_SGA'!BV447</f>
        <v>0</v>
      </c>
      <c r="J452" s="2" t="str">
        <f aca="false">IF(AND(J$4=$G452,J$6=$F452),$D452*J$5,"")</f>
        <v/>
      </c>
      <c r="K452" s="2" t="str">
        <f aca="false">IF(AND(K$4=$G452,K$6=$F452),$D452*K$5,"")</f>
        <v/>
      </c>
      <c r="L452" s="2" t="str">
        <f aca="false">IF(AND(L$4=$G452,L$6=$F452),$D452*L$5,"")</f>
        <v/>
      </c>
      <c r="M452" s="2" t="str">
        <f aca="false">IF(AND(M$4=$G452,M$6=$F452),$D452*M$5,"")</f>
        <v/>
      </c>
      <c r="N452" s="1478" t="n">
        <f aca="false">VLOOKUP(B452,'O_MN, PE_UTA_UGM 2024'!$E$2:$K$419,IF(G452&gt;1,6,7))</f>
        <v>0</v>
      </c>
      <c r="O452" s="1434" t="str">
        <f aca="false">IF($H452=O$4,$D452*$N452,"")</f>
        <v/>
      </c>
      <c r="P452" s="1435" t="str">
        <f aca="false">IF($H452=P$4,$D452*$N452,"")</f>
        <v/>
      </c>
      <c r="Q452" s="1435" t="str">
        <f aca="false">IF($H452=Q$4,$D452*$N452,"")</f>
        <v/>
      </c>
      <c r="R452" s="1435" t="str">
        <f aca="false">IF($H452=R$4,$D452*$N452,"")</f>
        <v/>
      </c>
      <c r="S452" s="1435" t="str">
        <f aca="false">IF($H452=S$4,$D452*$N452,"")</f>
        <v/>
      </c>
      <c r="T452" s="1435" t="str">
        <f aca="false">IF($H452=T$4,$D452*$N452,"")</f>
        <v/>
      </c>
      <c r="U452" s="1436" t="str">
        <f aca="false">IF($H452=U$4,$D452*$N452,"")</f>
        <v/>
      </c>
      <c r="V452" s="1472"/>
      <c r="W452" s="1471"/>
      <c r="X452" s="1471"/>
      <c r="Y452" s="1471"/>
      <c r="Z452" s="1471"/>
      <c r="AA452" s="1471"/>
      <c r="AB452" s="1473"/>
      <c r="AC452" s="1319"/>
      <c r="AD452" s="2" t="str">
        <f aca="false">IF(AND(AD$4=$G452,AD$6=$F452),$B452,"")</f>
        <v/>
      </c>
      <c r="AE452" s="2" t="str">
        <f aca="false">IF(AND(AE$4=$G452,AE$6=$F452),$B452,"")</f>
        <v/>
      </c>
      <c r="AF452" s="2" t="str">
        <f aca="false">IF(AND(AF$4=$G452,AF$6=$F452),$B452,"")</f>
        <v/>
      </c>
      <c r="AG452" s="2" t="str">
        <f aca="false">IF(AND(AG$4=$G452,AG$6=$F452),$B452,"")</f>
        <v/>
      </c>
      <c r="AI452" s="366"/>
      <c r="AL452" s="367"/>
      <c r="AO452" s="367"/>
      <c r="AR452" s="1411"/>
      <c r="AT452" s="1422"/>
      <c r="AU452" s="1411"/>
      <c r="AV452" s="1411"/>
      <c r="AW452" s="1423"/>
      <c r="AX452" s="1423"/>
      <c r="AZ452" s="1370"/>
      <c r="BA452" s="1370"/>
      <c r="BB452" s="1370"/>
      <c r="BC452" s="1370"/>
      <c r="BD452" s="1370"/>
      <c r="BE452" s="1370"/>
      <c r="BF452" s="1370"/>
      <c r="BG452" s="1370"/>
      <c r="BH452" s="1371"/>
      <c r="BI452" s="1371"/>
      <c r="BJ452" s="1371"/>
      <c r="BK452" s="1371"/>
      <c r="BM452" s="1411"/>
      <c r="BN452" s="1411"/>
      <c r="BO452" s="1425"/>
      <c r="BP452" s="1425"/>
      <c r="BQ452" s="1425"/>
      <c r="BR452" s="1425"/>
      <c r="BS452" s="1411"/>
      <c r="BT452" s="1411"/>
      <c r="BU452" s="1411"/>
      <c r="BV452" s="1411"/>
      <c r="BW452" s="1411"/>
      <c r="BX452" s="1411"/>
      <c r="BZ452" s="1438"/>
      <c r="CA452" s="1438"/>
      <c r="CB452" s="1496"/>
      <c r="CC452" s="1496"/>
      <c r="CD452" s="1496"/>
      <c r="CE452" s="1496"/>
      <c r="CF452" s="1438"/>
      <c r="CG452" s="1438"/>
      <c r="CH452" s="1438"/>
      <c r="CI452" s="1438"/>
      <c r="CJ452" s="1438"/>
      <c r="CK452" s="1438"/>
      <c r="CU452" s="1411"/>
      <c r="CV452" s="1411"/>
      <c r="CW452" s="1425"/>
      <c r="CX452" s="1425"/>
      <c r="CY452" s="1425"/>
      <c r="CZ452" s="1425"/>
      <c r="DA452" s="1411"/>
      <c r="DB452" s="1411"/>
      <c r="DC452" s="1411"/>
      <c r="DD452" s="1411"/>
      <c r="DE452" s="1411"/>
      <c r="DF452" s="1411"/>
      <c r="DH452" s="1432"/>
      <c r="DI452" s="1432"/>
      <c r="DJ452" s="1437"/>
      <c r="DK452" s="1437"/>
      <c r="DL452" s="1437"/>
      <c r="DM452" s="1437"/>
      <c r="DN452" s="1432"/>
      <c r="DO452" s="1432"/>
      <c r="DP452" s="1432"/>
      <c r="DQ452" s="1432"/>
      <c r="DR452" s="1432"/>
      <c r="DS452" s="1432"/>
      <c r="DT452" s="1316"/>
      <c r="DU452" s="1433"/>
      <c r="DV452" s="1433"/>
      <c r="DW452" s="1433"/>
      <c r="DX452" s="1433"/>
      <c r="DY452" s="1433"/>
      <c r="DZ452" s="1433"/>
      <c r="EA452" s="1433"/>
      <c r="EB452" s="1433"/>
    </row>
    <row r="453" customFormat="false" ht="14.25" hidden="false" customHeight="false" outlineLevel="0" collapsed="false">
      <c r="A453" s="2" t="n">
        <f aca="false">'V_DATOS PAC_SGA'!R448</f>
        <v>0</v>
      </c>
      <c r="B453" s="2" t="n">
        <f aca="false">IF(I453="IV",CONCATENATE('V_DATOS PAC_SGA'!R448,"4")+0,CONCATENATE('V_DATOS PAC_SGA'!R448,"0")+0)</f>
        <v>0</v>
      </c>
      <c r="C453" s="2" t="n">
        <f aca="false">'V_DATOS PAC_SGA'!S448</f>
        <v>0</v>
      </c>
      <c r="D453" s="1409" t="n">
        <f aca="false">'V_DATOS PAC_SGA'!Y448</f>
        <v>0</v>
      </c>
      <c r="E453" s="1410" t="str">
        <f aca="false">IF('V_DATOS PAC_SGA'!AV448="","Regadio",'V_DATOS PAC_SGA'!AV448)</f>
        <v>Regadio</v>
      </c>
      <c r="F453" s="1411" t="n">
        <f aca="false">'V_DATOS PAC_SGA'!BK448</f>
        <v>0</v>
      </c>
      <c r="G453" s="1412" t="n">
        <f aca="false">'V_DATOS PAC_SGA'!AN448</f>
        <v>0</v>
      </c>
      <c r="H453" s="1413" t="str">
        <f aca="false">IF(B453&gt;0,VLOOKUP(B453,'O_MN, PE_UTA_UGM 2024'!E$3:O$419,10),"")</f>
        <v/>
      </c>
      <c r="I453" s="1359" t="n">
        <f aca="false">'V_DATOS PAC_SGA'!BV448</f>
        <v>0</v>
      </c>
      <c r="J453" s="2" t="str">
        <f aca="false">IF(AND(J$4=$G453,J$6=$F453),$D453*J$5,"")</f>
        <v/>
      </c>
      <c r="K453" s="2" t="str">
        <f aca="false">IF(AND(K$4=$G453,K$6=$F453),$D453*K$5,"")</f>
        <v/>
      </c>
      <c r="L453" s="2" t="str">
        <f aca="false">IF(AND(L$4=$G453,L$6=$F453),$D453*L$5,"")</f>
        <v/>
      </c>
      <c r="M453" s="2" t="str">
        <f aca="false">IF(AND(M$4=$G453,M$6=$F453),$D453*M$5,"")</f>
        <v/>
      </c>
      <c r="N453" s="1478" t="n">
        <f aca="false">VLOOKUP(B453,'O_MN, PE_UTA_UGM 2024'!$E$2:$K$419,IF(G453&gt;1,6,7))</f>
        <v>0</v>
      </c>
      <c r="O453" s="1434" t="str">
        <f aca="false">IF($H453=O$4,$D453*$N453,"")</f>
        <v/>
      </c>
      <c r="P453" s="1435" t="str">
        <f aca="false">IF($H453=P$4,$D453*$N453,"")</f>
        <v/>
      </c>
      <c r="Q453" s="1435" t="str">
        <f aca="false">IF($H453=Q$4,$D453*$N453,"")</f>
        <v/>
      </c>
      <c r="R453" s="1435" t="str">
        <f aca="false">IF($H453=R$4,$D453*$N453,"")</f>
        <v/>
      </c>
      <c r="S453" s="1435" t="str">
        <f aca="false">IF($H453=S$4,$D453*$N453,"")</f>
        <v/>
      </c>
      <c r="T453" s="1435" t="str">
        <f aca="false">IF($H453=T$4,$D453*$N453,"")</f>
        <v/>
      </c>
      <c r="U453" s="1436" t="str">
        <f aca="false">IF($H453=U$4,$D453*$N453,"")</f>
        <v/>
      </c>
      <c r="V453" s="1472"/>
      <c r="W453" s="1471"/>
      <c r="X453" s="1471"/>
      <c r="Y453" s="1471"/>
      <c r="Z453" s="1471"/>
      <c r="AA453" s="1471"/>
      <c r="AB453" s="1473"/>
      <c r="AC453" s="1319"/>
      <c r="AD453" s="2" t="str">
        <f aca="false">IF(AND(AD$4=$G453,AD$6=$F453),$B453,"")</f>
        <v/>
      </c>
      <c r="AE453" s="2" t="str">
        <f aca="false">IF(AND(AE$4=$G453,AE$6=$F453),$B453,"")</f>
        <v/>
      </c>
      <c r="AF453" s="2" t="str">
        <f aca="false">IF(AND(AF$4=$G453,AF$6=$F453),$B453,"")</f>
        <v/>
      </c>
      <c r="AG453" s="2" t="str">
        <f aca="false">IF(AND(AG$4=$G453,AG$6=$F453),$B453,"")</f>
        <v/>
      </c>
      <c r="AI453" s="366"/>
      <c r="AL453" s="367"/>
      <c r="AO453" s="367"/>
      <c r="AR453" s="1411"/>
      <c r="AT453" s="1422"/>
      <c r="AU453" s="1411"/>
      <c r="AV453" s="1411"/>
      <c r="AW453" s="1423"/>
      <c r="AX453" s="1423"/>
      <c r="AZ453" s="1370"/>
      <c r="BA453" s="1370"/>
      <c r="BB453" s="1370"/>
      <c r="BC453" s="1370"/>
      <c r="BD453" s="1370"/>
      <c r="BE453" s="1370"/>
      <c r="BF453" s="1370"/>
      <c r="BG453" s="1370"/>
      <c r="BH453" s="1371"/>
      <c r="BI453" s="1371"/>
      <c r="BJ453" s="1371"/>
      <c r="BK453" s="1371"/>
      <c r="BM453" s="1411"/>
      <c r="BN453" s="1411"/>
      <c r="BO453" s="1425"/>
      <c r="BP453" s="1425"/>
      <c r="BQ453" s="1425"/>
      <c r="BR453" s="1425"/>
      <c r="BS453" s="1411"/>
      <c r="BT453" s="1411"/>
      <c r="BU453" s="1411"/>
      <c r="BV453" s="1411"/>
      <c r="BW453" s="1411"/>
      <c r="BX453" s="1411"/>
      <c r="BZ453" s="1438"/>
      <c r="CA453" s="1438"/>
      <c r="CB453" s="1496"/>
      <c r="CC453" s="1496"/>
      <c r="CD453" s="1496"/>
      <c r="CE453" s="1496"/>
      <c r="CF453" s="1438"/>
      <c r="CG453" s="1438"/>
      <c r="CH453" s="1438"/>
      <c r="CI453" s="1438"/>
      <c r="CJ453" s="1438"/>
      <c r="CK453" s="1438"/>
      <c r="CU453" s="1411"/>
      <c r="CV453" s="1411"/>
      <c r="CW453" s="1425"/>
      <c r="CX453" s="1425"/>
      <c r="CY453" s="1425"/>
      <c r="CZ453" s="1425"/>
      <c r="DA453" s="1411"/>
      <c r="DB453" s="1411"/>
      <c r="DC453" s="1411"/>
      <c r="DD453" s="1411"/>
      <c r="DE453" s="1411"/>
      <c r="DF453" s="1411"/>
      <c r="DH453" s="1432"/>
      <c r="DI453" s="1432"/>
      <c r="DJ453" s="1437"/>
      <c r="DK453" s="1437"/>
      <c r="DL453" s="1437"/>
      <c r="DM453" s="1437"/>
      <c r="DN453" s="1432"/>
      <c r="DO453" s="1432"/>
      <c r="DP453" s="1432"/>
      <c r="DQ453" s="1432"/>
      <c r="DR453" s="1432"/>
      <c r="DS453" s="1432"/>
      <c r="DT453" s="1316"/>
      <c r="DU453" s="1433"/>
      <c r="DV453" s="1433"/>
      <c r="DW453" s="1433"/>
      <c r="DX453" s="1433"/>
      <c r="DY453" s="1433"/>
      <c r="DZ453" s="1433"/>
      <c r="EA453" s="1433"/>
      <c r="EB453" s="1433"/>
    </row>
    <row r="454" customFormat="false" ht="14.25" hidden="false" customHeight="false" outlineLevel="0" collapsed="false">
      <c r="A454" s="2" t="n">
        <f aca="false">'V_DATOS PAC_SGA'!R449</f>
        <v>0</v>
      </c>
      <c r="B454" s="2" t="n">
        <f aca="false">IF(I454="IV",CONCATENATE('V_DATOS PAC_SGA'!R449,"4")+0,CONCATENATE('V_DATOS PAC_SGA'!R449,"0")+0)</f>
        <v>0</v>
      </c>
      <c r="C454" s="2" t="n">
        <f aca="false">'V_DATOS PAC_SGA'!S449</f>
        <v>0</v>
      </c>
      <c r="D454" s="1409" t="n">
        <f aca="false">'V_DATOS PAC_SGA'!Y449</f>
        <v>0</v>
      </c>
      <c r="E454" s="1410" t="str">
        <f aca="false">IF('V_DATOS PAC_SGA'!AV449="","Regadio",'V_DATOS PAC_SGA'!AV449)</f>
        <v>Regadio</v>
      </c>
      <c r="F454" s="1411" t="n">
        <f aca="false">'V_DATOS PAC_SGA'!BK449</f>
        <v>0</v>
      </c>
      <c r="G454" s="1412" t="n">
        <f aca="false">'V_DATOS PAC_SGA'!AN449</f>
        <v>0</v>
      </c>
      <c r="H454" s="1413" t="str">
        <f aca="false">IF(B454&gt;0,VLOOKUP(B454,'O_MN, PE_UTA_UGM 2024'!E$3:O$419,10),"")</f>
        <v/>
      </c>
      <c r="I454" s="1359" t="n">
        <f aca="false">'V_DATOS PAC_SGA'!BV449</f>
        <v>0</v>
      </c>
      <c r="J454" s="2" t="str">
        <f aca="false">IF(AND(J$4=$G454,J$6=$F454),$D454*J$5,"")</f>
        <v/>
      </c>
      <c r="K454" s="2" t="str">
        <f aca="false">IF(AND(K$4=$G454,K$6=$F454),$D454*K$5,"")</f>
        <v/>
      </c>
      <c r="L454" s="2" t="str">
        <f aca="false">IF(AND(L$4=$G454,L$6=$F454),$D454*L$5,"")</f>
        <v/>
      </c>
      <c r="M454" s="2" t="str">
        <f aca="false">IF(AND(M$4=$G454,M$6=$F454),$D454*M$5,"")</f>
        <v/>
      </c>
      <c r="N454" s="1478" t="n">
        <f aca="false">VLOOKUP(B454,'O_MN, PE_UTA_UGM 2024'!$E$2:$K$419,IF(G454&gt;1,6,7))</f>
        <v>0</v>
      </c>
      <c r="O454" s="1434" t="str">
        <f aca="false">IF($H454=O$4,$D454*$N454,"")</f>
        <v/>
      </c>
      <c r="P454" s="1435" t="str">
        <f aca="false">IF($H454=P$4,$D454*$N454,"")</f>
        <v/>
      </c>
      <c r="Q454" s="1435" t="str">
        <f aca="false">IF($H454=Q$4,$D454*$N454,"")</f>
        <v/>
      </c>
      <c r="R454" s="1435" t="str">
        <f aca="false">IF($H454=R$4,$D454*$N454,"")</f>
        <v/>
      </c>
      <c r="S454" s="1435" t="str">
        <f aca="false">IF($H454=S$4,$D454*$N454,"")</f>
        <v/>
      </c>
      <c r="T454" s="1435" t="str">
        <f aca="false">IF($H454=T$4,$D454*$N454,"")</f>
        <v/>
      </c>
      <c r="U454" s="1436" t="str">
        <f aca="false">IF($H454=U$4,$D454*$N454,"")</f>
        <v/>
      </c>
      <c r="V454" s="1472"/>
      <c r="W454" s="1471"/>
      <c r="X454" s="1471"/>
      <c r="Y454" s="1471"/>
      <c r="Z454" s="1471"/>
      <c r="AA454" s="1471"/>
      <c r="AB454" s="1473"/>
      <c r="AC454" s="1319"/>
      <c r="AD454" s="2" t="str">
        <f aca="false">IF(AND(AD$4=$G454,AD$6=$F454),$B454,"")</f>
        <v/>
      </c>
      <c r="AE454" s="2" t="str">
        <f aca="false">IF(AND(AE$4=$G454,AE$6=$F454),$B454,"")</f>
        <v/>
      </c>
      <c r="AF454" s="2" t="str">
        <f aca="false">IF(AND(AF$4=$G454,AF$6=$F454),$B454,"")</f>
        <v/>
      </c>
      <c r="AG454" s="2" t="str">
        <f aca="false">IF(AND(AG$4=$G454,AG$6=$F454),$B454,"")</f>
        <v/>
      </c>
      <c r="AI454" s="366"/>
      <c r="AL454" s="367"/>
      <c r="AO454" s="367"/>
      <c r="AR454" s="1411"/>
      <c r="AT454" s="1422"/>
      <c r="AU454" s="1411"/>
      <c r="AV454" s="1411"/>
      <c r="AW454" s="1423"/>
      <c r="AX454" s="1423"/>
      <c r="AZ454" s="1370"/>
      <c r="BA454" s="1370"/>
      <c r="BB454" s="1370"/>
      <c r="BC454" s="1370"/>
      <c r="BD454" s="1370"/>
      <c r="BE454" s="1370"/>
      <c r="BF454" s="1370"/>
      <c r="BG454" s="1370"/>
      <c r="BH454" s="1371"/>
      <c r="BI454" s="1371"/>
      <c r="BJ454" s="1371"/>
      <c r="BK454" s="1371"/>
      <c r="BM454" s="1411"/>
      <c r="BN454" s="1411"/>
      <c r="BO454" s="1425"/>
      <c r="BP454" s="1425"/>
      <c r="BQ454" s="1425"/>
      <c r="BR454" s="1425"/>
      <c r="BS454" s="1411"/>
      <c r="BT454" s="1411"/>
      <c r="BU454" s="1411"/>
      <c r="BV454" s="1411"/>
      <c r="BW454" s="1411"/>
      <c r="BX454" s="1411"/>
      <c r="BZ454" s="1438"/>
      <c r="CA454" s="1438"/>
      <c r="CB454" s="1496"/>
      <c r="CC454" s="1496"/>
      <c r="CD454" s="1496"/>
      <c r="CE454" s="1496"/>
      <c r="CF454" s="1438"/>
      <c r="CG454" s="1438"/>
      <c r="CH454" s="1438"/>
      <c r="CI454" s="1438"/>
      <c r="CJ454" s="1438"/>
      <c r="CK454" s="1438"/>
      <c r="CU454" s="1411"/>
      <c r="CV454" s="1411"/>
      <c r="CW454" s="1425"/>
      <c r="CX454" s="1425"/>
      <c r="CY454" s="1425"/>
      <c r="CZ454" s="1425"/>
      <c r="DA454" s="1411"/>
      <c r="DB454" s="1411"/>
      <c r="DC454" s="1411"/>
      <c r="DD454" s="1411"/>
      <c r="DE454" s="1411"/>
      <c r="DF454" s="1411"/>
      <c r="DH454" s="1432"/>
      <c r="DI454" s="1432"/>
      <c r="DJ454" s="1437"/>
      <c r="DK454" s="1437"/>
      <c r="DL454" s="1437"/>
      <c r="DM454" s="1437"/>
      <c r="DN454" s="1432"/>
      <c r="DO454" s="1432"/>
      <c r="DP454" s="1432"/>
      <c r="DQ454" s="1432"/>
      <c r="DR454" s="1432"/>
      <c r="DS454" s="1432"/>
      <c r="DT454" s="1316"/>
      <c r="DU454" s="1433"/>
      <c r="DV454" s="1433"/>
      <c r="DW454" s="1433"/>
      <c r="DX454" s="1433"/>
      <c r="DY454" s="1433"/>
      <c r="DZ454" s="1433"/>
      <c r="EA454" s="1433"/>
      <c r="EB454" s="1433"/>
    </row>
    <row r="455" customFormat="false" ht="14.25" hidden="false" customHeight="false" outlineLevel="0" collapsed="false">
      <c r="A455" s="2" t="n">
        <f aca="false">'V_DATOS PAC_SGA'!R450</f>
        <v>0</v>
      </c>
      <c r="B455" s="2" t="n">
        <f aca="false">IF(I455="IV",CONCATENATE('V_DATOS PAC_SGA'!R450,"4")+0,CONCATENATE('V_DATOS PAC_SGA'!R450,"0")+0)</f>
        <v>0</v>
      </c>
      <c r="C455" s="2" t="n">
        <f aca="false">'V_DATOS PAC_SGA'!S450</f>
        <v>0</v>
      </c>
      <c r="D455" s="1409" t="n">
        <f aca="false">'V_DATOS PAC_SGA'!Y450</f>
        <v>0</v>
      </c>
      <c r="E455" s="1410" t="str">
        <f aca="false">IF('V_DATOS PAC_SGA'!AV450="","Regadio",'V_DATOS PAC_SGA'!AV450)</f>
        <v>Regadio</v>
      </c>
      <c r="F455" s="1411" t="n">
        <f aca="false">'V_DATOS PAC_SGA'!BK450</f>
        <v>0</v>
      </c>
      <c r="G455" s="1412" t="n">
        <f aca="false">'V_DATOS PAC_SGA'!AN450</f>
        <v>0</v>
      </c>
      <c r="H455" s="1413" t="str">
        <f aca="false">IF(B455&gt;0,VLOOKUP(B455,'O_MN, PE_UTA_UGM 2024'!E$3:O$419,10),"")</f>
        <v/>
      </c>
      <c r="I455" s="1359" t="n">
        <f aca="false">'V_DATOS PAC_SGA'!BV450</f>
        <v>0</v>
      </c>
      <c r="J455" s="2" t="str">
        <f aca="false">IF(AND(J$4=$G455,J$6=$F455),$D455*J$5,"")</f>
        <v/>
      </c>
      <c r="K455" s="2" t="str">
        <f aca="false">IF(AND(K$4=$G455,K$6=$F455),$D455*K$5,"")</f>
        <v/>
      </c>
      <c r="L455" s="2" t="str">
        <f aca="false">IF(AND(L$4=$G455,L$6=$F455),$D455*L$5,"")</f>
        <v/>
      </c>
      <c r="M455" s="2" t="str">
        <f aca="false">IF(AND(M$4=$G455,M$6=$F455),$D455*M$5,"")</f>
        <v/>
      </c>
      <c r="N455" s="1478" t="n">
        <f aca="false">VLOOKUP(B455,'O_MN, PE_UTA_UGM 2024'!$E$2:$K$419,IF(G455&gt;1,6,7))</f>
        <v>0</v>
      </c>
      <c r="O455" s="1434" t="str">
        <f aca="false">IF($H455=O$4,$D455*$N455,"")</f>
        <v/>
      </c>
      <c r="P455" s="1435" t="str">
        <f aca="false">IF($H455=P$4,$D455*$N455,"")</f>
        <v/>
      </c>
      <c r="Q455" s="1435" t="str">
        <f aca="false">IF($H455=Q$4,$D455*$N455,"")</f>
        <v/>
      </c>
      <c r="R455" s="1435" t="str">
        <f aca="false">IF($H455=R$4,$D455*$N455,"")</f>
        <v/>
      </c>
      <c r="S455" s="1435" t="str">
        <f aca="false">IF($H455=S$4,$D455*$N455,"")</f>
        <v/>
      </c>
      <c r="T455" s="1435" t="str">
        <f aca="false">IF($H455=T$4,$D455*$N455,"")</f>
        <v/>
      </c>
      <c r="U455" s="1436" t="str">
        <f aca="false">IF($H455=U$4,$D455*$N455,"")</f>
        <v/>
      </c>
      <c r="V455" s="1472"/>
      <c r="W455" s="1471"/>
      <c r="X455" s="1471"/>
      <c r="Y455" s="1471"/>
      <c r="Z455" s="1471"/>
      <c r="AA455" s="1471"/>
      <c r="AB455" s="1473"/>
      <c r="AC455" s="1319"/>
      <c r="AD455" s="2" t="str">
        <f aca="false">IF(AND(AD$4=$G455,AD$6=$F455),$B455,"")</f>
        <v/>
      </c>
      <c r="AE455" s="2" t="str">
        <f aca="false">IF(AND(AE$4=$G455,AE$6=$F455),$B455,"")</f>
        <v/>
      </c>
      <c r="AF455" s="2" t="str">
        <f aca="false">IF(AND(AF$4=$G455,AF$6=$F455),$B455,"")</f>
        <v/>
      </c>
      <c r="AG455" s="2" t="str">
        <f aca="false">IF(AND(AG$4=$G455,AG$6=$F455),$B455,"")</f>
        <v/>
      </c>
      <c r="AI455" s="366"/>
      <c r="AL455" s="367"/>
      <c r="AO455" s="367"/>
      <c r="AR455" s="1411"/>
      <c r="AT455" s="1422"/>
      <c r="AU455" s="1411"/>
      <c r="AV455" s="1411"/>
      <c r="AW455" s="1423"/>
      <c r="AX455" s="1423"/>
      <c r="AZ455" s="1370"/>
      <c r="BA455" s="1370"/>
      <c r="BB455" s="1370"/>
      <c r="BC455" s="1370"/>
      <c r="BD455" s="1370"/>
      <c r="BE455" s="1370"/>
      <c r="BF455" s="1370"/>
      <c r="BG455" s="1370"/>
      <c r="BH455" s="1371"/>
      <c r="BI455" s="1371"/>
      <c r="BJ455" s="1371"/>
      <c r="BK455" s="1371"/>
      <c r="BM455" s="1411"/>
      <c r="BN455" s="1411"/>
      <c r="BO455" s="1425"/>
      <c r="BP455" s="1425"/>
      <c r="BQ455" s="1425"/>
      <c r="BR455" s="1425"/>
      <c r="BS455" s="1411"/>
      <c r="BT455" s="1411"/>
      <c r="BU455" s="1411"/>
      <c r="BV455" s="1411"/>
      <c r="BW455" s="1411"/>
      <c r="BX455" s="1411"/>
      <c r="BZ455" s="1438"/>
      <c r="CA455" s="1438"/>
      <c r="CB455" s="1496"/>
      <c r="CC455" s="1496"/>
      <c r="CD455" s="1496"/>
      <c r="CE455" s="1496"/>
      <c r="CF455" s="1438"/>
      <c r="CG455" s="1438"/>
      <c r="CH455" s="1438"/>
      <c r="CI455" s="1438"/>
      <c r="CJ455" s="1438"/>
      <c r="CK455" s="1438"/>
      <c r="CU455" s="1411"/>
      <c r="CV455" s="1411"/>
      <c r="CW455" s="1425"/>
      <c r="CX455" s="1425"/>
      <c r="CY455" s="1425"/>
      <c r="CZ455" s="1425"/>
      <c r="DA455" s="1411"/>
      <c r="DB455" s="1411"/>
      <c r="DC455" s="1411"/>
      <c r="DD455" s="1411"/>
      <c r="DE455" s="1411"/>
      <c r="DF455" s="1411"/>
      <c r="DH455" s="1432"/>
      <c r="DI455" s="1432"/>
      <c r="DJ455" s="1437"/>
      <c r="DK455" s="1437"/>
      <c r="DL455" s="1437"/>
      <c r="DM455" s="1437"/>
      <c r="DN455" s="1432"/>
      <c r="DO455" s="1432"/>
      <c r="DP455" s="1432"/>
      <c r="DQ455" s="1432"/>
      <c r="DR455" s="1432"/>
      <c r="DS455" s="1432"/>
      <c r="DT455" s="1316"/>
      <c r="DU455" s="1433"/>
      <c r="DV455" s="1433"/>
      <c r="DW455" s="1433"/>
      <c r="DX455" s="1433"/>
      <c r="DY455" s="1433"/>
      <c r="DZ455" s="1433"/>
      <c r="EA455" s="1433"/>
      <c r="EB455" s="1433"/>
    </row>
    <row r="456" customFormat="false" ht="14.25" hidden="false" customHeight="false" outlineLevel="0" collapsed="false">
      <c r="A456" s="2" t="n">
        <f aca="false">'V_DATOS PAC_SGA'!R451</f>
        <v>0</v>
      </c>
      <c r="B456" s="2" t="n">
        <f aca="false">IF(I456="IV",CONCATENATE('V_DATOS PAC_SGA'!R451,"4")+0,CONCATENATE('V_DATOS PAC_SGA'!R451,"0")+0)</f>
        <v>0</v>
      </c>
      <c r="C456" s="2" t="n">
        <f aca="false">'V_DATOS PAC_SGA'!S451</f>
        <v>0</v>
      </c>
      <c r="D456" s="1409" t="n">
        <f aca="false">'V_DATOS PAC_SGA'!Y451</f>
        <v>0</v>
      </c>
      <c r="E456" s="1410" t="str">
        <f aca="false">IF('V_DATOS PAC_SGA'!AV451="","Regadio",'V_DATOS PAC_SGA'!AV451)</f>
        <v>Regadio</v>
      </c>
      <c r="F456" s="1411" t="n">
        <f aca="false">'V_DATOS PAC_SGA'!BK451</f>
        <v>0</v>
      </c>
      <c r="G456" s="1412" t="n">
        <f aca="false">'V_DATOS PAC_SGA'!AN451</f>
        <v>0</v>
      </c>
      <c r="H456" s="1413" t="str">
        <f aca="false">IF(B456&gt;0,VLOOKUP(B456,'O_MN, PE_UTA_UGM 2024'!E$3:O$419,10),"")</f>
        <v/>
      </c>
      <c r="I456" s="1359" t="n">
        <f aca="false">'V_DATOS PAC_SGA'!BV451</f>
        <v>0</v>
      </c>
      <c r="J456" s="2" t="str">
        <f aca="false">IF(AND(J$4=$G456,J$6=$F456),$D456*J$5,"")</f>
        <v/>
      </c>
      <c r="K456" s="2" t="str">
        <f aca="false">IF(AND(K$4=$G456,K$6=$F456),$D456*K$5,"")</f>
        <v/>
      </c>
      <c r="L456" s="2" t="str">
        <f aca="false">IF(AND(L$4=$G456,L$6=$F456),$D456*L$5,"")</f>
        <v/>
      </c>
      <c r="M456" s="2" t="str">
        <f aca="false">IF(AND(M$4=$G456,M$6=$F456),$D456*M$5,"")</f>
        <v/>
      </c>
      <c r="N456" s="1478" t="n">
        <f aca="false">VLOOKUP(B456,'O_MN, PE_UTA_UGM 2024'!$E$2:$K$419,IF(G456&gt;1,6,7))</f>
        <v>0</v>
      </c>
      <c r="O456" s="1434" t="str">
        <f aca="false">IF($H456=O$4,$D456*$N456,"")</f>
        <v/>
      </c>
      <c r="P456" s="1435" t="str">
        <f aca="false">IF($H456=P$4,$D456*$N456,"")</f>
        <v/>
      </c>
      <c r="Q456" s="1435" t="str">
        <f aca="false">IF($H456=Q$4,$D456*$N456,"")</f>
        <v/>
      </c>
      <c r="R456" s="1435" t="str">
        <f aca="false">IF($H456=R$4,$D456*$N456,"")</f>
        <v/>
      </c>
      <c r="S456" s="1435" t="str">
        <f aca="false">IF($H456=S$4,$D456*$N456,"")</f>
        <v/>
      </c>
      <c r="T456" s="1435" t="str">
        <f aca="false">IF($H456=T$4,$D456*$N456,"")</f>
        <v/>
      </c>
      <c r="U456" s="1436" t="str">
        <f aca="false">IF($H456=U$4,$D456*$N456,"")</f>
        <v/>
      </c>
      <c r="V456" s="1472"/>
      <c r="W456" s="1471"/>
      <c r="X456" s="1471"/>
      <c r="Y456" s="1471"/>
      <c r="Z456" s="1471"/>
      <c r="AA456" s="1471"/>
      <c r="AB456" s="1473"/>
      <c r="AC456" s="1319"/>
      <c r="AD456" s="2" t="str">
        <f aca="false">IF(AND(AD$4=$G456,AD$6=$F456),$B456,"")</f>
        <v/>
      </c>
      <c r="AE456" s="2" t="str">
        <f aca="false">IF(AND(AE$4=$G456,AE$6=$F456),$B456,"")</f>
        <v/>
      </c>
      <c r="AF456" s="2" t="str">
        <f aca="false">IF(AND(AF$4=$G456,AF$6=$F456),$B456,"")</f>
        <v/>
      </c>
      <c r="AG456" s="2" t="str">
        <f aca="false">IF(AND(AG$4=$G456,AG$6=$F456),$B456,"")</f>
        <v/>
      </c>
      <c r="AI456" s="366"/>
      <c r="AL456" s="367"/>
      <c r="AO456" s="367"/>
      <c r="AR456" s="1411"/>
      <c r="AT456" s="1422"/>
      <c r="AU456" s="1411"/>
      <c r="AV456" s="1411"/>
      <c r="AW456" s="1423"/>
      <c r="AX456" s="1423"/>
      <c r="AZ456" s="1370"/>
      <c r="BA456" s="1370"/>
      <c r="BB456" s="1370"/>
      <c r="BC456" s="1370"/>
      <c r="BD456" s="1370"/>
      <c r="BE456" s="1370"/>
      <c r="BF456" s="1370"/>
      <c r="BG456" s="1370"/>
      <c r="BH456" s="1371"/>
      <c r="BI456" s="1371"/>
      <c r="BJ456" s="1371"/>
      <c r="BK456" s="1371"/>
      <c r="BM456" s="1411"/>
      <c r="BN456" s="1411"/>
      <c r="BO456" s="1425"/>
      <c r="BP456" s="1425"/>
      <c r="BQ456" s="1425"/>
      <c r="BR456" s="1425"/>
      <c r="BS456" s="1411"/>
      <c r="BT456" s="1411"/>
      <c r="BU456" s="1411"/>
      <c r="BV456" s="1411"/>
      <c r="BW456" s="1411"/>
      <c r="BX456" s="1411"/>
      <c r="BZ456" s="1438"/>
      <c r="CA456" s="1438"/>
      <c r="CB456" s="1496"/>
      <c r="CC456" s="1496"/>
      <c r="CD456" s="1496"/>
      <c r="CE456" s="1496"/>
      <c r="CF456" s="1438"/>
      <c r="CG456" s="1438"/>
      <c r="CH456" s="1438"/>
      <c r="CI456" s="1438"/>
      <c r="CJ456" s="1438"/>
      <c r="CK456" s="1438"/>
      <c r="CU456" s="1411"/>
      <c r="CV456" s="1411"/>
      <c r="CW456" s="1425"/>
      <c r="CX456" s="1425"/>
      <c r="CY456" s="1425"/>
      <c r="CZ456" s="1425"/>
      <c r="DA456" s="1411"/>
      <c r="DB456" s="1411"/>
      <c r="DC456" s="1411"/>
      <c r="DD456" s="1411"/>
      <c r="DE456" s="1411"/>
      <c r="DF456" s="1411"/>
      <c r="DH456" s="1432"/>
      <c r="DI456" s="1432"/>
      <c r="DJ456" s="1437"/>
      <c r="DK456" s="1437"/>
      <c r="DL456" s="1437"/>
      <c r="DM456" s="1437"/>
      <c r="DN456" s="1432"/>
      <c r="DO456" s="1432"/>
      <c r="DP456" s="1432"/>
      <c r="DQ456" s="1432"/>
      <c r="DR456" s="1432"/>
      <c r="DS456" s="1432"/>
      <c r="DT456" s="1316"/>
      <c r="DU456" s="1433"/>
      <c r="DV456" s="1433"/>
      <c r="DW456" s="1433"/>
      <c r="DX456" s="1433"/>
      <c r="DY456" s="1433"/>
      <c r="DZ456" s="1433"/>
      <c r="EA456" s="1433"/>
      <c r="EB456" s="1433"/>
    </row>
    <row r="457" customFormat="false" ht="14.25" hidden="false" customHeight="false" outlineLevel="0" collapsed="false">
      <c r="A457" s="2" t="n">
        <f aca="false">'V_DATOS PAC_SGA'!R452</f>
        <v>0</v>
      </c>
      <c r="B457" s="2" t="n">
        <f aca="false">IF(I457="IV",CONCATENATE('V_DATOS PAC_SGA'!R452,"4")+0,CONCATENATE('V_DATOS PAC_SGA'!R452,"0")+0)</f>
        <v>0</v>
      </c>
      <c r="C457" s="2" t="n">
        <f aca="false">'V_DATOS PAC_SGA'!S452</f>
        <v>0</v>
      </c>
      <c r="D457" s="1409" t="n">
        <f aca="false">'V_DATOS PAC_SGA'!Y452</f>
        <v>0</v>
      </c>
      <c r="E457" s="1410" t="str">
        <f aca="false">IF('V_DATOS PAC_SGA'!AV452="","Regadio",'V_DATOS PAC_SGA'!AV452)</f>
        <v>Regadio</v>
      </c>
      <c r="F457" s="1411" t="n">
        <f aca="false">'V_DATOS PAC_SGA'!BK452</f>
        <v>0</v>
      </c>
      <c r="G457" s="1412" t="n">
        <f aca="false">'V_DATOS PAC_SGA'!AN452</f>
        <v>0</v>
      </c>
      <c r="H457" s="1413" t="str">
        <f aca="false">IF(B457&gt;0,VLOOKUP(B457,'O_MN, PE_UTA_UGM 2024'!E$3:O$419,10),"")</f>
        <v/>
      </c>
      <c r="I457" s="1359" t="n">
        <f aca="false">'V_DATOS PAC_SGA'!BV452</f>
        <v>0</v>
      </c>
      <c r="J457" s="2" t="str">
        <f aca="false">IF(AND(J$4=$G457,J$6=$F457),$D457*J$5,"")</f>
        <v/>
      </c>
      <c r="K457" s="2" t="str">
        <f aca="false">IF(AND(K$4=$G457,K$6=$F457),$D457*K$5,"")</f>
        <v/>
      </c>
      <c r="L457" s="2" t="str">
        <f aca="false">IF(AND(L$4=$G457,L$6=$F457),$D457*L$5,"")</f>
        <v/>
      </c>
      <c r="M457" s="2" t="str">
        <f aca="false">IF(AND(M$4=$G457,M$6=$F457),$D457*M$5,"")</f>
        <v/>
      </c>
      <c r="N457" s="1478" t="n">
        <f aca="false">VLOOKUP(B457,'O_MN, PE_UTA_UGM 2024'!$E$2:$K$419,IF(G457&gt;1,6,7))</f>
        <v>0</v>
      </c>
      <c r="O457" s="1434" t="str">
        <f aca="false">IF($H457=O$4,$D457*$N457,"")</f>
        <v/>
      </c>
      <c r="P457" s="1435" t="str">
        <f aca="false">IF($H457=P$4,$D457*$N457,"")</f>
        <v/>
      </c>
      <c r="Q457" s="1435" t="str">
        <f aca="false">IF($H457=Q$4,$D457*$N457,"")</f>
        <v/>
      </c>
      <c r="R457" s="1435" t="str">
        <f aca="false">IF($H457=R$4,$D457*$N457,"")</f>
        <v/>
      </c>
      <c r="S457" s="1435" t="str">
        <f aca="false">IF($H457=S$4,$D457*$N457,"")</f>
        <v/>
      </c>
      <c r="T457" s="1435" t="str">
        <f aca="false">IF($H457=T$4,$D457*$N457,"")</f>
        <v/>
      </c>
      <c r="U457" s="1436" t="str">
        <f aca="false">IF($H457=U$4,$D457*$N457,"")</f>
        <v/>
      </c>
      <c r="V457" s="1472"/>
      <c r="W457" s="1471"/>
      <c r="X457" s="1471"/>
      <c r="Y457" s="1471"/>
      <c r="Z457" s="1471"/>
      <c r="AA457" s="1471"/>
      <c r="AB457" s="1473"/>
      <c r="AC457" s="1319"/>
      <c r="AD457" s="2" t="str">
        <f aca="false">IF(AND(AD$4=$G457,AD$6=$F457),$B457,"")</f>
        <v/>
      </c>
      <c r="AE457" s="2" t="str">
        <f aca="false">IF(AND(AE$4=$G457,AE$6=$F457),$B457,"")</f>
        <v/>
      </c>
      <c r="AF457" s="2" t="str">
        <f aca="false">IF(AND(AF$4=$G457,AF$6=$F457),$B457,"")</f>
        <v/>
      </c>
      <c r="AG457" s="2" t="str">
        <f aca="false">IF(AND(AG$4=$G457,AG$6=$F457),$B457,"")</f>
        <v/>
      </c>
      <c r="AI457" s="366"/>
      <c r="AL457" s="367"/>
      <c r="AO457" s="367"/>
      <c r="AR457" s="1411"/>
      <c r="AT457" s="1422"/>
      <c r="AU457" s="1411"/>
      <c r="AV457" s="1411"/>
      <c r="AW457" s="1423"/>
      <c r="AX457" s="1423"/>
      <c r="AZ457" s="1370"/>
      <c r="BA457" s="1370"/>
      <c r="BB457" s="1370"/>
      <c r="BC457" s="1370"/>
      <c r="BD457" s="1370"/>
      <c r="BE457" s="1370"/>
      <c r="BF457" s="1370"/>
      <c r="BG457" s="1370"/>
      <c r="BH457" s="1371"/>
      <c r="BI457" s="1371"/>
      <c r="BJ457" s="1371"/>
      <c r="BK457" s="1371"/>
      <c r="BM457" s="1411"/>
      <c r="BN457" s="1411"/>
      <c r="BO457" s="1425"/>
      <c r="BP457" s="1425"/>
      <c r="BQ457" s="1425"/>
      <c r="BR457" s="1425"/>
      <c r="BS457" s="1411"/>
      <c r="BT457" s="1411"/>
      <c r="BU457" s="1411"/>
      <c r="BV457" s="1411"/>
      <c r="BW457" s="1411"/>
      <c r="BX457" s="1411"/>
      <c r="BZ457" s="1438"/>
      <c r="CA457" s="1438"/>
      <c r="CB457" s="1496"/>
      <c r="CC457" s="1496"/>
      <c r="CD457" s="1496"/>
      <c r="CE457" s="1496"/>
      <c r="CF457" s="1438"/>
      <c r="CG457" s="1438"/>
      <c r="CH457" s="1438"/>
      <c r="CI457" s="1438"/>
      <c r="CJ457" s="1438"/>
      <c r="CK457" s="1438"/>
      <c r="CU457" s="1411"/>
      <c r="CV457" s="1411"/>
      <c r="CW457" s="1425"/>
      <c r="CX457" s="1425"/>
      <c r="CY457" s="1425"/>
      <c r="CZ457" s="1425"/>
      <c r="DA457" s="1411"/>
      <c r="DB457" s="1411"/>
      <c r="DC457" s="1411"/>
      <c r="DD457" s="1411"/>
      <c r="DE457" s="1411"/>
      <c r="DF457" s="1411"/>
      <c r="DH457" s="1432"/>
      <c r="DI457" s="1432"/>
      <c r="DJ457" s="1437"/>
      <c r="DK457" s="1437"/>
      <c r="DL457" s="1437"/>
      <c r="DM457" s="1437"/>
      <c r="DN457" s="1432"/>
      <c r="DO457" s="1432"/>
      <c r="DP457" s="1432"/>
      <c r="DQ457" s="1432"/>
      <c r="DR457" s="1432"/>
      <c r="DS457" s="1432"/>
      <c r="DT457" s="1316"/>
      <c r="DU457" s="1433"/>
      <c r="DV457" s="1433"/>
      <c r="DW457" s="1433"/>
      <c r="DX457" s="1433"/>
      <c r="DY457" s="1433"/>
      <c r="DZ457" s="1433"/>
      <c r="EA457" s="1433"/>
      <c r="EB457" s="1433"/>
    </row>
    <row r="458" customFormat="false" ht="14.25" hidden="false" customHeight="false" outlineLevel="0" collapsed="false">
      <c r="A458" s="2" t="n">
        <f aca="false">'V_DATOS PAC_SGA'!R453</f>
        <v>0</v>
      </c>
      <c r="B458" s="2" t="n">
        <f aca="false">IF(I458="IV",CONCATENATE('V_DATOS PAC_SGA'!R453,"4")+0,CONCATENATE('V_DATOS PAC_SGA'!R453,"0")+0)</f>
        <v>0</v>
      </c>
      <c r="C458" s="2" t="n">
        <f aca="false">'V_DATOS PAC_SGA'!S453</f>
        <v>0</v>
      </c>
      <c r="D458" s="1409" t="n">
        <f aca="false">'V_DATOS PAC_SGA'!Y453</f>
        <v>0</v>
      </c>
      <c r="E458" s="1410" t="str">
        <f aca="false">IF('V_DATOS PAC_SGA'!AV453="","Regadio",'V_DATOS PAC_SGA'!AV453)</f>
        <v>Regadio</v>
      </c>
      <c r="F458" s="1411" t="n">
        <f aca="false">'V_DATOS PAC_SGA'!BK453</f>
        <v>0</v>
      </c>
      <c r="G458" s="1412" t="n">
        <f aca="false">'V_DATOS PAC_SGA'!AN453</f>
        <v>0</v>
      </c>
      <c r="H458" s="1413" t="str">
        <f aca="false">IF(B458&gt;0,VLOOKUP(B458,'O_MN, PE_UTA_UGM 2024'!E$3:O$419,10),"")</f>
        <v/>
      </c>
      <c r="I458" s="1359" t="n">
        <f aca="false">'V_DATOS PAC_SGA'!BV453</f>
        <v>0</v>
      </c>
      <c r="J458" s="2" t="str">
        <f aca="false">IF(AND(J$4=$G458,J$6=$F458),$D458*J$5,"")</f>
        <v/>
      </c>
      <c r="K458" s="2" t="str">
        <f aca="false">IF(AND(K$4=$G458,K$6=$F458),$D458*K$5,"")</f>
        <v/>
      </c>
      <c r="L458" s="2" t="str">
        <f aca="false">IF(AND(L$4=$G458,L$6=$F458),$D458*L$5,"")</f>
        <v/>
      </c>
      <c r="M458" s="2" t="str">
        <f aca="false">IF(AND(M$4=$G458,M$6=$F458),$D458*M$5,"")</f>
        <v/>
      </c>
      <c r="N458" s="1478" t="n">
        <f aca="false">VLOOKUP(B458,'O_MN, PE_UTA_UGM 2024'!$E$2:$K$419,IF(G458&gt;1,6,7))</f>
        <v>0</v>
      </c>
      <c r="O458" s="1434" t="str">
        <f aca="false">IF($H458=O$4,$D458*$N458,"")</f>
        <v/>
      </c>
      <c r="P458" s="1435" t="str">
        <f aca="false">IF($H458=P$4,$D458*$N458,"")</f>
        <v/>
      </c>
      <c r="Q458" s="1435" t="str">
        <f aca="false">IF($H458=Q$4,$D458*$N458,"")</f>
        <v/>
      </c>
      <c r="R458" s="1435" t="str">
        <f aca="false">IF($H458=R$4,$D458*$N458,"")</f>
        <v/>
      </c>
      <c r="S458" s="1435" t="str">
        <f aca="false">IF($H458=S$4,$D458*$N458,"")</f>
        <v/>
      </c>
      <c r="T458" s="1435" t="str">
        <f aca="false">IF($H458=T$4,$D458*$N458,"")</f>
        <v/>
      </c>
      <c r="U458" s="1436" t="str">
        <f aca="false">IF($H458=U$4,$D458*$N458,"")</f>
        <v/>
      </c>
      <c r="V458" s="1472"/>
      <c r="W458" s="1471"/>
      <c r="X458" s="1471"/>
      <c r="Y458" s="1471"/>
      <c r="Z458" s="1471"/>
      <c r="AA458" s="1471"/>
      <c r="AB458" s="1473"/>
      <c r="AC458" s="1319"/>
      <c r="AD458" s="2" t="str">
        <f aca="false">IF(AND(AD$4=$G458,AD$6=$F458),$B458,"")</f>
        <v/>
      </c>
      <c r="AE458" s="2" t="str">
        <f aca="false">IF(AND(AE$4=$G458,AE$6=$F458),$B458,"")</f>
        <v/>
      </c>
      <c r="AF458" s="2" t="str">
        <f aca="false">IF(AND(AF$4=$G458,AF$6=$F458),$B458,"")</f>
        <v/>
      </c>
      <c r="AG458" s="2" t="str">
        <f aca="false">IF(AND(AG$4=$G458,AG$6=$F458),$B458,"")</f>
        <v/>
      </c>
      <c r="AI458" s="366"/>
      <c r="AL458" s="367"/>
      <c r="AO458" s="367"/>
      <c r="AR458" s="1411"/>
      <c r="AT458" s="1422"/>
      <c r="AU458" s="1411"/>
      <c r="AV458" s="1411"/>
      <c r="AW458" s="1423"/>
      <c r="AX458" s="1423"/>
      <c r="AZ458" s="1370"/>
      <c r="BA458" s="1370"/>
      <c r="BB458" s="1370"/>
      <c r="BC458" s="1370"/>
      <c r="BD458" s="1370"/>
      <c r="BE458" s="1370"/>
      <c r="BF458" s="1370"/>
      <c r="BG458" s="1370"/>
      <c r="BH458" s="1371"/>
      <c r="BI458" s="1371"/>
      <c r="BJ458" s="1371"/>
      <c r="BK458" s="1371"/>
      <c r="BM458" s="1411"/>
      <c r="BN458" s="1411"/>
      <c r="BO458" s="1425"/>
      <c r="BP458" s="1425"/>
      <c r="BQ458" s="1425"/>
      <c r="BR458" s="1425"/>
      <c r="BS458" s="1411"/>
      <c r="BT458" s="1411"/>
      <c r="BU458" s="1411"/>
      <c r="BV458" s="1411"/>
      <c r="BW458" s="1411"/>
      <c r="BX458" s="1411"/>
      <c r="BZ458" s="1438"/>
      <c r="CA458" s="1438"/>
      <c r="CB458" s="1496"/>
      <c r="CC458" s="1496"/>
      <c r="CD458" s="1496"/>
      <c r="CE458" s="1496"/>
      <c r="CF458" s="1438"/>
      <c r="CG458" s="1438"/>
      <c r="CH458" s="1438"/>
      <c r="CI458" s="1438"/>
      <c r="CJ458" s="1438"/>
      <c r="CK458" s="1438"/>
      <c r="CU458" s="1411"/>
      <c r="CV458" s="1411"/>
      <c r="CW458" s="1425"/>
      <c r="CX458" s="1425"/>
      <c r="CY458" s="1425"/>
      <c r="CZ458" s="1425"/>
      <c r="DA458" s="1411"/>
      <c r="DB458" s="1411"/>
      <c r="DC458" s="1411"/>
      <c r="DD458" s="1411"/>
      <c r="DE458" s="1411"/>
      <c r="DF458" s="1411"/>
      <c r="DH458" s="1432"/>
      <c r="DI458" s="1432"/>
      <c r="DJ458" s="1437"/>
      <c r="DK458" s="1437"/>
      <c r="DL458" s="1437"/>
      <c r="DM458" s="1437"/>
      <c r="DN458" s="1432"/>
      <c r="DO458" s="1432"/>
      <c r="DP458" s="1432"/>
      <c r="DQ458" s="1432"/>
      <c r="DR458" s="1432"/>
      <c r="DS458" s="1432"/>
      <c r="DT458" s="1316"/>
      <c r="DU458" s="1433"/>
      <c r="DV458" s="1433"/>
      <c r="DW458" s="1433"/>
      <c r="DX458" s="1433"/>
      <c r="DY458" s="1433"/>
      <c r="DZ458" s="1433"/>
      <c r="EA458" s="1433"/>
      <c r="EB458" s="1433"/>
    </row>
    <row r="459" customFormat="false" ht="14.25" hidden="false" customHeight="false" outlineLevel="0" collapsed="false">
      <c r="A459" s="2" t="n">
        <f aca="false">'V_DATOS PAC_SGA'!R454</f>
        <v>0</v>
      </c>
      <c r="B459" s="2" t="n">
        <f aca="false">IF(I459="IV",CONCATENATE('V_DATOS PAC_SGA'!R454,"4")+0,CONCATENATE('V_DATOS PAC_SGA'!R454,"0")+0)</f>
        <v>0</v>
      </c>
      <c r="C459" s="2" t="n">
        <f aca="false">'V_DATOS PAC_SGA'!S454</f>
        <v>0</v>
      </c>
      <c r="D459" s="1409" t="n">
        <f aca="false">'V_DATOS PAC_SGA'!Y454</f>
        <v>0</v>
      </c>
      <c r="E459" s="1410" t="str">
        <f aca="false">IF('V_DATOS PAC_SGA'!AV454="","Regadio",'V_DATOS PAC_SGA'!AV454)</f>
        <v>Regadio</v>
      </c>
      <c r="F459" s="1411" t="n">
        <f aca="false">'V_DATOS PAC_SGA'!BK454</f>
        <v>0</v>
      </c>
      <c r="G459" s="1412" t="n">
        <f aca="false">'V_DATOS PAC_SGA'!AN454</f>
        <v>0</v>
      </c>
      <c r="H459" s="1413" t="str">
        <f aca="false">IF(B459&gt;0,VLOOKUP(B459,'O_MN, PE_UTA_UGM 2024'!E$3:O$419,10),"")</f>
        <v/>
      </c>
      <c r="I459" s="1359" t="n">
        <f aca="false">'V_DATOS PAC_SGA'!BV454</f>
        <v>0</v>
      </c>
      <c r="J459" s="2" t="str">
        <f aca="false">IF(AND(J$4=$G459,J$6=$F459),$D459*J$5,"")</f>
        <v/>
      </c>
      <c r="K459" s="2" t="str">
        <f aca="false">IF(AND(K$4=$G459,K$6=$F459),$D459*K$5,"")</f>
        <v/>
      </c>
      <c r="L459" s="2" t="str">
        <f aca="false">IF(AND(L$4=$G459,L$6=$F459),$D459*L$5,"")</f>
        <v/>
      </c>
      <c r="M459" s="2" t="str">
        <f aca="false">IF(AND(M$4=$G459,M$6=$F459),$D459*M$5,"")</f>
        <v/>
      </c>
      <c r="N459" s="1478" t="n">
        <f aca="false">VLOOKUP(B459,'O_MN, PE_UTA_UGM 2024'!$E$2:$K$419,IF(G459&gt;1,6,7))</f>
        <v>0</v>
      </c>
      <c r="O459" s="1434" t="str">
        <f aca="false">IF($H459=O$4,$D459*$N459,"")</f>
        <v/>
      </c>
      <c r="P459" s="1435" t="str">
        <f aca="false">IF($H459=P$4,$D459*$N459,"")</f>
        <v/>
      </c>
      <c r="Q459" s="1435" t="str">
        <f aca="false">IF($H459=Q$4,$D459*$N459,"")</f>
        <v/>
      </c>
      <c r="R459" s="1435" t="str">
        <f aca="false">IF($H459=R$4,$D459*$N459,"")</f>
        <v/>
      </c>
      <c r="S459" s="1435" t="str">
        <f aca="false">IF($H459=S$4,$D459*$N459,"")</f>
        <v/>
      </c>
      <c r="T459" s="1435" t="str">
        <f aca="false">IF($H459=T$4,$D459*$N459,"")</f>
        <v/>
      </c>
      <c r="U459" s="1436" t="str">
        <f aca="false">IF($H459=U$4,$D459*$N459,"")</f>
        <v/>
      </c>
      <c r="V459" s="1472"/>
      <c r="W459" s="1471"/>
      <c r="X459" s="1471"/>
      <c r="Y459" s="1471"/>
      <c r="Z459" s="1471"/>
      <c r="AA459" s="1471"/>
      <c r="AB459" s="1473"/>
      <c r="AC459" s="1319"/>
      <c r="AD459" s="2" t="str">
        <f aca="false">IF(AND(AD$4=$G459,AD$6=$F459),$B459,"")</f>
        <v/>
      </c>
      <c r="AE459" s="2" t="str">
        <f aca="false">IF(AND(AE$4=$G459,AE$6=$F459),$B459,"")</f>
        <v/>
      </c>
      <c r="AF459" s="2" t="str">
        <f aca="false">IF(AND(AF$4=$G459,AF$6=$F459),$B459,"")</f>
        <v/>
      </c>
      <c r="AG459" s="2" t="str">
        <f aca="false">IF(AND(AG$4=$G459,AG$6=$F459),$B459,"")</f>
        <v/>
      </c>
      <c r="AI459" s="366"/>
      <c r="AL459" s="367"/>
      <c r="AO459" s="367"/>
      <c r="AR459" s="1411"/>
      <c r="AT459" s="1422"/>
      <c r="AU459" s="1411"/>
      <c r="AV459" s="1411"/>
      <c r="AW459" s="1423"/>
      <c r="AX459" s="1423"/>
      <c r="AZ459" s="1370"/>
      <c r="BA459" s="1370"/>
      <c r="BB459" s="1370"/>
      <c r="BC459" s="1370"/>
      <c r="BD459" s="1370"/>
      <c r="BE459" s="1370"/>
      <c r="BF459" s="1370"/>
      <c r="BG459" s="1370"/>
      <c r="BH459" s="1371"/>
      <c r="BI459" s="1371"/>
      <c r="BJ459" s="1371"/>
      <c r="BK459" s="1371"/>
      <c r="BM459" s="1411"/>
      <c r="BN459" s="1411"/>
      <c r="BO459" s="1425"/>
      <c r="BP459" s="1425"/>
      <c r="BQ459" s="1425"/>
      <c r="BR459" s="1425"/>
      <c r="BS459" s="1411"/>
      <c r="BT459" s="1411"/>
      <c r="BU459" s="1411"/>
      <c r="BV459" s="1411"/>
      <c r="BW459" s="1411"/>
      <c r="BX459" s="1411"/>
      <c r="BZ459" s="1438"/>
      <c r="CA459" s="1438"/>
      <c r="CB459" s="1496"/>
      <c r="CC459" s="1496"/>
      <c r="CD459" s="1496"/>
      <c r="CE459" s="1496"/>
      <c r="CF459" s="1438"/>
      <c r="CG459" s="1438"/>
      <c r="CH459" s="1438"/>
      <c r="CI459" s="1438"/>
      <c r="CJ459" s="1438"/>
      <c r="CK459" s="1438"/>
      <c r="CU459" s="1411"/>
      <c r="CV459" s="1411"/>
      <c r="CW459" s="1425"/>
      <c r="CX459" s="1425"/>
      <c r="CY459" s="1425"/>
      <c r="CZ459" s="1425"/>
      <c r="DA459" s="1411"/>
      <c r="DB459" s="1411"/>
      <c r="DC459" s="1411"/>
      <c r="DD459" s="1411"/>
      <c r="DE459" s="1411"/>
      <c r="DF459" s="1411"/>
      <c r="DH459" s="1432"/>
      <c r="DI459" s="1432"/>
      <c r="DJ459" s="1437"/>
      <c r="DK459" s="1437"/>
      <c r="DL459" s="1437"/>
      <c r="DM459" s="1437"/>
      <c r="DN459" s="1432"/>
      <c r="DO459" s="1432"/>
      <c r="DP459" s="1432"/>
      <c r="DQ459" s="1432"/>
      <c r="DR459" s="1432"/>
      <c r="DS459" s="1432"/>
      <c r="DT459" s="1316"/>
      <c r="DU459" s="1433"/>
      <c r="DV459" s="1433"/>
      <c r="DW459" s="1433"/>
      <c r="DX459" s="1433"/>
      <c r="DY459" s="1433"/>
      <c r="DZ459" s="1433"/>
      <c r="EA459" s="1433"/>
      <c r="EB459" s="1433"/>
    </row>
    <row r="460" customFormat="false" ht="14.25" hidden="false" customHeight="false" outlineLevel="0" collapsed="false">
      <c r="A460" s="2" t="n">
        <f aca="false">'V_DATOS PAC_SGA'!R455</f>
        <v>0</v>
      </c>
      <c r="B460" s="2" t="n">
        <f aca="false">IF(I460="IV",CONCATENATE('V_DATOS PAC_SGA'!R455,"4")+0,CONCATENATE('V_DATOS PAC_SGA'!R455,"0")+0)</f>
        <v>0</v>
      </c>
      <c r="C460" s="2" t="n">
        <f aca="false">'V_DATOS PAC_SGA'!S455</f>
        <v>0</v>
      </c>
      <c r="D460" s="1409" t="n">
        <f aca="false">'V_DATOS PAC_SGA'!Y455</f>
        <v>0</v>
      </c>
      <c r="E460" s="1410" t="str">
        <f aca="false">IF('V_DATOS PAC_SGA'!AV455="","Regadio",'V_DATOS PAC_SGA'!AV455)</f>
        <v>Regadio</v>
      </c>
      <c r="F460" s="1411" t="n">
        <f aca="false">'V_DATOS PAC_SGA'!BK455</f>
        <v>0</v>
      </c>
      <c r="G460" s="1412" t="n">
        <f aca="false">'V_DATOS PAC_SGA'!AN455</f>
        <v>0</v>
      </c>
      <c r="H460" s="1413" t="str">
        <f aca="false">IF(B460&gt;0,VLOOKUP(B460,'O_MN, PE_UTA_UGM 2024'!E$3:O$419,10),"")</f>
        <v/>
      </c>
      <c r="I460" s="1359" t="n">
        <f aca="false">'V_DATOS PAC_SGA'!BV455</f>
        <v>0</v>
      </c>
      <c r="J460" s="2" t="str">
        <f aca="false">IF(AND(J$4=$G460,J$6=$F460),$D460*J$5,"")</f>
        <v/>
      </c>
      <c r="K460" s="2" t="str">
        <f aca="false">IF(AND(K$4=$G460,K$6=$F460),$D460*K$5,"")</f>
        <v/>
      </c>
      <c r="L460" s="2" t="str">
        <f aca="false">IF(AND(L$4=$G460,L$6=$F460),$D460*L$5,"")</f>
        <v/>
      </c>
      <c r="M460" s="2" t="str">
        <f aca="false">IF(AND(M$4=$G460,M$6=$F460),$D460*M$5,"")</f>
        <v/>
      </c>
      <c r="N460" s="1478" t="n">
        <f aca="false">VLOOKUP(B460,'O_MN, PE_UTA_UGM 2024'!$E$2:$K$419,IF(G460&gt;1,6,7))</f>
        <v>0</v>
      </c>
      <c r="O460" s="1434" t="str">
        <f aca="false">IF($H460=O$4,$D460*$N460,"")</f>
        <v/>
      </c>
      <c r="P460" s="1435" t="str">
        <f aca="false">IF($H460=P$4,$D460*$N460,"")</f>
        <v/>
      </c>
      <c r="Q460" s="1435" t="str">
        <f aca="false">IF($H460=Q$4,$D460*$N460,"")</f>
        <v/>
      </c>
      <c r="R460" s="1435" t="str">
        <f aca="false">IF($H460=R$4,$D460*$N460,"")</f>
        <v/>
      </c>
      <c r="S460" s="1435" t="str">
        <f aca="false">IF($H460=S$4,$D460*$N460,"")</f>
        <v/>
      </c>
      <c r="T460" s="1435" t="str">
        <f aca="false">IF($H460=T$4,$D460*$N460,"")</f>
        <v/>
      </c>
      <c r="U460" s="1436" t="str">
        <f aca="false">IF($H460=U$4,$D460*$N460,"")</f>
        <v/>
      </c>
      <c r="V460" s="1472"/>
      <c r="W460" s="1471"/>
      <c r="X460" s="1471"/>
      <c r="Y460" s="1471"/>
      <c r="Z460" s="1471"/>
      <c r="AA460" s="1471"/>
      <c r="AB460" s="1473"/>
      <c r="AC460" s="1319"/>
      <c r="AD460" s="2" t="str">
        <f aca="false">IF(AND(AD$4=$G460,AD$6=$F460),$B460,"")</f>
        <v/>
      </c>
      <c r="AE460" s="2" t="str">
        <f aca="false">IF(AND(AE$4=$G460,AE$6=$F460),$B460,"")</f>
        <v/>
      </c>
      <c r="AF460" s="2" t="str">
        <f aca="false">IF(AND(AF$4=$G460,AF$6=$F460),$B460,"")</f>
        <v/>
      </c>
      <c r="AG460" s="2" t="str">
        <f aca="false">IF(AND(AG$4=$G460,AG$6=$F460),$B460,"")</f>
        <v/>
      </c>
      <c r="AI460" s="366"/>
      <c r="AL460" s="367"/>
      <c r="AO460" s="367"/>
      <c r="AR460" s="1411"/>
      <c r="AT460" s="1422"/>
      <c r="AU460" s="1411"/>
      <c r="AV460" s="1411"/>
      <c r="AW460" s="1423"/>
      <c r="AX460" s="1423"/>
      <c r="AZ460" s="1370"/>
      <c r="BA460" s="1370"/>
      <c r="BB460" s="1370"/>
      <c r="BC460" s="1370"/>
      <c r="BD460" s="1370"/>
      <c r="BE460" s="1370"/>
      <c r="BF460" s="1370"/>
      <c r="BG460" s="1370"/>
      <c r="BH460" s="1371"/>
      <c r="BI460" s="1371"/>
      <c r="BJ460" s="1371"/>
      <c r="BK460" s="1371"/>
      <c r="BM460" s="1411"/>
      <c r="BN460" s="1411"/>
      <c r="BO460" s="1425"/>
      <c r="BP460" s="1425"/>
      <c r="BQ460" s="1425"/>
      <c r="BR460" s="1425"/>
      <c r="BS460" s="1411"/>
      <c r="BT460" s="1411"/>
      <c r="BU460" s="1411"/>
      <c r="BV460" s="1411"/>
      <c r="BW460" s="1411"/>
      <c r="BX460" s="1411"/>
      <c r="BZ460" s="1438"/>
      <c r="CA460" s="1438"/>
      <c r="CB460" s="1496"/>
      <c r="CC460" s="1496"/>
      <c r="CD460" s="1496"/>
      <c r="CE460" s="1496"/>
      <c r="CF460" s="1438"/>
      <c r="CG460" s="1438"/>
      <c r="CH460" s="1438"/>
      <c r="CI460" s="1438"/>
      <c r="CJ460" s="1438"/>
      <c r="CK460" s="1438"/>
      <c r="CU460" s="1411"/>
      <c r="CV460" s="1411"/>
      <c r="CW460" s="1425"/>
      <c r="CX460" s="1425"/>
      <c r="CY460" s="1425"/>
      <c r="CZ460" s="1425"/>
      <c r="DA460" s="1411"/>
      <c r="DB460" s="1411"/>
      <c r="DC460" s="1411"/>
      <c r="DD460" s="1411"/>
      <c r="DE460" s="1411"/>
      <c r="DF460" s="1411"/>
      <c r="DH460" s="1432"/>
      <c r="DI460" s="1432"/>
      <c r="DJ460" s="1437"/>
      <c r="DK460" s="1437"/>
      <c r="DL460" s="1437"/>
      <c r="DM460" s="1437"/>
      <c r="DN460" s="1432"/>
      <c r="DO460" s="1432"/>
      <c r="DP460" s="1432"/>
      <c r="DQ460" s="1432"/>
      <c r="DR460" s="1432"/>
      <c r="DS460" s="1432"/>
      <c r="DT460" s="1316"/>
      <c r="DU460" s="1433"/>
      <c r="DV460" s="1433"/>
      <c r="DW460" s="1433"/>
      <c r="DX460" s="1433"/>
      <c r="DY460" s="1433"/>
      <c r="DZ460" s="1433"/>
      <c r="EA460" s="1433"/>
      <c r="EB460" s="1433"/>
    </row>
    <row r="461" customFormat="false" ht="14.25" hidden="false" customHeight="false" outlineLevel="0" collapsed="false">
      <c r="A461" s="2" t="n">
        <f aca="false">'V_DATOS PAC_SGA'!R456</f>
        <v>0</v>
      </c>
      <c r="B461" s="2" t="n">
        <f aca="false">IF(I461="IV",CONCATENATE('V_DATOS PAC_SGA'!R456,"4")+0,CONCATENATE('V_DATOS PAC_SGA'!R456,"0")+0)</f>
        <v>0</v>
      </c>
      <c r="C461" s="2" t="n">
        <f aca="false">'V_DATOS PAC_SGA'!S456</f>
        <v>0</v>
      </c>
      <c r="D461" s="1409" t="n">
        <f aca="false">'V_DATOS PAC_SGA'!Y456</f>
        <v>0</v>
      </c>
      <c r="E461" s="1410" t="str">
        <f aca="false">IF('V_DATOS PAC_SGA'!AV456="","Regadio",'V_DATOS PAC_SGA'!AV456)</f>
        <v>Regadio</v>
      </c>
      <c r="F461" s="1411" t="n">
        <f aca="false">'V_DATOS PAC_SGA'!BK456</f>
        <v>0</v>
      </c>
      <c r="G461" s="1412" t="n">
        <f aca="false">'V_DATOS PAC_SGA'!AN456</f>
        <v>0</v>
      </c>
      <c r="H461" s="1413" t="str">
        <f aca="false">IF(B461&gt;0,VLOOKUP(B461,'O_MN, PE_UTA_UGM 2024'!E$3:O$419,10),"")</f>
        <v/>
      </c>
      <c r="I461" s="1359" t="n">
        <f aca="false">'V_DATOS PAC_SGA'!BV456</f>
        <v>0</v>
      </c>
      <c r="J461" s="2" t="str">
        <f aca="false">IF(AND(J$4=$G461,J$6=$F461),$D461*J$5,"")</f>
        <v/>
      </c>
      <c r="K461" s="2" t="str">
        <f aca="false">IF(AND(K$4=$G461,K$6=$F461),$D461*K$5,"")</f>
        <v/>
      </c>
      <c r="L461" s="2" t="str">
        <f aca="false">IF(AND(L$4=$G461,L$6=$F461),$D461*L$5,"")</f>
        <v/>
      </c>
      <c r="M461" s="2" t="str">
        <f aca="false">IF(AND(M$4=$G461,M$6=$F461),$D461*M$5,"")</f>
        <v/>
      </c>
      <c r="N461" s="1478" t="n">
        <f aca="false">VLOOKUP(B461,'O_MN, PE_UTA_UGM 2024'!$E$2:$K$419,IF(G461&gt;1,6,7))</f>
        <v>0</v>
      </c>
      <c r="O461" s="1434" t="str">
        <f aca="false">IF($H461=O$4,$D461*$N461,"")</f>
        <v/>
      </c>
      <c r="P461" s="1435" t="str">
        <f aca="false">IF($H461=P$4,$D461*$N461,"")</f>
        <v/>
      </c>
      <c r="Q461" s="1435" t="str">
        <f aca="false">IF($H461=Q$4,$D461*$N461,"")</f>
        <v/>
      </c>
      <c r="R461" s="1435" t="str">
        <f aca="false">IF($H461=R$4,$D461*$N461,"")</f>
        <v/>
      </c>
      <c r="S461" s="1435" t="str">
        <f aca="false">IF($H461=S$4,$D461*$N461,"")</f>
        <v/>
      </c>
      <c r="T461" s="1435" t="str">
        <f aca="false">IF($H461=T$4,$D461*$N461,"")</f>
        <v/>
      </c>
      <c r="U461" s="1436" t="str">
        <f aca="false">IF($H461=U$4,$D461*$N461,"")</f>
        <v/>
      </c>
      <c r="V461" s="1472"/>
      <c r="W461" s="1471"/>
      <c r="X461" s="1471"/>
      <c r="Y461" s="1471"/>
      <c r="Z461" s="1471"/>
      <c r="AA461" s="1471"/>
      <c r="AB461" s="1473"/>
      <c r="AC461" s="1319"/>
      <c r="AD461" s="2" t="str">
        <f aca="false">IF(AND(AD$4=$G461,AD$6=$F461),$B461,"")</f>
        <v/>
      </c>
      <c r="AE461" s="2" t="str">
        <f aca="false">IF(AND(AE$4=$G461,AE$6=$F461),$B461,"")</f>
        <v/>
      </c>
      <c r="AF461" s="2" t="str">
        <f aca="false">IF(AND(AF$4=$G461,AF$6=$F461),$B461,"")</f>
        <v/>
      </c>
      <c r="AG461" s="2" t="str">
        <f aca="false">IF(AND(AG$4=$G461,AG$6=$F461),$B461,"")</f>
        <v/>
      </c>
      <c r="AI461" s="366"/>
      <c r="AL461" s="367"/>
      <c r="AO461" s="367"/>
      <c r="AR461" s="1411"/>
      <c r="AT461" s="1422"/>
      <c r="AU461" s="1411"/>
      <c r="AV461" s="1411"/>
      <c r="AW461" s="1423"/>
      <c r="AX461" s="1423"/>
      <c r="AZ461" s="1370"/>
      <c r="BA461" s="1370"/>
      <c r="BB461" s="1370"/>
      <c r="BC461" s="1370"/>
      <c r="BD461" s="1370"/>
      <c r="BE461" s="1370"/>
      <c r="BF461" s="1370"/>
      <c r="BG461" s="1370"/>
      <c r="BH461" s="1371"/>
      <c r="BI461" s="1371"/>
      <c r="BJ461" s="1371"/>
      <c r="BK461" s="1371"/>
      <c r="BM461" s="1411"/>
      <c r="BN461" s="1411"/>
      <c r="BO461" s="1425"/>
      <c r="BP461" s="1425"/>
      <c r="BQ461" s="1425"/>
      <c r="BR461" s="1425"/>
      <c r="BS461" s="1411"/>
      <c r="BT461" s="1411"/>
      <c r="BU461" s="1411"/>
      <c r="BV461" s="1411"/>
      <c r="BW461" s="1411"/>
      <c r="BX461" s="1411"/>
      <c r="BZ461" s="1438"/>
      <c r="CA461" s="1438"/>
      <c r="CB461" s="1496"/>
      <c r="CC461" s="1496"/>
      <c r="CD461" s="1496"/>
      <c r="CE461" s="1496"/>
      <c r="CF461" s="1438"/>
      <c r="CG461" s="1438"/>
      <c r="CH461" s="1438"/>
      <c r="CI461" s="1438"/>
      <c r="CJ461" s="1438"/>
      <c r="CK461" s="1438"/>
      <c r="CU461" s="1411"/>
      <c r="CV461" s="1411"/>
      <c r="CW461" s="1425"/>
      <c r="CX461" s="1425"/>
      <c r="CY461" s="1425"/>
      <c r="CZ461" s="1425"/>
      <c r="DA461" s="1411"/>
      <c r="DB461" s="1411"/>
      <c r="DC461" s="1411"/>
      <c r="DD461" s="1411"/>
      <c r="DE461" s="1411"/>
      <c r="DF461" s="1411"/>
      <c r="DH461" s="1432"/>
      <c r="DI461" s="1432"/>
      <c r="DJ461" s="1437"/>
      <c r="DK461" s="1437"/>
      <c r="DL461" s="1437"/>
      <c r="DM461" s="1437"/>
      <c r="DN461" s="1432"/>
      <c r="DO461" s="1432"/>
      <c r="DP461" s="1432"/>
      <c r="DQ461" s="1432"/>
      <c r="DR461" s="1432"/>
      <c r="DS461" s="1432"/>
      <c r="DT461" s="1316"/>
      <c r="DU461" s="1433"/>
      <c r="DV461" s="1433"/>
      <c r="DW461" s="1433"/>
      <c r="DX461" s="1433"/>
      <c r="DY461" s="1433"/>
      <c r="DZ461" s="1433"/>
      <c r="EA461" s="1433"/>
      <c r="EB461" s="1433"/>
    </row>
    <row r="462" customFormat="false" ht="14.25" hidden="false" customHeight="false" outlineLevel="0" collapsed="false">
      <c r="A462" s="2" t="n">
        <f aca="false">'V_DATOS PAC_SGA'!R457</f>
        <v>0</v>
      </c>
      <c r="B462" s="2" t="n">
        <f aca="false">IF(I462="IV",CONCATENATE('V_DATOS PAC_SGA'!R457,"4")+0,CONCATENATE('V_DATOS PAC_SGA'!R457,"0")+0)</f>
        <v>0</v>
      </c>
      <c r="C462" s="2" t="n">
        <f aca="false">'V_DATOS PAC_SGA'!S457</f>
        <v>0</v>
      </c>
      <c r="D462" s="1409" t="n">
        <f aca="false">'V_DATOS PAC_SGA'!Y457</f>
        <v>0</v>
      </c>
      <c r="E462" s="1410" t="str">
        <f aca="false">IF('V_DATOS PAC_SGA'!AV457="","Regadio",'V_DATOS PAC_SGA'!AV457)</f>
        <v>Regadio</v>
      </c>
      <c r="F462" s="1411" t="n">
        <f aca="false">'V_DATOS PAC_SGA'!BK457</f>
        <v>0</v>
      </c>
      <c r="G462" s="1412" t="n">
        <f aca="false">'V_DATOS PAC_SGA'!AN457</f>
        <v>0</v>
      </c>
      <c r="H462" s="1413" t="str">
        <f aca="false">IF(B462&gt;0,VLOOKUP(B462,'O_MN, PE_UTA_UGM 2024'!E$3:O$419,10),"")</f>
        <v/>
      </c>
      <c r="I462" s="1359" t="n">
        <f aca="false">'V_DATOS PAC_SGA'!BV457</f>
        <v>0</v>
      </c>
      <c r="J462" s="2" t="str">
        <f aca="false">IF(AND(J$4=$G462,J$6=$F462),$D462*J$5,"")</f>
        <v/>
      </c>
      <c r="K462" s="2" t="str">
        <f aca="false">IF(AND(K$4=$G462,K$6=$F462),$D462*K$5,"")</f>
        <v/>
      </c>
      <c r="L462" s="2" t="str">
        <f aca="false">IF(AND(L$4=$G462,L$6=$F462),$D462*L$5,"")</f>
        <v/>
      </c>
      <c r="M462" s="2" t="str">
        <f aca="false">IF(AND(M$4=$G462,M$6=$F462),$D462*M$5,"")</f>
        <v/>
      </c>
      <c r="N462" s="1478" t="n">
        <f aca="false">VLOOKUP(B462,'O_MN, PE_UTA_UGM 2024'!$E$2:$K$419,IF(G462&gt;1,6,7))</f>
        <v>0</v>
      </c>
      <c r="O462" s="1434" t="str">
        <f aca="false">IF($H462=O$4,$D462*$N462,"")</f>
        <v/>
      </c>
      <c r="P462" s="1435" t="str">
        <f aca="false">IF($H462=P$4,$D462*$N462,"")</f>
        <v/>
      </c>
      <c r="Q462" s="1435" t="str">
        <f aca="false">IF($H462=Q$4,$D462*$N462,"")</f>
        <v/>
      </c>
      <c r="R462" s="1435" t="str">
        <f aca="false">IF($H462=R$4,$D462*$N462,"")</f>
        <v/>
      </c>
      <c r="S462" s="1435" t="str">
        <f aca="false">IF($H462=S$4,$D462*$N462,"")</f>
        <v/>
      </c>
      <c r="T462" s="1435" t="str">
        <f aca="false">IF($H462=T$4,$D462*$N462,"")</f>
        <v/>
      </c>
      <c r="U462" s="1436" t="str">
        <f aca="false">IF($H462=U$4,$D462*$N462,"")</f>
        <v/>
      </c>
      <c r="V462" s="1472"/>
      <c r="W462" s="1471"/>
      <c r="X462" s="1471"/>
      <c r="Y462" s="1471"/>
      <c r="Z462" s="1471"/>
      <c r="AA462" s="1471"/>
      <c r="AB462" s="1473"/>
      <c r="AC462" s="1319"/>
      <c r="AD462" s="2" t="str">
        <f aca="false">IF(AND(AD$4=$G462,AD$6=$F462),$B462,"")</f>
        <v/>
      </c>
      <c r="AE462" s="2" t="str">
        <f aca="false">IF(AND(AE$4=$G462,AE$6=$F462),$B462,"")</f>
        <v/>
      </c>
      <c r="AF462" s="2" t="str">
        <f aca="false">IF(AND(AF$4=$G462,AF$6=$F462),$B462,"")</f>
        <v/>
      </c>
      <c r="AG462" s="2" t="str">
        <f aca="false">IF(AND(AG$4=$G462,AG$6=$F462),$B462,"")</f>
        <v/>
      </c>
      <c r="AI462" s="366"/>
      <c r="AL462" s="367"/>
      <c r="AO462" s="367"/>
      <c r="AR462" s="1411"/>
      <c r="AT462" s="1422"/>
      <c r="AU462" s="1411"/>
      <c r="AV462" s="1411"/>
      <c r="AW462" s="1423"/>
      <c r="AX462" s="1423"/>
      <c r="AZ462" s="1370"/>
      <c r="BA462" s="1370"/>
      <c r="BB462" s="1370"/>
      <c r="BC462" s="1370"/>
      <c r="BD462" s="1370"/>
      <c r="BE462" s="1370"/>
      <c r="BF462" s="1370"/>
      <c r="BG462" s="1370"/>
      <c r="BH462" s="1371"/>
      <c r="BI462" s="1371"/>
      <c r="BJ462" s="1371"/>
      <c r="BK462" s="1371"/>
      <c r="BM462" s="1411"/>
      <c r="BN462" s="1411"/>
      <c r="BO462" s="1425"/>
      <c r="BP462" s="1425"/>
      <c r="BQ462" s="1425"/>
      <c r="BR462" s="1425"/>
      <c r="BS462" s="1411"/>
      <c r="BT462" s="1411"/>
      <c r="BU462" s="1411"/>
      <c r="BV462" s="1411"/>
      <c r="BW462" s="1411"/>
      <c r="BX462" s="1411"/>
      <c r="BZ462" s="1438"/>
      <c r="CA462" s="1438"/>
      <c r="CB462" s="1496"/>
      <c r="CC462" s="1496"/>
      <c r="CD462" s="1496"/>
      <c r="CE462" s="1496"/>
      <c r="CF462" s="1438"/>
      <c r="CG462" s="1438"/>
      <c r="CH462" s="1438"/>
      <c r="CI462" s="1438"/>
      <c r="CJ462" s="1438"/>
      <c r="CK462" s="1438"/>
      <c r="CU462" s="1411"/>
      <c r="CV462" s="1411"/>
      <c r="CW462" s="1425"/>
      <c r="CX462" s="1425"/>
      <c r="CY462" s="1425"/>
      <c r="CZ462" s="1425"/>
      <c r="DA462" s="1411"/>
      <c r="DB462" s="1411"/>
      <c r="DC462" s="1411"/>
      <c r="DD462" s="1411"/>
      <c r="DE462" s="1411"/>
      <c r="DF462" s="1411"/>
      <c r="DH462" s="1432"/>
      <c r="DI462" s="1432"/>
      <c r="DJ462" s="1437"/>
      <c r="DK462" s="1437"/>
      <c r="DL462" s="1437"/>
      <c r="DM462" s="1437"/>
      <c r="DN462" s="1432"/>
      <c r="DO462" s="1432"/>
      <c r="DP462" s="1432"/>
      <c r="DQ462" s="1432"/>
      <c r="DR462" s="1432"/>
      <c r="DS462" s="1432"/>
      <c r="DT462" s="1316"/>
      <c r="DU462" s="1433"/>
      <c r="DV462" s="1433"/>
      <c r="DW462" s="1433"/>
      <c r="DX462" s="1433"/>
      <c r="DY462" s="1433"/>
      <c r="DZ462" s="1433"/>
      <c r="EA462" s="1433"/>
      <c r="EB462" s="1433"/>
    </row>
    <row r="463" customFormat="false" ht="14.25" hidden="false" customHeight="false" outlineLevel="0" collapsed="false">
      <c r="A463" s="2" t="n">
        <f aca="false">'V_DATOS PAC_SGA'!R458</f>
        <v>0</v>
      </c>
      <c r="B463" s="2" t="n">
        <f aca="false">IF(I463="IV",CONCATENATE('V_DATOS PAC_SGA'!R458,"4")+0,CONCATENATE('V_DATOS PAC_SGA'!R458,"0")+0)</f>
        <v>0</v>
      </c>
      <c r="C463" s="2" t="n">
        <f aca="false">'V_DATOS PAC_SGA'!S458</f>
        <v>0</v>
      </c>
      <c r="D463" s="1409" t="n">
        <f aca="false">'V_DATOS PAC_SGA'!Y458</f>
        <v>0</v>
      </c>
      <c r="E463" s="1410" t="str">
        <f aca="false">IF('V_DATOS PAC_SGA'!AV458="","Regadio",'V_DATOS PAC_SGA'!AV458)</f>
        <v>Regadio</v>
      </c>
      <c r="F463" s="1411" t="n">
        <f aca="false">'V_DATOS PAC_SGA'!BK458</f>
        <v>0</v>
      </c>
      <c r="G463" s="1412" t="n">
        <f aca="false">'V_DATOS PAC_SGA'!AN458</f>
        <v>0</v>
      </c>
      <c r="H463" s="1413" t="str">
        <f aca="false">IF(B463&gt;0,VLOOKUP(B463,'O_MN, PE_UTA_UGM 2024'!E$3:O$419,10),"")</f>
        <v/>
      </c>
      <c r="I463" s="1359" t="n">
        <f aca="false">'V_DATOS PAC_SGA'!BV458</f>
        <v>0</v>
      </c>
      <c r="J463" s="2" t="str">
        <f aca="false">IF(AND(J$4=$G463,J$6=$F463),$D463*J$5,"")</f>
        <v/>
      </c>
      <c r="K463" s="2" t="str">
        <f aca="false">IF(AND(K$4=$G463,K$6=$F463),$D463*K$5,"")</f>
        <v/>
      </c>
      <c r="L463" s="2" t="str">
        <f aca="false">IF(AND(L$4=$G463,L$6=$F463),$D463*L$5,"")</f>
        <v/>
      </c>
      <c r="M463" s="2" t="str">
        <f aca="false">IF(AND(M$4=$G463,M$6=$F463),$D463*M$5,"")</f>
        <v/>
      </c>
      <c r="N463" s="1478" t="n">
        <f aca="false">VLOOKUP(B463,'O_MN, PE_UTA_UGM 2024'!$E$2:$K$419,IF(G463&gt;1,6,7))</f>
        <v>0</v>
      </c>
      <c r="O463" s="1434" t="str">
        <f aca="false">IF($H463=O$4,$D463*$N463,"")</f>
        <v/>
      </c>
      <c r="P463" s="1435" t="str">
        <f aca="false">IF($H463=P$4,$D463*$N463,"")</f>
        <v/>
      </c>
      <c r="Q463" s="1435" t="str">
        <f aca="false">IF($H463=Q$4,$D463*$N463,"")</f>
        <v/>
      </c>
      <c r="R463" s="1435" t="str">
        <f aca="false">IF($H463=R$4,$D463*$N463,"")</f>
        <v/>
      </c>
      <c r="S463" s="1435" t="str">
        <f aca="false">IF($H463=S$4,$D463*$N463,"")</f>
        <v/>
      </c>
      <c r="T463" s="1435" t="str">
        <f aca="false">IF($H463=T$4,$D463*$N463,"")</f>
        <v/>
      </c>
      <c r="U463" s="1436" t="str">
        <f aca="false">IF($H463=U$4,$D463*$N463,"")</f>
        <v/>
      </c>
      <c r="V463" s="1472"/>
      <c r="W463" s="1471"/>
      <c r="X463" s="1471"/>
      <c r="Y463" s="1471"/>
      <c r="Z463" s="1471"/>
      <c r="AA463" s="1471"/>
      <c r="AB463" s="1473"/>
      <c r="AC463" s="1319"/>
      <c r="AD463" s="2" t="str">
        <f aca="false">IF(AND(AD$4=$G463,AD$6=$F463),$B463,"")</f>
        <v/>
      </c>
      <c r="AE463" s="2" t="str">
        <f aca="false">IF(AND(AE$4=$G463,AE$6=$F463),$B463,"")</f>
        <v/>
      </c>
      <c r="AF463" s="2" t="str">
        <f aca="false">IF(AND(AF$4=$G463,AF$6=$F463),$B463,"")</f>
        <v/>
      </c>
      <c r="AG463" s="2" t="str">
        <f aca="false">IF(AND(AG$4=$G463,AG$6=$F463),$B463,"")</f>
        <v/>
      </c>
      <c r="AI463" s="366"/>
      <c r="AL463" s="367"/>
      <c r="AO463" s="367"/>
      <c r="AR463" s="1411"/>
      <c r="AT463" s="1422"/>
      <c r="AU463" s="1411"/>
      <c r="AV463" s="1411"/>
      <c r="AW463" s="1423"/>
      <c r="AX463" s="1423"/>
      <c r="AZ463" s="1370"/>
      <c r="BA463" s="1370"/>
      <c r="BB463" s="1370"/>
      <c r="BC463" s="1370"/>
      <c r="BD463" s="1370"/>
      <c r="BE463" s="1370"/>
      <c r="BF463" s="1370"/>
      <c r="BG463" s="1370"/>
      <c r="BH463" s="1371"/>
      <c r="BI463" s="1371"/>
      <c r="BJ463" s="1371"/>
      <c r="BK463" s="1371"/>
      <c r="BM463" s="1411"/>
      <c r="BN463" s="1411"/>
      <c r="BO463" s="1425"/>
      <c r="BP463" s="1425"/>
      <c r="BQ463" s="1425"/>
      <c r="BR463" s="1425"/>
      <c r="BS463" s="1411"/>
      <c r="BT463" s="1411"/>
      <c r="BU463" s="1411"/>
      <c r="BV463" s="1411"/>
      <c r="BW463" s="1411"/>
      <c r="BX463" s="1411"/>
      <c r="BZ463" s="1438"/>
      <c r="CA463" s="1438"/>
      <c r="CB463" s="1496"/>
      <c r="CC463" s="1496"/>
      <c r="CD463" s="1496"/>
      <c r="CE463" s="1496"/>
      <c r="CF463" s="1438"/>
      <c r="CG463" s="1438"/>
      <c r="CH463" s="1438"/>
      <c r="CI463" s="1438"/>
      <c r="CJ463" s="1438"/>
      <c r="CK463" s="1438"/>
      <c r="CU463" s="1411"/>
      <c r="CV463" s="1411"/>
      <c r="CW463" s="1425"/>
      <c r="CX463" s="1425"/>
      <c r="CY463" s="1425"/>
      <c r="CZ463" s="1425"/>
      <c r="DA463" s="1411"/>
      <c r="DB463" s="1411"/>
      <c r="DC463" s="1411"/>
      <c r="DD463" s="1411"/>
      <c r="DE463" s="1411"/>
      <c r="DF463" s="1411"/>
      <c r="DH463" s="1432"/>
      <c r="DI463" s="1432"/>
      <c r="DJ463" s="1437"/>
      <c r="DK463" s="1437"/>
      <c r="DL463" s="1437"/>
      <c r="DM463" s="1437"/>
      <c r="DN463" s="1432"/>
      <c r="DO463" s="1432"/>
      <c r="DP463" s="1432"/>
      <c r="DQ463" s="1432"/>
      <c r="DR463" s="1432"/>
      <c r="DS463" s="1432"/>
      <c r="DT463" s="1316"/>
      <c r="DU463" s="1433"/>
      <c r="DV463" s="1433"/>
      <c r="DW463" s="1433"/>
      <c r="DX463" s="1433"/>
      <c r="DY463" s="1433"/>
      <c r="DZ463" s="1433"/>
      <c r="EA463" s="1433"/>
      <c r="EB463" s="1433"/>
    </row>
    <row r="464" customFormat="false" ht="14.25" hidden="false" customHeight="false" outlineLevel="0" collapsed="false">
      <c r="A464" s="2" t="n">
        <f aca="false">'V_DATOS PAC_SGA'!R459</f>
        <v>0</v>
      </c>
      <c r="B464" s="2" t="n">
        <f aca="false">IF(I464="IV",CONCATENATE('V_DATOS PAC_SGA'!R459,"4")+0,CONCATENATE('V_DATOS PAC_SGA'!R459,"0")+0)</f>
        <v>0</v>
      </c>
      <c r="C464" s="2" t="n">
        <f aca="false">'V_DATOS PAC_SGA'!S459</f>
        <v>0</v>
      </c>
      <c r="D464" s="1409" t="n">
        <f aca="false">'V_DATOS PAC_SGA'!Y459</f>
        <v>0</v>
      </c>
      <c r="E464" s="1410" t="str">
        <f aca="false">IF('V_DATOS PAC_SGA'!AV459="","Regadio",'V_DATOS PAC_SGA'!AV459)</f>
        <v>Regadio</v>
      </c>
      <c r="F464" s="1411" t="n">
        <f aca="false">'V_DATOS PAC_SGA'!BK459</f>
        <v>0</v>
      </c>
      <c r="G464" s="1412" t="n">
        <f aca="false">'V_DATOS PAC_SGA'!AN459</f>
        <v>0</v>
      </c>
      <c r="H464" s="1413" t="str">
        <f aca="false">IF(B464&gt;0,VLOOKUP(B464,'O_MN, PE_UTA_UGM 2024'!E$3:O$419,10),"")</f>
        <v/>
      </c>
      <c r="I464" s="1359" t="n">
        <f aca="false">'V_DATOS PAC_SGA'!BV459</f>
        <v>0</v>
      </c>
      <c r="J464" s="2" t="str">
        <f aca="false">IF(AND(J$4=$G464,J$6=$F464),$D464*J$5,"")</f>
        <v/>
      </c>
      <c r="K464" s="2" t="str">
        <f aca="false">IF(AND(K$4=$G464,K$6=$F464),$D464*K$5,"")</f>
        <v/>
      </c>
      <c r="L464" s="2" t="str">
        <f aca="false">IF(AND(L$4=$G464,L$6=$F464),$D464*L$5,"")</f>
        <v/>
      </c>
      <c r="M464" s="2" t="str">
        <f aca="false">IF(AND(M$4=$G464,M$6=$F464),$D464*M$5,"")</f>
        <v/>
      </c>
      <c r="N464" s="1478" t="n">
        <f aca="false">VLOOKUP(B464,'O_MN, PE_UTA_UGM 2024'!$E$2:$K$419,IF(G464&gt;1,6,7))</f>
        <v>0</v>
      </c>
      <c r="O464" s="1434" t="str">
        <f aca="false">IF($H464=O$4,$D464*$N464,"")</f>
        <v/>
      </c>
      <c r="P464" s="1435" t="str">
        <f aca="false">IF($H464=P$4,$D464*$N464,"")</f>
        <v/>
      </c>
      <c r="Q464" s="1435" t="str">
        <f aca="false">IF($H464=Q$4,$D464*$N464,"")</f>
        <v/>
      </c>
      <c r="R464" s="1435" t="str">
        <f aca="false">IF($H464=R$4,$D464*$N464,"")</f>
        <v/>
      </c>
      <c r="S464" s="1435" t="str">
        <f aca="false">IF($H464=S$4,$D464*$N464,"")</f>
        <v/>
      </c>
      <c r="T464" s="1435" t="str">
        <f aca="false">IF($H464=T$4,$D464*$N464,"")</f>
        <v/>
      </c>
      <c r="U464" s="1436" t="str">
        <f aca="false">IF($H464=U$4,$D464*$N464,"")</f>
        <v/>
      </c>
      <c r="V464" s="1472"/>
      <c r="W464" s="1471"/>
      <c r="X464" s="1471"/>
      <c r="Y464" s="1471"/>
      <c r="Z464" s="1471"/>
      <c r="AA464" s="1471"/>
      <c r="AB464" s="1473"/>
      <c r="AC464" s="1319"/>
      <c r="AD464" s="2" t="str">
        <f aca="false">IF(AND(AD$4=$G464,AD$6=$F464),$B464,"")</f>
        <v/>
      </c>
      <c r="AE464" s="2" t="str">
        <f aca="false">IF(AND(AE$4=$G464,AE$6=$F464),$B464,"")</f>
        <v/>
      </c>
      <c r="AF464" s="2" t="str">
        <f aca="false">IF(AND(AF$4=$G464,AF$6=$F464),$B464,"")</f>
        <v/>
      </c>
      <c r="AG464" s="2" t="str">
        <f aca="false">IF(AND(AG$4=$G464,AG$6=$F464),$B464,"")</f>
        <v/>
      </c>
      <c r="AI464" s="366"/>
      <c r="AL464" s="367"/>
      <c r="AO464" s="367"/>
      <c r="AR464" s="1411"/>
      <c r="AT464" s="1422"/>
      <c r="AU464" s="1411"/>
      <c r="AV464" s="1411"/>
      <c r="AW464" s="1423"/>
      <c r="AX464" s="1423"/>
      <c r="AZ464" s="1370"/>
      <c r="BA464" s="1370"/>
      <c r="BB464" s="1370"/>
      <c r="BC464" s="1370"/>
      <c r="BD464" s="1370"/>
      <c r="BE464" s="1370"/>
      <c r="BF464" s="1370"/>
      <c r="BG464" s="1370"/>
      <c r="BH464" s="1371"/>
      <c r="BI464" s="1371"/>
      <c r="BJ464" s="1371"/>
      <c r="BK464" s="1371"/>
      <c r="BM464" s="1411"/>
      <c r="BN464" s="1411"/>
      <c r="BO464" s="1425"/>
      <c r="BP464" s="1425"/>
      <c r="BQ464" s="1425"/>
      <c r="BR464" s="1425"/>
      <c r="BS464" s="1411"/>
      <c r="BT464" s="1411"/>
      <c r="BU464" s="1411"/>
      <c r="BV464" s="1411"/>
      <c r="BW464" s="1411"/>
      <c r="BX464" s="1411"/>
      <c r="BZ464" s="1438"/>
      <c r="CA464" s="1438"/>
      <c r="CB464" s="1496"/>
      <c r="CC464" s="1496"/>
      <c r="CD464" s="1496"/>
      <c r="CE464" s="1496"/>
      <c r="CF464" s="1438"/>
      <c r="CG464" s="1438"/>
      <c r="CH464" s="1438"/>
      <c r="CI464" s="1438"/>
      <c r="CJ464" s="1438"/>
      <c r="CK464" s="1438"/>
      <c r="CU464" s="1411"/>
      <c r="CV464" s="1411"/>
      <c r="CW464" s="1425"/>
      <c r="CX464" s="1425"/>
      <c r="CY464" s="1425"/>
      <c r="CZ464" s="1425"/>
      <c r="DA464" s="1411"/>
      <c r="DB464" s="1411"/>
      <c r="DC464" s="1411"/>
      <c r="DD464" s="1411"/>
      <c r="DE464" s="1411"/>
      <c r="DF464" s="1411"/>
      <c r="DH464" s="1432"/>
      <c r="DI464" s="1432"/>
      <c r="DJ464" s="1437"/>
      <c r="DK464" s="1437"/>
      <c r="DL464" s="1437"/>
      <c r="DM464" s="1437"/>
      <c r="DN464" s="1432"/>
      <c r="DO464" s="1432"/>
      <c r="DP464" s="1432"/>
      <c r="DQ464" s="1432"/>
      <c r="DR464" s="1432"/>
      <c r="DS464" s="1432"/>
      <c r="DT464" s="1316"/>
      <c r="DU464" s="1433"/>
      <c r="DV464" s="1433"/>
      <c r="DW464" s="1433"/>
      <c r="DX464" s="1433"/>
      <c r="DY464" s="1433"/>
      <c r="DZ464" s="1433"/>
      <c r="EA464" s="1433"/>
      <c r="EB464" s="1433"/>
    </row>
    <row r="465" customFormat="false" ht="14.25" hidden="false" customHeight="false" outlineLevel="0" collapsed="false">
      <c r="A465" s="2" t="n">
        <f aca="false">'V_DATOS PAC_SGA'!R460</f>
        <v>0</v>
      </c>
      <c r="B465" s="2" t="n">
        <f aca="false">IF(I465="IV",CONCATENATE('V_DATOS PAC_SGA'!R460,"4")+0,CONCATENATE('V_DATOS PAC_SGA'!R460,"0")+0)</f>
        <v>0</v>
      </c>
      <c r="C465" s="2" t="n">
        <f aca="false">'V_DATOS PAC_SGA'!S460</f>
        <v>0</v>
      </c>
      <c r="D465" s="1409" t="n">
        <f aca="false">'V_DATOS PAC_SGA'!Y460</f>
        <v>0</v>
      </c>
      <c r="E465" s="1410" t="str">
        <f aca="false">IF('V_DATOS PAC_SGA'!AV460="","Regadio",'V_DATOS PAC_SGA'!AV460)</f>
        <v>Regadio</v>
      </c>
      <c r="F465" s="1411" t="n">
        <f aca="false">'V_DATOS PAC_SGA'!BK460</f>
        <v>0</v>
      </c>
      <c r="G465" s="1412" t="n">
        <f aca="false">'V_DATOS PAC_SGA'!AN460</f>
        <v>0</v>
      </c>
      <c r="H465" s="1413" t="str">
        <f aca="false">IF(B465&gt;0,VLOOKUP(B465,'O_MN, PE_UTA_UGM 2024'!E$3:O$419,10),"")</f>
        <v/>
      </c>
      <c r="I465" s="1359" t="n">
        <f aca="false">'V_DATOS PAC_SGA'!BV460</f>
        <v>0</v>
      </c>
      <c r="J465" s="2" t="str">
        <f aca="false">IF(AND(J$4=$G465,J$6=$F465),$D465*J$5,"")</f>
        <v/>
      </c>
      <c r="K465" s="2" t="str">
        <f aca="false">IF(AND(K$4=$G465,K$6=$F465),$D465*K$5,"")</f>
        <v/>
      </c>
      <c r="L465" s="2" t="str">
        <f aca="false">IF(AND(L$4=$G465,L$6=$F465),$D465*L$5,"")</f>
        <v/>
      </c>
      <c r="M465" s="2" t="str">
        <f aca="false">IF(AND(M$4=$G465,M$6=$F465),$D465*M$5,"")</f>
        <v/>
      </c>
      <c r="N465" s="1478" t="n">
        <f aca="false">VLOOKUP(B465,'O_MN, PE_UTA_UGM 2024'!$E$2:$K$419,IF(G465&gt;1,6,7))</f>
        <v>0</v>
      </c>
      <c r="O465" s="1434" t="str">
        <f aca="false">IF($H465=O$4,$D465*$N465,"")</f>
        <v/>
      </c>
      <c r="P465" s="1435" t="str">
        <f aca="false">IF($H465=P$4,$D465*$N465,"")</f>
        <v/>
      </c>
      <c r="Q465" s="1435" t="str">
        <f aca="false">IF($H465=Q$4,$D465*$N465,"")</f>
        <v/>
      </c>
      <c r="R465" s="1435" t="str">
        <f aca="false">IF($H465=R$4,$D465*$N465,"")</f>
        <v/>
      </c>
      <c r="S465" s="1435" t="str">
        <f aca="false">IF($H465=S$4,$D465*$N465,"")</f>
        <v/>
      </c>
      <c r="T465" s="1435" t="str">
        <f aca="false">IF($H465=T$4,$D465*$N465,"")</f>
        <v/>
      </c>
      <c r="U465" s="1436" t="str">
        <f aca="false">IF($H465=U$4,$D465*$N465,"")</f>
        <v/>
      </c>
      <c r="V465" s="1472"/>
      <c r="W465" s="1471"/>
      <c r="X465" s="1471"/>
      <c r="Y465" s="1471"/>
      <c r="Z465" s="1471"/>
      <c r="AA465" s="1471"/>
      <c r="AB465" s="1473"/>
      <c r="AC465" s="1319"/>
      <c r="AD465" s="2" t="str">
        <f aca="false">IF(AND(AD$4=$G465,AD$6=$F465),$B465,"")</f>
        <v/>
      </c>
      <c r="AE465" s="2" t="str">
        <f aca="false">IF(AND(AE$4=$G465,AE$6=$F465),$B465,"")</f>
        <v/>
      </c>
      <c r="AF465" s="2" t="str">
        <f aca="false">IF(AND(AF$4=$G465,AF$6=$F465),$B465,"")</f>
        <v/>
      </c>
      <c r="AG465" s="2" t="str">
        <f aca="false">IF(AND(AG$4=$G465,AG$6=$F465),$B465,"")</f>
        <v/>
      </c>
      <c r="AI465" s="366"/>
      <c r="AL465" s="367"/>
      <c r="AO465" s="367"/>
      <c r="AR465" s="1411"/>
      <c r="AT465" s="1422"/>
      <c r="AU465" s="1411"/>
      <c r="AV465" s="1411"/>
      <c r="AW465" s="1423"/>
      <c r="AX465" s="1423"/>
      <c r="AZ465" s="1370"/>
      <c r="BA465" s="1370"/>
      <c r="BB465" s="1370"/>
      <c r="BC465" s="1370"/>
      <c r="BD465" s="1370"/>
      <c r="BE465" s="1370"/>
      <c r="BF465" s="1370"/>
      <c r="BG465" s="1370"/>
      <c r="BH465" s="1371"/>
      <c r="BI465" s="1371"/>
      <c r="BJ465" s="1371"/>
      <c r="BK465" s="1371"/>
      <c r="BM465" s="1411"/>
      <c r="BN465" s="1411"/>
      <c r="BO465" s="1425"/>
      <c r="BP465" s="1425"/>
      <c r="BQ465" s="1425"/>
      <c r="BR465" s="1425"/>
      <c r="BS465" s="1411"/>
      <c r="BT465" s="1411"/>
      <c r="BU465" s="1411"/>
      <c r="BV465" s="1411"/>
      <c r="BW465" s="1411"/>
      <c r="BX465" s="1411"/>
      <c r="BZ465" s="1438"/>
      <c r="CA465" s="1438"/>
      <c r="CB465" s="1496"/>
      <c r="CC465" s="1496"/>
      <c r="CD465" s="1496"/>
      <c r="CE465" s="1496"/>
      <c r="CF465" s="1438"/>
      <c r="CG465" s="1438"/>
      <c r="CH465" s="1438"/>
      <c r="CI465" s="1438"/>
      <c r="CJ465" s="1438"/>
      <c r="CK465" s="1438"/>
      <c r="CU465" s="1411"/>
      <c r="CV465" s="1411"/>
      <c r="CW465" s="1425"/>
      <c r="CX465" s="1425"/>
      <c r="CY465" s="1425"/>
      <c r="CZ465" s="1425"/>
      <c r="DA465" s="1411"/>
      <c r="DB465" s="1411"/>
      <c r="DC465" s="1411"/>
      <c r="DD465" s="1411"/>
      <c r="DE465" s="1411"/>
      <c r="DF465" s="1411"/>
      <c r="DH465" s="1432"/>
      <c r="DI465" s="1432"/>
      <c r="DJ465" s="1437"/>
      <c r="DK465" s="1437"/>
      <c r="DL465" s="1437"/>
      <c r="DM465" s="1437"/>
      <c r="DN465" s="1432"/>
      <c r="DO465" s="1432"/>
      <c r="DP465" s="1432"/>
      <c r="DQ465" s="1432"/>
      <c r="DR465" s="1432"/>
      <c r="DS465" s="1432"/>
      <c r="DT465" s="1316"/>
      <c r="DU465" s="1433"/>
      <c r="DV465" s="1433"/>
      <c r="DW465" s="1433"/>
      <c r="DX465" s="1433"/>
      <c r="DY465" s="1433"/>
      <c r="DZ465" s="1433"/>
      <c r="EA465" s="1433"/>
      <c r="EB465" s="1433"/>
    </row>
    <row r="466" customFormat="false" ht="14.25" hidden="false" customHeight="false" outlineLevel="0" collapsed="false">
      <c r="A466" s="2" t="n">
        <f aca="false">'V_DATOS PAC_SGA'!R461</f>
        <v>0</v>
      </c>
      <c r="B466" s="2" t="n">
        <f aca="false">IF(I466="IV",CONCATENATE('V_DATOS PAC_SGA'!R461,"4")+0,CONCATENATE('V_DATOS PAC_SGA'!R461,"0")+0)</f>
        <v>0</v>
      </c>
      <c r="C466" s="2" t="n">
        <f aca="false">'V_DATOS PAC_SGA'!S461</f>
        <v>0</v>
      </c>
      <c r="D466" s="1409" t="n">
        <f aca="false">'V_DATOS PAC_SGA'!Y461</f>
        <v>0</v>
      </c>
      <c r="E466" s="1410" t="str">
        <f aca="false">IF('V_DATOS PAC_SGA'!AV461="","Regadio",'V_DATOS PAC_SGA'!AV461)</f>
        <v>Regadio</v>
      </c>
      <c r="F466" s="1411" t="n">
        <f aca="false">'V_DATOS PAC_SGA'!BK461</f>
        <v>0</v>
      </c>
      <c r="G466" s="1412" t="n">
        <f aca="false">'V_DATOS PAC_SGA'!AN461</f>
        <v>0</v>
      </c>
      <c r="H466" s="1413" t="str">
        <f aca="false">IF(B466&gt;0,VLOOKUP(B466,'O_MN, PE_UTA_UGM 2024'!E$3:O$419,10),"")</f>
        <v/>
      </c>
      <c r="I466" s="1359" t="n">
        <f aca="false">'V_DATOS PAC_SGA'!BV461</f>
        <v>0</v>
      </c>
      <c r="J466" s="2" t="str">
        <f aca="false">IF(AND(J$4=$G466,J$6=$F466),$D466*J$5,"")</f>
        <v/>
      </c>
      <c r="K466" s="2" t="str">
        <f aca="false">IF(AND(K$4=$G466,K$6=$F466),$D466*K$5,"")</f>
        <v/>
      </c>
      <c r="L466" s="2" t="str">
        <f aca="false">IF(AND(L$4=$G466,L$6=$F466),$D466*L$5,"")</f>
        <v/>
      </c>
      <c r="M466" s="2" t="str">
        <f aca="false">IF(AND(M$4=$G466,M$6=$F466),$D466*M$5,"")</f>
        <v/>
      </c>
      <c r="N466" s="1478" t="n">
        <f aca="false">VLOOKUP(B466,'O_MN, PE_UTA_UGM 2024'!$E$2:$K$419,IF(G466&gt;1,6,7))</f>
        <v>0</v>
      </c>
      <c r="O466" s="1434" t="str">
        <f aca="false">IF($H466=O$4,$D466*$N466,"")</f>
        <v/>
      </c>
      <c r="P466" s="1435" t="str">
        <f aca="false">IF($H466=P$4,$D466*$N466,"")</f>
        <v/>
      </c>
      <c r="Q466" s="1435" t="str">
        <f aca="false">IF($H466=Q$4,$D466*$N466,"")</f>
        <v/>
      </c>
      <c r="R466" s="1435" t="str">
        <f aca="false">IF($H466=R$4,$D466*$N466,"")</f>
        <v/>
      </c>
      <c r="S466" s="1435" t="str">
        <f aca="false">IF($H466=S$4,$D466*$N466,"")</f>
        <v/>
      </c>
      <c r="T466" s="1435" t="str">
        <f aca="false">IF($H466=T$4,$D466*$N466,"")</f>
        <v/>
      </c>
      <c r="U466" s="1436" t="str">
        <f aca="false">IF($H466=U$4,$D466*$N466,"")</f>
        <v/>
      </c>
      <c r="V466" s="1472"/>
      <c r="W466" s="1471"/>
      <c r="X466" s="1471"/>
      <c r="Y466" s="1471"/>
      <c r="Z466" s="1471"/>
      <c r="AA466" s="1471"/>
      <c r="AB466" s="1473"/>
      <c r="AC466" s="1319"/>
      <c r="AD466" s="2" t="str">
        <f aca="false">IF(AND(AD$4=$G466,AD$6=$F466),$B466,"")</f>
        <v/>
      </c>
      <c r="AE466" s="2" t="str">
        <f aca="false">IF(AND(AE$4=$G466,AE$6=$F466),$B466,"")</f>
        <v/>
      </c>
      <c r="AF466" s="2" t="str">
        <f aca="false">IF(AND(AF$4=$G466,AF$6=$F466),$B466,"")</f>
        <v/>
      </c>
      <c r="AG466" s="2" t="str">
        <f aca="false">IF(AND(AG$4=$G466,AG$6=$F466),$B466,"")</f>
        <v/>
      </c>
      <c r="AI466" s="366"/>
      <c r="AL466" s="367"/>
      <c r="AO466" s="367"/>
      <c r="AR466" s="1411"/>
      <c r="AT466" s="1422"/>
      <c r="AU466" s="1411"/>
      <c r="AV466" s="1411"/>
      <c r="AW466" s="1423"/>
      <c r="AX466" s="1423"/>
      <c r="AZ466" s="1370"/>
      <c r="BA466" s="1370"/>
      <c r="BB466" s="1370"/>
      <c r="BC466" s="1370"/>
      <c r="BD466" s="1370"/>
      <c r="BE466" s="1370"/>
      <c r="BF466" s="1370"/>
      <c r="BG466" s="1370"/>
      <c r="BH466" s="1371"/>
      <c r="BI466" s="1371"/>
      <c r="BJ466" s="1371"/>
      <c r="BK466" s="1371"/>
      <c r="BM466" s="1411"/>
      <c r="BN466" s="1411"/>
      <c r="BO466" s="1425"/>
      <c r="BP466" s="1425"/>
      <c r="BQ466" s="1425"/>
      <c r="BR466" s="1425"/>
      <c r="BS466" s="1411"/>
      <c r="BT466" s="1411"/>
      <c r="BU466" s="1411"/>
      <c r="BV466" s="1411"/>
      <c r="BW466" s="1411"/>
      <c r="BX466" s="1411"/>
      <c r="BZ466" s="1438"/>
      <c r="CA466" s="1438"/>
      <c r="CB466" s="1496"/>
      <c r="CC466" s="1496"/>
      <c r="CD466" s="1496"/>
      <c r="CE466" s="1496"/>
      <c r="CF466" s="1438"/>
      <c r="CG466" s="1438"/>
      <c r="CH466" s="1438"/>
      <c r="CI466" s="1438"/>
      <c r="CJ466" s="1438"/>
      <c r="CK466" s="1438"/>
      <c r="CU466" s="1411"/>
      <c r="CV466" s="1411"/>
      <c r="CW466" s="1425"/>
      <c r="CX466" s="1425"/>
      <c r="CY466" s="1425"/>
      <c r="CZ466" s="1425"/>
      <c r="DA466" s="1411"/>
      <c r="DB466" s="1411"/>
      <c r="DC466" s="1411"/>
      <c r="DD466" s="1411"/>
      <c r="DE466" s="1411"/>
      <c r="DF466" s="1411"/>
      <c r="DH466" s="1432"/>
      <c r="DI466" s="1432"/>
      <c r="DJ466" s="1437"/>
      <c r="DK466" s="1437"/>
      <c r="DL466" s="1437"/>
      <c r="DM466" s="1437"/>
      <c r="DN466" s="1432"/>
      <c r="DO466" s="1432"/>
      <c r="DP466" s="1432"/>
      <c r="DQ466" s="1432"/>
      <c r="DR466" s="1432"/>
      <c r="DS466" s="1432"/>
      <c r="DT466" s="1316"/>
      <c r="DU466" s="1433"/>
      <c r="DV466" s="1433"/>
      <c r="DW466" s="1433"/>
      <c r="DX466" s="1433"/>
      <c r="DY466" s="1433"/>
      <c r="DZ466" s="1433"/>
      <c r="EA466" s="1433"/>
      <c r="EB466" s="1433"/>
    </row>
    <row r="467" customFormat="false" ht="14.25" hidden="false" customHeight="false" outlineLevel="0" collapsed="false">
      <c r="A467" s="2" t="n">
        <f aca="false">'V_DATOS PAC_SGA'!R462</f>
        <v>0</v>
      </c>
      <c r="B467" s="2" t="n">
        <f aca="false">IF(I467="IV",CONCATENATE('V_DATOS PAC_SGA'!R462,"4")+0,CONCATENATE('V_DATOS PAC_SGA'!R462,"0")+0)</f>
        <v>0</v>
      </c>
      <c r="C467" s="2" t="n">
        <f aca="false">'V_DATOS PAC_SGA'!S462</f>
        <v>0</v>
      </c>
      <c r="D467" s="1409" t="n">
        <f aca="false">'V_DATOS PAC_SGA'!Y462</f>
        <v>0</v>
      </c>
      <c r="E467" s="1410" t="str">
        <f aca="false">IF('V_DATOS PAC_SGA'!AV462="","Regadio",'V_DATOS PAC_SGA'!AV462)</f>
        <v>Regadio</v>
      </c>
      <c r="F467" s="1411" t="n">
        <f aca="false">'V_DATOS PAC_SGA'!BK462</f>
        <v>0</v>
      </c>
      <c r="G467" s="1412" t="n">
        <f aca="false">'V_DATOS PAC_SGA'!AN462</f>
        <v>0</v>
      </c>
      <c r="H467" s="1413" t="str">
        <f aca="false">IF(B467&gt;0,VLOOKUP(B467,'O_MN, PE_UTA_UGM 2024'!E$3:O$419,10),"")</f>
        <v/>
      </c>
      <c r="I467" s="1359" t="n">
        <f aca="false">'V_DATOS PAC_SGA'!BV462</f>
        <v>0</v>
      </c>
      <c r="J467" s="2" t="str">
        <f aca="false">IF(AND(J$4=$G467,J$6=$F467),$D467*J$5,"")</f>
        <v/>
      </c>
      <c r="K467" s="2" t="str">
        <f aca="false">IF(AND(K$4=$G467,K$6=$F467),$D467*K$5,"")</f>
        <v/>
      </c>
      <c r="L467" s="2" t="str">
        <f aca="false">IF(AND(L$4=$G467,L$6=$F467),$D467*L$5,"")</f>
        <v/>
      </c>
      <c r="M467" s="2" t="str">
        <f aca="false">IF(AND(M$4=$G467,M$6=$F467),$D467*M$5,"")</f>
        <v/>
      </c>
      <c r="N467" s="1478" t="n">
        <f aca="false">VLOOKUP(B467,'O_MN, PE_UTA_UGM 2024'!$E$2:$K$419,IF(G467&gt;1,6,7))</f>
        <v>0</v>
      </c>
      <c r="O467" s="1434" t="str">
        <f aca="false">IF($H467=O$4,$D467*$N467,"")</f>
        <v/>
      </c>
      <c r="P467" s="1435" t="str">
        <f aca="false">IF($H467=P$4,$D467*$N467,"")</f>
        <v/>
      </c>
      <c r="Q467" s="1435" t="str">
        <f aca="false">IF($H467=Q$4,$D467*$N467,"")</f>
        <v/>
      </c>
      <c r="R467" s="1435" t="str">
        <f aca="false">IF($H467=R$4,$D467*$N467,"")</f>
        <v/>
      </c>
      <c r="S467" s="1435" t="str">
        <f aca="false">IF($H467=S$4,$D467*$N467,"")</f>
        <v/>
      </c>
      <c r="T467" s="1435" t="str">
        <f aca="false">IF($H467=T$4,$D467*$N467,"")</f>
        <v/>
      </c>
      <c r="U467" s="1436" t="str">
        <f aca="false">IF($H467=U$4,$D467*$N467,"")</f>
        <v/>
      </c>
      <c r="V467" s="1472"/>
      <c r="W467" s="1471"/>
      <c r="X467" s="1471"/>
      <c r="Y467" s="1471"/>
      <c r="Z467" s="1471"/>
      <c r="AA467" s="1471"/>
      <c r="AB467" s="1473"/>
      <c r="AC467" s="1319"/>
      <c r="AD467" s="2" t="str">
        <f aca="false">IF(AND(AD$4=$G467,AD$6=$F467),$B467,"")</f>
        <v/>
      </c>
      <c r="AE467" s="2" t="str">
        <f aca="false">IF(AND(AE$4=$G467,AE$6=$F467),$B467,"")</f>
        <v/>
      </c>
      <c r="AF467" s="2" t="str">
        <f aca="false">IF(AND(AF$4=$G467,AF$6=$F467),$B467,"")</f>
        <v/>
      </c>
      <c r="AG467" s="2" t="str">
        <f aca="false">IF(AND(AG$4=$G467,AG$6=$F467),$B467,"")</f>
        <v/>
      </c>
      <c r="AI467" s="366"/>
      <c r="AL467" s="367"/>
      <c r="AO467" s="367"/>
      <c r="AR467" s="1411"/>
      <c r="AT467" s="1422"/>
      <c r="AU467" s="1411"/>
      <c r="AV467" s="1411"/>
      <c r="AW467" s="1423"/>
      <c r="AX467" s="1423"/>
      <c r="AZ467" s="1370"/>
      <c r="BA467" s="1370"/>
      <c r="BB467" s="1370"/>
      <c r="BC467" s="1370"/>
      <c r="BD467" s="1370"/>
      <c r="BE467" s="1370"/>
      <c r="BF467" s="1370"/>
      <c r="BG467" s="1370"/>
      <c r="BH467" s="1371"/>
      <c r="BI467" s="1371"/>
      <c r="BJ467" s="1371"/>
      <c r="BK467" s="1371"/>
      <c r="BM467" s="1411"/>
      <c r="BN467" s="1411"/>
      <c r="BO467" s="1425"/>
      <c r="BP467" s="1425"/>
      <c r="BQ467" s="1425"/>
      <c r="BR467" s="1425"/>
      <c r="BS467" s="1411"/>
      <c r="BT467" s="1411"/>
      <c r="BU467" s="1411"/>
      <c r="BV467" s="1411"/>
      <c r="BW467" s="1411"/>
      <c r="BX467" s="1411"/>
      <c r="BZ467" s="1438"/>
      <c r="CA467" s="1438"/>
      <c r="CB467" s="1496"/>
      <c r="CC467" s="1496"/>
      <c r="CD467" s="1496"/>
      <c r="CE467" s="1496"/>
      <c r="CF467" s="1438"/>
      <c r="CG467" s="1438"/>
      <c r="CH467" s="1438"/>
      <c r="CI467" s="1438"/>
      <c r="CJ467" s="1438"/>
      <c r="CK467" s="1438"/>
      <c r="CU467" s="1411"/>
      <c r="CV467" s="1411"/>
      <c r="CW467" s="1425"/>
      <c r="CX467" s="1425"/>
      <c r="CY467" s="1425"/>
      <c r="CZ467" s="1425"/>
      <c r="DA467" s="1411"/>
      <c r="DB467" s="1411"/>
      <c r="DC467" s="1411"/>
      <c r="DD467" s="1411"/>
      <c r="DE467" s="1411"/>
      <c r="DF467" s="1411"/>
      <c r="DH467" s="1432"/>
      <c r="DI467" s="1432"/>
      <c r="DJ467" s="1437"/>
      <c r="DK467" s="1437"/>
      <c r="DL467" s="1437"/>
      <c r="DM467" s="1437"/>
      <c r="DN467" s="1432"/>
      <c r="DO467" s="1432"/>
      <c r="DP467" s="1432"/>
      <c r="DQ467" s="1432"/>
      <c r="DR467" s="1432"/>
      <c r="DS467" s="1432"/>
      <c r="DT467" s="1316"/>
      <c r="DU467" s="1433"/>
      <c r="DV467" s="1433"/>
      <c r="DW467" s="1433"/>
      <c r="DX467" s="1433"/>
      <c r="DY467" s="1433"/>
      <c r="DZ467" s="1433"/>
      <c r="EA467" s="1433"/>
      <c r="EB467" s="1433"/>
    </row>
    <row r="468" customFormat="false" ht="14.25" hidden="false" customHeight="false" outlineLevel="0" collapsed="false">
      <c r="A468" s="2" t="n">
        <f aca="false">'V_DATOS PAC_SGA'!R463</f>
        <v>0</v>
      </c>
      <c r="B468" s="2" t="n">
        <f aca="false">IF(I468="IV",CONCATENATE('V_DATOS PAC_SGA'!R463,"4")+0,CONCATENATE('V_DATOS PAC_SGA'!R463,"0")+0)</f>
        <v>0</v>
      </c>
      <c r="C468" s="2" t="n">
        <f aca="false">'V_DATOS PAC_SGA'!S463</f>
        <v>0</v>
      </c>
      <c r="D468" s="1409" t="n">
        <f aca="false">'V_DATOS PAC_SGA'!Y463</f>
        <v>0</v>
      </c>
      <c r="E468" s="1410" t="str">
        <f aca="false">IF('V_DATOS PAC_SGA'!AV463="","Regadio",'V_DATOS PAC_SGA'!AV463)</f>
        <v>Regadio</v>
      </c>
      <c r="F468" s="1411" t="n">
        <f aca="false">'V_DATOS PAC_SGA'!BK463</f>
        <v>0</v>
      </c>
      <c r="G468" s="1412" t="n">
        <f aca="false">'V_DATOS PAC_SGA'!AN463</f>
        <v>0</v>
      </c>
      <c r="H468" s="1413" t="str">
        <f aca="false">IF(B468&gt;0,VLOOKUP(B468,'O_MN, PE_UTA_UGM 2024'!E$3:O$419,10),"")</f>
        <v/>
      </c>
      <c r="I468" s="1359" t="n">
        <f aca="false">'V_DATOS PAC_SGA'!BV463</f>
        <v>0</v>
      </c>
      <c r="J468" s="2" t="str">
        <f aca="false">IF(AND(J$4=$G468,J$6=$F468),$D468*J$5,"")</f>
        <v/>
      </c>
      <c r="K468" s="2" t="str">
        <f aca="false">IF(AND(K$4=$G468,K$6=$F468),$D468*K$5,"")</f>
        <v/>
      </c>
      <c r="L468" s="2" t="str">
        <f aca="false">IF(AND(L$4=$G468,L$6=$F468),$D468*L$5,"")</f>
        <v/>
      </c>
      <c r="M468" s="2" t="str">
        <f aca="false">IF(AND(M$4=$G468,M$6=$F468),$D468*M$5,"")</f>
        <v/>
      </c>
      <c r="N468" s="1478" t="n">
        <f aca="false">VLOOKUP(B468,'O_MN, PE_UTA_UGM 2024'!$E$2:$K$419,IF(G468&gt;1,6,7))</f>
        <v>0</v>
      </c>
      <c r="O468" s="1434" t="str">
        <f aca="false">IF($H468=O$4,$D468*$N468,"")</f>
        <v/>
      </c>
      <c r="P468" s="1435" t="str">
        <f aca="false">IF($H468=P$4,$D468*$N468,"")</f>
        <v/>
      </c>
      <c r="Q468" s="1435" t="str">
        <f aca="false">IF($H468=Q$4,$D468*$N468,"")</f>
        <v/>
      </c>
      <c r="R468" s="1435" t="str">
        <f aca="false">IF($H468=R$4,$D468*$N468,"")</f>
        <v/>
      </c>
      <c r="S468" s="1435" t="str">
        <f aca="false">IF($H468=S$4,$D468*$N468,"")</f>
        <v/>
      </c>
      <c r="T468" s="1435" t="str">
        <f aca="false">IF($H468=T$4,$D468*$N468,"")</f>
        <v/>
      </c>
      <c r="U468" s="1436" t="str">
        <f aca="false">IF($H468=U$4,$D468*$N468,"")</f>
        <v/>
      </c>
      <c r="V468" s="1472"/>
      <c r="W468" s="1471"/>
      <c r="X468" s="1471"/>
      <c r="Y468" s="1471"/>
      <c r="Z468" s="1471"/>
      <c r="AA468" s="1471"/>
      <c r="AB468" s="1473"/>
      <c r="AC468" s="1319"/>
      <c r="AD468" s="2" t="str">
        <f aca="false">IF(AND(AD$4=$G468,AD$6=$F468),$B468,"")</f>
        <v/>
      </c>
      <c r="AE468" s="2" t="str">
        <f aca="false">IF(AND(AE$4=$G468,AE$6=$F468),$B468,"")</f>
        <v/>
      </c>
      <c r="AF468" s="2" t="str">
        <f aca="false">IF(AND(AF$4=$G468,AF$6=$F468),$B468,"")</f>
        <v/>
      </c>
      <c r="AG468" s="2" t="str">
        <f aca="false">IF(AND(AG$4=$G468,AG$6=$F468),$B468,"")</f>
        <v/>
      </c>
      <c r="AI468" s="366"/>
      <c r="AL468" s="367"/>
      <c r="AO468" s="367"/>
      <c r="AR468" s="1411"/>
      <c r="AT468" s="1422"/>
      <c r="AU468" s="1411"/>
      <c r="AV468" s="1411"/>
      <c r="AW468" s="1423"/>
      <c r="AX468" s="1423"/>
      <c r="AZ468" s="1370"/>
      <c r="BA468" s="1370"/>
      <c r="BB468" s="1370"/>
      <c r="BC468" s="1370"/>
      <c r="BD468" s="1370"/>
      <c r="BE468" s="1370"/>
      <c r="BF468" s="1370"/>
      <c r="BG468" s="1370"/>
      <c r="BH468" s="1371"/>
      <c r="BI468" s="1371"/>
      <c r="BJ468" s="1371"/>
      <c r="BK468" s="1371"/>
      <c r="BM468" s="1411"/>
      <c r="BN468" s="1411"/>
      <c r="BO468" s="1425"/>
      <c r="BP468" s="1425"/>
      <c r="BQ468" s="1425"/>
      <c r="BR468" s="1425"/>
      <c r="BS468" s="1411"/>
      <c r="BT468" s="1411"/>
      <c r="BU468" s="1411"/>
      <c r="BV468" s="1411"/>
      <c r="BW468" s="1411"/>
      <c r="BX468" s="1411"/>
      <c r="BZ468" s="1438"/>
      <c r="CA468" s="1438"/>
      <c r="CB468" s="1496"/>
      <c r="CC468" s="1496"/>
      <c r="CD468" s="1496"/>
      <c r="CE468" s="1496"/>
      <c r="CF468" s="1438"/>
      <c r="CG468" s="1438"/>
      <c r="CH468" s="1438"/>
      <c r="CI468" s="1438"/>
      <c r="CJ468" s="1438"/>
      <c r="CK468" s="1438"/>
      <c r="CU468" s="1411"/>
      <c r="CV468" s="1411"/>
      <c r="CW468" s="1425"/>
      <c r="CX468" s="1425"/>
      <c r="CY468" s="1425"/>
      <c r="CZ468" s="1425"/>
      <c r="DA468" s="1411"/>
      <c r="DB468" s="1411"/>
      <c r="DC468" s="1411"/>
      <c r="DD468" s="1411"/>
      <c r="DE468" s="1411"/>
      <c r="DF468" s="1411"/>
      <c r="DH468" s="1432"/>
      <c r="DI468" s="1432"/>
      <c r="DJ468" s="1437"/>
      <c r="DK468" s="1437"/>
      <c r="DL468" s="1437"/>
      <c r="DM468" s="1437"/>
      <c r="DN468" s="1432"/>
      <c r="DO468" s="1432"/>
      <c r="DP468" s="1432"/>
      <c r="DQ468" s="1432"/>
      <c r="DR468" s="1432"/>
      <c r="DS468" s="1432"/>
      <c r="DT468" s="1316"/>
      <c r="DU468" s="1433"/>
      <c r="DV468" s="1433"/>
      <c r="DW468" s="1433"/>
      <c r="DX468" s="1433"/>
      <c r="DY468" s="1433"/>
      <c r="DZ468" s="1433"/>
      <c r="EA468" s="1433"/>
      <c r="EB468" s="1433"/>
    </row>
    <row r="469" customFormat="false" ht="14.25" hidden="false" customHeight="false" outlineLevel="0" collapsed="false">
      <c r="A469" s="2" t="n">
        <f aca="false">'V_DATOS PAC_SGA'!R464</f>
        <v>0</v>
      </c>
      <c r="B469" s="2" t="n">
        <f aca="false">IF(I469="IV",CONCATENATE('V_DATOS PAC_SGA'!R464,"4")+0,CONCATENATE('V_DATOS PAC_SGA'!R464,"0")+0)</f>
        <v>0</v>
      </c>
      <c r="C469" s="2" t="n">
        <f aca="false">'V_DATOS PAC_SGA'!S464</f>
        <v>0</v>
      </c>
      <c r="D469" s="1409" t="n">
        <f aca="false">'V_DATOS PAC_SGA'!Y464</f>
        <v>0</v>
      </c>
      <c r="E469" s="1410" t="str">
        <f aca="false">IF('V_DATOS PAC_SGA'!AV464="","Regadio",'V_DATOS PAC_SGA'!AV464)</f>
        <v>Regadio</v>
      </c>
      <c r="F469" s="1411" t="n">
        <f aca="false">'V_DATOS PAC_SGA'!BK464</f>
        <v>0</v>
      </c>
      <c r="G469" s="1412" t="n">
        <f aca="false">'V_DATOS PAC_SGA'!AN464</f>
        <v>0</v>
      </c>
      <c r="H469" s="1413" t="str">
        <f aca="false">IF(B469&gt;0,VLOOKUP(B469,'O_MN, PE_UTA_UGM 2024'!E$3:O$419,10),"")</f>
        <v/>
      </c>
      <c r="I469" s="1359" t="n">
        <f aca="false">'V_DATOS PAC_SGA'!BV464</f>
        <v>0</v>
      </c>
      <c r="J469" s="2" t="str">
        <f aca="false">IF(AND(J$4=$G469,J$6=$F469),$D469*J$5,"")</f>
        <v/>
      </c>
      <c r="K469" s="2" t="str">
        <f aca="false">IF(AND(K$4=$G469,K$6=$F469),$D469*K$5,"")</f>
        <v/>
      </c>
      <c r="L469" s="2" t="str">
        <f aca="false">IF(AND(L$4=$G469,L$6=$F469),$D469*L$5,"")</f>
        <v/>
      </c>
      <c r="M469" s="2" t="str">
        <f aca="false">IF(AND(M$4=$G469,M$6=$F469),$D469*M$5,"")</f>
        <v/>
      </c>
      <c r="N469" s="1478" t="n">
        <f aca="false">VLOOKUP(B469,'O_MN, PE_UTA_UGM 2024'!$E$2:$K$419,IF(G469&gt;1,6,7))</f>
        <v>0</v>
      </c>
      <c r="O469" s="1434" t="str">
        <f aca="false">IF($H469=O$4,$D469*$N469,"")</f>
        <v/>
      </c>
      <c r="P469" s="1435" t="str">
        <f aca="false">IF($H469=P$4,$D469*$N469,"")</f>
        <v/>
      </c>
      <c r="Q469" s="1435" t="str">
        <f aca="false">IF($H469=Q$4,$D469*$N469,"")</f>
        <v/>
      </c>
      <c r="R469" s="1435" t="str">
        <f aca="false">IF($H469=R$4,$D469*$N469,"")</f>
        <v/>
      </c>
      <c r="S469" s="1435" t="str">
        <f aca="false">IF($H469=S$4,$D469*$N469,"")</f>
        <v/>
      </c>
      <c r="T469" s="1435" t="str">
        <f aca="false">IF($H469=T$4,$D469*$N469,"")</f>
        <v/>
      </c>
      <c r="U469" s="1436" t="str">
        <f aca="false">IF($H469=U$4,$D469*$N469,"")</f>
        <v/>
      </c>
      <c r="V469" s="1472"/>
      <c r="W469" s="1471"/>
      <c r="X469" s="1471"/>
      <c r="Y469" s="1471"/>
      <c r="Z469" s="1471"/>
      <c r="AA469" s="1471"/>
      <c r="AB469" s="1473"/>
      <c r="AC469" s="1319"/>
      <c r="AD469" s="2" t="str">
        <f aca="false">IF(AND(AD$4=$G469,AD$6=$F469),$B469,"")</f>
        <v/>
      </c>
      <c r="AE469" s="2" t="str">
        <f aca="false">IF(AND(AE$4=$G469,AE$6=$F469),$B469,"")</f>
        <v/>
      </c>
      <c r="AF469" s="2" t="str">
        <f aca="false">IF(AND(AF$4=$G469,AF$6=$F469),$B469,"")</f>
        <v/>
      </c>
      <c r="AG469" s="2" t="str">
        <f aca="false">IF(AND(AG$4=$G469,AG$6=$F469),$B469,"")</f>
        <v/>
      </c>
      <c r="AI469" s="366"/>
      <c r="AL469" s="367"/>
      <c r="AO469" s="367"/>
      <c r="AR469" s="1411"/>
      <c r="AT469" s="1422"/>
      <c r="AU469" s="1411"/>
      <c r="AV469" s="1411"/>
      <c r="AW469" s="1423"/>
      <c r="AX469" s="1423"/>
      <c r="AZ469" s="1370"/>
      <c r="BA469" s="1370"/>
      <c r="BB469" s="1370"/>
      <c r="BC469" s="1370"/>
      <c r="BD469" s="1370"/>
      <c r="BE469" s="1370"/>
      <c r="BF469" s="1370"/>
      <c r="BG469" s="1370"/>
      <c r="BH469" s="1371"/>
      <c r="BI469" s="1371"/>
      <c r="BJ469" s="1371"/>
      <c r="BK469" s="1371"/>
      <c r="BM469" s="1411"/>
      <c r="BN469" s="1411"/>
      <c r="BO469" s="1425"/>
      <c r="BP469" s="1425"/>
      <c r="BQ469" s="1425"/>
      <c r="BR469" s="1425"/>
      <c r="BS469" s="1411"/>
      <c r="BT469" s="1411"/>
      <c r="BU469" s="1411"/>
      <c r="BV469" s="1411"/>
      <c r="BW469" s="1411"/>
      <c r="BX469" s="1411"/>
      <c r="BZ469" s="1438"/>
      <c r="CA469" s="1438"/>
      <c r="CB469" s="1496"/>
      <c r="CC469" s="1496"/>
      <c r="CD469" s="1496"/>
      <c r="CE469" s="1496"/>
      <c r="CF469" s="1438"/>
      <c r="CG469" s="1438"/>
      <c r="CH469" s="1438"/>
      <c r="CI469" s="1438"/>
      <c r="CJ469" s="1438"/>
      <c r="CK469" s="1438"/>
      <c r="CU469" s="1411"/>
      <c r="CV469" s="1411"/>
      <c r="CW469" s="1425"/>
      <c r="CX469" s="1425"/>
      <c r="CY469" s="1425"/>
      <c r="CZ469" s="1425"/>
      <c r="DA469" s="1411"/>
      <c r="DB469" s="1411"/>
      <c r="DC469" s="1411"/>
      <c r="DD469" s="1411"/>
      <c r="DE469" s="1411"/>
      <c r="DF469" s="1411"/>
      <c r="DH469" s="1432"/>
      <c r="DI469" s="1432"/>
      <c r="DJ469" s="1437"/>
      <c r="DK469" s="1437"/>
      <c r="DL469" s="1437"/>
      <c r="DM469" s="1437"/>
      <c r="DN469" s="1432"/>
      <c r="DO469" s="1432"/>
      <c r="DP469" s="1432"/>
      <c r="DQ469" s="1432"/>
      <c r="DR469" s="1432"/>
      <c r="DS469" s="1432"/>
      <c r="DT469" s="1316"/>
      <c r="DU469" s="1433"/>
      <c r="DV469" s="1433"/>
      <c r="DW469" s="1433"/>
      <c r="DX469" s="1433"/>
      <c r="DY469" s="1433"/>
      <c r="DZ469" s="1433"/>
      <c r="EA469" s="1433"/>
      <c r="EB469" s="1433"/>
    </row>
    <row r="470" customFormat="false" ht="14.25" hidden="false" customHeight="false" outlineLevel="0" collapsed="false">
      <c r="A470" s="2" t="n">
        <f aca="false">'V_DATOS PAC_SGA'!R465</f>
        <v>0</v>
      </c>
      <c r="B470" s="2" t="n">
        <f aca="false">IF(I470="IV",CONCATENATE('V_DATOS PAC_SGA'!R465,"4")+0,CONCATENATE('V_DATOS PAC_SGA'!R465,"0")+0)</f>
        <v>0</v>
      </c>
      <c r="C470" s="2" t="n">
        <f aca="false">'V_DATOS PAC_SGA'!S465</f>
        <v>0</v>
      </c>
      <c r="D470" s="1409" t="n">
        <f aca="false">'V_DATOS PAC_SGA'!Y465</f>
        <v>0</v>
      </c>
      <c r="E470" s="1410" t="str">
        <f aca="false">IF('V_DATOS PAC_SGA'!AV465="","Regadio",'V_DATOS PAC_SGA'!AV465)</f>
        <v>Regadio</v>
      </c>
      <c r="F470" s="1411" t="n">
        <f aca="false">'V_DATOS PAC_SGA'!BK465</f>
        <v>0</v>
      </c>
      <c r="G470" s="1412" t="n">
        <f aca="false">'V_DATOS PAC_SGA'!AN465</f>
        <v>0</v>
      </c>
      <c r="H470" s="1413" t="str">
        <f aca="false">IF(B470&gt;0,VLOOKUP(B470,'O_MN, PE_UTA_UGM 2024'!E$3:O$419,10),"")</f>
        <v/>
      </c>
      <c r="I470" s="1359" t="n">
        <f aca="false">'V_DATOS PAC_SGA'!BV465</f>
        <v>0</v>
      </c>
      <c r="J470" s="2" t="str">
        <f aca="false">IF(AND(J$4=$G470,J$6=$F470),$D470*J$5,"")</f>
        <v/>
      </c>
      <c r="K470" s="2" t="str">
        <f aca="false">IF(AND(K$4=$G470,K$6=$F470),$D470*K$5,"")</f>
        <v/>
      </c>
      <c r="L470" s="2" t="str">
        <f aca="false">IF(AND(L$4=$G470,L$6=$F470),$D470*L$5,"")</f>
        <v/>
      </c>
      <c r="M470" s="2" t="str">
        <f aca="false">IF(AND(M$4=$G470,M$6=$F470),$D470*M$5,"")</f>
        <v/>
      </c>
      <c r="N470" s="1478" t="n">
        <f aca="false">VLOOKUP(B470,'O_MN, PE_UTA_UGM 2024'!$E$2:$K$419,IF(G470&gt;1,6,7))</f>
        <v>0</v>
      </c>
      <c r="O470" s="1434" t="str">
        <f aca="false">IF($H470=O$4,$D470*$N470,"")</f>
        <v/>
      </c>
      <c r="P470" s="1435" t="str">
        <f aca="false">IF($H470=P$4,$D470*$N470,"")</f>
        <v/>
      </c>
      <c r="Q470" s="1435" t="str">
        <f aca="false">IF($H470=Q$4,$D470*$N470,"")</f>
        <v/>
      </c>
      <c r="R470" s="1435" t="str">
        <f aca="false">IF($H470=R$4,$D470*$N470,"")</f>
        <v/>
      </c>
      <c r="S470" s="1435" t="str">
        <f aca="false">IF($H470=S$4,$D470*$N470,"")</f>
        <v/>
      </c>
      <c r="T470" s="1435" t="str">
        <f aca="false">IF($H470=T$4,$D470*$N470,"")</f>
        <v/>
      </c>
      <c r="U470" s="1436" t="str">
        <f aca="false">IF($H470=U$4,$D470*$N470,"")</f>
        <v/>
      </c>
      <c r="V470" s="1472"/>
      <c r="W470" s="1471"/>
      <c r="X470" s="1471"/>
      <c r="Y470" s="1471"/>
      <c r="Z470" s="1471"/>
      <c r="AA470" s="1471"/>
      <c r="AB470" s="1473"/>
      <c r="AC470" s="1319"/>
      <c r="AD470" s="2" t="str">
        <f aca="false">IF(AND(AD$4=$G470,AD$6=$F470),$B470,"")</f>
        <v/>
      </c>
      <c r="AE470" s="2" t="str">
        <f aca="false">IF(AND(AE$4=$G470,AE$6=$F470),$B470,"")</f>
        <v/>
      </c>
      <c r="AF470" s="2" t="str">
        <f aca="false">IF(AND(AF$4=$G470,AF$6=$F470),$B470,"")</f>
        <v/>
      </c>
      <c r="AG470" s="2" t="str">
        <f aca="false">IF(AND(AG$4=$G470,AG$6=$F470),$B470,"")</f>
        <v/>
      </c>
      <c r="AI470" s="366"/>
      <c r="AL470" s="367"/>
      <c r="AO470" s="367"/>
      <c r="AR470" s="1411"/>
      <c r="AT470" s="1422"/>
      <c r="AU470" s="1411"/>
      <c r="AV470" s="1411"/>
      <c r="AW470" s="1423"/>
      <c r="AX470" s="1423"/>
      <c r="AZ470" s="1370"/>
      <c r="BA470" s="1370"/>
      <c r="BB470" s="1370"/>
      <c r="BC470" s="1370"/>
      <c r="BD470" s="1370"/>
      <c r="BE470" s="1370"/>
      <c r="BF470" s="1370"/>
      <c r="BG470" s="1370"/>
      <c r="BH470" s="1371"/>
      <c r="BI470" s="1371"/>
      <c r="BJ470" s="1371"/>
      <c r="BK470" s="1371"/>
      <c r="BM470" s="1411"/>
      <c r="BN470" s="1411"/>
      <c r="BO470" s="1425"/>
      <c r="BP470" s="1425"/>
      <c r="BQ470" s="1425"/>
      <c r="BR470" s="1425"/>
      <c r="BS470" s="1411"/>
      <c r="BT470" s="1411"/>
      <c r="BU470" s="1411"/>
      <c r="BV470" s="1411"/>
      <c r="BW470" s="1411"/>
      <c r="BX470" s="1411"/>
      <c r="BZ470" s="1438"/>
      <c r="CA470" s="1438"/>
      <c r="CB470" s="1496"/>
      <c r="CC470" s="1496"/>
      <c r="CD470" s="1496"/>
      <c r="CE470" s="1496"/>
      <c r="CF470" s="1438"/>
      <c r="CG470" s="1438"/>
      <c r="CH470" s="1438"/>
      <c r="CI470" s="1438"/>
      <c r="CJ470" s="1438"/>
      <c r="CK470" s="1438"/>
      <c r="CU470" s="1411"/>
      <c r="CV470" s="1411"/>
      <c r="CW470" s="1425"/>
      <c r="CX470" s="1425"/>
      <c r="CY470" s="1425"/>
      <c r="CZ470" s="1425"/>
      <c r="DA470" s="1411"/>
      <c r="DB470" s="1411"/>
      <c r="DC470" s="1411"/>
      <c r="DD470" s="1411"/>
      <c r="DE470" s="1411"/>
      <c r="DF470" s="1411"/>
      <c r="DH470" s="1432"/>
      <c r="DI470" s="1432"/>
      <c r="DJ470" s="1437"/>
      <c r="DK470" s="1437"/>
      <c r="DL470" s="1437"/>
      <c r="DM470" s="1437"/>
      <c r="DN470" s="1432"/>
      <c r="DO470" s="1432"/>
      <c r="DP470" s="1432"/>
      <c r="DQ470" s="1432"/>
      <c r="DR470" s="1432"/>
      <c r="DS470" s="1432"/>
      <c r="DT470" s="1316"/>
      <c r="DU470" s="1433"/>
      <c r="DV470" s="1433"/>
      <c r="DW470" s="1433"/>
      <c r="DX470" s="1433"/>
      <c r="DY470" s="1433"/>
      <c r="DZ470" s="1433"/>
      <c r="EA470" s="1433"/>
      <c r="EB470" s="1433"/>
    </row>
    <row r="471" customFormat="false" ht="14.25" hidden="false" customHeight="false" outlineLevel="0" collapsed="false">
      <c r="A471" s="2" t="n">
        <f aca="false">'V_DATOS PAC_SGA'!R466</f>
        <v>0</v>
      </c>
      <c r="B471" s="2" t="n">
        <f aca="false">IF(I471="IV",CONCATENATE('V_DATOS PAC_SGA'!R466,"4")+0,CONCATENATE('V_DATOS PAC_SGA'!R466,"0")+0)</f>
        <v>0</v>
      </c>
      <c r="C471" s="2" t="n">
        <f aca="false">'V_DATOS PAC_SGA'!S466</f>
        <v>0</v>
      </c>
      <c r="D471" s="1409" t="n">
        <f aca="false">'V_DATOS PAC_SGA'!Y466</f>
        <v>0</v>
      </c>
      <c r="E471" s="1410" t="str">
        <f aca="false">IF('V_DATOS PAC_SGA'!AV466="","Regadio",'V_DATOS PAC_SGA'!AV466)</f>
        <v>Regadio</v>
      </c>
      <c r="F471" s="1411" t="n">
        <f aca="false">'V_DATOS PAC_SGA'!BK466</f>
        <v>0</v>
      </c>
      <c r="G471" s="1412" t="n">
        <f aca="false">'V_DATOS PAC_SGA'!AN466</f>
        <v>0</v>
      </c>
      <c r="H471" s="1413" t="str">
        <f aca="false">IF(B471&gt;0,VLOOKUP(B471,'O_MN, PE_UTA_UGM 2024'!E$3:O$419,10),"")</f>
        <v/>
      </c>
      <c r="I471" s="1359" t="n">
        <f aca="false">'V_DATOS PAC_SGA'!BV466</f>
        <v>0</v>
      </c>
      <c r="J471" s="2" t="str">
        <f aca="false">IF(AND(J$4=$G471,J$6=$F471),$D471*J$5,"")</f>
        <v/>
      </c>
      <c r="K471" s="2" t="str">
        <f aca="false">IF(AND(K$4=$G471,K$6=$F471),$D471*K$5,"")</f>
        <v/>
      </c>
      <c r="L471" s="2" t="str">
        <f aca="false">IF(AND(L$4=$G471,L$6=$F471),$D471*L$5,"")</f>
        <v/>
      </c>
      <c r="M471" s="2" t="str">
        <f aca="false">IF(AND(M$4=$G471,M$6=$F471),$D471*M$5,"")</f>
        <v/>
      </c>
      <c r="N471" s="1478" t="n">
        <f aca="false">VLOOKUP(B471,'O_MN, PE_UTA_UGM 2024'!$E$2:$K$419,IF(G471&gt;1,6,7))</f>
        <v>0</v>
      </c>
      <c r="O471" s="1434" t="str">
        <f aca="false">IF($H471=O$4,$D471*$N471,"")</f>
        <v/>
      </c>
      <c r="P471" s="1435" t="str">
        <f aca="false">IF($H471=P$4,$D471*$N471,"")</f>
        <v/>
      </c>
      <c r="Q471" s="1435" t="str">
        <f aca="false">IF($H471=Q$4,$D471*$N471,"")</f>
        <v/>
      </c>
      <c r="R471" s="1435" t="str">
        <f aca="false">IF($H471=R$4,$D471*$N471,"")</f>
        <v/>
      </c>
      <c r="S471" s="1435" t="str">
        <f aca="false">IF($H471=S$4,$D471*$N471,"")</f>
        <v/>
      </c>
      <c r="T471" s="1435" t="str">
        <f aca="false">IF($H471=T$4,$D471*$N471,"")</f>
        <v/>
      </c>
      <c r="U471" s="1436" t="str">
        <f aca="false">IF($H471=U$4,$D471*$N471,"")</f>
        <v/>
      </c>
      <c r="V471" s="1472"/>
      <c r="W471" s="1471"/>
      <c r="X471" s="1471"/>
      <c r="Y471" s="1471"/>
      <c r="Z471" s="1471"/>
      <c r="AA471" s="1471"/>
      <c r="AB471" s="1473"/>
      <c r="AC471" s="1319"/>
      <c r="AD471" s="2" t="str">
        <f aca="false">IF(AND(AD$4=$G471,AD$6=$F471),$B471,"")</f>
        <v/>
      </c>
      <c r="AE471" s="2" t="str">
        <f aca="false">IF(AND(AE$4=$G471,AE$6=$F471),$B471,"")</f>
        <v/>
      </c>
      <c r="AF471" s="2" t="str">
        <f aca="false">IF(AND(AF$4=$G471,AF$6=$F471),$B471,"")</f>
        <v/>
      </c>
      <c r="AG471" s="2" t="str">
        <f aca="false">IF(AND(AG$4=$G471,AG$6=$F471),$B471,"")</f>
        <v/>
      </c>
      <c r="AI471" s="366"/>
      <c r="AL471" s="367"/>
      <c r="AO471" s="367"/>
      <c r="AR471" s="1411"/>
      <c r="AT471" s="1422"/>
      <c r="AU471" s="1411"/>
      <c r="AV471" s="1411"/>
      <c r="AW471" s="1423"/>
      <c r="AX471" s="1423"/>
      <c r="AZ471" s="1370"/>
      <c r="BA471" s="1370"/>
      <c r="BB471" s="1370"/>
      <c r="BC471" s="1370"/>
      <c r="BD471" s="1370"/>
      <c r="BE471" s="1370"/>
      <c r="BF471" s="1370"/>
      <c r="BG471" s="1370"/>
      <c r="BH471" s="1371"/>
      <c r="BI471" s="1371"/>
      <c r="BJ471" s="1371"/>
      <c r="BK471" s="1371"/>
      <c r="BM471" s="1411"/>
      <c r="BN471" s="1411"/>
      <c r="BO471" s="1425"/>
      <c r="BP471" s="1425"/>
      <c r="BQ471" s="1425"/>
      <c r="BR471" s="1425"/>
      <c r="BS471" s="1411"/>
      <c r="BT471" s="1411"/>
      <c r="BU471" s="1411"/>
      <c r="BV471" s="1411"/>
      <c r="BW471" s="1411"/>
      <c r="BX471" s="1411"/>
      <c r="BZ471" s="1438"/>
      <c r="CA471" s="1438"/>
      <c r="CB471" s="1496"/>
      <c r="CC471" s="1496"/>
      <c r="CD471" s="1496"/>
      <c r="CE471" s="1496"/>
      <c r="CF471" s="1438"/>
      <c r="CG471" s="1438"/>
      <c r="CH471" s="1438"/>
      <c r="CI471" s="1438"/>
      <c r="CJ471" s="1438"/>
      <c r="CK471" s="1438"/>
      <c r="CU471" s="1411"/>
      <c r="CV471" s="1411"/>
      <c r="CW471" s="1425"/>
      <c r="CX471" s="1425"/>
      <c r="CY471" s="1425"/>
      <c r="CZ471" s="1425"/>
      <c r="DA471" s="1411"/>
      <c r="DB471" s="1411"/>
      <c r="DC471" s="1411"/>
      <c r="DD471" s="1411"/>
      <c r="DE471" s="1411"/>
      <c r="DF471" s="1411"/>
      <c r="DH471" s="1432"/>
      <c r="DI471" s="1432"/>
      <c r="DJ471" s="1437"/>
      <c r="DK471" s="1437"/>
      <c r="DL471" s="1437"/>
      <c r="DM471" s="1437"/>
      <c r="DN471" s="1432"/>
      <c r="DO471" s="1432"/>
      <c r="DP471" s="1432"/>
      <c r="DQ471" s="1432"/>
      <c r="DR471" s="1432"/>
      <c r="DS471" s="1432"/>
      <c r="DT471" s="1316"/>
      <c r="DU471" s="1433"/>
      <c r="DV471" s="1433"/>
      <c r="DW471" s="1433"/>
      <c r="DX471" s="1433"/>
      <c r="DY471" s="1433"/>
      <c r="DZ471" s="1433"/>
      <c r="EA471" s="1433"/>
      <c r="EB471" s="1433"/>
    </row>
    <row r="472" customFormat="false" ht="14.25" hidden="false" customHeight="false" outlineLevel="0" collapsed="false">
      <c r="A472" s="2" t="n">
        <f aca="false">'V_DATOS PAC_SGA'!R467</f>
        <v>0</v>
      </c>
      <c r="B472" s="2" t="n">
        <f aca="false">IF(I472="IV",CONCATENATE('V_DATOS PAC_SGA'!R467,"4")+0,CONCATENATE('V_DATOS PAC_SGA'!R467,"0")+0)</f>
        <v>0</v>
      </c>
      <c r="C472" s="2" t="n">
        <f aca="false">'V_DATOS PAC_SGA'!S467</f>
        <v>0</v>
      </c>
      <c r="D472" s="1409" t="n">
        <f aca="false">'V_DATOS PAC_SGA'!Y467</f>
        <v>0</v>
      </c>
      <c r="E472" s="1410" t="str">
        <f aca="false">IF('V_DATOS PAC_SGA'!AV467="","Regadio",'V_DATOS PAC_SGA'!AV467)</f>
        <v>Regadio</v>
      </c>
      <c r="F472" s="1411" t="n">
        <f aca="false">'V_DATOS PAC_SGA'!BK467</f>
        <v>0</v>
      </c>
      <c r="G472" s="1412" t="n">
        <f aca="false">'V_DATOS PAC_SGA'!AN467</f>
        <v>0</v>
      </c>
      <c r="H472" s="1413" t="str">
        <f aca="false">IF(B472&gt;0,VLOOKUP(B472,'O_MN, PE_UTA_UGM 2024'!E$3:O$419,10),"")</f>
        <v/>
      </c>
      <c r="I472" s="1359" t="n">
        <f aca="false">'V_DATOS PAC_SGA'!BV467</f>
        <v>0</v>
      </c>
      <c r="J472" s="2" t="str">
        <f aca="false">IF(AND(J$4=$G472,J$6=$F472),$D472*J$5,"")</f>
        <v/>
      </c>
      <c r="K472" s="2" t="str">
        <f aca="false">IF(AND(K$4=$G472,K$6=$F472),$D472*K$5,"")</f>
        <v/>
      </c>
      <c r="L472" s="2" t="str">
        <f aca="false">IF(AND(L$4=$G472,L$6=$F472),$D472*L$5,"")</f>
        <v/>
      </c>
      <c r="M472" s="2" t="str">
        <f aca="false">IF(AND(M$4=$G472,M$6=$F472),$D472*M$5,"")</f>
        <v/>
      </c>
      <c r="N472" s="1478" t="n">
        <f aca="false">VLOOKUP(B472,'O_MN, PE_UTA_UGM 2024'!$E$2:$K$419,IF(G472&gt;1,6,7))</f>
        <v>0</v>
      </c>
      <c r="O472" s="1434" t="str">
        <f aca="false">IF($H472=O$4,$D472*$N472,"")</f>
        <v/>
      </c>
      <c r="P472" s="1435" t="str">
        <f aca="false">IF($H472=P$4,$D472*$N472,"")</f>
        <v/>
      </c>
      <c r="Q472" s="1435" t="str">
        <f aca="false">IF($H472=Q$4,$D472*$N472,"")</f>
        <v/>
      </c>
      <c r="R472" s="1435" t="str">
        <f aca="false">IF($H472=R$4,$D472*$N472,"")</f>
        <v/>
      </c>
      <c r="S472" s="1435" t="str">
        <f aca="false">IF($H472=S$4,$D472*$N472,"")</f>
        <v/>
      </c>
      <c r="T472" s="1435" t="str">
        <f aca="false">IF($H472=T$4,$D472*$N472,"")</f>
        <v/>
      </c>
      <c r="U472" s="1436" t="str">
        <f aca="false">IF($H472=U$4,$D472*$N472,"")</f>
        <v/>
      </c>
      <c r="V472" s="1472"/>
      <c r="W472" s="1471"/>
      <c r="X472" s="1471"/>
      <c r="Y472" s="1471"/>
      <c r="Z472" s="1471"/>
      <c r="AA472" s="1471"/>
      <c r="AB472" s="1473"/>
      <c r="AC472" s="1319"/>
      <c r="AD472" s="2" t="str">
        <f aca="false">IF(AND(AD$4=$G472,AD$6=$F472),$B472,"")</f>
        <v/>
      </c>
      <c r="AE472" s="2" t="str">
        <f aca="false">IF(AND(AE$4=$G472,AE$6=$F472),$B472,"")</f>
        <v/>
      </c>
      <c r="AF472" s="2" t="str">
        <f aca="false">IF(AND(AF$4=$G472,AF$6=$F472),$B472,"")</f>
        <v/>
      </c>
      <c r="AG472" s="2" t="str">
        <f aca="false">IF(AND(AG$4=$G472,AG$6=$F472),$B472,"")</f>
        <v/>
      </c>
      <c r="AI472" s="366"/>
      <c r="AL472" s="367"/>
      <c r="AO472" s="367"/>
      <c r="AR472" s="1411"/>
      <c r="AT472" s="1422"/>
      <c r="AU472" s="1411"/>
      <c r="AV472" s="1411"/>
      <c r="AW472" s="1423"/>
      <c r="AX472" s="1423"/>
      <c r="AZ472" s="1370"/>
      <c r="BA472" s="1370"/>
      <c r="BB472" s="1370"/>
      <c r="BC472" s="1370"/>
      <c r="BD472" s="1370"/>
      <c r="BE472" s="1370"/>
      <c r="BF472" s="1370"/>
      <c r="BG472" s="1370"/>
      <c r="BH472" s="1371"/>
      <c r="BI472" s="1371"/>
      <c r="BJ472" s="1371"/>
      <c r="BK472" s="1371"/>
      <c r="BM472" s="1411"/>
      <c r="BN472" s="1411"/>
      <c r="BO472" s="1425"/>
      <c r="BP472" s="1425"/>
      <c r="BQ472" s="1425"/>
      <c r="BR472" s="1425"/>
      <c r="BS472" s="1411"/>
      <c r="BT472" s="1411"/>
      <c r="BU472" s="1411"/>
      <c r="BV472" s="1411"/>
      <c r="BW472" s="1411"/>
      <c r="BX472" s="1411"/>
      <c r="BZ472" s="1438"/>
      <c r="CA472" s="1438"/>
      <c r="CB472" s="1496"/>
      <c r="CC472" s="1496"/>
      <c r="CD472" s="1496"/>
      <c r="CE472" s="1496"/>
      <c r="CF472" s="1438"/>
      <c r="CG472" s="1438"/>
      <c r="CH472" s="1438"/>
      <c r="CI472" s="1438"/>
      <c r="CJ472" s="1438"/>
      <c r="CK472" s="1438"/>
      <c r="CU472" s="1411"/>
      <c r="CV472" s="1411"/>
      <c r="CW472" s="1425"/>
      <c r="CX472" s="1425"/>
      <c r="CY472" s="1425"/>
      <c r="CZ472" s="1425"/>
      <c r="DA472" s="1411"/>
      <c r="DB472" s="1411"/>
      <c r="DC472" s="1411"/>
      <c r="DD472" s="1411"/>
      <c r="DE472" s="1411"/>
      <c r="DF472" s="1411"/>
      <c r="DH472" s="1432"/>
      <c r="DI472" s="1432"/>
      <c r="DJ472" s="1437"/>
      <c r="DK472" s="1437"/>
      <c r="DL472" s="1437"/>
      <c r="DM472" s="1437"/>
      <c r="DN472" s="1432"/>
      <c r="DO472" s="1432"/>
      <c r="DP472" s="1432"/>
      <c r="DQ472" s="1432"/>
      <c r="DR472" s="1432"/>
      <c r="DS472" s="1432"/>
      <c r="DT472" s="1316"/>
      <c r="DU472" s="1433"/>
      <c r="DV472" s="1433"/>
      <c r="DW472" s="1433"/>
      <c r="DX472" s="1433"/>
      <c r="DY472" s="1433"/>
      <c r="DZ472" s="1433"/>
      <c r="EA472" s="1433"/>
      <c r="EB472" s="1433"/>
    </row>
    <row r="473" customFormat="false" ht="14.25" hidden="false" customHeight="false" outlineLevel="0" collapsed="false">
      <c r="A473" s="2" t="n">
        <f aca="false">'V_DATOS PAC_SGA'!R468</f>
        <v>0</v>
      </c>
      <c r="B473" s="2" t="n">
        <f aca="false">IF(I473="IV",CONCATENATE('V_DATOS PAC_SGA'!R468,"4")+0,CONCATENATE('V_DATOS PAC_SGA'!R468,"0")+0)</f>
        <v>0</v>
      </c>
      <c r="C473" s="2" t="n">
        <f aca="false">'V_DATOS PAC_SGA'!S468</f>
        <v>0</v>
      </c>
      <c r="D473" s="1409" t="n">
        <f aca="false">'V_DATOS PAC_SGA'!Y468</f>
        <v>0</v>
      </c>
      <c r="E473" s="1410" t="str">
        <f aca="false">IF('V_DATOS PAC_SGA'!AV468="","Regadio",'V_DATOS PAC_SGA'!AV468)</f>
        <v>Regadio</v>
      </c>
      <c r="F473" s="1411" t="n">
        <f aca="false">'V_DATOS PAC_SGA'!BK468</f>
        <v>0</v>
      </c>
      <c r="G473" s="1412" t="n">
        <f aca="false">'V_DATOS PAC_SGA'!AN468</f>
        <v>0</v>
      </c>
      <c r="H473" s="1413" t="str">
        <f aca="false">IF(B473&gt;0,VLOOKUP(B473,'O_MN, PE_UTA_UGM 2024'!E$3:O$419,10),"")</f>
        <v/>
      </c>
      <c r="I473" s="1359" t="n">
        <f aca="false">'V_DATOS PAC_SGA'!BV468</f>
        <v>0</v>
      </c>
      <c r="J473" s="2" t="str">
        <f aca="false">IF(AND(J$4=$G473,J$6=$F473),$D473*J$5,"")</f>
        <v/>
      </c>
      <c r="K473" s="2" t="str">
        <f aca="false">IF(AND(K$4=$G473,K$6=$F473),$D473*K$5,"")</f>
        <v/>
      </c>
      <c r="L473" s="2" t="str">
        <f aca="false">IF(AND(L$4=$G473,L$6=$F473),$D473*L$5,"")</f>
        <v/>
      </c>
      <c r="M473" s="2" t="str">
        <f aca="false">IF(AND(M$4=$G473,M$6=$F473),$D473*M$5,"")</f>
        <v/>
      </c>
      <c r="N473" s="1478" t="n">
        <f aca="false">VLOOKUP(B473,'O_MN, PE_UTA_UGM 2024'!$E$2:$K$419,IF(G473&gt;1,6,7))</f>
        <v>0</v>
      </c>
      <c r="O473" s="1434" t="str">
        <f aca="false">IF($H473=O$4,$D473*$N473,"")</f>
        <v/>
      </c>
      <c r="P473" s="1435" t="str">
        <f aca="false">IF($H473=P$4,$D473*$N473,"")</f>
        <v/>
      </c>
      <c r="Q473" s="1435" t="str">
        <f aca="false">IF($H473=Q$4,$D473*$N473,"")</f>
        <v/>
      </c>
      <c r="R473" s="1435" t="str">
        <f aca="false">IF($H473=R$4,$D473*$N473,"")</f>
        <v/>
      </c>
      <c r="S473" s="1435" t="str">
        <f aca="false">IF($H473=S$4,$D473*$N473,"")</f>
        <v/>
      </c>
      <c r="T473" s="1435" t="str">
        <f aca="false">IF($H473=T$4,$D473*$N473,"")</f>
        <v/>
      </c>
      <c r="U473" s="1436" t="str">
        <f aca="false">IF($H473=U$4,$D473*$N473,"")</f>
        <v/>
      </c>
      <c r="V473" s="1472"/>
      <c r="W473" s="1471"/>
      <c r="X473" s="1471"/>
      <c r="Y473" s="1471"/>
      <c r="Z473" s="1471"/>
      <c r="AA473" s="1471"/>
      <c r="AB473" s="1473"/>
      <c r="AC473" s="1319"/>
      <c r="AD473" s="2" t="str">
        <f aca="false">IF(AND(AD$4=$G473,AD$6=$F473),$B473,"")</f>
        <v/>
      </c>
      <c r="AE473" s="2" t="str">
        <f aca="false">IF(AND(AE$4=$G473,AE$6=$F473),$B473,"")</f>
        <v/>
      </c>
      <c r="AF473" s="2" t="str">
        <f aca="false">IF(AND(AF$4=$G473,AF$6=$F473),$B473,"")</f>
        <v/>
      </c>
      <c r="AG473" s="2" t="str">
        <f aca="false">IF(AND(AG$4=$G473,AG$6=$F473),$B473,"")</f>
        <v/>
      </c>
      <c r="AI473" s="366"/>
      <c r="AL473" s="367"/>
      <c r="AO473" s="367"/>
      <c r="AR473" s="1411"/>
      <c r="AT473" s="1422"/>
      <c r="AU473" s="1411"/>
      <c r="AV473" s="1411"/>
      <c r="AW473" s="1423"/>
      <c r="AX473" s="1423"/>
      <c r="AZ473" s="1370"/>
      <c r="BA473" s="1370"/>
      <c r="BB473" s="1370"/>
      <c r="BC473" s="1370"/>
      <c r="BD473" s="1370"/>
      <c r="BE473" s="1370"/>
      <c r="BF473" s="1370"/>
      <c r="BG473" s="1370"/>
      <c r="BH473" s="1371"/>
      <c r="BI473" s="1371"/>
      <c r="BJ473" s="1371"/>
      <c r="BK473" s="1371"/>
      <c r="BM473" s="1411"/>
      <c r="BN473" s="1411"/>
      <c r="BO473" s="1425"/>
      <c r="BP473" s="1425"/>
      <c r="BQ473" s="1425"/>
      <c r="BR473" s="1425"/>
      <c r="BS473" s="1411"/>
      <c r="BT473" s="1411"/>
      <c r="BU473" s="1411"/>
      <c r="BV473" s="1411"/>
      <c r="BW473" s="1411"/>
      <c r="BX473" s="1411"/>
      <c r="BZ473" s="1438"/>
      <c r="CA473" s="1438"/>
      <c r="CB473" s="1496"/>
      <c r="CC473" s="1496"/>
      <c r="CD473" s="1496"/>
      <c r="CE473" s="1496"/>
      <c r="CF473" s="1438"/>
      <c r="CG473" s="1438"/>
      <c r="CH473" s="1438"/>
      <c r="CI473" s="1438"/>
      <c r="CJ473" s="1438"/>
      <c r="CK473" s="1438"/>
      <c r="CU473" s="1411"/>
      <c r="CV473" s="1411"/>
      <c r="CW473" s="1425"/>
      <c r="CX473" s="1425"/>
      <c r="CY473" s="1425"/>
      <c r="CZ473" s="1425"/>
      <c r="DA473" s="1411"/>
      <c r="DB473" s="1411"/>
      <c r="DC473" s="1411"/>
      <c r="DD473" s="1411"/>
      <c r="DE473" s="1411"/>
      <c r="DF473" s="1411"/>
      <c r="DH473" s="1432"/>
      <c r="DI473" s="1432"/>
      <c r="DJ473" s="1437"/>
      <c r="DK473" s="1437"/>
      <c r="DL473" s="1437"/>
      <c r="DM473" s="1437"/>
      <c r="DN473" s="1432"/>
      <c r="DO473" s="1432"/>
      <c r="DP473" s="1432"/>
      <c r="DQ473" s="1432"/>
      <c r="DR473" s="1432"/>
      <c r="DS473" s="1432"/>
      <c r="DT473" s="1316"/>
      <c r="DU473" s="1433"/>
      <c r="DV473" s="1433"/>
      <c r="DW473" s="1433"/>
      <c r="DX473" s="1433"/>
      <c r="DY473" s="1433"/>
      <c r="DZ473" s="1433"/>
      <c r="EA473" s="1433"/>
      <c r="EB473" s="1433"/>
    </row>
    <row r="474" customFormat="false" ht="14.25" hidden="false" customHeight="false" outlineLevel="0" collapsed="false">
      <c r="A474" s="2" t="n">
        <f aca="false">'V_DATOS PAC_SGA'!R469</f>
        <v>0</v>
      </c>
      <c r="B474" s="2" t="n">
        <f aca="false">IF(I474="IV",CONCATENATE('V_DATOS PAC_SGA'!R469,"4")+0,CONCATENATE('V_DATOS PAC_SGA'!R469,"0")+0)</f>
        <v>0</v>
      </c>
      <c r="C474" s="2" t="n">
        <f aca="false">'V_DATOS PAC_SGA'!S469</f>
        <v>0</v>
      </c>
      <c r="D474" s="1409" t="n">
        <f aca="false">'V_DATOS PAC_SGA'!Y469</f>
        <v>0</v>
      </c>
      <c r="E474" s="1410" t="str">
        <f aca="false">IF('V_DATOS PAC_SGA'!AV469="","Regadio",'V_DATOS PAC_SGA'!AV469)</f>
        <v>Regadio</v>
      </c>
      <c r="F474" s="1411" t="n">
        <f aca="false">'V_DATOS PAC_SGA'!BK469</f>
        <v>0</v>
      </c>
      <c r="G474" s="1412" t="n">
        <f aca="false">'V_DATOS PAC_SGA'!AN469</f>
        <v>0</v>
      </c>
      <c r="H474" s="1413" t="str">
        <f aca="false">IF(B474&gt;0,VLOOKUP(B474,'O_MN, PE_UTA_UGM 2024'!E$3:O$419,10),"")</f>
        <v/>
      </c>
      <c r="I474" s="1359" t="n">
        <f aca="false">'V_DATOS PAC_SGA'!BV469</f>
        <v>0</v>
      </c>
      <c r="J474" s="2" t="str">
        <f aca="false">IF(AND(J$4=$G474,J$6=$F474),$D474*J$5,"")</f>
        <v/>
      </c>
      <c r="K474" s="2" t="str">
        <f aca="false">IF(AND(K$4=$G474,K$6=$F474),$D474*K$5,"")</f>
        <v/>
      </c>
      <c r="L474" s="2" t="str">
        <f aca="false">IF(AND(L$4=$G474,L$6=$F474),$D474*L$5,"")</f>
        <v/>
      </c>
      <c r="M474" s="2" t="str">
        <f aca="false">IF(AND(M$4=$G474,M$6=$F474),$D474*M$5,"")</f>
        <v/>
      </c>
      <c r="N474" s="1478" t="n">
        <f aca="false">VLOOKUP(B474,'O_MN, PE_UTA_UGM 2024'!$E$2:$K$419,IF(G474&gt;1,6,7))</f>
        <v>0</v>
      </c>
      <c r="O474" s="1434" t="str">
        <f aca="false">IF($H474=O$4,$D474*$N474,"")</f>
        <v/>
      </c>
      <c r="P474" s="1435" t="str">
        <f aca="false">IF($H474=P$4,$D474*$N474,"")</f>
        <v/>
      </c>
      <c r="Q474" s="1435" t="str">
        <f aca="false">IF($H474=Q$4,$D474*$N474,"")</f>
        <v/>
      </c>
      <c r="R474" s="1435" t="str">
        <f aca="false">IF($H474=R$4,$D474*$N474,"")</f>
        <v/>
      </c>
      <c r="S474" s="1435" t="str">
        <f aca="false">IF($H474=S$4,$D474*$N474,"")</f>
        <v/>
      </c>
      <c r="T474" s="1435" t="str">
        <f aca="false">IF($H474=T$4,$D474*$N474,"")</f>
        <v/>
      </c>
      <c r="U474" s="1436" t="str">
        <f aca="false">IF($H474=U$4,$D474*$N474,"")</f>
        <v/>
      </c>
      <c r="V474" s="1472"/>
      <c r="W474" s="1471"/>
      <c r="X474" s="1471"/>
      <c r="Y474" s="1471"/>
      <c r="Z474" s="1471"/>
      <c r="AA474" s="1471"/>
      <c r="AB474" s="1473"/>
      <c r="AC474" s="1319"/>
      <c r="AD474" s="2" t="str">
        <f aca="false">IF(AND(AD$4=$G474,AD$6=$F474),$B474,"")</f>
        <v/>
      </c>
      <c r="AE474" s="2" t="str">
        <f aca="false">IF(AND(AE$4=$G474,AE$6=$F474),$B474,"")</f>
        <v/>
      </c>
      <c r="AF474" s="2" t="str">
        <f aca="false">IF(AND(AF$4=$G474,AF$6=$F474),$B474,"")</f>
        <v/>
      </c>
      <c r="AG474" s="2" t="str">
        <f aca="false">IF(AND(AG$4=$G474,AG$6=$F474),$B474,"")</f>
        <v/>
      </c>
      <c r="AI474" s="366"/>
      <c r="AL474" s="367"/>
      <c r="AO474" s="367"/>
      <c r="AR474" s="1411"/>
      <c r="AT474" s="1422"/>
      <c r="AU474" s="1411"/>
      <c r="AV474" s="1411"/>
      <c r="AW474" s="1423"/>
      <c r="AX474" s="1423"/>
      <c r="AZ474" s="1370"/>
      <c r="BA474" s="1370"/>
      <c r="BB474" s="1370"/>
      <c r="BC474" s="1370"/>
      <c r="BD474" s="1370"/>
      <c r="BE474" s="1370"/>
      <c r="BF474" s="1370"/>
      <c r="BG474" s="1370"/>
      <c r="BH474" s="1371"/>
      <c r="BI474" s="1371"/>
      <c r="BJ474" s="1371"/>
      <c r="BK474" s="1371"/>
      <c r="BM474" s="1411"/>
      <c r="BN474" s="1411"/>
      <c r="BO474" s="1425"/>
      <c r="BP474" s="1425"/>
      <c r="BQ474" s="1425"/>
      <c r="BR474" s="1425"/>
      <c r="BS474" s="1411"/>
      <c r="BT474" s="1411"/>
      <c r="BU474" s="1411"/>
      <c r="BV474" s="1411"/>
      <c r="BW474" s="1411"/>
      <c r="BX474" s="1411"/>
      <c r="BZ474" s="1438"/>
      <c r="CA474" s="1438"/>
      <c r="CB474" s="1496"/>
      <c r="CC474" s="1496"/>
      <c r="CD474" s="1496"/>
      <c r="CE474" s="1496"/>
      <c r="CF474" s="1438"/>
      <c r="CG474" s="1438"/>
      <c r="CH474" s="1438"/>
      <c r="CI474" s="1438"/>
      <c r="CJ474" s="1438"/>
      <c r="CK474" s="1438"/>
      <c r="CU474" s="1411"/>
      <c r="CV474" s="1411"/>
      <c r="CW474" s="1425"/>
      <c r="CX474" s="1425"/>
      <c r="CY474" s="1425"/>
      <c r="CZ474" s="1425"/>
      <c r="DA474" s="1411"/>
      <c r="DB474" s="1411"/>
      <c r="DC474" s="1411"/>
      <c r="DD474" s="1411"/>
      <c r="DE474" s="1411"/>
      <c r="DF474" s="1411"/>
      <c r="DH474" s="1432"/>
      <c r="DI474" s="1432"/>
      <c r="DJ474" s="1437"/>
      <c r="DK474" s="1437"/>
      <c r="DL474" s="1437"/>
      <c r="DM474" s="1437"/>
      <c r="DN474" s="1432"/>
      <c r="DO474" s="1432"/>
      <c r="DP474" s="1432"/>
      <c r="DQ474" s="1432"/>
      <c r="DR474" s="1432"/>
      <c r="DS474" s="1432"/>
      <c r="DT474" s="1316"/>
      <c r="DU474" s="1433"/>
      <c r="DV474" s="1433"/>
      <c r="DW474" s="1433"/>
      <c r="DX474" s="1433"/>
      <c r="DY474" s="1433"/>
      <c r="DZ474" s="1433"/>
      <c r="EA474" s="1433"/>
      <c r="EB474" s="1433"/>
    </row>
    <row r="475" customFormat="false" ht="14.25" hidden="false" customHeight="false" outlineLevel="0" collapsed="false">
      <c r="A475" s="2" t="n">
        <f aca="false">'V_DATOS PAC_SGA'!R470</f>
        <v>0</v>
      </c>
      <c r="B475" s="2" t="n">
        <f aca="false">IF(I475="IV",CONCATENATE('V_DATOS PAC_SGA'!R470,"4")+0,CONCATENATE('V_DATOS PAC_SGA'!R470,"0")+0)</f>
        <v>0</v>
      </c>
      <c r="C475" s="2" t="n">
        <f aca="false">'V_DATOS PAC_SGA'!S470</f>
        <v>0</v>
      </c>
      <c r="D475" s="1409" t="n">
        <f aca="false">'V_DATOS PAC_SGA'!Y470</f>
        <v>0</v>
      </c>
      <c r="E475" s="1410" t="str">
        <f aca="false">IF('V_DATOS PAC_SGA'!AV470="","Regadio",'V_DATOS PAC_SGA'!AV470)</f>
        <v>Regadio</v>
      </c>
      <c r="F475" s="1411" t="n">
        <f aca="false">'V_DATOS PAC_SGA'!BK470</f>
        <v>0</v>
      </c>
      <c r="G475" s="1412" t="n">
        <f aca="false">'V_DATOS PAC_SGA'!AN470</f>
        <v>0</v>
      </c>
      <c r="H475" s="1413" t="str">
        <f aca="false">IF(B475&gt;0,VLOOKUP(B475,'O_MN, PE_UTA_UGM 2024'!E$3:O$419,10),"")</f>
        <v/>
      </c>
      <c r="I475" s="1359" t="n">
        <f aca="false">'V_DATOS PAC_SGA'!BV470</f>
        <v>0</v>
      </c>
      <c r="J475" s="2" t="str">
        <f aca="false">IF(AND(J$4=$G475,J$6=$F475),$D475*J$5,"")</f>
        <v/>
      </c>
      <c r="K475" s="2" t="str">
        <f aca="false">IF(AND(K$4=$G475,K$6=$F475),$D475*K$5,"")</f>
        <v/>
      </c>
      <c r="L475" s="2" t="str">
        <f aca="false">IF(AND(L$4=$G475,L$6=$F475),$D475*L$5,"")</f>
        <v/>
      </c>
      <c r="M475" s="2" t="str">
        <f aca="false">IF(AND(M$4=$G475,M$6=$F475),$D475*M$5,"")</f>
        <v/>
      </c>
      <c r="N475" s="1478" t="n">
        <f aca="false">VLOOKUP(B475,'O_MN, PE_UTA_UGM 2024'!$E$2:$K$419,IF(G475&gt;1,6,7))</f>
        <v>0</v>
      </c>
      <c r="O475" s="1434" t="str">
        <f aca="false">IF($H475=O$4,$D475*$N475,"")</f>
        <v/>
      </c>
      <c r="P475" s="1435" t="str">
        <f aca="false">IF($H475=P$4,$D475*$N475,"")</f>
        <v/>
      </c>
      <c r="Q475" s="1435" t="str">
        <f aca="false">IF($H475=Q$4,$D475*$N475,"")</f>
        <v/>
      </c>
      <c r="R475" s="1435" t="str">
        <f aca="false">IF($H475=R$4,$D475*$N475,"")</f>
        <v/>
      </c>
      <c r="S475" s="1435" t="str">
        <f aca="false">IF($H475=S$4,$D475*$N475,"")</f>
        <v/>
      </c>
      <c r="T475" s="1435" t="str">
        <f aca="false">IF($H475=T$4,$D475*$N475,"")</f>
        <v/>
      </c>
      <c r="U475" s="1436" t="str">
        <f aca="false">IF($H475=U$4,$D475*$N475,"")</f>
        <v/>
      </c>
      <c r="V475" s="1472"/>
      <c r="W475" s="1471"/>
      <c r="X475" s="1471"/>
      <c r="Y475" s="1471"/>
      <c r="Z475" s="1471"/>
      <c r="AA475" s="1471"/>
      <c r="AB475" s="1473"/>
      <c r="AC475" s="1319"/>
      <c r="AD475" s="2" t="str">
        <f aca="false">IF(AND(AD$4=$G475,AD$6=$F475),$B475,"")</f>
        <v/>
      </c>
      <c r="AE475" s="2" t="str">
        <f aca="false">IF(AND(AE$4=$G475,AE$6=$F475),$B475,"")</f>
        <v/>
      </c>
      <c r="AF475" s="2" t="str">
        <f aca="false">IF(AND(AF$4=$G475,AF$6=$F475),$B475,"")</f>
        <v/>
      </c>
      <c r="AG475" s="2" t="str">
        <f aca="false">IF(AND(AG$4=$G475,AG$6=$F475),$B475,"")</f>
        <v/>
      </c>
      <c r="AI475" s="366"/>
      <c r="AL475" s="367"/>
      <c r="AO475" s="367"/>
      <c r="AR475" s="1411"/>
      <c r="AT475" s="1422"/>
      <c r="AU475" s="1411"/>
      <c r="AV475" s="1411"/>
      <c r="AW475" s="1423"/>
      <c r="AX475" s="1423"/>
      <c r="AZ475" s="1370"/>
      <c r="BA475" s="1370"/>
      <c r="BB475" s="1370"/>
      <c r="BC475" s="1370"/>
      <c r="BD475" s="1370"/>
      <c r="BE475" s="1370"/>
      <c r="BF475" s="1370"/>
      <c r="BG475" s="1370"/>
      <c r="BH475" s="1371"/>
      <c r="BI475" s="1371"/>
      <c r="BJ475" s="1371"/>
      <c r="BK475" s="1371"/>
      <c r="BM475" s="1411"/>
      <c r="BN475" s="1411"/>
      <c r="BO475" s="1425"/>
      <c r="BP475" s="1425"/>
      <c r="BQ475" s="1425"/>
      <c r="BR475" s="1425"/>
      <c r="BS475" s="1411"/>
      <c r="BT475" s="1411"/>
      <c r="BU475" s="1411"/>
      <c r="BV475" s="1411"/>
      <c r="BW475" s="1411"/>
      <c r="BX475" s="1411"/>
      <c r="BZ475" s="1438"/>
      <c r="CA475" s="1438"/>
      <c r="CB475" s="1496"/>
      <c r="CC475" s="1496"/>
      <c r="CD475" s="1496"/>
      <c r="CE475" s="1496"/>
      <c r="CF475" s="1438"/>
      <c r="CG475" s="1438"/>
      <c r="CH475" s="1438"/>
      <c r="CI475" s="1438"/>
      <c r="CJ475" s="1438"/>
      <c r="CK475" s="1438"/>
      <c r="CU475" s="1411"/>
      <c r="CV475" s="1411"/>
      <c r="CW475" s="1425"/>
      <c r="CX475" s="1425"/>
      <c r="CY475" s="1425"/>
      <c r="CZ475" s="1425"/>
      <c r="DA475" s="1411"/>
      <c r="DB475" s="1411"/>
      <c r="DC475" s="1411"/>
      <c r="DD475" s="1411"/>
      <c r="DE475" s="1411"/>
      <c r="DF475" s="1411"/>
      <c r="DH475" s="1432"/>
      <c r="DI475" s="1432"/>
      <c r="DJ475" s="1437"/>
      <c r="DK475" s="1437"/>
      <c r="DL475" s="1437"/>
      <c r="DM475" s="1437"/>
      <c r="DN475" s="1432"/>
      <c r="DO475" s="1432"/>
      <c r="DP475" s="1432"/>
      <c r="DQ475" s="1432"/>
      <c r="DR475" s="1432"/>
      <c r="DS475" s="1432"/>
      <c r="DT475" s="1316"/>
      <c r="DU475" s="1433"/>
      <c r="DV475" s="1433"/>
      <c r="DW475" s="1433"/>
      <c r="DX475" s="1433"/>
      <c r="DY475" s="1433"/>
      <c r="DZ475" s="1433"/>
      <c r="EA475" s="1433"/>
      <c r="EB475" s="1433"/>
    </row>
    <row r="476" customFormat="false" ht="14.25" hidden="false" customHeight="false" outlineLevel="0" collapsed="false">
      <c r="A476" s="2" t="n">
        <f aca="false">'V_DATOS PAC_SGA'!R471</f>
        <v>0</v>
      </c>
      <c r="B476" s="2" t="n">
        <f aca="false">IF(I476="IV",CONCATENATE('V_DATOS PAC_SGA'!R471,"4")+0,CONCATENATE('V_DATOS PAC_SGA'!R471,"0")+0)</f>
        <v>0</v>
      </c>
      <c r="C476" s="2" t="n">
        <f aca="false">'V_DATOS PAC_SGA'!S471</f>
        <v>0</v>
      </c>
      <c r="D476" s="1409" t="n">
        <f aca="false">'V_DATOS PAC_SGA'!Y471</f>
        <v>0</v>
      </c>
      <c r="E476" s="1410" t="str">
        <f aca="false">IF('V_DATOS PAC_SGA'!AV471="","Regadio",'V_DATOS PAC_SGA'!AV471)</f>
        <v>Regadio</v>
      </c>
      <c r="F476" s="1411" t="n">
        <f aca="false">'V_DATOS PAC_SGA'!BK471</f>
        <v>0</v>
      </c>
      <c r="G476" s="1412" t="n">
        <f aca="false">'V_DATOS PAC_SGA'!AN471</f>
        <v>0</v>
      </c>
      <c r="H476" s="1413" t="str">
        <f aca="false">IF(B476&gt;0,VLOOKUP(B476,'O_MN, PE_UTA_UGM 2024'!E$3:O$419,10),"")</f>
        <v/>
      </c>
      <c r="I476" s="1359" t="n">
        <f aca="false">'V_DATOS PAC_SGA'!BV471</f>
        <v>0</v>
      </c>
      <c r="J476" s="2" t="str">
        <f aca="false">IF(AND(J$4=$G476,J$6=$F476),$D476*J$5,"")</f>
        <v/>
      </c>
      <c r="K476" s="2" t="str">
        <f aca="false">IF(AND(K$4=$G476,K$6=$F476),$D476*K$5,"")</f>
        <v/>
      </c>
      <c r="L476" s="2" t="str">
        <f aca="false">IF(AND(L$4=$G476,L$6=$F476),$D476*L$5,"")</f>
        <v/>
      </c>
      <c r="M476" s="2" t="str">
        <f aca="false">IF(AND(M$4=$G476,M$6=$F476),$D476*M$5,"")</f>
        <v/>
      </c>
      <c r="N476" s="1478" t="n">
        <f aca="false">VLOOKUP(B476,'O_MN, PE_UTA_UGM 2024'!$E$2:$K$419,IF(G476&gt;1,6,7))</f>
        <v>0</v>
      </c>
      <c r="O476" s="1434" t="str">
        <f aca="false">IF($H476=O$4,$D476*$N476,"")</f>
        <v/>
      </c>
      <c r="P476" s="1435" t="str">
        <f aca="false">IF($H476=P$4,$D476*$N476,"")</f>
        <v/>
      </c>
      <c r="Q476" s="1435" t="str">
        <f aca="false">IF($H476=Q$4,$D476*$N476,"")</f>
        <v/>
      </c>
      <c r="R476" s="1435" t="str">
        <f aca="false">IF($H476=R$4,$D476*$N476,"")</f>
        <v/>
      </c>
      <c r="S476" s="1435" t="str">
        <f aca="false">IF($H476=S$4,$D476*$N476,"")</f>
        <v/>
      </c>
      <c r="T476" s="1435" t="str">
        <f aca="false">IF($H476=T$4,$D476*$N476,"")</f>
        <v/>
      </c>
      <c r="U476" s="1436" t="str">
        <f aca="false">IF($H476=U$4,$D476*$N476,"")</f>
        <v/>
      </c>
      <c r="V476" s="1472"/>
      <c r="W476" s="1471"/>
      <c r="X476" s="1471"/>
      <c r="Y476" s="1471"/>
      <c r="Z476" s="1471"/>
      <c r="AA476" s="1471"/>
      <c r="AB476" s="1473"/>
      <c r="AC476" s="1319"/>
      <c r="AD476" s="2" t="str">
        <f aca="false">IF(AND(AD$4=$G476,AD$6=$F476),$B476,"")</f>
        <v/>
      </c>
      <c r="AE476" s="2" t="str">
        <f aca="false">IF(AND(AE$4=$G476,AE$6=$F476),$B476,"")</f>
        <v/>
      </c>
      <c r="AF476" s="2" t="str">
        <f aca="false">IF(AND(AF$4=$G476,AF$6=$F476),$B476,"")</f>
        <v/>
      </c>
      <c r="AG476" s="2" t="str">
        <f aca="false">IF(AND(AG$4=$G476,AG$6=$F476),$B476,"")</f>
        <v/>
      </c>
      <c r="AI476" s="366"/>
      <c r="AL476" s="367"/>
      <c r="AO476" s="367"/>
      <c r="AR476" s="1411"/>
      <c r="AT476" s="1422"/>
      <c r="AU476" s="1411"/>
      <c r="AV476" s="1411"/>
      <c r="AW476" s="1423"/>
      <c r="AX476" s="1423"/>
      <c r="AZ476" s="1370"/>
      <c r="BA476" s="1370"/>
      <c r="BB476" s="1370"/>
      <c r="BC476" s="1370"/>
      <c r="BD476" s="1370"/>
      <c r="BE476" s="1370"/>
      <c r="BF476" s="1370"/>
      <c r="BG476" s="1370"/>
      <c r="BH476" s="1371"/>
      <c r="BI476" s="1371"/>
      <c r="BJ476" s="1371"/>
      <c r="BK476" s="1371"/>
      <c r="BM476" s="1411"/>
      <c r="BN476" s="1411"/>
      <c r="BO476" s="1425"/>
      <c r="BP476" s="1425"/>
      <c r="BQ476" s="1425"/>
      <c r="BR476" s="1425"/>
      <c r="BS476" s="1411"/>
      <c r="BT476" s="1411"/>
      <c r="BU476" s="1411"/>
      <c r="BV476" s="1411"/>
      <c r="BW476" s="1411"/>
      <c r="BX476" s="1411"/>
      <c r="BZ476" s="1438"/>
      <c r="CA476" s="1438"/>
      <c r="CB476" s="1496"/>
      <c r="CC476" s="1496"/>
      <c r="CD476" s="1496"/>
      <c r="CE476" s="1496"/>
      <c r="CF476" s="1438"/>
      <c r="CG476" s="1438"/>
      <c r="CH476" s="1438"/>
      <c r="CI476" s="1438"/>
      <c r="CJ476" s="1438"/>
      <c r="CK476" s="1438"/>
      <c r="CU476" s="1411"/>
      <c r="CV476" s="1411"/>
      <c r="CW476" s="1425"/>
      <c r="CX476" s="1425"/>
      <c r="CY476" s="1425"/>
      <c r="CZ476" s="1425"/>
      <c r="DA476" s="1411"/>
      <c r="DB476" s="1411"/>
      <c r="DC476" s="1411"/>
      <c r="DD476" s="1411"/>
      <c r="DE476" s="1411"/>
      <c r="DF476" s="1411"/>
      <c r="DH476" s="1432"/>
      <c r="DI476" s="1432"/>
      <c r="DJ476" s="1437"/>
      <c r="DK476" s="1437"/>
      <c r="DL476" s="1437"/>
      <c r="DM476" s="1437"/>
      <c r="DN476" s="1432"/>
      <c r="DO476" s="1432"/>
      <c r="DP476" s="1432"/>
      <c r="DQ476" s="1432"/>
      <c r="DR476" s="1432"/>
      <c r="DS476" s="1432"/>
      <c r="DT476" s="1316"/>
      <c r="DU476" s="1433"/>
      <c r="DV476" s="1433"/>
      <c r="DW476" s="1433"/>
      <c r="DX476" s="1433"/>
      <c r="DY476" s="1433"/>
      <c r="DZ476" s="1433"/>
      <c r="EA476" s="1433"/>
      <c r="EB476" s="1433"/>
    </row>
    <row r="477" customFormat="false" ht="14.25" hidden="false" customHeight="false" outlineLevel="0" collapsed="false">
      <c r="A477" s="2" t="n">
        <f aca="false">'V_DATOS PAC_SGA'!R472</f>
        <v>0</v>
      </c>
      <c r="B477" s="2" t="n">
        <f aca="false">IF(I477="IV",CONCATENATE('V_DATOS PAC_SGA'!R472,"4")+0,CONCATENATE('V_DATOS PAC_SGA'!R472,"0")+0)</f>
        <v>0</v>
      </c>
      <c r="C477" s="2" t="n">
        <f aca="false">'V_DATOS PAC_SGA'!S472</f>
        <v>0</v>
      </c>
      <c r="D477" s="1409" t="n">
        <f aca="false">'V_DATOS PAC_SGA'!Y472</f>
        <v>0</v>
      </c>
      <c r="E477" s="1410" t="str">
        <f aca="false">IF('V_DATOS PAC_SGA'!AV472="","Regadio",'V_DATOS PAC_SGA'!AV472)</f>
        <v>Regadio</v>
      </c>
      <c r="F477" s="1411" t="n">
        <f aca="false">'V_DATOS PAC_SGA'!BK472</f>
        <v>0</v>
      </c>
      <c r="G477" s="1412" t="n">
        <f aca="false">'V_DATOS PAC_SGA'!AN472</f>
        <v>0</v>
      </c>
      <c r="H477" s="1413" t="str">
        <f aca="false">IF(B477&gt;0,VLOOKUP(B477,'O_MN, PE_UTA_UGM 2024'!E$3:O$419,10),"")</f>
        <v/>
      </c>
      <c r="I477" s="1359" t="n">
        <f aca="false">'V_DATOS PAC_SGA'!BV472</f>
        <v>0</v>
      </c>
      <c r="J477" s="2" t="str">
        <f aca="false">IF(AND(J$4=$G477,J$6=$F477),$D477*J$5,"")</f>
        <v/>
      </c>
      <c r="K477" s="2" t="str">
        <f aca="false">IF(AND(K$4=$G477,K$6=$F477),$D477*K$5,"")</f>
        <v/>
      </c>
      <c r="L477" s="2" t="str">
        <f aca="false">IF(AND(L$4=$G477,L$6=$F477),$D477*L$5,"")</f>
        <v/>
      </c>
      <c r="M477" s="2" t="str">
        <f aca="false">IF(AND(M$4=$G477,M$6=$F477),$D477*M$5,"")</f>
        <v/>
      </c>
      <c r="N477" s="1478" t="n">
        <f aca="false">VLOOKUP(B477,'O_MN, PE_UTA_UGM 2024'!$E$2:$K$419,IF(G477&gt;1,6,7))</f>
        <v>0</v>
      </c>
      <c r="O477" s="1434" t="str">
        <f aca="false">IF($H477=O$4,$D477*$N477,"")</f>
        <v/>
      </c>
      <c r="P477" s="1435" t="str">
        <f aca="false">IF($H477=P$4,$D477*$N477,"")</f>
        <v/>
      </c>
      <c r="Q477" s="1435" t="str">
        <f aca="false">IF($H477=Q$4,$D477*$N477,"")</f>
        <v/>
      </c>
      <c r="R477" s="1435" t="str">
        <f aca="false">IF($H477=R$4,$D477*$N477,"")</f>
        <v/>
      </c>
      <c r="S477" s="1435" t="str">
        <f aca="false">IF($H477=S$4,$D477*$N477,"")</f>
        <v/>
      </c>
      <c r="T477" s="1435" t="str">
        <f aca="false">IF($H477=T$4,$D477*$N477,"")</f>
        <v/>
      </c>
      <c r="U477" s="1436" t="str">
        <f aca="false">IF($H477=U$4,$D477*$N477,"")</f>
        <v/>
      </c>
      <c r="V477" s="1472"/>
      <c r="W477" s="1471"/>
      <c r="X477" s="1471"/>
      <c r="Y477" s="1471"/>
      <c r="Z477" s="1471"/>
      <c r="AA477" s="1471"/>
      <c r="AB477" s="1473"/>
      <c r="AC477" s="1319"/>
      <c r="AD477" s="2" t="str">
        <f aca="false">IF(AND(AD$4=$G477,AD$6=$F477),$B477,"")</f>
        <v/>
      </c>
      <c r="AE477" s="2" t="str">
        <f aca="false">IF(AND(AE$4=$G477,AE$6=$F477),$B477,"")</f>
        <v/>
      </c>
      <c r="AF477" s="2" t="str">
        <f aca="false">IF(AND(AF$4=$G477,AF$6=$F477),$B477,"")</f>
        <v/>
      </c>
      <c r="AG477" s="2" t="str">
        <f aca="false">IF(AND(AG$4=$G477,AG$6=$F477),$B477,"")</f>
        <v/>
      </c>
      <c r="AI477" s="366"/>
      <c r="AL477" s="367"/>
      <c r="AO477" s="367"/>
      <c r="AR477" s="1411"/>
      <c r="AT477" s="1422"/>
      <c r="AU477" s="1411"/>
      <c r="AV477" s="1411"/>
      <c r="AW477" s="1423"/>
      <c r="AX477" s="1423"/>
      <c r="AZ477" s="1370"/>
      <c r="BA477" s="1370"/>
      <c r="BB477" s="1370"/>
      <c r="BC477" s="1370"/>
      <c r="BD477" s="1370"/>
      <c r="BE477" s="1370"/>
      <c r="BF477" s="1370"/>
      <c r="BG477" s="1370"/>
      <c r="BH477" s="1371"/>
      <c r="BI477" s="1371"/>
      <c r="BJ477" s="1371"/>
      <c r="BK477" s="1371"/>
      <c r="BM477" s="1411"/>
      <c r="BN477" s="1411"/>
      <c r="BO477" s="1425"/>
      <c r="BP477" s="1425"/>
      <c r="BQ477" s="1425"/>
      <c r="BR477" s="1425"/>
      <c r="BS477" s="1411"/>
      <c r="BT477" s="1411"/>
      <c r="BU477" s="1411"/>
      <c r="BV477" s="1411"/>
      <c r="BW477" s="1411"/>
      <c r="BX477" s="1411"/>
      <c r="BZ477" s="1438"/>
      <c r="CA477" s="1438"/>
      <c r="CB477" s="1496"/>
      <c r="CC477" s="1496"/>
      <c r="CD477" s="1496"/>
      <c r="CE477" s="1496"/>
      <c r="CF477" s="1438"/>
      <c r="CG477" s="1438"/>
      <c r="CH477" s="1438"/>
      <c r="CI477" s="1438"/>
      <c r="CJ477" s="1438"/>
      <c r="CK477" s="1438"/>
      <c r="CU477" s="1411"/>
      <c r="CV477" s="1411"/>
      <c r="CW477" s="1425"/>
      <c r="CX477" s="1425"/>
      <c r="CY477" s="1425"/>
      <c r="CZ477" s="1425"/>
      <c r="DA477" s="1411"/>
      <c r="DB477" s="1411"/>
      <c r="DC477" s="1411"/>
      <c r="DD477" s="1411"/>
      <c r="DE477" s="1411"/>
      <c r="DF477" s="1411"/>
      <c r="DH477" s="1432"/>
      <c r="DI477" s="1432"/>
      <c r="DJ477" s="1437"/>
      <c r="DK477" s="1437"/>
      <c r="DL477" s="1437"/>
      <c r="DM477" s="1437"/>
      <c r="DN477" s="1432"/>
      <c r="DO477" s="1432"/>
      <c r="DP477" s="1432"/>
      <c r="DQ477" s="1432"/>
      <c r="DR477" s="1432"/>
      <c r="DS477" s="1432"/>
      <c r="DT477" s="1316"/>
      <c r="DU477" s="1433"/>
      <c r="DV477" s="1433"/>
      <c r="DW477" s="1433"/>
      <c r="DX477" s="1433"/>
      <c r="DY477" s="1433"/>
      <c r="DZ477" s="1433"/>
      <c r="EA477" s="1433"/>
      <c r="EB477" s="1433"/>
    </row>
    <row r="478" customFormat="false" ht="14.25" hidden="false" customHeight="false" outlineLevel="0" collapsed="false">
      <c r="A478" s="2" t="n">
        <f aca="false">'V_DATOS PAC_SGA'!R473</f>
        <v>0</v>
      </c>
      <c r="B478" s="2" t="n">
        <f aca="false">IF(I478="IV",CONCATENATE('V_DATOS PAC_SGA'!R473,"4")+0,CONCATENATE('V_DATOS PAC_SGA'!R473,"0")+0)</f>
        <v>0</v>
      </c>
      <c r="C478" s="2" t="n">
        <f aca="false">'V_DATOS PAC_SGA'!S473</f>
        <v>0</v>
      </c>
      <c r="D478" s="1409" t="n">
        <f aca="false">'V_DATOS PAC_SGA'!Y473</f>
        <v>0</v>
      </c>
      <c r="E478" s="1410" t="str">
        <f aca="false">IF('V_DATOS PAC_SGA'!AV473="","Regadio",'V_DATOS PAC_SGA'!AV473)</f>
        <v>Regadio</v>
      </c>
      <c r="F478" s="1411" t="n">
        <f aca="false">'V_DATOS PAC_SGA'!BK473</f>
        <v>0</v>
      </c>
      <c r="G478" s="1412" t="n">
        <f aca="false">'V_DATOS PAC_SGA'!AN473</f>
        <v>0</v>
      </c>
      <c r="H478" s="1413" t="str">
        <f aca="false">IF(B478&gt;0,VLOOKUP(B478,'O_MN, PE_UTA_UGM 2024'!E$3:O$419,10),"")</f>
        <v/>
      </c>
      <c r="I478" s="1359" t="n">
        <f aca="false">'V_DATOS PAC_SGA'!BV473</f>
        <v>0</v>
      </c>
      <c r="J478" s="2" t="str">
        <f aca="false">IF(AND(J$4=$G478,J$6=$F478),$D478*J$5,"")</f>
        <v/>
      </c>
      <c r="K478" s="2" t="str">
        <f aca="false">IF(AND(K$4=$G478,K$6=$F478),$D478*K$5,"")</f>
        <v/>
      </c>
      <c r="L478" s="2" t="str">
        <f aca="false">IF(AND(L$4=$G478,L$6=$F478),$D478*L$5,"")</f>
        <v/>
      </c>
      <c r="M478" s="2" t="str">
        <f aca="false">IF(AND(M$4=$G478,M$6=$F478),$D478*M$5,"")</f>
        <v/>
      </c>
      <c r="N478" s="1478" t="n">
        <f aca="false">VLOOKUP(B478,'O_MN, PE_UTA_UGM 2024'!$E$2:$K$419,IF(G478&gt;1,6,7))</f>
        <v>0</v>
      </c>
      <c r="O478" s="1434" t="str">
        <f aca="false">IF($H478=O$4,$D478*$N478,"")</f>
        <v/>
      </c>
      <c r="P478" s="1435" t="str">
        <f aca="false">IF($H478=P$4,$D478*$N478,"")</f>
        <v/>
      </c>
      <c r="Q478" s="1435" t="str">
        <f aca="false">IF($H478=Q$4,$D478*$N478,"")</f>
        <v/>
      </c>
      <c r="R478" s="1435" t="str">
        <f aca="false">IF($H478=R$4,$D478*$N478,"")</f>
        <v/>
      </c>
      <c r="S478" s="1435" t="str">
        <f aca="false">IF($H478=S$4,$D478*$N478,"")</f>
        <v/>
      </c>
      <c r="T478" s="1435" t="str">
        <f aca="false">IF($H478=T$4,$D478*$N478,"")</f>
        <v/>
      </c>
      <c r="U478" s="1436" t="str">
        <f aca="false">IF($H478=U$4,$D478*$N478,"")</f>
        <v/>
      </c>
      <c r="V478" s="1472"/>
      <c r="W478" s="1471"/>
      <c r="X478" s="1471"/>
      <c r="Y478" s="1471"/>
      <c r="Z478" s="1471"/>
      <c r="AA478" s="1471"/>
      <c r="AB478" s="1473"/>
      <c r="AC478" s="1319"/>
      <c r="AD478" s="2" t="str">
        <f aca="false">IF(AND(AD$4=$G478,AD$6=$F478),$B478,"")</f>
        <v/>
      </c>
      <c r="AE478" s="2" t="str">
        <f aca="false">IF(AND(AE$4=$G478,AE$6=$F478),$B478,"")</f>
        <v/>
      </c>
      <c r="AF478" s="2" t="str">
        <f aca="false">IF(AND(AF$4=$G478,AF$6=$F478),$B478,"")</f>
        <v/>
      </c>
      <c r="AG478" s="2" t="str">
        <f aca="false">IF(AND(AG$4=$G478,AG$6=$F478),$B478,"")</f>
        <v/>
      </c>
      <c r="AI478" s="366"/>
      <c r="AL478" s="367"/>
      <c r="AO478" s="367"/>
      <c r="AR478" s="1411"/>
      <c r="AT478" s="1422"/>
      <c r="AU478" s="1411"/>
      <c r="AV478" s="1411"/>
      <c r="AW478" s="1423"/>
      <c r="AX478" s="1423"/>
      <c r="AZ478" s="1370"/>
      <c r="BA478" s="1370"/>
      <c r="BB478" s="1370"/>
      <c r="BC478" s="1370"/>
      <c r="BD478" s="1370"/>
      <c r="BE478" s="1370"/>
      <c r="BF478" s="1370"/>
      <c r="BG478" s="1370"/>
      <c r="BH478" s="1371"/>
      <c r="BI478" s="1371"/>
      <c r="BJ478" s="1371"/>
      <c r="BK478" s="1371"/>
      <c r="BM478" s="1411"/>
      <c r="BN478" s="1411"/>
      <c r="BO478" s="1425"/>
      <c r="BP478" s="1425"/>
      <c r="BQ478" s="1425"/>
      <c r="BR478" s="1425"/>
      <c r="BS478" s="1411"/>
      <c r="BT478" s="1411"/>
      <c r="BU478" s="1411"/>
      <c r="BV478" s="1411"/>
      <c r="BW478" s="1411"/>
      <c r="BX478" s="1411"/>
      <c r="BZ478" s="1438"/>
      <c r="CA478" s="1438"/>
      <c r="CB478" s="1496"/>
      <c r="CC478" s="1496"/>
      <c r="CD478" s="1496"/>
      <c r="CE478" s="1496"/>
      <c r="CF478" s="1438"/>
      <c r="CG478" s="1438"/>
      <c r="CH478" s="1438"/>
      <c r="CI478" s="1438"/>
      <c r="CJ478" s="1438"/>
      <c r="CK478" s="1438"/>
      <c r="CU478" s="1411"/>
      <c r="CV478" s="1411"/>
      <c r="CW478" s="1425"/>
      <c r="CX478" s="1425"/>
      <c r="CY478" s="1425"/>
      <c r="CZ478" s="1425"/>
      <c r="DA478" s="1411"/>
      <c r="DB478" s="1411"/>
      <c r="DC478" s="1411"/>
      <c r="DD478" s="1411"/>
      <c r="DE478" s="1411"/>
      <c r="DF478" s="1411"/>
      <c r="DH478" s="1432"/>
      <c r="DI478" s="1432"/>
      <c r="DJ478" s="1437"/>
      <c r="DK478" s="1437"/>
      <c r="DL478" s="1437"/>
      <c r="DM478" s="1437"/>
      <c r="DN478" s="1432"/>
      <c r="DO478" s="1432"/>
      <c r="DP478" s="1432"/>
      <c r="DQ478" s="1432"/>
      <c r="DR478" s="1432"/>
      <c r="DS478" s="1432"/>
      <c r="DT478" s="1316"/>
      <c r="DU478" s="1433"/>
      <c r="DV478" s="1433"/>
      <c r="DW478" s="1433"/>
      <c r="DX478" s="1433"/>
      <c r="DY478" s="1433"/>
      <c r="DZ478" s="1433"/>
      <c r="EA478" s="1433"/>
      <c r="EB478" s="1433"/>
    </row>
    <row r="479" customFormat="false" ht="14.25" hidden="false" customHeight="false" outlineLevel="0" collapsed="false">
      <c r="A479" s="2" t="n">
        <f aca="false">'V_DATOS PAC_SGA'!R474</f>
        <v>0</v>
      </c>
      <c r="B479" s="2" t="n">
        <f aca="false">IF(I479="IV",CONCATENATE('V_DATOS PAC_SGA'!R474,"4")+0,CONCATENATE('V_DATOS PAC_SGA'!R474,"0")+0)</f>
        <v>0</v>
      </c>
      <c r="C479" s="2" t="n">
        <f aca="false">'V_DATOS PAC_SGA'!S474</f>
        <v>0</v>
      </c>
      <c r="D479" s="1409" t="n">
        <f aca="false">'V_DATOS PAC_SGA'!Y474</f>
        <v>0</v>
      </c>
      <c r="E479" s="1410" t="str">
        <f aca="false">IF('V_DATOS PAC_SGA'!AV474="","Regadio",'V_DATOS PAC_SGA'!AV474)</f>
        <v>Regadio</v>
      </c>
      <c r="F479" s="1411" t="n">
        <f aca="false">'V_DATOS PAC_SGA'!BK474</f>
        <v>0</v>
      </c>
      <c r="G479" s="1412" t="n">
        <f aca="false">'V_DATOS PAC_SGA'!AN474</f>
        <v>0</v>
      </c>
      <c r="H479" s="1413" t="str">
        <f aca="false">IF(B479&gt;0,VLOOKUP(B479,'O_MN, PE_UTA_UGM 2024'!E$3:O$419,10),"")</f>
        <v/>
      </c>
      <c r="I479" s="1359" t="n">
        <f aca="false">'V_DATOS PAC_SGA'!BV474</f>
        <v>0</v>
      </c>
      <c r="J479" s="2" t="str">
        <f aca="false">IF(AND(J$4=$G479,J$6=$F479),$D479*J$5,"")</f>
        <v/>
      </c>
      <c r="K479" s="2" t="str">
        <f aca="false">IF(AND(K$4=$G479,K$6=$F479),$D479*K$5,"")</f>
        <v/>
      </c>
      <c r="L479" s="2" t="str">
        <f aca="false">IF(AND(L$4=$G479,L$6=$F479),$D479*L$5,"")</f>
        <v/>
      </c>
      <c r="M479" s="2" t="str">
        <f aca="false">IF(AND(M$4=$G479,M$6=$F479),$D479*M$5,"")</f>
        <v/>
      </c>
      <c r="N479" s="1478" t="n">
        <f aca="false">VLOOKUP(B479,'O_MN, PE_UTA_UGM 2024'!$E$2:$K$419,IF(G479&gt;1,6,7))</f>
        <v>0</v>
      </c>
      <c r="O479" s="1434" t="str">
        <f aca="false">IF($H479=O$4,$D479*$N479,"")</f>
        <v/>
      </c>
      <c r="P479" s="1435" t="str">
        <f aca="false">IF($H479=P$4,$D479*$N479,"")</f>
        <v/>
      </c>
      <c r="Q479" s="1435" t="str">
        <f aca="false">IF($H479=Q$4,$D479*$N479,"")</f>
        <v/>
      </c>
      <c r="R479" s="1435" t="str">
        <f aca="false">IF($H479=R$4,$D479*$N479,"")</f>
        <v/>
      </c>
      <c r="S479" s="1435" t="str">
        <f aca="false">IF($H479=S$4,$D479*$N479,"")</f>
        <v/>
      </c>
      <c r="T479" s="1435" t="str">
        <f aca="false">IF($H479=T$4,$D479*$N479,"")</f>
        <v/>
      </c>
      <c r="U479" s="1436" t="str">
        <f aca="false">IF($H479=U$4,$D479*$N479,"")</f>
        <v/>
      </c>
      <c r="V479" s="1472"/>
      <c r="W479" s="1471"/>
      <c r="X479" s="1471"/>
      <c r="Y479" s="1471"/>
      <c r="Z479" s="1471"/>
      <c r="AA479" s="1471"/>
      <c r="AB479" s="1473"/>
      <c r="AC479" s="1319"/>
      <c r="AD479" s="2" t="str">
        <f aca="false">IF(AND(AD$4=$G479,AD$6=$F479),$B479,"")</f>
        <v/>
      </c>
      <c r="AE479" s="2" t="str">
        <f aca="false">IF(AND(AE$4=$G479,AE$6=$F479),$B479,"")</f>
        <v/>
      </c>
      <c r="AF479" s="2" t="str">
        <f aca="false">IF(AND(AF$4=$G479,AF$6=$F479),$B479,"")</f>
        <v/>
      </c>
      <c r="AG479" s="2" t="str">
        <f aca="false">IF(AND(AG$4=$G479,AG$6=$F479),$B479,"")</f>
        <v/>
      </c>
      <c r="AI479" s="366"/>
      <c r="AL479" s="367"/>
      <c r="AO479" s="367"/>
      <c r="AR479" s="1411"/>
      <c r="AT479" s="1422"/>
      <c r="AU479" s="1411"/>
      <c r="AV479" s="1411"/>
      <c r="AW479" s="1423"/>
      <c r="AX479" s="1423"/>
      <c r="AZ479" s="1370"/>
      <c r="BA479" s="1370"/>
      <c r="BB479" s="1370"/>
      <c r="BC479" s="1370"/>
      <c r="BD479" s="1370"/>
      <c r="BE479" s="1370"/>
      <c r="BF479" s="1370"/>
      <c r="BG479" s="1370"/>
      <c r="BH479" s="1371"/>
      <c r="BI479" s="1371"/>
      <c r="BJ479" s="1371"/>
      <c r="BK479" s="1371"/>
      <c r="BM479" s="1411"/>
      <c r="BN479" s="1411"/>
      <c r="BO479" s="1425"/>
      <c r="BP479" s="1425"/>
      <c r="BQ479" s="1425"/>
      <c r="BR479" s="1425"/>
      <c r="BS479" s="1411"/>
      <c r="BT479" s="1411"/>
      <c r="BU479" s="1411"/>
      <c r="BV479" s="1411"/>
      <c r="BW479" s="1411"/>
      <c r="BX479" s="1411"/>
      <c r="BZ479" s="1438"/>
      <c r="CA479" s="1438"/>
      <c r="CB479" s="1496"/>
      <c r="CC479" s="1496"/>
      <c r="CD479" s="1496"/>
      <c r="CE479" s="1496"/>
      <c r="CF479" s="1438"/>
      <c r="CG479" s="1438"/>
      <c r="CH479" s="1438"/>
      <c r="CI479" s="1438"/>
      <c r="CJ479" s="1438"/>
      <c r="CK479" s="1438"/>
      <c r="CU479" s="1411"/>
      <c r="CV479" s="1411"/>
      <c r="CW479" s="1425"/>
      <c r="CX479" s="1425"/>
      <c r="CY479" s="1425"/>
      <c r="CZ479" s="1425"/>
      <c r="DA479" s="1411"/>
      <c r="DB479" s="1411"/>
      <c r="DC479" s="1411"/>
      <c r="DD479" s="1411"/>
      <c r="DE479" s="1411"/>
      <c r="DF479" s="1411"/>
      <c r="DH479" s="1432"/>
      <c r="DI479" s="1432"/>
      <c r="DJ479" s="1437"/>
      <c r="DK479" s="1437"/>
      <c r="DL479" s="1437"/>
      <c r="DM479" s="1437"/>
      <c r="DN479" s="1432"/>
      <c r="DO479" s="1432"/>
      <c r="DP479" s="1432"/>
      <c r="DQ479" s="1432"/>
      <c r="DR479" s="1432"/>
      <c r="DS479" s="1432"/>
      <c r="DT479" s="1316"/>
      <c r="DU479" s="1433"/>
      <c r="DV479" s="1433"/>
      <c r="DW479" s="1433"/>
      <c r="DX479" s="1433"/>
      <c r="DY479" s="1433"/>
      <c r="DZ479" s="1433"/>
      <c r="EA479" s="1433"/>
      <c r="EB479" s="1433"/>
    </row>
    <row r="480" customFormat="false" ht="14.25" hidden="false" customHeight="false" outlineLevel="0" collapsed="false">
      <c r="A480" s="2" t="n">
        <f aca="false">'V_DATOS PAC_SGA'!R475</f>
        <v>0</v>
      </c>
      <c r="B480" s="2" t="n">
        <f aca="false">IF(I480="IV",CONCATENATE('V_DATOS PAC_SGA'!R475,"4")+0,CONCATENATE('V_DATOS PAC_SGA'!R475,"0")+0)</f>
        <v>0</v>
      </c>
      <c r="C480" s="2" t="n">
        <f aca="false">'V_DATOS PAC_SGA'!S475</f>
        <v>0</v>
      </c>
      <c r="D480" s="1409" t="n">
        <f aca="false">'V_DATOS PAC_SGA'!Y475</f>
        <v>0</v>
      </c>
      <c r="E480" s="1410" t="str">
        <f aca="false">IF('V_DATOS PAC_SGA'!AV475="","Regadio",'V_DATOS PAC_SGA'!AV475)</f>
        <v>Regadio</v>
      </c>
      <c r="F480" s="1411" t="n">
        <f aca="false">'V_DATOS PAC_SGA'!BK475</f>
        <v>0</v>
      </c>
      <c r="G480" s="1412" t="n">
        <f aca="false">'V_DATOS PAC_SGA'!AN475</f>
        <v>0</v>
      </c>
      <c r="H480" s="1413" t="str">
        <f aca="false">IF(B480&gt;0,VLOOKUP(B480,'O_MN, PE_UTA_UGM 2024'!E$3:O$419,10),"")</f>
        <v/>
      </c>
      <c r="I480" s="1359" t="n">
        <f aca="false">'V_DATOS PAC_SGA'!BV475</f>
        <v>0</v>
      </c>
      <c r="J480" s="2" t="str">
        <f aca="false">IF(AND(J$4=$G480,J$6=$F480),$D480*J$5,"")</f>
        <v/>
      </c>
      <c r="K480" s="2" t="str">
        <f aca="false">IF(AND(K$4=$G480,K$6=$F480),$D480*K$5,"")</f>
        <v/>
      </c>
      <c r="L480" s="2" t="str">
        <f aca="false">IF(AND(L$4=$G480,L$6=$F480),$D480*L$5,"")</f>
        <v/>
      </c>
      <c r="M480" s="2" t="str">
        <f aca="false">IF(AND(M$4=$G480,M$6=$F480),$D480*M$5,"")</f>
        <v/>
      </c>
      <c r="N480" s="1478" t="n">
        <f aca="false">VLOOKUP(B480,'O_MN, PE_UTA_UGM 2024'!$E$2:$K$419,IF(G480&gt;1,6,7))</f>
        <v>0</v>
      </c>
      <c r="O480" s="1434" t="str">
        <f aca="false">IF($H480=O$4,$D480*$N480,"")</f>
        <v/>
      </c>
      <c r="P480" s="1435" t="str">
        <f aca="false">IF($H480=P$4,$D480*$N480,"")</f>
        <v/>
      </c>
      <c r="Q480" s="1435" t="str">
        <f aca="false">IF($H480=Q$4,$D480*$N480,"")</f>
        <v/>
      </c>
      <c r="R480" s="1435" t="str">
        <f aca="false">IF($H480=R$4,$D480*$N480,"")</f>
        <v/>
      </c>
      <c r="S480" s="1435" t="str">
        <f aca="false">IF($H480=S$4,$D480*$N480,"")</f>
        <v/>
      </c>
      <c r="T480" s="1435" t="str">
        <f aca="false">IF($H480=T$4,$D480*$N480,"")</f>
        <v/>
      </c>
      <c r="U480" s="1436" t="str">
        <f aca="false">IF($H480=U$4,$D480*$N480,"")</f>
        <v/>
      </c>
      <c r="V480" s="1472"/>
      <c r="W480" s="1471"/>
      <c r="X480" s="1471"/>
      <c r="Y480" s="1471"/>
      <c r="Z480" s="1471"/>
      <c r="AA480" s="1471"/>
      <c r="AB480" s="1473"/>
      <c r="AC480" s="1319"/>
      <c r="AD480" s="2" t="str">
        <f aca="false">IF(AND(AD$4=$G480,AD$6=$F480),$B480,"")</f>
        <v/>
      </c>
      <c r="AE480" s="2" t="str">
        <f aca="false">IF(AND(AE$4=$G480,AE$6=$F480),$B480,"")</f>
        <v/>
      </c>
      <c r="AF480" s="2" t="str">
        <f aca="false">IF(AND(AF$4=$G480,AF$6=$F480),$B480,"")</f>
        <v/>
      </c>
      <c r="AG480" s="2" t="str">
        <f aca="false">IF(AND(AG$4=$G480,AG$6=$F480),$B480,"")</f>
        <v/>
      </c>
      <c r="AI480" s="366"/>
      <c r="AL480" s="367"/>
      <c r="AO480" s="367"/>
      <c r="AR480" s="1411"/>
      <c r="AT480" s="1422"/>
      <c r="AU480" s="1411"/>
      <c r="AV480" s="1411"/>
      <c r="AW480" s="1423"/>
      <c r="AX480" s="1423"/>
      <c r="AZ480" s="1370"/>
      <c r="BA480" s="1370"/>
      <c r="BB480" s="1370"/>
      <c r="BC480" s="1370"/>
      <c r="BD480" s="1370"/>
      <c r="BE480" s="1370"/>
      <c r="BF480" s="1370"/>
      <c r="BG480" s="1370"/>
      <c r="BH480" s="1371"/>
      <c r="BI480" s="1371"/>
      <c r="BJ480" s="1371"/>
      <c r="BK480" s="1371"/>
      <c r="BM480" s="1411"/>
      <c r="BN480" s="1411"/>
      <c r="BO480" s="1425"/>
      <c r="BP480" s="1425"/>
      <c r="BQ480" s="1425"/>
      <c r="BR480" s="1425"/>
      <c r="BS480" s="1411"/>
      <c r="BT480" s="1411"/>
      <c r="BU480" s="1411"/>
      <c r="BV480" s="1411"/>
      <c r="BW480" s="1411"/>
      <c r="BX480" s="1411"/>
      <c r="BZ480" s="1438"/>
      <c r="CA480" s="1438"/>
      <c r="CB480" s="1496"/>
      <c r="CC480" s="1496"/>
      <c r="CD480" s="1496"/>
      <c r="CE480" s="1496"/>
      <c r="CF480" s="1438"/>
      <c r="CG480" s="1438"/>
      <c r="CH480" s="1438"/>
      <c r="CI480" s="1438"/>
      <c r="CJ480" s="1438"/>
      <c r="CK480" s="1438"/>
      <c r="CU480" s="1411"/>
      <c r="CV480" s="1411"/>
      <c r="CW480" s="1425"/>
      <c r="CX480" s="1425"/>
      <c r="CY480" s="1425"/>
      <c r="CZ480" s="1425"/>
      <c r="DA480" s="1411"/>
      <c r="DB480" s="1411"/>
      <c r="DC480" s="1411"/>
      <c r="DD480" s="1411"/>
      <c r="DE480" s="1411"/>
      <c r="DF480" s="1411"/>
      <c r="DH480" s="1432"/>
      <c r="DI480" s="1432"/>
      <c r="DJ480" s="1437"/>
      <c r="DK480" s="1437"/>
      <c r="DL480" s="1437"/>
      <c r="DM480" s="1437"/>
      <c r="DN480" s="1432"/>
      <c r="DO480" s="1432"/>
      <c r="DP480" s="1432"/>
      <c r="DQ480" s="1432"/>
      <c r="DR480" s="1432"/>
      <c r="DS480" s="1432"/>
      <c r="DT480" s="1316"/>
      <c r="DU480" s="1433"/>
      <c r="DV480" s="1433"/>
      <c r="DW480" s="1433"/>
      <c r="DX480" s="1433"/>
      <c r="DY480" s="1433"/>
      <c r="DZ480" s="1433"/>
      <c r="EA480" s="1433"/>
      <c r="EB480" s="1433"/>
    </row>
    <row r="481" customFormat="false" ht="14.25" hidden="false" customHeight="false" outlineLevel="0" collapsed="false">
      <c r="A481" s="2" t="n">
        <f aca="false">'V_DATOS PAC_SGA'!R476</f>
        <v>0</v>
      </c>
      <c r="B481" s="2" t="n">
        <f aca="false">IF(I481="IV",CONCATENATE('V_DATOS PAC_SGA'!R476,"4")+0,CONCATENATE('V_DATOS PAC_SGA'!R476,"0")+0)</f>
        <v>0</v>
      </c>
      <c r="C481" s="2" t="n">
        <f aca="false">'V_DATOS PAC_SGA'!S476</f>
        <v>0</v>
      </c>
      <c r="D481" s="1409" t="n">
        <f aca="false">'V_DATOS PAC_SGA'!Y476</f>
        <v>0</v>
      </c>
      <c r="E481" s="1410" t="str">
        <f aca="false">IF('V_DATOS PAC_SGA'!AV476="","Regadio",'V_DATOS PAC_SGA'!AV476)</f>
        <v>Regadio</v>
      </c>
      <c r="F481" s="1411" t="n">
        <f aca="false">'V_DATOS PAC_SGA'!BK476</f>
        <v>0</v>
      </c>
      <c r="G481" s="1412" t="n">
        <f aca="false">'V_DATOS PAC_SGA'!AN476</f>
        <v>0</v>
      </c>
      <c r="H481" s="1413" t="str">
        <f aca="false">IF(B481&gt;0,VLOOKUP(B481,'O_MN, PE_UTA_UGM 2024'!E$3:O$419,10),"")</f>
        <v/>
      </c>
      <c r="I481" s="1359" t="n">
        <f aca="false">'V_DATOS PAC_SGA'!BV476</f>
        <v>0</v>
      </c>
      <c r="J481" s="2" t="str">
        <f aca="false">IF(AND(J$4=$G481,J$6=$F481),$D481*J$5,"")</f>
        <v/>
      </c>
      <c r="K481" s="2" t="str">
        <f aca="false">IF(AND(K$4=$G481,K$6=$F481),$D481*K$5,"")</f>
        <v/>
      </c>
      <c r="L481" s="2" t="str">
        <f aca="false">IF(AND(L$4=$G481,L$6=$F481),$D481*L$5,"")</f>
        <v/>
      </c>
      <c r="M481" s="2" t="str">
        <f aca="false">IF(AND(M$4=$G481,M$6=$F481),$D481*M$5,"")</f>
        <v/>
      </c>
      <c r="N481" s="1478" t="n">
        <f aca="false">VLOOKUP(B481,'O_MN, PE_UTA_UGM 2024'!$E$2:$K$419,IF(G481&gt;1,6,7))</f>
        <v>0</v>
      </c>
      <c r="O481" s="1434" t="str">
        <f aca="false">IF($H481=O$4,$D481*$N481,"")</f>
        <v/>
      </c>
      <c r="P481" s="1435" t="str">
        <f aca="false">IF($H481=P$4,$D481*$N481,"")</f>
        <v/>
      </c>
      <c r="Q481" s="1435" t="str">
        <f aca="false">IF($H481=Q$4,$D481*$N481,"")</f>
        <v/>
      </c>
      <c r="R481" s="1435" t="str">
        <f aca="false">IF($H481=R$4,$D481*$N481,"")</f>
        <v/>
      </c>
      <c r="S481" s="1435" t="str">
        <f aca="false">IF($H481=S$4,$D481*$N481,"")</f>
        <v/>
      </c>
      <c r="T481" s="1435" t="str">
        <f aca="false">IF($H481=T$4,$D481*$N481,"")</f>
        <v/>
      </c>
      <c r="U481" s="1436" t="str">
        <f aca="false">IF($H481=U$4,$D481*$N481,"")</f>
        <v/>
      </c>
      <c r="V481" s="1472"/>
      <c r="W481" s="1471"/>
      <c r="X481" s="1471"/>
      <c r="Y481" s="1471"/>
      <c r="Z481" s="1471"/>
      <c r="AA481" s="1471"/>
      <c r="AB481" s="1473"/>
      <c r="AC481" s="1319"/>
      <c r="AD481" s="2" t="str">
        <f aca="false">IF(AND(AD$4=$G481,AD$6=$F481),$B481,"")</f>
        <v/>
      </c>
      <c r="AE481" s="2" t="str">
        <f aca="false">IF(AND(AE$4=$G481,AE$6=$F481),$B481,"")</f>
        <v/>
      </c>
      <c r="AF481" s="2" t="str">
        <f aca="false">IF(AND(AF$4=$G481,AF$6=$F481),$B481,"")</f>
        <v/>
      </c>
      <c r="AG481" s="2" t="str">
        <f aca="false">IF(AND(AG$4=$G481,AG$6=$F481),$B481,"")</f>
        <v/>
      </c>
      <c r="AI481" s="366"/>
      <c r="AL481" s="367"/>
      <c r="AO481" s="367"/>
      <c r="AR481" s="1411"/>
      <c r="AT481" s="1422"/>
      <c r="AU481" s="1411"/>
      <c r="AV481" s="1411"/>
      <c r="AW481" s="1423"/>
      <c r="AX481" s="1423"/>
      <c r="AZ481" s="1370"/>
      <c r="BA481" s="1370"/>
      <c r="BB481" s="1370"/>
      <c r="BC481" s="1370"/>
      <c r="BD481" s="1370"/>
      <c r="BE481" s="1370"/>
      <c r="BF481" s="1370"/>
      <c r="BG481" s="1370"/>
      <c r="BH481" s="1371"/>
      <c r="BI481" s="1371"/>
      <c r="BJ481" s="1371"/>
      <c r="BK481" s="1371"/>
      <c r="BM481" s="1411"/>
      <c r="BN481" s="1411"/>
      <c r="BO481" s="1425"/>
      <c r="BP481" s="1425"/>
      <c r="BQ481" s="1425"/>
      <c r="BR481" s="1425"/>
      <c r="BS481" s="1411"/>
      <c r="BT481" s="1411"/>
      <c r="BU481" s="1411"/>
      <c r="BV481" s="1411"/>
      <c r="BW481" s="1411"/>
      <c r="BX481" s="1411"/>
      <c r="BZ481" s="1438"/>
      <c r="CA481" s="1438"/>
      <c r="CB481" s="1496"/>
      <c r="CC481" s="1496"/>
      <c r="CD481" s="1496"/>
      <c r="CE481" s="1496"/>
      <c r="CF481" s="1438"/>
      <c r="CG481" s="1438"/>
      <c r="CH481" s="1438"/>
      <c r="CI481" s="1438"/>
      <c r="CJ481" s="1438"/>
      <c r="CK481" s="1438"/>
      <c r="CU481" s="1411"/>
      <c r="CV481" s="1411"/>
      <c r="CW481" s="1425"/>
      <c r="CX481" s="1425"/>
      <c r="CY481" s="1425"/>
      <c r="CZ481" s="1425"/>
      <c r="DA481" s="1411"/>
      <c r="DB481" s="1411"/>
      <c r="DC481" s="1411"/>
      <c r="DD481" s="1411"/>
      <c r="DE481" s="1411"/>
      <c r="DF481" s="1411"/>
      <c r="DH481" s="1432"/>
      <c r="DI481" s="1432"/>
      <c r="DJ481" s="1437"/>
      <c r="DK481" s="1437"/>
      <c r="DL481" s="1437"/>
      <c r="DM481" s="1437"/>
      <c r="DN481" s="1432"/>
      <c r="DO481" s="1432"/>
      <c r="DP481" s="1432"/>
      <c r="DQ481" s="1432"/>
      <c r="DR481" s="1432"/>
      <c r="DS481" s="1432"/>
      <c r="DT481" s="1316"/>
      <c r="DU481" s="1433"/>
      <c r="DV481" s="1433"/>
      <c r="DW481" s="1433"/>
      <c r="DX481" s="1433"/>
      <c r="DY481" s="1433"/>
      <c r="DZ481" s="1433"/>
      <c r="EA481" s="1433"/>
      <c r="EB481" s="1433"/>
    </row>
    <row r="482" customFormat="false" ht="14.25" hidden="false" customHeight="false" outlineLevel="0" collapsed="false">
      <c r="A482" s="2" t="n">
        <f aca="false">'V_DATOS PAC_SGA'!R477</f>
        <v>0</v>
      </c>
      <c r="B482" s="2" t="n">
        <f aca="false">IF(I482="IV",CONCATENATE('V_DATOS PAC_SGA'!R477,"4")+0,CONCATENATE('V_DATOS PAC_SGA'!R477,"0")+0)</f>
        <v>0</v>
      </c>
      <c r="C482" s="2" t="n">
        <f aca="false">'V_DATOS PAC_SGA'!S477</f>
        <v>0</v>
      </c>
      <c r="D482" s="1409" t="n">
        <f aca="false">'V_DATOS PAC_SGA'!Y477</f>
        <v>0</v>
      </c>
      <c r="E482" s="1410" t="str">
        <f aca="false">IF('V_DATOS PAC_SGA'!AV477="","Regadio",'V_DATOS PAC_SGA'!AV477)</f>
        <v>Regadio</v>
      </c>
      <c r="F482" s="1411" t="n">
        <f aca="false">'V_DATOS PAC_SGA'!BK477</f>
        <v>0</v>
      </c>
      <c r="G482" s="1412" t="n">
        <f aca="false">'V_DATOS PAC_SGA'!AN477</f>
        <v>0</v>
      </c>
      <c r="H482" s="1413" t="str">
        <f aca="false">IF(B482&gt;0,VLOOKUP(B482,'O_MN, PE_UTA_UGM 2024'!E$3:O$419,10),"")</f>
        <v/>
      </c>
      <c r="I482" s="1359" t="n">
        <f aca="false">'V_DATOS PAC_SGA'!BV477</f>
        <v>0</v>
      </c>
      <c r="J482" s="2" t="str">
        <f aca="false">IF(AND(J$4=$G482,J$6=$F482),$D482*J$5,"")</f>
        <v/>
      </c>
      <c r="K482" s="2" t="str">
        <f aca="false">IF(AND(K$4=$G482,K$6=$F482),$D482*K$5,"")</f>
        <v/>
      </c>
      <c r="L482" s="2" t="str">
        <f aca="false">IF(AND(L$4=$G482,L$6=$F482),$D482*L$5,"")</f>
        <v/>
      </c>
      <c r="M482" s="2" t="str">
        <f aca="false">IF(AND(M$4=$G482,M$6=$F482),$D482*M$5,"")</f>
        <v/>
      </c>
      <c r="N482" s="1478" t="n">
        <f aca="false">VLOOKUP(B482,'O_MN, PE_UTA_UGM 2024'!$E$2:$K$419,IF(G482&gt;1,6,7))</f>
        <v>0</v>
      </c>
      <c r="O482" s="1434" t="str">
        <f aca="false">IF($H482=O$4,$D482*$N482,"")</f>
        <v/>
      </c>
      <c r="P482" s="1435" t="str">
        <f aca="false">IF($H482=P$4,$D482*$N482,"")</f>
        <v/>
      </c>
      <c r="Q482" s="1435" t="str">
        <f aca="false">IF($H482=Q$4,$D482*$N482,"")</f>
        <v/>
      </c>
      <c r="R482" s="1435" t="str">
        <f aca="false">IF($H482=R$4,$D482*$N482,"")</f>
        <v/>
      </c>
      <c r="S482" s="1435" t="str">
        <f aca="false">IF($H482=S$4,$D482*$N482,"")</f>
        <v/>
      </c>
      <c r="T482" s="1435" t="str">
        <f aca="false">IF($H482=T$4,$D482*$N482,"")</f>
        <v/>
      </c>
      <c r="U482" s="1436" t="str">
        <f aca="false">IF($H482=U$4,$D482*$N482,"")</f>
        <v/>
      </c>
      <c r="V482" s="1472"/>
      <c r="W482" s="1471"/>
      <c r="X482" s="1471"/>
      <c r="Y482" s="1471"/>
      <c r="Z482" s="1471"/>
      <c r="AA482" s="1471"/>
      <c r="AB482" s="1473"/>
      <c r="AC482" s="1319"/>
      <c r="AD482" s="2" t="str">
        <f aca="false">IF(AND(AD$4=$G482,AD$6=$F482),$B482,"")</f>
        <v/>
      </c>
      <c r="AE482" s="2" t="str">
        <f aca="false">IF(AND(AE$4=$G482,AE$6=$F482),$B482,"")</f>
        <v/>
      </c>
      <c r="AF482" s="2" t="str">
        <f aca="false">IF(AND(AF$4=$G482,AF$6=$F482),$B482,"")</f>
        <v/>
      </c>
      <c r="AG482" s="2" t="str">
        <f aca="false">IF(AND(AG$4=$G482,AG$6=$F482),$B482,"")</f>
        <v/>
      </c>
      <c r="AI482" s="366"/>
      <c r="AL482" s="367"/>
      <c r="AO482" s="367"/>
      <c r="AR482" s="1411"/>
      <c r="AT482" s="1422"/>
      <c r="AU482" s="1411"/>
      <c r="AV482" s="1411"/>
      <c r="AW482" s="1423"/>
      <c r="AX482" s="1423"/>
      <c r="AZ482" s="1370"/>
      <c r="BA482" s="1370"/>
      <c r="BB482" s="1370"/>
      <c r="BC482" s="1370"/>
      <c r="BD482" s="1370"/>
      <c r="BE482" s="1370"/>
      <c r="BF482" s="1370"/>
      <c r="BG482" s="1370"/>
      <c r="BH482" s="1371"/>
      <c r="BI482" s="1371"/>
      <c r="BJ482" s="1371"/>
      <c r="BK482" s="1371"/>
      <c r="BM482" s="1411"/>
      <c r="BN482" s="1411"/>
      <c r="BO482" s="1425"/>
      <c r="BP482" s="1425"/>
      <c r="BQ482" s="1425"/>
      <c r="BR482" s="1425"/>
      <c r="BS482" s="1411"/>
      <c r="BT482" s="1411"/>
      <c r="BU482" s="1411"/>
      <c r="BV482" s="1411"/>
      <c r="BW482" s="1411"/>
      <c r="BX482" s="1411"/>
      <c r="BZ482" s="1438"/>
      <c r="CA482" s="1438"/>
      <c r="CB482" s="1496"/>
      <c r="CC482" s="1496"/>
      <c r="CD482" s="1496"/>
      <c r="CE482" s="1496"/>
      <c r="CF482" s="1438"/>
      <c r="CG482" s="1438"/>
      <c r="CH482" s="1438"/>
      <c r="CI482" s="1438"/>
      <c r="CJ482" s="1438"/>
      <c r="CK482" s="1438"/>
      <c r="CU482" s="1411"/>
      <c r="CV482" s="1411"/>
      <c r="CW482" s="1425"/>
      <c r="CX482" s="1425"/>
      <c r="CY482" s="1425"/>
      <c r="CZ482" s="1425"/>
      <c r="DA482" s="1411"/>
      <c r="DB482" s="1411"/>
      <c r="DC482" s="1411"/>
      <c r="DD482" s="1411"/>
      <c r="DE482" s="1411"/>
      <c r="DF482" s="1411"/>
      <c r="DH482" s="1432"/>
      <c r="DI482" s="1432"/>
      <c r="DJ482" s="1437"/>
      <c r="DK482" s="1437"/>
      <c r="DL482" s="1437"/>
      <c r="DM482" s="1437"/>
      <c r="DN482" s="1432"/>
      <c r="DO482" s="1432"/>
      <c r="DP482" s="1432"/>
      <c r="DQ482" s="1432"/>
      <c r="DR482" s="1432"/>
      <c r="DS482" s="1432"/>
      <c r="DT482" s="1316"/>
      <c r="DU482" s="1433"/>
      <c r="DV482" s="1433"/>
      <c r="DW482" s="1433"/>
      <c r="DX482" s="1433"/>
      <c r="DY482" s="1433"/>
      <c r="DZ482" s="1433"/>
      <c r="EA482" s="1433"/>
      <c r="EB482" s="1433"/>
    </row>
    <row r="483" customFormat="false" ht="14.25" hidden="false" customHeight="false" outlineLevel="0" collapsed="false">
      <c r="A483" s="2" t="n">
        <f aca="false">'V_DATOS PAC_SGA'!R478</f>
        <v>0</v>
      </c>
      <c r="B483" s="2" t="n">
        <f aca="false">IF(I483="IV",CONCATENATE('V_DATOS PAC_SGA'!R478,"4")+0,CONCATENATE('V_DATOS PAC_SGA'!R478,"0")+0)</f>
        <v>0</v>
      </c>
      <c r="C483" s="2" t="n">
        <f aca="false">'V_DATOS PAC_SGA'!S478</f>
        <v>0</v>
      </c>
      <c r="D483" s="1409" t="n">
        <f aca="false">'V_DATOS PAC_SGA'!Y478</f>
        <v>0</v>
      </c>
      <c r="E483" s="1410" t="str">
        <f aca="false">IF('V_DATOS PAC_SGA'!AV478="","Regadio",'V_DATOS PAC_SGA'!AV478)</f>
        <v>Regadio</v>
      </c>
      <c r="F483" s="1411" t="n">
        <f aca="false">'V_DATOS PAC_SGA'!BK478</f>
        <v>0</v>
      </c>
      <c r="G483" s="1412" t="n">
        <f aca="false">'V_DATOS PAC_SGA'!AN478</f>
        <v>0</v>
      </c>
      <c r="H483" s="1413" t="str">
        <f aca="false">IF(B483&gt;0,VLOOKUP(B483,'O_MN, PE_UTA_UGM 2024'!E$3:O$419,10),"")</f>
        <v/>
      </c>
      <c r="I483" s="1359" t="n">
        <f aca="false">'V_DATOS PAC_SGA'!BV478</f>
        <v>0</v>
      </c>
      <c r="J483" s="2" t="str">
        <f aca="false">IF(AND(J$4=$G483,J$6=$F483),$D483*J$5,"")</f>
        <v/>
      </c>
      <c r="K483" s="2" t="str">
        <f aca="false">IF(AND(K$4=$G483,K$6=$F483),$D483*K$5,"")</f>
        <v/>
      </c>
      <c r="L483" s="2" t="str">
        <f aca="false">IF(AND(L$4=$G483,L$6=$F483),$D483*L$5,"")</f>
        <v/>
      </c>
      <c r="M483" s="2" t="str">
        <f aca="false">IF(AND(M$4=$G483,M$6=$F483),$D483*M$5,"")</f>
        <v/>
      </c>
      <c r="N483" s="1478" t="n">
        <f aca="false">VLOOKUP(B483,'O_MN, PE_UTA_UGM 2024'!$E$2:$K$419,IF(G483&gt;1,6,7))</f>
        <v>0</v>
      </c>
      <c r="O483" s="1434" t="str">
        <f aca="false">IF($H483=O$4,$D483*$N483,"")</f>
        <v/>
      </c>
      <c r="P483" s="1435" t="str">
        <f aca="false">IF($H483=P$4,$D483*$N483,"")</f>
        <v/>
      </c>
      <c r="Q483" s="1435" t="str">
        <f aca="false">IF($H483=Q$4,$D483*$N483,"")</f>
        <v/>
      </c>
      <c r="R483" s="1435" t="str">
        <f aca="false">IF($H483=R$4,$D483*$N483,"")</f>
        <v/>
      </c>
      <c r="S483" s="1435" t="str">
        <f aca="false">IF($H483=S$4,$D483*$N483,"")</f>
        <v/>
      </c>
      <c r="T483" s="1435" t="str">
        <f aca="false">IF($H483=T$4,$D483*$N483,"")</f>
        <v/>
      </c>
      <c r="U483" s="1436" t="str">
        <f aca="false">IF($H483=U$4,$D483*$N483,"")</f>
        <v/>
      </c>
      <c r="V483" s="1472"/>
      <c r="W483" s="1471"/>
      <c r="X483" s="1471"/>
      <c r="Y483" s="1471"/>
      <c r="Z483" s="1471"/>
      <c r="AA483" s="1471"/>
      <c r="AB483" s="1473"/>
      <c r="AC483" s="1319"/>
      <c r="AD483" s="2" t="str">
        <f aca="false">IF(AND(AD$4=$G483,AD$6=$F483),$B483,"")</f>
        <v/>
      </c>
      <c r="AE483" s="2" t="str">
        <f aca="false">IF(AND(AE$4=$G483,AE$6=$F483),$B483,"")</f>
        <v/>
      </c>
      <c r="AF483" s="2" t="str">
        <f aca="false">IF(AND(AF$4=$G483,AF$6=$F483),$B483,"")</f>
        <v/>
      </c>
      <c r="AG483" s="2" t="str">
        <f aca="false">IF(AND(AG$4=$G483,AG$6=$F483),$B483,"")</f>
        <v/>
      </c>
      <c r="AI483" s="366"/>
      <c r="AL483" s="367"/>
      <c r="AO483" s="367"/>
      <c r="AR483" s="1411"/>
      <c r="AT483" s="1422"/>
      <c r="AU483" s="1411"/>
      <c r="AV483" s="1411"/>
      <c r="AW483" s="1423"/>
      <c r="AX483" s="1423"/>
      <c r="AZ483" s="1370"/>
      <c r="BA483" s="1370"/>
      <c r="BB483" s="1370"/>
      <c r="BC483" s="1370"/>
      <c r="BD483" s="1370"/>
      <c r="BE483" s="1370"/>
      <c r="BF483" s="1370"/>
      <c r="BG483" s="1370"/>
      <c r="BH483" s="1371"/>
      <c r="BI483" s="1371"/>
      <c r="BJ483" s="1371"/>
      <c r="BK483" s="1371"/>
      <c r="BM483" s="1411"/>
      <c r="BN483" s="1411"/>
      <c r="BO483" s="1425"/>
      <c r="BP483" s="1425"/>
      <c r="BQ483" s="1425"/>
      <c r="BR483" s="1425"/>
      <c r="BS483" s="1411"/>
      <c r="BT483" s="1411"/>
      <c r="BU483" s="1411"/>
      <c r="BV483" s="1411"/>
      <c r="BW483" s="1411"/>
      <c r="BX483" s="1411"/>
      <c r="BZ483" s="1438"/>
      <c r="CA483" s="1438"/>
      <c r="CB483" s="1496"/>
      <c r="CC483" s="1496"/>
      <c r="CD483" s="1496"/>
      <c r="CE483" s="1496"/>
      <c r="CF483" s="1438"/>
      <c r="CG483" s="1438"/>
      <c r="CH483" s="1438"/>
      <c r="CI483" s="1438"/>
      <c r="CJ483" s="1438"/>
      <c r="CK483" s="1438"/>
      <c r="CU483" s="1411"/>
      <c r="CV483" s="1411"/>
      <c r="CW483" s="1425"/>
      <c r="CX483" s="1425"/>
      <c r="CY483" s="1425"/>
      <c r="CZ483" s="1425"/>
      <c r="DA483" s="1411"/>
      <c r="DB483" s="1411"/>
      <c r="DC483" s="1411"/>
      <c r="DD483" s="1411"/>
      <c r="DE483" s="1411"/>
      <c r="DF483" s="1411"/>
      <c r="DH483" s="1432"/>
      <c r="DI483" s="1432"/>
      <c r="DJ483" s="1437"/>
      <c r="DK483" s="1437"/>
      <c r="DL483" s="1437"/>
      <c r="DM483" s="1437"/>
      <c r="DN483" s="1432"/>
      <c r="DO483" s="1432"/>
      <c r="DP483" s="1432"/>
      <c r="DQ483" s="1432"/>
      <c r="DR483" s="1432"/>
      <c r="DS483" s="1432"/>
      <c r="DT483" s="1316"/>
      <c r="DU483" s="1433"/>
      <c r="DV483" s="1433"/>
      <c r="DW483" s="1433"/>
      <c r="DX483" s="1433"/>
      <c r="DY483" s="1433"/>
      <c r="DZ483" s="1433"/>
      <c r="EA483" s="1433"/>
      <c r="EB483" s="1433"/>
    </row>
    <row r="484" customFormat="false" ht="14.25" hidden="false" customHeight="false" outlineLevel="0" collapsed="false">
      <c r="A484" s="2" t="n">
        <f aca="false">'V_DATOS PAC_SGA'!R479</f>
        <v>0</v>
      </c>
      <c r="B484" s="2" t="n">
        <f aca="false">IF(I484="IV",CONCATENATE('V_DATOS PAC_SGA'!R479,"4")+0,CONCATENATE('V_DATOS PAC_SGA'!R479,"0")+0)</f>
        <v>0</v>
      </c>
      <c r="C484" s="2" t="n">
        <f aca="false">'V_DATOS PAC_SGA'!S479</f>
        <v>0</v>
      </c>
      <c r="D484" s="1409" t="n">
        <f aca="false">'V_DATOS PAC_SGA'!Y479</f>
        <v>0</v>
      </c>
      <c r="E484" s="1410" t="str">
        <f aca="false">IF('V_DATOS PAC_SGA'!AV479="","Regadio",'V_DATOS PAC_SGA'!AV479)</f>
        <v>Regadio</v>
      </c>
      <c r="F484" s="1411" t="n">
        <f aca="false">'V_DATOS PAC_SGA'!BK479</f>
        <v>0</v>
      </c>
      <c r="G484" s="1412" t="n">
        <f aca="false">'V_DATOS PAC_SGA'!AN479</f>
        <v>0</v>
      </c>
      <c r="H484" s="1413" t="str">
        <f aca="false">IF(B484&gt;0,VLOOKUP(B484,'O_MN, PE_UTA_UGM 2024'!E$3:O$419,10),"")</f>
        <v/>
      </c>
      <c r="I484" s="1359" t="n">
        <f aca="false">'V_DATOS PAC_SGA'!BV479</f>
        <v>0</v>
      </c>
      <c r="J484" s="2" t="str">
        <f aca="false">IF(AND(J$4=$G484,J$6=$F484),$D484*J$5,"")</f>
        <v/>
      </c>
      <c r="K484" s="2" t="str">
        <f aca="false">IF(AND(K$4=$G484,K$6=$F484),$D484*K$5,"")</f>
        <v/>
      </c>
      <c r="L484" s="2" t="str">
        <f aca="false">IF(AND(L$4=$G484,L$6=$F484),$D484*L$5,"")</f>
        <v/>
      </c>
      <c r="M484" s="2" t="str">
        <f aca="false">IF(AND(M$4=$G484,M$6=$F484),$D484*M$5,"")</f>
        <v/>
      </c>
      <c r="N484" s="1478" t="n">
        <f aca="false">VLOOKUP(B484,'O_MN, PE_UTA_UGM 2024'!$E$2:$K$419,IF(G484&gt;1,6,7))</f>
        <v>0</v>
      </c>
      <c r="O484" s="1434" t="str">
        <f aca="false">IF($H484=O$4,$D484*$N484,"")</f>
        <v/>
      </c>
      <c r="P484" s="1435" t="str">
        <f aca="false">IF($H484=P$4,$D484*$N484,"")</f>
        <v/>
      </c>
      <c r="Q484" s="1435" t="str">
        <f aca="false">IF($H484=Q$4,$D484*$N484,"")</f>
        <v/>
      </c>
      <c r="R484" s="1435" t="str">
        <f aca="false">IF($H484=R$4,$D484*$N484,"")</f>
        <v/>
      </c>
      <c r="S484" s="1435" t="str">
        <f aca="false">IF($H484=S$4,$D484*$N484,"")</f>
        <v/>
      </c>
      <c r="T484" s="1435" t="str">
        <f aca="false">IF($H484=T$4,$D484*$N484,"")</f>
        <v/>
      </c>
      <c r="U484" s="1436" t="str">
        <f aca="false">IF($H484=U$4,$D484*$N484,"")</f>
        <v/>
      </c>
      <c r="V484" s="1472"/>
      <c r="W484" s="1471"/>
      <c r="X484" s="1471"/>
      <c r="Y484" s="1471"/>
      <c r="Z484" s="1471"/>
      <c r="AA484" s="1471"/>
      <c r="AB484" s="1473"/>
      <c r="AC484" s="1319"/>
      <c r="AD484" s="2" t="str">
        <f aca="false">IF(AND(AD$4=$G484,AD$6=$F484),$B484,"")</f>
        <v/>
      </c>
      <c r="AE484" s="2" t="str">
        <f aca="false">IF(AND(AE$4=$G484,AE$6=$F484),$B484,"")</f>
        <v/>
      </c>
      <c r="AF484" s="2" t="str">
        <f aca="false">IF(AND(AF$4=$G484,AF$6=$F484),$B484,"")</f>
        <v/>
      </c>
      <c r="AG484" s="2" t="str">
        <f aca="false">IF(AND(AG$4=$G484,AG$6=$F484),$B484,"")</f>
        <v/>
      </c>
      <c r="AI484" s="366"/>
      <c r="AL484" s="367"/>
      <c r="AO484" s="367"/>
      <c r="AR484" s="1411"/>
      <c r="AT484" s="1422"/>
      <c r="AU484" s="1411"/>
      <c r="AV484" s="1411"/>
      <c r="AW484" s="1423"/>
      <c r="AX484" s="1423"/>
      <c r="AZ484" s="1370"/>
      <c r="BA484" s="1370"/>
      <c r="BB484" s="1370"/>
      <c r="BC484" s="1370"/>
      <c r="BD484" s="1370"/>
      <c r="BE484" s="1370"/>
      <c r="BF484" s="1370"/>
      <c r="BG484" s="1370"/>
      <c r="BH484" s="1371"/>
      <c r="BI484" s="1371"/>
      <c r="BJ484" s="1371"/>
      <c r="BK484" s="1371"/>
      <c r="BM484" s="1411"/>
      <c r="BN484" s="1411"/>
      <c r="BO484" s="1425"/>
      <c r="BP484" s="1425"/>
      <c r="BQ484" s="1425"/>
      <c r="BR484" s="1425"/>
      <c r="BS484" s="1411"/>
      <c r="BT484" s="1411"/>
      <c r="BU484" s="1411"/>
      <c r="BV484" s="1411"/>
      <c r="BW484" s="1411"/>
      <c r="BX484" s="1411"/>
      <c r="BZ484" s="1438"/>
      <c r="CA484" s="1438"/>
      <c r="CB484" s="1496"/>
      <c r="CC484" s="1496"/>
      <c r="CD484" s="1496"/>
      <c r="CE484" s="1496"/>
      <c r="CF484" s="1438"/>
      <c r="CG484" s="1438"/>
      <c r="CH484" s="1438"/>
      <c r="CI484" s="1438"/>
      <c r="CJ484" s="1438"/>
      <c r="CK484" s="1438"/>
      <c r="CU484" s="1411"/>
      <c r="CV484" s="1411"/>
      <c r="CW484" s="1425"/>
      <c r="CX484" s="1425"/>
      <c r="CY484" s="1425"/>
      <c r="CZ484" s="1425"/>
      <c r="DA484" s="1411"/>
      <c r="DB484" s="1411"/>
      <c r="DC484" s="1411"/>
      <c r="DD484" s="1411"/>
      <c r="DE484" s="1411"/>
      <c r="DF484" s="1411"/>
      <c r="DH484" s="1432"/>
      <c r="DI484" s="1432"/>
      <c r="DJ484" s="1437"/>
      <c r="DK484" s="1437"/>
      <c r="DL484" s="1437"/>
      <c r="DM484" s="1437"/>
      <c r="DN484" s="1432"/>
      <c r="DO484" s="1432"/>
      <c r="DP484" s="1432"/>
      <c r="DQ484" s="1432"/>
      <c r="DR484" s="1432"/>
      <c r="DS484" s="1432"/>
      <c r="DT484" s="1316"/>
      <c r="DU484" s="1433"/>
      <c r="DV484" s="1433"/>
      <c r="DW484" s="1433"/>
      <c r="DX484" s="1433"/>
      <c r="DY484" s="1433"/>
      <c r="DZ484" s="1433"/>
      <c r="EA484" s="1433"/>
      <c r="EB484" s="1433"/>
    </row>
    <row r="485" customFormat="false" ht="14.25" hidden="false" customHeight="false" outlineLevel="0" collapsed="false">
      <c r="A485" s="2" t="n">
        <f aca="false">'V_DATOS PAC_SGA'!R480</f>
        <v>0</v>
      </c>
      <c r="B485" s="2" t="n">
        <f aca="false">IF(I485="IV",CONCATENATE('V_DATOS PAC_SGA'!R480,"4")+0,CONCATENATE('V_DATOS PAC_SGA'!R480,"0")+0)</f>
        <v>0</v>
      </c>
      <c r="C485" s="2" t="n">
        <f aca="false">'V_DATOS PAC_SGA'!S480</f>
        <v>0</v>
      </c>
      <c r="D485" s="1409" t="n">
        <f aca="false">'V_DATOS PAC_SGA'!Y480</f>
        <v>0</v>
      </c>
      <c r="E485" s="1410" t="str">
        <f aca="false">IF('V_DATOS PAC_SGA'!AV480="","Regadio",'V_DATOS PAC_SGA'!AV480)</f>
        <v>Regadio</v>
      </c>
      <c r="F485" s="1411" t="n">
        <f aca="false">'V_DATOS PAC_SGA'!BK480</f>
        <v>0</v>
      </c>
      <c r="G485" s="1412" t="n">
        <f aca="false">'V_DATOS PAC_SGA'!AN480</f>
        <v>0</v>
      </c>
      <c r="H485" s="1413" t="str">
        <f aca="false">IF(B485&gt;0,VLOOKUP(B485,'O_MN, PE_UTA_UGM 2024'!E$3:O$419,10),"")</f>
        <v/>
      </c>
      <c r="I485" s="1359" t="n">
        <f aca="false">'V_DATOS PAC_SGA'!BV480</f>
        <v>0</v>
      </c>
      <c r="J485" s="2" t="str">
        <f aca="false">IF(AND(J$4=$G485,J$6=$F485),$D485*J$5,"")</f>
        <v/>
      </c>
      <c r="K485" s="2" t="str">
        <f aca="false">IF(AND(K$4=$G485,K$6=$F485),$D485*K$5,"")</f>
        <v/>
      </c>
      <c r="L485" s="2" t="str">
        <f aca="false">IF(AND(L$4=$G485,L$6=$F485),$D485*L$5,"")</f>
        <v/>
      </c>
      <c r="M485" s="2" t="str">
        <f aca="false">IF(AND(M$4=$G485,M$6=$F485),$D485*M$5,"")</f>
        <v/>
      </c>
      <c r="N485" s="1478" t="n">
        <f aca="false">VLOOKUP(B485,'O_MN, PE_UTA_UGM 2024'!$E$2:$K$419,IF(G485&gt;1,6,7))</f>
        <v>0</v>
      </c>
      <c r="O485" s="1434" t="str">
        <f aca="false">IF($H485=O$4,$D485*$N485,"")</f>
        <v/>
      </c>
      <c r="P485" s="1435" t="str">
        <f aca="false">IF($H485=P$4,$D485*$N485,"")</f>
        <v/>
      </c>
      <c r="Q485" s="1435" t="str">
        <f aca="false">IF($H485=Q$4,$D485*$N485,"")</f>
        <v/>
      </c>
      <c r="R485" s="1435" t="str">
        <f aca="false">IF($H485=R$4,$D485*$N485,"")</f>
        <v/>
      </c>
      <c r="S485" s="1435" t="str">
        <f aca="false">IF($H485=S$4,$D485*$N485,"")</f>
        <v/>
      </c>
      <c r="T485" s="1435" t="str">
        <f aca="false">IF($H485=T$4,$D485*$N485,"")</f>
        <v/>
      </c>
      <c r="U485" s="1436" t="str">
        <f aca="false">IF($H485=U$4,$D485*$N485,"")</f>
        <v/>
      </c>
      <c r="V485" s="1472"/>
      <c r="W485" s="1471"/>
      <c r="X485" s="1471"/>
      <c r="Y485" s="1471"/>
      <c r="Z485" s="1471"/>
      <c r="AA485" s="1471"/>
      <c r="AB485" s="1473"/>
      <c r="AC485" s="1319"/>
      <c r="AD485" s="2" t="str">
        <f aca="false">IF(AND(AD$4=$G485,AD$6=$F485),$B485,"")</f>
        <v/>
      </c>
      <c r="AE485" s="2" t="str">
        <f aca="false">IF(AND(AE$4=$G485,AE$6=$F485),$B485,"")</f>
        <v/>
      </c>
      <c r="AF485" s="2" t="str">
        <f aca="false">IF(AND(AF$4=$G485,AF$6=$F485),$B485,"")</f>
        <v/>
      </c>
      <c r="AG485" s="2" t="str">
        <f aca="false">IF(AND(AG$4=$G485,AG$6=$F485),$B485,"")</f>
        <v/>
      </c>
      <c r="AI485" s="366"/>
      <c r="AL485" s="367"/>
      <c r="AO485" s="367"/>
      <c r="AR485" s="1411"/>
      <c r="AT485" s="1422"/>
      <c r="AU485" s="1411"/>
      <c r="AV485" s="1411"/>
      <c r="AW485" s="1423"/>
      <c r="AX485" s="1423"/>
      <c r="AZ485" s="1370"/>
      <c r="BA485" s="1370"/>
      <c r="BB485" s="1370"/>
      <c r="BC485" s="1370"/>
      <c r="BD485" s="1370"/>
      <c r="BE485" s="1370"/>
      <c r="BF485" s="1370"/>
      <c r="BG485" s="1370"/>
      <c r="BH485" s="1371"/>
      <c r="BI485" s="1371"/>
      <c r="BJ485" s="1371"/>
      <c r="BK485" s="1371"/>
      <c r="BM485" s="1411"/>
      <c r="BN485" s="1411"/>
      <c r="BO485" s="1425"/>
      <c r="BP485" s="1425"/>
      <c r="BQ485" s="1425"/>
      <c r="BR485" s="1425"/>
      <c r="BS485" s="1411"/>
      <c r="BT485" s="1411"/>
      <c r="BU485" s="1411"/>
      <c r="BV485" s="1411"/>
      <c r="BW485" s="1411"/>
      <c r="BX485" s="1411"/>
      <c r="BZ485" s="1438"/>
      <c r="CA485" s="1438"/>
      <c r="CB485" s="1496"/>
      <c r="CC485" s="1496"/>
      <c r="CD485" s="1496"/>
      <c r="CE485" s="1496"/>
      <c r="CF485" s="1438"/>
      <c r="CG485" s="1438"/>
      <c r="CH485" s="1438"/>
      <c r="CI485" s="1438"/>
      <c r="CJ485" s="1438"/>
      <c r="CK485" s="1438"/>
      <c r="CU485" s="1411"/>
      <c r="CV485" s="1411"/>
      <c r="CW485" s="1425"/>
      <c r="CX485" s="1425"/>
      <c r="CY485" s="1425"/>
      <c r="CZ485" s="1425"/>
      <c r="DA485" s="1411"/>
      <c r="DB485" s="1411"/>
      <c r="DC485" s="1411"/>
      <c r="DD485" s="1411"/>
      <c r="DE485" s="1411"/>
      <c r="DF485" s="1411"/>
      <c r="DH485" s="1432"/>
      <c r="DI485" s="1432"/>
      <c r="DJ485" s="1437"/>
      <c r="DK485" s="1437"/>
      <c r="DL485" s="1437"/>
      <c r="DM485" s="1437"/>
      <c r="DN485" s="1432"/>
      <c r="DO485" s="1432"/>
      <c r="DP485" s="1432"/>
      <c r="DQ485" s="1432"/>
      <c r="DR485" s="1432"/>
      <c r="DS485" s="1432"/>
      <c r="DT485" s="1316"/>
      <c r="DU485" s="1433"/>
      <c r="DV485" s="1433"/>
      <c r="DW485" s="1433"/>
      <c r="DX485" s="1433"/>
      <c r="DY485" s="1433"/>
      <c r="DZ485" s="1433"/>
      <c r="EA485" s="1433"/>
      <c r="EB485" s="1433"/>
    </row>
    <row r="486" customFormat="false" ht="14.25" hidden="false" customHeight="false" outlineLevel="0" collapsed="false">
      <c r="A486" s="2" t="n">
        <f aca="false">'V_DATOS PAC_SGA'!R481</f>
        <v>0</v>
      </c>
      <c r="B486" s="2" t="n">
        <f aca="false">IF(I486="IV",CONCATENATE('V_DATOS PAC_SGA'!R481,"4")+0,CONCATENATE('V_DATOS PAC_SGA'!R481,"0")+0)</f>
        <v>0</v>
      </c>
      <c r="C486" s="2" t="n">
        <f aca="false">'V_DATOS PAC_SGA'!S481</f>
        <v>0</v>
      </c>
      <c r="D486" s="1409" t="n">
        <f aca="false">'V_DATOS PAC_SGA'!Y481</f>
        <v>0</v>
      </c>
      <c r="E486" s="1410" t="str">
        <f aca="false">IF('V_DATOS PAC_SGA'!AV481="","Regadio",'V_DATOS PAC_SGA'!AV481)</f>
        <v>Regadio</v>
      </c>
      <c r="F486" s="1411" t="n">
        <f aca="false">'V_DATOS PAC_SGA'!BK481</f>
        <v>0</v>
      </c>
      <c r="G486" s="1412" t="n">
        <f aca="false">'V_DATOS PAC_SGA'!AN481</f>
        <v>0</v>
      </c>
      <c r="H486" s="1413" t="str">
        <f aca="false">IF(B486&gt;0,VLOOKUP(B486,'O_MN, PE_UTA_UGM 2024'!E$3:O$419,10),"")</f>
        <v/>
      </c>
      <c r="I486" s="1359" t="n">
        <f aca="false">'V_DATOS PAC_SGA'!BV481</f>
        <v>0</v>
      </c>
      <c r="J486" s="2" t="str">
        <f aca="false">IF(AND(J$4=$G486,J$6=$F486),$D486*J$5,"")</f>
        <v/>
      </c>
      <c r="K486" s="2" t="str">
        <f aca="false">IF(AND(K$4=$G486,K$6=$F486),$D486*K$5,"")</f>
        <v/>
      </c>
      <c r="L486" s="2" t="str">
        <f aca="false">IF(AND(L$4=$G486,L$6=$F486),$D486*L$5,"")</f>
        <v/>
      </c>
      <c r="M486" s="2" t="str">
        <f aca="false">IF(AND(M$4=$G486,M$6=$F486),$D486*M$5,"")</f>
        <v/>
      </c>
      <c r="N486" s="1478" t="n">
        <f aca="false">VLOOKUP(B486,'O_MN, PE_UTA_UGM 2024'!$E$2:$K$419,IF(G486&gt;1,6,7))</f>
        <v>0</v>
      </c>
      <c r="O486" s="1434" t="str">
        <f aca="false">IF($H486=O$4,$D486*$N486,"")</f>
        <v/>
      </c>
      <c r="P486" s="1435" t="str">
        <f aca="false">IF($H486=P$4,$D486*$N486,"")</f>
        <v/>
      </c>
      <c r="Q486" s="1435" t="str">
        <f aca="false">IF($H486=Q$4,$D486*$N486,"")</f>
        <v/>
      </c>
      <c r="R486" s="1435" t="str">
        <f aca="false">IF($H486=R$4,$D486*$N486,"")</f>
        <v/>
      </c>
      <c r="S486" s="1435" t="str">
        <f aca="false">IF($H486=S$4,$D486*$N486,"")</f>
        <v/>
      </c>
      <c r="T486" s="1435" t="str">
        <f aca="false">IF($H486=T$4,$D486*$N486,"")</f>
        <v/>
      </c>
      <c r="U486" s="1436" t="str">
        <f aca="false">IF($H486=U$4,$D486*$N486,"")</f>
        <v/>
      </c>
      <c r="V486" s="1472"/>
      <c r="W486" s="1471"/>
      <c r="X486" s="1471"/>
      <c r="Y486" s="1471"/>
      <c r="Z486" s="1471"/>
      <c r="AA486" s="1471"/>
      <c r="AB486" s="1473"/>
      <c r="AC486" s="1319"/>
      <c r="AD486" s="2" t="str">
        <f aca="false">IF(AND(AD$4=$G486,AD$6=$F486),$B486,"")</f>
        <v/>
      </c>
      <c r="AE486" s="2" t="str">
        <f aca="false">IF(AND(AE$4=$G486,AE$6=$F486),$B486,"")</f>
        <v/>
      </c>
      <c r="AF486" s="2" t="str">
        <f aca="false">IF(AND(AF$4=$G486,AF$6=$F486),$B486,"")</f>
        <v/>
      </c>
      <c r="AG486" s="2" t="str">
        <f aca="false">IF(AND(AG$4=$G486,AG$6=$F486),$B486,"")</f>
        <v/>
      </c>
      <c r="AI486" s="366"/>
      <c r="AL486" s="367"/>
      <c r="AO486" s="367"/>
      <c r="AR486" s="1411"/>
      <c r="AT486" s="1422"/>
      <c r="AU486" s="1411"/>
      <c r="AV486" s="1411"/>
      <c r="AW486" s="1423"/>
      <c r="AX486" s="1423"/>
      <c r="AZ486" s="1370"/>
      <c r="BA486" s="1370"/>
      <c r="BB486" s="1370"/>
      <c r="BC486" s="1370"/>
      <c r="BD486" s="1370"/>
      <c r="BE486" s="1370"/>
      <c r="BF486" s="1370"/>
      <c r="BG486" s="1370"/>
      <c r="BH486" s="1371"/>
      <c r="BI486" s="1371"/>
      <c r="BJ486" s="1371"/>
      <c r="BK486" s="1371"/>
      <c r="BM486" s="1411"/>
      <c r="BN486" s="1411"/>
      <c r="BO486" s="1425"/>
      <c r="BP486" s="1425"/>
      <c r="BQ486" s="1425"/>
      <c r="BR486" s="1425"/>
      <c r="BS486" s="1411"/>
      <c r="BT486" s="1411"/>
      <c r="BU486" s="1411"/>
      <c r="BV486" s="1411"/>
      <c r="BW486" s="1411"/>
      <c r="BX486" s="1411"/>
      <c r="BZ486" s="1438"/>
      <c r="CA486" s="1438"/>
      <c r="CB486" s="1496"/>
      <c r="CC486" s="1496"/>
      <c r="CD486" s="1496"/>
      <c r="CE486" s="1496"/>
      <c r="CF486" s="1438"/>
      <c r="CG486" s="1438"/>
      <c r="CH486" s="1438"/>
      <c r="CI486" s="1438"/>
      <c r="CJ486" s="1438"/>
      <c r="CK486" s="1438"/>
      <c r="CU486" s="1411"/>
      <c r="CV486" s="1411"/>
      <c r="CW486" s="1425"/>
      <c r="CX486" s="1425"/>
      <c r="CY486" s="1425"/>
      <c r="CZ486" s="1425"/>
      <c r="DA486" s="1411"/>
      <c r="DB486" s="1411"/>
      <c r="DC486" s="1411"/>
      <c r="DD486" s="1411"/>
      <c r="DE486" s="1411"/>
      <c r="DF486" s="1411"/>
      <c r="DH486" s="1432"/>
      <c r="DI486" s="1432"/>
      <c r="DJ486" s="1437"/>
      <c r="DK486" s="1437"/>
      <c r="DL486" s="1437"/>
      <c r="DM486" s="1437"/>
      <c r="DN486" s="1432"/>
      <c r="DO486" s="1432"/>
      <c r="DP486" s="1432"/>
      <c r="DQ486" s="1432"/>
      <c r="DR486" s="1432"/>
      <c r="DS486" s="1432"/>
      <c r="DT486" s="1316"/>
      <c r="DU486" s="1433"/>
      <c r="DV486" s="1433"/>
      <c r="DW486" s="1433"/>
      <c r="DX486" s="1433"/>
      <c r="DY486" s="1433"/>
      <c r="DZ486" s="1433"/>
      <c r="EA486" s="1433"/>
      <c r="EB486" s="1433"/>
    </row>
    <row r="487" customFormat="false" ht="14.25" hidden="false" customHeight="false" outlineLevel="0" collapsed="false">
      <c r="A487" s="2" t="n">
        <f aca="false">'V_DATOS PAC_SGA'!R482</f>
        <v>0</v>
      </c>
      <c r="B487" s="2" t="n">
        <f aca="false">IF(I487="IV",CONCATENATE('V_DATOS PAC_SGA'!R482,"4")+0,CONCATENATE('V_DATOS PAC_SGA'!R482,"0")+0)</f>
        <v>0</v>
      </c>
      <c r="C487" s="2" t="n">
        <f aca="false">'V_DATOS PAC_SGA'!S482</f>
        <v>0</v>
      </c>
      <c r="D487" s="1409" t="n">
        <f aca="false">'V_DATOS PAC_SGA'!Y482</f>
        <v>0</v>
      </c>
      <c r="E487" s="1410" t="str">
        <f aca="false">IF('V_DATOS PAC_SGA'!AV482="","Regadio",'V_DATOS PAC_SGA'!AV482)</f>
        <v>Regadio</v>
      </c>
      <c r="F487" s="1411" t="n">
        <f aca="false">'V_DATOS PAC_SGA'!BK482</f>
        <v>0</v>
      </c>
      <c r="G487" s="1412" t="n">
        <f aca="false">'V_DATOS PAC_SGA'!AN482</f>
        <v>0</v>
      </c>
      <c r="H487" s="1413" t="str">
        <f aca="false">IF(B487&gt;0,VLOOKUP(B487,'O_MN, PE_UTA_UGM 2024'!E$3:O$419,10),"")</f>
        <v/>
      </c>
      <c r="I487" s="1359" t="n">
        <f aca="false">'V_DATOS PAC_SGA'!BV482</f>
        <v>0</v>
      </c>
      <c r="J487" s="2" t="str">
        <f aca="false">IF(AND(J$4=$G487,J$6=$F487),$D487*J$5,"")</f>
        <v/>
      </c>
      <c r="K487" s="2" t="str">
        <f aca="false">IF(AND(K$4=$G487,K$6=$F487),$D487*K$5,"")</f>
        <v/>
      </c>
      <c r="L487" s="2" t="str">
        <f aca="false">IF(AND(L$4=$G487,L$6=$F487),$D487*L$5,"")</f>
        <v/>
      </c>
      <c r="M487" s="2" t="str">
        <f aca="false">IF(AND(M$4=$G487,M$6=$F487),$D487*M$5,"")</f>
        <v/>
      </c>
      <c r="N487" s="1478" t="n">
        <f aca="false">VLOOKUP(B487,'O_MN, PE_UTA_UGM 2024'!$E$2:$K$419,IF(G487&gt;1,6,7))</f>
        <v>0</v>
      </c>
      <c r="O487" s="1434" t="str">
        <f aca="false">IF($H487=O$4,$D487*$N487,"")</f>
        <v/>
      </c>
      <c r="P487" s="1435" t="str">
        <f aca="false">IF($H487=P$4,$D487*$N487,"")</f>
        <v/>
      </c>
      <c r="Q487" s="1435" t="str">
        <f aca="false">IF($H487=Q$4,$D487*$N487,"")</f>
        <v/>
      </c>
      <c r="R487" s="1435" t="str">
        <f aca="false">IF($H487=R$4,$D487*$N487,"")</f>
        <v/>
      </c>
      <c r="S487" s="1435" t="str">
        <f aca="false">IF($H487=S$4,$D487*$N487,"")</f>
        <v/>
      </c>
      <c r="T487" s="1435" t="str">
        <f aca="false">IF($H487=T$4,$D487*$N487,"")</f>
        <v/>
      </c>
      <c r="U487" s="1436" t="str">
        <f aca="false">IF($H487=U$4,$D487*$N487,"")</f>
        <v/>
      </c>
      <c r="V487" s="1472"/>
      <c r="W487" s="1471"/>
      <c r="X487" s="1471"/>
      <c r="Y487" s="1471"/>
      <c r="Z487" s="1471"/>
      <c r="AA487" s="1471"/>
      <c r="AB487" s="1473"/>
      <c r="AC487" s="1319"/>
      <c r="AD487" s="2" t="str">
        <f aca="false">IF(AND(AD$4=$G487,AD$6=$F487),$B487,"")</f>
        <v/>
      </c>
      <c r="AE487" s="2" t="str">
        <f aca="false">IF(AND(AE$4=$G487,AE$6=$F487),$B487,"")</f>
        <v/>
      </c>
      <c r="AF487" s="2" t="str">
        <f aca="false">IF(AND(AF$4=$G487,AF$6=$F487),$B487,"")</f>
        <v/>
      </c>
      <c r="AG487" s="2" t="str">
        <f aca="false">IF(AND(AG$4=$G487,AG$6=$F487),$B487,"")</f>
        <v/>
      </c>
      <c r="AI487" s="366"/>
      <c r="AL487" s="367"/>
      <c r="AO487" s="367"/>
      <c r="AR487" s="1411"/>
      <c r="AT487" s="1422"/>
      <c r="AU487" s="1411"/>
      <c r="AV487" s="1411"/>
      <c r="AW487" s="1423"/>
      <c r="AX487" s="1423"/>
      <c r="AZ487" s="1370"/>
      <c r="BA487" s="1370"/>
      <c r="BB487" s="1370"/>
      <c r="BC487" s="1370"/>
      <c r="BD487" s="1370"/>
      <c r="BE487" s="1370"/>
      <c r="BF487" s="1370"/>
      <c r="BG487" s="1370"/>
      <c r="BH487" s="1371"/>
      <c r="BI487" s="1371"/>
      <c r="BJ487" s="1371"/>
      <c r="BK487" s="1371"/>
      <c r="BM487" s="1411"/>
      <c r="BN487" s="1411"/>
      <c r="BO487" s="1425"/>
      <c r="BP487" s="1425"/>
      <c r="BQ487" s="1425"/>
      <c r="BR487" s="1425"/>
      <c r="BS487" s="1411"/>
      <c r="BT487" s="1411"/>
      <c r="BU487" s="1411"/>
      <c r="BV487" s="1411"/>
      <c r="BW487" s="1411"/>
      <c r="BX487" s="1411"/>
      <c r="BZ487" s="1438"/>
      <c r="CA487" s="1438"/>
      <c r="CB487" s="1496"/>
      <c r="CC487" s="1496"/>
      <c r="CD487" s="1496"/>
      <c r="CE487" s="1496"/>
      <c r="CF487" s="1438"/>
      <c r="CG487" s="1438"/>
      <c r="CH487" s="1438"/>
      <c r="CI487" s="1438"/>
      <c r="CJ487" s="1438"/>
      <c r="CK487" s="1438"/>
      <c r="CU487" s="1411"/>
      <c r="CV487" s="1411"/>
      <c r="CW487" s="1425"/>
      <c r="CX487" s="1425"/>
      <c r="CY487" s="1425"/>
      <c r="CZ487" s="1425"/>
      <c r="DA487" s="1411"/>
      <c r="DB487" s="1411"/>
      <c r="DC487" s="1411"/>
      <c r="DD487" s="1411"/>
      <c r="DE487" s="1411"/>
      <c r="DF487" s="1411"/>
      <c r="DH487" s="1432"/>
      <c r="DI487" s="1432"/>
      <c r="DJ487" s="1437"/>
      <c r="DK487" s="1437"/>
      <c r="DL487" s="1437"/>
      <c r="DM487" s="1437"/>
      <c r="DN487" s="1432"/>
      <c r="DO487" s="1432"/>
      <c r="DP487" s="1432"/>
      <c r="DQ487" s="1432"/>
      <c r="DR487" s="1432"/>
      <c r="DS487" s="1432"/>
      <c r="DT487" s="1316"/>
      <c r="DU487" s="1433"/>
      <c r="DV487" s="1433"/>
      <c r="DW487" s="1433"/>
      <c r="DX487" s="1433"/>
      <c r="DY487" s="1433"/>
      <c r="DZ487" s="1433"/>
      <c r="EA487" s="1433"/>
      <c r="EB487" s="1433"/>
    </row>
    <row r="488" customFormat="false" ht="14.25" hidden="false" customHeight="false" outlineLevel="0" collapsed="false">
      <c r="A488" s="2" t="n">
        <f aca="false">'V_DATOS PAC_SGA'!R483</f>
        <v>0</v>
      </c>
      <c r="B488" s="2" t="n">
        <f aca="false">IF(I488="IV",CONCATENATE('V_DATOS PAC_SGA'!R483,"4")+0,CONCATENATE('V_DATOS PAC_SGA'!R483,"0")+0)</f>
        <v>0</v>
      </c>
      <c r="C488" s="2" t="n">
        <f aca="false">'V_DATOS PAC_SGA'!S483</f>
        <v>0</v>
      </c>
      <c r="D488" s="1409" t="n">
        <f aca="false">'V_DATOS PAC_SGA'!Y483</f>
        <v>0</v>
      </c>
      <c r="E488" s="1410" t="str">
        <f aca="false">IF('V_DATOS PAC_SGA'!AV483="","Regadio",'V_DATOS PAC_SGA'!AV483)</f>
        <v>Regadio</v>
      </c>
      <c r="F488" s="1411" t="n">
        <f aca="false">'V_DATOS PAC_SGA'!BK483</f>
        <v>0</v>
      </c>
      <c r="G488" s="1412" t="n">
        <f aca="false">'V_DATOS PAC_SGA'!AN483</f>
        <v>0</v>
      </c>
      <c r="H488" s="1413" t="str">
        <f aca="false">IF(B488&gt;0,VLOOKUP(B488,'O_MN, PE_UTA_UGM 2024'!E$3:O$419,10),"")</f>
        <v/>
      </c>
      <c r="I488" s="1359" t="n">
        <f aca="false">'V_DATOS PAC_SGA'!BV483</f>
        <v>0</v>
      </c>
      <c r="J488" s="2" t="str">
        <f aca="false">IF(AND(J$4=$G488,J$6=$F488),$D488*J$5,"")</f>
        <v/>
      </c>
      <c r="K488" s="2" t="str">
        <f aca="false">IF(AND(K$4=$G488,K$6=$F488),$D488*K$5,"")</f>
        <v/>
      </c>
      <c r="L488" s="2" t="str">
        <f aca="false">IF(AND(L$4=$G488,L$6=$F488),$D488*L$5,"")</f>
        <v/>
      </c>
      <c r="M488" s="2" t="str">
        <f aca="false">IF(AND(M$4=$G488,M$6=$F488),$D488*M$5,"")</f>
        <v/>
      </c>
      <c r="N488" s="1478" t="n">
        <f aca="false">VLOOKUP(B488,'O_MN, PE_UTA_UGM 2024'!$E$2:$K$419,IF(G488&gt;1,6,7))</f>
        <v>0</v>
      </c>
      <c r="O488" s="1434" t="str">
        <f aca="false">IF($H488=O$4,$D488*$N488,"")</f>
        <v/>
      </c>
      <c r="P488" s="1435" t="str">
        <f aca="false">IF($H488=P$4,$D488*$N488,"")</f>
        <v/>
      </c>
      <c r="Q488" s="1435" t="str">
        <f aca="false">IF($H488=Q$4,$D488*$N488,"")</f>
        <v/>
      </c>
      <c r="R488" s="1435" t="str">
        <f aca="false">IF($H488=R$4,$D488*$N488,"")</f>
        <v/>
      </c>
      <c r="S488" s="1435" t="str">
        <f aca="false">IF($H488=S$4,$D488*$N488,"")</f>
        <v/>
      </c>
      <c r="T488" s="1435" t="str">
        <f aca="false">IF($H488=T$4,$D488*$N488,"")</f>
        <v/>
      </c>
      <c r="U488" s="1436" t="str">
        <f aca="false">IF($H488=U$4,$D488*$N488,"")</f>
        <v/>
      </c>
      <c r="V488" s="1472"/>
      <c r="W488" s="1471"/>
      <c r="X488" s="1471"/>
      <c r="Y488" s="1471"/>
      <c r="Z488" s="1471"/>
      <c r="AA488" s="1471"/>
      <c r="AB488" s="1473"/>
      <c r="AC488" s="1319"/>
      <c r="AD488" s="2" t="str">
        <f aca="false">IF(AND(AD$4=$G488,AD$6=$F488),$B488,"")</f>
        <v/>
      </c>
      <c r="AE488" s="2" t="str">
        <f aca="false">IF(AND(AE$4=$G488,AE$6=$F488),$B488,"")</f>
        <v/>
      </c>
      <c r="AF488" s="2" t="str">
        <f aca="false">IF(AND(AF$4=$G488,AF$6=$F488),$B488,"")</f>
        <v/>
      </c>
      <c r="AG488" s="2" t="str">
        <f aca="false">IF(AND(AG$4=$G488,AG$6=$F488),$B488,"")</f>
        <v/>
      </c>
      <c r="AI488" s="366"/>
      <c r="AL488" s="367"/>
      <c r="AO488" s="367"/>
      <c r="AR488" s="1411"/>
      <c r="AT488" s="1422"/>
      <c r="AU488" s="1411"/>
      <c r="AV488" s="1411"/>
      <c r="AW488" s="1423"/>
      <c r="AX488" s="1423"/>
      <c r="AZ488" s="1370"/>
      <c r="BA488" s="1370"/>
      <c r="BB488" s="1370"/>
      <c r="BC488" s="1370"/>
      <c r="BD488" s="1370"/>
      <c r="BE488" s="1370"/>
      <c r="BF488" s="1370"/>
      <c r="BG488" s="1370"/>
      <c r="BH488" s="1371"/>
      <c r="BI488" s="1371"/>
      <c r="BJ488" s="1371"/>
      <c r="BK488" s="1371"/>
      <c r="BM488" s="1411"/>
      <c r="BN488" s="1411"/>
      <c r="BO488" s="1425"/>
      <c r="BP488" s="1425"/>
      <c r="BQ488" s="1425"/>
      <c r="BR488" s="1425"/>
      <c r="BS488" s="1411"/>
      <c r="BT488" s="1411"/>
      <c r="BU488" s="1411"/>
      <c r="BV488" s="1411"/>
      <c r="BW488" s="1411"/>
      <c r="BX488" s="1411"/>
      <c r="BZ488" s="1438"/>
      <c r="CA488" s="1438"/>
      <c r="CB488" s="1496"/>
      <c r="CC488" s="1496"/>
      <c r="CD488" s="1496"/>
      <c r="CE488" s="1496"/>
      <c r="CF488" s="1438"/>
      <c r="CG488" s="1438"/>
      <c r="CH488" s="1438"/>
      <c r="CI488" s="1438"/>
      <c r="CJ488" s="1438"/>
      <c r="CK488" s="1438"/>
      <c r="CU488" s="1411"/>
      <c r="CV488" s="1411"/>
      <c r="CW488" s="1425"/>
      <c r="CX488" s="1425"/>
      <c r="CY488" s="1425"/>
      <c r="CZ488" s="1425"/>
      <c r="DA488" s="1411"/>
      <c r="DB488" s="1411"/>
      <c r="DC488" s="1411"/>
      <c r="DD488" s="1411"/>
      <c r="DE488" s="1411"/>
      <c r="DF488" s="1411"/>
      <c r="DH488" s="1432"/>
      <c r="DI488" s="1432"/>
      <c r="DJ488" s="1437"/>
      <c r="DK488" s="1437"/>
      <c r="DL488" s="1437"/>
      <c r="DM488" s="1437"/>
      <c r="DN488" s="1432"/>
      <c r="DO488" s="1432"/>
      <c r="DP488" s="1432"/>
      <c r="DQ488" s="1432"/>
      <c r="DR488" s="1432"/>
      <c r="DS488" s="1432"/>
      <c r="DT488" s="1316"/>
      <c r="DU488" s="1433"/>
      <c r="DV488" s="1433"/>
      <c r="DW488" s="1433"/>
      <c r="DX488" s="1433"/>
      <c r="DY488" s="1433"/>
      <c r="DZ488" s="1433"/>
      <c r="EA488" s="1433"/>
      <c r="EB488" s="1433"/>
    </row>
    <row r="489" customFormat="false" ht="14.25" hidden="false" customHeight="false" outlineLevel="0" collapsed="false">
      <c r="A489" s="2" t="n">
        <f aca="false">'V_DATOS PAC_SGA'!R484</f>
        <v>0</v>
      </c>
      <c r="B489" s="2" t="n">
        <f aca="false">IF(I489="IV",CONCATENATE('V_DATOS PAC_SGA'!R484,"4")+0,CONCATENATE('V_DATOS PAC_SGA'!R484,"0")+0)</f>
        <v>0</v>
      </c>
      <c r="C489" s="2" t="n">
        <f aca="false">'V_DATOS PAC_SGA'!S484</f>
        <v>0</v>
      </c>
      <c r="D489" s="1409" t="n">
        <f aca="false">'V_DATOS PAC_SGA'!Y484</f>
        <v>0</v>
      </c>
      <c r="E489" s="1410" t="str">
        <f aca="false">IF('V_DATOS PAC_SGA'!AV484="","Regadio",'V_DATOS PAC_SGA'!AV484)</f>
        <v>Regadio</v>
      </c>
      <c r="F489" s="1411" t="n">
        <f aca="false">'V_DATOS PAC_SGA'!BK484</f>
        <v>0</v>
      </c>
      <c r="G489" s="1412" t="n">
        <f aca="false">'V_DATOS PAC_SGA'!AN484</f>
        <v>0</v>
      </c>
      <c r="H489" s="1413" t="str">
        <f aca="false">IF(B489&gt;0,VLOOKUP(B489,'O_MN, PE_UTA_UGM 2024'!E$3:O$419,10),"")</f>
        <v/>
      </c>
      <c r="I489" s="1359" t="n">
        <f aca="false">'V_DATOS PAC_SGA'!BV484</f>
        <v>0</v>
      </c>
      <c r="J489" s="2" t="str">
        <f aca="false">IF(AND(J$4=$G489,J$6=$F489),$D489*J$5,"")</f>
        <v/>
      </c>
      <c r="K489" s="2" t="str">
        <f aca="false">IF(AND(K$4=$G489,K$6=$F489),$D489*K$5,"")</f>
        <v/>
      </c>
      <c r="L489" s="2" t="str">
        <f aca="false">IF(AND(L$4=$G489,L$6=$F489),$D489*L$5,"")</f>
        <v/>
      </c>
      <c r="M489" s="2" t="str">
        <f aca="false">IF(AND(M$4=$G489,M$6=$F489),$D489*M$5,"")</f>
        <v/>
      </c>
      <c r="N489" s="1478" t="n">
        <f aca="false">VLOOKUP(B489,'O_MN, PE_UTA_UGM 2024'!$E$2:$K$419,IF(G489&gt;1,6,7))</f>
        <v>0</v>
      </c>
      <c r="O489" s="1434" t="str">
        <f aca="false">IF($H489=O$4,$D489*$N489,"")</f>
        <v/>
      </c>
      <c r="P489" s="1435" t="str">
        <f aca="false">IF($H489=P$4,$D489*$N489,"")</f>
        <v/>
      </c>
      <c r="Q489" s="1435" t="str">
        <f aca="false">IF($H489=Q$4,$D489*$N489,"")</f>
        <v/>
      </c>
      <c r="R489" s="1435" t="str">
        <f aca="false">IF($H489=R$4,$D489*$N489,"")</f>
        <v/>
      </c>
      <c r="S489" s="1435" t="str">
        <f aca="false">IF($H489=S$4,$D489*$N489,"")</f>
        <v/>
      </c>
      <c r="T489" s="1435" t="str">
        <f aca="false">IF($H489=T$4,$D489*$N489,"")</f>
        <v/>
      </c>
      <c r="U489" s="1436" t="str">
        <f aca="false">IF($H489=U$4,$D489*$N489,"")</f>
        <v/>
      </c>
      <c r="V489" s="1472"/>
      <c r="W489" s="1471"/>
      <c r="X489" s="1471"/>
      <c r="Y489" s="1471"/>
      <c r="Z489" s="1471"/>
      <c r="AA489" s="1471"/>
      <c r="AB489" s="1473"/>
      <c r="AC489" s="1319"/>
      <c r="AD489" s="2" t="str">
        <f aca="false">IF(AND(AD$4=$G489,AD$6=$F489),$B489,"")</f>
        <v/>
      </c>
      <c r="AE489" s="2" t="str">
        <f aca="false">IF(AND(AE$4=$G489,AE$6=$F489),$B489,"")</f>
        <v/>
      </c>
      <c r="AF489" s="2" t="str">
        <f aca="false">IF(AND(AF$4=$G489,AF$6=$F489),$B489,"")</f>
        <v/>
      </c>
      <c r="AG489" s="2" t="str">
        <f aca="false">IF(AND(AG$4=$G489,AG$6=$F489),$B489,"")</f>
        <v/>
      </c>
      <c r="AI489" s="366"/>
      <c r="AL489" s="367"/>
      <c r="AO489" s="367"/>
      <c r="AR489" s="1411"/>
      <c r="AT489" s="1422"/>
      <c r="AU489" s="1411"/>
      <c r="AV489" s="1411"/>
      <c r="AW489" s="1423"/>
      <c r="AX489" s="1423"/>
      <c r="AZ489" s="1370"/>
      <c r="BA489" s="1370"/>
      <c r="BB489" s="1370"/>
      <c r="BC489" s="1370"/>
      <c r="BD489" s="1370"/>
      <c r="BE489" s="1370"/>
      <c r="BF489" s="1370"/>
      <c r="BG489" s="1370"/>
      <c r="BH489" s="1371"/>
      <c r="BI489" s="1371"/>
      <c r="BJ489" s="1371"/>
      <c r="BK489" s="1371"/>
      <c r="BM489" s="1411"/>
      <c r="BN489" s="1411"/>
      <c r="BO489" s="1425"/>
      <c r="BP489" s="1425"/>
      <c r="BQ489" s="1425"/>
      <c r="BR489" s="1425"/>
      <c r="BS489" s="1411"/>
      <c r="BT489" s="1411"/>
      <c r="BU489" s="1411"/>
      <c r="BV489" s="1411"/>
      <c r="BW489" s="1411"/>
      <c r="BX489" s="1411"/>
      <c r="BZ489" s="1438"/>
      <c r="CA489" s="1438"/>
      <c r="CB489" s="1496"/>
      <c r="CC489" s="1496"/>
      <c r="CD489" s="1496"/>
      <c r="CE489" s="1496"/>
      <c r="CF489" s="1438"/>
      <c r="CG489" s="1438"/>
      <c r="CH489" s="1438"/>
      <c r="CI489" s="1438"/>
      <c r="CJ489" s="1438"/>
      <c r="CK489" s="1438"/>
      <c r="CU489" s="1411"/>
      <c r="CV489" s="1411"/>
      <c r="CW489" s="1425"/>
      <c r="CX489" s="1425"/>
      <c r="CY489" s="1425"/>
      <c r="CZ489" s="1425"/>
      <c r="DA489" s="1411"/>
      <c r="DB489" s="1411"/>
      <c r="DC489" s="1411"/>
      <c r="DD489" s="1411"/>
      <c r="DE489" s="1411"/>
      <c r="DF489" s="1411"/>
      <c r="DH489" s="1432"/>
      <c r="DI489" s="1432"/>
      <c r="DJ489" s="1437"/>
      <c r="DK489" s="1437"/>
      <c r="DL489" s="1437"/>
      <c r="DM489" s="1437"/>
      <c r="DN489" s="1432"/>
      <c r="DO489" s="1432"/>
      <c r="DP489" s="1432"/>
      <c r="DQ489" s="1432"/>
      <c r="DR489" s="1432"/>
      <c r="DS489" s="1432"/>
      <c r="DT489" s="1316"/>
      <c r="DU489" s="1433"/>
      <c r="DV489" s="1433"/>
      <c r="DW489" s="1433"/>
      <c r="DX489" s="1433"/>
      <c r="DY489" s="1433"/>
      <c r="DZ489" s="1433"/>
      <c r="EA489" s="1433"/>
      <c r="EB489" s="1433"/>
    </row>
    <row r="490" customFormat="false" ht="14.25" hidden="false" customHeight="false" outlineLevel="0" collapsed="false">
      <c r="A490" s="2" t="n">
        <f aca="false">'V_DATOS PAC_SGA'!R485</f>
        <v>0</v>
      </c>
      <c r="B490" s="2" t="n">
        <f aca="false">IF(I490="IV",CONCATENATE('V_DATOS PAC_SGA'!R485,"4")+0,CONCATENATE('V_DATOS PAC_SGA'!R485,"0")+0)</f>
        <v>0</v>
      </c>
      <c r="C490" s="2" t="n">
        <f aca="false">'V_DATOS PAC_SGA'!S485</f>
        <v>0</v>
      </c>
      <c r="D490" s="1409" t="n">
        <f aca="false">'V_DATOS PAC_SGA'!Y485</f>
        <v>0</v>
      </c>
      <c r="E490" s="1410" t="str">
        <f aca="false">IF('V_DATOS PAC_SGA'!AV485="","Regadio",'V_DATOS PAC_SGA'!AV485)</f>
        <v>Regadio</v>
      </c>
      <c r="F490" s="1411" t="n">
        <f aca="false">'V_DATOS PAC_SGA'!BK485</f>
        <v>0</v>
      </c>
      <c r="G490" s="1412" t="n">
        <f aca="false">'V_DATOS PAC_SGA'!AN485</f>
        <v>0</v>
      </c>
      <c r="H490" s="1413" t="str">
        <f aca="false">IF(B490&gt;0,VLOOKUP(B490,'O_MN, PE_UTA_UGM 2024'!E$3:O$419,10),"")</f>
        <v/>
      </c>
      <c r="I490" s="1359" t="n">
        <f aca="false">'V_DATOS PAC_SGA'!BV485</f>
        <v>0</v>
      </c>
      <c r="J490" s="2" t="str">
        <f aca="false">IF(AND(J$4=$G490,J$6=$F490),$D490*J$5,"")</f>
        <v/>
      </c>
      <c r="K490" s="2" t="str">
        <f aca="false">IF(AND(K$4=$G490,K$6=$F490),$D490*K$5,"")</f>
        <v/>
      </c>
      <c r="L490" s="2" t="str">
        <f aca="false">IF(AND(L$4=$G490,L$6=$F490),$D490*L$5,"")</f>
        <v/>
      </c>
      <c r="M490" s="2" t="str">
        <f aca="false">IF(AND(M$4=$G490,M$6=$F490),$D490*M$5,"")</f>
        <v/>
      </c>
      <c r="N490" s="1478" t="n">
        <f aca="false">VLOOKUP(B490,'O_MN, PE_UTA_UGM 2024'!$E$2:$K$419,IF(G490&gt;1,6,7))</f>
        <v>0</v>
      </c>
      <c r="O490" s="1434" t="str">
        <f aca="false">IF($H490=O$4,$D490*$N490,"")</f>
        <v/>
      </c>
      <c r="P490" s="1435" t="str">
        <f aca="false">IF($H490=P$4,$D490*$N490,"")</f>
        <v/>
      </c>
      <c r="Q490" s="1435" t="str">
        <f aca="false">IF($H490=Q$4,$D490*$N490,"")</f>
        <v/>
      </c>
      <c r="R490" s="1435" t="str">
        <f aca="false">IF($H490=R$4,$D490*$N490,"")</f>
        <v/>
      </c>
      <c r="S490" s="1435" t="str">
        <f aca="false">IF($H490=S$4,$D490*$N490,"")</f>
        <v/>
      </c>
      <c r="T490" s="1435" t="str">
        <f aca="false">IF($H490=T$4,$D490*$N490,"")</f>
        <v/>
      </c>
      <c r="U490" s="1436" t="str">
        <f aca="false">IF($H490=U$4,$D490*$N490,"")</f>
        <v/>
      </c>
      <c r="V490" s="1472"/>
      <c r="W490" s="1471"/>
      <c r="X490" s="1471"/>
      <c r="Y490" s="1471"/>
      <c r="Z490" s="1471"/>
      <c r="AA490" s="1471"/>
      <c r="AB490" s="1473"/>
      <c r="AC490" s="1319"/>
      <c r="AD490" s="2" t="str">
        <f aca="false">IF(AND(AD$4=$G490,AD$6=$F490),$B490,"")</f>
        <v/>
      </c>
      <c r="AE490" s="2" t="str">
        <f aca="false">IF(AND(AE$4=$G490,AE$6=$F490),$B490,"")</f>
        <v/>
      </c>
      <c r="AF490" s="2" t="str">
        <f aca="false">IF(AND(AF$4=$G490,AF$6=$F490),$B490,"")</f>
        <v/>
      </c>
      <c r="AG490" s="2" t="str">
        <f aca="false">IF(AND(AG$4=$G490,AG$6=$F490),$B490,"")</f>
        <v/>
      </c>
      <c r="AI490" s="366"/>
      <c r="AL490" s="367"/>
      <c r="AO490" s="367"/>
      <c r="AR490" s="1411"/>
      <c r="AT490" s="1422"/>
      <c r="AU490" s="1411"/>
      <c r="AV490" s="1411"/>
      <c r="AW490" s="1423"/>
      <c r="AX490" s="1423"/>
      <c r="AZ490" s="1370"/>
      <c r="BA490" s="1370"/>
      <c r="BB490" s="1370"/>
      <c r="BC490" s="1370"/>
      <c r="BD490" s="1370"/>
      <c r="BE490" s="1370"/>
      <c r="BF490" s="1370"/>
      <c r="BG490" s="1370"/>
      <c r="BH490" s="1371"/>
      <c r="BI490" s="1371"/>
      <c r="BJ490" s="1371"/>
      <c r="BK490" s="1371"/>
      <c r="BM490" s="1411"/>
      <c r="BN490" s="1411"/>
      <c r="BO490" s="1425"/>
      <c r="BP490" s="1425"/>
      <c r="BQ490" s="1425"/>
      <c r="BR490" s="1425"/>
      <c r="BS490" s="1411"/>
      <c r="BT490" s="1411"/>
      <c r="BU490" s="1411"/>
      <c r="BV490" s="1411"/>
      <c r="BW490" s="1411"/>
      <c r="BX490" s="1411"/>
      <c r="BZ490" s="1438"/>
      <c r="CA490" s="1438"/>
      <c r="CB490" s="1496"/>
      <c r="CC490" s="1496"/>
      <c r="CD490" s="1496"/>
      <c r="CE490" s="1496"/>
      <c r="CF490" s="1438"/>
      <c r="CG490" s="1438"/>
      <c r="CH490" s="1438"/>
      <c r="CI490" s="1438"/>
      <c r="CJ490" s="1438"/>
      <c r="CK490" s="1438"/>
      <c r="CU490" s="1411"/>
      <c r="CV490" s="1411"/>
      <c r="CW490" s="1425"/>
      <c r="CX490" s="1425"/>
      <c r="CY490" s="1425"/>
      <c r="CZ490" s="1425"/>
      <c r="DA490" s="1411"/>
      <c r="DB490" s="1411"/>
      <c r="DC490" s="1411"/>
      <c r="DD490" s="1411"/>
      <c r="DE490" s="1411"/>
      <c r="DF490" s="1411"/>
      <c r="DH490" s="1432"/>
      <c r="DI490" s="1432"/>
      <c r="DJ490" s="1437"/>
      <c r="DK490" s="1437"/>
      <c r="DL490" s="1437"/>
      <c r="DM490" s="1437"/>
      <c r="DN490" s="1432"/>
      <c r="DO490" s="1432"/>
      <c r="DP490" s="1432"/>
      <c r="DQ490" s="1432"/>
      <c r="DR490" s="1432"/>
      <c r="DS490" s="1432"/>
      <c r="DT490" s="1316"/>
      <c r="DU490" s="1433"/>
      <c r="DV490" s="1433"/>
      <c r="DW490" s="1433"/>
      <c r="DX490" s="1433"/>
      <c r="DY490" s="1433"/>
      <c r="DZ490" s="1433"/>
      <c r="EA490" s="1433"/>
      <c r="EB490" s="1433"/>
    </row>
    <row r="491" customFormat="false" ht="14.25" hidden="false" customHeight="false" outlineLevel="0" collapsed="false">
      <c r="A491" s="2" t="n">
        <f aca="false">'V_DATOS PAC_SGA'!R486</f>
        <v>0</v>
      </c>
      <c r="B491" s="2" t="n">
        <f aca="false">IF(I491="IV",CONCATENATE('V_DATOS PAC_SGA'!R486,"4")+0,CONCATENATE('V_DATOS PAC_SGA'!R486,"0")+0)</f>
        <v>0</v>
      </c>
      <c r="C491" s="2" t="n">
        <f aca="false">'V_DATOS PAC_SGA'!S486</f>
        <v>0</v>
      </c>
      <c r="D491" s="1409" t="n">
        <f aca="false">'V_DATOS PAC_SGA'!Y486</f>
        <v>0</v>
      </c>
      <c r="E491" s="1410" t="str">
        <f aca="false">IF('V_DATOS PAC_SGA'!AV486="","Regadio",'V_DATOS PAC_SGA'!AV486)</f>
        <v>Regadio</v>
      </c>
      <c r="F491" s="1411" t="n">
        <f aca="false">'V_DATOS PAC_SGA'!BK486</f>
        <v>0</v>
      </c>
      <c r="G491" s="1412" t="n">
        <f aca="false">'V_DATOS PAC_SGA'!AN486</f>
        <v>0</v>
      </c>
      <c r="H491" s="1413" t="str">
        <f aca="false">IF(B491&gt;0,VLOOKUP(B491,'O_MN, PE_UTA_UGM 2024'!E$3:O$419,10),"")</f>
        <v/>
      </c>
      <c r="I491" s="1359" t="n">
        <f aca="false">'V_DATOS PAC_SGA'!BV486</f>
        <v>0</v>
      </c>
      <c r="J491" s="2" t="str">
        <f aca="false">IF(AND(J$4=$G491,J$6=$F491),$D491*J$5,"")</f>
        <v/>
      </c>
      <c r="K491" s="2" t="str">
        <f aca="false">IF(AND(K$4=$G491,K$6=$F491),$D491*K$5,"")</f>
        <v/>
      </c>
      <c r="L491" s="2" t="str">
        <f aca="false">IF(AND(L$4=$G491,L$6=$F491),$D491*L$5,"")</f>
        <v/>
      </c>
      <c r="M491" s="2" t="str">
        <f aca="false">IF(AND(M$4=$G491,M$6=$F491),$D491*M$5,"")</f>
        <v/>
      </c>
      <c r="N491" s="1478" t="n">
        <f aca="false">VLOOKUP(B491,'O_MN, PE_UTA_UGM 2024'!$E$2:$K$419,IF(G491&gt;1,6,7))</f>
        <v>0</v>
      </c>
      <c r="O491" s="1434" t="str">
        <f aca="false">IF($H491=O$4,$D491*$N491,"")</f>
        <v/>
      </c>
      <c r="P491" s="1435" t="str">
        <f aca="false">IF($H491=P$4,$D491*$N491,"")</f>
        <v/>
      </c>
      <c r="Q491" s="1435" t="str">
        <f aca="false">IF($H491=Q$4,$D491*$N491,"")</f>
        <v/>
      </c>
      <c r="R491" s="1435" t="str">
        <f aca="false">IF($H491=R$4,$D491*$N491,"")</f>
        <v/>
      </c>
      <c r="S491" s="1435" t="str">
        <f aca="false">IF($H491=S$4,$D491*$N491,"")</f>
        <v/>
      </c>
      <c r="T491" s="1435" t="str">
        <f aca="false">IF($H491=T$4,$D491*$N491,"")</f>
        <v/>
      </c>
      <c r="U491" s="1436" t="str">
        <f aca="false">IF($H491=U$4,$D491*$N491,"")</f>
        <v/>
      </c>
      <c r="V491" s="1472"/>
      <c r="W491" s="1471"/>
      <c r="X491" s="1471"/>
      <c r="Y491" s="1471"/>
      <c r="Z491" s="1471"/>
      <c r="AA491" s="1471"/>
      <c r="AB491" s="1473"/>
      <c r="AC491" s="1319"/>
      <c r="AD491" s="2" t="str">
        <f aca="false">IF(AND(AD$4=$G491,AD$6=$F491),$B491,"")</f>
        <v/>
      </c>
      <c r="AE491" s="2" t="str">
        <f aca="false">IF(AND(AE$4=$G491,AE$6=$F491),$B491,"")</f>
        <v/>
      </c>
      <c r="AF491" s="2" t="str">
        <f aca="false">IF(AND(AF$4=$G491,AF$6=$F491),$B491,"")</f>
        <v/>
      </c>
      <c r="AG491" s="2" t="str">
        <f aca="false">IF(AND(AG$4=$G491,AG$6=$F491),$B491,"")</f>
        <v/>
      </c>
      <c r="AI491" s="366"/>
      <c r="AL491" s="367"/>
      <c r="AO491" s="367"/>
      <c r="AR491" s="1411"/>
      <c r="AT491" s="1422"/>
      <c r="AU491" s="1411"/>
      <c r="AV491" s="1411"/>
      <c r="AW491" s="1423"/>
      <c r="AX491" s="1423"/>
      <c r="AZ491" s="1370"/>
      <c r="BA491" s="1370"/>
      <c r="BB491" s="1370"/>
      <c r="BC491" s="1370"/>
      <c r="BD491" s="1370"/>
      <c r="BE491" s="1370"/>
      <c r="BF491" s="1370"/>
      <c r="BG491" s="1370"/>
      <c r="BH491" s="1371"/>
      <c r="BI491" s="1371"/>
      <c r="BJ491" s="1371"/>
      <c r="BK491" s="1371"/>
      <c r="BM491" s="1411"/>
      <c r="BN491" s="1411"/>
      <c r="BO491" s="1425"/>
      <c r="BP491" s="1425"/>
      <c r="BQ491" s="1425"/>
      <c r="BR491" s="1425"/>
      <c r="BS491" s="1411"/>
      <c r="BT491" s="1411"/>
      <c r="BU491" s="1411"/>
      <c r="BV491" s="1411"/>
      <c r="BW491" s="1411"/>
      <c r="BX491" s="1411"/>
      <c r="BZ491" s="1438"/>
      <c r="CA491" s="1438"/>
      <c r="CB491" s="1496"/>
      <c r="CC491" s="1496"/>
      <c r="CD491" s="1496"/>
      <c r="CE491" s="1496"/>
      <c r="CF491" s="1438"/>
      <c r="CG491" s="1438"/>
      <c r="CH491" s="1438"/>
      <c r="CI491" s="1438"/>
      <c r="CJ491" s="1438"/>
      <c r="CK491" s="1438"/>
      <c r="CU491" s="1411"/>
      <c r="CV491" s="1411"/>
      <c r="CW491" s="1425"/>
      <c r="CX491" s="1425"/>
      <c r="CY491" s="1425"/>
      <c r="CZ491" s="1425"/>
      <c r="DA491" s="1411"/>
      <c r="DB491" s="1411"/>
      <c r="DC491" s="1411"/>
      <c r="DD491" s="1411"/>
      <c r="DE491" s="1411"/>
      <c r="DF491" s="1411"/>
      <c r="DH491" s="1432"/>
      <c r="DI491" s="1432"/>
      <c r="DJ491" s="1437"/>
      <c r="DK491" s="1437"/>
      <c r="DL491" s="1437"/>
      <c r="DM491" s="1437"/>
      <c r="DN491" s="1432"/>
      <c r="DO491" s="1432"/>
      <c r="DP491" s="1432"/>
      <c r="DQ491" s="1432"/>
      <c r="DR491" s="1432"/>
      <c r="DS491" s="1432"/>
      <c r="DT491" s="1316"/>
      <c r="DU491" s="1433"/>
      <c r="DV491" s="1433"/>
      <c r="DW491" s="1433"/>
      <c r="DX491" s="1433"/>
      <c r="DY491" s="1433"/>
      <c r="DZ491" s="1433"/>
      <c r="EA491" s="1433"/>
      <c r="EB491" s="1433"/>
    </row>
    <row r="492" customFormat="false" ht="14.25" hidden="false" customHeight="false" outlineLevel="0" collapsed="false">
      <c r="A492" s="2" t="n">
        <f aca="false">'V_DATOS PAC_SGA'!R487</f>
        <v>0</v>
      </c>
      <c r="B492" s="2" t="n">
        <f aca="false">IF(I492="IV",CONCATENATE('V_DATOS PAC_SGA'!R487,"4")+0,CONCATENATE('V_DATOS PAC_SGA'!R487,"0")+0)</f>
        <v>0</v>
      </c>
      <c r="C492" s="2" t="n">
        <f aca="false">'V_DATOS PAC_SGA'!S487</f>
        <v>0</v>
      </c>
      <c r="D492" s="1409" t="n">
        <f aca="false">'V_DATOS PAC_SGA'!Y487</f>
        <v>0</v>
      </c>
      <c r="E492" s="1410" t="str">
        <f aca="false">IF('V_DATOS PAC_SGA'!AV487="","Regadio",'V_DATOS PAC_SGA'!AV487)</f>
        <v>Regadio</v>
      </c>
      <c r="F492" s="1411" t="n">
        <f aca="false">'V_DATOS PAC_SGA'!BK487</f>
        <v>0</v>
      </c>
      <c r="G492" s="1412" t="n">
        <f aca="false">'V_DATOS PAC_SGA'!AN487</f>
        <v>0</v>
      </c>
      <c r="H492" s="1413" t="str">
        <f aca="false">IF(B492&gt;0,VLOOKUP(B492,'O_MN, PE_UTA_UGM 2024'!E$3:O$419,10),"")</f>
        <v/>
      </c>
      <c r="I492" s="1359" t="n">
        <f aca="false">'V_DATOS PAC_SGA'!BV487</f>
        <v>0</v>
      </c>
      <c r="J492" s="2" t="str">
        <f aca="false">IF(AND(J$4=$G492,J$6=$F492),$D492*J$5,"")</f>
        <v/>
      </c>
      <c r="K492" s="2" t="str">
        <f aca="false">IF(AND(K$4=$G492,K$6=$F492),$D492*K$5,"")</f>
        <v/>
      </c>
      <c r="L492" s="2" t="str">
        <f aca="false">IF(AND(L$4=$G492,L$6=$F492),$D492*L$5,"")</f>
        <v/>
      </c>
      <c r="M492" s="2" t="str">
        <f aca="false">IF(AND(M$4=$G492,M$6=$F492),$D492*M$5,"")</f>
        <v/>
      </c>
      <c r="N492" s="1478" t="n">
        <f aca="false">VLOOKUP(B492,'O_MN, PE_UTA_UGM 2024'!$E$2:$K$419,IF(G492&gt;1,6,7))</f>
        <v>0</v>
      </c>
      <c r="O492" s="1434" t="str">
        <f aca="false">IF($H492=O$4,$D492*$N492,"")</f>
        <v/>
      </c>
      <c r="P492" s="1435" t="str">
        <f aca="false">IF($H492=P$4,$D492*$N492,"")</f>
        <v/>
      </c>
      <c r="Q492" s="1435" t="str">
        <f aca="false">IF($H492=Q$4,$D492*$N492,"")</f>
        <v/>
      </c>
      <c r="R492" s="1435" t="str">
        <f aca="false">IF($H492=R$4,$D492*$N492,"")</f>
        <v/>
      </c>
      <c r="S492" s="1435" t="str">
        <f aca="false">IF($H492=S$4,$D492*$N492,"")</f>
        <v/>
      </c>
      <c r="T492" s="1435" t="str">
        <f aca="false">IF($H492=T$4,$D492*$N492,"")</f>
        <v/>
      </c>
      <c r="U492" s="1436" t="str">
        <f aca="false">IF($H492=U$4,$D492*$N492,"")</f>
        <v/>
      </c>
      <c r="V492" s="1472"/>
      <c r="W492" s="1471"/>
      <c r="X492" s="1471"/>
      <c r="Y492" s="1471"/>
      <c r="Z492" s="1471"/>
      <c r="AA492" s="1471"/>
      <c r="AB492" s="1473"/>
      <c r="AC492" s="1319"/>
      <c r="AD492" s="2" t="str">
        <f aca="false">IF(AND(AD$4=$G492,AD$6=$F492),$B492,"")</f>
        <v/>
      </c>
      <c r="AE492" s="2" t="str">
        <f aca="false">IF(AND(AE$4=$G492,AE$6=$F492),$B492,"")</f>
        <v/>
      </c>
      <c r="AF492" s="2" t="str">
        <f aca="false">IF(AND(AF$4=$G492,AF$6=$F492),$B492,"")</f>
        <v/>
      </c>
      <c r="AG492" s="2" t="str">
        <f aca="false">IF(AND(AG$4=$G492,AG$6=$F492),$B492,"")</f>
        <v/>
      </c>
      <c r="AI492" s="366"/>
      <c r="AL492" s="367"/>
      <c r="AO492" s="367"/>
      <c r="AR492" s="1411"/>
      <c r="AT492" s="1422"/>
      <c r="AU492" s="1411"/>
      <c r="AV492" s="1411"/>
      <c r="AW492" s="1423"/>
      <c r="AX492" s="1423"/>
      <c r="AZ492" s="1370"/>
      <c r="BA492" s="1370"/>
      <c r="BB492" s="1370"/>
      <c r="BC492" s="1370"/>
      <c r="BD492" s="1370"/>
      <c r="BE492" s="1370"/>
      <c r="BF492" s="1370"/>
      <c r="BG492" s="1370"/>
      <c r="BH492" s="1371"/>
      <c r="BI492" s="1371"/>
      <c r="BJ492" s="1371"/>
      <c r="BK492" s="1371"/>
      <c r="BM492" s="1411"/>
      <c r="BN492" s="1411"/>
      <c r="BO492" s="1425"/>
      <c r="BP492" s="1425"/>
      <c r="BQ492" s="1425"/>
      <c r="BR492" s="1425"/>
      <c r="BS492" s="1411"/>
      <c r="BT492" s="1411"/>
      <c r="BU492" s="1411"/>
      <c r="BV492" s="1411"/>
      <c r="BW492" s="1411"/>
      <c r="BX492" s="1411"/>
      <c r="BZ492" s="1438"/>
      <c r="CA492" s="1438"/>
      <c r="CB492" s="1496"/>
      <c r="CC492" s="1496"/>
      <c r="CD492" s="1496"/>
      <c r="CE492" s="1496"/>
      <c r="CF492" s="1438"/>
      <c r="CG492" s="1438"/>
      <c r="CH492" s="1438"/>
      <c r="CI492" s="1438"/>
      <c r="CJ492" s="1438"/>
      <c r="CK492" s="1438"/>
      <c r="CU492" s="1411"/>
      <c r="CV492" s="1411"/>
      <c r="CW492" s="1425"/>
      <c r="CX492" s="1425"/>
      <c r="CY492" s="1425"/>
      <c r="CZ492" s="1425"/>
      <c r="DA492" s="1411"/>
      <c r="DB492" s="1411"/>
      <c r="DC492" s="1411"/>
      <c r="DD492" s="1411"/>
      <c r="DE492" s="1411"/>
      <c r="DF492" s="1411"/>
      <c r="DH492" s="1432"/>
      <c r="DI492" s="1432"/>
      <c r="DJ492" s="1437"/>
      <c r="DK492" s="1437"/>
      <c r="DL492" s="1437"/>
      <c r="DM492" s="1437"/>
      <c r="DN492" s="1432"/>
      <c r="DO492" s="1432"/>
      <c r="DP492" s="1432"/>
      <c r="DQ492" s="1432"/>
      <c r="DR492" s="1432"/>
      <c r="DS492" s="1432"/>
      <c r="DT492" s="1316"/>
      <c r="DU492" s="1433"/>
      <c r="DV492" s="1433"/>
      <c r="DW492" s="1433"/>
      <c r="DX492" s="1433"/>
      <c r="DY492" s="1433"/>
      <c r="DZ492" s="1433"/>
      <c r="EA492" s="1433"/>
      <c r="EB492" s="1433"/>
    </row>
    <row r="493" customFormat="false" ht="14.25" hidden="false" customHeight="false" outlineLevel="0" collapsed="false">
      <c r="A493" s="2" t="n">
        <f aca="false">'V_DATOS PAC_SGA'!R488</f>
        <v>0</v>
      </c>
      <c r="B493" s="2" t="n">
        <f aca="false">IF(I493="IV",CONCATENATE('V_DATOS PAC_SGA'!R488,"4")+0,CONCATENATE('V_DATOS PAC_SGA'!R488,"0")+0)</f>
        <v>0</v>
      </c>
      <c r="C493" s="2" t="n">
        <f aca="false">'V_DATOS PAC_SGA'!S488</f>
        <v>0</v>
      </c>
      <c r="D493" s="1409" t="n">
        <f aca="false">'V_DATOS PAC_SGA'!Y488</f>
        <v>0</v>
      </c>
      <c r="E493" s="1410" t="str">
        <f aca="false">IF('V_DATOS PAC_SGA'!AV488="","Regadio",'V_DATOS PAC_SGA'!AV488)</f>
        <v>Regadio</v>
      </c>
      <c r="F493" s="1411" t="n">
        <f aca="false">'V_DATOS PAC_SGA'!BK488</f>
        <v>0</v>
      </c>
      <c r="G493" s="1412" t="n">
        <f aca="false">'V_DATOS PAC_SGA'!AN488</f>
        <v>0</v>
      </c>
      <c r="H493" s="1413" t="str">
        <f aca="false">IF(B493&gt;0,VLOOKUP(B493,'O_MN, PE_UTA_UGM 2024'!E$3:O$419,10),"")</f>
        <v/>
      </c>
      <c r="I493" s="1359" t="n">
        <f aca="false">'V_DATOS PAC_SGA'!BV488</f>
        <v>0</v>
      </c>
      <c r="J493" s="2" t="str">
        <f aca="false">IF(AND(J$4=$G493,J$6=$F493),$D493*J$5,"")</f>
        <v/>
      </c>
      <c r="K493" s="2" t="str">
        <f aca="false">IF(AND(K$4=$G493,K$6=$F493),$D493*K$5,"")</f>
        <v/>
      </c>
      <c r="L493" s="2" t="str">
        <f aca="false">IF(AND(L$4=$G493,L$6=$F493),$D493*L$5,"")</f>
        <v/>
      </c>
      <c r="M493" s="2" t="str">
        <f aca="false">IF(AND(M$4=$G493,M$6=$F493),$D493*M$5,"")</f>
        <v/>
      </c>
      <c r="N493" s="1478" t="n">
        <f aca="false">VLOOKUP(B493,'O_MN, PE_UTA_UGM 2024'!$E$2:$K$419,IF(G493&gt;1,6,7))</f>
        <v>0</v>
      </c>
      <c r="O493" s="1434" t="str">
        <f aca="false">IF($H493=O$4,$D493*$N493,"")</f>
        <v/>
      </c>
      <c r="P493" s="1435" t="str">
        <f aca="false">IF($H493=P$4,$D493*$N493,"")</f>
        <v/>
      </c>
      <c r="Q493" s="1435" t="str">
        <f aca="false">IF($H493=Q$4,$D493*$N493,"")</f>
        <v/>
      </c>
      <c r="R493" s="1435" t="str">
        <f aca="false">IF($H493=R$4,$D493*$N493,"")</f>
        <v/>
      </c>
      <c r="S493" s="1435" t="str">
        <f aca="false">IF($H493=S$4,$D493*$N493,"")</f>
        <v/>
      </c>
      <c r="T493" s="1435" t="str">
        <f aca="false">IF($H493=T$4,$D493*$N493,"")</f>
        <v/>
      </c>
      <c r="U493" s="1436" t="str">
        <f aca="false">IF($H493=U$4,$D493*$N493,"")</f>
        <v/>
      </c>
      <c r="V493" s="1472"/>
      <c r="W493" s="1471"/>
      <c r="X493" s="1471"/>
      <c r="Y493" s="1471"/>
      <c r="Z493" s="1471"/>
      <c r="AA493" s="1471"/>
      <c r="AB493" s="1473"/>
      <c r="AC493" s="1319"/>
      <c r="AD493" s="2" t="str">
        <f aca="false">IF(AND(AD$4=$G493,AD$6=$F493),$B493,"")</f>
        <v/>
      </c>
      <c r="AE493" s="2" t="str">
        <f aca="false">IF(AND(AE$4=$G493,AE$6=$F493),$B493,"")</f>
        <v/>
      </c>
      <c r="AF493" s="2" t="str">
        <f aca="false">IF(AND(AF$4=$G493,AF$6=$F493),$B493,"")</f>
        <v/>
      </c>
      <c r="AG493" s="2" t="str">
        <f aca="false">IF(AND(AG$4=$G493,AG$6=$F493),$B493,"")</f>
        <v/>
      </c>
      <c r="AI493" s="366"/>
      <c r="AL493" s="367"/>
      <c r="AO493" s="367"/>
      <c r="AR493" s="1411"/>
      <c r="AT493" s="1422"/>
      <c r="AU493" s="1411"/>
      <c r="AV493" s="1411"/>
      <c r="AW493" s="1423"/>
      <c r="AX493" s="1423"/>
      <c r="AZ493" s="1370"/>
      <c r="BA493" s="1370"/>
      <c r="BB493" s="1370"/>
      <c r="BC493" s="1370"/>
      <c r="BD493" s="1370"/>
      <c r="BE493" s="1370"/>
      <c r="BF493" s="1370"/>
      <c r="BG493" s="1370"/>
      <c r="BH493" s="1371"/>
      <c r="BI493" s="1371"/>
      <c r="BJ493" s="1371"/>
      <c r="BK493" s="1371"/>
      <c r="BM493" s="1411"/>
      <c r="BN493" s="1411"/>
      <c r="BO493" s="1425"/>
      <c r="BP493" s="1425"/>
      <c r="BQ493" s="1425"/>
      <c r="BR493" s="1425"/>
      <c r="BS493" s="1411"/>
      <c r="BT493" s="1411"/>
      <c r="BU493" s="1411"/>
      <c r="BV493" s="1411"/>
      <c r="BW493" s="1411"/>
      <c r="BX493" s="1411"/>
      <c r="BZ493" s="1438"/>
      <c r="CA493" s="1438"/>
      <c r="CB493" s="1496"/>
      <c r="CC493" s="1496"/>
      <c r="CD493" s="1496"/>
      <c r="CE493" s="1496"/>
      <c r="CF493" s="1438"/>
      <c r="CG493" s="1438"/>
      <c r="CH493" s="1438"/>
      <c r="CI493" s="1438"/>
      <c r="CJ493" s="1438"/>
      <c r="CK493" s="1438"/>
      <c r="CU493" s="1411"/>
      <c r="CV493" s="1411"/>
      <c r="CW493" s="1425"/>
      <c r="CX493" s="1425"/>
      <c r="CY493" s="1425"/>
      <c r="CZ493" s="1425"/>
      <c r="DA493" s="1411"/>
      <c r="DB493" s="1411"/>
      <c r="DC493" s="1411"/>
      <c r="DD493" s="1411"/>
      <c r="DE493" s="1411"/>
      <c r="DF493" s="1411"/>
      <c r="DH493" s="1432"/>
      <c r="DI493" s="1432"/>
      <c r="DJ493" s="1437"/>
      <c r="DK493" s="1437"/>
      <c r="DL493" s="1437"/>
      <c r="DM493" s="1437"/>
      <c r="DN493" s="1432"/>
      <c r="DO493" s="1432"/>
      <c r="DP493" s="1432"/>
      <c r="DQ493" s="1432"/>
      <c r="DR493" s="1432"/>
      <c r="DS493" s="1432"/>
      <c r="DT493" s="1316"/>
      <c r="DU493" s="1433"/>
      <c r="DV493" s="1433"/>
      <c r="DW493" s="1433"/>
      <c r="DX493" s="1433"/>
      <c r="DY493" s="1433"/>
      <c r="DZ493" s="1433"/>
      <c r="EA493" s="1433"/>
      <c r="EB493" s="1433"/>
    </row>
    <row r="494" customFormat="false" ht="14.25" hidden="false" customHeight="false" outlineLevel="0" collapsed="false">
      <c r="A494" s="2" t="n">
        <f aca="false">'V_DATOS PAC_SGA'!R489</f>
        <v>0</v>
      </c>
      <c r="B494" s="2" t="n">
        <f aca="false">IF(I494="IV",CONCATENATE('V_DATOS PAC_SGA'!R489,"4")+0,CONCATENATE('V_DATOS PAC_SGA'!R489,"0")+0)</f>
        <v>0</v>
      </c>
      <c r="C494" s="2" t="n">
        <f aca="false">'V_DATOS PAC_SGA'!S489</f>
        <v>0</v>
      </c>
      <c r="D494" s="1409" t="n">
        <f aca="false">'V_DATOS PAC_SGA'!Y489</f>
        <v>0</v>
      </c>
      <c r="E494" s="1410" t="str">
        <f aca="false">IF('V_DATOS PAC_SGA'!AV489="","Regadio",'V_DATOS PAC_SGA'!AV489)</f>
        <v>Regadio</v>
      </c>
      <c r="F494" s="1411" t="n">
        <f aca="false">'V_DATOS PAC_SGA'!BK489</f>
        <v>0</v>
      </c>
      <c r="G494" s="1412" t="n">
        <f aca="false">'V_DATOS PAC_SGA'!AN489</f>
        <v>0</v>
      </c>
      <c r="H494" s="1413" t="str">
        <f aca="false">IF(B494&gt;0,VLOOKUP(B494,'O_MN, PE_UTA_UGM 2024'!E$3:O$419,10),"")</f>
        <v/>
      </c>
      <c r="I494" s="1359" t="n">
        <f aca="false">'V_DATOS PAC_SGA'!BV489</f>
        <v>0</v>
      </c>
      <c r="J494" s="2" t="str">
        <f aca="false">IF(AND(J$4=$G494,J$6=$F494),$D494*J$5,"")</f>
        <v/>
      </c>
      <c r="K494" s="2" t="str">
        <f aca="false">IF(AND(K$4=$G494,K$6=$F494),$D494*K$5,"")</f>
        <v/>
      </c>
      <c r="L494" s="2" t="str">
        <f aca="false">IF(AND(L$4=$G494,L$6=$F494),$D494*L$5,"")</f>
        <v/>
      </c>
      <c r="M494" s="2" t="str">
        <f aca="false">IF(AND(M$4=$G494,M$6=$F494),$D494*M$5,"")</f>
        <v/>
      </c>
      <c r="N494" s="1478" t="n">
        <f aca="false">VLOOKUP(B494,'O_MN, PE_UTA_UGM 2024'!$E$2:$K$419,IF(G494&gt;1,6,7))</f>
        <v>0</v>
      </c>
      <c r="O494" s="1434" t="str">
        <f aca="false">IF($H494=O$4,$D494*$N494,"")</f>
        <v/>
      </c>
      <c r="P494" s="1435" t="str">
        <f aca="false">IF($H494=P$4,$D494*$N494,"")</f>
        <v/>
      </c>
      <c r="Q494" s="1435" t="str">
        <f aca="false">IF($H494=Q$4,$D494*$N494,"")</f>
        <v/>
      </c>
      <c r="R494" s="1435" t="str">
        <f aca="false">IF($H494=R$4,$D494*$N494,"")</f>
        <v/>
      </c>
      <c r="S494" s="1435" t="str">
        <f aca="false">IF($H494=S$4,$D494*$N494,"")</f>
        <v/>
      </c>
      <c r="T494" s="1435" t="str">
        <f aca="false">IF($H494=T$4,$D494*$N494,"")</f>
        <v/>
      </c>
      <c r="U494" s="1436" t="str">
        <f aca="false">IF($H494=U$4,$D494*$N494,"")</f>
        <v/>
      </c>
      <c r="V494" s="1472"/>
      <c r="W494" s="1471"/>
      <c r="X494" s="1471"/>
      <c r="Y494" s="1471"/>
      <c r="Z494" s="1471"/>
      <c r="AA494" s="1471"/>
      <c r="AB494" s="1473"/>
      <c r="AC494" s="1319"/>
      <c r="AD494" s="2" t="str">
        <f aca="false">IF(AND(AD$4=$G494,AD$6=$F494),$B494,"")</f>
        <v/>
      </c>
      <c r="AE494" s="2" t="str">
        <f aca="false">IF(AND(AE$4=$G494,AE$6=$F494),$B494,"")</f>
        <v/>
      </c>
      <c r="AF494" s="2" t="str">
        <f aca="false">IF(AND(AF$4=$G494,AF$6=$F494),$B494,"")</f>
        <v/>
      </c>
      <c r="AG494" s="2" t="str">
        <f aca="false">IF(AND(AG$4=$G494,AG$6=$F494),$B494,"")</f>
        <v/>
      </c>
      <c r="AI494" s="366"/>
      <c r="AL494" s="367"/>
      <c r="AO494" s="367"/>
      <c r="AR494" s="1411"/>
      <c r="AT494" s="1422"/>
      <c r="AU494" s="1411"/>
      <c r="AV494" s="1411"/>
      <c r="AW494" s="1423"/>
      <c r="AX494" s="1423"/>
      <c r="AZ494" s="1370"/>
      <c r="BA494" s="1370"/>
      <c r="BB494" s="1370"/>
      <c r="BC494" s="1370"/>
      <c r="BD494" s="1370"/>
      <c r="BE494" s="1370"/>
      <c r="BF494" s="1370"/>
      <c r="BG494" s="1370"/>
      <c r="BH494" s="1371"/>
      <c r="BI494" s="1371"/>
      <c r="BJ494" s="1371"/>
      <c r="BK494" s="1371"/>
      <c r="BM494" s="1411"/>
      <c r="BN494" s="1411"/>
      <c r="BO494" s="1425"/>
      <c r="BP494" s="1425"/>
      <c r="BQ494" s="1425"/>
      <c r="BR494" s="1425"/>
      <c r="BS494" s="1411"/>
      <c r="BT494" s="1411"/>
      <c r="BU494" s="1411"/>
      <c r="BV494" s="1411"/>
      <c r="BW494" s="1411"/>
      <c r="BX494" s="1411"/>
      <c r="BZ494" s="1438"/>
      <c r="CA494" s="1438"/>
      <c r="CB494" s="1496"/>
      <c r="CC494" s="1496"/>
      <c r="CD494" s="1496"/>
      <c r="CE494" s="1496"/>
      <c r="CF494" s="1438"/>
      <c r="CG494" s="1438"/>
      <c r="CH494" s="1438"/>
      <c r="CI494" s="1438"/>
      <c r="CJ494" s="1438"/>
      <c r="CK494" s="1438"/>
      <c r="CU494" s="1411"/>
      <c r="CV494" s="1411"/>
      <c r="CW494" s="1425"/>
      <c r="CX494" s="1425"/>
      <c r="CY494" s="1425"/>
      <c r="CZ494" s="1425"/>
      <c r="DA494" s="1411"/>
      <c r="DB494" s="1411"/>
      <c r="DC494" s="1411"/>
      <c r="DD494" s="1411"/>
      <c r="DE494" s="1411"/>
      <c r="DF494" s="1411"/>
      <c r="DH494" s="1432"/>
      <c r="DI494" s="1432"/>
      <c r="DJ494" s="1437"/>
      <c r="DK494" s="1437"/>
      <c r="DL494" s="1437"/>
      <c r="DM494" s="1437"/>
      <c r="DN494" s="1432"/>
      <c r="DO494" s="1432"/>
      <c r="DP494" s="1432"/>
      <c r="DQ494" s="1432"/>
      <c r="DR494" s="1432"/>
      <c r="DS494" s="1432"/>
      <c r="DT494" s="1316"/>
      <c r="DU494" s="1433"/>
      <c r="DV494" s="1433"/>
      <c r="DW494" s="1433"/>
      <c r="DX494" s="1433"/>
      <c r="DY494" s="1433"/>
      <c r="DZ494" s="1433"/>
      <c r="EA494" s="1433"/>
      <c r="EB494" s="1433"/>
    </row>
    <row r="495" customFormat="false" ht="14.25" hidden="false" customHeight="false" outlineLevel="0" collapsed="false">
      <c r="A495" s="2" t="n">
        <f aca="false">'V_DATOS PAC_SGA'!R490</f>
        <v>0</v>
      </c>
      <c r="B495" s="2" t="n">
        <f aca="false">IF(I495="IV",CONCATENATE('V_DATOS PAC_SGA'!R490,"4")+0,CONCATENATE('V_DATOS PAC_SGA'!R490,"0")+0)</f>
        <v>0</v>
      </c>
      <c r="C495" s="2" t="n">
        <f aca="false">'V_DATOS PAC_SGA'!S490</f>
        <v>0</v>
      </c>
      <c r="D495" s="1409" t="n">
        <f aca="false">'V_DATOS PAC_SGA'!Y490</f>
        <v>0</v>
      </c>
      <c r="E495" s="1410" t="str">
        <f aca="false">IF('V_DATOS PAC_SGA'!AV490="","Regadio",'V_DATOS PAC_SGA'!AV490)</f>
        <v>Regadio</v>
      </c>
      <c r="F495" s="1411" t="n">
        <f aca="false">'V_DATOS PAC_SGA'!BK490</f>
        <v>0</v>
      </c>
      <c r="G495" s="1412" t="n">
        <f aca="false">'V_DATOS PAC_SGA'!AN490</f>
        <v>0</v>
      </c>
      <c r="H495" s="1413" t="str">
        <f aca="false">IF(B495&gt;0,VLOOKUP(B495,'O_MN, PE_UTA_UGM 2024'!E$3:O$419,10),"")</f>
        <v/>
      </c>
      <c r="I495" s="1359" t="n">
        <f aca="false">'V_DATOS PAC_SGA'!BV490</f>
        <v>0</v>
      </c>
      <c r="J495" s="2" t="str">
        <f aca="false">IF(AND(J$4=$G495,J$6=$F495),$D495*J$5,"")</f>
        <v/>
      </c>
      <c r="K495" s="2" t="str">
        <f aca="false">IF(AND(K$4=$G495,K$6=$F495),$D495*K$5,"")</f>
        <v/>
      </c>
      <c r="L495" s="2" t="str">
        <f aca="false">IF(AND(L$4=$G495,L$6=$F495),$D495*L$5,"")</f>
        <v/>
      </c>
      <c r="M495" s="2" t="str">
        <f aca="false">IF(AND(M$4=$G495,M$6=$F495),$D495*M$5,"")</f>
        <v/>
      </c>
      <c r="N495" s="1478" t="n">
        <f aca="false">VLOOKUP(B495,'O_MN, PE_UTA_UGM 2024'!$E$2:$K$419,IF(G495&gt;1,6,7))</f>
        <v>0</v>
      </c>
      <c r="O495" s="1434" t="str">
        <f aca="false">IF($H495=O$4,$D495*$N495,"")</f>
        <v/>
      </c>
      <c r="P495" s="1435" t="str">
        <f aca="false">IF($H495=P$4,$D495*$N495,"")</f>
        <v/>
      </c>
      <c r="Q495" s="1435" t="str">
        <f aca="false">IF($H495=Q$4,$D495*$N495,"")</f>
        <v/>
      </c>
      <c r="R495" s="1435" t="str">
        <f aca="false">IF($H495=R$4,$D495*$N495,"")</f>
        <v/>
      </c>
      <c r="S495" s="1435" t="str">
        <f aca="false">IF($H495=S$4,$D495*$N495,"")</f>
        <v/>
      </c>
      <c r="T495" s="1435" t="str">
        <f aca="false">IF($H495=T$4,$D495*$N495,"")</f>
        <v/>
      </c>
      <c r="U495" s="1436" t="str">
        <f aca="false">IF($H495=U$4,$D495*$N495,"")</f>
        <v/>
      </c>
      <c r="V495" s="1472"/>
      <c r="W495" s="1471"/>
      <c r="X495" s="1471"/>
      <c r="Y495" s="1471"/>
      <c r="Z495" s="1471"/>
      <c r="AA495" s="1471"/>
      <c r="AB495" s="1473"/>
      <c r="AC495" s="1319"/>
      <c r="AD495" s="2" t="str">
        <f aca="false">IF(AND(AD$4=$G495,AD$6=$F495),$B495,"")</f>
        <v/>
      </c>
      <c r="AE495" s="2" t="str">
        <f aca="false">IF(AND(AE$4=$G495,AE$6=$F495),$B495,"")</f>
        <v/>
      </c>
      <c r="AF495" s="2" t="str">
        <f aca="false">IF(AND(AF$4=$G495,AF$6=$F495),$B495,"")</f>
        <v/>
      </c>
      <c r="AG495" s="2" t="str">
        <f aca="false">IF(AND(AG$4=$G495,AG$6=$F495),$B495,"")</f>
        <v/>
      </c>
      <c r="AI495" s="366"/>
      <c r="AL495" s="367"/>
      <c r="AO495" s="367"/>
      <c r="AR495" s="1411"/>
      <c r="AT495" s="1422"/>
      <c r="AU495" s="1411"/>
      <c r="AV495" s="1411"/>
      <c r="AW495" s="1423"/>
      <c r="AX495" s="1423"/>
      <c r="AZ495" s="1370"/>
      <c r="BA495" s="1370"/>
      <c r="BB495" s="1370"/>
      <c r="BC495" s="1370"/>
      <c r="BD495" s="1370"/>
      <c r="BE495" s="1370"/>
      <c r="BF495" s="1370"/>
      <c r="BG495" s="1370"/>
      <c r="BH495" s="1371"/>
      <c r="BI495" s="1371"/>
      <c r="BJ495" s="1371"/>
      <c r="BK495" s="1371"/>
      <c r="BM495" s="1411"/>
      <c r="BN495" s="1411"/>
      <c r="BO495" s="1425"/>
      <c r="BP495" s="1425"/>
      <c r="BQ495" s="1425"/>
      <c r="BR495" s="1425"/>
      <c r="BS495" s="1411"/>
      <c r="BT495" s="1411"/>
      <c r="BU495" s="1411"/>
      <c r="BV495" s="1411"/>
      <c r="BW495" s="1411"/>
      <c r="BX495" s="1411"/>
      <c r="BZ495" s="1438"/>
      <c r="CA495" s="1438"/>
      <c r="CB495" s="1496"/>
      <c r="CC495" s="1496"/>
      <c r="CD495" s="1496"/>
      <c r="CE495" s="1496"/>
      <c r="CF495" s="1438"/>
      <c r="CG495" s="1438"/>
      <c r="CH495" s="1438"/>
      <c r="CI495" s="1438"/>
      <c r="CJ495" s="1438"/>
      <c r="CK495" s="1438"/>
      <c r="CU495" s="1411"/>
      <c r="CV495" s="1411"/>
      <c r="CW495" s="1425"/>
      <c r="CX495" s="1425"/>
      <c r="CY495" s="1425"/>
      <c r="CZ495" s="1425"/>
      <c r="DA495" s="1411"/>
      <c r="DB495" s="1411"/>
      <c r="DC495" s="1411"/>
      <c r="DD495" s="1411"/>
      <c r="DE495" s="1411"/>
      <c r="DF495" s="1411"/>
      <c r="DH495" s="1432"/>
      <c r="DI495" s="1432"/>
      <c r="DJ495" s="1437"/>
      <c r="DK495" s="1437"/>
      <c r="DL495" s="1437"/>
      <c r="DM495" s="1437"/>
      <c r="DN495" s="1432"/>
      <c r="DO495" s="1432"/>
      <c r="DP495" s="1432"/>
      <c r="DQ495" s="1432"/>
      <c r="DR495" s="1432"/>
      <c r="DS495" s="1432"/>
      <c r="DT495" s="1316"/>
      <c r="DU495" s="1433"/>
      <c r="DV495" s="1433"/>
      <c r="DW495" s="1433"/>
      <c r="DX495" s="1433"/>
      <c r="DY495" s="1433"/>
      <c r="DZ495" s="1433"/>
      <c r="EA495" s="1433"/>
      <c r="EB495" s="1433"/>
    </row>
    <row r="496" customFormat="false" ht="14.25" hidden="false" customHeight="false" outlineLevel="0" collapsed="false">
      <c r="A496" s="2" t="n">
        <f aca="false">'V_DATOS PAC_SGA'!R491</f>
        <v>0</v>
      </c>
      <c r="B496" s="2" t="n">
        <f aca="false">IF(I496="IV",CONCATENATE('V_DATOS PAC_SGA'!R491,"4")+0,CONCATENATE('V_DATOS PAC_SGA'!R491,"0")+0)</f>
        <v>0</v>
      </c>
      <c r="C496" s="2" t="n">
        <f aca="false">'V_DATOS PAC_SGA'!S491</f>
        <v>0</v>
      </c>
      <c r="D496" s="1409" t="n">
        <f aca="false">'V_DATOS PAC_SGA'!Y491</f>
        <v>0</v>
      </c>
      <c r="E496" s="1410" t="str">
        <f aca="false">IF('V_DATOS PAC_SGA'!AV491="","Regadio",'V_DATOS PAC_SGA'!AV491)</f>
        <v>Regadio</v>
      </c>
      <c r="F496" s="1411" t="n">
        <f aca="false">'V_DATOS PAC_SGA'!BK491</f>
        <v>0</v>
      </c>
      <c r="G496" s="1412" t="n">
        <f aca="false">'V_DATOS PAC_SGA'!AN491</f>
        <v>0</v>
      </c>
      <c r="H496" s="1413" t="str">
        <f aca="false">IF(B496&gt;0,VLOOKUP(B496,'O_MN, PE_UTA_UGM 2024'!E$3:O$419,10),"")</f>
        <v/>
      </c>
      <c r="I496" s="1359" t="n">
        <f aca="false">'V_DATOS PAC_SGA'!BV491</f>
        <v>0</v>
      </c>
      <c r="J496" s="2" t="str">
        <f aca="false">IF(AND(J$4=$G496,J$6=$F496),$D496*J$5,"")</f>
        <v/>
      </c>
      <c r="K496" s="2" t="str">
        <f aca="false">IF(AND(K$4=$G496,K$6=$F496),$D496*K$5,"")</f>
        <v/>
      </c>
      <c r="L496" s="2" t="str">
        <f aca="false">IF(AND(L$4=$G496,L$6=$F496),$D496*L$5,"")</f>
        <v/>
      </c>
      <c r="M496" s="2" t="str">
        <f aca="false">IF(AND(M$4=$G496,M$6=$F496),$D496*M$5,"")</f>
        <v/>
      </c>
      <c r="N496" s="1478" t="n">
        <f aca="false">VLOOKUP(B496,'O_MN, PE_UTA_UGM 2024'!$E$2:$K$419,IF(G496&gt;1,6,7))</f>
        <v>0</v>
      </c>
      <c r="O496" s="1434" t="str">
        <f aca="false">IF($H496=O$4,$D496*$N496,"")</f>
        <v/>
      </c>
      <c r="P496" s="1435" t="str">
        <f aca="false">IF($H496=P$4,$D496*$N496,"")</f>
        <v/>
      </c>
      <c r="Q496" s="1435" t="str">
        <f aca="false">IF($H496=Q$4,$D496*$N496,"")</f>
        <v/>
      </c>
      <c r="R496" s="1435" t="str">
        <f aca="false">IF($H496=R$4,$D496*$N496,"")</f>
        <v/>
      </c>
      <c r="S496" s="1435" t="str">
        <f aca="false">IF($H496=S$4,$D496*$N496,"")</f>
        <v/>
      </c>
      <c r="T496" s="1435" t="str">
        <f aca="false">IF($H496=T$4,$D496*$N496,"")</f>
        <v/>
      </c>
      <c r="U496" s="1436" t="str">
        <f aca="false">IF($H496=U$4,$D496*$N496,"")</f>
        <v/>
      </c>
      <c r="V496" s="1472"/>
      <c r="W496" s="1471"/>
      <c r="X496" s="1471"/>
      <c r="Y496" s="1471"/>
      <c r="Z496" s="1471"/>
      <c r="AA496" s="1471"/>
      <c r="AB496" s="1473"/>
      <c r="AC496" s="1319"/>
      <c r="AD496" s="2" t="str">
        <f aca="false">IF(AND(AD$4=$G496,AD$6=$F496),$B496,"")</f>
        <v/>
      </c>
      <c r="AE496" s="2" t="str">
        <f aca="false">IF(AND(AE$4=$G496,AE$6=$F496),$B496,"")</f>
        <v/>
      </c>
      <c r="AF496" s="2" t="str">
        <f aca="false">IF(AND(AF$4=$G496,AF$6=$F496),$B496,"")</f>
        <v/>
      </c>
      <c r="AG496" s="2" t="str">
        <f aca="false">IF(AND(AG$4=$G496,AG$6=$F496),$B496,"")</f>
        <v/>
      </c>
      <c r="AI496" s="366"/>
      <c r="AL496" s="367"/>
      <c r="AO496" s="367"/>
      <c r="AR496" s="1411"/>
      <c r="AT496" s="1422"/>
      <c r="AU496" s="1411"/>
      <c r="AV496" s="1411"/>
      <c r="AW496" s="1423"/>
      <c r="AX496" s="1423"/>
      <c r="AZ496" s="1370"/>
      <c r="BA496" s="1370"/>
      <c r="BB496" s="1370"/>
      <c r="BC496" s="1370"/>
      <c r="BD496" s="1370"/>
      <c r="BE496" s="1370"/>
      <c r="BF496" s="1370"/>
      <c r="BG496" s="1370"/>
      <c r="BH496" s="1371"/>
      <c r="BI496" s="1371"/>
      <c r="BJ496" s="1371"/>
      <c r="BK496" s="1371"/>
      <c r="BM496" s="1411"/>
      <c r="BN496" s="1411"/>
      <c r="BO496" s="1425"/>
      <c r="BP496" s="1425"/>
      <c r="BQ496" s="1425"/>
      <c r="BR496" s="1425"/>
      <c r="BS496" s="1411"/>
      <c r="BT496" s="1411"/>
      <c r="BU496" s="1411"/>
      <c r="BV496" s="1411"/>
      <c r="BW496" s="1411"/>
      <c r="BX496" s="1411"/>
      <c r="BZ496" s="1438"/>
      <c r="CA496" s="1438"/>
      <c r="CB496" s="1496"/>
      <c r="CC496" s="1496"/>
      <c r="CD496" s="1496"/>
      <c r="CE496" s="1496"/>
      <c r="CF496" s="1438"/>
      <c r="CG496" s="1438"/>
      <c r="CH496" s="1438"/>
      <c r="CI496" s="1438"/>
      <c r="CJ496" s="1438"/>
      <c r="CK496" s="1438"/>
      <c r="CU496" s="1411"/>
      <c r="CV496" s="1411"/>
      <c r="CW496" s="1425"/>
      <c r="CX496" s="1425"/>
      <c r="CY496" s="1425"/>
      <c r="CZ496" s="1425"/>
      <c r="DA496" s="1411"/>
      <c r="DB496" s="1411"/>
      <c r="DC496" s="1411"/>
      <c r="DD496" s="1411"/>
      <c r="DE496" s="1411"/>
      <c r="DF496" s="1411"/>
      <c r="DH496" s="1432"/>
      <c r="DI496" s="1432"/>
      <c r="DJ496" s="1437"/>
      <c r="DK496" s="1437"/>
      <c r="DL496" s="1437"/>
      <c r="DM496" s="1437"/>
      <c r="DN496" s="1432"/>
      <c r="DO496" s="1432"/>
      <c r="DP496" s="1432"/>
      <c r="DQ496" s="1432"/>
      <c r="DR496" s="1432"/>
      <c r="DS496" s="1432"/>
      <c r="DT496" s="1316"/>
      <c r="DU496" s="1433"/>
      <c r="DV496" s="1433"/>
      <c r="DW496" s="1433"/>
      <c r="DX496" s="1433"/>
      <c r="DY496" s="1433"/>
      <c r="DZ496" s="1433"/>
      <c r="EA496" s="1433"/>
      <c r="EB496" s="1433"/>
    </row>
    <row r="497" customFormat="false" ht="14.25" hidden="false" customHeight="false" outlineLevel="0" collapsed="false">
      <c r="A497" s="2" t="n">
        <f aca="false">'V_DATOS PAC_SGA'!R492</f>
        <v>0</v>
      </c>
      <c r="B497" s="2" t="n">
        <f aca="false">IF(I497="IV",CONCATENATE('V_DATOS PAC_SGA'!R492,"4")+0,CONCATENATE('V_DATOS PAC_SGA'!R492,"0")+0)</f>
        <v>0</v>
      </c>
      <c r="C497" s="2" t="n">
        <f aca="false">'V_DATOS PAC_SGA'!S492</f>
        <v>0</v>
      </c>
      <c r="D497" s="1409" t="n">
        <f aca="false">'V_DATOS PAC_SGA'!Y492</f>
        <v>0</v>
      </c>
      <c r="E497" s="1410" t="str">
        <f aca="false">IF('V_DATOS PAC_SGA'!AV492="","Regadio",'V_DATOS PAC_SGA'!AV492)</f>
        <v>Regadio</v>
      </c>
      <c r="F497" s="1411" t="n">
        <f aca="false">'V_DATOS PAC_SGA'!BK492</f>
        <v>0</v>
      </c>
      <c r="G497" s="1412" t="n">
        <f aca="false">'V_DATOS PAC_SGA'!AN492</f>
        <v>0</v>
      </c>
      <c r="H497" s="1413" t="str">
        <f aca="false">IF(B497&gt;0,VLOOKUP(B497,'O_MN, PE_UTA_UGM 2024'!E$3:O$419,10),"")</f>
        <v/>
      </c>
      <c r="I497" s="1359" t="n">
        <f aca="false">'V_DATOS PAC_SGA'!BV492</f>
        <v>0</v>
      </c>
      <c r="J497" s="2" t="str">
        <f aca="false">IF(AND(J$4=$G497,J$6=$F497),$D497*J$5,"")</f>
        <v/>
      </c>
      <c r="K497" s="2" t="str">
        <f aca="false">IF(AND(K$4=$G497,K$6=$F497),$D497*K$5,"")</f>
        <v/>
      </c>
      <c r="L497" s="2" t="str">
        <f aca="false">IF(AND(L$4=$G497,L$6=$F497),$D497*L$5,"")</f>
        <v/>
      </c>
      <c r="M497" s="2" t="str">
        <f aca="false">IF(AND(M$4=$G497,M$6=$F497),$D497*M$5,"")</f>
        <v/>
      </c>
      <c r="N497" s="1478" t="n">
        <f aca="false">VLOOKUP(B497,'O_MN, PE_UTA_UGM 2024'!$E$2:$K$419,IF(G497&gt;1,6,7))</f>
        <v>0</v>
      </c>
      <c r="O497" s="1434" t="str">
        <f aca="false">IF($H497=O$4,$D497*$N497,"")</f>
        <v/>
      </c>
      <c r="P497" s="1435" t="str">
        <f aca="false">IF($H497=P$4,$D497*$N497,"")</f>
        <v/>
      </c>
      <c r="Q497" s="1435" t="str">
        <f aca="false">IF($H497=Q$4,$D497*$N497,"")</f>
        <v/>
      </c>
      <c r="R497" s="1435" t="str">
        <f aca="false">IF($H497=R$4,$D497*$N497,"")</f>
        <v/>
      </c>
      <c r="S497" s="1435" t="str">
        <f aca="false">IF($H497=S$4,$D497*$N497,"")</f>
        <v/>
      </c>
      <c r="T497" s="1435" t="str">
        <f aca="false">IF($H497=T$4,$D497*$N497,"")</f>
        <v/>
      </c>
      <c r="U497" s="1436" t="str">
        <f aca="false">IF($H497=U$4,$D497*$N497,"")</f>
        <v/>
      </c>
      <c r="V497" s="1472"/>
      <c r="W497" s="1471"/>
      <c r="X497" s="1471"/>
      <c r="Y497" s="1471"/>
      <c r="Z497" s="1471"/>
      <c r="AA497" s="1471"/>
      <c r="AB497" s="1473"/>
      <c r="AC497" s="1319"/>
      <c r="AD497" s="2" t="str">
        <f aca="false">IF(AND(AD$4=$G497,AD$6=$F497),$B497,"")</f>
        <v/>
      </c>
      <c r="AE497" s="2" t="str">
        <f aca="false">IF(AND(AE$4=$G497,AE$6=$F497),$B497,"")</f>
        <v/>
      </c>
      <c r="AF497" s="2" t="str">
        <f aca="false">IF(AND(AF$4=$G497,AF$6=$F497),$B497,"")</f>
        <v/>
      </c>
      <c r="AG497" s="2" t="str">
        <f aca="false">IF(AND(AG$4=$G497,AG$6=$F497),$B497,"")</f>
        <v/>
      </c>
      <c r="AI497" s="366"/>
      <c r="AL497" s="367"/>
      <c r="AO497" s="367"/>
      <c r="AR497" s="1411"/>
      <c r="AT497" s="1422"/>
      <c r="AU497" s="1411"/>
      <c r="AV497" s="1411"/>
      <c r="AW497" s="1423"/>
      <c r="AX497" s="1423"/>
      <c r="AZ497" s="1370"/>
      <c r="BA497" s="1370"/>
      <c r="BB497" s="1370"/>
      <c r="BC497" s="1370"/>
      <c r="BD497" s="1370"/>
      <c r="BE497" s="1370"/>
      <c r="BF497" s="1370"/>
      <c r="BG497" s="1370"/>
      <c r="BH497" s="1371"/>
      <c r="BI497" s="1371"/>
      <c r="BJ497" s="1371"/>
      <c r="BK497" s="1371"/>
      <c r="BM497" s="1411"/>
      <c r="BN497" s="1411"/>
      <c r="BO497" s="1425"/>
      <c r="BP497" s="1425"/>
      <c r="BQ497" s="1425"/>
      <c r="BR497" s="1425"/>
      <c r="BS497" s="1411"/>
      <c r="BT497" s="1411"/>
      <c r="BU497" s="1411"/>
      <c r="BV497" s="1411"/>
      <c r="BW497" s="1411"/>
      <c r="BX497" s="1411"/>
      <c r="BZ497" s="1438"/>
      <c r="CA497" s="1438"/>
      <c r="CB497" s="1496"/>
      <c r="CC497" s="1496"/>
      <c r="CD497" s="1496"/>
      <c r="CE497" s="1496"/>
      <c r="CF497" s="1438"/>
      <c r="CG497" s="1438"/>
      <c r="CH497" s="1438"/>
      <c r="CI497" s="1438"/>
      <c r="CJ497" s="1438"/>
      <c r="CK497" s="1438"/>
      <c r="CU497" s="1411"/>
      <c r="CV497" s="1411"/>
      <c r="CW497" s="1425"/>
      <c r="CX497" s="1425"/>
      <c r="CY497" s="1425"/>
      <c r="CZ497" s="1425"/>
      <c r="DA497" s="1411"/>
      <c r="DB497" s="1411"/>
      <c r="DC497" s="1411"/>
      <c r="DD497" s="1411"/>
      <c r="DE497" s="1411"/>
      <c r="DF497" s="1411"/>
      <c r="DH497" s="1432"/>
      <c r="DI497" s="1432"/>
      <c r="DJ497" s="1437"/>
      <c r="DK497" s="1437"/>
      <c r="DL497" s="1437"/>
      <c r="DM497" s="1437"/>
      <c r="DN497" s="1432"/>
      <c r="DO497" s="1432"/>
      <c r="DP497" s="1432"/>
      <c r="DQ497" s="1432"/>
      <c r="DR497" s="1432"/>
      <c r="DS497" s="1432"/>
      <c r="DT497" s="1316"/>
      <c r="DU497" s="1433"/>
      <c r="DV497" s="1433"/>
      <c r="DW497" s="1433"/>
      <c r="DX497" s="1433"/>
      <c r="DY497" s="1433"/>
      <c r="DZ497" s="1433"/>
      <c r="EA497" s="1433"/>
      <c r="EB497" s="1433"/>
    </row>
    <row r="498" customFormat="false" ht="14.25" hidden="false" customHeight="false" outlineLevel="0" collapsed="false">
      <c r="A498" s="2" t="n">
        <f aca="false">'V_DATOS PAC_SGA'!R493</f>
        <v>0</v>
      </c>
      <c r="B498" s="2" t="n">
        <f aca="false">IF(I498="IV",CONCATENATE('V_DATOS PAC_SGA'!R493,"4")+0,CONCATENATE('V_DATOS PAC_SGA'!R493,"0")+0)</f>
        <v>0</v>
      </c>
      <c r="C498" s="2" t="n">
        <f aca="false">'V_DATOS PAC_SGA'!S493</f>
        <v>0</v>
      </c>
      <c r="D498" s="1409" t="n">
        <f aca="false">'V_DATOS PAC_SGA'!Y493</f>
        <v>0</v>
      </c>
      <c r="E498" s="1410" t="str">
        <f aca="false">IF('V_DATOS PAC_SGA'!AV493="","Regadio",'V_DATOS PAC_SGA'!AV493)</f>
        <v>Regadio</v>
      </c>
      <c r="F498" s="1411" t="n">
        <f aca="false">'V_DATOS PAC_SGA'!BK493</f>
        <v>0</v>
      </c>
      <c r="G498" s="1412" t="n">
        <f aca="false">'V_DATOS PAC_SGA'!AN493</f>
        <v>0</v>
      </c>
      <c r="H498" s="1413" t="str">
        <f aca="false">IF(B498&gt;0,VLOOKUP(B498,'O_MN, PE_UTA_UGM 2024'!E$3:O$419,10),"")</f>
        <v/>
      </c>
      <c r="I498" s="1359" t="n">
        <f aca="false">'V_DATOS PAC_SGA'!BV493</f>
        <v>0</v>
      </c>
      <c r="J498" s="2" t="str">
        <f aca="false">IF(AND(J$4=$G498,J$6=$F498),$D498*J$5,"")</f>
        <v/>
      </c>
      <c r="K498" s="2" t="str">
        <f aca="false">IF(AND(K$4=$G498,K$6=$F498),$D498*K$5,"")</f>
        <v/>
      </c>
      <c r="L498" s="2" t="str">
        <f aca="false">IF(AND(L$4=$G498,L$6=$F498),$D498*L$5,"")</f>
        <v/>
      </c>
      <c r="M498" s="2" t="str">
        <f aca="false">IF(AND(M$4=$G498,M$6=$F498),$D498*M$5,"")</f>
        <v/>
      </c>
      <c r="N498" s="1478" t="n">
        <f aca="false">VLOOKUP(B498,'O_MN, PE_UTA_UGM 2024'!$E$2:$K$419,IF(G498&gt;1,6,7))</f>
        <v>0</v>
      </c>
      <c r="O498" s="1434" t="str">
        <f aca="false">IF($H498=O$4,$D498*$N498,"")</f>
        <v/>
      </c>
      <c r="P498" s="1435" t="str">
        <f aca="false">IF($H498=P$4,$D498*$N498,"")</f>
        <v/>
      </c>
      <c r="Q498" s="1435" t="str">
        <f aca="false">IF($H498=Q$4,$D498*$N498,"")</f>
        <v/>
      </c>
      <c r="R498" s="1435" t="str">
        <f aca="false">IF($H498=R$4,$D498*$N498,"")</f>
        <v/>
      </c>
      <c r="S498" s="1435" t="str">
        <f aca="false">IF($H498=S$4,$D498*$N498,"")</f>
        <v/>
      </c>
      <c r="T498" s="1435" t="str">
        <f aca="false">IF($H498=T$4,$D498*$N498,"")</f>
        <v/>
      </c>
      <c r="U498" s="1436" t="str">
        <f aca="false">IF($H498=U$4,$D498*$N498,"")</f>
        <v/>
      </c>
      <c r="V498" s="1472"/>
      <c r="W498" s="1471"/>
      <c r="X498" s="1471"/>
      <c r="Y498" s="1471"/>
      <c r="Z498" s="1471"/>
      <c r="AA498" s="1471"/>
      <c r="AB498" s="1473"/>
      <c r="AC498" s="1319"/>
      <c r="AD498" s="2" t="str">
        <f aca="false">IF(AND(AD$4=$G498,AD$6=$F498),$B498,"")</f>
        <v/>
      </c>
      <c r="AE498" s="2" t="str">
        <f aca="false">IF(AND(AE$4=$G498,AE$6=$F498),$B498,"")</f>
        <v/>
      </c>
      <c r="AF498" s="2" t="str">
        <f aca="false">IF(AND(AF$4=$G498,AF$6=$F498),$B498,"")</f>
        <v/>
      </c>
      <c r="AG498" s="2" t="str">
        <f aca="false">IF(AND(AG$4=$G498,AG$6=$F498),$B498,"")</f>
        <v/>
      </c>
      <c r="AI498" s="366"/>
      <c r="AL498" s="367"/>
      <c r="AO498" s="367"/>
      <c r="AR498" s="1411"/>
      <c r="AT498" s="1422"/>
      <c r="AU498" s="1411"/>
      <c r="AV498" s="1411"/>
      <c r="AW498" s="1423"/>
      <c r="AX498" s="1423"/>
      <c r="AZ498" s="1370"/>
      <c r="BA498" s="1370"/>
      <c r="BB498" s="1370"/>
      <c r="BC498" s="1370"/>
      <c r="BD498" s="1370"/>
      <c r="BE498" s="1370"/>
      <c r="BF498" s="1370"/>
      <c r="BG498" s="1370"/>
      <c r="BH498" s="1371"/>
      <c r="BI498" s="1371"/>
      <c r="BJ498" s="1371"/>
      <c r="BK498" s="1371"/>
      <c r="BM498" s="1411"/>
      <c r="BN498" s="1411"/>
      <c r="BO498" s="1425"/>
      <c r="BP498" s="1425"/>
      <c r="BQ498" s="1425"/>
      <c r="BR498" s="1425"/>
      <c r="BS498" s="1411"/>
      <c r="BT498" s="1411"/>
      <c r="BU498" s="1411"/>
      <c r="BV498" s="1411"/>
      <c r="BW498" s="1411"/>
      <c r="BX498" s="1411"/>
      <c r="BZ498" s="1438"/>
      <c r="CA498" s="1438"/>
      <c r="CB498" s="1496"/>
      <c r="CC498" s="1496"/>
      <c r="CD498" s="1496"/>
      <c r="CE498" s="1496"/>
      <c r="CF498" s="1438"/>
      <c r="CG498" s="1438"/>
      <c r="CH498" s="1438"/>
      <c r="CI498" s="1438"/>
      <c r="CJ498" s="1438"/>
      <c r="CK498" s="1438"/>
      <c r="CU498" s="1411"/>
      <c r="CV498" s="1411"/>
      <c r="CW498" s="1425"/>
      <c r="CX498" s="1425"/>
      <c r="CY498" s="1425"/>
      <c r="CZ498" s="1425"/>
      <c r="DA498" s="1411"/>
      <c r="DB498" s="1411"/>
      <c r="DC498" s="1411"/>
      <c r="DD498" s="1411"/>
      <c r="DE498" s="1411"/>
      <c r="DF498" s="1411"/>
      <c r="DH498" s="1432"/>
      <c r="DI498" s="1432"/>
      <c r="DJ498" s="1437"/>
      <c r="DK498" s="1437"/>
      <c r="DL498" s="1437"/>
      <c r="DM498" s="1437"/>
      <c r="DN498" s="1432"/>
      <c r="DO498" s="1432"/>
      <c r="DP498" s="1432"/>
      <c r="DQ498" s="1432"/>
      <c r="DR498" s="1432"/>
      <c r="DS498" s="1432"/>
      <c r="DT498" s="1316"/>
      <c r="DU498" s="1433"/>
      <c r="DV498" s="1433"/>
      <c r="DW498" s="1433"/>
      <c r="DX498" s="1433"/>
      <c r="DY498" s="1433"/>
      <c r="DZ498" s="1433"/>
      <c r="EA498" s="1433"/>
      <c r="EB498" s="1433"/>
    </row>
    <row r="499" customFormat="false" ht="14.25" hidden="false" customHeight="false" outlineLevel="0" collapsed="false">
      <c r="A499" s="2" t="n">
        <f aca="false">'V_DATOS PAC_SGA'!R494</f>
        <v>0</v>
      </c>
      <c r="B499" s="2" t="n">
        <f aca="false">IF(I499="IV",CONCATENATE('V_DATOS PAC_SGA'!R494,"4")+0,CONCATENATE('V_DATOS PAC_SGA'!R494,"0")+0)</f>
        <v>0</v>
      </c>
      <c r="C499" s="2" t="n">
        <f aca="false">'V_DATOS PAC_SGA'!S494</f>
        <v>0</v>
      </c>
      <c r="D499" s="1409" t="n">
        <f aca="false">'V_DATOS PAC_SGA'!Y494</f>
        <v>0</v>
      </c>
      <c r="E499" s="1410" t="str">
        <f aca="false">IF('V_DATOS PAC_SGA'!AV494="","Regadio",'V_DATOS PAC_SGA'!AV494)</f>
        <v>Regadio</v>
      </c>
      <c r="F499" s="1411" t="n">
        <f aca="false">'V_DATOS PAC_SGA'!BK494</f>
        <v>0</v>
      </c>
      <c r="G499" s="1412" t="n">
        <f aca="false">'V_DATOS PAC_SGA'!AN494</f>
        <v>0</v>
      </c>
      <c r="H499" s="1413" t="str">
        <f aca="false">IF(B499&gt;0,VLOOKUP(B499,'O_MN, PE_UTA_UGM 2024'!E$3:O$419,10),"")</f>
        <v/>
      </c>
      <c r="I499" s="1359" t="n">
        <f aca="false">'V_DATOS PAC_SGA'!BV494</f>
        <v>0</v>
      </c>
      <c r="J499" s="2" t="str">
        <f aca="false">IF(AND(J$4=$G499,J$6=$F499),$D499*J$5,"")</f>
        <v/>
      </c>
      <c r="K499" s="2" t="str">
        <f aca="false">IF(AND(K$4=$G499,K$6=$F499),$D499*K$5,"")</f>
        <v/>
      </c>
      <c r="L499" s="2" t="str">
        <f aca="false">IF(AND(L$4=$G499,L$6=$F499),$D499*L$5,"")</f>
        <v/>
      </c>
      <c r="M499" s="2" t="str">
        <f aca="false">IF(AND(M$4=$G499,M$6=$F499),$D499*M$5,"")</f>
        <v/>
      </c>
      <c r="N499" s="1478" t="n">
        <f aca="false">VLOOKUP(B499,'O_MN, PE_UTA_UGM 2024'!$E$2:$K$419,IF(G499&gt;1,6,7))</f>
        <v>0</v>
      </c>
      <c r="O499" s="1434" t="str">
        <f aca="false">IF($H499=O$4,$D499*$N499,"")</f>
        <v/>
      </c>
      <c r="P499" s="1435" t="str">
        <f aca="false">IF($H499=P$4,$D499*$N499,"")</f>
        <v/>
      </c>
      <c r="Q499" s="1435" t="str">
        <f aca="false">IF($H499=Q$4,$D499*$N499,"")</f>
        <v/>
      </c>
      <c r="R499" s="1435" t="str">
        <f aca="false">IF($H499=R$4,$D499*$N499,"")</f>
        <v/>
      </c>
      <c r="S499" s="1435" t="str">
        <f aca="false">IF($H499=S$4,$D499*$N499,"")</f>
        <v/>
      </c>
      <c r="T499" s="1435" t="str">
        <f aca="false">IF($H499=T$4,$D499*$N499,"")</f>
        <v/>
      </c>
      <c r="U499" s="1436" t="str">
        <f aca="false">IF($H499=U$4,$D499*$N499,"")</f>
        <v/>
      </c>
      <c r="V499" s="1472"/>
      <c r="W499" s="1471"/>
      <c r="X499" s="1471"/>
      <c r="Y499" s="1471"/>
      <c r="Z499" s="1471"/>
      <c r="AA499" s="1471"/>
      <c r="AB499" s="1473"/>
      <c r="AC499" s="1319"/>
      <c r="AD499" s="2" t="str">
        <f aca="false">IF(AND(AD$4=$G499,AD$6=$F499),$B499,"")</f>
        <v/>
      </c>
      <c r="AE499" s="2" t="str">
        <f aca="false">IF(AND(AE$4=$G499,AE$6=$F499),$B499,"")</f>
        <v/>
      </c>
      <c r="AF499" s="2" t="str">
        <f aca="false">IF(AND(AF$4=$G499,AF$6=$F499),$B499,"")</f>
        <v/>
      </c>
      <c r="AG499" s="2" t="str">
        <f aca="false">IF(AND(AG$4=$G499,AG$6=$F499),$B499,"")</f>
        <v/>
      </c>
      <c r="AI499" s="366"/>
      <c r="AL499" s="367"/>
      <c r="AO499" s="367"/>
      <c r="AR499" s="1411"/>
      <c r="AT499" s="1422"/>
      <c r="AU499" s="1411"/>
      <c r="AV499" s="1411"/>
      <c r="AW499" s="1423"/>
      <c r="AX499" s="1423"/>
      <c r="AZ499" s="1370"/>
      <c r="BA499" s="1370"/>
      <c r="BB499" s="1370"/>
      <c r="BC499" s="1370"/>
      <c r="BD499" s="1370"/>
      <c r="BE499" s="1370"/>
      <c r="BF499" s="1370"/>
      <c r="BG499" s="1370"/>
      <c r="BH499" s="1371"/>
      <c r="BI499" s="1371"/>
      <c r="BJ499" s="1371"/>
      <c r="BK499" s="1371"/>
      <c r="BM499" s="1411"/>
      <c r="BN499" s="1411"/>
      <c r="BO499" s="1425"/>
      <c r="BP499" s="1425"/>
      <c r="BQ499" s="1425"/>
      <c r="BR499" s="1425"/>
      <c r="BS499" s="1411"/>
      <c r="BT499" s="1411"/>
      <c r="BU499" s="1411"/>
      <c r="BV499" s="1411"/>
      <c r="BW499" s="1411"/>
      <c r="BX499" s="1411"/>
      <c r="BZ499" s="1438"/>
      <c r="CA499" s="1438"/>
      <c r="CB499" s="1496"/>
      <c r="CC499" s="1496"/>
      <c r="CD499" s="1496"/>
      <c r="CE499" s="1496"/>
      <c r="CF499" s="1438"/>
      <c r="CG499" s="1438"/>
      <c r="CH499" s="1438"/>
      <c r="CI499" s="1438"/>
      <c r="CJ499" s="1438"/>
      <c r="CK499" s="1438"/>
      <c r="CU499" s="1411"/>
      <c r="CV499" s="1411"/>
      <c r="CW499" s="1425"/>
      <c r="CX499" s="1425"/>
      <c r="CY499" s="1425"/>
      <c r="CZ499" s="1425"/>
      <c r="DA499" s="1411"/>
      <c r="DB499" s="1411"/>
      <c r="DC499" s="1411"/>
      <c r="DD499" s="1411"/>
      <c r="DE499" s="1411"/>
      <c r="DF499" s="1411"/>
      <c r="DH499" s="1432"/>
      <c r="DI499" s="1432"/>
      <c r="DJ499" s="1437"/>
      <c r="DK499" s="1437"/>
      <c r="DL499" s="1437"/>
      <c r="DM499" s="1437"/>
      <c r="DN499" s="1432"/>
      <c r="DO499" s="1432"/>
      <c r="DP499" s="1432"/>
      <c r="DQ499" s="1432"/>
      <c r="DR499" s="1432"/>
      <c r="DS499" s="1432"/>
      <c r="DT499" s="1316"/>
      <c r="DU499" s="1433"/>
      <c r="DV499" s="1433"/>
      <c r="DW499" s="1433"/>
      <c r="DX499" s="1433"/>
      <c r="DY499" s="1433"/>
      <c r="DZ499" s="1433"/>
      <c r="EA499" s="1433"/>
      <c r="EB499" s="1433"/>
    </row>
    <row r="500" customFormat="false" ht="14.25" hidden="false" customHeight="false" outlineLevel="0" collapsed="false">
      <c r="A500" s="2" t="n">
        <f aca="false">'V_DATOS PAC_SGA'!R495</f>
        <v>0</v>
      </c>
      <c r="B500" s="2" t="n">
        <f aca="false">IF(I500="IV",CONCATENATE('V_DATOS PAC_SGA'!R495,"4")+0,CONCATENATE('V_DATOS PAC_SGA'!R495,"0")+0)</f>
        <v>0</v>
      </c>
      <c r="C500" s="2" t="n">
        <f aca="false">'V_DATOS PAC_SGA'!S495</f>
        <v>0</v>
      </c>
      <c r="D500" s="1409" t="n">
        <f aca="false">'V_DATOS PAC_SGA'!Y495</f>
        <v>0</v>
      </c>
      <c r="E500" s="1410" t="str">
        <f aca="false">IF('V_DATOS PAC_SGA'!AV495="","Regadio",'V_DATOS PAC_SGA'!AV495)</f>
        <v>Regadio</v>
      </c>
      <c r="F500" s="1411" t="n">
        <f aca="false">'V_DATOS PAC_SGA'!BK495</f>
        <v>0</v>
      </c>
      <c r="G500" s="1412" t="n">
        <f aca="false">'V_DATOS PAC_SGA'!AN495</f>
        <v>0</v>
      </c>
      <c r="H500" s="1413" t="str">
        <f aca="false">IF(B500&gt;0,VLOOKUP(B500,'O_MN, PE_UTA_UGM 2024'!E$3:O$419,10),"")</f>
        <v/>
      </c>
      <c r="I500" s="1359" t="n">
        <f aca="false">'V_DATOS PAC_SGA'!BV495</f>
        <v>0</v>
      </c>
      <c r="J500" s="2" t="str">
        <f aca="false">IF(AND(J$4=$G500,J$6=$F500),$D500*J$5,"")</f>
        <v/>
      </c>
      <c r="K500" s="2" t="str">
        <f aca="false">IF(AND(K$4=$G500,K$6=$F500),$D500*K$5,"")</f>
        <v/>
      </c>
      <c r="L500" s="2" t="str">
        <f aca="false">IF(AND(L$4=$G500,L$6=$F500),$D500*L$5,"")</f>
        <v/>
      </c>
      <c r="M500" s="2" t="str">
        <f aca="false">IF(AND(M$4=$G500,M$6=$F500),$D500*M$5,"")</f>
        <v/>
      </c>
      <c r="N500" s="1478" t="n">
        <f aca="false">VLOOKUP(B500,'O_MN, PE_UTA_UGM 2024'!$E$2:$K$419,IF(G500&gt;1,6,7))</f>
        <v>0</v>
      </c>
      <c r="O500" s="1434" t="str">
        <f aca="false">IF($H500=O$4,$D500*$N500,"")</f>
        <v/>
      </c>
      <c r="P500" s="1435" t="str">
        <f aca="false">IF($H500=P$4,$D500*$N500,"")</f>
        <v/>
      </c>
      <c r="Q500" s="1435" t="str">
        <f aca="false">IF($H500=Q$4,$D500*$N500,"")</f>
        <v/>
      </c>
      <c r="R500" s="1435" t="str">
        <f aca="false">IF($H500=R$4,$D500*$N500,"")</f>
        <v/>
      </c>
      <c r="S500" s="1435" t="str">
        <f aca="false">IF($H500=S$4,$D500*$N500,"")</f>
        <v/>
      </c>
      <c r="T500" s="1435" t="str">
        <f aca="false">IF($H500=T$4,$D500*$N500,"")</f>
        <v/>
      </c>
      <c r="U500" s="1436" t="str">
        <f aca="false">IF($H500=U$4,$D500*$N500,"")</f>
        <v/>
      </c>
      <c r="V500" s="1472"/>
      <c r="W500" s="1471"/>
      <c r="X500" s="1471"/>
      <c r="Y500" s="1471"/>
      <c r="Z500" s="1471"/>
      <c r="AA500" s="1471"/>
      <c r="AB500" s="1473"/>
      <c r="AC500" s="1319"/>
      <c r="AD500" s="2" t="str">
        <f aca="false">IF(AND(AD$4=$G500,AD$6=$F500),$B500,"")</f>
        <v/>
      </c>
      <c r="AE500" s="2" t="str">
        <f aca="false">IF(AND(AE$4=$G500,AE$6=$F500),$B500,"")</f>
        <v/>
      </c>
      <c r="AF500" s="2" t="str">
        <f aca="false">IF(AND(AF$4=$G500,AF$6=$F500),$B500,"")</f>
        <v/>
      </c>
      <c r="AG500" s="2" t="str">
        <f aca="false">IF(AND(AG$4=$G500,AG$6=$F500),$B500,"")</f>
        <v/>
      </c>
      <c r="AI500" s="366"/>
      <c r="AL500" s="367"/>
      <c r="AO500" s="367"/>
      <c r="AR500" s="1411"/>
      <c r="AT500" s="1422"/>
      <c r="AU500" s="1411"/>
      <c r="AV500" s="1411"/>
      <c r="AW500" s="1423"/>
      <c r="AX500" s="1423"/>
      <c r="AZ500" s="1370"/>
      <c r="BA500" s="1370"/>
      <c r="BB500" s="1370"/>
      <c r="BC500" s="1370"/>
      <c r="BD500" s="1370"/>
      <c r="BE500" s="1370"/>
      <c r="BF500" s="1370"/>
      <c r="BG500" s="1370"/>
      <c r="BH500" s="1371"/>
      <c r="BI500" s="1371"/>
      <c r="BJ500" s="1371"/>
      <c r="BK500" s="1371"/>
      <c r="BM500" s="1411"/>
      <c r="BN500" s="1411"/>
      <c r="BO500" s="1425"/>
      <c r="BP500" s="1425"/>
      <c r="BQ500" s="1425"/>
      <c r="BR500" s="1425"/>
      <c r="BS500" s="1411"/>
      <c r="BT500" s="1411"/>
      <c r="BU500" s="1411"/>
      <c r="BV500" s="1411"/>
      <c r="BW500" s="1411"/>
      <c r="BX500" s="1411"/>
      <c r="BZ500" s="1438"/>
      <c r="CA500" s="1438"/>
      <c r="CB500" s="1496"/>
      <c r="CC500" s="1496"/>
      <c r="CD500" s="1496"/>
      <c r="CE500" s="1496"/>
      <c r="CF500" s="1438"/>
      <c r="CG500" s="1438"/>
      <c r="CH500" s="1438"/>
      <c r="CI500" s="1438"/>
      <c r="CJ500" s="1438"/>
      <c r="CK500" s="1438"/>
      <c r="CU500" s="1411"/>
      <c r="CV500" s="1411"/>
      <c r="CW500" s="1425"/>
      <c r="CX500" s="1425"/>
      <c r="CY500" s="1425"/>
      <c r="CZ500" s="1425"/>
      <c r="DA500" s="1411"/>
      <c r="DB500" s="1411"/>
      <c r="DC500" s="1411"/>
      <c r="DD500" s="1411"/>
      <c r="DE500" s="1411"/>
      <c r="DF500" s="1411"/>
      <c r="DH500" s="1432"/>
      <c r="DI500" s="1432"/>
      <c r="DJ500" s="1437"/>
      <c r="DK500" s="1437"/>
      <c r="DL500" s="1437"/>
      <c r="DM500" s="1437"/>
      <c r="DN500" s="1432"/>
      <c r="DO500" s="1432"/>
      <c r="DP500" s="1432"/>
      <c r="DQ500" s="1432"/>
      <c r="DR500" s="1432"/>
      <c r="DS500" s="1432"/>
      <c r="DT500" s="1316"/>
      <c r="DU500" s="1433"/>
      <c r="DV500" s="1433"/>
      <c r="DW500" s="1433"/>
      <c r="DX500" s="1433"/>
      <c r="DY500" s="1433"/>
      <c r="DZ500" s="1433"/>
      <c r="EA500" s="1433"/>
      <c r="EB500" s="1433"/>
    </row>
    <row r="501" customFormat="false" ht="14.25" hidden="false" customHeight="false" outlineLevel="0" collapsed="false">
      <c r="A501" s="2" t="n">
        <f aca="false">'V_DATOS PAC_SGA'!R496</f>
        <v>0</v>
      </c>
      <c r="B501" s="2" t="n">
        <f aca="false">IF(I501="IV",CONCATENATE('V_DATOS PAC_SGA'!R496,"4")+0,CONCATENATE('V_DATOS PAC_SGA'!R496,"0")+0)</f>
        <v>0</v>
      </c>
      <c r="C501" s="2" t="n">
        <f aca="false">'V_DATOS PAC_SGA'!S496</f>
        <v>0</v>
      </c>
      <c r="D501" s="1409" t="n">
        <f aca="false">'V_DATOS PAC_SGA'!Y496</f>
        <v>0</v>
      </c>
      <c r="E501" s="1410" t="str">
        <f aca="false">IF('V_DATOS PAC_SGA'!AV496="","Regadio",'V_DATOS PAC_SGA'!AV496)</f>
        <v>Regadio</v>
      </c>
      <c r="F501" s="1411" t="n">
        <f aca="false">'V_DATOS PAC_SGA'!BK496</f>
        <v>0</v>
      </c>
      <c r="G501" s="1412" t="n">
        <f aca="false">'V_DATOS PAC_SGA'!AN496</f>
        <v>0</v>
      </c>
      <c r="H501" s="1413" t="str">
        <f aca="false">IF(B501&gt;0,VLOOKUP(B501,'O_MN, PE_UTA_UGM 2024'!E$3:O$419,10),"")</f>
        <v/>
      </c>
      <c r="I501" s="1359" t="n">
        <f aca="false">'V_DATOS PAC_SGA'!BV496</f>
        <v>0</v>
      </c>
      <c r="J501" s="2" t="str">
        <f aca="false">IF(AND(J$4=$G501,J$6=$F501),$D501*J$5,"")</f>
        <v/>
      </c>
      <c r="K501" s="2" t="str">
        <f aca="false">IF(AND(K$4=$G501,K$6=$F501),$D501*K$5,"")</f>
        <v/>
      </c>
      <c r="L501" s="2" t="str">
        <f aca="false">IF(AND(L$4=$G501,L$6=$F501),$D501*L$5,"")</f>
        <v/>
      </c>
      <c r="M501" s="2" t="str">
        <f aca="false">IF(AND(M$4=$G501,M$6=$F501),$D501*M$5,"")</f>
        <v/>
      </c>
      <c r="N501" s="1478" t="n">
        <f aca="false">VLOOKUP(B501,'O_MN, PE_UTA_UGM 2024'!$E$2:$K$419,IF(G501&gt;1,6,7))</f>
        <v>0</v>
      </c>
      <c r="O501" s="1434" t="str">
        <f aca="false">IF($H501=O$4,$D501*$N501,"")</f>
        <v/>
      </c>
      <c r="P501" s="1435" t="str">
        <f aca="false">IF($H501=P$4,$D501*$N501,"")</f>
        <v/>
      </c>
      <c r="Q501" s="1435" t="str">
        <f aca="false">IF($H501=Q$4,$D501*$N501,"")</f>
        <v/>
      </c>
      <c r="R501" s="1435" t="str">
        <f aca="false">IF($H501=R$4,$D501*$N501,"")</f>
        <v/>
      </c>
      <c r="S501" s="1435" t="str">
        <f aca="false">IF($H501=S$4,$D501*$N501,"")</f>
        <v/>
      </c>
      <c r="T501" s="1435" t="str">
        <f aca="false">IF($H501=T$4,$D501*$N501,"")</f>
        <v/>
      </c>
      <c r="U501" s="1436" t="str">
        <f aca="false">IF($H501=U$4,$D501*$N501,"")</f>
        <v/>
      </c>
      <c r="V501" s="1472"/>
      <c r="W501" s="1471"/>
      <c r="X501" s="1471"/>
      <c r="Y501" s="1471"/>
      <c r="Z501" s="1471"/>
      <c r="AA501" s="1471"/>
      <c r="AB501" s="1473"/>
      <c r="AC501" s="1319"/>
      <c r="AD501" s="2" t="str">
        <f aca="false">IF(AND(AD$4=$G501,AD$6=$F501),$B501,"")</f>
        <v/>
      </c>
      <c r="AE501" s="2" t="str">
        <f aca="false">IF(AND(AE$4=$G501,AE$6=$F501),$B501,"")</f>
        <v/>
      </c>
      <c r="AF501" s="2" t="str">
        <f aca="false">IF(AND(AF$4=$G501,AF$6=$F501),$B501,"")</f>
        <v/>
      </c>
      <c r="AG501" s="2" t="str">
        <f aca="false">IF(AND(AG$4=$G501,AG$6=$F501),$B501,"")</f>
        <v/>
      </c>
      <c r="AI501" s="366"/>
      <c r="AL501" s="367"/>
      <c r="AO501" s="367"/>
      <c r="AR501" s="1411"/>
      <c r="AT501" s="1422"/>
      <c r="AU501" s="1411"/>
      <c r="AV501" s="1411"/>
      <c r="AW501" s="1423"/>
      <c r="AX501" s="1423"/>
      <c r="AZ501" s="1370"/>
      <c r="BA501" s="1370"/>
      <c r="BB501" s="1370"/>
      <c r="BC501" s="1370"/>
      <c r="BD501" s="1370"/>
      <c r="BE501" s="1370"/>
      <c r="BF501" s="1370"/>
      <c r="BG501" s="1370"/>
      <c r="BH501" s="1371"/>
      <c r="BI501" s="1371"/>
      <c r="BJ501" s="1371"/>
      <c r="BK501" s="1371"/>
      <c r="BM501" s="1411"/>
      <c r="BN501" s="1411"/>
      <c r="BO501" s="1425"/>
      <c r="BP501" s="1425"/>
      <c r="BQ501" s="1425"/>
      <c r="BR501" s="1425"/>
      <c r="BS501" s="1411"/>
      <c r="BT501" s="1411"/>
      <c r="BU501" s="1411"/>
      <c r="BV501" s="1411"/>
      <c r="BW501" s="1411"/>
      <c r="BX501" s="1411"/>
      <c r="BZ501" s="1438"/>
      <c r="CA501" s="1438"/>
      <c r="CB501" s="1496"/>
      <c r="CC501" s="1496"/>
      <c r="CD501" s="1496"/>
      <c r="CE501" s="1496"/>
      <c r="CF501" s="1438"/>
      <c r="CG501" s="1438"/>
      <c r="CH501" s="1438"/>
      <c r="CI501" s="1438"/>
      <c r="CJ501" s="1438"/>
      <c r="CK501" s="1438"/>
      <c r="CU501" s="1411"/>
      <c r="CV501" s="1411"/>
      <c r="CW501" s="1425"/>
      <c r="CX501" s="1425"/>
      <c r="CY501" s="1425"/>
      <c r="CZ501" s="1425"/>
      <c r="DA501" s="1411"/>
      <c r="DB501" s="1411"/>
      <c r="DC501" s="1411"/>
      <c r="DD501" s="1411"/>
      <c r="DE501" s="1411"/>
      <c r="DF501" s="1411"/>
      <c r="DH501" s="1432"/>
      <c r="DI501" s="1432"/>
      <c r="DJ501" s="1437"/>
      <c r="DK501" s="1437"/>
      <c r="DL501" s="1437"/>
      <c r="DM501" s="1437"/>
      <c r="DN501" s="1432"/>
      <c r="DO501" s="1432"/>
      <c r="DP501" s="1432"/>
      <c r="DQ501" s="1432"/>
      <c r="DR501" s="1432"/>
      <c r="DS501" s="1432"/>
      <c r="DT501" s="1316"/>
      <c r="DU501" s="1433"/>
      <c r="DV501" s="1433"/>
      <c r="DW501" s="1433"/>
      <c r="DX501" s="1433"/>
      <c r="DY501" s="1433"/>
      <c r="DZ501" s="1433"/>
      <c r="EA501" s="1433"/>
      <c r="EB501" s="1433"/>
    </row>
    <row r="502" customFormat="false" ht="14.25" hidden="false" customHeight="false" outlineLevel="0" collapsed="false">
      <c r="A502" s="2" t="n">
        <f aca="false">'V_DATOS PAC_SGA'!R497</f>
        <v>0</v>
      </c>
      <c r="B502" s="2" t="n">
        <f aca="false">IF(I502="IV",CONCATENATE('V_DATOS PAC_SGA'!R497,"4")+0,CONCATENATE('V_DATOS PAC_SGA'!R497,"0")+0)</f>
        <v>0</v>
      </c>
      <c r="C502" s="2" t="n">
        <f aca="false">'V_DATOS PAC_SGA'!S497</f>
        <v>0</v>
      </c>
      <c r="D502" s="1409" t="n">
        <f aca="false">'V_DATOS PAC_SGA'!Y497</f>
        <v>0</v>
      </c>
      <c r="E502" s="1410" t="str">
        <f aca="false">IF('V_DATOS PAC_SGA'!AV497="","Regadio",'V_DATOS PAC_SGA'!AV497)</f>
        <v>Regadio</v>
      </c>
      <c r="F502" s="1411" t="n">
        <f aca="false">'V_DATOS PAC_SGA'!BK497</f>
        <v>0</v>
      </c>
      <c r="G502" s="1412" t="n">
        <f aca="false">'V_DATOS PAC_SGA'!AN497</f>
        <v>0</v>
      </c>
      <c r="H502" s="1413" t="str">
        <f aca="false">IF(B502&gt;0,VLOOKUP(B502,'O_MN, PE_UTA_UGM 2024'!E$3:O$419,10),"")</f>
        <v/>
      </c>
      <c r="I502" s="1359" t="n">
        <f aca="false">'V_DATOS PAC_SGA'!BV497</f>
        <v>0</v>
      </c>
      <c r="J502" s="2" t="str">
        <f aca="false">IF(AND(J$4=$G502,J$6=$F502),$D502*J$5,"")</f>
        <v/>
      </c>
      <c r="K502" s="2" t="str">
        <f aca="false">IF(AND(K$4=$G502,K$6=$F502),$D502*K$5,"")</f>
        <v/>
      </c>
      <c r="L502" s="2" t="str">
        <f aca="false">IF(AND(L$4=$G502,L$6=$F502),$D502*L$5,"")</f>
        <v/>
      </c>
      <c r="M502" s="2" t="str">
        <f aca="false">IF(AND(M$4=$G502,M$6=$F502),$D502*M$5,"")</f>
        <v/>
      </c>
      <c r="N502" s="1478" t="n">
        <f aca="false">VLOOKUP(B502,'O_MN, PE_UTA_UGM 2024'!$E$2:$K$419,IF(G502&gt;1,6,7))</f>
        <v>0</v>
      </c>
      <c r="O502" s="1434" t="str">
        <f aca="false">IF($H502=O$4,$D502*$N502,"")</f>
        <v/>
      </c>
      <c r="P502" s="1435" t="str">
        <f aca="false">IF($H502=P$4,$D502*$N502,"")</f>
        <v/>
      </c>
      <c r="Q502" s="1435" t="str">
        <f aca="false">IF($H502=Q$4,$D502*$N502,"")</f>
        <v/>
      </c>
      <c r="R502" s="1435" t="str">
        <f aca="false">IF($H502=R$4,$D502*$N502,"")</f>
        <v/>
      </c>
      <c r="S502" s="1435" t="str">
        <f aca="false">IF($H502=S$4,$D502*$N502,"")</f>
        <v/>
      </c>
      <c r="T502" s="1435" t="str">
        <f aca="false">IF($H502=T$4,$D502*$N502,"")</f>
        <v/>
      </c>
      <c r="U502" s="1436" t="str">
        <f aca="false">IF($H502=U$4,$D502*$N502,"")</f>
        <v/>
      </c>
      <c r="V502" s="1472"/>
      <c r="W502" s="1471"/>
      <c r="X502" s="1471"/>
      <c r="Y502" s="1471"/>
      <c r="Z502" s="1471"/>
      <c r="AA502" s="1471"/>
      <c r="AB502" s="1473"/>
      <c r="AC502" s="1319"/>
      <c r="AD502" s="2" t="str">
        <f aca="false">IF(AND(AD$4=$G502,AD$6=$F502),$B502,"")</f>
        <v/>
      </c>
      <c r="AE502" s="2" t="str">
        <f aca="false">IF(AND(AE$4=$G502,AE$6=$F502),$B502,"")</f>
        <v/>
      </c>
      <c r="AF502" s="2" t="str">
        <f aca="false">IF(AND(AF$4=$G502,AF$6=$F502),$B502,"")</f>
        <v/>
      </c>
      <c r="AG502" s="2" t="str">
        <f aca="false">IF(AND(AG$4=$G502,AG$6=$F502),$B502,"")</f>
        <v/>
      </c>
      <c r="AI502" s="366"/>
      <c r="AL502" s="367"/>
      <c r="AO502" s="367"/>
      <c r="AR502" s="1411"/>
      <c r="AT502" s="1422"/>
      <c r="AU502" s="1411"/>
      <c r="AV502" s="1411"/>
      <c r="AW502" s="1423"/>
      <c r="AX502" s="1423"/>
      <c r="AZ502" s="1370"/>
      <c r="BA502" s="1370"/>
      <c r="BB502" s="1370"/>
      <c r="BC502" s="1370"/>
      <c r="BD502" s="1370"/>
      <c r="BE502" s="1370"/>
      <c r="BF502" s="1370"/>
      <c r="BG502" s="1370"/>
      <c r="BH502" s="1371"/>
      <c r="BI502" s="1371"/>
      <c r="BJ502" s="1371"/>
      <c r="BK502" s="1371"/>
      <c r="BM502" s="1411"/>
      <c r="BN502" s="1411"/>
      <c r="BO502" s="1425"/>
      <c r="BP502" s="1425"/>
      <c r="BQ502" s="1425"/>
      <c r="BR502" s="1425"/>
      <c r="BS502" s="1411"/>
      <c r="BT502" s="1411"/>
      <c r="BU502" s="1411"/>
      <c r="BV502" s="1411"/>
      <c r="BW502" s="1411"/>
      <c r="BX502" s="1411"/>
      <c r="BZ502" s="1438"/>
      <c r="CA502" s="1438"/>
      <c r="CB502" s="1496"/>
      <c r="CC502" s="1496"/>
      <c r="CD502" s="1496"/>
      <c r="CE502" s="1496"/>
      <c r="CF502" s="1438"/>
      <c r="CG502" s="1438"/>
      <c r="CH502" s="1438"/>
      <c r="CI502" s="1438"/>
      <c r="CJ502" s="1438"/>
      <c r="CK502" s="1438"/>
      <c r="CU502" s="1411"/>
      <c r="CV502" s="1411"/>
      <c r="CW502" s="1425"/>
      <c r="CX502" s="1425"/>
      <c r="CY502" s="1425"/>
      <c r="CZ502" s="1425"/>
      <c r="DA502" s="1411"/>
      <c r="DB502" s="1411"/>
      <c r="DC502" s="1411"/>
      <c r="DD502" s="1411"/>
      <c r="DE502" s="1411"/>
      <c r="DF502" s="1411"/>
      <c r="DH502" s="1432"/>
      <c r="DI502" s="1432"/>
      <c r="DJ502" s="1437"/>
      <c r="DK502" s="1437"/>
      <c r="DL502" s="1437"/>
      <c r="DM502" s="1437"/>
      <c r="DN502" s="1432"/>
      <c r="DO502" s="1432"/>
      <c r="DP502" s="1432"/>
      <c r="DQ502" s="1432"/>
      <c r="DR502" s="1432"/>
      <c r="DS502" s="1432"/>
      <c r="DT502" s="1316"/>
      <c r="DU502" s="1433"/>
      <c r="DV502" s="1433"/>
      <c r="DW502" s="1433"/>
      <c r="DX502" s="1433"/>
      <c r="DY502" s="1433"/>
      <c r="DZ502" s="1433"/>
      <c r="EA502" s="1433"/>
      <c r="EB502" s="1433"/>
    </row>
    <row r="503" customFormat="false" ht="14.25" hidden="false" customHeight="false" outlineLevel="0" collapsed="false">
      <c r="A503" s="2" t="n">
        <f aca="false">'V_DATOS PAC_SGA'!R498</f>
        <v>0</v>
      </c>
      <c r="B503" s="2" t="n">
        <f aca="false">IF(I503="IV",CONCATENATE('V_DATOS PAC_SGA'!R498,"4")+0,CONCATENATE('V_DATOS PAC_SGA'!R498,"0")+0)</f>
        <v>0</v>
      </c>
      <c r="C503" s="2" t="n">
        <f aca="false">'V_DATOS PAC_SGA'!S498</f>
        <v>0</v>
      </c>
      <c r="D503" s="1409" t="n">
        <f aca="false">'V_DATOS PAC_SGA'!Y498</f>
        <v>0</v>
      </c>
      <c r="E503" s="1498" t="s">
        <v>978</v>
      </c>
      <c r="F503" s="1411" t="n">
        <f aca="false">'V_DATOS PAC_SGA'!BK498</f>
        <v>0</v>
      </c>
      <c r="G503" s="1412" t="n">
        <f aca="false">'V_DATOS PAC_SGA'!AN498</f>
        <v>0</v>
      </c>
      <c r="H503" s="1413" t="str">
        <f aca="false">IF(B503&gt;0,VLOOKUP(B503,'O_MN, PE_UTA_UGM 2024'!E$3:O$419,10),"")</f>
        <v/>
      </c>
      <c r="I503" s="1359" t="n">
        <f aca="false">'V_DATOS PAC_SGA'!BV498</f>
        <v>0</v>
      </c>
      <c r="J503" s="2" t="str">
        <f aca="false">IF(AND(J$4=$G503,J$6=$F503),$D503*J$5,"")</f>
        <v/>
      </c>
      <c r="K503" s="2" t="str">
        <f aca="false">IF(AND(K$4=$G503,K$6=$F503),$D503*K$5,"")</f>
        <v/>
      </c>
      <c r="L503" s="2" t="str">
        <f aca="false">IF(AND(L$4=$G503,L$6=$F503),$D503*L$5,"")</f>
        <v/>
      </c>
      <c r="M503" s="2" t="str">
        <f aca="false">IF(AND(M$4=$G503,M$6=$F503),$D503*M$5,"")</f>
        <v/>
      </c>
      <c r="N503" s="1478" t="n">
        <f aca="false">VLOOKUP(B503,'O_MN, PE_UTA_UGM 2024'!$E$2:$K$419,IF(G503&gt;1,6,7))</f>
        <v>0</v>
      </c>
      <c r="O503" s="1434" t="str">
        <f aca="false">IF($H503=O$4,$D503*$N503,"")</f>
        <v/>
      </c>
      <c r="P503" s="1435" t="str">
        <f aca="false">IF($H503=P$4,$D503*$N503,"")</f>
        <v/>
      </c>
      <c r="Q503" s="1435" t="str">
        <f aca="false">IF($H503=Q$4,$D503*$N503,"")</f>
        <v/>
      </c>
      <c r="R503" s="1435" t="str">
        <f aca="false">IF($H503=R$4,$D503*$N503,"")</f>
        <v/>
      </c>
      <c r="S503" s="1435" t="str">
        <f aca="false">IF($H503=S$4,$D503*$N503,"")</f>
        <v/>
      </c>
      <c r="T503" s="1435" t="str">
        <f aca="false">IF($H503=T$4,$D503*$N503,"")</f>
        <v/>
      </c>
      <c r="U503" s="1436" t="str">
        <f aca="false">IF($H503=U$4,$D503*$N503,"")</f>
        <v/>
      </c>
      <c r="V503" s="1472"/>
      <c r="W503" s="1471"/>
      <c r="X503" s="1471"/>
      <c r="Y503" s="1471"/>
      <c r="Z503" s="1471"/>
      <c r="AA503" s="1471"/>
      <c r="AB503" s="1473"/>
      <c r="AC503" s="1319"/>
      <c r="AD503" s="2" t="str">
        <f aca="false">IF(AND(AD$4=$G503,AD$6=$F503),$B503,"")</f>
        <v/>
      </c>
      <c r="AE503" s="2" t="str">
        <f aca="false">IF(AND(AE$4=$G503,AE$6=$F503),$B503,"")</f>
        <v/>
      </c>
      <c r="AF503" s="2" t="str">
        <f aca="false">IF(AND(AF$4=$G503,AF$6=$F503),$B503,"")</f>
        <v/>
      </c>
      <c r="AG503" s="2" t="str">
        <f aca="false">IF(AND(AG$4=$G503,AG$6=$F503),$B503,"")</f>
        <v/>
      </c>
      <c r="AI503" s="366"/>
      <c r="AL503" s="367"/>
      <c r="AO503" s="367"/>
      <c r="AR503" s="1411"/>
      <c r="AT503" s="1422"/>
      <c r="AU503" s="1411"/>
      <c r="AV503" s="1411"/>
      <c r="AW503" s="1423"/>
      <c r="AX503" s="1423"/>
      <c r="AZ503" s="1370"/>
      <c r="BA503" s="1370"/>
      <c r="BB503" s="1370"/>
      <c r="BC503" s="1370"/>
      <c r="BD503" s="1370"/>
      <c r="BE503" s="1370"/>
      <c r="BF503" s="1370"/>
      <c r="BG503" s="1370"/>
      <c r="BH503" s="1371"/>
      <c r="BI503" s="1371"/>
      <c r="BJ503" s="1371"/>
      <c r="BK503" s="1371"/>
      <c r="BM503" s="1411"/>
      <c r="BN503" s="1411"/>
      <c r="BO503" s="1425"/>
      <c r="BP503" s="1425"/>
      <c r="BQ503" s="1425"/>
      <c r="BR503" s="1425"/>
      <c r="BS503" s="1411"/>
      <c r="BT503" s="1411"/>
      <c r="BU503" s="1411"/>
      <c r="BV503" s="1411"/>
      <c r="BW503" s="1411"/>
      <c r="BX503" s="1411"/>
      <c r="BZ503" s="1438"/>
      <c r="CA503" s="1438"/>
      <c r="CB503" s="1496"/>
      <c r="CC503" s="1496"/>
      <c r="CD503" s="1496"/>
      <c r="CE503" s="1496"/>
      <c r="CF503" s="1438"/>
      <c r="CG503" s="1438"/>
      <c r="CH503" s="1438"/>
      <c r="CI503" s="1438"/>
      <c r="CJ503" s="1438"/>
      <c r="CK503" s="1438"/>
      <c r="CU503" s="1411"/>
      <c r="CV503" s="1411"/>
      <c r="CW503" s="1425"/>
      <c r="CX503" s="1425"/>
      <c r="CY503" s="1425"/>
      <c r="CZ503" s="1425"/>
      <c r="DA503" s="1411"/>
      <c r="DB503" s="1411"/>
      <c r="DC503" s="1411"/>
      <c r="DD503" s="1411"/>
      <c r="DE503" s="1411"/>
      <c r="DF503" s="1411"/>
      <c r="DH503" s="1432"/>
      <c r="DI503" s="1432"/>
      <c r="DJ503" s="1437"/>
      <c r="DK503" s="1437"/>
      <c r="DL503" s="1437"/>
      <c r="DM503" s="1437"/>
      <c r="DN503" s="1432"/>
      <c r="DO503" s="1432"/>
      <c r="DP503" s="1432"/>
      <c r="DQ503" s="1432"/>
      <c r="DR503" s="1432"/>
      <c r="DS503" s="1432"/>
      <c r="DT503" s="1316"/>
      <c r="DU503" s="1433"/>
      <c r="DV503" s="1433"/>
      <c r="DW503" s="1433"/>
      <c r="DX503" s="1433"/>
      <c r="DY503" s="1433"/>
      <c r="DZ503" s="1433"/>
      <c r="EA503" s="1433"/>
      <c r="EB503" s="1433"/>
    </row>
    <row r="504" customFormat="false" ht="14.25" hidden="false" customHeight="false" outlineLevel="0" collapsed="false">
      <c r="A504" s="2" t="n">
        <f aca="false">'V_DATOS PAC_SGA'!R499</f>
        <v>0</v>
      </c>
      <c r="B504" s="2" t="n">
        <f aca="false">IF(I504="IV",CONCATENATE('V_DATOS PAC_SGA'!R499,"4")+0,CONCATENATE('V_DATOS PAC_SGA'!R499,"0")+0)</f>
        <v>0</v>
      </c>
      <c r="C504" s="2" t="n">
        <f aca="false">'V_DATOS PAC_SGA'!S499</f>
        <v>0</v>
      </c>
      <c r="D504" s="1409" t="n">
        <f aca="false">'V_DATOS PAC_SGA'!Y499</f>
        <v>0</v>
      </c>
      <c r="E504" s="1498" t="s">
        <v>978</v>
      </c>
      <c r="F504" s="1411" t="n">
        <f aca="false">'V_DATOS PAC_SGA'!BK499</f>
        <v>0</v>
      </c>
      <c r="G504" s="1412" t="n">
        <f aca="false">'V_DATOS PAC_SGA'!AN499</f>
        <v>0</v>
      </c>
      <c r="H504" s="1413" t="str">
        <f aca="false">IF(B504&gt;0,VLOOKUP(B504,'O_MN, PE_UTA_UGM 2024'!E$3:O$419,10),"")</f>
        <v/>
      </c>
      <c r="I504" s="1359" t="n">
        <f aca="false">'V_DATOS PAC_SGA'!BV499</f>
        <v>0</v>
      </c>
      <c r="J504" s="2" t="str">
        <f aca="false">IF(AND(J$4=$G504,J$6=$F504),$D504*J$5,"")</f>
        <v/>
      </c>
      <c r="K504" s="2" t="str">
        <f aca="false">IF(AND(K$4=$G504,K$6=$F504),$D504*K$5,"")</f>
        <v/>
      </c>
      <c r="L504" s="2" t="str">
        <f aca="false">IF(AND(L$4=$G504,L$6=$F504),$D504*L$5,"")</f>
        <v/>
      </c>
      <c r="M504" s="2" t="str">
        <f aca="false">IF(AND(M$4=$G504,M$6=$F504),$D504*M$5,"")</f>
        <v/>
      </c>
      <c r="N504" s="1478" t="n">
        <f aca="false">VLOOKUP(B504,'O_MN, PE_UTA_UGM 2024'!$E$2:$K$419,IF(G504&gt;1,6,7))</f>
        <v>0</v>
      </c>
      <c r="O504" s="1434" t="str">
        <f aca="false">IF($H504=O$4,$D504*$N504,"")</f>
        <v/>
      </c>
      <c r="P504" s="1435" t="str">
        <f aca="false">IF($H504=P$4,$D504*$N504,"")</f>
        <v/>
      </c>
      <c r="Q504" s="1435" t="str">
        <f aca="false">IF($H504=Q$4,$D504*$N504,"")</f>
        <v/>
      </c>
      <c r="R504" s="1435" t="str">
        <f aca="false">IF($H504=R$4,$D504*$N504,"")</f>
        <v/>
      </c>
      <c r="S504" s="1435" t="str">
        <f aca="false">IF($H504=S$4,$D504*$N504,"")</f>
        <v/>
      </c>
      <c r="T504" s="1435" t="str">
        <f aca="false">IF($H504=T$4,$D504*$N504,"")</f>
        <v/>
      </c>
      <c r="U504" s="1436" t="str">
        <f aca="false">IF($H504=U$4,$D504*$N504,"")</f>
        <v/>
      </c>
      <c r="V504" s="1472"/>
      <c r="W504" s="1471"/>
      <c r="X504" s="1471"/>
      <c r="Y504" s="1471"/>
      <c r="Z504" s="1471"/>
      <c r="AA504" s="1471"/>
      <c r="AB504" s="1473"/>
      <c r="AC504" s="1319"/>
      <c r="AI504" s="366"/>
      <c r="AL504" s="367"/>
      <c r="AO504" s="367"/>
      <c r="AR504" s="1411"/>
      <c r="AT504" s="1422"/>
      <c r="AU504" s="1411"/>
      <c r="AV504" s="1411"/>
      <c r="AW504" s="1423"/>
      <c r="AX504" s="1423"/>
      <c r="AZ504" s="1370"/>
      <c r="BA504" s="1370"/>
      <c r="BB504" s="1370"/>
      <c r="BC504" s="1370"/>
      <c r="BD504" s="1370"/>
      <c r="BE504" s="1370"/>
      <c r="BF504" s="1370"/>
      <c r="BG504" s="1370"/>
      <c r="BH504" s="1371"/>
      <c r="BI504" s="1371"/>
      <c r="BJ504" s="1371"/>
      <c r="BK504" s="1371"/>
      <c r="BM504" s="1411"/>
      <c r="BN504" s="1411"/>
      <c r="BO504" s="1425"/>
      <c r="BP504" s="1425"/>
      <c r="BQ504" s="1425"/>
      <c r="BR504" s="1425"/>
      <c r="BS504" s="1411"/>
      <c r="BT504" s="1411"/>
      <c r="BU504" s="1411"/>
      <c r="BV504" s="1411"/>
      <c r="BW504" s="1411"/>
      <c r="BX504" s="1411"/>
      <c r="BZ504" s="1438"/>
      <c r="CA504" s="1438"/>
      <c r="CB504" s="1496"/>
      <c r="CC504" s="1496"/>
      <c r="CD504" s="1496"/>
      <c r="CE504" s="1496"/>
      <c r="CF504" s="1438"/>
      <c r="CG504" s="1438"/>
      <c r="CH504" s="1438"/>
      <c r="CI504" s="1438"/>
      <c r="CJ504" s="1438"/>
      <c r="CK504" s="1438"/>
      <c r="CU504" s="1411"/>
      <c r="CV504" s="1411"/>
      <c r="CW504" s="1425"/>
      <c r="CX504" s="1425"/>
      <c r="CY504" s="1425"/>
      <c r="CZ504" s="1425"/>
      <c r="DA504" s="1411"/>
      <c r="DB504" s="1411"/>
      <c r="DC504" s="1411"/>
      <c r="DD504" s="1411"/>
      <c r="DE504" s="1411"/>
      <c r="DF504" s="1411"/>
      <c r="DH504" s="1432"/>
      <c r="DI504" s="1432"/>
      <c r="DJ504" s="1437"/>
      <c r="DK504" s="1437"/>
      <c r="DL504" s="1437"/>
      <c r="DM504" s="1437"/>
      <c r="DN504" s="1432"/>
      <c r="DO504" s="1432"/>
      <c r="DP504" s="1432"/>
      <c r="DQ504" s="1432"/>
      <c r="DR504" s="1432"/>
      <c r="DS504" s="1432"/>
      <c r="DT504" s="1316"/>
      <c r="DU504" s="1433"/>
      <c r="DV504" s="1433"/>
      <c r="DW504" s="1433"/>
      <c r="DX504" s="1433"/>
      <c r="DY504" s="1433"/>
      <c r="DZ504" s="1433"/>
      <c r="EA504" s="1433"/>
      <c r="EB504" s="1433"/>
    </row>
    <row r="505" customFormat="false" ht="14.25" hidden="false" customHeight="false" outlineLevel="0" collapsed="false">
      <c r="A505" s="2" t="n">
        <f aca="false">'V_DATOS PAC_SGA'!R500</f>
        <v>0</v>
      </c>
      <c r="B505" s="2" t="n">
        <f aca="false">IF(I505="IV",CONCATENATE('V_DATOS PAC_SGA'!R500,"4")+0,CONCATENATE('V_DATOS PAC_SGA'!R500,"0")+0)</f>
        <v>0</v>
      </c>
      <c r="C505" s="2" t="n">
        <f aca="false">'V_DATOS PAC_SGA'!S500</f>
        <v>0</v>
      </c>
      <c r="D505" s="1409" t="n">
        <f aca="false">'V_DATOS PAC_SGA'!Y500</f>
        <v>0</v>
      </c>
      <c r="E505" s="1410" t="str">
        <f aca="false">IF('V_DATOS PAC_SGA'!AV500="","Regadio",'V_DATOS PAC_SGA'!AV500)</f>
        <v>Regadio</v>
      </c>
      <c r="F505" s="1411" t="n">
        <f aca="false">'V_DATOS PAC_SGA'!BK500</f>
        <v>0</v>
      </c>
      <c r="G505" s="1412" t="n">
        <f aca="false">'V_DATOS PAC_SGA'!AN500</f>
        <v>0</v>
      </c>
      <c r="H505" s="1413" t="str">
        <f aca="false">IF(B505&gt;0,VLOOKUP(B505,'O_MN, PE_UTA_UGM 2024'!E$3:O$419,10),"")</f>
        <v/>
      </c>
      <c r="I505" s="1359" t="n">
        <f aca="false">'V_DATOS PAC_SGA'!BV500</f>
        <v>0</v>
      </c>
      <c r="J505" s="2" t="str">
        <f aca="false">IF(AND(J$4=$G505,J$6=$F505),$D505*J$5,"")</f>
        <v/>
      </c>
      <c r="K505" s="2" t="str">
        <f aca="false">IF(AND(K$4=$G505,K$6=$F505),$D505*K$5,"")</f>
        <v/>
      </c>
      <c r="L505" s="2" t="str">
        <f aca="false">IF(AND(L$4=$G505,L$6=$F505),$D505*L$5,"")</f>
        <v/>
      </c>
      <c r="M505" s="2" t="str">
        <f aca="false">IF(AND(M$4=$G505,M$6=$F505),$D505*M$5,"")</f>
        <v/>
      </c>
      <c r="N505" s="1478" t="n">
        <f aca="false">VLOOKUP(B505,'O_MN, PE_UTA_UGM 2024'!$E$2:$K$419,IF(G505&gt;1,6,7))</f>
        <v>0</v>
      </c>
      <c r="O505" s="1434" t="str">
        <f aca="false">IF($H505=O$4,$D505*$N505,"")</f>
        <v/>
      </c>
      <c r="P505" s="1435" t="str">
        <f aca="false">IF($H505=P$4,$D505*$N505,"")</f>
        <v/>
      </c>
      <c r="Q505" s="1435" t="str">
        <f aca="false">IF($H505=Q$4,$D505*$N505,"")</f>
        <v/>
      </c>
      <c r="R505" s="1435" t="str">
        <f aca="false">IF($H505=R$4,$D505*$N505,"")</f>
        <v/>
      </c>
      <c r="S505" s="1435" t="str">
        <f aca="false">IF($H505=S$4,$D505*$N505,"")</f>
        <v/>
      </c>
      <c r="T505" s="1435" t="str">
        <f aca="false">IF($H505=T$4,$D505*$N505,"")</f>
        <v/>
      </c>
      <c r="U505" s="1436" t="str">
        <f aca="false">IF($H505=U$4,$D505*$N505,"")</f>
        <v/>
      </c>
      <c r="V505" s="1472"/>
      <c r="W505" s="1471"/>
      <c r="X505" s="1471"/>
      <c r="Y505" s="1471"/>
      <c r="Z505" s="1471"/>
      <c r="AA505" s="1471"/>
      <c r="AB505" s="1473"/>
      <c r="AC505" s="1319"/>
      <c r="AI505" s="366"/>
      <c r="AL505" s="367"/>
      <c r="AO505" s="367"/>
      <c r="AR505" s="1411"/>
      <c r="AT505" s="1422"/>
      <c r="AU505" s="1411"/>
      <c r="AV505" s="1411"/>
      <c r="AW505" s="1423"/>
      <c r="AX505" s="1423"/>
      <c r="AZ505" s="1370"/>
      <c r="BA505" s="1370"/>
      <c r="BB505" s="1370"/>
      <c r="BC505" s="1370"/>
      <c r="BD505" s="1370"/>
      <c r="BE505" s="1370"/>
      <c r="BF505" s="1370"/>
      <c r="BG505" s="1370"/>
      <c r="BH505" s="1371"/>
      <c r="BI505" s="1371"/>
      <c r="BJ505" s="1371"/>
      <c r="BK505" s="1371"/>
      <c r="BM505" s="1411"/>
      <c r="BN505" s="1411"/>
      <c r="BO505" s="1425"/>
      <c r="BP505" s="1425"/>
      <c r="BQ505" s="1425"/>
      <c r="BR505" s="1425"/>
      <c r="BS505" s="1411"/>
      <c r="BT505" s="1411"/>
      <c r="BU505" s="1411"/>
      <c r="BV505" s="1411"/>
      <c r="BW505" s="1411"/>
      <c r="BX505" s="1411"/>
      <c r="BZ505" s="1438"/>
      <c r="CA505" s="1438"/>
      <c r="CB505" s="1496"/>
      <c r="CC505" s="1496"/>
      <c r="CD505" s="1496"/>
      <c r="CE505" s="1496"/>
      <c r="CF505" s="1438"/>
      <c r="CG505" s="1438"/>
      <c r="CH505" s="1438"/>
      <c r="CI505" s="1438"/>
      <c r="CJ505" s="1438"/>
      <c r="CK505" s="1438"/>
      <c r="CU505" s="1411"/>
      <c r="CV505" s="1411"/>
      <c r="CW505" s="1425"/>
      <c r="CX505" s="1425"/>
      <c r="CY505" s="1425"/>
      <c r="CZ505" s="1425"/>
      <c r="DA505" s="1411"/>
      <c r="DB505" s="1411"/>
      <c r="DC505" s="1411"/>
      <c r="DD505" s="1411"/>
      <c r="DE505" s="1411"/>
      <c r="DF505" s="1411"/>
      <c r="DH505" s="1432"/>
      <c r="DI505" s="1432"/>
      <c r="DJ505" s="1437"/>
      <c r="DK505" s="1437"/>
      <c r="DL505" s="1437"/>
      <c r="DM505" s="1437"/>
      <c r="DN505" s="1432"/>
      <c r="DO505" s="1432"/>
      <c r="DP505" s="1432"/>
      <c r="DQ505" s="1432"/>
      <c r="DR505" s="1432"/>
      <c r="DS505" s="1432"/>
      <c r="DT505" s="1316"/>
      <c r="DU505" s="1433"/>
      <c r="DV505" s="1433"/>
      <c r="DW505" s="1433"/>
      <c r="DX505" s="1433"/>
      <c r="DY505" s="1433"/>
      <c r="DZ505" s="1433"/>
      <c r="EA505" s="1433"/>
      <c r="EB505" s="1433"/>
    </row>
  </sheetData>
  <sheetProtection sheet="true" password="cc9e" objects="true" scenarios="true"/>
  <autoFilter ref="B1:B507"/>
  <mergeCells count="4">
    <mergeCell ref="O2:U2"/>
    <mergeCell ref="V2:AB2"/>
    <mergeCell ref="AD2:AJ2"/>
    <mergeCell ref="AK2:AN2"/>
  </mergeCells>
  <printOptions headings="false" gridLines="false" gridLinesSet="true" horizontalCentered="false" verticalCentered="false"/>
  <pageMargins left="0.7" right="0.7" top="1.14375" bottom="1.14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B505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ColWidth="12.8828125" defaultRowHeight="14.25" zeroHeight="false" outlineLevelRow="0" outlineLevelCol="0"/>
  <cols>
    <col collapsed="false" customWidth="true" hidden="false" outlineLevel="0" max="1" min="1" style="2" width="4.88"/>
    <col collapsed="false" customWidth="true" hidden="false" outlineLevel="0" max="2" min="2" style="2" width="5.88"/>
    <col collapsed="false" customWidth="true" hidden="false" outlineLevel="0" max="3" min="3" style="2" width="9.88"/>
    <col collapsed="false" customWidth="true" hidden="false" outlineLevel="0" max="4" min="4" style="2" width="5.88"/>
    <col collapsed="false" customWidth="true" hidden="false" outlineLevel="0" max="5" min="5" style="2" width="8.13"/>
    <col collapsed="false" customWidth="true" hidden="false" outlineLevel="0" max="7" min="6" style="2" width="4.88"/>
    <col collapsed="false" customWidth="true" hidden="false" outlineLevel="0" max="8" min="8" style="2" width="4.25"/>
    <col collapsed="false" customWidth="true" hidden="false" outlineLevel="0" max="9" min="9" style="2" width="4.88"/>
    <col collapsed="false" customWidth="true" hidden="false" outlineLevel="0" max="10" min="10" style="2" width="4.25"/>
    <col collapsed="false" customWidth="true" hidden="false" outlineLevel="0" max="11" min="11" style="2" width="5.88"/>
    <col collapsed="false" customWidth="true" hidden="false" outlineLevel="0" max="12" min="12" style="2" width="4.25"/>
    <col collapsed="false" customWidth="true" hidden="false" outlineLevel="0" max="13" min="13" style="2" width="5.88"/>
    <col collapsed="false" customWidth="true" hidden="false" outlineLevel="0" max="14" min="14" style="2" width="7"/>
    <col collapsed="false" customWidth="true" hidden="false" outlineLevel="0" max="17" min="15" style="2" width="4.25"/>
    <col collapsed="false" customWidth="true" hidden="false" outlineLevel="0" max="18" min="18" style="2" width="11.63"/>
    <col collapsed="false" customWidth="true" hidden="false" outlineLevel="0" max="21" min="19" style="2" width="4.25"/>
    <col collapsed="false" customWidth="true" hidden="false" outlineLevel="0" max="24" min="22" style="2" width="5.25"/>
    <col collapsed="false" customWidth="true" hidden="false" outlineLevel="0" max="25" min="25" style="2" width="11.63"/>
    <col collapsed="false" customWidth="true" hidden="false" outlineLevel="0" max="28" min="26" style="2" width="5.25"/>
    <col collapsed="false" customWidth="true" hidden="false" outlineLevel="0" max="32" min="30" style="2" width="4.25"/>
    <col collapsed="false" customWidth="true" hidden="false" outlineLevel="0" max="33" min="33" style="2" width="5.88"/>
    <col collapsed="false" customWidth="true" hidden="false" outlineLevel="0" max="35" min="35" style="2" width="4.25"/>
    <col collapsed="false" customWidth="true" hidden="false" outlineLevel="0" max="36" min="36" style="2" width="5.88"/>
    <col collapsed="false" customWidth="true" hidden="false" outlineLevel="0" max="37" min="37" style="2" width="4.25"/>
    <col collapsed="false" customWidth="true" hidden="false" outlineLevel="0" max="38" min="38" style="2" width="7"/>
    <col collapsed="false" customWidth="true" hidden="false" outlineLevel="0" max="39" min="39" style="2" width="11.63"/>
    <col collapsed="false" customWidth="true" hidden="false" outlineLevel="0" max="40" min="40" style="2" width="2.38"/>
    <col collapsed="false" customWidth="true" hidden="false" outlineLevel="0" max="41" min="41" style="2" width="63.38"/>
    <col collapsed="false" customWidth="true" hidden="false" outlineLevel="0" max="42" min="42" style="2" width="52.75"/>
    <col collapsed="false" customWidth="true" hidden="false" outlineLevel="0" max="43" min="43" style="2" width="4.75"/>
    <col collapsed="false" customWidth="true" hidden="false" outlineLevel="0" max="44" min="44" style="2" width="5.88"/>
    <col collapsed="false" customWidth="true" hidden="false" outlineLevel="0" max="45" min="45" style="2" width="9.88"/>
    <col collapsed="false" customWidth="true" hidden="false" outlineLevel="0" max="46" min="46" style="2" width="7"/>
    <col collapsed="false" customWidth="true" hidden="false" outlineLevel="0" max="48" min="47" style="2" width="4.88"/>
    <col collapsed="false" customWidth="true" hidden="false" outlineLevel="0" max="49" min="49" style="2" width="5.88"/>
    <col collapsed="false" customWidth="true" hidden="false" outlineLevel="0" max="50" min="50" style="2" width="7"/>
    <col collapsed="false" customWidth="true" hidden="false" outlineLevel="0" max="51" min="51" style="2" width="9.88"/>
    <col collapsed="false" customWidth="true" hidden="false" outlineLevel="0" max="54" min="54" style="2" width="8.13"/>
    <col collapsed="false" customWidth="true" hidden="false" outlineLevel="0" max="55" min="55" style="2" width="10.38"/>
    <col collapsed="false" customWidth="true" hidden="false" outlineLevel="0" max="56" min="56" style="2" width="4.75"/>
    <col collapsed="false" customWidth="true" hidden="false" outlineLevel="0" max="57" min="57" style="2" width="7"/>
    <col collapsed="false" customWidth="true" hidden="false" outlineLevel="0" max="59" min="58" style="2" width="9.25"/>
    <col collapsed="false" customWidth="true" hidden="false" outlineLevel="0" max="65" min="65" style="2" width="4.88"/>
    <col collapsed="false" customWidth="true" hidden="false" outlineLevel="0" max="71" min="67" style="2" width="4.88"/>
    <col collapsed="false" customWidth="true" hidden="false" outlineLevel="0" max="72" min="72" style="2" width="4.25"/>
    <col collapsed="false" customWidth="true" hidden="false" outlineLevel="0" max="78" min="78" style="2" width="4.88"/>
    <col collapsed="false" customWidth="true" hidden="false" outlineLevel="0" max="80" min="80" style="2" width="4.88"/>
    <col collapsed="false" customWidth="true" hidden="false" outlineLevel="0" max="81" min="81" style="2" width="12.75"/>
    <col collapsed="false" customWidth="true" hidden="false" outlineLevel="0" max="82" min="82" style="2" width="4.88"/>
    <col collapsed="false" customWidth="true" hidden="false" outlineLevel="0" max="83" min="83" style="2" width="8.13"/>
    <col collapsed="false" customWidth="true" hidden="false" outlineLevel="0" max="84" min="84" style="2" width="4.88"/>
    <col collapsed="false" customWidth="true" hidden="false" outlineLevel="0" max="85" min="85" style="2" width="11.63"/>
    <col collapsed="false" customWidth="true" hidden="false" outlineLevel="0" max="99" min="99" style="2" width="4.88"/>
    <col collapsed="false" customWidth="true" hidden="false" outlineLevel="0" max="105" min="101" style="2" width="4.88"/>
    <col collapsed="false" customWidth="true" hidden="false" outlineLevel="0" max="106" min="106" style="2" width="4.25"/>
    <col collapsed="false" customWidth="true" hidden="false" outlineLevel="0" max="112" min="112" style="2" width="4.88"/>
    <col collapsed="false" customWidth="true" hidden="false" outlineLevel="0" max="114" min="114" style="2" width="6.88"/>
    <col collapsed="false" customWidth="true" hidden="false" outlineLevel="0" max="115" min="115" style="2" width="13.13"/>
    <col collapsed="false" customWidth="true" hidden="false" outlineLevel="0" max="116" min="116" style="2" width="6.88"/>
    <col collapsed="false" customWidth="true" hidden="false" outlineLevel="0" max="117" min="117" style="2" width="13.13"/>
    <col collapsed="false" customWidth="true" hidden="false" outlineLevel="0" max="119" min="118" style="2" width="6.88"/>
    <col collapsed="false" customWidth="true" hidden="false" outlineLevel="0" max="127" min="127" style="2" width="6.88"/>
    <col collapsed="false" customWidth="true" hidden="false" outlineLevel="0" max="128" min="128" style="2" width="13.13"/>
    <col collapsed="false" customWidth="true" hidden="false" outlineLevel="0" max="129" min="129" style="2" width="6.88"/>
    <col collapsed="false" customWidth="true" hidden="false" outlineLevel="0" max="130" min="130" style="2" width="13.13"/>
    <col collapsed="false" customWidth="true" hidden="false" outlineLevel="0" max="132" min="131" style="2" width="6.88"/>
  </cols>
  <sheetData>
    <row r="1" customFormat="false" ht="14.25" hidden="false" customHeight="false" outlineLevel="0" collapsed="false">
      <c r="A1" s="1297"/>
      <c r="B1" s="1298"/>
      <c r="C1" s="1298"/>
      <c r="D1" s="1299"/>
      <c r="E1" s="1299"/>
      <c r="F1" s="1298"/>
      <c r="G1" s="1298"/>
      <c r="H1" s="1300"/>
      <c r="I1" s="1301"/>
      <c r="J1" s="1302"/>
      <c r="K1" s="1302"/>
      <c r="L1" s="1302"/>
      <c r="M1" s="1302"/>
      <c r="N1" s="1499"/>
      <c r="O1" s="1304"/>
      <c r="P1" s="1305"/>
      <c r="Q1" s="1305"/>
      <c r="R1" s="1305"/>
      <c r="S1" s="1305"/>
      <c r="T1" s="1305"/>
      <c r="U1" s="1306"/>
      <c r="V1" s="1307"/>
      <c r="W1" s="1308"/>
      <c r="X1" s="1308"/>
      <c r="Y1" s="1308"/>
      <c r="Z1" s="1308"/>
      <c r="AA1" s="1308"/>
      <c r="AB1" s="1309"/>
      <c r="AC1" s="1310"/>
      <c r="AD1" s="1297"/>
      <c r="AE1" s="1297"/>
      <c r="AF1" s="1297"/>
      <c r="AG1" s="1297"/>
      <c r="AH1" s="1297"/>
      <c r="AI1" s="1311"/>
      <c r="AJ1" s="1297"/>
      <c r="AK1" s="1297"/>
      <c r="AL1" s="1312"/>
      <c r="AM1" s="1297"/>
      <c r="AN1" s="1297"/>
      <c r="AO1" s="1312"/>
      <c r="AP1" s="1297"/>
      <c r="AQ1" s="1297"/>
      <c r="AR1" s="1297"/>
      <c r="AS1" s="1297"/>
      <c r="AT1" s="1313"/>
      <c r="AU1" s="1297"/>
      <c r="AV1" s="1297"/>
      <c r="AW1" s="1314"/>
      <c r="AX1" s="1314"/>
      <c r="AY1" s="1500" t="s">
        <v>39</v>
      </c>
      <c r="AZ1" s="1297"/>
      <c r="BA1" s="1297"/>
      <c r="BB1" s="1297"/>
      <c r="BC1" s="1297"/>
      <c r="BD1" s="1297"/>
      <c r="BE1" s="1297"/>
      <c r="BF1" s="1297"/>
      <c r="BG1" s="1297"/>
      <c r="BH1" s="1297"/>
      <c r="BI1" s="1297"/>
      <c r="BJ1" s="1297"/>
      <c r="BK1" s="1297"/>
      <c r="BL1" s="1297"/>
      <c r="BM1" s="1297"/>
      <c r="BN1" s="1297"/>
      <c r="BO1" s="1297"/>
      <c r="BP1" s="1297"/>
      <c r="BQ1" s="1297"/>
      <c r="BR1" s="1297"/>
      <c r="BS1" s="1297"/>
      <c r="BT1" s="1297"/>
      <c r="BU1" s="1297"/>
      <c r="BV1" s="1297"/>
      <c r="BW1" s="1297"/>
      <c r="BX1" s="1297"/>
      <c r="BY1" s="1297"/>
      <c r="BZ1" s="1297"/>
      <c r="CA1" s="1297"/>
      <c r="CB1" s="1297"/>
      <c r="CC1" s="1297"/>
      <c r="CD1" s="1297"/>
      <c r="CE1" s="1297"/>
      <c r="CF1" s="1297"/>
      <c r="CG1" s="1297"/>
      <c r="CH1" s="1297"/>
      <c r="CI1" s="1297"/>
      <c r="CJ1" s="1297"/>
      <c r="CK1" s="1297"/>
      <c r="CL1" s="1297"/>
      <c r="CM1" s="1297"/>
      <c r="CN1" s="1297"/>
      <c r="CO1" s="1297"/>
      <c r="CP1" s="1297"/>
      <c r="CQ1" s="1297"/>
      <c r="CR1" s="1297"/>
      <c r="CS1" s="1297"/>
      <c r="CT1" s="1297"/>
      <c r="CU1" s="1297"/>
      <c r="CV1" s="1297"/>
      <c r="CW1" s="1297"/>
      <c r="CX1" s="1297"/>
      <c r="CY1" s="1297"/>
      <c r="CZ1" s="1297"/>
      <c r="DA1" s="1297"/>
      <c r="DB1" s="1297"/>
      <c r="DC1" s="1297"/>
      <c r="DD1" s="1297"/>
      <c r="DE1" s="1297"/>
      <c r="DF1" s="1297"/>
      <c r="DG1" s="1297"/>
      <c r="DH1" s="1316"/>
      <c r="DI1" s="1316"/>
      <c r="DJ1" s="1316"/>
      <c r="DK1" s="1316"/>
      <c r="DL1" s="1316"/>
      <c r="DM1" s="1316"/>
      <c r="DN1" s="1316"/>
      <c r="DO1" s="1316"/>
      <c r="DP1" s="1316"/>
      <c r="DQ1" s="1316"/>
      <c r="DR1" s="1316"/>
      <c r="DS1" s="1316"/>
      <c r="DT1" s="1316"/>
      <c r="DU1" s="1316"/>
      <c r="DV1" s="1316"/>
      <c r="DW1" s="1316"/>
      <c r="DX1" s="1316"/>
      <c r="DY1" s="1316"/>
      <c r="DZ1" s="1316"/>
      <c r="EA1" s="1316"/>
      <c r="EB1" s="1316"/>
    </row>
    <row r="2" customFormat="false" ht="14.25" hidden="false" customHeight="false" outlineLevel="0" collapsed="false">
      <c r="A2" s="1297"/>
      <c r="B2" s="1298"/>
      <c r="C2" s="1298"/>
      <c r="D2" s="1299"/>
      <c r="E2" s="1299"/>
      <c r="F2" s="1298"/>
      <c r="G2" s="1298"/>
      <c r="H2" s="1300"/>
      <c r="I2" s="1301"/>
      <c r="J2" s="1302"/>
      <c r="K2" s="1302"/>
      <c r="L2" s="1302"/>
      <c r="M2" s="1302"/>
      <c r="N2" s="1499"/>
      <c r="O2" s="1317" t="s">
        <v>950</v>
      </c>
      <c r="P2" s="1317"/>
      <c r="Q2" s="1317"/>
      <c r="R2" s="1317"/>
      <c r="S2" s="1317"/>
      <c r="T2" s="1317"/>
      <c r="U2" s="1317"/>
      <c r="V2" s="1318" t="s">
        <v>951</v>
      </c>
      <c r="W2" s="1318"/>
      <c r="X2" s="1318"/>
      <c r="Y2" s="1318"/>
      <c r="Z2" s="1318"/>
      <c r="AA2" s="1318"/>
      <c r="AB2" s="1318"/>
      <c r="AC2" s="1319"/>
      <c r="AD2" s="1318" t="s">
        <v>952</v>
      </c>
      <c r="AE2" s="1318"/>
      <c r="AF2" s="1318"/>
      <c r="AG2" s="1318"/>
      <c r="AH2" s="1318"/>
      <c r="AI2" s="1318"/>
      <c r="AJ2" s="1318"/>
      <c r="AK2" s="1320"/>
      <c r="AL2" s="1320"/>
      <c r="AM2" s="1320"/>
      <c r="AN2" s="1320"/>
      <c r="AO2" s="1312"/>
      <c r="AP2" s="1297"/>
      <c r="AQ2" s="1297"/>
      <c r="AR2" s="1297"/>
      <c r="AS2" s="1297"/>
      <c r="AT2" s="1313"/>
      <c r="AU2" s="1297"/>
      <c r="AV2" s="1297"/>
      <c r="AW2" s="1314"/>
      <c r="AX2" s="1314"/>
      <c r="AY2" s="1297"/>
      <c r="AZ2" s="1297"/>
      <c r="BA2" s="1297"/>
      <c r="BB2" s="1297"/>
      <c r="BC2" s="1297"/>
      <c r="BD2" s="1297"/>
      <c r="BE2" s="1297"/>
      <c r="BF2" s="1297"/>
      <c r="BG2" s="1297"/>
      <c r="BH2" s="1297"/>
      <c r="BI2" s="1297"/>
      <c r="BJ2" s="1297"/>
      <c r="BK2" s="1297"/>
      <c r="BL2" s="1297"/>
      <c r="BM2" s="1297" t="s">
        <v>953</v>
      </c>
      <c r="BN2" s="1297"/>
      <c r="BO2" s="1297"/>
      <c r="BP2" s="1297"/>
      <c r="BQ2" s="1297"/>
      <c r="BR2" s="1297"/>
      <c r="BS2" s="1297"/>
      <c r="BT2" s="1297"/>
      <c r="BU2" s="1297"/>
      <c r="BV2" s="1297"/>
      <c r="BW2" s="1297"/>
      <c r="BX2" s="1297"/>
      <c r="BY2" s="1297"/>
      <c r="BZ2" s="1297" t="s">
        <v>954</v>
      </c>
      <c r="CA2" s="1297"/>
      <c r="CB2" s="1297"/>
      <c r="CC2" s="1297"/>
      <c r="CD2" s="1297"/>
      <c r="CE2" s="1297"/>
      <c r="CF2" s="1297"/>
      <c r="CG2" s="1297"/>
      <c r="CH2" s="1297"/>
      <c r="CI2" s="1297"/>
      <c r="CJ2" s="1297"/>
      <c r="CK2" s="1297"/>
      <c r="CL2" s="1297"/>
      <c r="CM2" s="1297"/>
      <c r="CN2" s="1297"/>
      <c r="CO2" s="1297"/>
      <c r="CP2" s="1297"/>
      <c r="CQ2" s="1297"/>
      <c r="CR2" s="1297"/>
      <c r="CS2" s="1297"/>
      <c r="CT2" s="1297"/>
      <c r="CU2" s="1297" t="s">
        <v>955</v>
      </c>
      <c r="CV2" s="1297"/>
      <c r="CW2" s="1297"/>
      <c r="CX2" s="1297"/>
      <c r="CY2" s="1297"/>
      <c r="CZ2" s="1297"/>
      <c r="DA2" s="1297"/>
      <c r="DB2" s="1297"/>
      <c r="DC2" s="1297"/>
      <c r="DD2" s="1297"/>
      <c r="DE2" s="1297"/>
      <c r="DF2" s="1297"/>
      <c r="DG2" s="1297"/>
      <c r="DH2" s="1321" t="s">
        <v>956</v>
      </c>
      <c r="DI2" s="1316"/>
      <c r="DJ2" s="1316"/>
      <c r="DK2" s="1316"/>
      <c r="DL2" s="1316"/>
      <c r="DM2" s="1316"/>
      <c r="DN2" s="1316"/>
      <c r="DO2" s="1316"/>
      <c r="DP2" s="1316"/>
      <c r="DQ2" s="1316"/>
      <c r="DR2" s="1316"/>
      <c r="DS2" s="1316"/>
      <c r="DT2" s="1316"/>
      <c r="DU2" s="1316"/>
      <c r="DV2" s="1316"/>
      <c r="DW2" s="1321" t="s">
        <v>957</v>
      </c>
      <c r="DX2" s="1316"/>
      <c r="DY2" s="1316"/>
      <c r="DZ2" s="1316"/>
      <c r="EA2" s="1316"/>
      <c r="EB2" s="1316"/>
    </row>
    <row r="3" customFormat="false" ht="35.8" hidden="false" customHeight="false" outlineLevel="0" collapsed="false">
      <c r="A3" s="1297" t="s">
        <v>958</v>
      </c>
      <c r="B3" s="1297" t="s">
        <v>959</v>
      </c>
      <c r="C3" s="1297" t="n">
        <f aca="false">'V_DATOS PAC_SGA'!S1</f>
        <v>0</v>
      </c>
      <c r="D3" s="1322" t="n">
        <f aca="false">'V_DATOS PAC_SGA'!Y1</f>
        <v>0</v>
      </c>
      <c r="E3" s="1323" t="n">
        <f aca="false">'V_DATOS PAC_SGA'!AV1</f>
        <v>0</v>
      </c>
      <c r="F3" s="1324" t="n">
        <f aca="false">'V_DATOS PAC_SGA'!BK1</f>
        <v>0</v>
      </c>
      <c r="G3" s="1325" t="n">
        <f aca="false">'V_DATOS PAC_SGA'!AN1</f>
        <v>0</v>
      </c>
      <c r="H3" s="1326" t="s">
        <v>960</v>
      </c>
      <c r="I3" s="1327" t="s">
        <v>961</v>
      </c>
      <c r="J3" s="1328" t="s">
        <v>7</v>
      </c>
      <c r="K3" s="1328" t="s">
        <v>6</v>
      </c>
      <c r="L3" s="1328" t="s">
        <v>9</v>
      </c>
      <c r="M3" s="1328" t="s">
        <v>8</v>
      </c>
      <c r="N3" s="1501" t="s">
        <v>962</v>
      </c>
      <c r="O3" s="1330" t="s">
        <v>59</v>
      </c>
      <c r="P3" s="1331" t="s">
        <v>60</v>
      </c>
      <c r="Q3" s="1331" t="s">
        <v>61</v>
      </c>
      <c r="R3" s="1331" t="s">
        <v>62</v>
      </c>
      <c r="S3" s="1331" t="s">
        <v>63</v>
      </c>
      <c r="T3" s="1331" t="s">
        <v>813</v>
      </c>
      <c r="U3" s="1332" t="s">
        <v>814</v>
      </c>
      <c r="V3" s="1333" t="s">
        <v>59</v>
      </c>
      <c r="W3" s="1334" t="s">
        <v>60</v>
      </c>
      <c r="X3" s="1334" t="s">
        <v>61</v>
      </c>
      <c r="Y3" s="1334" t="s">
        <v>62</v>
      </c>
      <c r="Z3" s="1334" t="s">
        <v>63</v>
      </c>
      <c r="AA3" s="1334" t="s">
        <v>813</v>
      </c>
      <c r="AB3" s="1335" t="s">
        <v>814</v>
      </c>
      <c r="AC3" s="1336"/>
      <c r="AD3" s="1328" t="s">
        <v>7</v>
      </c>
      <c r="AE3" s="1328" t="s">
        <v>6</v>
      </c>
      <c r="AF3" s="1328" t="s">
        <v>9</v>
      </c>
      <c r="AG3" s="1328" t="s">
        <v>8</v>
      </c>
      <c r="AH3" s="1328"/>
      <c r="AI3" s="1337" t="s">
        <v>7</v>
      </c>
      <c r="AJ3" s="1328" t="s">
        <v>6</v>
      </c>
      <c r="AK3" s="1328" t="s">
        <v>9</v>
      </c>
      <c r="AL3" s="1338" t="s">
        <v>8</v>
      </c>
      <c r="AM3" s="1328" t="s">
        <v>963</v>
      </c>
      <c r="AN3" s="1328"/>
      <c r="AO3" s="1338"/>
      <c r="AP3" s="1339"/>
      <c r="AQ3" s="1297"/>
      <c r="AR3" s="1340" t="s">
        <v>964</v>
      </c>
      <c r="AS3" s="1341"/>
      <c r="AT3" s="1342" t="s">
        <v>965</v>
      </c>
      <c r="AU3" s="1343"/>
      <c r="AV3" s="1343"/>
      <c r="AW3" s="1344"/>
      <c r="AX3" s="1344"/>
      <c r="AY3" s="1345" t="s">
        <v>966</v>
      </c>
      <c r="AZ3" s="1346"/>
      <c r="BA3" s="1346"/>
      <c r="BB3" s="1346" t="str">
        <f aca="false">'O_MN, PE_UTA_UGM 2023'!F2</f>
        <v>MARGEN NETO  (€/HA.)   SEC</v>
      </c>
      <c r="BC3" s="1346" t="str">
        <f aca="false">'O_MN, PE_UTA_UGM 2023'!G2</f>
        <v>MARGEN NETO  (€/HA.)   REG</v>
      </c>
      <c r="BD3" s="1346" t="str">
        <f aca="false">'O_MN, PE_UTA_UGM 2023'!H2</f>
        <v>PRODUCCIÓN ESTANDARD (€/HA.)   SEC</v>
      </c>
      <c r="BE3" s="1346" t="str">
        <f aca="false">'O_MN, PE_UTA_UGM 2023'!I2</f>
        <v>PRODUCCIÓN ESTANDARD (€/HA.)   REG</v>
      </c>
      <c r="BF3" s="1346" t="str">
        <f aca="false">'O_MN, PE_UTA_UGM 2023'!J2</f>
        <v>UTA/has   SEC</v>
      </c>
      <c r="BG3" s="1346" t="str">
        <f aca="false">'O_MN, PE_UTA_UGM 2023'!K2</f>
        <v>UTA/has   REG</v>
      </c>
      <c r="BH3" s="1347"/>
      <c r="BI3" s="1347"/>
      <c r="BJ3" s="1347"/>
      <c r="BK3" s="1347"/>
      <c r="BL3" s="1341"/>
      <c r="BM3" s="1343"/>
      <c r="BN3" s="1343"/>
      <c r="BO3" s="1348" t="s">
        <v>967</v>
      </c>
      <c r="BP3" s="1348" t="s">
        <v>968</v>
      </c>
      <c r="BQ3" s="1348" t="s">
        <v>969</v>
      </c>
      <c r="BR3" s="1348" t="s">
        <v>970</v>
      </c>
      <c r="BS3" s="1343" t="s">
        <v>971</v>
      </c>
      <c r="BT3" s="1349" t="s">
        <v>972</v>
      </c>
      <c r="BU3" s="1343"/>
      <c r="BV3" s="1343"/>
      <c r="BW3" s="1343"/>
      <c r="BX3" s="1343"/>
      <c r="BY3" s="1341"/>
      <c r="BZ3" s="1350"/>
      <c r="CA3" s="1350"/>
      <c r="CB3" s="1351" t="s">
        <v>967</v>
      </c>
      <c r="CC3" s="1351" t="s">
        <v>968</v>
      </c>
      <c r="CD3" s="1351" t="s">
        <v>969</v>
      </c>
      <c r="CE3" s="1351" t="s">
        <v>970</v>
      </c>
      <c r="CF3" s="1350" t="s">
        <v>971</v>
      </c>
      <c r="CG3" s="1350" t="s">
        <v>973</v>
      </c>
      <c r="CH3" s="1350"/>
      <c r="CI3" s="1350"/>
      <c r="CJ3" s="1350"/>
      <c r="CK3" s="1350"/>
      <c r="CL3" s="1341"/>
      <c r="CN3" s="1341"/>
      <c r="CO3" s="1341"/>
      <c r="CP3" s="1341"/>
      <c r="CQ3" s="1341"/>
      <c r="CR3" s="1341"/>
      <c r="CS3" s="1341"/>
      <c r="CT3" s="1341"/>
      <c r="CU3" s="1343"/>
      <c r="CV3" s="1343"/>
      <c r="CW3" s="1348" t="s">
        <v>967</v>
      </c>
      <c r="CX3" s="1348" t="s">
        <v>968</v>
      </c>
      <c r="CY3" s="1348" t="s">
        <v>969</v>
      </c>
      <c r="CZ3" s="1348" t="s">
        <v>970</v>
      </c>
      <c r="DA3" s="1343" t="s">
        <v>971</v>
      </c>
      <c r="DB3" s="1349" t="s">
        <v>972</v>
      </c>
      <c r="DC3" s="1343"/>
      <c r="DD3" s="1343"/>
      <c r="DE3" s="1343"/>
      <c r="DF3" s="1343"/>
      <c r="DG3" s="1341"/>
      <c r="DH3" s="1352"/>
      <c r="DI3" s="1352"/>
      <c r="DJ3" s="1353" t="s">
        <v>967</v>
      </c>
      <c r="DK3" s="1353" t="s">
        <v>968</v>
      </c>
      <c r="DL3" s="1353" t="s">
        <v>969</v>
      </c>
      <c r="DM3" s="1353" t="s">
        <v>970</v>
      </c>
      <c r="DN3" s="1352" t="s">
        <v>971</v>
      </c>
      <c r="DO3" s="1352" t="s">
        <v>972</v>
      </c>
      <c r="DP3" s="1352"/>
      <c r="DQ3" s="1352"/>
      <c r="DR3" s="1352"/>
      <c r="DS3" s="1352"/>
      <c r="DT3" s="1354"/>
      <c r="DU3" s="1355"/>
      <c r="DV3" s="1355"/>
      <c r="DW3" s="1355" t="s">
        <v>967</v>
      </c>
      <c r="DX3" s="1355" t="s">
        <v>968</v>
      </c>
      <c r="DY3" s="1355" t="s">
        <v>969</v>
      </c>
      <c r="DZ3" s="1355" t="s">
        <v>970</v>
      </c>
      <c r="EA3" s="1355" t="s">
        <v>971</v>
      </c>
      <c r="EB3" s="1356" t="s">
        <v>972</v>
      </c>
    </row>
    <row r="4" customFormat="false" ht="14.25" hidden="false" customHeight="false" outlineLevel="0" collapsed="false">
      <c r="B4" s="1297"/>
      <c r="C4" s="1297"/>
      <c r="D4" s="1322"/>
      <c r="E4" s="1323"/>
      <c r="F4" s="1324"/>
      <c r="G4" s="1357" t="s">
        <v>974</v>
      </c>
      <c r="H4" s="1358"/>
      <c r="I4" s="1359"/>
      <c r="J4" s="1339" t="n">
        <v>2</v>
      </c>
      <c r="K4" s="1339" t="n">
        <v>2</v>
      </c>
      <c r="L4" s="1339" t="n">
        <v>1</v>
      </c>
      <c r="M4" s="1339" t="n">
        <v>1</v>
      </c>
      <c r="N4" s="1502"/>
      <c r="O4" s="1361" t="n">
        <v>1</v>
      </c>
      <c r="P4" s="1362" t="n">
        <v>2</v>
      </c>
      <c r="Q4" s="1362" t="n">
        <v>3</v>
      </c>
      <c r="R4" s="1362" t="n">
        <v>4</v>
      </c>
      <c r="S4" s="1362" t="n">
        <v>5</v>
      </c>
      <c r="T4" s="1362" t="n">
        <v>6</v>
      </c>
      <c r="U4" s="1363" t="n">
        <v>7</v>
      </c>
      <c r="V4" s="1364" t="n">
        <v>1</v>
      </c>
      <c r="W4" s="1365" t="n">
        <v>2</v>
      </c>
      <c r="X4" s="1365" t="n">
        <v>3</v>
      </c>
      <c r="Y4" s="1365" t="n">
        <v>4</v>
      </c>
      <c r="Z4" s="1365" t="n">
        <v>5</v>
      </c>
      <c r="AA4" s="1365" t="n">
        <v>6</v>
      </c>
      <c r="AB4" s="1366" t="n">
        <v>7</v>
      </c>
      <c r="AC4" s="1336"/>
      <c r="AD4" s="1339" t="n">
        <v>2</v>
      </c>
      <c r="AE4" s="1339" t="n">
        <v>2</v>
      </c>
      <c r="AF4" s="1339" t="n">
        <v>1</v>
      </c>
      <c r="AG4" s="1339" t="n">
        <v>1</v>
      </c>
      <c r="AH4" s="1339"/>
      <c r="AI4" s="1367"/>
      <c r="AJ4" s="1339"/>
      <c r="AK4" s="1339"/>
      <c r="AL4" s="1312"/>
      <c r="AM4" s="1339"/>
      <c r="AN4" s="1339"/>
      <c r="AO4" s="1368"/>
      <c r="AP4" s="1339"/>
      <c r="AQ4" s="1297"/>
      <c r="AR4" s="1369"/>
      <c r="AS4" s="1297"/>
      <c r="AT4" s="1313"/>
      <c r="AU4" s="1324" t="n">
        <v>1</v>
      </c>
      <c r="AV4" s="1324" t="n">
        <v>3</v>
      </c>
      <c r="AW4" s="1314" t="n">
        <v>2</v>
      </c>
      <c r="AX4" s="1314" t="n">
        <v>4</v>
      </c>
      <c r="AY4" s="1297" t="s">
        <v>975</v>
      </c>
      <c r="AZ4" s="1503"/>
      <c r="BA4" s="1503"/>
      <c r="BB4" s="1503" t="n">
        <f aca="false">BA4+1</f>
        <v>1</v>
      </c>
      <c r="BC4" s="1503" t="n">
        <f aca="false">BB4+1</f>
        <v>2</v>
      </c>
      <c r="BD4" s="1503" t="n">
        <f aca="false">BC4+1</f>
        <v>3</v>
      </c>
      <c r="BE4" s="1503" t="n">
        <f aca="false">BD4+1</f>
        <v>4</v>
      </c>
      <c r="BF4" s="1503" t="n">
        <f aca="false">BE4+1</f>
        <v>5</v>
      </c>
      <c r="BG4" s="1503" t="n">
        <f aca="false">BF4+1</f>
        <v>6</v>
      </c>
      <c r="BH4" s="1504"/>
      <c r="BI4" s="1504"/>
      <c r="BJ4" s="1504"/>
      <c r="BK4" s="1504"/>
      <c r="BL4" s="1297"/>
      <c r="BM4" s="1339"/>
      <c r="BN4" s="1339"/>
      <c r="BO4" s="1339"/>
      <c r="BP4" s="1339"/>
      <c r="BQ4" s="1339"/>
      <c r="BR4" s="1339"/>
      <c r="BS4" s="1339"/>
      <c r="BT4" s="1339"/>
      <c r="BU4" s="1339"/>
      <c r="BV4" s="1339"/>
      <c r="BW4" s="1339"/>
      <c r="BX4" s="1339"/>
      <c r="BY4" s="1297"/>
      <c r="BZ4" s="1372"/>
      <c r="CA4" s="1372"/>
      <c r="CB4" s="1372"/>
      <c r="CC4" s="1372"/>
      <c r="CD4" s="1372"/>
      <c r="CE4" s="1372"/>
      <c r="CF4" s="1372"/>
      <c r="CG4" s="1372"/>
      <c r="CH4" s="1372"/>
      <c r="CI4" s="1372"/>
      <c r="CJ4" s="1372"/>
      <c r="CK4" s="1372"/>
      <c r="CL4" s="1339"/>
      <c r="CM4" s="1339"/>
      <c r="CN4" s="1339"/>
      <c r="CO4" s="1339"/>
      <c r="CP4" s="1339"/>
      <c r="CQ4" s="1339"/>
      <c r="CR4" s="1339"/>
      <c r="CS4" s="1297"/>
      <c r="CT4" s="1297"/>
      <c r="CU4" s="1339"/>
      <c r="CV4" s="1339"/>
      <c r="CW4" s="1339"/>
      <c r="CX4" s="1339"/>
      <c r="CY4" s="1339"/>
      <c r="CZ4" s="1339"/>
      <c r="DA4" s="1339"/>
      <c r="DB4" s="1339"/>
      <c r="DC4" s="1339"/>
      <c r="DD4" s="1339"/>
      <c r="DE4" s="1339"/>
      <c r="DF4" s="1339"/>
      <c r="DG4" s="1297"/>
      <c r="DH4" s="1373"/>
      <c r="DI4" s="1373"/>
      <c r="DJ4" s="1373"/>
      <c r="DK4" s="1373"/>
      <c r="DL4" s="1373"/>
      <c r="DM4" s="1373"/>
      <c r="DN4" s="1373"/>
      <c r="DO4" s="1373"/>
      <c r="DP4" s="1373"/>
      <c r="DQ4" s="1373"/>
      <c r="DR4" s="1373"/>
      <c r="DS4" s="1373"/>
      <c r="DT4" s="1321"/>
      <c r="DU4" s="1374"/>
      <c r="DV4" s="1374"/>
      <c r="DW4" s="1374"/>
      <c r="DX4" s="1374"/>
      <c r="DY4" s="1374"/>
      <c r="DZ4" s="1374"/>
      <c r="EA4" s="1374"/>
      <c r="EB4" s="1374"/>
    </row>
    <row r="5" customFormat="false" ht="14.25" hidden="false" customHeight="false" outlineLevel="0" collapsed="false">
      <c r="B5" s="1297"/>
      <c r="C5" s="1297"/>
      <c r="D5" s="1322"/>
      <c r="E5" s="1323"/>
      <c r="F5" s="1324"/>
      <c r="G5" s="1357"/>
      <c r="H5" s="1358"/>
      <c r="I5" s="1359"/>
      <c r="J5" s="1339" t="n">
        <v>1</v>
      </c>
      <c r="K5" s="1339" t="n">
        <v>1</v>
      </c>
      <c r="L5" s="1339" t="n">
        <v>1</v>
      </c>
      <c r="M5" s="1339" t="n">
        <v>1</v>
      </c>
      <c r="N5" s="1502"/>
      <c r="O5" s="1361"/>
      <c r="P5" s="1362"/>
      <c r="Q5" s="1362"/>
      <c r="R5" s="1362"/>
      <c r="S5" s="1362"/>
      <c r="T5" s="1362"/>
      <c r="U5" s="1363"/>
      <c r="V5" s="1364"/>
      <c r="W5" s="1365"/>
      <c r="X5" s="1365"/>
      <c r="Y5" s="1365"/>
      <c r="Z5" s="1365"/>
      <c r="AA5" s="1365"/>
      <c r="AB5" s="1366"/>
      <c r="AC5" s="1336"/>
      <c r="AD5" s="1339"/>
      <c r="AE5" s="1339"/>
      <c r="AF5" s="1339"/>
      <c r="AG5" s="1339"/>
      <c r="AH5" s="1339"/>
      <c r="AI5" s="1367"/>
      <c r="AJ5" s="1339"/>
      <c r="AK5" s="1339"/>
      <c r="AL5" s="1312"/>
      <c r="AM5" s="1339"/>
      <c r="AN5" s="1339"/>
      <c r="AO5" s="1368"/>
      <c r="AP5" s="1339"/>
      <c r="AQ5" s="1297"/>
      <c r="AR5" s="1369"/>
      <c r="AS5" s="1297"/>
      <c r="AT5" s="1313"/>
      <c r="AU5" s="1324"/>
      <c r="AV5" s="1324"/>
      <c r="AW5" s="1314"/>
      <c r="AX5" s="1314"/>
      <c r="AY5" s="1297"/>
      <c r="AZ5" s="1503"/>
      <c r="BA5" s="1503"/>
      <c r="BB5" s="1503"/>
      <c r="BC5" s="1503"/>
      <c r="BD5" s="1503"/>
      <c r="BE5" s="1503"/>
      <c r="BF5" s="1503"/>
      <c r="BG5" s="1503"/>
      <c r="BH5" s="1504"/>
      <c r="BI5" s="1504"/>
      <c r="BJ5" s="1504"/>
      <c r="BK5" s="1504"/>
      <c r="BL5" s="1297"/>
      <c r="BM5" s="1339"/>
      <c r="BN5" s="1339"/>
      <c r="BO5" s="1339"/>
      <c r="BP5" s="1339"/>
      <c r="BQ5" s="1339"/>
      <c r="BR5" s="1339"/>
      <c r="BS5" s="1339"/>
      <c r="BT5" s="1339"/>
      <c r="BU5" s="1339"/>
      <c r="BV5" s="1339"/>
      <c r="BW5" s="1339"/>
      <c r="BX5" s="1339"/>
      <c r="BY5" s="1297"/>
      <c r="BZ5" s="1372"/>
      <c r="CA5" s="1372"/>
      <c r="CB5" s="1372"/>
      <c r="CC5" s="1372"/>
      <c r="CD5" s="1372"/>
      <c r="CE5" s="1372"/>
      <c r="CF5" s="1372"/>
      <c r="CG5" s="1372"/>
      <c r="CH5" s="1372"/>
      <c r="CI5" s="1372"/>
      <c r="CJ5" s="1372"/>
      <c r="CK5" s="1372"/>
      <c r="CL5" s="1339"/>
      <c r="CM5" s="1339"/>
      <c r="CN5" s="1339"/>
      <c r="CO5" s="1339"/>
      <c r="CP5" s="1339"/>
      <c r="CQ5" s="1339"/>
      <c r="CR5" s="1339"/>
      <c r="CS5" s="1297"/>
      <c r="CT5" s="1297"/>
      <c r="CU5" s="1339"/>
      <c r="CV5" s="1339"/>
      <c r="CW5" s="1339"/>
      <c r="CX5" s="1339"/>
      <c r="CY5" s="1339"/>
      <c r="CZ5" s="1339"/>
      <c r="DA5" s="1339"/>
      <c r="DB5" s="1339"/>
      <c r="DC5" s="1339"/>
      <c r="DD5" s="1339"/>
      <c r="DE5" s="1339"/>
      <c r="DF5" s="1339"/>
      <c r="DG5" s="1297"/>
      <c r="DH5" s="1373"/>
      <c r="DI5" s="1373"/>
      <c r="DJ5" s="1373"/>
      <c r="DK5" s="1373"/>
      <c r="DL5" s="1373"/>
      <c r="DM5" s="1373"/>
      <c r="DN5" s="1373"/>
      <c r="DO5" s="1373"/>
      <c r="DP5" s="1373"/>
      <c r="DQ5" s="1373"/>
      <c r="DR5" s="1373"/>
      <c r="DS5" s="1373"/>
      <c r="DT5" s="1321"/>
      <c r="DU5" s="1375"/>
      <c r="DV5" s="1375"/>
      <c r="DW5" s="1375"/>
      <c r="DX5" s="1375"/>
      <c r="DY5" s="1375"/>
      <c r="DZ5" s="1375"/>
      <c r="EA5" s="1375"/>
      <c r="EB5" s="1375"/>
    </row>
    <row r="6" customFormat="false" ht="14.25" hidden="false" customHeight="false" outlineLevel="0" collapsed="false">
      <c r="A6" s="1376"/>
      <c r="B6" s="1377"/>
      <c r="C6" s="1376"/>
      <c r="D6" s="1378"/>
      <c r="E6" s="1379"/>
      <c r="F6" s="1380"/>
      <c r="G6" s="1381" t="s">
        <v>976</v>
      </c>
      <c r="H6" s="1382"/>
      <c r="I6" s="1383"/>
      <c r="J6" s="1384" t="n">
        <v>1</v>
      </c>
      <c r="K6" s="1384" t="n">
        <v>0</v>
      </c>
      <c r="L6" s="1384" t="n">
        <v>1</v>
      </c>
      <c r="M6" s="1384" t="n">
        <v>0</v>
      </c>
      <c r="N6" s="1502"/>
      <c r="O6" s="1385"/>
      <c r="P6" s="1386"/>
      <c r="Q6" s="1386"/>
      <c r="R6" s="1386"/>
      <c r="S6" s="1386"/>
      <c r="T6" s="1386"/>
      <c r="U6" s="1387"/>
      <c r="V6" s="1388"/>
      <c r="W6" s="1389"/>
      <c r="X6" s="1389"/>
      <c r="Y6" s="1389"/>
      <c r="Z6" s="1389"/>
      <c r="AA6" s="1389"/>
      <c r="AB6" s="1390"/>
      <c r="AC6" s="1391"/>
      <c r="AD6" s="1384" t="n">
        <v>1</v>
      </c>
      <c r="AE6" s="1384" t="n">
        <v>0</v>
      </c>
      <c r="AF6" s="1384" t="n">
        <v>1</v>
      </c>
      <c r="AG6" s="1384" t="n">
        <v>0</v>
      </c>
      <c r="AH6" s="1384"/>
      <c r="AI6" s="1392"/>
      <c r="AJ6" s="1384"/>
      <c r="AK6" s="1384"/>
      <c r="AL6" s="1393"/>
      <c r="AM6" s="1384"/>
      <c r="AN6" s="1384"/>
      <c r="AO6" s="1394"/>
      <c r="AP6" s="1384" t="s">
        <v>96</v>
      </c>
      <c r="AQ6" s="1376"/>
      <c r="AR6" s="1396" t="s">
        <v>977</v>
      </c>
      <c r="AS6" s="1397"/>
      <c r="AT6" s="1398" t="s">
        <v>447</v>
      </c>
      <c r="AU6" s="1399" t="s">
        <v>448</v>
      </c>
      <c r="AV6" s="1399" t="s">
        <v>449</v>
      </c>
      <c r="AW6" s="1400" t="s">
        <v>450</v>
      </c>
      <c r="AX6" s="1400" t="s">
        <v>451</v>
      </c>
      <c r="AY6" s="1397" t="n">
        <v>2</v>
      </c>
      <c r="AZ6" s="1505"/>
      <c r="BA6" s="1505"/>
      <c r="BB6" s="1505" t="n">
        <v>4</v>
      </c>
      <c r="BC6" s="1505" t="n">
        <v>5</v>
      </c>
      <c r="BD6" s="1505" t="n">
        <v>6</v>
      </c>
      <c r="BE6" s="1505" t="n">
        <v>7</v>
      </c>
      <c r="BF6" s="1505" t="n">
        <v>8</v>
      </c>
      <c r="BG6" s="1505" t="n">
        <v>9</v>
      </c>
      <c r="BH6" s="1505"/>
      <c r="BI6" s="1505"/>
      <c r="BJ6" s="1505"/>
      <c r="BK6" s="1505"/>
      <c r="BL6" s="1376"/>
      <c r="BM6" s="1380"/>
      <c r="BN6" s="1380"/>
      <c r="BO6" s="1402"/>
      <c r="BP6" s="1402"/>
      <c r="BQ6" s="1402"/>
      <c r="BR6" s="1402"/>
      <c r="BS6" s="1380"/>
      <c r="BT6" s="1380"/>
      <c r="BU6" s="1380"/>
      <c r="BV6" s="1380"/>
      <c r="BW6" s="1380"/>
      <c r="BX6" s="1380"/>
      <c r="BY6" s="1376"/>
      <c r="BZ6" s="1403"/>
      <c r="CA6" s="1403"/>
      <c r="CB6" s="1404"/>
      <c r="CC6" s="1404"/>
      <c r="CD6" s="1404"/>
      <c r="CE6" s="1404"/>
      <c r="CF6" s="1403"/>
      <c r="CG6" s="1403"/>
      <c r="CH6" s="1403"/>
      <c r="CI6" s="1403"/>
      <c r="CJ6" s="1403"/>
      <c r="CK6" s="1403"/>
      <c r="CL6" s="1376"/>
      <c r="CM6" s="1376"/>
      <c r="CN6" s="1376"/>
      <c r="CO6" s="1376"/>
      <c r="CP6" s="1376"/>
      <c r="CQ6" s="1376"/>
      <c r="CR6" s="1376"/>
      <c r="CS6" s="1376"/>
      <c r="CT6" s="1376"/>
      <c r="CU6" s="1380"/>
      <c r="CV6" s="1380"/>
      <c r="CW6" s="1402"/>
      <c r="CX6" s="1402"/>
      <c r="CY6" s="1402"/>
      <c r="CZ6" s="1402"/>
      <c r="DA6" s="1380"/>
      <c r="DB6" s="1380"/>
      <c r="DC6" s="1380"/>
      <c r="DD6" s="1380"/>
      <c r="DE6" s="1380"/>
      <c r="DF6" s="1380"/>
      <c r="DG6" s="1376"/>
      <c r="DH6" s="1405"/>
      <c r="DI6" s="1405"/>
      <c r="DJ6" s="1406"/>
      <c r="DK6" s="1406"/>
      <c r="DL6" s="1406"/>
      <c r="DM6" s="1406"/>
      <c r="DN6" s="1405"/>
      <c r="DO6" s="1405"/>
      <c r="DP6" s="1405"/>
      <c r="DQ6" s="1405"/>
      <c r="DR6" s="1405"/>
      <c r="DS6" s="1405"/>
      <c r="DT6" s="1407"/>
      <c r="DU6" s="1408"/>
      <c r="DV6" s="1408"/>
      <c r="DW6" s="1408"/>
      <c r="DX6" s="1408"/>
      <c r="DY6" s="1408"/>
      <c r="DZ6" s="1408"/>
      <c r="EA6" s="1408"/>
      <c r="EB6" s="1408"/>
    </row>
    <row r="7" customFormat="false" ht="14.25" hidden="false" customHeight="false" outlineLevel="0" collapsed="false">
      <c r="A7" s="2" t="n">
        <f aca="false">'V_DATOS PAC_SGA'!CC2</f>
        <v>0</v>
      </c>
      <c r="B7" s="2" t="n">
        <f aca="false">IF(OR(A7=0,A7=""),0,IF(I7="IV",CONCATENATE('V_DATOS PAC_SGA'!CC2,"4")+0,CONCATENATE('V_DATOS PAC_SGA'!CC2,"0")+0))</f>
        <v>0</v>
      </c>
      <c r="C7" s="2" t="n">
        <f aca="false">'V_DATOS PAC_SGA'!CD2</f>
        <v>0</v>
      </c>
      <c r="D7" s="1409" t="n">
        <f aca="false">'V_DATOS PAC_SGA'!Y2</f>
        <v>0</v>
      </c>
      <c r="E7" s="1410" t="str">
        <f aca="false">IF('V_DATOS PAC_SGA'!AV2="","Regadio",'V_DATOS PAC_SGA'!AV2)</f>
        <v>Regadio</v>
      </c>
      <c r="F7" s="1411" t="n">
        <f aca="false">'V_DATOS PAC_SGA'!BK2</f>
        <v>0</v>
      </c>
      <c r="G7" s="1412" t="n">
        <f aca="false">'V_DATOS PAC_SGA'!AN2</f>
        <v>0</v>
      </c>
      <c r="H7" s="1413" t="str">
        <f aca="false">IF(B7&gt;0,VLOOKUP(B7,'O_MN, PE_UTA_UGM 2024'!E$3:O$419,10),"")</f>
        <v/>
      </c>
      <c r="I7" s="1359" t="str">
        <f aca="false">IF('V_DATOS PAC_SGA'!BV2="IV",'V_DATOS PAC_SGA'!BV2,"")</f>
        <v/>
      </c>
      <c r="J7" s="2" t="str">
        <f aca="false">IF($A7&gt;0,IF(AND(J$4=$G7,J$6=$F7),$D7*J$5,""),"")</f>
        <v/>
      </c>
      <c r="K7" s="2" t="str">
        <f aca="false">IF($A7&gt;0,IF(AND(K$4=$G7,K$6=$F7),$D7*K$5,""),"")</f>
        <v/>
      </c>
      <c r="L7" s="2" t="str">
        <f aca="false">IF($A7&gt;0,IF(AND(L$4=$G7,L$6=$F7),$D7*L$5,""),"")</f>
        <v/>
      </c>
      <c r="M7" s="2" t="str">
        <f aca="false">IF($A7&gt;0,IF(AND(M$4=$G7,M$6=$F7),$D7*M$5,""),"")</f>
        <v/>
      </c>
      <c r="N7" s="1506" t="n">
        <f aca="false">VLOOKUP(B7,'O_MN, PE_UTA_UGM 2024'!$E$2:$K$419,IF(G7&gt;1,6,7))</f>
        <v>0</v>
      </c>
      <c r="O7" s="1415" t="str">
        <f aca="false">IF($H7=O$4,$D7*$N7,"")</f>
        <v/>
      </c>
      <c r="P7" s="1416" t="str">
        <f aca="false">IF($H7=P$4,$D7*$N7,"")</f>
        <v/>
      </c>
      <c r="Q7" s="1416" t="str">
        <f aca="false">IF($H7=Q$4,$D7*$N7,"")</f>
        <v/>
      </c>
      <c r="R7" s="1416" t="str">
        <f aca="false">IF($H7=R$4,$D7*$N7,"")</f>
        <v/>
      </c>
      <c r="S7" s="1416" t="str">
        <f aca="false">IF($H7=S$4,$D7*$N7,"")</f>
        <v/>
      </c>
      <c r="T7" s="1416" t="str">
        <f aca="false">IF($H7=T$4,$D7*$N7,"")</f>
        <v/>
      </c>
      <c r="U7" s="1417" t="str">
        <f aca="false">IF($H7=U$4,$D7*$N7,"")</f>
        <v/>
      </c>
      <c r="V7" s="1418" t="n">
        <f aca="false">SUM(O:O)-V$4</f>
        <v>0</v>
      </c>
      <c r="W7" s="1419" t="n">
        <f aca="false">SUM(P:P)-W$4</f>
        <v>0</v>
      </c>
      <c r="X7" s="1419" t="n">
        <f aca="false">SUM(Q:Q)-X$4</f>
        <v>0</v>
      </c>
      <c r="Y7" s="1419" t="n">
        <f aca="false">SUM(R:R)-Y$4</f>
        <v>0</v>
      </c>
      <c r="Z7" s="1419" t="n">
        <f aca="false">SUM(S:S)-Z$4</f>
        <v>0</v>
      </c>
      <c r="AA7" s="1419" t="n">
        <f aca="false">SUM(T:T)-AA$4</f>
        <v>0</v>
      </c>
      <c r="AB7" s="1420" t="n">
        <f aca="false">SUM(U:U)-AB$4</f>
        <v>0</v>
      </c>
      <c r="AC7" s="1319"/>
      <c r="AD7" s="2" t="str">
        <f aca="false">IF(AND(AD$4=$G7,AD$6=$F7),$B7,"")</f>
        <v/>
      </c>
      <c r="AE7" s="2" t="str">
        <f aca="false">IF(AND(AE$4=$G7,AE$6=$F7),$B7,"")</f>
        <v/>
      </c>
      <c r="AF7" s="2" t="str">
        <f aca="false">IF(AND(AF$4=$G7,AF$6=$F7),$B7,"")</f>
        <v/>
      </c>
      <c r="AG7" s="2" t="str">
        <f aca="false">IF(AND(AG$4=$G7,AG$6=$F7),$B7,"")</f>
        <v/>
      </c>
      <c r="AI7" s="366" t="n">
        <f aca="false">SUM(J:J)-(J4+J6+J5)</f>
        <v>0</v>
      </c>
      <c r="AJ7" s="2" t="n">
        <f aca="false">SUM(K:K)-(K4+K6+K5)</f>
        <v>0</v>
      </c>
      <c r="AK7" s="2" t="n">
        <f aca="false">SUM(L:L)-(L4+L6+L5)</f>
        <v>0</v>
      </c>
      <c r="AL7" s="367" t="n">
        <f aca="false">SUM(M:M)-(M4+M6+M5)</f>
        <v>0</v>
      </c>
      <c r="AM7" s="872" t="n">
        <f aca="false">SUM(O7:O505)</f>
        <v>0</v>
      </c>
      <c r="AN7" s="2" t="n">
        <v>1</v>
      </c>
      <c r="AO7" s="367" t="s">
        <v>59</v>
      </c>
      <c r="AP7" s="2" t="str">
        <f aca="false">IF(AT7&gt;0,RANK(AT7,AT$7:AT$423),"")</f>
        <v/>
      </c>
      <c r="AQ7" s="2" t="n">
        <f aca="false">'O_MN, PE_UTA_UGM 2024'!C3</f>
        <v>1</v>
      </c>
      <c r="AR7" s="1421" t="n">
        <v>10</v>
      </c>
      <c r="AS7" s="2" t="str">
        <f aca="false">IF(AY7&lt;&gt;"",AY7,"")</f>
        <v/>
      </c>
      <c r="AT7" s="1422" t="n">
        <f aca="false">IF(ISNUMBER($AR7),SUMIF(B$7:B$505,AR7,D$7:D$505),"")</f>
        <v>0</v>
      </c>
      <c r="AU7" s="1411" t="n">
        <f aca="false">IF(ISNUMBER($AR7),SUMIF(AD$7:AD$503,$AR7,J$7:J$503),"")</f>
        <v>0</v>
      </c>
      <c r="AV7" s="1411" t="n">
        <f aca="false">IF(ISNUMBER($AR7),SUMIF(AF$7:AF$503,$AR7,L$7:L$503),"")</f>
        <v>0</v>
      </c>
      <c r="AW7" s="1423" t="n">
        <f aca="false">IF(ISNUMBER($AR7),SUMIF(AE$7:AE$503,$AR7,K$7:K$503),"")</f>
        <v>0</v>
      </c>
      <c r="AX7" s="1423" t="n">
        <f aca="false">IF(ISNUMBER($AR7),SUMIF(AG$7:AG$503,$AR7,M$7:M$503),"")</f>
        <v>0</v>
      </c>
      <c r="AY7" s="2" t="str">
        <f aca="false">IF($AT7&gt;0,VLOOKUP($AR7,'O_MN, PE_UTA_UGM 2024'!E3:O419,2),"")</f>
        <v/>
      </c>
      <c r="AZ7" s="1507"/>
      <c r="BA7" s="1507"/>
      <c r="BB7" s="1507" t="str">
        <f aca="false">IF($AT7&gt;0,VLOOKUP($AR7,'O_MN, PE_UTA_UGM 2024'!$E$3:$O$419,BB$6),"")</f>
        <v/>
      </c>
      <c r="BC7" s="1507" t="str">
        <f aca="false">IF($AT7&gt;0,VLOOKUP($AR7,'O_MN, PE_UTA_UGM 2024'!$E$3:$O$419,BC$6),"")</f>
        <v/>
      </c>
      <c r="BD7" s="1507" t="str">
        <f aca="false">IF($AT7&gt;0,VLOOKUP($AR7,'O_MN, PE_UTA_UGM 2024'!$E$3:$O$419,BD$6),"")</f>
        <v/>
      </c>
      <c r="BE7" s="1507" t="str">
        <f aca="false">IF($AT7&gt;0,VLOOKUP($AR7,'O_MN, PE_UTA_UGM 2024'!$E$3:$O$419,BE$6),"")</f>
        <v/>
      </c>
      <c r="BF7" s="1507" t="str">
        <f aca="false">IF($AT7&gt;0,VLOOKUP($AR7,'O_MN, PE_UTA_UGM 2024'!$E$3:$O$419,BF$6),"")</f>
        <v/>
      </c>
      <c r="BG7" s="1507" t="str">
        <f aca="false">IF($AT7&gt;0,VLOOKUP($AR7,'O_MN, PE_UTA_UGM 2024'!$E$3:$O$419,BG$6),"")</f>
        <v/>
      </c>
      <c r="BH7" s="1504"/>
      <c r="BI7" s="1504"/>
      <c r="BJ7" s="1504"/>
      <c r="BK7" s="1504"/>
      <c r="BM7" s="1411"/>
      <c r="BN7" s="1411"/>
      <c r="BO7" s="1425" t="str">
        <f aca="false">IF(ISNUMBER($AU7*BB7*1),$AU7*BB7*1,"")</f>
        <v/>
      </c>
      <c r="BP7" s="1425" t="str">
        <f aca="false">IF(ISNUMBER($AV7*BC7*1),$AV7*BC7*1,"")</f>
        <v/>
      </c>
      <c r="BQ7" s="1425" t="str">
        <f aca="false">IF(ISNUMBER($AU7*BD7*1),$AU7*BD7*1,"")</f>
        <v/>
      </c>
      <c r="BR7" s="1425" t="str">
        <f aca="false">IF(ISNUMBER($AV7*BE7*1),$AV7*BE7*1,"")</f>
        <v/>
      </c>
      <c r="BS7" s="1411" t="str">
        <f aca="false">IF(ISNUMBER($AU7*BF7),$AU7*BF7,"")</f>
        <v/>
      </c>
      <c r="BT7" s="1411" t="str">
        <f aca="false">IF(ISNUMBER($AV7*BG7),$AV7*BG7,"")</f>
        <v/>
      </c>
      <c r="BU7" s="1411"/>
      <c r="BV7" s="1411"/>
      <c r="BW7" s="1411"/>
      <c r="BX7" s="1411"/>
      <c r="BZ7" s="1372"/>
      <c r="CA7" s="1372"/>
      <c r="CB7" s="1426" t="str">
        <f aca="false">IF(ISNUMBER($AW7*BB7),$AW7*BB7,"")</f>
        <v/>
      </c>
      <c r="CC7" s="1426" t="str">
        <f aca="false">IF(ISNUMBER($AX7*BC7),$AX7*BC7,"")</f>
        <v/>
      </c>
      <c r="CD7" s="1426" t="str">
        <f aca="false">IF(ISNUMBER($AW7*BD7),$AW7*BD7,"")</f>
        <v/>
      </c>
      <c r="CE7" s="1426" t="str">
        <f aca="false">IF(ISNUMBER($AX7*BE7),$AX7*BE7,"")</f>
        <v/>
      </c>
      <c r="CF7" s="1372" t="str">
        <f aca="false">IF(ISNUMBER($AW7*BF7),$AW7*BF7,"")</f>
        <v/>
      </c>
      <c r="CG7" s="1372" t="str">
        <f aca="false">IF(ISNUMBER($AX7*BG7),$AX7*BG7,"")</f>
        <v/>
      </c>
      <c r="CH7" s="1372"/>
      <c r="CI7" s="1372"/>
      <c r="CJ7" s="1372"/>
      <c r="CK7" s="1372"/>
      <c r="CL7" s="1339"/>
      <c r="CM7" s="1339"/>
      <c r="CN7" s="1339"/>
      <c r="CO7" s="1339"/>
      <c r="CP7" s="1339"/>
      <c r="CQ7" s="1339"/>
      <c r="CR7" s="1339"/>
      <c r="CU7" s="1427"/>
      <c r="CV7" s="1428"/>
      <c r="CW7" s="1428" t="n">
        <f aca="false">SUM(BO$7:BO$423)</f>
        <v>0</v>
      </c>
      <c r="CX7" s="1428" t="n">
        <f aca="false">SUM(BP$7:BP$423)</f>
        <v>0</v>
      </c>
      <c r="CY7" s="1428" t="n">
        <f aca="false">SUM(BQ$7:BQ$423)</f>
        <v>0</v>
      </c>
      <c r="CZ7" s="1428" t="n">
        <f aca="false">SUM(BR$7:BR$423)</f>
        <v>0</v>
      </c>
      <c r="DA7" s="1428" t="n">
        <f aca="false">SUM(BS$7:BS$423)</f>
        <v>0</v>
      </c>
      <c r="DB7" s="1428" t="n">
        <f aca="false">SUM(BT$7:BT$423)</f>
        <v>0</v>
      </c>
      <c r="DC7" s="1428"/>
      <c r="DD7" s="1428"/>
      <c r="DE7" s="1428"/>
      <c r="DF7" s="1429"/>
      <c r="DG7" s="1430"/>
      <c r="DH7" s="1431"/>
      <c r="DI7" s="1431"/>
      <c r="DJ7" s="1431" t="n">
        <f aca="false">SUM(CB$7:CB$423)</f>
        <v>0</v>
      </c>
      <c r="DK7" s="1431" t="n">
        <f aca="false">SUM(CC$7:CC$423)</f>
        <v>0</v>
      </c>
      <c r="DL7" s="1431" t="n">
        <f aca="false">SUM(CD$7:CD$423)</f>
        <v>0</v>
      </c>
      <c r="DM7" s="1431" t="n">
        <f aca="false">SUM(CE$7:CE$423)</f>
        <v>0</v>
      </c>
      <c r="DN7" s="1432" t="n">
        <f aca="false">SUM(CF$7:CF$423)</f>
        <v>0</v>
      </c>
      <c r="DO7" s="1432" t="n">
        <f aca="false">SUM(CG$7:CG$423)</f>
        <v>0</v>
      </c>
      <c r="DP7" s="1432"/>
      <c r="DQ7" s="1432"/>
      <c r="DR7" s="1432"/>
      <c r="DS7" s="1432"/>
      <c r="DT7" s="1316"/>
      <c r="DU7" s="1433"/>
      <c r="DV7" s="1433"/>
      <c r="DW7" s="1433" t="n">
        <f aca="false">CW7+DJ7</f>
        <v>0</v>
      </c>
      <c r="DX7" s="1433" t="n">
        <f aca="false">CX7+DK7</f>
        <v>0</v>
      </c>
      <c r="DY7" s="1433" t="n">
        <f aca="false">CY7+DL7</f>
        <v>0</v>
      </c>
      <c r="DZ7" s="1433" t="n">
        <f aca="false">CZ7+DM7</f>
        <v>0</v>
      </c>
      <c r="EA7" s="1433" t="n">
        <f aca="false">DA7+DN7</f>
        <v>0</v>
      </c>
      <c r="EB7" s="1433" t="n">
        <f aca="false">DB7+DO7</f>
        <v>0</v>
      </c>
    </row>
    <row r="8" customFormat="false" ht="14.25" hidden="false" customHeight="false" outlineLevel="0" collapsed="false">
      <c r="A8" s="2" t="n">
        <f aca="false">'V_DATOS PAC_SGA'!CC3</f>
        <v>0</v>
      </c>
      <c r="B8" s="2" t="n">
        <f aca="false">IF(OR(A8=0,A8=""),0,IF(I8="IV",CONCATENATE('V_DATOS PAC_SGA'!CC3,"4")+0,CONCATENATE('V_DATOS PAC_SGA'!CC3,"0")+0))</f>
        <v>0</v>
      </c>
      <c r="C8" s="2" t="n">
        <f aca="false">'V_DATOS PAC_SGA'!CD3</f>
        <v>0</v>
      </c>
      <c r="D8" s="1409" t="n">
        <f aca="false">'V_DATOS PAC_SGA'!Y3</f>
        <v>0</v>
      </c>
      <c r="E8" s="1410" t="str">
        <f aca="false">IF('V_DATOS PAC_SGA'!AV3="","Regadio",'V_DATOS PAC_SGA'!AV3)</f>
        <v>Regadio</v>
      </c>
      <c r="F8" s="1411" t="n">
        <f aca="false">'V_DATOS PAC_SGA'!BK3</f>
        <v>0</v>
      </c>
      <c r="G8" s="1412" t="n">
        <f aca="false">'V_DATOS PAC_SGA'!AN3</f>
        <v>0</v>
      </c>
      <c r="H8" s="1413" t="str">
        <f aca="false">IF(B8&gt;0,VLOOKUP(B8,'O_MN, PE_UTA_UGM 2024'!E$3:O$419,10),"")</f>
        <v/>
      </c>
      <c r="I8" s="1359" t="str">
        <f aca="false">IF('V_DATOS PAC_SGA'!BV3="IV",'V_DATOS PAC_SGA'!BV3,"")</f>
        <v/>
      </c>
      <c r="J8" s="2" t="str">
        <f aca="false">IF($A8&gt;0,IF(AND(J$4=$G8,J$6=$F8),$D8*J$5,""),"")</f>
        <v/>
      </c>
      <c r="K8" s="2" t="str">
        <f aca="false">IF($A8&gt;0,IF(AND(K$4=$G8,K$6=$F8),$D8*K$5,""),"")</f>
        <v/>
      </c>
      <c r="L8" s="2" t="str">
        <f aca="false">IF($A8&gt;0,IF(AND(L$4=$G8,L$6=$F8),$D8*L$5,""),"")</f>
        <v/>
      </c>
      <c r="M8" s="2" t="str">
        <f aca="false">IF($A8&gt;0,IF(AND(M$4=$G8,M$6=$F8),$D8*M$5,""),"")</f>
        <v/>
      </c>
      <c r="N8" s="1506" t="n">
        <f aca="false">VLOOKUP(B8,'O_MN, PE_UTA_UGM 2024'!$E$2:$K$419,IF(G8&gt;1,6,7))</f>
        <v>0</v>
      </c>
      <c r="O8" s="1434" t="str">
        <f aca="false">IF($H8=O$4,$D8*$N8,"")</f>
        <v/>
      </c>
      <c r="P8" s="1435" t="str">
        <f aca="false">IF($H8=P$4,$D8*$N8,"")</f>
        <v/>
      </c>
      <c r="Q8" s="1435" t="str">
        <f aca="false">IF($H8=Q$4,$D8*$N8,"")</f>
        <v/>
      </c>
      <c r="R8" s="1435" t="str">
        <f aca="false">IF($H8=R$4,$D8*$N8,"")</f>
        <v/>
      </c>
      <c r="S8" s="1435" t="str">
        <f aca="false">IF($H8=S$4,$D8*$N8,"")</f>
        <v/>
      </c>
      <c r="T8" s="1435" t="str">
        <f aca="false">IF($H8=T$4,$D8*$N8,"")</f>
        <v/>
      </c>
      <c r="U8" s="1436" t="str">
        <f aca="false">IF($H8=U$4,$D8*$N8,"")</f>
        <v/>
      </c>
      <c r="V8" s="1418"/>
      <c r="W8" s="1419"/>
      <c r="X8" s="1419"/>
      <c r="Y8" s="1419"/>
      <c r="Z8" s="1419"/>
      <c r="AA8" s="1419"/>
      <c r="AB8" s="1420"/>
      <c r="AC8" s="1319"/>
      <c r="AD8" s="2" t="str">
        <f aca="false">IF(AND(AD$4=$G8,AD$6=$F8),$B8,"")</f>
        <v/>
      </c>
      <c r="AE8" s="2" t="str">
        <f aca="false">IF(AND(AE$4=$G8,AE$6=$F8),$B8,"")</f>
        <v/>
      </c>
      <c r="AF8" s="2" t="str">
        <f aca="false">IF(AND(AF$4=$G8,AF$6=$F8),$B8,"")</f>
        <v/>
      </c>
      <c r="AG8" s="2" t="str">
        <f aca="false">IF(AND(AG$4=$G8,AG$6=$F8),$B8,"")</f>
        <v/>
      </c>
      <c r="AI8" s="366"/>
      <c r="AL8" s="367"/>
      <c r="AM8" s="872" t="n">
        <f aca="false">SUM(P7:P505)</f>
        <v>0</v>
      </c>
      <c r="AN8" s="2" t="n">
        <v>2</v>
      </c>
      <c r="AO8" s="367" t="s">
        <v>60</v>
      </c>
      <c r="AP8" s="2" t="str">
        <f aca="false">IF(AT8&gt;0,RANK(AT8,AT$7:AT$423),"")</f>
        <v/>
      </c>
      <c r="AQ8" s="2" t="n">
        <f aca="false">'O_MN, PE_UTA_UGM 2024'!C4</f>
        <v>2</v>
      </c>
      <c r="AR8" s="1421" t="n">
        <v>20</v>
      </c>
      <c r="AS8" s="2" t="str">
        <f aca="false">IF(AY8&lt;&gt;"",AY8,"")</f>
        <v/>
      </c>
      <c r="AT8" s="1422" t="n">
        <f aca="false">IF(ISNUMBER($AR8),SUMIF(B$7:B$505,AR8,D$7:D$505),"")</f>
        <v>0</v>
      </c>
      <c r="AU8" s="1411" t="n">
        <f aca="false">IF(ISNUMBER($AR8),SUMIF(AD$7:AD$503,$AR8,J$7:J$503),"")</f>
        <v>0</v>
      </c>
      <c r="AV8" s="1411" t="n">
        <f aca="false">IF(ISNUMBER($AR8),SUMIF(AF$7:AF$503,$AR8,L$7:L$503),"")</f>
        <v>0</v>
      </c>
      <c r="AW8" s="1423" t="n">
        <f aca="false">IF(ISNUMBER($AR8),SUMIF(AE$7:AE$503,$AR8,K$7:K$503),"")</f>
        <v>0</v>
      </c>
      <c r="AX8" s="1423" t="n">
        <f aca="false">IF(ISNUMBER($AR8),SUMIF(AG$7:AG$503,$AR8,M$7:M$503),"")</f>
        <v>0</v>
      </c>
      <c r="AY8" s="2" t="str">
        <f aca="false">IF($AT8&gt;0,VLOOKUP($AR8,'O_MN, PE_UTA_UGM 2024'!E4:O420,2),"")</f>
        <v/>
      </c>
      <c r="AZ8" s="1507"/>
      <c r="BA8" s="1507"/>
      <c r="BB8" s="1507" t="str">
        <f aca="false">IF($AT8&gt;0,VLOOKUP($AR8,'O_MN, PE_UTA_UGM 2024'!$E$3:$O$419,BB$6),"")</f>
        <v/>
      </c>
      <c r="BC8" s="1507" t="str">
        <f aca="false">IF($AT8&gt;0,VLOOKUP($AR8,'O_MN, PE_UTA_UGM 2024'!$E$3:$O$419,BC$6),"")</f>
        <v/>
      </c>
      <c r="BD8" s="1507" t="str">
        <f aca="false">IF($AT8&gt;0,VLOOKUP($AR8,'O_MN, PE_UTA_UGM 2024'!$E$3:$O$419,BD$6),"")</f>
        <v/>
      </c>
      <c r="BE8" s="1507" t="str">
        <f aca="false">IF($AT8&gt;0,VLOOKUP($AR8,'O_MN, PE_UTA_UGM 2024'!$E$3:$O$419,BE$6),"")</f>
        <v/>
      </c>
      <c r="BF8" s="1507" t="str">
        <f aca="false">IF($AT8&gt;0,VLOOKUP($AR8,'O_MN, PE_UTA_UGM 2024'!$E$3:$O$419,BF$6),"")</f>
        <v/>
      </c>
      <c r="BG8" s="1507" t="str">
        <f aca="false">IF($AT8&gt;0,VLOOKUP($AR8,'O_MN, PE_UTA_UGM 2024'!$E$3:$O$419,BG$6),"")</f>
        <v/>
      </c>
      <c r="BH8" s="1504"/>
      <c r="BI8" s="1504"/>
      <c r="BJ8" s="1504"/>
      <c r="BK8" s="1504"/>
      <c r="BM8" s="1411"/>
      <c r="BN8" s="1411"/>
      <c r="BO8" s="1425" t="str">
        <f aca="false">IF(ISNUMBER($AU8*BB8*1),$AU8*BB8*1,"")</f>
        <v/>
      </c>
      <c r="BP8" s="1425" t="str">
        <f aca="false">IF(ISNUMBER($AV8*BC8*1),$AV8*BC8*1,"")</f>
        <v/>
      </c>
      <c r="BQ8" s="1425" t="str">
        <f aca="false">IF(ISNUMBER($AU8*BD8*1),$AU8*BD8*1,"")</f>
        <v/>
      </c>
      <c r="BR8" s="1425" t="str">
        <f aca="false">IF(ISNUMBER($AV8*BE8*1),$AV8*BE8*1,"")</f>
        <v/>
      </c>
      <c r="BS8" s="1411" t="str">
        <f aca="false">IF(ISNUMBER($AU8*BF8),$AU8*BF8,"")</f>
        <v/>
      </c>
      <c r="BT8" s="1411" t="str">
        <f aca="false">IF(ISNUMBER($AV8*BG8),$AV8*BG8,"")</f>
        <v/>
      </c>
      <c r="BU8" s="1411"/>
      <c r="BV8" s="1411"/>
      <c r="BW8" s="1411"/>
      <c r="BX8" s="1411"/>
      <c r="BZ8" s="1372"/>
      <c r="CA8" s="1372"/>
      <c r="CB8" s="1426" t="str">
        <f aca="false">IF(ISNUMBER($AW8*BB8),$AW8*BB8,"")</f>
        <v/>
      </c>
      <c r="CC8" s="1426" t="str">
        <f aca="false">IF(ISNUMBER($AX8*BC8),$AX8*BC8,"")</f>
        <v/>
      </c>
      <c r="CD8" s="1426" t="str">
        <f aca="false">IF(ISNUMBER($AW8*BD8),$AW8*BD8,"")</f>
        <v/>
      </c>
      <c r="CE8" s="1426" t="str">
        <f aca="false">IF(ISNUMBER($AX8*BE8),$AX8*BE8,"")</f>
        <v/>
      </c>
      <c r="CF8" s="1372" t="str">
        <f aca="false">IF(ISNUMBER($AW8*BF8),$AW8*BF8,"")</f>
        <v/>
      </c>
      <c r="CG8" s="1372" t="str">
        <f aca="false">IF(ISNUMBER($AX8*BG8),$AX8*BG8,"")</f>
        <v/>
      </c>
      <c r="CH8" s="1372"/>
      <c r="CI8" s="1372"/>
      <c r="CJ8" s="1372"/>
      <c r="CK8" s="1372"/>
      <c r="CL8" s="1339"/>
      <c r="CM8" s="1339"/>
      <c r="CN8" s="1339"/>
      <c r="CO8" s="1339"/>
      <c r="CP8" s="1339"/>
      <c r="CQ8" s="1339"/>
      <c r="CR8" s="1339"/>
      <c r="CU8" s="1411"/>
      <c r="CV8" s="1411"/>
      <c r="CW8" s="1425"/>
      <c r="CX8" s="1425"/>
      <c r="CY8" s="1425"/>
      <c r="CZ8" s="1425"/>
      <c r="DA8" s="1411"/>
      <c r="DB8" s="1411"/>
      <c r="DC8" s="1411"/>
      <c r="DD8" s="1411"/>
      <c r="DE8" s="1411"/>
      <c r="DF8" s="1411"/>
      <c r="DH8" s="1432"/>
      <c r="DI8" s="1432"/>
      <c r="DJ8" s="1437"/>
      <c r="DK8" s="1437"/>
      <c r="DL8" s="1437"/>
      <c r="DM8" s="1437"/>
      <c r="DN8" s="1432"/>
      <c r="DO8" s="1432"/>
      <c r="DP8" s="1432"/>
      <c r="DQ8" s="1432"/>
      <c r="DR8" s="1432"/>
      <c r="DS8" s="1432"/>
      <c r="DT8" s="1316"/>
      <c r="DU8" s="1433"/>
      <c r="DV8" s="1433"/>
      <c r="DW8" s="1433"/>
      <c r="DX8" s="1433"/>
      <c r="DY8" s="1433"/>
      <c r="DZ8" s="1433"/>
      <c r="EA8" s="1433"/>
      <c r="EB8" s="1433"/>
    </row>
    <row r="9" customFormat="false" ht="14.25" hidden="false" customHeight="false" outlineLevel="0" collapsed="false">
      <c r="A9" s="2" t="n">
        <f aca="false">'V_DATOS PAC_SGA'!CC4</f>
        <v>0</v>
      </c>
      <c r="B9" s="2" t="n">
        <f aca="false">IF(OR(A9=0,A9=""),0,IF(I9="IV",CONCATENATE('V_DATOS PAC_SGA'!CC4,"4")+0,CONCATENATE('V_DATOS PAC_SGA'!CC4,"0")+0))</f>
        <v>0</v>
      </c>
      <c r="C9" s="2" t="n">
        <f aca="false">'V_DATOS PAC_SGA'!CD4</f>
        <v>0</v>
      </c>
      <c r="D9" s="1409" t="n">
        <f aca="false">'V_DATOS PAC_SGA'!Y4</f>
        <v>0</v>
      </c>
      <c r="E9" s="1410" t="str">
        <f aca="false">IF('V_DATOS PAC_SGA'!AV4="","Regadio",'V_DATOS PAC_SGA'!AV4)</f>
        <v>Regadio</v>
      </c>
      <c r="F9" s="1411" t="n">
        <f aca="false">'V_DATOS PAC_SGA'!BK4</f>
        <v>0</v>
      </c>
      <c r="G9" s="1412" t="n">
        <f aca="false">'V_DATOS PAC_SGA'!AN4</f>
        <v>0</v>
      </c>
      <c r="H9" s="1413" t="str">
        <f aca="false">IF(B9&gt;0,VLOOKUP(B9,'O_MN, PE_UTA_UGM 2024'!E$3:O$419,10),"")</f>
        <v/>
      </c>
      <c r="I9" s="1359" t="str">
        <f aca="false">IF('V_DATOS PAC_SGA'!BV4="IV",'V_DATOS PAC_SGA'!BV4,"")</f>
        <v/>
      </c>
      <c r="J9" s="2" t="str">
        <f aca="false">IF($A9&gt;0,IF(AND(J$4=$G9,J$6=$F9),$D9*J$5,""),"")</f>
        <v/>
      </c>
      <c r="K9" s="2" t="str">
        <f aca="false">IF($A9&gt;0,IF(AND(K$4=$G9,K$6=$F9),$D9*K$5,""),"")</f>
        <v/>
      </c>
      <c r="L9" s="2" t="str">
        <f aca="false">IF($A9&gt;0,IF(AND(L$4=$G9,L$6=$F9),$D9*L$5,""),"")</f>
        <v/>
      </c>
      <c r="M9" s="2" t="str">
        <f aca="false">IF($A9&gt;0,IF(AND(M$4=$G9,M$6=$F9),$D9*M$5,""),"")</f>
        <v/>
      </c>
      <c r="N9" s="1506" t="n">
        <f aca="false">VLOOKUP(B9,'O_MN, PE_UTA_UGM 2024'!$E$2:$K$419,IF(G9&gt;1,6,7))</f>
        <v>0</v>
      </c>
      <c r="O9" s="1434" t="str">
        <f aca="false">IF($H9=O$4,$D9*$N9,"")</f>
        <v/>
      </c>
      <c r="P9" s="1435" t="str">
        <f aca="false">IF($H9=P$4,$D9*$N9,"")</f>
        <v/>
      </c>
      <c r="Q9" s="1435" t="str">
        <f aca="false">IF($H9=Q$4,$D9*$N9,"")</f>
        <v/>
      </c>
      <c r="R9" s="1435" t="str">
        <f aca="false">IF($H9=R$4,$D9*$N9,"")</f>
        <v/>
      </c>
      <c r="S9" s="1435" t="str">
        <f aca="false">IF($H9=S$4,$D9*$N9,"")</f>
        <v/>
      </c>
      <c r="T9" s="1435" t="str">
        <f aca="false">IF($H9=T$4,$D9*$N9,"")</f>
        <v/>
      </c>
      <c r="U9" s="1436" t="str">
        <f aca="false">IF($H9=U$4,$D9*$N9,"")</f>
        <v/>
      </c>
      <c r="V9" s="1418"/>
      <c r="W9" s="1419"/>
      <c r="X9" s="1419"/>
      <c r="Y9" s="1419"/>
      <c r="Z9" s="1419"/>
      <c r="AA9" s="1419"/>
      <c r="AB9" s="1420"/>
      <c r="AC9" s="1319"/>
      <c r="AD9" s="2" t="str">
        <f aca="false">IF(AND(AD$4=$G9,AD$6=$F9),$B9,"")</f>
        <v/>
      </c>
      <c r="AE9" s="2" t="str">
        <f aca="false">IF(AND(AE$4=$G9,AE$6=$F9),$B9,"")</f>
        <v/>
      </c>
      <c r="AF9" s="2" t="str">
        <f aca="false">IF(AND(AF$4=$G9,AF$6=$F9),$B9,"")</f>
        <v/>
      </c>
      <c r="AG9" s="2" t="str">
        <f aca="false">IF(AND(AG$4=$G9,AG$6=$F9),$B9,"")</f>
        <v/>
      </c>
      <c r="AI9" s="366"/>
      <c r="AL9" s="367"/>
      <c r="AM9" s="872" t="n">
        <f aca="false">SUM(Q7:Q505)</f>
        <v>0</v>
      </c>
      <c r="AN9" s="2" t="n">
        <v>3</v>
      </c>
      <c r="AO9" s="367" t="s">
        <v>61</v>
      </c>
      <c r="AP9" s="2" t="str">
        <f aca="false">IF(AT9&gt;0,RANK(AT9,AT$7:AT$423),"")</f>
        <v/>
      </c>
      <c r="AQ9" s="2" t="n">
        <f aca="false">'O_MN, PE_UTA_UGM 2024'!C5</f>
        <v>3</v>
      </c>
      <c r="AR9" s="1421" t="n">
        <v>30</v>
      </c>
      <c r="AS9" s="2" t="str">
        <f aca="false">IF(AY9&lt;&gt;"",AY9,"")</f>
        <v/>
      </c>
      <c r="AT9" s="1422" t="n">
        <f aca="false">IF(ISNUMBER($AR9),SUMIF(B$7:B$505,AR9,D$7:D$505),"")</f>
        <v>0</v>
      </c>
      <c r="AU9" s="1411" t="n">
        <f aca="false">IF(ISNUMBER($AR9),SUMIF(AD$7:AD$503,$AR9,J$7:J$503),"")</f>
        <v>0</v>
      </c>
      <c r="AV9" s="1411" t="n">
        <f aca="false">IF(ISNUMBER($AR9),SUMIF(AF$7:AF$503,$AR9,L$7:L$503),"")</f>
        <v>0</v>
      </c>
      <c r="AW9" s="1423" t="n">
        <f aca="false">IF(ISNUMBER($AR9),SUMIF(AE$7:AE$503,$AR9,K$7:K$503),"")</f>
        <v>0</v>
      </c>
      <c r="AX9" s="1423" t="n">
        <f aca="false">IF(ISNUMBER($AR9),SUMIF(AG$7:AG$503,$AR9,M$7:M$503),"")</f>
        <v>0</v>
      </c>
      <c r="AY9" s="2" t="str">
        <f aca="false">IF($AT9&gt;0,VLOOKUP($AR9,'O_MN, PE_UTA_UGM 2024'!E5:O421,2),"")</f>
        <v/>
      </c>
      <c r="AZ9" s="1507"/>
      <c r="BA9" s="1507"/>
      <c r="BB9" s="1507" t="str">
        <f aca="false">IF($AT9&gt;0,VLOOKUP($AR9,'O_MN, PE_UTA_UGM 2024'!$E$3:$O$419,BB$6),"")</f>
        <v/>
      </c>
      <c r="BC9" s="1507" t="str">
        <f aca="false">IF($AT9&gt;0,VLOOKUP($AR9,'O_MN, PE_UTA_UGM 2024'!$E$3:$O$419,BC$6),"")</f>
        <v/>
      </c>
      <c r="BD9" s="1507" t="str">
        <f aca="false">IF($AT9&gt;0,VLOOKUP($AR9,'O_MN, PE_UTA_UGM 2024'!$E$3:$O$419,BD$6),"")</f>
        <v/>
      </c>
      <c r="BE9" s="1507" t="str">
        <f aca="false">IF($AT9&gt;0,VLOOKUP($AR9,'O_MN, PE_UTA_UGM 2024'!$E$3:$O$419,BE$6),"")</f>
        <v/>
      </c>
      <c r="BF9" s="1507" t="str">
        <f aca="false">IF($AT9&gt;0,VLOOKUP($AR9,'O_MN, PE_UTA_UGM 2024'!$E$3:$O$419,BF$6),"")</f>
        <v/>
      </c>
      <c r="BG9" s="1507" t="str">
        <f aca="false">IF($AT9&gt;0,VLOOKUP($AR9,'O_MN, PE_UTA_UGM 2024'!$E$3:$O$419,BG$6),"")</f>
        <v/>
      </c>
      <c r="BH9" s="1504"/>
      <c r="BI9" s="1504"/>
      <c r="BJ9" s="1504"/>
      <c r="BK9" s="1504"/>
      <c r="BM9" s="1411"/>
      <c r="BN9" s="1411"/>
      <c r="BO9" s="1425" t="str">
        <f aca="false">IF(ISNUMBER($AU9*BB9*1),$AU9*BB9*1,"")</f>
        <v/>
      </c>
      <c r="BP9" s="1425" t="str">
        <f aca="false">IF(ISNUMBER($AV9*BC9*1),$AV9*BC9*1,"")</f>
        <v/>
      </c>
      <c r="BQ9" s="1425" t="str">
        <f aca="false">IF(ISNUMBER($AU9*BD9*1),$AU9*BD9*1,"")</f>
        <v/>
      </c>
      <c r="BR9" s="1425" t="str">
        <f aca="false">IF(ISNUMBER($AV9*BE9*1),$AV9*BE9*1,"")</f>
        <v/>
      </c>
      <c r="BS9" s="1411" t="str">
        <f aca="false">IF(ISNUMBER($AU9*BF9),$AU9*BF9,"")</f>
        <v/>
      </c>
      <c r="BT9" s="1411" t="str">
        <f aca="false">IF(ISNUMBER($AV9*BG9),$AV9*BG9,"")</f>
        <v/>
      </c>
      <c r="BU9" s="1411"/>
      <c r="BV9" s="1411"/>
      <c r="BW9" s="1411"/>
      <c r="BX9" s="1411"/>
      <c r="BZ9" s="1372"/>
      <c r="CA9" s="1372"/>
      <c r="CB9" s="1426" t="str">
        <f aca="false">IF(ISNUMBER($AW9*BB9),$AW9*BB9,"")</f>
        <v/>
      </c>
      <c r="CC9" s="1426" t="str">
        <f aca="false">IF(ISNUMBER($AX9*BC9),$AX9*BC9,"")</f>
        <v/>
      </c>
      <c r="CD9" s="1426" t="str">
        <f aca="false">IF(ISNUMBER($AW9*BD9),$AW9*BD9,"")</f>
        <v/>
      </c>
      <c r="CE9" s="1426" t="str">
        <f aca="false">IF(ISNUMBER($AX9*BE9),$AX9*BE9,"")</f>
        <v/>
      </c>
      <c r="CF9" s="1372" t="str">
        <f aca="false">IF(ISNUMBER($AW9*BF9),$AW9*BF9,"")</f>
        <v/>
      </c>
      <c r="CG9" s="1372" t="str">
        <f aca="false">IF(ISNUMBER($AX9*BG9),$AX9*BG9,"")</f>
        <v/>
      </c>
      <c r="CH9" s="1372"/>
      <c r="CI9" s="1372"/>
      <c r="CJ9" s="1372"/>
      <c r="CK9" s="1372"/>
      <c r="CL9" s="1339"/>
      <c r="CM9" s="1339"/>
      <c r="CN9" s="1339"/>
      <c r="CO9" s="1339"/>
      <c r="CP9" s="1339"/>
      <c r="CQ9" s="1339"/>
      <c r="CR9" s="1339"/>
      <c r="CU9" s="1411"/>
      <c r="CV9" s="1411"/>
      <c r="CW9" s="1425"/>
      <c r="CX9" s="1425"/>
      <c r="CY9" s="1425"/>
      <c r="CZ9" s="1425"/>
      <c r="DA9" s="1411"/>
      <c r="DB9" s="1411"/>
      <c r="DC9" s="1411"/>
      <c r="DD9" s="1411"/>
      <c r="DE9" s="1411"/>
      <c r="DF9" s="1411"/>
      <c r="DH9" s="1432"/>
      <c r="DI9" s="1432"/>
      <c r="DJ9" s="1437"/>
      <c r="DK9" s="1437"/>
      <c r="DL9" s="1437"/>
      <c r="DM9" s="1437"/>
      <c r="DN9" s="1432"/>
      <c r="DO9" s="1432"/>
      <c r="DP9" s="1432"/>
      <c r="DQ9" s="1432"/>
      <c r="DR9" s="1432"/>
      <c r="DS9" s="1432"/>
      <c r="DT9" s="1316"/>
      <c r="DU9" s="1433"/>
      <c r="DV9" s="1433"/>
      <c r="DW9" s="1433"/>
      <c r="DX9" s="1433"/>
      <c r="DY9" s="1433"/>
      <c r="DZ9" s="1433"/>
      <c r="EA9" s="1433"/>
      <c r="EB9" s="1433"/>
    </row>
    <row r="10" customFormat="false" ht="14.25" hidden="false" customHeight="false" outlineLevel="0" collapsed="false">
      <c r="A10" s="2" t="n">
        <f aca="false">'V_DATOS PAC_SGA'!CC5</f>
        <v>0</v>
      </c>
      <c r="B10" s="2" t="n">
        <f aca="false">IF(OR(A10=0,A10=""),0,IF(I10="IV",CONCATENATE('V_DATOS PAC_SGA'!CC5,"4")+0,CONCATENATE('V_DATOS PAC_SGA'!CC5,"0")+0))</f>
        <v>0</v>
      </c>
      <c r="C10" s="2" t="n">
        <f aca="false">'V_DATOS PAC_SGA'!CD5</f>
        <v>0</v>
      </c>
      <c r="D10" s="1409" t="n">
        <f aca="false">'V_DATOS PAC_SGA'!Y5</f>
        <v>0</v>
      </c>
      <c r="E10" s="1410" t="str">
        <f aca="false">IF('V_DATOS PAC_SGA'!AV5="","Regadio",'V_DATOS PAC_SGA'!AV5)</f>
        <v>Regadio</v>
      </c>
      <c r="F10" s="1411" t="n">
        <f aca="false">'V_DATOS PAC_SGA'!BK5</f>
        <v>0</v>
      </c>
      <c r="G10" s="1412" t="n">
        <f aca="false">'V_DATOS PAC_SGA'!AN5</f>
        <v>0</v>
      </c>
      <c r="H10" s="1413" t="str">
        <f aca="false">IF(B10&gt;0,VLOOKUP(B10,'O_MN, PE_UTA_UGM 2024'!E$3:O$419,10),"")</f>
        <v/>
      </c>
      <c r="I10" s="1359" t="str">
        <f aca="false">IF('V_DATOS PAC_SGA'!BV5="IV",'V_DATOS PAC_SGA'!BV5,"")</f>
        <v/>
      </c>
      <c r="J10" s="2" t="str">
        <f aca="false">IF($A10&gt;0,IF(AND(J$4=$G10,J$6=$F10),$D10*J$5,""),"")</f>
        <v/>
      </c>
      <c r="K10" s="2" t="str">
        <f aca="false">IF($A10&gt;0,IF(AND(K$4=$G10,K$6=$F10),$D10*K$5,""),"")</f>
        <v/>
      </c>
      <c r="L10" s="2" t="str">
        <f aca="false">IF($A10&gt;0,IF(AND(L$4=$G10,L$6=$F10),$D10*L$5,""),"")</f>
        <v/>
      </c>
      <c r="M10" s="2" t="str">
        <f aca="false">IF($A10&gt;0,IF(AND(M$4=$G10,M$6=$F10),$D10*M$5,""),"")</f>
        <v/>
      </c>
      <c r="N10" s="1506" t="n">
        <f aca="false">VLOOKUP(B10,'O_MN, PE_UTA_UGM 2024'!$E$2:$K$419,IF(G10&gt;1,6,7))</f>
        <v>0</v>
      </c>
      <c r="O10" s="1434" t="str">
        <f aca="false">IF($H10=O$4,$D10*$N10,"")</f>
        <v/>
      </c>
      <c r="P10" s="1435" t="str">
        <f aca="false">IF($H10=P$4,$D10*$N10,"")</f>
        <v/>
      </c>
      <c r="Q10" s="1435" t="str">
        <f aca="false">IF($H10=Q$4,$D10*$N10,"")</f>
        <v/>
      </c>
      <c r="R10" s="1435" t="str">
        <f aca="false">IF($H10=R$4,$D10*$N10,"")</f>
        <v/>
      </c>
      <c r="S10" s="1435" t="str">
        <f aca="false">IF($H10=S$4,$D10*$N10,"")</f>
        <v/>
      </c>
      <c r="T10" s="1435" t="str">
        <f aca="false">IF($H10=T$4,$D10*$N10,"")</f>
        <v/>
      </c>
      <c r="U10" s="1436" t="str">
        <f aca="false">IF($H10=U$4,$D10*$N10,"")</f>
        <v/>
      </c>
      <c r="V10" s="1418"/>
      <c r="W10" s="1419"/>
      <c r="X10" s="1419"/>
      <c r="Y10" s="1419"/>
      <c r="Z10" s="1419"/>
      <c r="AA10" s="1419"/>
      <c r="AB10" s="1420"/>
      <c r="AC10" s="1319"/>
      <c r="AD10" s="2" t="str">
        <f aca="false">IF(AND(AD$4=$G10,AD$6=$F10),$B10,"")</f>
        <v/>
      </c>
      <c r="AE10" s="2" t="str">
        <f aca="false">IF(AND(AE$4=$G10,AE$6=$F10),$B10,"")</f>
        <v/>
      </c>
      <c r="AF10" s="2" t="str">
        <f aca="false">IF(AND(AF$4=$G10,AF$6=$F10),$B10,"")</f>
        <v/>
      </c>
      <c r="AG10" s="2" t="str">
        <f aca="false">IF(AND(AG$4=$G10,AG$6=$F10),$B10,"")</f>
        <v/>
      </c>
      <c r="AI10" s="366"/>
      <c r="AL10" s="367"/>
      <c r="AM10" s="872" t="n">
        <f aca="false">SUM(R7:R505)</f>
        <v>0</v>
      </c>
      <c r="AN10" s="2" t="n">
        <v>4</v>
      </c>
      <c r="AO10" s="367" t="s">
        <v>62</v>
      </c>
      <c r="AP10" s="2" t="str">
        <f aca="false">IF(AT10&gt;0,RANK(AT10,AT$7:AT$423),"")</f>
        <v/>
      </c>
      <c r="AQ10" s="2" t="n">
        <f aca="false">'O_MN, PE_UTA_UGM 2024'!C6</f>
        <v>4</v>
      </c>
      <c r="AR10" s="1421" t="n">
        <v>40</v>
      </c>
      <c r="AS10" s="2" t="str">
        <f aca="false">IF(AY10&lt;&gt;"",AY10,"")</f>
        <v/>
      </c>
      <c r="AT10" s="1422" t="n">
        <f aca="false">IF(ISNUMBER($AR10),SUMIF(B$7:B$505,AR10,D$7:D$505),"")</f>
        <v>0</v>
      </c>
      <c r="AU10" s="1411" t="n">
        <f aca="false">IF(ISNUMBER($AR10),SUMIF(AD$7:AD$503,$AR10,J$7:J$503),"")</f>
        <v>0</v>
      </c>
      <c r="AV10" s="1411" t="n">
        <f aca="false">IF(ISNUMBER($AR10),SUMIF(AF$7:AF$503,$AR10,L$7:L$503),"")</f>
        <v>0</v>
      </c>
      <c r="AW10" s="1423" t="n">
        <f aca="false">IF(ISNUMBER($AR10),SUMIF(AE$7:AE$503,$AR10,K$7:K$503),"")</f>
        <v>0</v>
      </c>
      <c r="AX10" s="1423" t="n">
        <f aca="false">IF(ISNUMBER($AR10),SUMIF(AG$7:AG$503,$AR10,M$7:M$503),"")</f>
        <v>0</v>
      </c>
      <c r="AY10" s="2" t="str">
        <f aca="false">IF($AT10&gt;0,VLOOKUP($AR10,'O_MN, PE_UTA_UGM 2024'!E6:O422,2),"")</f>
        <v/>
      </c>
      <c r="AZ10" s="1507"/>
      <c r="BA10" s="1507"/>
      <c r="BB10" s="1507" t="str">
        <f aca="false">IF($AT10&gt;0,VLOOKUP($AR10,'O_MN, PE_UTA_UGM 2024'!$E$3:$O$419,BB$6),"")</f>
        <v/>
      </c>
      <c r="BC10" s="1507" t="str">
        <f aca="false">IF($AT10&gt;0,VLOOKUP($AR10,'O_MN, PE_UTA_UGM 2024'!$E$3:$O$419,BC$6),"")</f>
        <v/>
      </c>
      <c r="BD10" s="1507" t="str">
        <f aca="false">IF($AT10&gt;0,VLOOKUP($AR10,'O_MN, PE_UTA_UGM 2024'!$E$3:$O$419,BD$6),"")</f>
        <v/>
      </c>
      <c r="BE10" s="1507" t="str">
        <f aca="false">IF($AT10&gt;0,VLOOKUP($AR10,'O_MN, PE_UTA_UGM 2024'!$E$3:$O$419,BE$6),"")</f>
        <v/>
      </c>
      <c r="BF10" s="1507" t="str">
        <f aca="false">IF($AT10&gt;0,VLOOKUP($AR10,'O_MN, PE_UTA_UGM 2024'!$E$3:$O$419,BF$6),"")</f>
        <v/>
      </c>
      <c r="BG10" s="1507" t="str">
        <f aca="false">IF($AT10&gt;0,VLOOKUP($AR10,'O_MN, PE_UTA_UGM 2024'!$E$3:$O$419,BG$6),"")</f>
        <v/>
      </c>
      <c r="BH10" s="1504"/>
      <c r="BI10" s="1504"/>
      <c r="BJ10" s="1504"/>
      <c r="BK10" s="1504"/>
      <c r="BM10" s="1411"/>
      <c r="BN10" s="1411"/>
      <c r="BO10" s="1425" t="str">
        <f aca="false">IF(ISNUMBER($AU10*BB10*1),$AU10*BB10*1,"")</f>
        <v/>
      </c>
      <c r="BP10" s="1425" t="str">
        <f aca="false">IF(ISNUMBER($AV10*BC10*1),$AV10*BC10*1,"")</f>
        <v/>
      </c>
      <c r="BQ10" s="1425" t="str">
        <f aca="false">IF(ISNUMBER($AU10*BD10*1),$AU10*BD10*1,"")</f>
        <v/>
      </c>
      <c r="BR10" s="1425" t="str">
        <f aca="false">IF(ISNUMBER($AV10*BE10*1),$AV10*BE10*1,"")</f>
        <v/>
      </c>
      <c r="BS10" s="1411" t="str">
        <f aca="false">IF(ISNUMBER($AU10*BF10),$AU10*BF10,"")</f>
        <v/>
      </c>
      <c r="BT10" s="1411" t="str">
        <f aca="false">IF(ISNUMBER($AV10*BG10),$AV10*BG10,"")</f>
        <v/>
      </c>
      <c r="BU10" s="1411"/>
      <c r="BV10" s="1411"/>
      <c r="BW10" s="1411"/>
      <c r="BX10" s="1411"/>
      <c r="BZ10" s="1372"/>
      <c r="CA10" s="1372"/>
      <c r="CB10" s="1426" t="str">
        <f aca="false">IF(ISNUMBER($AW10*BB10),$AW10*BB10,"")</f>
        <v/>
      </c>
      <c r="CC10" s="1426" t="str">
        <f aca="false">IF(ISNUMBER($AX10*BC10),$AX10*BC10,"")</f>
        <v/>
      </c>
      <c r="CD10" s="1426" t="str">
        <f aca="false">IF(ISNUMBER($AW10*BD10),$AW10*BD10,"")</f>
        <v/>
      </c>
      <c r="CE10" s="1426" t="str">
        <f aca="false">IF(ISNUMBER($AX10*BE10),$AX10*BE10,"")</f>
        <v/>
      </c>
      <c r="CF10" s="1372" t="str">
        <f aca="false">IF(ISNUMBER($AW10*BF10),$AW10*BF10,"")</f>
        <v/>
      </c>
      <c r="CG10" s="1372" t="str">
        <f aca="false">IF(ISNUMBER($AX10*BG10),$AX10*BG10,"")</f>
        <v/>
      </c>
      <c r="CH10" s="1372"/>
      <c r="CI10" s="1372"/>
      <c r="CJ10" s="1372"/>
      <c r="CK10" s="1372"/>
      <c r="CL10" s="1339"/>
      <c r="CM10" s="1339"/>
      <c r="CN10" s="1339"/>
      <c r="CO10" s="1339"/>
      <c r="CP10" s="1339"/>
      <c r="CQ10" s="1339"/>
      <c r="CR10" s="1339"/>
      <c r="CU10" s="1411"/>
      <c r="CV10" s="1411"/>
      <c r="CW10" s="1425"/>
      <c r="CX10" s="1425"/>
      <c r="CY10" s="1425"/>
      <c r="CZ10" s="1425"/>
      <c r="DA10" s="1411"/>
      <c r="DB10" s="1411"/>
      <c r="DC10" s="1411"/>
      <c r="DD10" s="1411"/>
      <c r="DE10" s="1411"/>
      <c r="DF10" s="1411"/>
      <c r="DH10" s="1432"/>
      <c r="DI10" s="1432"/>
      <c r="DJ10" s="1437"/>
      <c r="DK10" s="1437"/>
      <c r="DL10" s="1437"/>
      <c r="DM10" s="1437"/>
      <c r="DN10" s="1432"/>
      <c r="DO10" s="1432"/>
      <c r="DP10" s="1432"/>
      <c r="DQ10" s="1432"/>
      <c r="DR10" s="1432"/>
      <c r="DS10" s="1432"/>
      <c r="DT10" s="1316"/>
      <c r="DU10" s="1433"/>
      <c r="DV10" s="1433"/>
      <c r="DW10" s="1433"/>
      <c r="DX10" s="1433"/>
      <c r="DY10" s="1433"/>
      <c r="DZ10" s="1433"/>
      <c r="EA10" s="1433"/>
      <c r="EB10" s="1433"/>
    </row>
    <row r="11" customFormat="false" ht="14.25" hidden="false" customHeight="false" outlineLevel="0" collapsed="false">
      <c r="A11" s="2" t="n">
        <f aca="false">'V_DATOS PAC_SGA'!CC6</f>
        <v>0</v>
      </c>
      <c r="B11" s="2" t="n">
        <f aca="false">IF(OR(A11=0,A11=""),0,IF(I11="IV",CONCATENATE('V_DATOS PAC_SGA'!CC6,"4")+0,CONCATENATE('V_DATOS PAC_SGA'!CC6,"0")+0))</f>
        <v>0</v>
      </c>
      <c r="C11" s="2" t="n">
        <f aca="false">'V_DATOS PAC_SGA'!CD6</f>
        <v>0</v>
      </c>
      <c r="D11" s="1409" t="n">
        <f aca="false">'V_DATOS PAC_SGA'!Y6</f>
        <v>0</v>
      </c>
      <c r="E11" s="1410" t="str">
        <f aca="false">IF('V_DATOS PAC_SGA'!AV6="","Regadio",'V_DATOS PAC_SGA'!AV6)</f>
        <v>Regadio</v>
      </c>
      <c r="F11" s="1411" t="n">
        <f aca="false">'V_DATOS PAC_SGA'!BK6</f>
        <v>0</v>
      </c>
      <c r="G11" s="1412" t="n">
        <f aca="false">'V_DATOS PAC_SGA'!AN6</f>
        <v>0</v>
      </c>
      <c r="H11" s="1413" t="str">
        <f aca="false">IF(B11&gt;0,VLOOKUP(B11,'O_MN, PE_UTA_UGM 2024'!E$3:O$419,10),"")</f>
        <v/>
      </c>
      <c r="I11" s="1359" t="str">
        <f aca="false">IF('V_DATOS PAC_SGA'!BV6="IV",'V_DATOS PAC_SGA'!BV6,"")</f>
        <v/>
      </c>
      <c r="J11" s="2" t="str">
        <f aca="false">IF($A11&gt;0,IF(AND(J$4=$G11,J$6=$F11),$D11*J$5,""),"")</f>
        <v/>
      </c>
      <c r="K11" s="2" t="str">
        <f aca="false">IF($A11&gt;0,IF(AND(K$4=$G11,K$6=$F11),$D11*K$5,""),"")</f>
        <v/>
      </c>
      <c r="L11" s="2" t="str">
        <f aca="false">IF($A11&gt;0,IF(AND(L$4=$G11,L$6=$F11),$D11*L$5,""),"")</f>
        <v/>
      </c>
      <c r="M11" s="2" t="str">
        <f aca="false">IF($A11&gt;0,IF(AND(M$4=$G11,M$6=$F11),$D11*M$5,""),"")</f>
        <v/>
      </c>
      <c r="N11" s="1506" t="n">
        <f aca="false">VLOOKUP(B11,'O_MN, PE_UTA_UGM 2024'!$E$2:$K$419,IF(G11&gt;1,6,7))</f>
        <v>0</v>
      </c>
      <c r="O11" s="1434" t="str">
        <f aca="false">IF($H11=O$4,$D11*$N11,"")</f>
        <v/>
      </c>
      <c r="P11" s="1435" t="str">
        <f aca="false">IF($H11=P$4,$D11*$N11,"")</f>
        <v/>
      </c>
      <c r="Q11" s="1435" t="str">
        <f aca="false">IF($H11=Q$4,$D11*$N11,"")</f>
        <v/>
      </c>
      <c r="R11" s="1435" t="str">
        <f aca="false">IF($H11=R$4,$D11*$N11,"")</f>
        <v/>
      </c>
      <c r="S11" s="1435" t="str">
        <f aca="false">IF($H11=S$4,$D11*$N11,"")</f>
        <v/>
      </c>
      <c r="T11" s="1435" t="str">
        <f aca="false">IF($H11=T$4,$D11*$N11,"")</f>
        <v/>
      </c>
      <c r="U11" s="1436" t="str">
        <f aca="false">IF($H11=U$4,$D11*$N11,"")</f>
        <v/>
      </c>
      <c r="V11" s="1418"/>
      <c r="W11" s="1419"/>
      <c r="X11" s="1419"/>
      <c r="Y11" s="1419"/>
      <c r="Z11" s="1419"/>
      <c r="AA11" s="1419"/>
      <c r="AB11" s="1420"/>
      <c r="AC11" s="1319"/>
      <c r="AD11" s="2" t="str">
        <f aca="false">IF(AND(AD$4=$G11,AD$6=$F11),$B11,"")</f>
        <v/>
      </c>
      <c r="AE11" s="2" t="str">
        <f aca="false">IF(AND(AE$4=$G11,AE$6=$F11),$B11,"")</f>
        <v/>
      </c>
      <c r="AF11" s="2" t="str">
        <f aca="false">IF(AND(AF$4=$G11,AF$6=$F11),$B11,"")</f>
        <v/>
      </c>
      <c r="AG11" s="2" t="str">
        <f aca="false">IF(AND(AG$4=$G11,AG$6=$F11),$B11,"")</f>
        <v/>
      </c>
      <c r="AI11" s="366"/>
      <c r="AL11" s="367"/>
      <c r="AM11" s="2" t="n">
        <f aca="false">SUM(S7:S505)</f>
        <v>0</v>
      </c>
      <c r="AN11" s="2" t="n">
        <v>5</v>
      </c>
      <c r="AO11" s="367" t="s">
        <v>63</v>
      </c>
      <c r="AP11" s="2" t="str">
        <f aca="false">IF(AT11&gt;0,RANK(AT11,AT$7:AT$423),"")</f>
        <v/>
      </c>
      <c r="AQ11" s="2" t="n">
        <f aca="false">'O_MN, PE_UTA_UGM 2024'!C7</f>
        <v>5</v>
      </c>
      <c r="AR11" s="1421" t="n">
        <v>50</v>
      </c>
      <c r="AS11" s="2" t="str">
        <f aca="false">IF(AY11&lt;&gt;"",AY11,"")</f>
        <v/>
      </c>
      <c r="AT11" s="1422" t="n">
        <f aca="false">IF(ISNUMBER($AR11),SUMIF(B$7:B$505,AR11,D$7:D$505),"")</f>
        <v>0</v>
      </c>
      <c r="AU11" s="1411" t="n">
        <f aca="false">IF(ISNUMBER($AR11),SUMIF(AD$7:AD$503,$AR11,J$7:J$503),"")</f>
        <v>0</v>
      </c>
      <c r="AV11" s="1411" t="n">
        <f aca="false">IF(ISNUMBER($AR11),SUMIF(AF$7:AF$503,$AR11,L$7:L$503),"")</f>
        <v>0</v>
      </c>
      <c r="AW11" s="1423" t="n">
        <f aca="false">IF(ISNUMBER($AR11),SUMIF(AE$7:AE$503,$AR11,K$7:K$503),"")</f>
        <v>0</v>
      </c>
      <c r="AX11" s="1423" t="n">
        <f aca="false">IF(ISNUMBER($AR11),SUMIF(AG$7:AG$503,$AR11,M$7:M$503),"")</f>
        <v>0</v>
      </c>
      <c r="AY11" s="2" t="str">
        <f aca="false">IF($AT11&gt;0,VLOOKUP($AR11,'O_MN, PE_UTA_UGM 2024'!E7:O423,2),"")</f>
        <v/>
      </c>
      <c r="AZ11" s="1507"/>
      <c r="BA11" s="1507"/>
      <c r="BB11" s="1507" t="str">
        <f aca="false">IF($AT11&gt;0,VLOOKUP($AR11,'O_MN, PE_UTA_UGM 2024'!$E$3:$O$419,BB$6),"")</f>
        <v/>
      </c>
      <c r="BC11" s="1507" t="str">
        <f aca="false">IF($AT11&gt;0,VLOOKUP($AR11,'O_MN, PE_UTA_UGM 2024'!$E$3:$O$419,BC$6),"")</f>
        <v/>
      </c>
      <c r="BD11" s="1507" t="str">
        <f aca="false">IF($AT11&gt;0,VLOOKUP($AR11,'O_MN, PE_UTA_UGM 2024'!$E$3:$O$419,BD$6),"")</f>
        <v/>
      </c>
      <c r="BE11" s="1507" t="str">
        <f aca="false">IF($AT11&gt;0,VLOOKUP($AR11,'O_MN, PE_UTA_UGM 2024'!$E$3:$O$419,BE$6),"")</f>
        <v/>
      </c>
      <c r="BF11" s="1507" t="str">
        <f aca="false">IF($AT11&gt;0,VLOOKUP($AR11,'O_MN, PE_UTA_UGM 2024'!$E$3:$O$419,BF$6),"")</f>
        <v/>
      </c>
      <c r="BG11" s="1507" t="str">
        <f aca="false">IF($AT11&gt;0,VLOOKUP($AR11,'O_MN, PE_UTA_UGM 2024'!$E$3:$O$419,BG$6),"")</f>
        <v/>
      </c>
      <c r="BH11" s="1504"/>
      <c r="BI11" s="1504"/>
      <c r="BJ11" s="1504"/>
      <c r="BK11" s="1504"/>
      <c r="BM11" s="1411"/>
      <c r="BN11" s="1411"/>
      <c r="BO11" s="1425" t="str">
        <f aca="false">IF(ISNUMBER($AU11*BB11*1),$AU11*BB11*1,"")</f>
        <v/>
      </c>
      <c r="BP11" s="1425" t="str">
        <f aca="false">IF(ISNUMBER($AV11*BC11*1),$AV11*BC11*1,"")</f>
        <v/>
      </c>
      <c r="BQ11" s="1425" t="str">
        <f aca="false">IF(ISNUMBER($AU11*BD11*1),$AU11*BD11*1,"")</f>
        <v/>
      </c>
      <c r="BR11" s="1425" t="str">
        <f aca="false">IF(ISNUMBER($AV11*BE11*1),$AV11*BE11*1,"")</f>
        <v/>
      </c>
      <c r="BS11" s="1411" t="str">
        <f aca="false">IF(ISNUMBER($AU11*BF11),$AU11*BF11,"")</f>
        <v/>
      </c>
      <c r="BT11" s="1411" t="str">
        <f aca="false">IF(ISNUMBER($AV11*BG11),$AV11*BG11,"")</f>
        <v/>
      </c>
      <c r="BU11" s="1411"/>
      <c r="BV11" s="1411"/>
      <c r="BW11" s="1411"/>
      <c r="BX11" s="1411"/>
      <c r="BZ11" s="1372"/>
      <c r="CA11" s="1372"/>
      <c r="CB11" s="1426" t="str">
        <f aca="false">IF(ISNUMBER($AW11*BB11),$AW11*BB11,"")</f>
        <v/>
      </c>
      <c r="CC11" s="1426" t="str">
        <f aca="false">IF(ISNUMBER($AX11*BC11),$AX11*BC11,"")</f>
        <v/>
      </c>
      <c r="CD11" s="1426" t="str">
        <f aca="false">IF(ISNUMBER($AW11*BD11),$AW11*BD11,"")</f>
        <v/>
      </c>
      <c r="CE11" s="1426" t="str">
        <f aca="false">IF(ISNUMBER($AX11*BE11),$AX11*BE11,"")</f>
        <v/>
      </c>
      <c r="CF11" s="1372" t="str">
        <f aca="false">IF(ISNUMBER($AW11*BF11),$AW11*BF11,"")</f>
        <v/>
      </c>
      <c r="CG11" s="1372" t="str">
        <f aca="false">IF(ISNUMBER($AX11*BG11),$AX11*BG11,"")</f>
        <v/>
      </c>
      <c r="CH11" s="1372"/>
      <c r="CI11" s="1372"/>
      <c r="CJ11" s="1372"/>
      <c r="CK11" s="1372"/>
      <c r="CL11" s="1339"/>
      <c r="CM11" s="1339"/>
      <c r="CN11" s="1339"/>
      <c r="CO11" s="1339"/>
      <c r="CP11" s="1339"/>
      <c r="CQ11" s="1339"/>
      <c r="CR11" s="1339"/>
      <c r="CU11" s="1411"/>
      <c r="CV11" s="1411"/>
      <c r="CW11" s="1425"/>
      <c r="CX11" s="1425"/>
      <c r="CY11" s="1425"/>
      <c r="CZ11" s="1425"/>
      <c r="DA11" s="1411"/>
      <c r="DB11" s="1411"/>
      <c r="DC11" s="1411"/>
      <c r="DD11" s="1411"/>
      <c r="DE11" s="1411"/>
      <c r="DF11" s="1411"/>
      <c r="DH11" s="1432"/>
      <c r="DI11" s="1432"/>
      <c r="DJ11" s="1437"/>
      <c r="DK11" s="1437"/>
      <c r="DL11" s="1437"/>
      <c r="DM11" s="1437"/>
      <c r="DN11" s="1432"/>
      <c r="DO11" s="1432"/>
      <c r="DP11" s="1432"/>
      <c r="DQ11" s="1432"/>
      <c r="DR11" s="1432"/>
      <c r="DS11" s="1432"/>
      <c r="DT11" s="1316"/>
      <c r="DU11" s="1433"/>
      <c r="DV11" s="1433"/>
      <c r="DW11" s="1433"/>
      <c r="DX11" s="1433"/>
      <c r="DY11" s="1433"/>
      <c r="DZ11" s="1433"/>
      <c r="EA11" s="1433"/>
      <c r="EB11" s="1433"/>
    </row>
    <row r="12" customFormat="false" ht="14.25" hidden="false" customHeight="false" outlineLevel="0" collapsed="false">
      <c r="A12" s="2" t="n">
        <f aca="false">'V_DATOS PAC_SGA'!CC7</f>
        <v>0</v>
      </c>
      <c r="B12" s="2" t="n">
        <f aca="false">IF(OR(A12=0,A12=""),0,IF(I12="IV",CONCATENATE('V_DATOS PAC_SGA'!CC7,"4")+0,CONCATENATE('V_DATOS PAC_SGA'!CC7,"0")+0))</f>
        <v>0</v>
      </c>
      <c r="C12" s="2" t="n">
        <f aca="false">'V_DATOS PAC_SGA'!CD7</f>
        <v>0</v>
      </c>
      <c r="D12" s="1409" t="n">
        <f aca="false">'V_DATOS PAC_SGA'!Y7</f>
        <v>0</v>
      </c>
      <c r="E12" s="1410" t="str">
        <f aca="false">IF('V_DATOS PAC_SGA'!AV7="","Regadio",'V_DATOS PAC_SGA'!AV7)</f>
        <v>Regadio</v>
      </c>
      <c r="F12" s="1411" t="n">
        <f aca="false">'V_DATOS PAC_SGA'!BK7</f>
        <v>0</v>
      </c>
      <c r="G12" s="1412" t="n">
        <f aca="false">'V_DATOS PAC_SGA'!AN7</f>
        <v>0</v>
      </c>
      <c r="H12" s="1413" t="str">
        <f aca="false">IF(B12&gt;0,VLOOKUP(B12,'O_MN, PE_UTA_UGM 2024'!E$3:O$419,10),"")</f>
        <v/>
      </c>
      <c r="I12" s="1359" t="str">
        <f aca="false">IF('V_DATOS PAC_SGA'!BV7="IV",'V_DATOS PAC_SGA'!BV7,"")</f>
        <v/>
      </c>
      <c r="J12" s="2" t="str">
        <f aca="false">IF($A12&gt;0,IF(AND(J$4=$G12,J$6=$F12),$D12*J$5,""),"")</f>
        <v/>
      </c>
      <c r="K12" s="2" t="str">
        <f aca="false">IF($A12&gt;0,IF(AND(K$4=$G12,K$6=$F12),$D12*K$5,""),"")</f>
        <v/>
      </c>
      <c r="L12" s="2" t="str">
        <f aca="false">IF($A12&gt;0,IF(AND(L$4=$G12,L$6=$F12),$D12*L$5,""),"")</f>
        <v/>
      </c>
      <c r="M12" s="2" t="str">
        <f aca="false">IF($A12&gt;0,IF(AND(M$4=$G12,M$6=$F12),$D12*M$5,""),"")</f>
        <v/>
      </c>
      <c r="N12" s="1506" t="n">
        <f aca="false">VLOOKUP(B12,'O_MN, PE_UTA_UGM 2024'!$E$2:$K$419,IF(G12&gt;1,6,7))</f>
        <v>0</v>
      </c>
      <c r="O12" s="1434" t="str">
        <f aca="false">IF($H12=O$4,$D12*$N12,"")</f>
        <v/>
      </c>
      <c r="P12" s="1435" t="str">
        <f aca="false">IF($H12=P$4,$D12*$N12,"")</f>
        <v/>
      </c>
      <c r="Q12" s="1435" t="str">
        <f aca="false">IF($H12=Q$4,$D12*$N12,"")</f>
        <v/>
      </c>
      <c r="R12" s="1435" t="str">
        <f aca="false">IF($H12=R$4,$D12*$N12,"")</f>
        <v/>
      </c>
      <c r="S12" s="1435" t="str">
        <f aca="false">IF($H12=S$4,$D12*$N12,"")</f>
        <v/>
      </c>
      <c r="T12" s="1435" t="str">
        <f aca="false">IF($H12=T$4,$D12*$N12,"")</f>
        <v/>
      </c>
      <c r="U12" s="1436" t="str">
        <f aca="false">IF($H12=U$4,$D12*$N12,"")</f>
        <v/>
      </c>
      <c r="V12" s="1418"/>
      <c r="W12" s="1419"/>
      <c r="X12" s="1419"/>
      <c r="Y12" s="1419"/>
      <c r="Z12" s="1419"/>
      <c r="AA12" s="1419"/>
      <c r="AB12" s="1420"/>
      <c r="AC12" s="1319"/>
      <c r="AD12" s="2" t="str">
        <f aca="false">IF(AND(AD$4=$G12,AD$6=$F12),$B12,"")</f>
        <v/>
      </c>
      <c r="AE12" s="2" t="str">
        <f aca="false">IF(AND(AE$4=$G12,AE$6=$F12),$B12,"")</f>
        <v/>
      </c>
      <c r="AF12" s="2" t="str">
        <f aca="false">IF(AND(AF$4=$G12,AF$6=$F12),$B12,"")</f>
        <v/>
      </c>
      <c r="AG12" s="2" t="str">
        <f aca="false">IF(AND(AG$4=$G12,AG$6=$F12),$B12,"")</f>
        <v/>
      </c>
      <c r="AI12" s="366"/>
      <c r="AL12" s="367"/>
      <c r="AM12" s="2" t="n">
        <f aca="false">SUM(T7:T505)</f>
        <v>0</v>
      </c>
      <c r="AN12" s="2" t="n">
        <v>6</v>
      </c>
      <c r="AO12" s="367" t="s">
        <v>813</v>
      </c>
      <c r="AP12" s="2" t="str">
        <f aca="false">IF(AT12&gt;0,RANK(AT12,AT$7:AT$423),"")</f>
        <v/>
      </c>
      <c r="AQ12" s="2" t="n">
        <f aca="false">'O_MN, PE_UTA_UGM 2024'!C8</f>
        <v>6</v>
      </c>
      <c r="AR12" s="1421" t="n">
        <v>60</v>
      </c>
      <c r="AS12" s="2" t="str">
        <f aca="false">IF(AY12&lt;&gt;"",AY12,"")</f>
        <v/>
      </c>
      <c r="AT12" s="1422" t="n">
        <f aca="false">IF(ISNUMBER($AR12),SUMIF(B$7:B$505,AR12,D$7:D$505),"")</f>
        <v>0</v>
      </c>
      <c r="AU12" s="1411" t="n">
        <f aca="false">IF(ISNUMBER($AR12),SUMIF(AD$7:AD$503,$AR12,J$7:J$503),"")</f>
        <v>0</v>
      </c>
      <c r="AV12" s="1411" t="n">
        <f aca="false">IF(ISNUMBER($AR12),SUMIF(AF$7:AF$503,$AR12,L$7:L$503),"")</f>
        <v>0</v>
      </c>
      <c r="AW12" s="1423" t="n">
        <f aca="false">IF(ISNUMBER($AR12),SUMIF(AE$7:AE$503,$AR12,K$7:K$503),"")</f>
        <v>0</v>
      </c>
      <c r="AX12" s="1423" t="n">
        <f aca="false">IF(ISNUMBER($AR12),SUMIF(AG$7:AG$503,$AR12,M$7:M$503),"")</f>
        <v>0</v>
      </c>
      <c r="AY12" s="2" t="str">
        <f aca="false">IF($AT12&gt;0,VLOOKUP($AR12,'O_MN, PE_UTA_UGM 2024'!E8:O424,2),"")</f>
        <v/>
      </c>
      <c r="AZ12" s="1507"/>
      <c r="BA12" s="1507"/>
      <c r="BB12" s="1507" t="str">
        <f aca="false">IF($AT12&gt;0,VLOOKUP($AR12,'O_MN, PE_UTA_UGM 2024'!$E$3:$O$419,BB$6),"")</f>
        <v/>
      </c>
      <c r="BC12" s="1507" t="str">
        <f aca="false">IF($AT12&gt;0,VLOOKUP($AR12,'O_MN, PE_UTA_UGM 2024'!$E$3:$O$419,BC$6),"")</f>
        <v/>
      </c>
      <c r="BD12" s="1507" t="str">
        <f aca="false">IF($AT12&gt;0,VLOOKUP($AR12,'O_MN, PE_UTA_UGM 2024'!$E$3:$O$419,BD$6),"")</f>
        <v/>
      </c>
      <c r="BE12" s="1507" t="str">
        <f aca="false">IF($AT12&gt;0,VLOOKUP($AR12,'O_MN, PE_UTA_UGM 2024'!$E$3:$O$419,BE$6),"")</f>
        <v/>
      </c>
      <c r="BF12" s="1507" t="str">
        <f aca="false">IF($AT12&gt;0,VLOOKUP($AR12,'O_MN, PE_UTA_UGM 2024'!$E$3:$O$419,BF$6),"")</f>
        <v/>
      </c>
      <c r="BG12" s="1507" t="str">
        <f aca="false">IF($AT12&gt;0,VLOOKUP($AR12,'O_MN, PE_UTA_UGM 2024'!$E$3:$O$419,BG$6),"")</f>
        <v/>
      </c>
      <c r="BH12" s="1504"/>
      <c r="BI12" s="1504"/>
      <c r="BJ12" s="1504"/>
      <c r="BK12" s="1504"/>
      <c r="BM12" s="1411"/>
      <c r="BN12" s="1411"/>
      <c r="BO12" s="1425" t="str">
        <f aca="false">IF(ISNUMBER($AU12*BB12*1),$AU12*BB12*1,"")</f>
        <v/>
      </c>
      <c r="BP12" s="1425" t="str">
        <f aca="false">IF(ISNUMBER($AV12*BC12*1),$AV12*BC12*1,"")</f>
        <v/>
      </c>
      <c r="BQ12" s="1425" t="str">
        <f aca="false">IF(ISNUMBER($AU12*BD12*1),$AU12*BD12*1,"")</f>
        <v/>
      </c>
      <c r="BR12" s="1425" t="str">
        <f aca="false">IF(ISNUMBER($AV12*BE12*1),$AV12*BE12*1,"")</f>
        <v/>
      </c>
      <c r="BS12" s="1411" t="str">
        <f aca="false">IF(ISNUMBER($AU12*BF12),$AU12*BF12,"")</f>
        <v/>
      </c>
      <c r="BT12" s="1411" t="str">
        <f aca="false">IF(ISNUMBER($AV12*BG12),$AV12*BG12,"")</f>
        <v/>
      </c>
      <c r="BU12" s="1411"/>
      <c r="BV12" s="1411"/>
      <c r="BW12" s="1411"/>
      <c r="BX12" s="1411"/>
      <c r="BZ12" s="1372"/>
      <c r="CA12" s="1372"/>
      <c r="CB12" s="1426" t="str">
        <f aca="false">IF(ISNUMBER($AW12*BB12),$AW12*BB12,"")</f>
        <v/>
      </c>
      <c r="CC12" s="1426" t="str">
        <f aca="false">IF(ISNUMBER($AX12*BC12),$AX12*BC12,"")</f>
        <v/>
      </c>
      <c r="CD12" s="1426" t="str">
        <f aca="false">IF(ISNUMBER($AW12*BD12),$AW12*BD12,"")</f>
        <v/>
      </c>
      <c r="CE12" s="1426" t="str">
        <f aca="false">IF(ISNUMBER($AX12*BE12),$AX12*BE12,"")</f>
        <v/>
      </c>
      <c r="CF12" s="1372" t="str">
        <f aca="false">IF(ISNUMBER($AW12*BF12),$AW12*BF12,"")</f>
        <v/>
      </c>
      <c r="CG12" s="1372" t="str">
        <f aca="false">IF(ISNUMBER($AX12*BG12),$AX12*BG12,"")</f>
        <v/>
      </c>
      <c r="CH12" s="1372"/>
      <c r="CI12" s="1372"/>
      <c r="CJ12" s="1372"/>
      <c r="CK12" s="1372"/>
      <c r="CL12" s="1339"/>
      <c r="CM12" s="1339"/>
      <c r="CN12" s="1339"/>
      <c r="CO12" s="1339"/>
      <c r="CP12" s="1339"/>
      <c r="CQ12" s="1339"/>
      <c r="CR12" s="1339"/>
      <c r="CU12" s="1411"/>
      <c r="CV12" s="1411"/>
      <c r="CW12" s="1425"/>
      <c r="CX12" s="1425"/>
      <c r="CY12" s="1425"/>
      <c r="CZ12" s="1425"/>
      <c r="DA12" s="1411"/>
      <c r="DB12" s="1411"/>
      <c r="DC12" s="1411"/>
      <c r="DD12" s="1411"/>
      <c r="DE12" s="1411"/>
      <c r="DF12" s="1411"/>
      <c r="DH12" s="1432"/>
      <c r="DI12" s="1432"/>
      <c r="DJ12" s="1437"/>
      <c r="DK12" s="1437"/>
      <c r="DL12" s="1437"/>
      <c r="DM12" s="1437"/>
      <c r="DN12" s="1432"/>
      <c r="DO12" s="1432"/>
      <c r="DP12" s="1432"/>
      <c r="DQ12" s="1432"/>
      <c r="DR12" s="1432"/>
      <c r="DS12" s="1432"/>
      <c r="DT12" s="1316"/>
      <c r="DU12" s="1433"/>
      <c r="DV12" s="1433"/>
      <c r="DW12" s="1433"/>
      <c r="DX12" s="1433"/>
      <c r="DY12" s="1433"/>
      <c r="DZ12" s="1433"/>
      <c r="EA12" s="1433"/>
      <c r="EB12" s="1433"/>
    </row>
    <row r="13" customFormat="false" ht="14.25" hidden="false" customHeight="false" outlineLevel="0" collapsed="false">
      <c r="A13" s="2" t="n">
        <f aca="false">'V_DATOS PAC_SGA'!CC8</f>
        <v>0</v>
      </c>
      <c r="B13" s="2" t="n">
        <f aca="false">IF(OR(A13=0,A13=""),0,IF(I13="IV",CONCATENATE('V_DATOS PAC_SGA'!CC8,"4")+0,CONCATENATE('V_DATOS PAC_SGA'!CC8,"0")+0))</f>
        <v>0</v>
      </c>
      <c r="C13" s="2" t="n">
        <f aca="false">'V_DATOS PAC_SGA'!CD8</f>
        <v>0</v>
      </c>
      <c r="D13" s="1409" t="n">
        <f aca="false">'V_DATOS PAC_SGA'!Y8</f>
        <v>0</v>
      </c>
      <c r="E13" s="1410" t="str">
        <f aca="false">IF('V_DATOS PAC_SGA'!AV8="","Regadio",'V_DATOS PAC_SGA'!AV8)</f>
        <v>Regadio</v>
      </c>
      <c r="F13" s="1411" t="n">
        <f aca="false">'V_DATOS PAC_SGA'!BK8</f>
        <v>0</v>
      </c>
      <c r="G13" s="1412" t="n">
        <f aca="false">'V_DATOS PAC_SGA'!AN8</f>
        <v>0</v>
      </c>
      <c r="H13" s="1413" t="str">
        <f aca="false">IF(B13&gt;0,VLOOKUP(B13,'O_MN, PE_UTA_UGM 2024'!E$3:O$419,10),"")</f>
        <v/>
      </c>
      <c r="I13" s="1359" t="str">
        <f aca="false">IF('V_DATOS PAC_SGA'!BV8="IV",'V_DATOS PAC_SGA'!BV8,"")</f>
        <v/>
      </c>
      <c r="J13" s="2" t="str">
        <f aca="false">IF($A13&gt;0,IF(AND(J$4=$G13,J$6=$F13),$D13*J$5,""),"")</f>
        <v/>
      </c>
      <c r="K13" s="2" t="str">
        <f aca="false">IF($A13&gt;0,IF(AND(K$4=$G13,K$6=$F13),$D13*K$5,""),"")</f>
        <v/>
      </c>
      <c r="L13" s="2" t="str">
        <f aca="false">IF($A13&gt;0,IF(AND(L$4=$G13,L$6=$F13),$D13*L$5,""),"")</f>
        <v/>
      </c>
      <c r="M13" s="2" t="str">
        <f aca="false">IF($A13&gt;0,IF(AND(M$4=$G13,M$6=$F13),$D13*M$5,""),"")</f>
        <v/>
      </c>
      <c r="N13" s="1506" t="n">
        <f aca="false">VLOOKUP(B13,'O_MN, PE_UTA_UGM 2024'!$E$2:$K$419,IF(G13&gt;1,6,7))</f>
        <v>0</v>
      </c>
      <c r="O13" s="1434" t="str">
        <f aca="false">IF($H13=O$4,$D13*$N13,"")</f>
        <v/>
      </c>
      <c r="P13" s="1435" t="str">
        <f aca="false">IF($H13=P$4,$D13*$N13,"")</f>
        <v/>
      </c>
      <c r="Q13" s="1435" t="str">
        <f aca="false">IF($H13=Q$4,$D13*$N13,"")</f>
        <v/>
      </c>
      <c r="R13" s="1435" t="str">
        <f aca="false">IF($H13=R$4,$D13*$N13,"")</f>
        <v/>
      </c>
      <c r="S13" s="1435" t="str">
        <f aca="false">IF($H13=S$4,$D13*$N13,"")</f>
        <v/>
      </c>
      <c r="T13" s="1435" t="str">
        <f aca="false">IF($H13=T$4,$D13*$N13,"")</f>
        <v/>
      </c>
      <c r="U13" s="1436" t="str">
        <f aca="false">IF($H13=U$4,$D13*$N13,"")</f>
        <v/>
      </c>
      <c r="V13" s="1418"/>
      <c r="W13" s="1419"/>
      <c r="X13" s="1419"/>
      <c r="Y13" s="1419"/>
      <c r="Z13" s="1419"/>
      <c r="AA13" s="1419"/>
      <c r="AB13" s="1420"/>
      <c r="AC13" s="1319"/>
      <c r="AD13" s="2" t="str">
        <f aca="false">IF(AND(AD$4=$G13,AD$6=$F13),$B13,"")</f>
        <v/>
      </c>
      <c r="AE13" s="2" t="str">
        <f aca="false">IF(AND(AE$4=$G13,AE$6=$F13),$B13,"")</f>
        <v/>
      </c>
      <c r="AF13" s="2" t="str">
        <f aca="false">IF(AND(AF$4=$G13,AF$6=$F13),$B13,"")</f>
        <v/>
      </c>
      <c r="AG13" s="2" t="str">
        <f aca="false">IF(AND(AG$4=$G13,AG$6=$F13),$B13,"")</f>
        <v/>
      </c>
      <c r="AI13" s="366"/>
      <c r="AL13" s="367"/>
      <c r="AM13" s="2" t="n">
        <f aca="false">SUM(U7:U505)</f>
        <v>0</v>
      </c>
      <c r="AN13" s="2" t="n">
        <v>7</v>
      </c>
      <c r="AO13" s="367" t="s">
        <v>814</v>
      </c>
      <c r="AP13" s="2" t="str">
        <f aca="false">IF(AT13&gt;0,RANK(AT13,AT$7:AT$423),"")</f>
        <v/>
      </c>
      <c r="AQ13" s="2" t="n">
        <f aca="false">'O_MN, PE_UTA_UGM 2024'!C9</f>
        <v>7</v>
      </c>
      <c r="AR13" s="1421" t="n">
        <v>70</v>
      </c>
      <c r="AS13" s="2" t="str">
        <f aca="false">IF(AY13&lt;&gt;"",AY13,"")</f>
        <v/>
      </c>
      <c r="AT13" s="1422" t="n">
        <f aca="false">IF(ISNUMBER($AR13),SUMIF(B$7:B$505,AR13,D$7:D$505),"")</f>
        <v>0</v>
      </c>
      <c r="AU13" s="1411" t="n">
        <f aca="false">IF(ISNUMBER($AR13),SUMIF(AD$7:AD$503,$AR13,J$7:J$503),"")</f>
        <v>0</v>
      </c>
      <c r="AV13" s="1411" t="n">
        <f aca="false">IF(ISNUMBER($AR13),SUMIF(AF$7:AF$503,$AR13,L$7:L$503),"")</f>
        <v>0</v>
      </c>
      <c r="AW13" s="1423" t="n">
        <f aca="false">IF(ISNUMBER($AR13),SUMIF(AE$7:AE$503,$AR13,K$7:K$503),"")</f>
        <v>0</v>
      </c>
      <c r="AX13" s="1423" t="n">
        <f aca="false">IF(ISNUMBER($AR13),SUMIF(AG$7:AG$503,$AR13,M$7:M$503),"")</f>
        <v>0</v>
      </c>
      <c r="AY13" s="2" t="str">
        <f aca="false">IF($AT13&gt;0,VLOOKUP($AR13,'O_MN, PE_UTA_UGM 2024'!E9:O425,2),"")</f>
        <v/>
      </c>
      <c r="AZ13" s="1507"/>
      <c r="BA13" s="1507"/>
      <c r="BB13" s="1507" t="str">
        <f aca="false">IF($AT13&gt;0,VLOOKUP($AR13,'O_MN, PE_UTA_UGM 2024'!$E$3:$O$419,BB$6),"")</f>
        <v/>
      </c>
      <c r="BC13" s="1507" t="str">
        <f aca="false">IF($AT13&gt;0,VLOOKUP($AR13,'O_MN, PE_UTA_UGM 2024'!$E$3:$O$419,BC$6),"")</f>
        <v/>
      </c>
      <c r="BD13" s="1507" t="str">
        <f aca="false">IF($AT13&gt;0,VLOOKUP($AR13,'O_MN, PE_UTA_UGM 2024'!$E$3:$O$419,BD$6),"")</f>
        <v/>
      </c>
      <c r="BE13" s="1507" t="str">
        <f aca="false">IF($AT13&gt;0,VLOOKUP($AR13,'O_MN, PE_UTA_UGM 2024'!$E$3:$O$419,BE$6),"")</f>
        <v/>
      </c>
      <c r="BF13" s="1507" t="str">
        <f aca="false">IF($AT13&gt;0,VLOOKUP($AR13,'O_MN, PE_UTA_UGM 2024'!$E$3:$O$419,BF$6),"")</f>
        <v/>
      </c>
      <c r="BG13" s="1507" t="str">
        <f aca="false">IF($AT13&gt;0,VLOOKUP($AR13,'O_MN, PE_UTA_UGM 2024'!$E$3:$O$419,BG$6),"")</f>
        <v/>
      </c>
      <c r="BH13" s="1504"/>
      <c r="BI13" s="1504"/>
      <c r="BJ13" s="1504"/>
      <c r="BK13" s="1504"/>
      <c r="BM13" s="1411"/>
      <c r="BN13" s="1411"/>
      <c r="BO13" s="1425" t="str">
        <f aca="false">IF(ISNUMBER($AU13*BB13*1),$AU13*BB13*1,"")</f>
        <v/>
      </c>
      <c r="BP13" s="1425" t="str">
        <f aca="false">IF(ISNUMBER($AV13*BC13*1),$AV13*BC13*1,"")</f>
        <v/>
      </c>
      <c r="BQ13" s="1425" t="str">
        <f aca="false">IF(ISNUMBER($AU13*BD13*1),$AU13*BD13*1,"")</f>
        <v/>
      </c>
      <c r="BR13" s="1425" t="str">
        <f aca="false">IF(ISNUMBER($AV13*BE13*1),$AV13*BE13*1,"")</f>
        <v/>
      </c>
      <c r="BS13" s="1411" t="str">
        <f aca="false">IF(ISNUMBER($AU13*BF13),$AU13*BF13,"")</f>
        <v/>
      </c>
      <c r="BT13" s="1411" t="str">
        <f aca="false">IF(ISNUMBER($AV13*BG13),$AV13*BG13,"")</f>
        <v/>
      </c>
      <c r="BU13" s="1411"/>
      <c r="BV13" s="1411"/>
      <c r="BW13" s="1411"/>
      <c r="BX13" s="1411"/>
      <c r="BZ13" s="1372"/>
      <c r="CA13" s="1372"/>
      <c r="CB13" s="1426" t="str">
        <f aca="false">IF(ISNUMBER($AW13*BB13),$AW13*BB13,"")</f>
        <v/>
      </c>
      <c r="CC13" s="1426" t="str">
        <f aca="false">IF(ISNUMBER($AX13*BC13),$AX13*BC13,"")</f>
        <v/>
      </c>
      <c r="CD13" s="1426" t="str">
        <f aca="false">IF(ISNUMBER($AW13*BD13),$AW13*BD13,"")</f>
        <v/>
      </c>
      <c r="CE13" s="1426" t="str">
        <f aca="false">IF(ISNUMBER($AX13*BE13),$AX13*BE13,"")</f>
        <v/>
      </c>
      <c r="CF13" s="1372" t="str">
        <f aca="false">IF(ISNUMBER($AW13*BF13),$AW13*BF13,"")</f>
        <v/>
      </c>
      <c r="CG13" s="1372" t="str">
        <f aca="false">IF(ISNUMBER($AX13*BG13),$AX13*BG13,"")</f>
        <v/>
      </c>
      <c r="CH13" s="1372"/>
      <c r="CI13" s="1372"/>
      <c r="CJ13" s="1372"/>
      <c r="CK13" s="1372"/>
      <c r="CL13" s="1339"/>
      <c r="CM13" s="1339"/>
      <c r="CN13" s="1339"/>
      <c r="CO13" s="1339"/>
      <c r="CP13" s="1339"/>
      <c r="CQ13" s="1339"/>
      <c r="CR13" s="1339"/>
      <c r="CU13" s="1411"/>
      <c r="CV13" s="1411"/>
      <c r="CW13" s="1425"/>
      <c r="CX13" s="1425"/>
      <c r="CY13" s="1425"/>
      <c r="CZ13" s="1425"/>
      <c r="DA13" s="1411"/>
      <c r="DB13" s="1411"/>
      <c r="DC13" s="1411"/>
      <c r="DD13" s="1411"/>
      <c r="DE13" s="1411"/>
      <c r="DF13" s="1411"/>
      <c r="DH13" s="1432"/>
      <c r="DI13" s="1432"/>
      <c r="DJ13" s="1437"/>
      <c r="DK13" s="1437"/>
      <c r="DL13" s="1437"/>
      <c r="DM13" s="1437"/>
      <c r="DN13" s="1432"/>
      <c r="DO13" s="1432"/>
      <c r="DP13" s="1432"/>
      <c r="DQ13" s="1432"/>
      <c r="DR13" s="1432"/>
      <c r="DS13" s="1432"/>
      <c r="DT13" s="1316"/>
      <c r="DU13" s="1433"/>
      <c r="DV13" s="1433"/>
      <c r="DW13" s="1433"/>
      <c r="DX13" s="1433"/>
      <c r="DY13" s="1433"/>
      <c r="DZ13" s="1433"/>
      <c r="EA13" s="1433"/>
      <c r="EB13" s="1433"/>
    </row>
    <row r="14" customFormat="false" ht="14.25" hidden="false" customHeight="false" outlineLevel="0" collapsed="false">
      <c r="A14" s="2" t="n">
        <f aca="false">'V_DATOS PAC_SGA'!CC9</f>
        <v>0</v>
      </c>
      <c r="B14" s="2" t="n">
        <f aca="false">IF(OR(A14=0,A14=""),0,IF(I14="IV",CONCATENATE('V_DATOS PAC_SGA'!CC9,"4")+0,CONCATENATE('V_DATOS PAC_SGA'!CC9,"0")+0))</f>
        <v>0</v>
      </c>
      <c r="C14" s="2" t="n">
        <f aca="false">'V_DATOS PAC_SGA'!CD9</f>
        <v>0</v>
      </c>
      <c r="D14" s="1409" t="n">
        <f aca="false">'V_DATOS PAC_SGA'!Y9</f>
        <v>0</v>
      </c>
      <c r="E14" s="1410" t="str">
        <f aca="false">IF('V_DATOS PAC_SGA'!AV9="","Regadio",'V_DATOS PAC_SGA'!AV9)</f>
        <v>Regadio</v>
      </c>
      <c r="F14" s="1411" t="n">
        <f aca="false">'V_DATOS PAC_SGA'!BK9</f>
        <v>0</v>
      </c>
      <c r="G14" s="1412" t="n">
        <f aca="false">'V_DATOS PAC_SGA'!AN9</f>
        <v>0</v>
      </c>
      <c r="H14" s="1413" t="str">
        <f aca="false">IF(B14&gt;0,VLOOKUP(B14,'O_MN, PE_UTA_UGM 2024'!E$3:O$419,10),"")</f>
        <v/>
      </c>
      <c r="I14" s="1359" t="str">
        <f aca="false">IF('V_DATOS PAC_SGA'!BV9="IV",'V_DATOS PAC_SGA'!BV9,"")</f>
        <v/>
      </c>
      <c r="J14" s="2" t="str">
        <f aca="false">IF($A14&gt;0,IF(AND(J$4=$G14,J$6=$F14),$D14*J$5,""),"")</f>
        <v/>
      </c>
      <c r="K14" s="2" t="str">
        <f aca="false">IF($A14&gt;0,IF(AND(K$4=$G14,K$6=$F14),$D14*K$5,""),"")</f>
        <v/>
      </c>
      <c r="L14" s="2" t="str">
        <f aca="false">IF($A14&gt;0,IF(AND(L$4=$G14,L$6=$F14),$D14*L$5,""),"")</f>
        <v/>
      </c>
      <c r="M14" s="2" t="str">
        <f aca="false">IF($A14&gt;0,IF(AND(M$4=$G14,M$6=$F14),$D14*M$5,""),"")</f>
        <v/>
      </c>
      <c r="N14" s="1506" t="n">
        <f aca="false">VLOOKUP(B14,'O_MN, PE_UTA_UGM 2024'!$E$2:$K$419,IF(G14&gt;1,6,7))</f>
        <v>0</v>
      </c>
      <c r="O14" s="1434" t="str">
        <f aca="false">IF($H14=O$4,$D14*$N14,"")</f>
        <v/>
      </c>
      <c r="P14" s="1435" t="str">
        <f aca="false">IF($H14=P$4,$D14*$N14,"")</f>
        <v/>
      </c>
      <c r="Q14" s="1435" t="str">
        <f aca="false">IF($H14=Q$4,$D14*$N14,"")</f>
        <v/>
      </c>
      <c r="R14" s="1435" t="str">
        <f aca="false">IF($H14=R$4,$D14*$N14,"")</f>
        <v/>
      </c>
      <c r="S14" s="1435" t="str">
        <f aca="false">IF($H14=S$4,$D14*$N14,"")</f>
        <v/>
      </c>
      <c r="T14" s="1435" t="str">
        <f aca="false">IF($H14=T$4,$D14*$N14,"")</f>
        <v/>
      </c>
      <c r="U14" s="1436" t="str">
        <f aca="false">IF($H14=U$4,$D14*$N14,"")</f>
        <v/>
      </c>
      <c r="V14" s="1418"/>
      <c r="W14" s="1419"/>
      <c r="X14" s="1419"/>
      <c r="Y14" s="1419"/>
      <c r="Z14" s="1419"/>
      <c r="AA14" s="1419"/>
      <c r="AB14" s="1420"/>
      <c r="AC14" s="1319"/>
      <c r="AD14" s="2" t="str">
        <f aca="false">IF(AND(AD$4=$G14,AD$6=$F14),$B14,"")</f>
        <v/>
      </c>
      <c r="AE14" s="2" t="str">
        <f aca="false">IF(AND(AE$4=$G14,AE$6=$F14),$B14,"")</f>
        <v/>
      </c>
      <c r="AF14" s="2" t="str">
        <f aca="false">IF(AND(AF$4=$G14,AF$6=$F14),$B14,"")</f>
        <v/>
      </c>
      <c r="AG14" s="2" t="str">
        <f aca="false">IF(AND(AG$4=$G14,AG$6=$F14),$B14,"")</f>
        <v/>
      </c>
      <c r="AI14" s="366"/>
      <c r="AL14" s="367"/>
      <c r="AO14" s="367"/>
      <c r="AP14" s="2" t="str">
        <f aca="false">IF(AT14&gt;0,RANK(AT14,AT$7:AT$423),"")</f>
        <v/>
      </c>
      <c r="AQ14" s="2" t="n">
        <f aca="false">'O_MN, PE_UTA_UGM 2024'!C10</f>
        <v>8</v>
      </c>
      <c r="AR14" s="1421" t="n">
        <v>80</v>
      </c>
      <c r="AS14" s="2" t="str">
        <f aca="false">IF(AY14&lt;&gt;"",AY14,"")</f>
        <v/>
      </c>
      <c r="AT14" s="1422" t="n">
        <f aca="false">IF(ISNUMBER($AR14),SUMIF(B$7:B$505,AR14,D$7:D$505),"")</f>
        <v>0</v>
      </c>
      <c r="AU14" s="1411" t="n">
        <f aca="false">IF(ISNUMBER($AR14),SUMIF(AD$7:AD$503,$AR14,J$7:J$503),"")</f>
        <v>0</v>
      </c>
      <c r="AV14" s="1411" t="n">
        <f aca="false">IF(ISNUMBER($AR14),SUMIF(AF$7:AF$503,$AR14,L$7:L$503),"")</f>
        <v>0</v>
      </c>
      <c r="AW14" s="1423" t="n">
        <f aca="false">IF(ISNUMBER($AR14),SUMIF(AE$7:AE$503,$AR14,K$7:K$503),"")</f>
        <v>0</v>
      </c>
      <c r="AX14" s="1423" t="n">
        <f aca="false">IF(ISNUMBER($AR14),SUMIF(AG$7:AG$503,$AR14,M$7:M$503),"")</f>
        <v>0</v>
      </c>
      <c r="AY14" s="2" t="str">
        <f aca="false">IF($AT14&gt;0,VLOOKUP($AR14,'O_MN, PE_UTA_UGM 2024'!E10:O426,2),"")</f>
        <v/>
      </c>
      <c r="AZ14" s="1507"/>
      <c r="BA14" s="1507"/>
      <c r="BB14" s="1507" t="str">
        <f aca="false">IF($AT14&gt;0,VLOOKUP($AR14,'O_MN, PE_UTA_UGM 2024'!$E$3:$O$419,BB$6),"")</f>
        <v/>
      </c>
      <c r="BC14" s="1507" t="str">
        <f aca="false">IF($AT14&gt;0,VLOOKUP($AR14,'O_MN, PE_UTA_UGM 2024'!$E$3:$O$419,BC$6),"")</f>
        <v/>
      </c>
      <c r="BD14" s="1507" t="str">
        <f aca="false">IF($AT14&gt;0,VLOOKUP($AR14,'O_MN, PE_UTA_UGM 2024'!$E$3:$O$419,BD$6),"")</f>
        <v/>
      </c>
      <c r="BE14" s="1507" t="str">
        <f aca="false">IF($AT14&gt;0,VLOOKUP($AR14,'O_MN, PE_UTA_UGM 2024'!$E$3:$O$419,BE$6),"")</f>
        <v/>
      </c>
      <c r="BF14" s="1507" t="str">
        <f aca="false">IF($AT14&gt;0,VLOOKUP($AR14,'O_MN, PE_UTA_UGM 2024'!$E$3:$O$419,BF$6),"")</f>
        <v/>
      </c>
      <c r="BG14" s="1507" t="str">
        <f aca="false">IF($AT14&gt;0,VLOOKUP($AR14,'O_MN, PE_UTA_UGM 2024'!$E$3:$O$419,BG$6),"")</f>
        <v/>
      </c>
      <c r="BH14" s="1504"/>
      <c r="BI14" s="1504"/>
      <c r="BJ14" s="1504"/>
      <c r="BK14" s="1504"/>
      <c r="BM14" s="1411"/>
      <c r="BN14" s="1411"/>
      <c r="BO14" s="1425" t="str">
        <f aca="false">IF(ISNUMBER($AU14*BB14*1),$AU14*BB14*1,"")</f>
        <v/>
      </c>
      <c r="BP14" s="1425" t="str">
        <f aca="false">IF(ISNUMBER($AV14*BC14*1),$AV14*BC14*1,"")</f>
        <v/>
      </c>
      <c r="BQ14" s="1425" t="str">
        <f aca="false">IF(ISNUMBER($AU14*BD14*1),$AU14*BD14*1,"")</f>
        <v/>
      </c>
      <c r="BR14" s="1425" t="str">
        <f aca="false">IF(ISNUMBER($AV14*BE14*1),$AV14*BE14*1,"")</f>
        <v/>
      </c>
      <c r="BS14" s="1411" t="str">
        <f aca="false">IF(ISNUMBER($AU14*BF14),$AU14*BF14,"")</f>
        <v/>
      </c>
      <c r="BT14" s="1411" t="str">
        <f aca="false">IF(ISNUMBER($AV14*BG14),$AV14*BG14,"")</f>
        <v/>
      </c>
      <c r="BU14" s="1411"/>
      <c r="BV14" s="1411"/>
      <c r="BW14" s="1411"/>
      <c r="BX14" s="1411"/>
      <c r="BZ14" s="1372"/>
      <c r="CA14" s="1372"/>
      <c r="CB14" s="1426" t="str">
        <f aca="false">IF(ISNUMBER($AW14*BB14),$AW14*BB14,"")</f>
        <v/>
      </c>
      <c r="CC14" s="1426" t="str">
        <f aca="false">IF(ISNUMBER($AX14*BC14),$AX14*BC14,"")</f>
        <v/>
      </c>
      <c r="CD14" s="1426" t="str">
        <f aca="false">IF(ISNUMBER($AW14*BD14),$AW14*BD14,"")</f>
        <v/>
      </c>
      <c r="CE14" s="1426" t="str">
        <f aca="false">IF(ISNUMBER($AX14*BE14),$AX14*BE14,"")</f>
        <v/>
      </c>
      <c r="CF14" s="1372" t="str">
        <f aca="false">IF(ISNUMBER($AW14*BF14),$AW14*BF14,"")</f>
        <v/>
      </c>
      <c r="CG14" s="1372" t="str">
        <f aca="false">IF(ISNUMBER($AX14*BG14),$AX14*BG14,"")</f>
        <v/>
      </c>
      <c r="CH14" s="1372"/>
      <c r="CI14" s="1372"/>
      <c r="CJ14" s="1372"/>
      <c r="CK14" s="1372"/>
      <c r="CL14" s="1339"/>
      <c r="CM14" s="1339"/>
      <c r="CN14" s="1339"/>
      <c r="CO14" s="1339"/>
      <c r="CP14" s="1339"/>
      <c r="CQ14" s="1339"/>
      <c r="CR14" s="1339"/>
      <c r="CU14" s="1411"/>
      <c r="CV14" s="1411"/>
      <c r="CW14" s="1425"/>
      <c r="CX14" s="1425"/>
      <c r="CY14" s="1425"/>
      <c r="CZ14" s="1425"/>
      <c r="DA14" s="1411"/>
      <c r="DB14" s="1411"/>
      <c r="DC14" s="1411"/>
      <c r="DD14" s="1411"/>
      <c r="DE14" s="1411"/>
      <c r="DF14" s="1411"/>
      <c r="DH14" s="1432"/>
      <c r="DI14" s="1432"/>
      <c r="DJ14" s="1437"/>
      <c r="DK14" s="1437"/>
      <c r="DL14" s="1437"/>
      <c r="DM14" s="1437"/>
      <c r="DN14" s="1432"/>
      <c r="DO14" s="1432"/>
      <c r="DP14" s="1432"/>
      <c r="DQ14" s="1432"/>
      <c r="DR14" s="1432"/>
      <c r="DS14" s="1432"/>
      <c r="DT14" s="1316"/>
      <c r="DU14" s="1433"/>
      <c r="DV14" s="1433"/>
      <c r="DW14" s="1433"/>
      <c r="DX14" s="1433"/>
      <c r="DY14" s="1433"/>
      <c r="DZ14" s="1433"/>
      <c r="EA14" s="1433"/>
      <c r="EB14" s="1433"/>
    </row>
    <row r="15" customFormat="false" ht="14.25" hidden="false" customHeight="false" outlineLevel="0" collapsed="false">
      <c r="A15" s="2" t="n">
        <f aca="false">'V_DATOS PAC_SGA'!CC10</f>
        <v>0</v>
      </c>
      <c r="B15" s="2" t="n">
        <f aca="false">IF(OR(A15=0,A15=""),0,IF(I15="IV",CONCATENATE('V_DATOS PAC_SGA'!CC10,"4")+0,CONCATENATE('V_DATOS PAC_SGA'!CC10,"0")+0))</f>
        <v>0</v>
      </c>
      <c r="C15" s="2" t="n">
        <f aca="false">'V_DATOS PAC_SGA'!CD10</f>
        <v>0</v>
      </c>
      <c r="D15" s="1409" t="n">
        <f aca="false">'V_DATOS PAC_SGA'!Y10</f>
        <v>0</v>
      </c>
      <c r="E15" s="1410" t="str">
        <f aca="false">IF('V_DATOS PAC_SGA'!AV10="","Regadio",'V_DATOS PAC_SGA'!AV10)</f>
        <v>Regadio</v>
      </c>
      <c r="F15" s="1411" t="n">
        <f aca="false">'V_DATOS PAC_SGA'!BK10</f>
        <v>0</v>
      </c>
      <c r="G15" s="1412" t="n">
        <f aca="false">'V_DATOS PAC_SGA'!AN10</f>
        <v>0</v>
      </c>
      <c r="H15" s="1413" t="str">
        <f aca="false">IF(B15&gt;0,VLOOKUP(B15,'O_MN, PE_UTA_UGM 2024'!E$3:O$419,10),"")</f>
        <v/>
      </c>
      <c r="I15" s="1359" t="str">
        <f aca="false">IF('V_DATOS PAC_SGA'!BV10="IV",'V_DATOS PAC_SGA'!BV10,"")</f>
        <v/>
      </c>
      <c r="J15" s="2" t="str">
        <f aca="false">IF($A15&gt;0,IF(AND(J$4=$G15,J$6=$F15),$D15*J$5,""),"")</f>
        <v/>
      </c>
      <c r="K15" s="2" t="str">
        <f aca="false">IF($A15&gt;0,IF(AND(K$4=$G15,K$6=$F15),$D15*K$5,""),"")</f>
        <v/>
      </c>
      <c r="L15" s="2" t="str">
        <f aca="false">IF($A15&gt;0,IF(AND(L$4=$G15,L$6=$F15),$D15*L$5,""),"")</f>
        <v/>
      </c>
      <c r="M15" s="2" t="str">
        <f aca="false">IF($A15&gt;0,IF(AND(M$4=$G15,M$6=$F15),$D15*M$5,""),"")</f>
        <v/>
      </c>
      <c r="N15" s="1506" t="n">
        <f aca="false">VLOOKUP(B15,'O_MN, PE_UTA_UGM 2024'!$E$2:$K$419,IF(G15&gt;1,6,7))</f>
        <v>0</v>
      </c>
      <c r="O15" s="1434" t="str">
        <f aca="false">IF($H15=O$4,$D15*$N15,"")</f>
        <v/>
      </c>
      <c r="P15" s="1435" t="str">
        <f aca="false">IF($H15=P$4,$D15*$N15,"")</f>
        <v/>
      </c>
      <c r="Q15" s="1435" t="str">
        <f aca="false">IF($H15=Q$4,$D15*$N15,"")</f>
        <v/>
      </c>
      <c r="R15" s="1435" t="str">
        <f aca="false">IF($H15=R$4,$D15*$N15,"")</f>
        <v/>
      </c>
      <c r="S15" s="1435" t="str">
        <f aca="false">IF($H15=S$4,$D15*$N15,"")</f>
        <v/>
      </c>
      <c r="T15" s="1435" t="str">
        <f aca="false">IF($H15=T$4,$D15*$N15,"")</f>
        <v/>
      </c>
      <c r="U15" s="1436" t="str">
        <f aca="false">IF($H15=U$4,$D15*$N15,"")</f>
        <v/>
      </c>
      <c r="V15" s="1418"/>
      <c r="W15" s="1419"/>
      <c r="X15" s="1419"/>
      <c r="Y15" s="1419"/>
      <c r="Z15" s="1419"/>
      <c r="AA15" s="1419"/>
      <c r="AB15" s="1420"/>
      <c r="AC15" s="1319"/>
      <c r="AD15" s="2" t="str">
        <f aca="false">IF(AND(AD$4=$G15,AD$6=$F15),$B15,"")</f>
        <v/>
      </c>
      <c r="AE15" s="2" t="str">
        <f aca="false">IF(AND(AE$4=$G15,AE$6=$F15),$B15,"")</f>
        <v/>
      </c>
      <c r="AF15" s="2" t="str">
        <f aca="false">IF(AND(AF$4=$G15,AF$6=$F15),$B15,"")</f>
        <v/>
      </c>
      <c r="AG15" s="2" t="str">
        <f aca="false">IF(AND(AG$4=$G15,AG$6=$F15),$B15,"")</f>
        <v/>
      </c>
      <c r="AI15" s="366"/>
      <c r="AL15" s="367"/>
      <c r="AO15" s="367"/>
      <c r="AP15" s="2" t="str">
        <f aca="false">IF(AT15&gt;0,RANK(AT15,AT$7:AT$423),"")</f>
        <v/>
      </c>
      <c r="AQ15" s="2" t="n">
        <f aca="false">'O_MN, PE_UTA_UGM 2024'!C11</f>
        <v>9</v>
      </c>
      <c r="AR15" s="1421" t="n">
        <v>90</v>
      </c>
      <c r="AS15" s="2" t="str">
        <f aca="false">IF(AY15&lt;&gt;"",AY15,"")</f>
        <v/>
      </c>
      <c r="AT15" s="1422" t="n">
        <f aca="false">IF(ISNUMBER($AR15),SUMIF(B$7:B$505,AR15,D$7:D$505),"")</f>
        <v>0</v>
      </c>
      <c r="AU15" s="1411" t="n">
        <f aca="false">IF(ISNUMBER($AR15),SUMIF(AD$7:AD$503,$AR15,J$7:J$503),"")</f>
        <v>0</v>
      </c>
      <c r="AV15" s="1411" t="n">
        <f aca="false">IF(ISNUMBER($AR15),SUMIF(AF$7:AF$503,$AR15,L$7:L$503),"")</f>
        <v>0</v>
      </c>
      <c r="AW15" s="1423" t="n">
        <f aca="false">IF(ISNUMBER($AR15),SUMIF(AE$7:AE$503,$AR15,K$7:K$503),"")</f>
        <v>0</v>
      </c>
      <c r="AX15" s="1423" t="n">
        <f aca="false">IF(ISNUMBER($AR15),SUMIF(AG$7:AG$503,$AR15,M$7:M$503),"")</f>
        <v>0</v>
      </c>
      <c r="AY15" s="2" t="str">
        <f aca="false">IF($AT15&gt;0,VLOOKUP($AR15,'O_MN, PE_UTA_UGM 2024'!E11:O427,2),"")</f>
        <v/>
      </c>
      <c r="AZ15" s="1507"/>
      <c r="BA15" s="1507"/>
      <c r="BB15" s="1507" t="str">
        <f aca="false">IF($AT15&gt;0,VLOOKUP($AR15,'O_MN, PE_UTA_UGM 2024'!$E$3:$O$419,BB$6),"")</f>
        <v/>
      </c>
      <c r="BC15" s="1507" t="str">
        <f aca="false">IF($AT15&gt;0,VLOOKUP($AR15,'O_MN, PE_UTA_UGM 2024'!$E$3:$O$419,BC$6),"")</f>
        <v/>
      </c>
      <c r="BD15" s="1507" t="str">
        <f aca="false">IF($AT15&gt;0,VLOOKUP($AR15,'O_MN, PE_UTA_UGM 2024'!$E$3:$O$419,BD$6),"")</f>
        <v/>
      </c>
      <c r="BE15" s="1507" t="str">
        <f aca="false">IF($AT15&gt;0,VLOOKUP($AR15,'O_MN, PE_UTA_UGM 2024'!$E$3:$O$419,BE$6),"")</f>
        <v/>
      </c>
      <c r="BF15" s="1507" t="str">
        <f aca="false">IF($AT15&gt;0,VLOOKUP($AR15,'O_MN, PE_UTA_UGM 2024'!$E$3:$O$419,BF$6),"")</f>
        <v/>
      </c>
      <c r="BG15" s="1507" t="str">
        <f aca="false">IF($AT15&gt;0,VLOOKUP($AR15,'O_MN, PE_UTA_UGM 2024'!$E$3:$O$419,BG$6),"")</f>
        <v/>
      </c>
      <c r="BH15" s="1504"/>
      <c r="BI15" s="1504"/>
      <c r="BJ15" s="1504"/>
      <c r="BK15" s="1504"/>
      <c r="BM15" s="1411"/>
      <c r="BN15" s="1411"/>
      <c r="BO15" s="1425" t="str">
        <f aca="false">IF(ISNUMBER($AU15*BB15*1),$AU15*BB15*1,"")</f>
        <v/>
      </c>
      <c r="BP15" s="1425" t="str">
        <f aca="false">IF(ISNUMBER($AV15*BC15*1),$AV15*BC15*1,"")</f>
        <v/>
      </c>
      <c r="BQ15" s="1425" t="str">
        <f aca="false">IF(ISNUMBER($AU15*BD15*1),$AU15*BD15*1,"")</f>
        <v/>
      </c>
      <c r="BR15" s="1425" t="str">
        <f aca="false">IF(ISNUMBER($AV15*BE15*1),$AV15*BE15*1,"")</f>
        <v/>
      </c>
      <c r="BS15" s="1411" t="str">
        <f aca="false">IF(ISNUMBER($AU15*BF15),$AU15*BF15,"")</f>
        <v/>
      </c>
      <c r="BT15" s="1411" t="str">
        <f aca="false">IF(ISNUMBER($AV15*BG15),$AV15*BG15,"")</f>
        <v/>
      </c>
      <c r="BU15" s="1411"/>
      <c r="BV15" s="1411"/>
      <c r="BW15" s="1411"/>
      <c r="BX15" s="1411"/>
      <c r="BZ15" s="1372"/>
      <c r="CA15" s="1372"/>
      <c r="CB15" s="1426" t="str">
        <f aca="false">IF(ISNUMBER($AW15*BB15),$AW15*BB15,"")</f>
        <v/>
      </c>
      <c r="CC15" s="1426" t="str">
        <f aca="false">IF(ISNUMBER($AX15*BC15),$AX15*BC15,"")</f>
        <v/>
      </c>
      <c r="CD15" s="1426" t="str">
        <f aca="false">IF(ISNUMBER($AW15*BD15),$AW15*BD15,"")</f>
        <v/>
      </c>
      <c r="CE15" s="1426" t="str">
        <f aca="false">IF(ISNUMBER($AX15*BE15),$AX15*BE15,"")</f>
        <v/>
      </c>
      <c r="CF15" s="1372" t="str">
        <f aca="false">IF(ISNUMBER($AW15*BF15),$AW15*BF15,"")</f>
        <v/>
      </c>
      <c r="CG15" s="1372" t="str">
        <f aca="false">IF(ISNUMBER($AX15*BG15),$AX15*BG15,"")</f>
        <v/>
      </c>
      <c r="CH15" s="1372"/>
      <c r="CI15" s="1372"/>
      <c r="CJ15" s="1372"/>
      <c r="CK15" s="1372"/>
      <c r="CL15" s="1339"/>
      <c r="CM15" s="1339"/>
      <c r="CN15" s="1339"/>
      <c r="CO15" s="1339"/>
      <c r="CP15" s="1339"/>
      <c r="CQ15" s="1339"/>
      <c r="CR15" s="1339"/>
      <c r="CU15" s="1411"/>
      <c r="CV15" s="1411"/>
      <c r="CW15" s="1425"/>
      <c r="CX15" s="1425"/>
      <c r="CY15" s="1425"/>
      <c r="CZ15" s="1425"/>
      <c r="DA15" s="1411"/>
      <c r="DB15" s="1411"/>
      <c r="DC15" s="1411"/>
      <c r="DD15" s="1411"/>
      <c r="DE15" s="1411"/>
      <c r="DF15" s="1411"/>
      <c r="DH15" s="1432"/>
      <c r="DI15" s="1432"/>
      <c r="DJ15" s="1437"/>
      <c r="DK15" s="1437"/>
      <c r="DL15" s="1437"/>
      <c r="DM15" s="1437"/>
      <c r="DN15" s="1432"/>
      <c r="DO15" s="1432"/>
      <c r="DP15" s="1432"/>
      <c r="DQ15" s="1432"/>
      <c r="DR15" s="1432"/>
      <c r="DS15" s="1432"/>
      <c r="DT15" s="1316"/>
      <c r="DU15" s="1433"/>
      <c r="DV15" s="1433"/>
      <c r="DW15" s="1433"/>
      <c r="DX15" s="1433"/>
      <c r="DY15" s="1433"/>
      <c r="DZ15" s="1433"/>
      <c r="EA15" s="1433"/>
      <c r="EB15" s="1433"/>
    </row>
    <row r="16" customFormat="false" ht="14.25" hidden="false" customHeight="false" outlineLevel="0" collapsed="false">
      <c r="A16" s="2" t="n">
        <f aca="false">'V_DATOS PAC_SGA'!CC11</f>
        <v>0</v>
      </c>
      <c r="B16" s="2" t="n">
        <f aca="false">IF(OR(A16=0,A16=""),0,IF(I16="IV",CONCATENATE('V_DATOS PAC_SGA'!CC11,"4")+0,CONCATENATE('V_DATOS PAC_SGA'!CC11,"0")+0))</f>
        <v>0</v>
      </c>
      <c r="C16" s="2" t="n">
        <f aca="false">'V_DATOS PAC_SGA'!CD11</f>
        <v>0</v>
      </c>
      <c r="D16" s="1409" t="n">
        <f aca="false">'V_DATOS PAC_SGA'!Y11</f>
        <v>0</v>
      </c>
      <c r="E16" s="1410" t="str">
        <f aca="false">IF('V_DATOS PAC_SGA'!AV11="","Regadio",'V_DATOS PAC_SGA'!AV11)</f>
        <v>Regadio</v>
      </c>
      <c r="F16" s="1411" t="n">
        <f aca="false">'V_DATOS PAC_SGA'!BK11</f>
        <v>0</v>
      </c>
      <c r="G16" s="1412" t="n">
        <f aca="false">'V_DATOS PAC_SGA'!AN11</f>
        <v>0</v>
      </c>
      <c r="H16" s="1413" t="str">
        <f aca="false">IF(B16&gt;0,VLOOKUP(B16,'O_MN, PE_UTA_UGM 2024'!E$3:O$419,10),"")</f>
        <v/>
      </c>
      <c r="I16" s="1359" t="str">
        <f aca="false">IF('V_DATOS PAC_SGA'!BV11="IV",'V_DATOS PAC_SGA'!BV11,"")</f>
        <v/>
      </c>
      <c r="J16" s="2" t="str">
        <f aca="false">IF($A16&gt;0,IF(AND(J$4=$G16,J$6=$F16),$D16*J$5,""),"")</f>
        <v/>
      </c>
      <c r="K16" s="2" t="str">
        <f aca="false">IF($A16&gt;0,IF(AND(K$4=$G16,K$6=$F16),$D16*K$5,""),"")</f>
        <v/>
      </c>
      <c r="L16" s="2" t="str">
        <f aca="false">IF($A16&gt;0,IF(AND(L$4=$G16,L$6=$F16),$D16*L$5,""),"")</f>
        <v/>
      </c>
      <c r="M16" s="2" t="str">
        <f aca="false">IF($A16&gt;0,IF(AND(M$4=$G16,M$6=$F16),$D16*M$5,""),"")</f>
        <v/>
      </c>
      <c r="N16" s="1506" t="n">
        <f aca="false">VLOOKUP(B16,'O_MN, PE_UTA_UGM 2024'!$E$2:$K$419,IF(G16&gt;1,6,7))</f>
        <v>0</v>
      </c>
      <c r="O16" s="1434" t="str">
        <f aca="false">IF($H16=O$4,$D16*$N16,"")</f>
        <v/>
      </c>
      <c r="P16" s="1435" t="str">
        <f aca="false">IF($H16=P$4,$D16*$N16,"")</f>
        <v/>
      </c>
      <c r="Q16" s="1435" t="str">
        <f aca="false">IF($H16=Q$4,$D16*$N16,"")</f>
        <v/>
      </c>
      <c r="R16" s="1435" t="str">
        <f aca="false">IF($H16=R$4,$D16*$N16,"")</f>
        <v/>
      </c>
      <c r="S16" s="1435" t="str">
        <f aca="false">IF($H16=S$4,$D16*$N16,"")</f>
        <v/>
      </c>
      <c r="T16" s="1435" t="str">
        <f aca="false">IF($H16=T$4,$D16*$N16,"")</f>
        <v/>
      </c>
      <c r="U16" s="1436" t="str">
        <f aca="false">IF($H16=U$4,$D16*$N16,"")</f>
        <v/>
      </c>
      <c r="V16" s="1418"/>
      <c r="W16" s="1419"/>
      <c r="X16" s="1419"/>
      <c r="Y16" s="1419"/>
      <c r="Z16" s="1419"/>
      <c r="AA16" s="1419"/>
      <c r="AB16" s="1420"/>
      <c r="AC16" s="1319"/>
      <c r="AD16" s="2" t="str">
        <f aca="false">IF(AND(AD$4=$G16,AD$6=$F16),$B16,"")</f>
        <v/>
      </c>
      <c r="AE16" s="2" t="str">
        <f aca="false">IF(AND(AE$4=$G16,AE$6=$F16),$B16,"")</f>
        <v/>
      </c>
      <c r="AF16" s="2" t="str">
        <f aca="false">IF(AND(AF$4=$G16,AF$6=$F16),$B16,"")</f>
        <v/>
      </c>
      <c r="AG16" s="2" t="str">
        <f aca="false">IF(AND(AG$4=$G16,AG$6=$F16),$B16,"")</f>
        <v/>
      </c>
      <c r="AI16" s="366"/>
      <c r="AL16" s="367"/>
      <c r="AO16" s="367"/>
      <c r="AP16" s="2" t="str">
        <f aca="false">IF(AT16&gt;0,RANK(AT16,AT$7:AT$423),"")</f>
        <v/>
      </c>
      <c r="AQ16" s="2" t="n">
        <f aca="false">'O_MN, PE_UTA_UGM 2024'!C12</f>
        <v>10</v>
      </c>
      <c r="AR16" s="1421" t="n">
        <v>100</v>
      </c>
      <c r="AS16" s="2" t="str">
        <f aca="false">IF(AY16&lt;&gt;"",AY16,"")</f>
        <v/>
      </c>
      <c r="AT16" s="1422" t="n">
        <f aca="false">IF(ISNUMBER($AR16),SUMIF(B$7:B$505,AR16,D$7:D$505),"")</f>
        <v>0</v>
      </c>
      <c r="AU16" s="1411" t="n">
        <f aca="false">IF(ISNUMBER($AR16),SUMIF(AD$7:AD$503,$AR16,J$7:J$503),"")</f>
        <v>0</v>
      </c>
      <c r="AV16" s="1411" t="n">
        <f aca="false">IF(ISNUMBER($AR16),SUMIF(AF$7:AF$503,$AR16,L$7:L$503),"")</f>
        <v>0</v>
      </c>
      <c r="AW16" s="1423" t="n">
        <f aca="false">IF(ISNUMBER($AR16),SUMIF(AE$7:AE$503,$AR16,K$7:K$503),"")</f>
        <v>0</v>
      </c>
      <c r="AX16" s="1423" t="n">
        <f aca="false">IF(ISNUMBER($AR16),SUMIF(AG$7:AG$503,$AR16,M$7:M$503),"")</f>
        <v>0</v>
      </c>
      <c r="AY16" s="2" t="str">
        <f aca="false">IF($AT16&gt;0,VLOOKUP($AR16,'O_MN, PE_UTA_UGM 2024'!E12:O428,2),"")</f>
        <v/>
      </c>
      <c r="AZ16" s="1507"/>
      <c r="BA16" s="1507"/>
      <c r="BB16" s="1507" t="str">
        <f aca="false">IF($AT16&gt;0,VLOOKUP($AR16,'O_MN, PE_UTA_UGM 2024'!$E$3:$O$419,BB$6),"")</f>
        <v/>
      </c>
      <c r="BC16" s="1507" t="str">
        <f aca="false">IF($AT16&gt;0,VLOOKUP($AR16,'O_MN, PE_UTA_UGM 2024'!$E$3:$O$419,BC$6),"")</f>
        <v/>
      </c>
      <c r="BD16" s="1507" t="str">
        <f aca="false">IF($AT16&gt;0,VLOOKUP($AR16,'O_MN, PE_UTA_UGM 2024'!$E$3:$O$419,BD$6),"")</f>
        <v/>
      </c>
      <c r="BE16" s="1507" t="str">
        <f aca="false">IF($AT16&gt;0,VLOOKUP($AR16,'O_MN, PE_UTA_UGM 2024'!$E$3:$O$419,BE$6),"")</f>
        <v/>
      </c>
      <c r="BF16" s="1507" t="str">
        <f aca="false">IF($AT16&gt;0,VLOOKUP($AR16,'O_MN, PE_UTA_UGM 2024'!$E$3:$O$419,BF$6),"")</f>
        <v/>
      </c>
      <c r="BG16" s="1507" t="str">
        <f aca="false">IF($AT16&gt;0,VLOOKUP($AR16,'O_MN, PE_UTA_UGM 2024'!$E$3:$O$419,BG$6),"")</f>
        <v/>
      </c>
      <c r="BH16" s="1504"/>
      <c r="BI16" s="1504"/>
      <c r="BJ16" s="1504"/>
      <c r="BK16" s="1504"/>
      <c r="BM16" s="1411"/>
      <c r="BN16" s="1411"/>
      <c r="BO16" s="1425" t="str">
        <f aca="false">IF(ISNUMBER($AU16*BB16*1),$AU16*BB16*1,"")</f>
        <v/>
      </c>
      <c r="BP16" s="1425" t="str">
        <f aca="false">IF(ISNUMBER($AV16*BC16*1),$AV16*BC16*1,"")</f>
        <v/>
      </c>
      <c r="BQ16" s="1425" t="str">
        <f aca="false">IF(ISNUMBER($AU16*BD16*1),$AU16*BD16*1,"")</f>
        <v/>
      </c>
      <c r="BR16" s="1425" t="str">
        <f aca="false">IF(ISNUMBER($AV16*BE16*1),$AV16*BE16*1,"")</f>
        <v/>
      </c>
      <c r="BS16" s="1411" t="str">
        <f aca="false">IF(ISNUMBER($AU16*BF16),$AU16*BF16,"")</f>
        <v/>
      </c>
      <c r="BT16" s="1411" t="str">
        <f aca="false">IF(ISNUMBER($AV16*BG16),$AV16*BG16,"")</f>
        <v/>
      </c>
      <c r="BU16" s="1411"/>
      <c r="BV16" s="1411"/>
      <c r="BW16" s="1411"/>
      <c r="BX16" s="1411"/>
      <c r="BZ16" s="1372"/>
      <c r="CA16" s="1372"/>
      <c r="CB16" s="1426" t="str">
        <f aca="false">IF(ISNUMBER($AW16*BB16),$AW16*BB16,"")</f>
        <v/>
      </c>
      <c r="CC16" s="1426" t="str">
        <f aca="false">IF(ISNUMBER($AX16*BC16),$AX16*BC16,"")</f>
        <v/>
      </c>
      <c r="CD16" s="1426" t="str">
        <f aca="false">IF(ISNUMBER($AW16*BD16),$AW16*BD16,"")</f>
        <v/>
      </c>
      <c r="CE16" s="1426" t="str">
        <f aca="false">IF(ISNUMBER($AX16*BE16),$AX16*BE16,"")</f>
        <v/>
      </c>
      <c r="CF16" s="1372" t="str">
        <f aca="false">IF(ISNUMBER($AW16*BF16),$AW16*BF16,"")</f>
        <v/>
      </c>
      <c r="CG16" s="1372" t="str">
        <f aca="false">IF(ISNUMBER($AX16*BG16),$AX16*BG16,"")</f>
        <v/>
      </c>
      <c r="CH16" s="1372"/>
      <c r="CI16" s="1372"/>
      <c r="CJ16" s="1372"/>
      <c r="CK16" s="1372"/>
      <c r="CL16" s="1339"/>
      <c r="CM16" s="1339"/>
      <c r="CN16" s="1339"/>
      <c r="CO16" s="1339"/>
      <c r="CP16" s="1339"/>
      <c r="CQ16" s="1339"/>
      <c r="CR16" s="1339"/>
      <c r="CU16" s="1411"/>
      <c r="CV16" s="1411"/>
      <c r="CW16" s="1425"/>
      <c r="CX16" s="1425"/>
      <c r="CY16" s="1425"/>
      <c r="CZ16" s="1425"/>
      <c r="DA16" s="1411"/>
      <c r="DB16" s="1411"/>
      <c r="DC16" s="1411"/>
      <c r="DD16" s="1411"/>
      <c r="DE16" s="1411"/>
      <c r="DF16" s="1411"/>
      <c r="DH16" s="1432"/>
      <c r="DI16" s="1432"/>
      <c r="DJ16" s="1437"/>
      <c r="DK16" s="1437"/>
      <c r="DL16" s="1437"/>
      <c r="DM16" s="1437"/>
      <c r="DN16" s="1432"/>
      <c r="DO16" s="1432"/>
      <c r="DP16" s="1432"/>
      <c r="DQ16" s="1432"/>
      <c r="DR16" s="1432"/>
      <c r="DS16" s="1432"/>
      <c r="DT16" s="1316"/>
      <c r="DU16" s="1433"/>
      <c r="DV16" s="1433"/>
      <c r="DW16" s="1433"/>
      <c r="DX16" s="1433"/>
      <c r="DY16" s="1433"/>
      <c r="DZ16" s="1433"/>
      <c r="EA16" s="1433"/>
      <c r="EB16" s="1433"/>
    </row>
    <row r="17" customFormat="false" ht="14.25" hidden="false" customHeight="false" outlineLevel="0" collapsed="false">
      <c r="A17" s="2" t="n">
        <f aca="false">'V_DATOS PAC_SGA'!CC12</f>
        <v>0</v>
      </c>
      <c r="B17" s="2" t="n">
        <f aca="false">IF(OR(A17=0,A17=""),0,IF(I17="IV",CONCATENATE('V_DATOS PAC_SGA'!CC12,"4")+0,CONCATENATE('V_DATOS PAC_SGA'!CC12,"0")+0))</f>
        <v>0</v>
      </c>
      <c r="C17" s="2" t="n">
        <f aca="false">'V_DATOS PAC_SGA'!CD12</f>
        <v>0</v>
      </c>
      <c r="D17" s="1409" t="n">
        <f aca="false">'V_DATOS PAC_SGA'!Y12</f>
        <v>0</v>
      </c>
      <c r="E17" s="1410" t="str">
        <f aca="false">IF('V_DATOS PAC_SGA'!AV12="","Regadio",'V_DATOS PAC_SGA'!AV12)</f>
        <v>Regadio</v>
      </c>
      <c r="F17" s="1411" t="n">
        <f aca="false">'V_DATOS PAC_SGA'!BK12</f>
        <v>0</v>
      </c>
      <c r="G17" s="1412" t="n">
        <f aca="false">'V_DATOS PAC_SGA'!AN12</f>
        <v>0</v>
      </c>
      <c r="H17" s="1413" t="str">
        <f aca="false">IF(B17&gt;0,VLOOKUP(B17,'O_MN, PE_UTA_UGM 2024'!E$3:O$419,10),"")</f>
        <v/>
      </c>
      <c r="I17" s="1359" t="str">
        <f aca="false">IF('V_DATOS PAC_SGA'!BV12="IV",'V_DATOS PAC_SGA'!BV12,"")</f>
        <v/>
      </c>
      <c r="J17" s="2" t="str">
        <f aca="false">IF($A17&gt;0,IF(AND(J$4=$G17,J$6=$F17),$D17*J$5,""),"")</f>
        <v/>
      </c>
      <c r="K17" s="2" t="str">
        <f aca="false">IF($A17&gt;0,IF(AND(K$4=$G17,K$6=$F17),$D17*K$5,""),"")</f>
        <v/>
      </c>
      <c r="L17" s="2" t="str">
        <f aca="false">IF($A17&gt;0,IF(AND(L$4=$G17,L$6=$F17),$D17*L$5,""),"")</f>
        <v/>
      </c>
      <c r="M17" s="2" t="str">
        <f aca="false">IF($A17&gt;0,IF(AND(M$4=$G17,M$6=$F17),$D17*M$5,""),"")</f>
        <v/>
      </c>
      <c r="N17" s="1506" t="n">
        <f aca="false">VLOOKUP(B17,'O_MN, PE_UTA_UGM 2024'!$E$2:$K$419,IF(G17&gt;1,6,7))</f>
        <v>0</v>
      </c>
      <c r="O17" s="1434" t="str">
        <f aca="false">IF($H17=O$4,$D17*$N17,"")</f>
        <v/>
      </c>
      <c r="P17" s="1435" t="str">
        <f aca="false">IF($H17=P$4,$D17*$N17,"")</f>
        <v/>
      </c>
      <c r="Q17" s="1435" t="str">
        <f aca="false">IF($H17=Q$4,$D17*$N17,"")</f>
        <v/>
      </c>
      <c r="R17" s="1435" t="str">
        <f aca="false">IF($H17=R$4,$D17*$N17,"")</f>
        <v/>
      </c>
      <c r="S17" s="1435" t="str">
        <f aca="false">IF($H17=S$4,$D17*$N17,"")</f>
        <v/>
      </c>
      <c r="T17" s="1435" t="str">
        <f aca="false">IF($H17=T$4,$D17*$N17,"")</f>
        <v/>
      </c>
      <c r="U17" s="1436" t="str">
        <f aca="false">IF($H17=U$4,$D17*$N17,"")</f>
        <v/>
      </c>
      <c r="V17" s="1418"/>
      <c r="W17" s="1419"/>
      <c r="X17" s="1419"/>
      <c r="Y17" s="1419"/>
      <c r="Z17" s="1419"/>
      <c r="AA17" s="1419"/>
      <c r="AB17" s="1420"/>
      <c r="AC17" s="1319"/>
      <c r="AD17" s="2" t="str">
        <f aca="false">IF(AND(AD$4=$G17,AD$6=$F17),$B17,"")</f>
        <v/>
      </c>
      <c r="AE17" s="2" t="str">
        <f aca="false">IF(AND(AE$4=$G17,AE$6=$F17),$B17,"")</f>
        <v/>
      </c>
      <c r="AF17" s="2" t="str">
        <f aca="false">IF(AND(AF$4=$G17,AF$6=$F17),$B17,"")</f>
        <v/>
      </c>
      <c r="AG17" s="2" t="str">
        <f aca="false">IF(AND(AG$4=$G17,AG$6=$F17),$B17,"")</f>
        <v/>
      </c>
      <c r="AI17" s="366"/>
      <c r="AL17" s="367"/>
      <c r="AO17" s="367"/>
      <c r="AP17" s="2" t="str">
        <f aca="false">IF(AT17&gt;0,RANK(AT17,AT$7:AT$423),"")</f>
        <v/>
      </c>
      <c r="AQ17" s="2" t="n">
        <f aca="false">'O_MN, PE_UTA_UGM 2024'!C13</f>
        <v>11</v>
      </c>
      <c r="AR17" s="1421" t="n">
        <v>110</v>
      </c>
      <c r="AS17" s="2" t="str">
        <f aca="false">IF(AY17&lt;&gt;"",AY17,"")</f>
        <v/>
      </c>
      <c r="AT17" s="1422" t="n">
        <f aca="false">IF(ISNUMBER($AR17),SUMIF(B$7:B$505,AR17,D$7:D$505),"")</f>
        <v>0</v>
      </c>
      <c r="AU17" s="1411" t="n">
        <f aca="false">IF(ISNUMBER($AR17),SUMIF(AD$7:AD$503,$AR17,J$7:J$503),"")</f>
        <v>0</v>
      </c>
      <c r="AV17" s="1411" t="n">
        <f aca="false">IF(ISNUMBER($AR17),SUMIF(AF$7:AF$503,$AR17,L$7:L$503),"")</f>
        <v>0</v>
      </c>
      <c r="AW17" s="1423" t="n">
        <f aca="false">IF(ISNUMBER($AR17),SUMIF(AE$7:AE$503,$AR17,K$7:K$503),"")</f>
        <v>0</v>
      </c>
      <c r="AX17" s="1423" t="n">
        <f aca="false">IF(ISNUMBER($AR17),SUMIF(AG$7:AG$503,$AR17,M$7:M$503),"")</f>
        <v>0</v>
      </c>
      <c r="AY17" s="2" t="str">
        <f aca="false">IF($AT17&gt;0,VLOOKUP($AR17,'O_MN, PE_UTA_UGM 2024'!E13:O429,2),"")</f>
        <v/>
      </c>
      <c r="AZ17" s="1507"/>
      <c r="BA17" s="1507"/>
      <c r="BB17" s="1507" t="str">
        <f aca="false">IF($AT17&gt;0,VLOOKUP($AR17,'O_MN, PE_UTA_UGM 2024'!$E$3:$O$419,BB$6),"")</f>
        <v/>
      </c>
      <c r="BC17" s="1507" t="str">
        <f aca="false">IF($AT17&gt;0,VLOOKUP($AR17,'O_MN, PE_UTA_UGM 2024'!$E$3:$O$419,BC$6),"")</f>
        <v/>
      </c>
      <c r="BD17" s="1507" t="str">
        <f aca="false">IF($AT17&gt;0,VLOOKUP($AR17,'O_MN, PE_UTA_UGM 2024'!$E$3:$O$419,BD$6),"")</f>
        <v/>
      </c>
      <c r="BE17" s="1507" t="str">
        <f aca="false">IF($AT17&gt;0,VLOOKUP($AR17,'O_MN, PE_UTA_UGM 2024'!$E$3:$O$419,BE$6),"")</f>
        <v/>
      </c>
      <c r="BF17" s="1507" t="str">
        <f aca="false">IF($AT17&gt;0,VLOOKUP($AR17,'O_MN, PE_UTA_UGM 2024'!$E$3:$O$419,BF$6),"")</f>
        <v/>
      </c>
      <c r="BG17" s="1507" t="str">
        <f aca="false">IF($AT17&gt;0,VLOOKUP($AR17,'O_MN, PE_UTA_UGM 2024'!$E$3:$O$419,BG$6),"")</f>
        <v/>
      </c>
      <c r="BH17" s="1504"/>
      <c r="BI17" s="1504"/>
      <c r="BJ17" s="1504"/>
      <c r="BK17" s="1504"/>
      <c r="BM17" s="1411"/>
      <c r="BN17" s="1411"/>
      <c r="BO17" s="1425" t="str">
        <f aca="false">IF(ISNUMBER($AU17*BB17*1),$AU17*BB17*1,"")</f>
        <v/>
      </c>
      <c r="BP17" s="1425" t="str">
        <f aca="false">IF(ISNUMBER($AV17*BC17*1),$AV17*BC17*1,"")</f>
        <v/>
      </c>
      <c r="BQ17" s="1425" t="str">
        <f aca="false">IF(ISNUMBER($AU17*BD17*1),$AU17*BD17*1,"")</f>
        <v/>
      </c>
      <c r="BR17" s="1425" t="str">
        <f aca="false">IF(ISNUMBER($AV17*BE17*1),$AV17*BE17*1,"")</f>
        <v/>
      </c>
      <c r="BS17" s="1411" t="str">
        <f aca="false">IF(ISNUMBER($AU17*BF17),$AU17*BF17,"")</f>
        <v/>
      </c>
      <c r="BT17" s="1411" t="str">
        <f aca="false">IF(ISNUMBER($AV17*BG17),$AV17*BG17,"")</f>
        <v/>
      </c>
      <c r="BU17" s="1411"/>
      <c r="BV17" s="1411"/>
      <c r="BW17" s="1411"/>
      <c r="BX17" s="1411"/>
      <c r="BZ17" s="1372"/>
      <c r="CA17" s="1372"/>
      <c r="CB17" s="1426" t="str">
        <f aca="false">IF(ISNUMBER($AW17*BB17),$AW17*BB17,"")</f>
        <v/>
      </c>
      <c r="CC17" s="1426" t="str">
        <f aca="false">IF(ISNUMBER($AX17*BC17),$AX17*BC17,"")</f>
        <v/>
      </c>
      <c r="CD17" s="1426" t="str">
        <f aca="false">IF(ISNUMBER($AW17*BD17),$AW17*BD17,"")</f>
        <v/>
      </c>
      <c r="CE17" s="1426" t="str">
        <f aca="false">IF(ISNUMBER($AX17*BE17),$AX17*BE17,"")</f>
        <v/>
      </c>
      <c r="CF17" s="1372" t="str">
        <f aca="false">IF(ISNUMBER($AW17*BF17),$AW17*BF17,"")</f>
        <v/>
      </c>
      <c r="CG17" s="1372" t="str">
        <f aca="false">IF(ISNUMBER($AX17*BG17),$AX17*BG17,"")</f>
        <v/>
      </c>
      <c r="CH17" s="1438"/>
      <c r="CI17" s="1438"/>
      <c r="CJ17" s="1438"/>
      <c r="CK17" s="1438"/>
      <c r="CU17" s="1411"/>
      <c r="CV17" s="1411"/>
      <c r="CW17" s="1425"/>
      <c r="CX17" s="1425"/>
      <c r="CY17" s="1425"/>
      <c r="CZ17" s="1425"/>
      <c r="DA17" s="1411"/>
      <c r="DB17" s="1411"/>
      <c r="DC17" s="1411"/>
      <c r="DD17" s="1411"/>
      <c r="DE17" s="1411"/>
      <c r="DF17" s="1411"/>
      <c r="DH17" s="1432"/>
      <c r="DI17" s="1432"/>
      <c r="DJ17" s="1437"/>
      <c r="DK17" s="1437"/>
      <c r="DL17" s="1437"/>
      <c r="DM17" s="1437"/>
      <c r="DN17" s="1432"/>
      <c r="DO17" s="1432"/>
      <c r="DP17" s="1432"/>
      <c r="DQ17" s="1432"/>
      <c r="DR17" s="1432"/>
      <c r="DS17" s="1432"/>
      <c r="DT17" s="1316"/>
      <c r="DU17" s="1433"/>
      <c r="DV17" s="1433"/>
      <c r="DW17" s="1433"/>
      <c r="DX17" s="1433"/>
      <c r="DY17" s="1433"/>
      <c r="DZ17" s="1433"/>
      <c r="EA17" s="1433"/>
      <c r="EB17" s="1433"/>
    </row>
    <row r="18" customFormat="false" ht="14.25" hidden="false" customHeight="false" outlineLevel="0" collapsed="false">
      <c r="A18" s="2" t="n">
        <f aca="false">'V_DATOS PAC_SGA'!CC13</f>
        <v>0</v>
      </c>
      <c r="B18" s="2" t="n">
        <f aca="false">IF(OR(A18=0,A18=""),0,IF(I18="IV",CONCATENATE('V_DATOS PAC_SGA'!CC13,"4")+0,CONCATENATE('V_DATOS PAC_SGA'!CC13,"0")+0))</f>
        <v>0</v>
      </c>
      <c r="C18" s="2" t="n">
        <f aca="false">'V_DATOS PAC_SGA'!CD13</f>
        <v>0</v>
      </c>
      <c r="D18" s="1409" t="n">
        <f aca="false">'V_DATOS PAC_SGA'!Y13</f>
        <v>0</v>
      </c>
      <c r="E18" s="1410" t="str">
        <f aca="false">IF('V_DATOS PAC_SGA'!AV13="","Regadio",'V_DATOS PAC_SGA'!AV13)</f>
        <v>Regadio</v>
      </c>
      <c r="F18" s="1411" t="n">
        <f aca="false">'V_DATOS PAC_SGA'!BK13</f>
        <v>0</v>
      </c>
      <c r="G18" s="1412" t="n">
        <f aca="false">'V_DATOS PAC_SGA'!AN13</f>
        <v>0</v>
      </c>
      <c r="H18" s="1413" t="str">
        <f aca="false">IF(B18&gt;0,VLOOKUP(B18,'O_MN, PE_UTA_UGM 2024'!E$3:O$419,10),"")</f>
        <v/>
      </c>
      <c r="I18" s="1359" t="str">
        <f aca="false">IF('V_DATOS PAC_SGA'!BV13="IV",'V_DATOS PAC_SGA'!BV13,"")</f>
        <v/>
      </c>
      <c r="J18" s="2" t="str">
        <f aca="false">IF($A18&gt;0,IF(AND(J$4=$G18,J$6=$F18),$D18*J$5,""),"")</f>
        <v/>
      </c>
      <c r="K18" s="2" t="str">
        <f aca="false">IF($A18&gt;0,IF(AND(K$4=$G18,K$6=$F18),$D18*K$5,""),"")</f>
        <v/>
      </c>
      <c r="L18" s="2" t="str">
        <f aca="false">IF($A18&gt;0,IF(AND(L$4=$G18,L$6=$F18),$D18*L$5,""),"")</f>
        <v/>
      </c>
      <c r="M18" s="2" t="str">
        <f aca="false">IF($A18&gt;0,IF(AND(M$4=$G18,M$6=$F18),$D18*M$5,""),"")</f>
        <v/>
      </c>
      <c r="N18" s="1506" t="n">
        <f aca="false">VLOOKUP(B18,'O_MN, PE_UTA_UGM 2024'!$E$2:$K$419,IF(G18&gt;1,6,7))</f>
        <v>0</v>
      </c>
      <c r="O18" s="1434" t="str">
        <f aca="false">IF($H18=O$4,$D18*$N18,"")</f>
        <v/>
      </c>
      <c r="P18" s="1435" t="str">
        <f aca="false">IF($H18=P$4,$D18*$N18,"")</f>
        <v/>
      </c>
      <c r="Q18" s="1435" t="str">
        <f aca="false">IF($H18=Q$4,$D18*$N18,"")</f>
        <v/>
      </c>
      <c r="R18" s="1435" t="str">
        <f aca="false">IF($H18=R$4,$D18*$N18,"")</f>
        <v/>
      </c>
      <c r="S18" s="1435" t="str">
        <f aca="false">IF($H18=S$4,$D18*$N18,"")</f>
        <v/>
      </c>
      <c r="T18" s="1435" t="str">
        <f aca="false">IF($H18=T$4,$D18*$N18,"")</f>
        <v/>
      </c>
      <c r="U18" s="1436" t="str">
        <f aca="false">IF($H18=U$4,$D18*$N18,"")</f>
        <v/>
      </c>
      <c r="V18" s="1418"/>
      <c r="W18" s="1419"/>
      <c r="X18" s="1419"/>
      <c r="Y18" s="1419"/>
      <c r="Z18" s="1419"/>
      <c r="AA18" s="1419"/>
      <c r="AB18" s="1420"/>
      <c r="AC18" s="1319"/>
      <c r="AD18" s="2" t="str">
        <f aca="false">IF(AND(AD$4=$G18,AD$6=$F18),$B18,"")</f>
        <v/>
      </c>
      <c r="AE18" s="2" t="str">
        <f aca="false">IF(AND(AE$4=$G18,AE$6=$F18),$B18,"")</f>
        <v/>
      </c>
      <c r="AF18" s="2" t="str">
        <f aca="false">IF(AND(AF$4=$G18,AF$6=$F18),$B18,"")</f>
        <v/>
      </c>
      <c r="AG18" s="2" t="str">
        <f aca="false">IF(AND(AG$4=$G18,AG$6=$F18),$B18,"")</f>
        <v/>
      </c>
      <c r="AI18" s="366"/>
      <c r="AL18" s="367"/>
      <c r="AO18" s="367"/>
      <c r="AP18" s="2" t="str">
        <f aca="false">IF(AT18&gt;0,RANK(AT18,AT$7:AT$423),"")</f>
        <v/>
      </c>
      <c r="AQ18" s="2" t="n">
        <f aca="false">'O_MN, PE_UTA_UGM 2024'!C14</f>
        <v>12</v>
      </c>
      <c r="AR18" s="1421" t="n">
        <v>120</v>
      </c>
      <c r="AS18" s="2" t="str">
        <f aca="false">IF(AY18&lt;&gt;"",AY18,"")</f>
        <v/>
      </c>
      <c r="AT18" s="1422" t="n">
        <f aca="false">IF(ISNUMBER($AR18),SUMIF(B$7:B$505,AR18,D$7:D$505),"")</f>
        <v>0</v>
      </c>
      <c r="AU18" s="1411" t="n">
        <f aca="false">IF(ISNUMBER($AR18),SUMIF(AD$7:AD$503,$AR18,J$7:J$503),"")</f>
        <v>0</v>
      </c>
      <c r="AV18" s="1411" t="n">
        <f aca="false">IF(ISNUMBER($AR18),SUMIF(AF$7:AF$503,$AR18,L$7:L$503),"")</f>
        <v>0</v>
      </c>
      <c r="AW18" s="1423" t="n">
        <f aca="false">IF(ISNUMBER($AR18),SUMIF(AE$7:AE$503,$AR18,K$7:K$503),"")</f>
        <v>0</v>
      </c>
      <c r="AX18" s="1423" t="n">
        <f aca="false">IF(ISNUMBER($AR18),SUMIF(AG$7:AG$503,$AR18,M$7:M$503),"")</f>
        <v>0</v>
      </c>
      <c r="AY18" s="2" t="str">
        <f aca="false">IF($AT18&gt;0,VLOOKUP($AR18,'O_MN, PE_UTA_UGM 2024'!E14:O430,2),"")</f>
        <v/>
      </c>
      <c r="AZ18" s="1507"/>
      <c r="BA18" s="1507"/>
      <c r="BB18" s="1507" t="str">
        <f aca="false">IF($AT18&gt;0,VLOOKUP($AR18,'O_MN, PE_UTA_UGM 2024'!$E$3:$O$419,BB$6),"")</f>
        <v/>
      </c>
      <c r="BC18" s="1507" t="str">
        <f aca="false">IF($AT18&gt;0,VLOOKUP($AR18,'O_MN, PE_UTA_UGM 2024'!$E$3:$O$419,BC$6),"")</f>
        <v/>
      </c>
      <c r="BD18" s="1507" t="str">
        <f aca="false">IF($AT18&gt;0,VLOOKUP($AR18,'O_MN, PE_UTA_UGM 2024'!$E$3:$O$419,BD$6),"")</f>
        <v/>
      </c>
      <c r="BE18" s="1507" t="str">
        <f aca="false">IF($AT18&gt;0,VLOOKUP($AR18,'O_MN, PE_UTA_UGM 2024'!$E$3:$O$419,BE$6),"")</f>
        <v/>
      </c>
      <c r="BF18" s="1507" t="str">
        <f aca="false">IF($AT18&gt;0,VLOOKUP($AR18,'O_MN, PE_UTA_UGM 2024'!$E$3:$O$419,BF$6),"")</f>
        <v/>
      </c>
      <c r="BG18" s="1507" t="str">
        <f aca="false">IF($AT18&gt;0,VLOOKUP($AR18,'O_MN, PE_UTA_UGM 2024'!$E$3:$O$419,BG$6),"")</f>
        <v/>
      </c>
      <c r="BH18" s="1504"/>
      <c r="BI18" s="1504"/>
      <c r="BJ18" s="1504"/>
      <c r="BK18" s="1504"/>
      <c r="BM18" s="1411"/>
      <c r="BN18" s="1411"/>
      <c r="BO18" s="1425" t="str">
        <f aca="false">IF(ISNUMBER($AU18*BB18*1),$AU18*BB18*1,"")</f>
        <v/>
      </c>
      <c r="BP18" s="1425" t="str">
        <f aca="false">IF(ISNUMBER($AV18*BC18*1),$AV18*BC18*1,"")</f>
        <v/>
      </c>
      <c r="BQ18" s="1425" t="str">
        <f aca="false">IF(ISNUMBER($AU18*BD18*1),$AU18*BD18*1,"")</f>
        <v/>
      </c>
      <c r="BR18" s="1425" t="str">
        <f aca="false">IF(ISNUMBER($AV18*BE18*1),$AV18*BE18*1,"")</f>
        <v/>
      </c>
      <c r="BS18" s="1411" t="str">
        <f aca="false">IF(ISNUMBER($AU18*BF18),$AU18*BF18,"")</f>
        <v/>
      </c>
      <c r="BT18" s="1411" t="str">
        <f aca="false">IF(ISNUMBER($AV18*BG18),$AV18*BG18,"")</f>
        <v/>
      </c>
      <c r="BU18" s="1411"/>
      <c r="BV18" s="1411"/>
      <c r="BW18" s="1411"/>
      <c r="BX18" s="1411"/>
      <c r="BZ18" s="1372"/>
      <c r="CA18" s="1372"/>
      <c r="CB18" s="1426" t="str">
        <f aca="false">IF(ISNUMBER($AW18*BB18),$AW18*BB18,"")</f>
        <v/>
      </c>
      <c r="CC18" s="1426" t="str">
        <f aca="false">IF(ISNUMBER($AX18*BC18),$AX18*BC18,"")</f>
        <v/>
      </c>
      <c r="CD18" s="1426" t="str">
        <f aca="false">IF(ISNUMBER($AW18*BD18),$AW18*BD18,"")</f>
        <v/>
      </c>
      <c r="CE18" s="1426" t="str">
        <f aca="false">IF(ISNUMBER($AX18*BE18),$AX18*BE18,"")</f>
        <v/>
      </c>
      <c r="CF18" s="1372" t="str">
        <f aca="false">IF(ISNUMBER($AW18*BF18),$AW18*BF18,"")</f>
        <v/>
      </c>
      <c r="CG18" s="1372" t="str">
        <f aca="false">IF(ISNUMBER($AX18*BG18),$AX18*BG18,"")</f>
        <v/>
      </c>
      <c r="CH18" s="1438"/>
      <c r="CI18" s="1438"/>
      <c r="CJ18" s="1438"/>
      <c r="CK18" s="1438"/>
      <c r="CU18" s="1411"/>
      <c r="CV18" s="1411"/>
      <c r="CW18" s="1425"/>
      <c r="CX18" s="1425"/>
      <c r="CY18" s="1425"/>
      <c r="CZ18" s="1425"/>
      <c r="DA18" s="1411"/>
      <c r="DB18" s="1411"/>
      <c r="DC18" s="1411"/>
      <c r="DD18" s="1411"/>
      <c r="DE18" s="1411"/>
      <c r="DF18" s="1411"/>
      <c r="DH18" s="1432"/>
      <c r="DI18" s="1432"/>
      <c r="DJ18" s="1437"/>
      <c r="DK18" s="1437"/>
      <c r="DL18" s="1437"/>
      <c r="DM18" s="1437"/>
      <c r="DN18" s="1432"/>
      <c r="DO18" s="1432"/>
      <c r="DP18" s="1432"/>
      <c r="DQ18" s="1432"/>
      <c r="DR18" s="1432"/>
      <c r="DS18" s="1432"/>
      <c r="DT18" s="1316"/>
      <c r="DU18" s="1433"/>
      <c r="DV18" s="1433"/>
      <c r="DW18" s="1433"/>
      <c r="DX18" s="1433"/>
      <c r="DY18" s="1433"/>
      <c r="DZ18" s="1433"/>
      <c r="EA18" s="1433"/>
      <c r="EB18" s="1433"/>
    </row>
    <row r="19" customFormat="false" ht="14.25" hidden="false" customHeight="false" outlineLevel="0" collapsed="false">
      <c r="A19" s="2" t="n">
        <f aca="false">'V_DATOS PAC_SGA'!CC14</f>
        <v>0</v>
      </c>
      <c r="B19" s="2" t="n">
        <f aca="false">IF(OR(A19=0,A19=""),0,IF(I19="IV",CONCATENATE('V_DATOS PAC_SGA'!CC14,"4")+0,CONCATENATE('V_DATOS PAC_SGA'!CC14,"0")+0))</f>
        <v>0</v>
      </c>
      <c r="C19" s="2" t="n">
        <f aca="false">'V_DATOS PAC_SGA'!CD14</f>
        <v>0</v>
      </c>
      <c r="D19" s="1409" t="n">
        <f aca="false">'V_DATOS PAC_SGA'!Y14</f>
        <v>0</v>
      </c>
      <c r="E19" s="1410" t="str">
        <f aca="false">IF('V_DATOS PAC_SGA'!AV14="","Regadio",'V_DATOS PAC_SGA'!AV14)</f>
        <v>Regadio</v>
      </c>
      <c r="F19" s="1411" t="n">
        <f aca="false">'V_DATOS PAC_SGA'!BK14</f>
        <v>0</v>
      </c>
      <c r="G19" s="1412" t="n">
        <f aca="false">'V_DATOS PAC_SGA'!AN14</f>
        <v>0</v>
      </c>
      <c r="H19" s="1413" t="str">
        <f aca="false">IF(B19&gt;0,VLOOKUP(B19,'O_MN, PE_UTA_UGM 2024'!E$3:O$419,10),"")</f>
        <v/>
      </c>
      <c r="I19" s="1359" t="str">
        <f aca="false">IF('V_DATOS PAC_SGA'!BV14="IV",'V_DATOS PAC_SGA'!BV14,"")</f>
        <v/>
      </c>
      <c r="J19" s="2" t="str">
        <f aca="false">IF($A19&gt;0,IF(AND(J$4=$G19,J$6=$F19),$D19*J$5,""),"")</f>
        <v/>
      </c>
      <c r="K19" s="2" t="str">
        <f aca="false">IF($A19&gt;0,IF(AND(K$4=$G19,K$6=$F19),$D19*K$5,""),"")</f>
        <v/>
      </c>
      <c r="L19" s="2" t="str">
        <f aca="false">IF($A19&gt;0,IF(AND(L$4=$G19,L$6=$F19),$D19*L$5,""),"")</f>
        <v/>
      </c>
      <c r="M19" s="2" t="str">
        <f aca="false">IF($A19&gt;0,IF(AND(M$4=$G19,M$6=$F19),$D19*M$5,""),"")</f>
        <v/>
      </c>
      <c r="N19" s="1506" t="n">
        <f aca="false">VLOOKUP(B19,'O_MN, PE_UTA_UGM 2024'!$E$2:$K$419,IF(G19&gt;1,6,7))</f>
        <v>0</v>
      </c>
      <c r="O19" s="1434" t="str">
        <f aca="false">IF($H19=O$4,$D19*$N19,"")</f>
        <v/>
      </c>
      <c r="P19" s="1435" t="str">
        <f aca="false">IF($H19=P$4,$D19*$N19,"")</f>
        <v/>
      </c>
      <c r="Q19" s="1435" t="str">
        <f aca="false">IF($H19=Q$4,$D19*$N19,"")</f>
        <v/>
      </c>
      <c r="R19" s="1435" t="str">
        <f aca="false">IF($H19=R$4,$D19*$N19,"")</f>
        <v/>
      </c>
      <c r="S19" s="1435" t="str">
        <f aca="false">IF($H19=S$4,$D19*$N19,"")</f>
        <v/>
      </c>
      <c r="T19" s="1435" t="str">
        <f aca="false">IF($H19=T$4,$D19*$N19,"")</f>
        <v/>
      </c>
      <c r="U19" s="1436" t="str">
        <f aca="false">IF($H19=U$4,$D19*$N19,"")</f>
        <v/>
      </c>
      <c r="V19" s="1418"/>
      <c r="W19" s="1419"/>
      <c r="X19" s="1419"/>
      <c r="Y19" s="1419"/>
      <c r="Z19" s="1419"/>
      <c r="AA19" s="1419"/>
      <c r="AB19" s="1420"/>
      <c r="AC19" s="1319"/>
      <c r="AD19" s="2" t="str">
        <f aca="false">IF(AND(AD$4=$G19,AD$6=$F19),$B19,"")</f>
        <v/>
      </c>
      <c r="AE19" s="2" t="str">
        <f aca="false">IF(AND(AE$4=$G19,AE$6=$F19),$B19,"")</f>
        <v/>
      </c>
      <c r="AF19" s="2" t="str">
        <f aca="false">IF(AND(AF$4=$G19,AF$6=$F19),$B19,"")</f>
        <v/>
      </c>
      <c r="AG19" s="2" t="str">
        <f aca="false">IF(AND(AG$4=$G19,AG$6=$F19),$B19,"")</f>
        <v/>
      </c>
      <c r="AI19" s="366"/>
      <c r="AL19" s="367"/>
      <c r="AO19" s="367"/>
      <c r="AP19" s="2" t="str">
        <f aca="false">IF(AT19&gt;0,RANK(AT19,AT$7:AT$423),"")</f>
        <v/>
      </c>
      <c r="AQ19" s="2" t="n">
        <f aca="false">'O_MN, PE_UTA_UGM 2024'!C15</f>
        <v>13</v>
      </c>
      <c r="AR19" s="1421" t="n">
        <v>130</v>
      </c>
      <c r="AS19" s="2" t="str">
        <f aca="false">IF(AY19&lt;&gt;"",AY19,"")</f>
        <v/>
      </c>
      <c r="AT19" s="1422" t="n">
        <f aca="false">IF(ISNUMBER($AR19),SUMIF(B$7:B$505,AR19,D$7:D$505),"")</f>
        <v>0</v>
      </c>
      <c r="AU19" s="1411" t="n">
        <f aca="false">IF(ISNUMBER($AR19),SUMIF(AD$7:AD$503,$AR19,J$7:J$503),"")</f>
        <v>0</v>
      </c>
      <c r="AV19" s="1411" t="n">
        <f aca="false">IF(ISNUMBER($AR19),SUMIF(AF$7:AF$503,$AR19,L$7:L$503),"")</f>
        <v>0</v>
      </c>
      <c r="AW19" s="1423" t="n">
        <f aca="false">IF(ISNUMBER($AR19),SUMIF(AE$7:AE$503,$AR19,K$7:K$503),"")</f>
        <v>0</v>
      </c>
      <c r="AX19" s="1423" t="n">
        <f aca="false">IF(ISNUMBER($AR19),SUMIF(AG$7:AG$503,$AR19,M$7:M$503),"")</f>
        <v>0</v>
      </c>
      <c r="AY19" s="2" t="str">
        <f aca="false">IF($AT19&gt;0,VLOOKUP($AR19,'O_MN, PE_UTA_UGM 2024'!E15:O431,2),"")</f>
        <v/>
      </c>
      <c r="AZ19" s="1507"/>
      <c r="BA19" s="1507"/>
      <c r="BB19" s="1507" t="str">
        <f aca="false">IF($AT19&gt;0,VLOOKUP($AR19,'O_MN, PE_UTA_UGM 2024'!$E$3:$O$419,BB$6),"")</f>
        <v/>
      </c>
      <c r="BC19" s="1507" t="str">
        <f aca="false">IF($AT19&gt;0,VLOOKUP($AR19,'O_MN, PE_UTA_UGM 2024'!$E$3:$O$419,BC$6),"")</f>
        <v/>
      </c>
      <c r="BD19" s="1507" t="str">
        <f aca="false">IF($AT19&gt;0,VLOOKUP($AR19,'O_MN, PE_UTA_UGM 2024'!$E$3:$O$419,BD$6),"")</f>
        <v/>
      </c>
      <c r="BE19" s="1507" t="str">
        <f aca="false">IF($AT19&gt;0,VLOOKUP($AR19,'O_MN, PE_UTA_UGM 2024'!$E$3:$O$419,BE$6),"")</f>
        <v/>
      </c>
      <c r="BF19" s="1507" t="str">
        <f aca="false">IF($AT19&gt;0,VLOOKUP($AR19,'O_MN, PE_UTA_UGM 2024'!$E$3:$O$419,BF$6),"")</f>
        <v/>
      </c>
      <c r="BG19" s="1507" t="str">
        <f aca="false">IF($AT19&gt;0,VLOOKUP($AR19,'O_MN, PE_UTA_UGM 2024'!$E$3:$O$419,BG$6),"")</f>
        <v/>
      </c>
      <c r="BH19" s="1504"/>
      <c r="BI19" s="1504"/>
      <c r="BJ19" s="1504"/>
      <c r="BK19" s="1504"/>
      <c r="BM19" s="1411"/>
      <c r="BN19" s="1411"/>
      <c r="BO19" s="1425" t="str">
        <f aca="false">IF(ISNUMBER($AU19*BB19*1),$AU19*BB19*1,"")</f>
        <v/>
      </c>
      <c r="BP19" s="1425" t="str">
        <f aca="false">IF(ISNUMBER($AV19*BC19*1),$AV19*BC19*1,"")</f>
        <v/>
      </c>
      <c r="BQ19" s="1425" t="str">
        <f aca="false">IF(ISNUMBER($AU19*BD19*1),$AU19*BD19*1,"")</f>
        <v/>
      </c>
      <c r="BR19" s="1425" t="str">
        <f aca="false">IF(ISNUMBER($AV19*BE19*1),$AV19*BE19*1,"")</f>
        <v/>
      </c>
      <c r="BS19" s="1411" t="str">
        <f aca="false">IF(ISNUMBER($AU19*BF19),$AU19*BF19,"")</f>
        <v/>
      </c>
      <c r="BT19" s="1411" t="str">
        <f aca="false">IF(ISNUMBER($AV19*BG19),$AV19*BG19,"")</f>
        <v/>
      </c>
      <c r="BU19" s="1411"/>
      <c r="BV19" s="1411"/>
      <c r="BW19" s="1411"/>
      <c r="BX19" s="1411"/>
      <c r="BZ19" s="1372"/>
      <c r="CA19" s="1372"/>
      <c r="CB19" s="1426" t="str">
        <f aca="false">IF(ISNUMBER($AW19*BB19),$AW19*BB19,"")</f>
        <v/>
      </c>
      <c r="CC19" s="1426" t="str">
        <f aca="false">IF(ISNUMBER($AX19*BC19),$AX19*BC19,"")</f>
        <v/>
      </c>
      <c r="CD19" s="1426" t="str">
        <f aca="false">IF(ISNUMBER($AW19*BD19),$AW19*BD19,"")</f>
        <v/>
      </c>
      <c r="CE19" s="1426" t="str">
        <f aca="false">IF(ISNUMBER($AX19*BE19),$AX19*BE19,"")</f>
        <v/>
      </c>
      <c r="CF19" s="1372" t="str">
        <f aca="false">IF(ISNUMBER($AW19*BF19),$AW19*BF19,"")</f>
        <v/>
      </c>
      <c r="CG19" s="1372" t="str">
        <f aca="false">IF(ISNUMBER($AX19*BG19),$AX19*BG19,"")</f>
        <v/>
      </c>
      <c r="CH19" s="1438"/>
      <c r="CI19" s="1438"/>
      <c r="CJ19" s="1438"/>
      <c r="CK19" s="1438"/>
      <c r="CU19" s="1411"/>
      <c r="CV19" s="1411"/>
      <c r="CW19" s="1425"/>
      <c r="CX19" s="1425"/>
      <c r="CY19" s="1425"/>
      <c r="CZ19" s="1425"/>
      <c r="DA19" s="1411"/>
      <c r="DB19" s="1411"/>
      <c r="DC19" s="1411"/>
      <c r="DD19" s="1411"/>
      <c r="DE19" s="1411"/>
      <c r="DF19" s="1411"/>
      <c r="DH19" s="1432"/>
      <c r="DI19" s="1432"/>
      <c r="DJ19" s="1437"/>
      <c r="DK19" s="1437"/>
      <c r="DL19" s="1437"/>
      <c r="DM19" s="1437"/>
      <c r="DN19" s="1432"/>
      <c r="DO19" s="1432"/>
      <c r="DP19" s="1432"/>
      <c r="DQ19" s="1432"/>
      <c r="DR19" s="1432"/>
      <c r="DS19" s="1432"/>
      <c r="DT19" s="1316"/>
      <c r="DU19" s="1433"/>
      <c r="DV19" s="1433"/>
      <c r="DW19" s="1433"/>
      <c r="DX19" s="1433"/>
      <c r="DY19" s="1433"/>
      <c r="DZ19" s="1433"/>
      <c r="EA19" s="1433"/>
      <c r="EB19" s="1433"/>
    </row>
    <row r="20" customFormat="false" ht="14.25" hidden="false" customHeight="false" outlineLevel="0" collapsed="false">
      <c r="A20" s="2" t="n">
        <f aca="false">'V_DATOS PAC_SGA'!CC15</f>
        <v>0</v>
      </c>
      <c r="B20" s="2" t="n">
        <f aca="false">IF(OR(A20=0,A20=""),0,IF(I20="IV",CONCATENATE('V_DATOS PAC_SGA'!CC15,"4")+0,CONCATENATE('V_DATOS PAC_SGA'!CC15,"0")+0))</f>
        <v>0</v>
      </c>
      <c r="C20" s="2" t="n">
        <f aca="false">'V_DATOS PAC_SGA'!CD15</f>
        <v>0</v>
      </c>
      <c r="D20" s="1409" t="n">
        <f aca="false">'V_DATOS PAC_SGA'!Y15</f>
        <v>0</v>
      </c>
      <c r="E20" s="1410" t="str">
        <f aca="false">IF('V_DATOS PAC_SGA'!AV15="","Regadio",'V_DATOS PAC_SGA'!AV15)</f>
        <v>Regadio</v>
      </c>
      <c r="F20" s="1411" t="n">
        <f aca="false">'V_DATOS PAC_SGA'!BK15</f>
        <v>0</v>
      </c>
      <c r="G20" s="1412" t="n">
        <f aca="false">'V_DATOS PAC_SGA'!AN15</f>
        <v>0</v>
      </c>
      <c r="H20" s="1413" t="str">
        <f aca="false">IF(B20&gt;0,VLOOKUP(B20,'O_MN, PE_UTA_UGM 2024'!E$3:O$419,10),"")</f>
        <v/>
      </c>
      <c r="I20" s="1359" t="str">
        <f aca="false">IF('V_DATOS PAC_SGA'!BV15="IV",'V_DATOS PAC_SGA'!BV15,"")</f>
        <v/>
      </c>
      <c r="J20" s="2" t="str">
        <f aca="false">IF($A20&gt;0,IF(AND(J$4=$G20,J$6=$F20),$D20*J$5,""),"")</f>
        <v/>
      </c>
      <c r="K20" s="2" t="str">
        <f aca="false">IF($A20&gt;0,IF(AND(K$4=$G20,K$6=$F20),$D20*K$5,""),"")</f>
        <v/>
      </c>
      <c r="L20" s="2" t="str">
        <f aca="false">IF($A20&gt;0,IF(AND(L$4=$G20,L$6=$F20),$D20*L$5,""),"")</f>
        <v/>
      </c>
      <c r="M20" s="2" t="str">
        <f aca="false">IF($A20&gt;0,IF(AND(M$4=$G20,M$6=$F20),$D20*M$5,""),"")</f>
        <v/>
      </c>
      <c r="N20" s="1506" t="n">
        <f aca="false">VLOOKUP(B20,'O_MN, PE_UTA_UGM 2024'!$E$2:$K$419,IF(G20&gt;1,6,7))</f>
        <v>0</v>
      </c>
      <c r="O20" s="1434" t="str">
        <f aca="false">IF($H20=O$4,$D20*$N20,"")</f>
        <v/>
      </c>
      <c r="P20" s="1435" t="str">
        <f aca="false">IF($H20=P$4,$D20*$N20,"")</f>
        <v/>
      </c>
      <c r="Q20" s="1435" t="str">
        <f aca="false">IF($H20=Q$4,$D20*$N20,"")</f>
        <v/>
      </c>
      <c r="R20" s="1435" t="str">
        <f aca="false">IF($H20=R$4,$D20*$N20,"")</f>
        <v/>
      </c>
      <c r="S20" s="1435" t="str">
        <f aca="false">IF($H20=S$4,$D20*$N20,"")</f>
        <v/>
      </c>
      <c r="T20" s="1435" t="str">
        <f aca="false">IF($H20=T$4,$D20*$N20,"")</f>
        <v/>
      </c>
      <c r="U20" s="1436" t="str">
        <f aca="false">IF($H20=U$4,$D20*$N20,"")</f>
        <v/>
      </c>
      <c r="V20" s="1418"/>
      <c r="W20" s="1419"/>
      <c r="X20" s="1419"/>
      <c r="Y20" s="1419"/>
      <c r="Z20" s="1419"/>
      <c r="AA20" s="1419"/>
      <c r="AB20" s="1420"/>
      <c r="AC20" s="1319"/>
      <c r="AD20" s="2" t="str">
        <f aca="false">IF(AND(AD$4=$G20,AD$6=$F20),$B20,"")</f>
        <v/>
      </c>
      <c r="AE20" s="2" t="str">
        <f aca="false">IF(AND(AE$4=$G20,AE$6=$F20),$B20,"")</f>
        <v/>
      </c>
      <c r="AF20" s="2" t="str">
        <f aca="false">IF(AND(AF$4=$G20,AF$6=$F20),$B20,"")</f>
        <v/>
      </c>
      <c r="AG20" s="2" t="str">
        <f aca="false">IF(AND(AG$4=$G20,AG$6=$F20),$B20,"")</f>
        <v/>
      </c>
      <c r="AI20" s="366"/>
      <c r="AL20" s="367"/>
      <c r="AO20" s="367"/>
      <c r="AP20" s="2" t="str">
        <f aca="false">IF(AT20&gt;0,RANK(AT20,AT$7:AT$423),"")</f>
        <v/>
      </c>
      <c r="AQ20" s="2" t="n">
        <f aca="false">'O_MN, PE_UTA_UGM 2024'!C16</f>
        <v>14</v>
      </c>
      <c r="AR20" s="1421" t="n">
        <v>140</v>
      </c>
      <c r="AS20" s="2" t="str">
        <f aca="false">IF(AY20&lt;&gt;"",AY20,"")</f>
        <v/>
      </c>
      <c r="AT20" s="1422" t="n">
        <f aca="false">IF(ISNUMBER($AR20),SUMIF(B$7:B$505,AR20,D$7:D$505),"")</f>
        <v>0</v>
      </c>
      <c r="AU20" s="1411" t="n">
        <f aca="false">IF(ISNUMBER($AR20),SUMIF(AD$7:AD$503,$AR20,J$7:J$503),"")</f>
        <v>0</v>
      </c>
      <c r="AV20" s="1411" t="n">
        <f aca="false">IF(ISNUMBER($AR20),SUMIF(AF$7:AF$503,$AR20,L$7:L$503),"")</f>
        <v>0</v>
      </c>
      <c r="AW20" s="1423" t="n">
        <f aca="false">IF(ISNUMBER($AR20),SUMIF(AE$7:AE$503,$AR20,K$7:K$503),"")</f>
        <v>0</v>
      </c>
      <c r="AX20" s="1423" t="n">
        <f aca="false">IF(ISNUMBER($AR20),SUMIF(AG$7:AG$503,$AR20,M$7:M$503),"")</f>
        <v>0</v>
      </c>
      <c r="AY20" s="2" t="str">
        <f aca="false">IF($AT20&gt;0,VLOOKUP($AR20,'O_MN, PE_UTA_UGM 2024'!E16:O432,2),"")</f>
        <v/>
      </c>
      <c r="AZ20" s="1507"/>
      <c r="BA20" s="1507"/>
      <c r="BB20" s="1507" t="str">
        <f aca="false">IF($AT20&gt;0,VLOOKUP($AR20,'O_MN, PE_UTA_UGM 2024'!$E$3:$O$419,BB$6),"")</f>
        <v/>
      </c>
      <c r="BC20" s="1507" t="str">
        <f aca="false">IF($AT20&gt;0,VLOOKUP($AR20,'O_MN, PE_UTA_UGM 2024'!$E$3:$O$419,BC$6),"")</f>
        <v/>
      </c>
      <c r="BD20" s="1507" t="str">
        <f aca="false">IF($AT20&gt;0,VLOOKUP($AR20,'O_MN, PE_UTA_UGM 2024'!$E$3:$O$419,BD$6),"")</f>
        <v/>
      </c>
      <c r="BE20" s="1507" t="str">
        <f aca="false">IF($AT20&gt;0,VLOOKUP($AR20,'O_MN, PE_UTA_UGM 2024'!$E$3:$O$419,BE$6),"")</f>
        <v/>
      </c>
      <c r="BF20" s="1507" t="str">
        <f aca="false">IF($AT20&gt;0,VLOOKUP($AR20,'O_MN, PE_UTA_UGM 2024'!$E$3:$O$419,BF$6),"")</f>
        <v/>
      </c>
      <c r="BG20" s="1507" t="str">
        <f aca="false">IF($AT20&gt;0,VLOOKUP($AR20,'O_MN, PE_UTA_UGM 2024'!$E$3:$O$419,BG$6),"")</f>
        <v/>
      </c>
      <c r="BH20" s="1504"/>
      <c r="BI20" s="1504"/>
      <c r="BJ20" s="1504"/>
      <c r="BK20" s="1504"/>
      <c r="BM20" s="1411"/>
      <c r="BN20" s="1411"/>
      <c r="BO20" s="1425" t="str">
        <f aca="false">IF(ISNUMBER($AU20*BB20*1),$AU20*BB20*1,"")</f>
        <v/>
      </c>
      <c r="BP20" s="1425" t="str">
        <f aca="false">IF(ISNUMBER($AV20*BC20*1),$AV20*BC20*1,"")</f>
        <v/>
      </c>
      <c r="BQ20" s="1425" t="str">
        <f aca="false">IF(ISNUMBER($AU20*BD20*1),$AU20*BD20*1,"")</f>
        <v/>
      </c>
      <c r="BR20" s="1425" t="str">
        <f aca="false">IF(ISNUMBER($AV20*BE20*1),$AV20*BE20*1,"")</f>
        <v/>
      </c>
      <c r="BS20" s="1411" t="str">
        <f aca="false">IF(ISNUMBER($AU20*BF20),$AU20*BF20,"")</f>
        <v/>
      </c>
      <c r="BT20" s="1411" t="str">
        <f aca="false">IF(ISNUMBER($AV20*BG20),$AV20*BG20,"")</f>
        <v/>
      </c>
      <c r="BU20" s="1411"/>
      <c r="BV20" s="1411"/>
      <c r="BW20" s="1411"/>
      <c r="BX20" s="1411"/>
      <c r="BZ20" s="1372"/>
      <c r="CA20" s="1372"/>
      <c r="CB20" s="1426" t="str">
        <f aca="false">IF(ISNUMBER($AW20*BB20),$AW20*BB20,"")</f>
        <v/>
      </c>
      <c r="CC20" s="1426" t="str">
        <f aca="false">IF(ISNUMBER($AX20*BC20),$AX20*BC20,"")</f>
        <v/>
      </c>
      <c r="CD20" s="1426" t="str">
        <f aca="false">IF(ISNUMBER($AW20*BD20),$AW20*BD20,"")</f>
        <v/>
      </c>
      <c r="CE20" s="1426" t="str">
        <f aca="false">IF(ISNUMBER($AX20*BE20),$AX20*BE20,"")</f>
        <v/>
      </c>
      <c r="CF20" s="1372" t="str">
        <f aca="false">IF(ISNUMBER($AW20*BF20),$AW20*BF20,"")</f>
        <v/>
      </c>
      <c r="CG20" s="1372" t="str">
        <f aca="false">IF(ISNUMBER($AX20*BG20),$AX20*BG20,"")</f>
        <v/>
      </c>
      <c r="CH20" s="1438"/>
      <c r="CI20" s="1438"/>
      <c r="CJ20" s="1438"/>
      <c r="CK20" s="1438"/>
      <c r="CU20" s="1411"/>
      <c r="CV20" s="1411"/>
      <c r="CW20" s="1425"/>
      <c r="CX20" s="1425"/>
      <c r="CY20" s="1425"/>
      <c r="CZ20" s="1425"/>
      <c r="DA20" s="1411"/>
      <c r="DB20" s="1411"/>
      <c r="DC20" s="1411"/>
      <c r="DD20" s="1411"/>
      <c r="DE20" s="1411"/>
      <c r="DF20" s="1411"/>
      <c r="DH20" s="1432"/>
      <c r="DI20" s="1432"/>
      <c r="DJ20" s="1437"/>
      <c r="DK20" s="1437"/>
      <c r="DL20" s="1437"/>
      <c r="DM20" s="1437"/>
      <c r="DN20" s="1432"/>
      <c r="DO20" s="1432"/>
      <c r="DP20" s="1432"/>
      <c r="DQ20" s="1432"/>
      <c r="DR20" s="1432"/>
      <c r="DS20" s="1432"/>
      <c r="DT20" s="1316"/>
      <c r="DU20" s="1433"/>
      <c r="DV20" s="1433"/>
      <c r="DW20" s="1433"/>
      <c r="DX20" s="1433"/>
      <c r="DY20" s="1433"/>
      <c r="DZ20" s="1433"/>
      <c r="EA20" s="1433"/>
      <c r="EB20" s="1433"/>
    </row>
    <row r="21" customFormat="false" ht="14.25" hidden="false" customHeight="false" outlineLevel="0" collapsed="false">
      <c r="A21" s="2" t="n">
        <f aca="false">'V_DATOS PAC_SGA'!CC16</f>
        <v>0</v>
      </c>
      <c r="B21" s="2" t="n">
        <f aca="false">IF(OR(A21=0,A21=""),0,IF(I21="IV",CONCATENATE('V_DATOS PAC_SGA'!CC16,"4")+0,CONCATENATE('V_DATOS PAC_SGA'!CC16,"0")+0))</f>
        <v>0</v>
      </c>
      <c r="C21" s="2" t="n">
        <f aca="false">'V_DATOS PAC_SGA'!CD16</f>
        <v>0</v>
      </c>
      <c r="D21" s="1409" t="n">
        <f aca="false">'V_DATOS PAC_SGA'!Y16</f>
        <v>0</v>
      </c>
      <c r="E21" s="1410" t="str">
        <f aca="false">IF('V_DATOS PAC_SGA'!AV16="","Regadio",'V_DATOS PAC_SGA'!AV16)</f>
        <v>Regadio</v>
      </c>
      <c r="F21" s="1411" t="n">
        <f aca="false">'V_DATOS PAC_SGA'!BK16</f>
        <v>0</v>
      </c>
      <c r="G21" s="1412" t="n">
        <f aca="false">'V_DATOS PAC_SGA'!AN16</f>
        <v>0</v>
      </c>
      <c r="H21" s="1413" t="str">
        <f aca="false">IF(B21&gt;0,VLOOKUP(B21,'O_MN, PE_UTA_UGM 2024'!E$3:O$419,10),"")</f>
        <v/>
      </c>
      <c r="I21" s="1359" t="str">
        <f aca="false">IF('V_DATOS PAC_SGA'!BV16="IV",'V_DATOS PAC_SGA'!BV16,"")</f>
        <v/>
      </c>
      <c r="J21" s="2" t="str">
        <f aca="false">IF($A21&gt;0,IF(AND(J$4=$G21,J$6=$F21),$D21*J$5,""),"")</f>
        <v/>
      </c>
      <c r="K21" s="2" t="str">
        <f aca="false">IF($A21&gt;0,IF(AND(K$4=$G21,K$6=$F21),$D21*K$5,""),"")</f>
        <v/>
      </c>
      <c r="L21" s="2" t="str">
        <f aca="false">IF($A21&gt;0,IF(AND(L$4=$G21,L$6=$F21),$D21*L$5,""),"")</f>
        <v/>
      </c>
      <c r="M21" s="2" t="str">
        <f aca="false">IF($A21&gt;0,IF(AND(M$4=$G21,M$6=$F21),$D21*M$5,""),"")</f>
        <v/>
      </c>
      <c r="N21" s="1506" t="n">
        <f aca="false">VLOOKUP(B21,'O_MN, PE_UTA_UGM 2024'!$E$2:$K$419,IF(G21&gt;1,6,7))</f>
        <v>0</v>
      </c>
      <c r="O21" s="1434" t="str">
        <f aca="false">IF($H21=O$4,$D21*$N21,"")</f>
        <v/>
      </c>
      <c r="P21" s="1435" t="str">
        <f aca="false">IF($H21=P$4,$D21*$N21,"")</f>
        <v/>
      </c>
      <c r="Q21" s="1435" t="str">
        <f aca="false">IF($H21=Q$4,$D21*$N21,"")</f>
        <v/>
      </c>
      <c r="R21" s="1435" t="str">
        <f aca="false">IF($H21=R$4,$D21*$N21,"")</f>
        <v/>
      </c>
      <c r="S21" s="1435" t="str">
        <f aca="false">IF($H21=S$4,$D21*$N21,"")</f>
        <v/>
      </c>
      <c r="T21" s="1435" t="str">
        <f aca="false">IF($H21=T$4,$D21*$N21,"")</f>
        <v/>
      </c>
      <c r="U21" s="1436" t="str">
        <f aca="false">IF($H21=U$4,$D21*$N21,"")</f>
        <v/>
      </c>
      <c r="V21" s="1418"/>
      <c r="W21" s="1419"/>
      <c r="X21" s="1419"/>
      <c r="Y21" s="1419"/>
      <c r="Z21" s="1419"/>
      <c r="AA21" s="1419"/>
      <c r="AB21" s="1420"/>
      <c r="AC21" s="1319"/>
      <c r="AD21" s="2" t="str">
        <f aca="false">IF(AND(AD$4=$G21,AD$6=$F21),$B21,"")</f>
        <v/>
      </c>
      <c r="AE21" s="2" t="str">
        <f aca="false">IF(AND(AE$4=$G21,AE$6=$F21),$B21,"")</f>
        <v/>
      </c>
      <c r="AF21" s="2" t="str">
        <f aca="false">IF(AND(AF$4=$G21,AF$6=$F21),$B21,"")</f>
        <v/>
      </c>
      <c r="AG21" s="2" t="str">
        <f aca="false">IF(AND(AG$4=$G21,AG$6=$F21),$B21,"")</f>
        <v/>
      </c>
      <c r="AI21" s="366"/>
      <c r="AL21" s="367"/>
      <c r="AO21" s="367"/>
      <c r="AP21" s="2" t="str">
        <f aca="false">IF(AT21&gt;0,RANK(AT21,AT$7:AT$423),"")</f>
        <v/>
      </c>
      <c r="AQ21" s="2" t="n">
        <f aca="false">'O_MN, PE_UTA_UGM 2024'!C17</f>
        <v>19</v>
      </c>
      <c r="AR21" s="1421" t="n">
        <v>190</v>
      </c>
      <c r="AS21" s="2" t="str">
        <f aca="false">IF(AY21&lt;&gt;"",AY21,"")</f>
        <v/>
      </c>
      <c r="AT21" s="1422" t="n">
        <f aca="false">IF(ISNUMBER($AR21),SUMIF(B$7:B$505,AR21,D$7:D$505),"")</f>
        <v>0</v>
      </c>
      <c r="AU21" s="1411" t="n">
        <f aca="false">IF(ISNUMBER($AR21),SUMIF(AD$7:AD$503,$AR21,J$7:J$503),"")</f>
        <v>0</v>
      </c>
      <c r="AV21" s="1411" t="n">
        <f aca="false">IF(ISNUMBER($AR21),SUMIF(AF$7:AF$503,$AR21,L$7:L$503),"")</f>
        <v>0</v>
      </c>
      <c r="AW21" s="1423" t="n">
        <f aca="false">IF(ISNUMBER($AR21),SUMIF(AE$7:AE$503,$AR21,K$7:K$503),"")</f>
        <v>0</v>
      </c>
      <c r="AX21" s="1423" t="n">
        <f aca="false">IF(ISNUMBER($AR21),SUMIF(AG$7:AG$503,$AR21,M$7:M$503),"")</f>
        <v>0</v>
      </c>
      <c r="AY21" s="2" t="str">
        <f aca="false">IF($AT21&gt;0,VLOOKUP($AR21,'O_MN, PE_UTA_UGM 2024'!E17:O433,2),"")</f>
        <v/>
      </c>
      <c r="AZ21" s="1507"/>
      <c r="BA21" s="1507"/>
      <c r="BB21" s="1507" t="str">
        <f aca="false">IF($AT21&gt;0,VLOOKUP($AR21,'O_MN, PE_UTA_UGM 2024'!$E$3:$O$419,BB$6),"")</f>
        <v/>
      </c>
      <c r="BC21" s="1507" t="str">
        <f aca="false">IF($AT21&gt;0,VLOOKUP($AR21,'O_MN, PE_UTA_UGM 2024'!$E$3:$O$419,BC$6),"")</f>
        <v/>
      </c>
      <c r="BD21" s="1507" t="str">
        <f aca="false">IF($AT21&gt;0,VLOOKUP($AR21,'O_MN, PE_UTA_UGM 2024'!$E$3:$O$419,BD$6),"")</f>
        <v/>
      </c>
      <c r="BE21" s="1507" t="str">
        <f aca="false">IF($AT21&gt;0,VLOOKUP($AR21,'O_MN, PE_UTA_UGM 2024'!$E$3:$O$419,BE$6),"")</f>
        <v/>
      </c>
      <c r="BF21" s="1507" t="str">
        <f aca="false">IF($AT21&gt;0,VLOOKUP($AR21,'O_MN, PE_UTA_UGM 2024'!$E$3:$O$419,BF$6),"")</f>
        <v/>
      </c>
      <c r="BG21" s="1507" t="str">
        <f aca="false">IF($AT21&gt;0,VLOOKUP($AR21,'O_MN, PE_UTA_UGM 2024'!$E$3:$O$419,BG$6),"")</f>
        <v/>
      </c>
      <c r="BH21" s="1504"/>
      <c r="BI21" s="1504"/>
      <c r="BJ21" s="1504"/>
      <c r="BK21" s="1504"/>
      <c r="BM21" s="1411"/>
      <c r="BN21" s="1411"/>
      <c r="BO21" s="1425" t="str">
        <f aca="false">IF(ISNUMBER($AU21*BB21*1),$AU21*BB21*1,"")</f>
        <v/>
      </c>
      <c r="BP21" s="1425" t="str">
        <f aca="false">IF(ISNUMBER($AV21*BC21*1),$AV21*BC21*1,"")</f>
        <v/>
      </c>
      <c r="BQ21" s="1425" t="str">
        <f aca="false">IF(ISNUMBER($AU21*BD21*1),$AU21*BD21*1,"")</f>
        <v/>
      </c>
      <c r="BR21" s="1425" t="str">
        <f aca="false">IF(ISNUMBER($AV21*BE21*1),$AV21*BE21*1,"")</f>
        <v/>
      </c>
      <c r="BS21" s="1411" t="str">
        <f aca="false">IF(ISNUMBER($AU21*BF21),$AU21*BF21,"")</f>
        <v/>
      </c>
      <c r="BT21" s="1411" t="str">
        <f aca="false">IF(ISNUMBER($AV21*BG21),$AV21*BG21,"")</f>
        <v/>
      </c>
      <c r="BU21" s="1411"/>
      <c r="BV21" s="1411"/>
      <c r="BW21" s="1411"/>
      <c r="BX21" s="1411"/>
      <c r="BZ21" s="1372"/>
      <c r="CA21" s="1372"/>
      <c r="CB21" s="1426" t="str">
        <f aca="false">IF(ISNUMBER($AW21*BB21),$AW21*BB21,"")</f>
        <v/>
      </c>
      <c r="CC21" s="1426" t="str">
        <f aca="false">IF(ISNUMBER($AX21*BC21),$AX21*BC21,"")</f>
        <v/>
      </c>
      <c r="CD21" s="1426" t="str">
        <f aca="false">IF(ISNUMBER($AW21*BD21),$AW21*BD21,"")</f>
        <v/>
      </c>
      <c r="CE21" s="1426" t="str">
        <f aca="false">IF(ISNUMBER($AX21*BE21),$AX21*BE21,"")</f>
        <v/>
      </c>
      <c r="CF21" s="1372" t="str">
        <f aca="false">IF(ISNUMBER($AW21*BF21),$AW21*BF21,"")</f>
        <v/>
      </c>
      <c r="CG21" s="1372" t="str">
        <f aca="false">IF(ISNUMBER($AX21*BG21),$AX21*BG21,"")</f>
        <v/>
      </c>
      <c r="CH21" s="1438"/>
      <c r="CI21" s="1438"/>
      <c r="CJ21" s="1438"/>
      <c r="CK21" s="1438"/>
      <c r="CU21" s="1411"/>
      <c r="CV21" s="1411"/>
      <c r="CW21" s="1425"/>
      <c r="CX21" s="1425"/>
      <c r="CY21" s="1425"/>
      <c r="CZ21" s="1425"/>
      <c r="DA21" s="1411"/>
      <c r="DB21" s="1411"/>
      <c r="DC21" s="1411"/>
      <c r="DD21" s="1411"/>
      <c r="DE21" s="1411"/>
      <c r="DF21" s="1411"/>
      <c r="DH21" s="1432"/>
      <c r="DI21" s="1432"/>
      <c r="DJ21" s="1437"/>
      <c r="DK21" s="1437"/>
      <c r="DL21" s="1437"/>
      <c r="DM21" s="1437"/>
      <c r="DN21" s="1432"/>
      <c r="DO21" s="1432"/>
      <c r="DP21" s="1432"/>
      <c r="DQ21" s="1432"/>
      <c r="DR21" s="1432"/>
      <c r="DS21" s="1432"/>
      <c r="DT21" s="1316"/>
      <c r="DU21" s="1433"/>
      <c r="DV21" s="1433"/>
      <c r="DW21" s="1433"/>
      <c r="DX21" s="1433"/>
      <c r="DY21" s="1433"/>
      <c r="DZ21" s="1433"/>
      <c r="EA21" s="1433"/>
      <c r="EB21" s="1433"/>
    </row>
    <row r="22" customFormat="false" ht="14.25" hidden="false" customHeight="false" outlineLevel="0" collapsed="false">
      <c r="A22" s="2" t="n">
        <f aca="false">'V_DATOS PAC_SGA'!CC17</f>
        <v>0</v>
      </c>
      <c r="B22" s="2" t="n">
        <f aca="false">IF(OR(A22=0,A22=""),0,IF(I22="IV",CONCATENATE('V_DATOS PAC_SGA'!CC17,"4")+0,CONCATENATE('V_DATOS PAC_SGA'!CC17,"0")+0))</f>
        <v>0</v>
      </c>
      <c r="C22" s="2" t="n">
        <f aca="false">'V_DATOS PAC_SGA'!CD17</f>
        <v>0</v>
      </c>
      <c r="D22" s="1409" t="n">
        <f aca="false">'V_DATOS PAC_SGA'!Y17</f>
        <v>0</v>
      </c>
      <c r="E22" s="1410" t="str">
        <f aca="false">IF('V_DATOS PAC_SGA'!AV17="","Regadio",'V_DATOS PAC_SGA'!AV17)</f>
        <v>Regadio</v>
      </c>
      <c r="F22" s="1411" t="n">
        <f aca="false">'V_DATOS PAC_SGA'!BK17</f>
        <v>0</v>
      </c>
      <c r="G22" s="1412" t="n">
        <f aca="false">'V_DATOS PAC_SGA'!AN17</f>
        <v>0</v>
      </c>
      <c r="H22" s="1413" t="str">
        <f aca="false">IF(B22&gt;0,VLOOKUP(B22,'O_MN, PE_UTA_UGM 2024'!E$3:O$419,10),"")</f>
        <v/>
      </c>
      <c r="I22" s="1359" t="str">
        <f aca="false">IF('V_DATOS PAC_SGA'!BV17="IV",'V_DATOS PAC_SGA'!BV17,"")</f>
        <v/>
      </c>
      <c r="J22" s="2" t="str">
        <f aca="false">IF($A22&gt;0,IF(AND(J$4=$G22,J$6=$F22),$D22*J$5,""),"")</f>
        <v/>
      </c>
      <c r="K22" s="2" t="str">
        <f aca="false">IF($A22&gt;0,IF(AND(K$4=$G22,K$6=$F22),$D22*K$5,""),"")</f>
        <v/>
      </c>
      <c r="L22" s="2" t="str">
        <f aca="false">IF($A22&gt;0,IF(AND(L$4=$G22,L$6=$F22),$D22*L$5,""),"")</f>
        <v/>
      </c>
      <c r="M22" s="2" t="str">
        <f aca="false">IF($A22&gt;0,IF(AND(M$4=$G22,M$6=$F22),$D22*M$5,""),"")</f>
        <v/>
      </c>
      <c r="N22" s="1506" t="n">
        <f aca="false">VLOOKUP(B22,'O_MN, PE_UTA_UGM 2024'!$E$2:$K$419,IF(G22&gt;1,6,7))</f>
        <v>0</v>
      </c>
      <c r="O22" s="1434" t="str">
        <f aca="false">IF($H22=O$4,$D22*$N22,"")</f>
        <v/>
      </c>
      <c r="P22" s="1435" t="str">
        <f aca="false">IF($H22=P$4,$D22*$N22,"")</f>
        <v/>
      </c>
      <c r="Q22" s="1435" t="str">
        <f aca="false">IF($H22=Q$4,$D22*$N22,"")</f>
        <v/>
      </c>
      <c r="R22" s="1435" t="str">
        <f aca="false">IF($H22=R$4,$D22*$N22,"")</f>
        <v/>
      </c>
      <c r="S22" s="1435" t="str">
        <f aca="false">IF($H22=S$4,$D22*$N22,"")</f>
        <v/>
      </c>
      <c r="T22" s="1435" t="str">
        <f aca="false">IF($H22=T$4,$D22*$N22,"")</f>
        <v/>
      </c>
      <c r="U22" s="1436" t="str">
        <f aca="false">IF($H22=U$4,$D22*$N22,"")</f>
        <v/>
      </c>
      <c r="V22" s="1418"/>
      <c r="W22" s="1419"/>
      <c r="X22" s="1419"/>
      <c r="Y22" s="1419"/>
      <c r="Z22" s="1419"/>
      <c r="AA22" s="1419"/>
      <c r="AB22" s="1420"/>
      <c r="AC22" s="1319"/>
      <c r="AD22" s="2" t="str">
        <f aca="false">IF(AND(AD$4=$G22,AD$6=$F22),$B22,"")</f>
        <v/>
      </c>
      <c r="AE22" s="2" t="str">
        <f aca="false">IF(AND(AE$4=$G22,AE$6=$F22),$B22,"")</f>
        <v/>
      </c>
      <c r="AF22" s="2" t="str">
        <f aca="false">IF(AND(AF$4=$G22,AF$6=$F22),$B22,"")</f>
        <v/>
      </c>
      <c r="AG22" s="2" t="str">
        <f aca="false">IF(AND(AG$4=$G22,AG$6=$F22),$B22,"")</f>
        <v/>
      </c>
      <c r="AI22" s="366"/>
      <c r="AL22" s="367"/>
      <c r="AO22" s="367"/>
      <c r="AP22" s="2" t="str">
        <f aca="false">IF(AT22&gt;0,RANK(AT22,AT$7:AT$423),"")</f>
        <v/>
      </c>
      <c r="AQ22" s="2" t="n">
        <f aca="false">'O_MN, PE_UTA_UGM 2024'!C18</f>
        <v>20</v>
      </c>
      <c r="AR22" s="1421" t="n">
        <v>200</v>
      </c>
      <c r="AS22" s="2" t="str">
        <f aca="false">IF(AY22&lt;&gt;"",AY22,"")</f>
        <v/>
      </c>
      <c r="AT22" s="1422" t="n">
        <f aca="false">IF(ISNUMBER($AR22),SUMIF(B$7:B$505,AR22,D$7:D$505),"")</f>
        <v>0</v>
      </c>
      <c r="AU22" s="1411" t="n">
        <f aca="false">IF(ISNUMBER($AR22),SUMIF(AD$7:AD$503,$AR22,J$7:J$503),"")</f>
        <v>0</v>
      </c>
      <c r="AV22" s="1411" t="n">
        <f aca="false">IF(ISNUMBER($AR22),SUMIF(AF$7:AF$503,$AR22,L$7:L$503),"")</f>
        <v>0</v>
      </c>
      <c r="AW22" s="1423" t="n">
        <f aca="false">IF(ISNUMBER($AR22),SUMIF(AE$7:AE$503,$AR22,K$7:K$503),"")</f>
        <v>0</v>
      </c>
      <c r="AX22" s="1423" t="n">
        <f aca="false">IF(ISNUMBER($AR22),SUMIF(AG$7:AG$503,$AR22,M$7:M$503),"")</f>
        <v>0</v>
      </c>
      <c r="AY22" s="2" t="str">
        <f aca="false">IF($AT22&gt;0,VLOOKUP($AR22,'O_MN, PE_UTA_UGM 2024'!E18:O434,2),"")</f>
        <v/>
      </c>
      <c r="AZ22" s="1507"/>
      <c r="BA22" s="1507"/>
      <c r="BB22" s="1507" t="str">
        <f aca="false">IF($AT22&gt;0,VLOOKUP($AR22,'O_MN, PE_UTA_UGM 2024'!$E$3:$O$419,BB$6),"")</f>
        <v/>
      </c>
      <c r="BC22" s="1507" t="str">
        <f aca="false">IF($AT22&gt;0,VLOOKUP($AR22,'O_MN, PE_UTA_UGM 2024'!$E$3:$O$419,BC$6),"")</f>
        <v/>
      </c>
      <c r="BD22" s="1507" t="str">
        <f aca="false">IF($AT22&gt;0,VLOOKUP($AR22,'O_MN, PE_UTA_UGM 2024'!$E$3:$O$419,BD$6),"")</f>
        <v/>
      </c>
      <c r="BE22" s="1507" t="str">
        <f aca="false">IF($AT22&gt;0,VLOOKUP($AR22,'O_MN, PE_UTA_UGM 2024'!$E$3:$O$419,BE$6),"")</f>
        <v/>
      </c>
      <c r="BF22" s="1507" t="str">
        <f aca="false">IF($AT22&gt;0,VLOOKUP($AR22,'O_MN, PE_UTA_UGM 2024'!$E$3:$O$419,BF$6),"")</f>
        <v/>
      </c>
      <c r="BG22" s="1507" t="str">
        <f aca="false">IF($AT22&gt;0,VLOOKUP($AR22,'O_MN, PE_UTA_UGM 2024'!$E$3:$O$419,BG$6),"")</f>
        <v/>
      </c>
      <c r="BH22" s="1504"/>
      <c r="BI22" s="1504"/>
      <c r="BJ22" s="1504"/>
      <c r="BK22" s="1504"/>
      <c r="BM22" s="1411"/>
      <c r="BN22" s="1411"/>
      <c r="BO22" s="1425" t="str">
        <f aca="false">IF(ISNUMBER($AU22*BB22*1),$AU22*BB22*1,"")</f>
        <v/>
      </c>
      <c r="BP22" s="1425" t="str">
        <f aca="false">IF(ISNUMBER($AV22*BC22*1),$AV22*BC22*1,"")</f>
        <v/>
      </c>
      <c r="BQ22" s="1425" t="str">
        <f aca="false">IF(ISNUMBER($AU22*BD22*1),$AU22*BD22*1,"")</f>
        <v/>
      </c>
      <c r="BR22" s="1425" t="str">
        <f aca="false">IF(ISNUMBER($AV22*BE22*1),$AV22*BE22*1,"")</f>
        <v/>
      </c>
      <c r="BS22" s="1411" t="str">
        <f aca="false">IF(ISNUMBER($AU22*BF22),$AU22*BF22,"")</f>
        <v/>
      </c>
      <c r="BT22" s="1411" t="str">
        <f aca="false">IF(ISNUMBER($AV22*BG22),$AV22*BG22,"")</f>
        <v/>
      </c>
      <c r="BU22" s="1411"/>
      <c r="BV22" s="1411"/>
      <c r="BW22" s="1411"/>
      <c r="BX22" s="1411"/>
      <c r="BZ22" s="1372"/>
      <c r="CA22" s="1372"/>
      <c r="CB22" s="1426" t="str">
        <f aca="false">IF(ISNUMBER($AW22*BB22),$AW22*BB22,"")</f>
        <v/>
      </c>
      <c r="CC22" s="1426" t="str">
        <f aca="false">IF(ISNUMBER($AX22*BC22),$AX22*BC22,"")</f>
        <v/>
      </c>
      <c r="CD22" s="1426" t="str">
        <f aca="false">IF(ISNUMBER($AW22*BD22),$AW22*BD22,"")</f>
        <v/>
      </c>
      <c r="CE22" s="1426" t="str">
        <f aca="false">IF(ISNUMBER($AX22*BE22),$AX22*BE22,"")</f>
        <v/>
      </c>
      <c r="CF22" s="1372" t="str">
        <f aca="false">IF(ISNUMBER($AW22*BF22),$AW22*BF22,"")</f>
        <v/>
      </c>
      <c r="CG22" s="1372" t="str">
        <f aca="false">IF(ISNUMBER($AX22*BG22),$AX22*BG22,"")</f>
        <v/>
      </c>
      <c r="CH22" s="1438"/>
      <c r="CI22" s="1438"/>
      <c r="CJ22" s="1438"/>
      <c r="CK22" s="1438"/>
      <c r="CU22" s="1411"/>
      <c r="CV22" s="1411"/>
      <c r="CW22" s="1425"/>
      <c r="CX22" s="1425"/>
      <c r="CY22" s="1425"/>
      <c r="CZ22" s="1425"/>
      <c r="DA22" s="1411"/>
      <c r="DB22" s="1411"/>
      <c r="DC22" s="1411"/>
      <c r="DD22" s="1411"/>
      <c r="DE22" s="1411"/>
      <c r="DF22" s="1411"/>
      <c r="DH22" s="1432"/>
      <c r="DI22" s="1432"/>
      <c r="DJ22" s="1437"/>
      <c r="DK22" s="1437"/>
      <c r="DL22" s="1437"/>
      <c r="DM22" s="1437"/>
      <c r="DN22" s="1432"/>
      <c r="DO22" s="1432"/>
      <c r="DP22" s="1432"/>
      <c r="DQ22" s="1432"/>
      <c r="DR22" s="1432"/>
      <c r="DS22" s="1432"/>
      <c r="DT22" s="1316"/>
      <c r="DU22" s="1433"/>
      <c r="DV22" s="1433"/>
      <c r="DW22" s="1433"/>
      <c r="DX22" s="1433"/>
      <c r="DY22" s="1433"/>
      <c r="DZ22" s="1433"/>
      <c r="EA22" s="1433"/>
      <c r="EB22" s="1433"/>
    </row>
    <row r="23" customFormat="false" ht="14.25" hidden="false" customHeight="false" outlineLevel="0" collapsed="false">
      <c r="A23" s="2" t="n">
        <f aca="false">'V_DATOS PAC_SGA'!CC18</f>
        <v>0</v>
      </c>
      <c r="B23" s="2" t="n">
        <f aca="false">IF(OR(A23=0,A23=""),0,IF(I23="IV",CONCATENATE('V_DATOS PAC_SGA'!CC18,"4")+0,CONCATENATE('V_DATOS PAC_SGA'!CC18,"0")+0))</f>
        <v>0</v>
      </c>
      <c r="C23" s="2" t="n">
        <f aca="false">'V_DATOS PAC_SGA'!CD18</f>
        <v>0</v>
      </c>
      <c r="D23" s="1409" t="n">
        <f aca="false">'V_DATOS PAC_SGA'!Y18</f>
        <v>0</v>
      </c>
      <c r="E23" s="1410" t="str">
        <f aca="false">IF('V_DATOS PAC_SGA'!AV18="","Regadio",'V_DATOS PAC_SGA'!AV18)</f>
        <v>Regadio</v>
      </c>
      <c r="F23" s="1411" t="n">
        <f aca="false">'V_DATOS PAC_SGA'!BK18</f>
        <v>0</v>
      </c>
      <c r="G23" s="1412" t="n">
        <f aca="false">'V_DATOS PAC_SGA'!AN18</f>
        <v>0</v>
      </c>
      <c r="H23" s="1413" t="str">
        <f aca="false">IF(B23&gt;0,VLOOKUP(B23,'O_MN, PE_UTA_UGM 2024'!E$3:O$419,10),"")</f>
        <v/>
      </c>
      <c r="I23" s="1359" t="str">
        <f aca="false">IF('V_DATOS PAC_SGA'!BV18="IV",'V_DATOS PAC_SGA'!BV18,"")</f>
        <v/>
      </c>
      <c r="J23" s="2" t="str">
        <f aca="false">IF($A23&gt;0,IF(AND(J$4=$G23,J$6=$F23),$D23*J$5,""),"")</f>
        <v/>
      </c>
      <c r="K23" s="2" t="str">
        <f aca="false">IF($A23&gt;0,IF(AND(K$4=$G23,K$6=$F23),$D23*K$5,""),"")</f>
        <v/>
      </c>
      <c r="L23" s="2" t="str">
        <f aca="false">IF($A23&gt;0,IF(AND(L$4=$G23,L$6=$F23),$D23*L$5,""),"")</f>
        <v/>
      </c>
      <c r="M23" s="2" t="str">
        <f aca="false">IF($A23&gt;0,IF(AND(M$4=$G23,M$6=$F23),$D23*M$5,""),"")</f>
        <v/>
      </c>
      <c r="N23" s="1506" t="n">
        <f aca="false">VLOOKUP(B23,'O_MN, PE_UTA_UGM 2024'!$E$2:$K$419,IF(G23&gt;1,6,7))</f>
        <v>0</v>
      </c>
      <c r="O23" s="1434" t="str">
        <f aca="false">IF($H23=O$4,$D23*$N23,"")</f>
        <v/>
      </c>
      <c r="P23" s="1435" t="str">
        <f aca="false">IF($H23=P$4,$D23*$N23,"")</f>
        <v/>
      </c>
      <c r="Q23" s="1435" t="str">
        <f aca="false">IF($H23=Q$4,$D23*$N23,"")</f>
        <v/>
      </c>
      <c r="R23" s="1435" t="str">
        <f aca="false">IF($H23=R$4,$D23*$N23,"")</f>
        <v/>
      </c>
      <c r="S23" s="1435" t="str">
        <f aca="false">IF($H23=S$4,$D23*$N23,"")</f>
        <v/>
      </c>
      <c r="T23" s="1435" t="str">
        <f aca="false">IF($H23=T$4,$D23*$N23,"")</f>
        <v/>
      </c>
      <c r="U23" s="1436" t="str">
        <f aca="false">IF($H23=U$4,$D23*$N23,"")</f>
        <v/>
      </c>
      <c r="V23" s="1418"/>
      <c r="W23" s="1419"/>
      <c r="X23" s="1419"/>
      <c r="Y23" s="1419"/>
      <c r="Z23" s="1419"/>
      <c r="AA23" s="1419"/>
      <c r="AB23" s="1420"/>
      <c r="AC23" s="1319"/>
      <c r="AD23" s="2" t="str">
        <f aca="false">IF(AND(AD$4=$G23,AD$6=$F23),$B23,"")</f>
        <v/>
      </c>
      <c r="AE23" s="2" t="str">
        <f aca="false">IF(AND(AE$4=$G23,AE$6=$F23),$B23,"")</f>
        <v/>
      </c>
      <c r="AF23" s="2" t="str">
        <f aca="false">IF(AND(AF$4=$G23,AF$6=$F23),$B23,"")</f>
        <v/>
      </c>
      <c r="AG23" s="2" t="str">
        <f aca="false">IF(AND(AG$4=$G23,AG$6=$F23),$B23,"")</f>
        <v/>
      </c>
      <c r="AI23" s="366"/>
      <c r="AL23" s="367"/>
      <c r="AO23" s="367"/>
      <c r="AP23" s="2" t="str">
        <f aca="false">IF(AT23&gt;0,RANK(AT23,AT$7:AT$423),"")</f>
        <v/>
      </c>
      <c r="AQ23" s="2" t="n">
        <f aca="false">'O_MN, PE_UTA_UGM 2024'!C19</f>
        <v>23</v>
      </c>
      <c r="AR23" s="1421" t="n">
        <v>230</v>
      </c>
      <c r="AS23" s="2" t="str">
        <f aca="false">IF(AY23&lt;&gt;"",AY23,"")</f>
        <v/>
      </c>
      <c r="AT23" s="1422" t="n">
        <f aca="false">IF(ISNUMBER($AR23),SUMIF(B$7:B$505,AR23,D$7:D$505),"")</f>
        <v>0</v>
      </c>
      <c r="AU23" s="1411" t="n">
        <f aca="false">IF(ISNUMBER($AR23),SUMIF(AD$7:AD$503,$AR23,J$7:J$503),"")</f>
        <v>0</v>
      </c>
      <c r="AV23" s="1411" t="n">
        <f aca="false">IF(ISNUMBER($AR23),SUMIF(AF$7:AF$503,$AR23,L$7:L$503),"")</f>
        <v>0</v>
      </c>
      <c r="AW23" s="1423" t="n">
        <f aca="false">IF(ISNUMBER($AR23),SUMIF(AE$7:AE$503,$AR23,K$7:K$503),"")</f>
        <v>0</v>
      </c>
      <c r="AX23" s="1423" t="n">
        <f aca="false">IF(ISNUMBER($AR23),SUMIF(AG$7:AG$503,$AR23,M$7:M$503),"")</f>
        <v>0</v>
      </c>
      <c r="AY23" s="2" t="str">
        <f aca="false">IF($AT23&gt;0,VLOOKUP($AR23,'O_MN, PE_UTA_UGM 2024'!E19:O435,2),"")</f>
        <v/>
      </c>
      <c r="AZ23" s="1507"/>
      <c r="BA23" s="1507"/>
      <c r="BB23" s="1507" t="str">
        <f aca="false">IF($AT23&gt;0,VLOOKUP($AR23,'O_MN, PE_UTA_UGM 2024'!$E$3:$O$419,BB$6),"")</f>
        <v/>
      </c>
      <c r="BC23" s="1507" t="str">
        <f aca="false">IF($AT23&gt;0,VLOOKUP($AR23,'O_MN, PE_UTA_UGM 2024'!$E$3:$O$419,BC$6),"")</f>
        <v/>
      </c>
      <c r="BD23" s="1507" t="str">
        <f aca="false">IF($AT23&gt;0,VLOOKUP($AR23,'O_MN, PE_UTA_UGM 2024'!$E$3:$O$419,BD$6),"")</f>
        <v/>
      </c>
      <c r="BE23" s="1507" t="str">
        <f aca="false">IF($AT23&gt;0,VLOOKUP($AR23,'O_MN, PE_UTA_UGM 2024'!$E$3:$O$419,BE$6),"")</f>
        <v/>
      </c>
      <c r="BF23" s="1507" t="str">
        <f aca="false">IF($AT23&gt;0,VLOOKUP($AR23,'O_MN, PE_UTA_UGM 2024'!$E$3:$O$419,BF$6),"")</f>
        <v/>
      </c>
      <c r="BG23" s="1507" t="str">
        <f aca="false">IF($AT23&gt;0,VLOOKUP($AR23,'O_MN, PE_UTA_UGM 2024'!$E$3:$O$419,BG$6),"")</f>
        <v/>
      </c>
      <c r="BH23" s="1504"/>
      <c r="BI23" s="1504"/>
      <c r="BJ23" s="1504"/>
      <c r="BK23" s="1504"/>
      <c r="BM23" s="1411"/>
      <c r="BN23" s="1411"/>
      <c r="BO23" s="1425" t="str">
        <f aca="false">IF(ISNUMBER($AU23*BB23*1),$AU23*BB23*1,"")</f>
        <v/>
      </c>
      <c r="BP23" s="1425" t="str">
        <f aca="false">IF(ISNUMBER($AV23*BC23*1),$AV23*BC23*1,"")</f>
        <v/>
      </c>
      <c r="BQ23" s="1425" t="str">
        <f aca="false">IF(ISNUMBER($AU23*BD23*1),$AU23*BD23*1,"")</f>
        <v/>
      </c>
      <c r="BR23" s="1425" t="str">
        <f aca="false">IF(ISNUMBER($AV23*BE23*1),$AV23*BE23*1,"")</f>
        <v/>
      </c>
      <c r="BS23" s="1411" t="str">
        <f aca="false">IF(ISNUMBER($AU23*BF23),$AU23*BF23,"")</f>
        <v/>
      </c>
      <c r="BT23" s="1411" t="str">
        <f aca="false">IF(ISNUMBER($AV23*BG23),$AV23*BG23,"")</f>
        <v/>
      </c>
      <c r="BU23" s="1411"/>
      <c r="BV23" s="1411"/>
      <c r="BW23" s="1411"/>
      <c r="BX23" s="1411"/>
      <c r="BZ23" s="1372"/>
      <c r="CA23" s="1372"/>
      <c r="CB23" s="1426" t="str">
        <f aca="false">IF(ISNUMBER($AW23*BB23),$AW23*BB23,"")</f>
        <v/>
      </c>
      <c r="CC23" s="1426" t="str">
        <f aca="false">IF(ISNUMBER($AX23*BC23),$AX23*BC23,"")</f>
        <v/>
      </c>
      <c r="CD23" s="1426" t="str">
        <f aca="false">IF(ISNUMBER($AW23*BD23),$AW23*BD23,"")</f>
        <v/>
      </c>
      <c r="CE23" s="1426" t="str">
        <f aca="false">IF(ISNUMBER($AX23*BE23),$AX23*BE23,"")</f>
        <v/>
      </c>
      <c r="CF23" s="1372" t="str">
        <f aca="false">IF(ISNUMBER($AW23*BF23),$AW23*BF23,"")</f>
        <v/>
      </c>
      <c r="CG23" s="1372" t="str">
        <f aca="false">IF(ISNUMBER($AX23*BG23),$AX23*BG23,"")</f>
        <v/>
      </c>
      <c r="CH23" s="1438"/>
      <c r="CI23" s="1438"/>
      <c r="CJ23" s="1438"/>
      <c r="CK23" s="1438"/>
      <c r="CU23" s="1411"/>
      <c r="CV23" s="1411"/>
      <c r="CW23" s="1425"/>
      <c r="CX23" s="1425"/>
      <c r="CY23" s="1425"/>
      <c r="CZ23" s="1425"/>
      <c r="DA23" s="1411"/>
      <c r="DB23" s="1411"/>
      <c r="DC23" s="1411"/>
      <c r="DD23" s="1411"/>
      <c r="DE23" s="1411"/>
      <c r="DF23" s="1411"/>
      <c r="DH23" s="1432"/>
      <c r="DI23" s="1432"/>
      <c r="DJ23" s="1437"/>
      <c r="DK23" s="1437"/>
      <c r="DL23" s="1437"/>
      <c r="DM23" s="1437"/>
      <c r="DN23" s="1432"/>
      <c r="DO23" s="1432"/>
      <c r="DP23" s="1432"/>
      <c r="DQ23" s="1432"/>
      <c r="DR23" s="1432"/>
      <c r="DS23" s="1432"/>
      <c r="DT23" s="1316"/>
      <c r="DU23" s="1433"/>
      <c r="DV23" s="1433"/>
      <c r="DW23" s="1433"/>
      <c r="DX23" s="1433"/>
      <c r="DY23" s="1433"/>
      <c r="DZ23" s="1433"/>
      <c r="EA23" s="1433"/>
      <c r="EB23" s="1433"/>
    </row>
    <row r="24" customFormat="false" ht="14.25" hidden="false" customHeight="false" outlineLevel="0" collapsed="false">
      <c r="A24" s="2" t="n">
        <f aca="false">'V_DATOS PAC_SGA'!CC19</f>
        <v>0</v>
      </c>
      <c r="B24" s="2" t="n">
        <f aca="false">IF(OR(A24=0,A24=""),0,IF(I24="IV",CONCATENATE('V_DATOS PAC_SGA'!CC19,"4")+0,CONCATENATE('V_DATOS PAC_SGA'!CC19,"0")+0))</f>
        <v>0</v>
      </c>
      <c r="C24" s="2" t="n">
        <f aca="false">'V_DATOS PAC_SGA'!CD19</f>
        <v>0</v>
      </c>
      <c r="D24" s="1409" t="n">
        <f aca="false">'V_DATOS PAC_SGA'!Y19</f>
        <v>0</v>
      </c>
      <c r="E24" s="1410" t="str">
        <f aca="false">IF('V_DATOS PAC_SGA'!AV19="","Regadio",'V_DATOS PAC_SGA'!AV19)</f>
        <v>Regadio</v>
      </c>
      <c r="F24" s="1411" t="n">
        <f aca="false">'V_DATOS PAC_SGA'!BK19</f>
        <v>0</v>
      </c>
      <c r="G24" s="1412" t="n">
        <f aca="false">'V_DATOS PAC_SGA'!AN19</f>
        <v>0</v>
      </c>
      <c r="H24" s="1413" t="str">
        <f aca="false">IF(B24&gt;0,VLOOKUP(B24,'O_MN, PE_UTA_UGM 2024'!E$3:O$419,10),"")</f>
        <v/>
      </c>
      <c r="I24" s="1359" t="str">
        <f aca="false">IF('V_DATOS PAC_SGA'!BV19="IV",'V_DATOS PAC_SGA'!BV19,"")</f>
        <v/>
      </c>
      <c r="J24" s="2" t="str">
        <f aca="false">IF($A24&gt;0,IF(AND(J$4=$G24,J$6=$F24),$D24*J$5,""),"")</f>
        <v/>
      </c>
      <c r="K24" s="2" t="str">
        <f aca="false">IF($A24&gt;0,IF(AND(K$4=$G24,K$6=$F24),$D24*K$5,""),"")</f>
        <v/>
      </c>
      <c r="L24" s="2" t="str">
        <f aca="false">IF($A24&gt;0,IF(AND(L$4=$G24,L$6=$F24),$D24*L$5,""),"")</f>
        <v/>
      </c>
      <c r="M24" s="2" t="str">
        <f aca="false">IF($A24&gt;0,IF(AND(M$4=$G24,M$6=$F24),$D24*M$5,""),"")</f>
        <v/>
      </c>
      <c r="N24" s="1506" t="n">
        <f aca="false">VLOOKUP(B24,'O_MN, PE_UTA_UGM 2024'!$E$2:$K$419,IF(G24&gt;1,6,7))</f>
        <v>0</v>
      </c>
      <c r="O24" s="1434" t="str">
        <f aca="false">IF($H24=O$4,$D24*$N24,"")</f>
        <v/>
      </c>
      <c r="P24" s="1435" t="str">
        <f aca="false">IF($H24=P$4,$D24*$N24,"")</f>
        <v/>
      </c>
      <c r="Q24" s="1435" t="str">
        <f aca="false">IF($H24=Q$4,$D24*$N24,"")</f>
        <v/>
      </c>
      <c r="R24" s="1435" t="str">
        <f aca="false">IF($H24=R$4,$D24*$N24,"")</f>
        <v/>
      </c>
      <c r="S24" s="1435" t="str">
        <f aca="false">IF($H24=S$4,$D24*$N24,"")</f>
        <v/>
      </c>
      <c r="T24" s="1435" t="str">
        <f aca="false">IF($H24=T$4,$D24*$N24,"")</f>
        <v/>
      </c>
      <c r="U24" s="1436" t="str">
        <f aca="false">IF($H24=U$4,$D24*$N24,"")</f>
        <v/>
      </c>
      <c r="V24" s="1418"/>
      <c r="W24" s="1419"/>
      <c r="X24" s="1419"/>
      <c r="Y24" s="1419"/>
      <c r="Z24" s="1419"/>
      <c r="AA24" s="1419"/>
      <c r="AB24" s="1420"/>
      <c r="AC24" s="1319"/>
      <c r="AD24" s="2" t="str">
        <f aca="false">IF(AND(AD$4=$G24,AD$6=$F24),$B24,"")</f>
        <v/>
      </c>
      <c r="AE24" s="2" t="str">
        <f aca="false">IF(AND(AE$4=$G24,AE$6=$F24),$B24,"")</f>
        <v/>
      </c>
      <c r="AF24" s="2" t="str">
        <f aca="false">IF(AND(AF$4=$G24,AF$6=$F24),$B24,"")</f>
        <v/>
      </c>
      <c r="AG24" s="2" t="str">
        <f aca="false">IF(AND(AG$4=$G24,AG$6=$F24),$B24,"")</f>
        <v/>
      </c>
      <c r="AI24" s="366"/>
      <c r="AL24" s="367"/>
      <c r="AO24" s="367"/>
      <c r="AP24" s="2" t="str">
        <f aca="false">IF(AT24&gt;0,RANK(AT24,AT$7:AT$423),"")</f>
        <v/>
      </c>
      <c r="AQ24" s="2" t="n">
        <f aca="false">'O_MN, PE_UTA_UGM 2024'!C20</f>
        <v>33</v>
      </c>
      <c r="AR24" s="1421" t="n">
        <v>330</v>
      </c>
      <c r="AS24" s="2" t="str">
        <f aca="false">IF(AY24&lt;&gt;"",AY24,"")</f>
        <v/>
      </c>
      <c r="AT24" s="1422" t="n">
        <f aca="false">IF(ISNUMBER($AR24),SUMIF(B$7:B$505,AR24,D$7:D$505),"")</f>
        <v>0</v>
      </c>
      <c r="AU24" s="1411" t="n">
        <f aca="false">IF(ISNUMBER($AR24),SUMIF(AD$7:AD$503,$AR24,J$7:J$503),"")</f>
        <v>0</v>
      </c>
      <c r="AV24" s="1411" t="n">
        <f aca="false">IF(ISNUMBER($AR24),SUMIF(AF$7:AF$503,$AR24,L$7:L$503),"")</f>
        <v>0</v>
      </c>
      <c r="AW24" s="1423" t="n">
        <f aca="false">IF(ISNUMBER($AR24),SUMIF(AE$7:AE$503,$AR24,K$7:K$503),"")</f>
        <v>0</v>
      </c>
      <c r="AX24" s="1423" t="n">
        <f aca="false">IF(ISNUMBER($AR24),SUMIF(AG$7:AG$503,$AR24,M$7:M$503),"")</f>
        <v>0</v>
      </c>
      <c r="AY24" s="2" t="str">
        <f aca="false">IF($AT24&gt;0,VLOOKUP($AR24,'O_MN, PE_UTA_UGM 2024'!E20:O436,2),"")</f>
        <v/>
      </c>
      <c r="AZ24" s="1507"/>
      <c r="BA24" s="1507"/>
      <c r="BB24" s="1507" t="str">
        <f aca="false">IF($AT24&gt;0,VLOOKUP($AR24,'O_MN, PE_UTA_UGM 2024'!$E$3:$O$419,BB$6),"")</f>
        <v/>
      </c>
      <c r="BC24" s="1507" t="str">
        <f aca="false">IF($AT24&gt;0,VLOOKUP($AR24,'O_MN, PE_UTA_UGM 2024'!$E$3:$O$419,BC$6),"")</f>
        <v/>
      </c>
      <c r="BD24" s="1507" t="str">
        <f aca="false">IF($AT24&gt;0,VLOOKUP($AR24,'O_MN, PE_UTA_UGM 2024'!$E$3:$O$419,BD$6),"")</f>
        <v/>
      </c>
      <c r="BE24" s="1507" t="str">
        <f aca="false">IF($AT24&gt;0,VLOOKUP($AR24,'O_MN, PE_UTA_UGM 2024'!$E$3:$O$419,BE$6),"")</f>
        <v/>
      </c>
      <c r="BF24" s="1507" t="str">
        <f aca="false">IF($AT24&gt;0,VLOOKUP($AR24,'O_MN, PE_UTA_UGM 2024'!$E$3:$O$419,BF$6),"")</f>
        <v/>
      </c>
      <c r="BG24" s="1507" t="str">
        <f aca="false">IF($AT24&gt;0,VLOOKUP($AR24,'O_MN, PE_UTA_UGM 2024'!$E$3:$O$419,BG$6),"")</f>
        <v/>
      </c>
      <c r="BH24" s="1504"/>
      <c r="BI24" s="1504"/>
      <c r="BJ24" s="1504"/>
      <c r="BK24" s="1504"/>
      <c r="BM24" s="1411"/>
      <c r="BN24" s="1411"/>
      <c r="BO24" s="1425" t="str">
        <f aca="false">IF(ISNUMBER($AU24*BB24*1),$AU24*BB24*1,"")</f>
        <v/>
      </c>
      <c r="BP24" s="1425" t="str">
        <f aca="false">IF(ISNUMBER($AV24*BC24*1),$AV24*BC24*1,"")</f>
        <v/>
      </c>
      <c r="BQ24" s="1425" t="str">
        <f aca="false">IF(ISNUMBER($AU24*BD24*1),$AU24*BD24*1,"")</f>
        <v/>
      </c>
      <c r="BR24" s="1425" t="str">
        <f aca="false">IF(ISNUMBER($AV24*BE24*1),$AV24*BE24*1,"")</f>
        <v/>
      </c>
      <c r="BS24" s="1411" t="str">
        <f aca="false">IF(ISNUMBER($AU24*BF24),$AU24*BF24,"")</f>
        <v/>
      </c>
      <c r="BT24" s="1411" t="str">
        <f aca="false">IF(ISNUMBER($AV24*BG24),$AV24*BG24,"")</f>
        <v/>
      </c>
      <c r="BU24" s="1411"/>
      <c r="BV24" s="1411"/>
      <c r="BW24" s="1411"/>
      <c r="BX24" s="1411"/>
      <c r="BZ24" s="1372"/>
      <c r="CA24" s="1372"/>
      <c r="CB24" s="1426" t="str">
        <f aca="false">IF(ISNUMBER($AW24*BB24),$AW24*BB24,"")</f>
        <v/>
      </c>
      <c r="CC24" s="1426" t="str">
        <f aca="false">IF(ISNUMBER($AX24*BC24),$AX24*BC24,"")</f>
        <v/>
      </c>
      <c r="CD24" s="1426" t="str">
        <f aca="false">IF(ISNUMBER($AW24*BD24),$AW24*BD24,"")</f>
        <v/>
      </c>
      <c r="CE24" s="1426" t="str">
        <f aca="false">IF(ISNUMBER($AX24*BE24),$AX24*BE24,"")</f>
        <v/>
      </c>
      <c r="CF24" s="1372" t="str">
        <f aca="false">IF(ISNUMBER($AW24*BF24),$AW24*BF24,"")</f>
        <v/>
      </c>
      <c r="CG24" s="1372" t="str">
        <f aca="false">IF(ISNUMBER($AX24*BG24),$AX24*BG24,"")</f>
        <v/>
      </c>
      <c r="CH24" s="1438"/>
      <c r="CI24" s="1438"/>
      <c r="CJ24" s="1438"/>
      <c r="CK24" s="1438"/>
      <c r="CU24" s="1411"/>
      <c r="CV24" s="1411"/>
      <c r="CW24" s="1425"/>
      <c r="CX24" s="1425"/>
      <c r="CY24" s="1425"/>
      <c r="CZ24" s="1425"/>
      <c r="DA24" s="1411"/>
      <c r="DB24" s="1411"/>
      <c r="DC24" s="1411"/>
      <c r="DD24" s="1411"/>
      <c r="DE24" s="1411"/>
      <c r="DF24" s="1411"/>
      <c r="DH24" s="1432"/>
      <c r="DI24" s="1432"/>
      <c r="DJ24" s="1437"/>
      <c r="DK24" s="1437"/>
      <c r="DL24" s="1437"/>
      <c r="DM24" s="1437"/>
      <c r="DN24" s="1432"/>
      <c r="DO24" s="1432"/>
      <c r="DP24" s="1432"/>
      <c r="DQ24" s="1432"/>
      <c r="DR24" s="1432"/>
      <c r="DS24" s="1432"/>
      <c r="DT24" s="1316"/>
      <c r="DU24" s="1433"/>
      <c r="DV24" s="1433"/>
      <c r="DW24" s="1433"/>
      <c r="DX24" s="1433"/>
      <c r="DY24" s="1433"/>
      <c r="DZ24" s="1433"/>
      <c r="EA24" s="1433"/>
      <c r="EB24" s="1433"/>
    </row>
    <row r="25" customFormat="false" ht="14.25" hidden="false" customHeight="false" outlineLevel="0" collapsed="false">
      <c r="A25" s="2" t="n">
        <f aca="false">'V_DATOS PAC_SGA'!CC20</f>
        <v>0</v>
      </c>
      <c r="B25" s="2" t="n">
        <f aca="false">IF(OR(A25=0,A25=""),0,IF(I25="IV",CONCATENATE('V_DATOS PAC_SGA'!CC20,"4")+0,CONCATENATE('V_DATOS PAC_SGA'!CC20,"0")+0))</f>
        <v>0</v>
      </c>
      <c r="C25" s="2" t="n">
        <f aca="false">'V_DATOS PAC_SGA'!CD20</f>
        <v>0</v>
      </c>
      <c r="D25" s="1409" t="n">
        <f aca="false">'V_DATOS PAC_SGA'!Y20</f>
        <v>0</v>
      </c>
      <c r="E25" s="1410" t="str">
        <f aca="false">IF('V_DATOS PAC_SGA'!AV20="","Regadio",'V_DATOS PAC_SGA'!AV20)</f>
        <v>Regadio</v>
      </c>
      <c r="F25" s="1411" t="n">
        <f aca="false">'V_DATOS PAC_SGA'!BK20</f>
        <v>0</v>
      </c>
      <c r="G25" s="1412" t="n">
        <f aca="false">'V_DATOS PAC_SGA'!AN20</f>
        <v>0</v>
      </c>
      <c r="H25" s="1413" t="str">
        <f aca="false">IF(B25&gt;0,VLOOKUP(B25,'O_MN, PE_UTA_UGM 2024'!E$3:O$419,10),"")</f>
        <v/>
      </c>
      <c r="I25" s="1359" t="str">
        <f aca="false">IF('V_DATOS PAC_SGA'!BV20="IV",'V_DATOS PAC_SGA'!BV20,"")</f>
        <v/>
      </c>
      <c r="J25" s="2" t="str">
        <f aca="false">IF($A25&gt;0,IF(AND(J$4=$G25,J$6=$F25),$D25*J$5,""),"")</f>
        <v/>
      </c>
      <c r="K25" s="2" t="str">
        <f aca="false">IF($A25&gt;0,IF(AND(K$4=$G25,K$6=$F25),$D25*K$5,""),"")</f>
        <v/>
      </c>
      <c r="L25" s="2" t="str">
        <f aca="false">IF($A25&gt;0,IF(AND(L$4=$G25,L$6=$F25),$D25*L$5,""),"")</f>
        <v/>
      </c>
      <c r="M25" s="2" t="str">
        <f aca="false">IF($A25&gt;0,IF(AND(M$4=$G25,M$6=$F25),$D25*M$5,""),"")</f>
        <v/>
      </c>
      <c r="N25" s="1506" t="n">
        <f aca="false">VLOOKUP(B25,'O_MN, PE_UTA_UGM 2024'!$E$2:$K$419,IF(G25&gt;1,6,7))</f>
        <v>0</v>
      </c>
      <c r="O25" s="1434" t="str">
        <f aca="false">IF($H25=O$4,$D25*$N25,"")</f>
        <v/>
      </c>
      <c r="P25" s="1435" t="str">
        <f aca="false">IF($H25=P$4,$D25*$N25,"")</f>
        <v/>
      </c>
      <c r="Q25" s="1435" t="str">
        <f aca="false">IF($H25=Q$4,$D25*$N25,"")</f>
        <v/>
      </c>
      <c r="R25" s="1435" t="str">
        <f aca="false">IF($H25=R$4,$D25*$N25,"")</f>
        <v/>
      </c>
      <c r="S25" s="1435" t="str">
        <f aca="false">IF($H25=S$4,$D25*$N25,"")</f>
        <v/>
      </c>
      <c r="T25" s="1435" t="str">
        <f aca="false">IF($H25=T$4,$D25*$N25,"")</f>
        <v/>
      </c>
      <c r="U25" s="1436" t="str">
        <f aca="false">IF($H25=U$4,$D25*$N25,"")</f>
        <v/>
      </c>
      <c r="V25" s="1418"/>
      <c r="W25" s="1419"/>
      <c r="X25" s="1419"/>
      <c r="Y25" s="1419"/>
      <c r="Z25" s="1419"/>
      <c r="AA25" s="1419"/>
      <c r="AB25" s="1420"/>
      <c r="AC25" s="1319"/>
      <c r="AD25" s="2" t="str">
        <f aca="false">IF(AND(AD$4=$G25,AD$6=$F25),$B25,"")</f>
        <v/>
      </c>
      <c r="AE25" s="2" t="str">
        <f aca="false">IF(AND(AE$4=$G25,AE$6=$F25),$B25,"")</f>
        <v/>
      </c>
      <c r="AF25" s="2" t="str">
        <f aca="false">IF(AND(AF$4=$G25,AF$6=$F25),$B25,"")</f>
        <v/>
      </c>
      <c r="AG25" s="2" t="str">
        <f aca="false">IF(AND(AG$4=$G25,AG$6=$F25),$B25,"")</f>
        <v/>
      </c>
      <c r="AI25" s="366"/>
      <c r="AL25" s="367"/>
      <c r="AO25" s="367"/>
      <c r="AP25" s="2" t="str">
        <f aca="false">IF(AT25&gt;0,RANK(AT25,AT$7:AT$423),"")</f>
        <v/>
      </c>
      <c r="AQ25" s="2" t="n">
        <f aca="false">'O_MN, PE_UTA_UGM 2024'!C21</f>
        <v>34</v>
      </c>
      <c r="AR25" s="1421" t="n">
        <v>340</v>
      </c>
      <c r="AS25" s="2" t="str">
        <f aca="false">IF(AY25&lt;&gt;"",AY25,"")</f>
        <v/>
      </c>
      <c r="AT25" s="1422" t="n">
        <f aca="false">IF(ISNUMBER($AR25),SUMIF(B$7:B$505,AR25,D$7:D$505),"")</f>
        <v>0</v>
      </c>
      <c r="AU25" s="1411" t="n">
        <f aca="false">IF(ISNUMBER($AR25),SUMIF(AD$7:AD$503,$AR25,J$7:J$503),"")</f>
        <v>0</v>
      </c>
      <c r="AV25" s="1411" t="n">
        <f aca="false">IF(ISNUMBER($AR25),SUMIF(AF$7:AF$503,$AR25,L$7:L$503),"")</f>
        <v>0</v>
      </c>
      <c r="AW25" s="1423" t="n">
        <f aca="false">IF(ISNUMBER($AR25),SUMIF(AE$7:AE$503,$AR25,K$7:K$503),"")</f>
        <v>0</v>
      </c>
      <c r="AX25" s="1423" t="n">
        <f aca="false">IF(ISNUMBER($AR25),SUMIF(AG$7:AG$503,$AR25,M$7:M$503),"")</f>
        <v>0</v>
      </c>
      <c r="AY25" s="2" t="str">
        <f aca="false">IF($AT25&gt;0,VLOOKUP($AR25,'O_MN, PE_UTA_UGM 2024'!E21:O437,2),"")</f>
        <v/>
      </c>
      <c r="AZ25" s="1507"/>
      <c r="BA25" s="1507"/>
      <c r="BB25" s="1507" t="str">
        <f aca="false">IF($AT25&gt;0,VLOOKUP($AR25,'O_MN, PE_UTA_UGM 2024'!$E$3:$O$419,BB$6),"")</f>
        <v/>
      </c>
      <c r="BC25" s="1507" t="str">
        <f aca="false">IF($AT25&gt;0,VLOOKUP($AR25,'O_MN, PE_UTA_UGM 2024'!$E$3:$O$419,BC$6),"")</f>
        <v/>
      </c>
      <c r="BD25" s="1507" t="str">
        <f aca="false">IF($AT25&gt;0,VLOOKUP($AR25,'O_MN, PE_UTA_UGM 2024'!$E$3:$O$419,BD$6),"")</f>
        <v/>
      </c>
      <c r="BE25" s="1507" t="str">
        <f aca="false">IF($AT25&gt;0,VLOOKUP($AR25,'O_MN, PE_UTA_UGM 2024'!$E$3:$O$419,BE$6),"")</f>
        <v/>
      </c>
      <c r="BF25" s="1507" t="str">
        <f aca="false">IF($AT25&gt;0,VLOOKUP($AR25,'O_MN, PE_UTA_UGM 2024'!$E$3:$O$419,BF$6),"")</f>
        <v/>
      </c>
      <c r="BG25" s="1507" t="str">
        <f aca="false">IF($AT25&gt;0,VLOOKUP($AR25,'O_MN, PE_UTA_UGM 2024'!$E$3:$O$419,BG$6),"")</f>
        <v/>
      </c>
      <c r="BH25" s="1504"/>
      <c r="BI25" s="1504"/>
      <c r="BJ25" s="1504"/>
      <c r="BK25" s="1504"/>
      <c r="BM25" s="1411"/>
      <c r="BN25" s="1411"/>
      <c r="BO25" s="1425" t="str">
        <f aca="false">IF(ISNUMBER($AU25*BB25*1),$AU25*BB25*1,"")</f>
        <v/>
      </c>
      <c r="BP25" s="1425" t="str">
        <f aca="false">IF(ISNUMBER($AV25*BC25*1),$AV25*BC25*1,"")</f>
        <v/>
      </c>
      <c r="BQ25" s="1425" t="str">
        <f aca="false">IF(ISNUMBER($AU25*BD25*1),$AU25*BD25*1,"")</f>
        <v/>
      </c>
      <c r="BR25" s="1425" t="str">
        <f aca="false">IF(ISNUMBER($AV25*BE25*1),$AV25*BE25*1,"")</f>
        <v/>
      </c>
      <c r="BS25" s="1411" t="str">
        <f aca="false">IF(ISNUMBER($AU25*BF25),$AU25*BF25,"")</f>
        <v/>
      </c>
      <c r="BT25" s="1411" t="str">
        <f aca="false">IF(ISNUMBER($AV25*BG25),$AV25*BG25,"")</f>
        <v/>
      </c>
      <c r="BU25" s="1411"/>
      <c r="BV25" s="1411"/>
      <c r="BW25" s="1411"/>
      <c r="BX25" s="1411"/>
      <c r="BZ25" s="1372"/>
      <c r="CA25" s="1372"/>
      <c r="CB25" s="1426" t="str">
        <f aca="false">IF(ISNUMBER($AW25*BB25),$AW25*BB25,"")</f>
        <v/>
      </c>
      <c r="CC25" s="1426" t="str">
        <f aca="false">IF(ISNUMBER($AX25*BC25),$AX25*BC25,"")</f>
        <v/>
      </c>
      <c r="CD25" s="1426" t="str">
        <f aca="false">IF(ISNUMBER($AW25*BD25),$AW25*BD25,"")</f>
        <v/>
      </c>
      <c r="CE25" s="1426" t="str">
        <f aca="false">IF(ISNUMBER($AX25*BE25),$AX25*BE25,"")</f>
        <v/>
      </c>
      <c r="CF25" s="1372" t="str">
        <f aca="false">IF(ISNUMBER($AW25*BF25),$AW25*BF25,"")</f>
        <v/>
      </c>
      <c r="CG25" s="1372" t="str">
        <f aca="false">IF(ISNUMBER($AX25*BG25),$AX25*BG25,"")</f>
        <v/>
      </c>
      <c r="CH25" s="1438"/>
      <c r="CI25" s="1438"/>
      <c r="CJ25" s="1438"/>
      <c r="CK25" s="1438"/>
      <c r="CU25" s="1411"/>
      <c r="CV25" s="1411"/>
      <c r="CW25" s="1425"/>
      <c r="CX25" s="1425"/>
      <c r="CY25" s="1425"/>
      <c r="CZ25" s="1425"/>
      <c r="DA25" s="1411"/>
      <c r="DB25" s="1411"/>
      <c r="DC25" s="1411"/>
      <c r="DD25" s="1411"/>
      <c r="DE25" s="1411"/>
      <c r="DF25" s="1411"/>
      <c r="DH25" s="1432"/>
      <c r="DI25" s="1432"/>
      <c r="DJ25" s="1437"/>
      <c r="DK25" s="1437"/>
      <c r="DL25" s="1437"/>
      <c r="DM25" s="1437"/>
      <c r="DN25" s="1432"/>
      <c r="DO25" s="1432"/>
      <c r="DP25" s="1432"/>
      <c r="DQ25" s="1432"/>
      <c r="DR25" s="1432"/>
      <c r="DS25" s="1432"/>
      <c r="DT25" s="1316"/>
      <c r="DU25" s="1433"/>
      <c r="DV25" s="1433"/>
      <c r="DW25" s="1433"/>
      <c r="DX25" s="1433"/>
      <c r="DY25" s="1433"/>
      <c r="DZ25" s="1433"/>
      <c r="EA25" s="1433"/>
      <c r="EB25" s="1433"/>
    </row>
    <row r="26" customFormat="false" ht="14.25" hidden="false" customHeight="false" outlineLevel="0" collapsed="false">
      <c r="A26" s="2" t="n">
        <f aca="false">'V_DATOS PAC_SGA'!CC21</f>
        <v>0</v>
      </c>
      <c r="B26" s="2" t="n">
        <f aca="false">IF(OR(A26=0,A26=""),0,IF(I26="IV",CONCATENATE('V_DATOS PAC_SGA'!CC21,"4")+0,CONCATENATE('V_DATOS PAC_SGA'!CC21,"0")+0))</f>
        <v>0</v>
      </c>
      <c r="C26" s="2" t="n">
        <f aca="false">'V_DATOS PAC_SGA'!CD21</f>
        <v>0</v>
      </c>
      <c r="D26" s="1409" t="n">
        <f aca="false">'V_DATOS PAC_SGA'!Y21</f>
        <v>0</v>
      </c>
      <c r="E26" s="1410" t="str">
        <f aca="false">IF('V_DATOS PAC_SGA'!AV21="","Regadio",'V_DATOS PAC_SGA'!AV21)</f>
        <v>Regadio</v>
      </c>
      <c r="F26" s="1411" t="n">
        <f aca="false">'V_DATOS PAC_SGA'!BK21</f>
        <v>0</v>
      </c>
      <c r="G26" s="1412" t="n">
        <f aca="false">'V_DATOS PAC_SGA'!AN21</f>
        <v>0</v>
      </c>
      <c r="H26" s="1413" t="str">
        <f aca="false">IF(B26&gt;0,VLOOKUP(B26,'O_MN, PE_UTA_UGM 2024'!E$3:O$419,10),"")</f>
        <v/>
      </c>
      <c r="I26" s="1359" t="str">
        <f aca="false">IF('V_DATOS PAC_SGA'!BV21="IV",'V_DATOS PAC_SGA'!BV21,"")</f>
        <v/>
      </c>
      <c r="J26" s="2" t="str">
        <f aca="false">IF($A26&gt;0,IF(AND(J$4=$G26,J$6=$F26),$D26*J$5,""),"")</f>
        <v/>
      </c>
      <c r="K26" s="2" t="str">
        <f aca="false">IF($A26&gt;0,IF(AND(K$4=$G26,K$6=$F26),$D26*K$5,""),"")</f>
        <v/>
      </c>
      <c r="L26" s="2" t="str">
        <f aca="false">IF($A26&gt;0,IF(AND(L$4=$G26,L$6=$F26),$D26*L$5,""),"")</f>
        <v/>
      </c>
      <c r="M26" s="2" t="str">
        <f aca="false">IF($A26&gt;0,IF(AND(M$4=$G26,M$6=$F26),$D26*M$5,""),"")</f>
        <v/>
      </c>
      <c r="N26" s="1506" t="n">
        <f aca="false">VLOOKUP(B26,'O_MN, PE_UTA_UGM 2024'!$E$2:$K$419,IF(G26&gt;1,6,7))</f>
        <v>0</v>
      </c>
      <c r="O26" s="1434" t="str">
        <f aca="false">IF($H26=O$4,$D26*$N26,"")</f>
        <v/>
      </c>
      <c r="P26" s="1435" t="str">
        <f aca="false">IF($H26=P$4,$D26*$N26,"")</f>
        <v/>
      </c>
      <c r="Q26" s="1435" t="str">
        <f aca="false">IF($H26=Q$4,$D26*$N26,"")</f>
        <v/>
      </c>
      <c r="R26" s="1435" t="str">
        <f aca="false">IF($H26=R$4,$D26*$N26,"")</f>
        <v/>
      </c>
      <c r="S26" s="1435" t="str">
        <f aca="false">IF($H26=S$4,$D26*$N26,"")</f>
        <v/>
      </c>
      <c r="T26" s="1435" t="str">
        <f aca="false">IF($H26=T$4,$D26*$N26,"")</f>
        <v/>
      </c>
      <c r="U26" s="1436" t="str">
        <f aca="false">IF($H26=U$4,$D26*$N26,"")</f>
        <v/>
      </c>
      <c r="V26" s="1418"/>
      <c r="W26" s="1419"/>
      <c r="X26" s="1419"/>
      <c r="Y26" s="1419"/>
      <c r="Z26" s="1419"/>
      <c r="AA26" s="1419"/>
      <c r="AB26" s="1420"/>
      <c r="AC26" s="1319"/>
      <c r="AD26" s="2" t="str">
        <f aca="false">IF(AND(AD$4=$G26,AD$6=$F26),$B26,"")</f>
        <v/>
      </c>
      <c r="AE26" s="2" t="str">
        <f aca="false">IF(AND(AE$4=$G26,AE$6=$F26),$B26,"")</f>
        <v/>
      </c>
      <c r="AF26" s="2" t="str">
        <f aca="false">IF(AND(AF$4=$G26,AF$6=$F26),$B26,"")</f>
        <v/>
      </c>
      <c r="AG26" s="2" t="str">
        <f aca="false">IF(AND(AG$4=$G26,AG$6=$F26),$B26,"")</f>
        <v/>
      </c>
      <c r="AI26" s="366"/>
      <c r="AL26" s="367"/>
      <c r="AO26" s="367"/>
      <c r="AP26" s="2" t="str">
        <f aca="false">IF(AT26&gt;0,RANK(AT26,AT$7:AT$423),"")</f>
        <v/>
      </c>
      <c r="AQ26" s="2" t="n">
        <f aca="false">'O_MN, PE_UTA_UGM 2024'!C22</f>
        <v>35</v>
      </c>
      <c r="AR26" s="1421" t="n">
        <v>350</v>
      </c>
      <c r="AS26" s="2" t="str">
        <f aca="false">IF(AY26&lt;&gt;"",AY26,"")</f>
        <v/>
      </c>
      <c r="AT26" s="1422" t="n">
        <f aca="false">IF(ISNUMBER($AR26),SUMIF(B$7:B$505,AR26,D$7:D$505),"")</f>
        <v>0</v>
      </c>
      <c r="AU26" s="1411" t="n">
        <f aca="false">IF(ISNUMBER($AR26),SUMIF(AD$7:AD$503,$AR26,J$7:J$503),"")</f>
        <v>0</v>
      </c>
      <c r="AV26" s="1411" t="n">
        <f aca="false">IF(ISNUMBER($AR26),SUMIF(AF$7:AF$503,$AR26,L$7:L$503),"")</f>
        <v>0</v>
      </c>
      <c r="AW26" s="1423" t="n">
        <f aca="false">IF(ISNUMBER($AR26),SUMIF(AE$7:AE$503,$AR26,K$7:K$503),"")</f>
        <v>0</v>
      </c>
      <c r="AX26" s="1423" t="n">
        <f aca="false">IF(ISNUMBER($AR26),SUMIF(AG$7:AG$503,$AR26,M$7:M$503),"")</f>
        <v>0</v>
      </c>
      <c r="AY26" s="2" t="str">
        <f aca="false">IF($AT26&gt;0,VLOOKUP($AR26,'O_MN, PE_UTA_UGM 2024'!E22:O438,2),"")</f>
        <v/>
      </c>
      <c r="AZ26" s="1507"/>
      <c r="BA26" s="1507"/>
      <c r="BB26" s="1507" t="str">
        <f aca="false">IF($AT26&gt;0,VLOOKUP($AR26,'O_MN, PE_UTA_UGM 2024'!$E$3:$O$419,BB$6),"")</f>
        <v/>
      </c>
      <c r="BC26" s="1507" t="str">
        <f aca="false">IF($AT26&gt;0,VLOOKUP($AR26,'O_MN, PE_UTA_UGM 2024'!$E$3:$O$419,BC$6),"")</f>
        <v/>
      </c>
      <c r="BD26" s="1507" t="str">
        <f aca="false">IF($AT26&gt;0,VLOOKUP($AR26,'O_MN, PE_UTA_UGM 2024'!$E$3:$O$419,BD$6),"")</f>
        <v/>
      </c>
      <c r="BE26" s="1507" t="str">
        <f aca="false">IF($AT26&gt;0,VLOOKUP($AR26,'O_MN, PE_UTA_UGM 2024'!$E$3:$O$419,BE$6),"")</f>
        <v/>
      </c>
      <c r="BF26" s="1507" t="str">
        <f aca="false">IF($AT26&gt;0,VLOOKUP($AR26,'O_MN, PE_UTA_UGM 2024'!$E$3:$O$419,BF$6),"")</f>
        <v/>
      </c>
      <c r="BG26" s="1507" t="str">
        <f aca="false">IF($AT26&gt;0,VLOOKUP($AR26,'O_MN, PE_UTA_UGM 2024'!$E$3:$O$419,BG$6),"")</f>
        <v/>
      </c>
      <c r="BH26" s="1504"/>
      <c r="BI26" s="1504"/>
      <c r="BJ26" s="1504"/>
      <c r="BK26" s="1504"/>
      <c r="BM26" s="1411"/>
      <c r="BN26" s="1411"/>
      <c r="BO26" s="1425" t="str">
        <f aca="false">IF(ISNUMBER($AU26*BB26*1),$AU26*BB26*1,"")</f>
        <v/>
      </c>
      <c r="BP26" s="1425" t="str">
        <f aca="false">IF(ISNUMBER($AV26*BC26*1),$AV26*BC26*1,"")</f>
        <v/>
      </c>
      <c r="BQ26" s="1425" t="str">
        <f aca="false">IF(ISNUMBER($AU26*BD26*1),$AU26*BD26*1,"")</f>
        <v/>
      </c>
      <c r="BR26" s="1425" t="str">
        <f aca="false">IF(ISNUMBER($AV26*BE26*1),$AV26*BE26*1,"")</f>
        <v/>
      </c>
      <c r="BS26" s="1411" t="str">
        <f aca="false">IF(ISNUMBER($AU26*BF26),$AU26*BF26,"")</f>
        <v/>
      </c>
      <c r="BT26" s="1411" t="str">
        <f aca="false">IF(ISNUMBER($AV26*BG26),$AV26*BG26,"")</f>
        <v/>
      </c>
      <c r="BU26" s="1411"/>
      <c r="BV26" s="1411"/>
      <c r="BW26" s="1411"/>
      <c r="BX26" s="1411"/>
      <c r="BZ26" s="1372"/>
      <c r="CA26" s="1372"/>
      <c r="CB26" s="1426" t="str">
        <f aca="false">IF(ISNUMBER($AW26*BB26),$AW26*BB26,"")</f>
        <v/>
      </c>
      <c r="CC26" s="1426" t="str">
        <f aca="false">IF(ISNUMBER($AX26*BC26),$AX26*BC26,"")</f>
        <v/>
      </c>
      <c r="CD26" s="1426" t="str">
        <f aca="false">IF(ISNUMBER($AW26*BD26),$AW26*BD26,"")</f>
        <v/>
      </c>
      <c r="CE26" s="1426" t="str">
        <f aca="false">IF(ISNUMBER($AX26*BE26),$AX26*BE26,"")</f>
        <v/>
      </c>
      <c r="CF26" s="1372" t="str">
        <f aca="false">IF(ISNUMBER($AW26*BF26),$AW26*BF26,"")</f>
        <v/>
      </c>
      <c r="CG26" s="1372" t="str">
        <f aca="false">IF(ISNUMBER($AX26*BG26),$AX26*BG26,"")</f>
        <v/>
      </c>
      <c r="CH26" s="1438"/>
      <c r="CI26" s="1438"/>
      <c r="CJ26" s="1438"/>
      <c r="CK26" s="1438"/>
      <c r="CU26" s="1411"/>
      <c r="CV26" s="1411"/>
      <c r="CW26" s="1425"/>
      <c r="CX26" s="1425"/>
      <c r="CY26" s="1425"/>
      <c r="CZ26" s="1425"/>
      <c r="DA26" s="1411"/>
      <c r="DB26" s="1411"/>
      <c r="DC26" s="1411"/>
      <c r="DD26" s="1411"/>
      <c r="DE26" s="1411"/>
      <c r="DF26" s="1411"/>
      <c r="DH26" s="1432"/>
      <c r="DI26" s="1432"/>
      <c r="DJ26" s="1437"/>
      <c r="DK26" s="1437"/>
      <c r="DL26" s="1437"/>
      <c r="DM26" s="1437"/>
      <c r="DN26" s="1432"/>
      <c r="DO26" s="1432"/>
      <c r="DP26" s="1432"/>
      <c r="DQ26" s="1432"/>
      <c r="DR26" s="1432"/>
      <c r="DS26" s="1432"/>
      <c r="DT26" s="1316"/>
      <c r="DU26" s="1433"/>
      <c r="DV26" s="1433"/>
      <c r="DW26" s="1433"/>
      <c r="DX26" s="1433"/>
      <c r="DY26" s="1433"/>
      <c r="DZ26" s="1433"/>
      <c r="EA26" s="1433"/>
      <c r="EB26" s="1433"/>
    </row>
    <row r="27" customFormat="false" ht="14.25" hidden="false" customHeight="false" outlineLevel="0" collapsed="false">
      <c r="A27" s="2" t="n">
        <f aca="false">'V_DATOS PAC_SGA'!CC22</f>
        <v>0</v>
      </c>
      <c r="B27" s="2" t="n">
        <f aca="false">IF(OR(A27=0,A27=""),0,IF(I27="IV",CONCATENATE('V_DATOS PAC_SGA'!CC22,"4")+0,CONCATENATE('V_DATOS PAC_SGA'!CC22,"0")+0))</f>
        <v>0</v>
      </c>
      <c r="C27" s="2" t="n">
        <f aca="false">'V_DATOS PAC_SGA'!CD22</f>
        <v>0</v>
      </c>
      <c r="D27" s="1409" t="n">
        <f aca="false">'V_DATOS PAC_SGA'!Y22</f>
        <v>0</v>
      </c>
      <c r="E27" s="1410" t="str">
        <f aca="false">IF('V_DATOS PAC_SGA'!AV22="","Regadio",'V_DATOS PAC_SGA'!AV22)</f>
        <v>Regadio</v>
      </c>
      <c r="F27" s="1411" t="n">
        <f aca="false">'V_DATOS PAC_SGA'!BK22</f>
        <v>0</v>
      </c>
      <c r="G27" s="1412" t="n">
        <f aca="false">'V_DATOS PAC_SGA'!AN22</f>
        <v>0</v>
      </c>
      <c r="H27" s="1413" t="str">
        <f aca="false">IF(B27&gt;0,VLOOKUP(B27,'O_MN, PE_UTA_UGM 2024'!E$3:O$419,10),"")</f>
        <v/>
      </c>
      <c r="I27" s="1359" t="str">
        <f aca="false">IF('V_DATOS PAC_SGA'!BV22="IV",'V_DATOS PAC_SGA'!BV22,"")</f>
        <v/>
      </c>
      <c r="J27" s="2" t="str">
        <f aca="false">IF($A27&gt;0,IF(AND(J$4=$G27,J$6=$F27),$D27*J$5,""),"")</f>
        <v/>
      </c>
      <c r="K27" s="2" t="str">
        <f aca="false">IF($A27&gt;0,IF(AND(K$4=$G27,K$6=$F27),$D27*K$5,""),"")</f>
        <v/>
      </c>
      <c r="L27" s="2" t="str">
        <f aca="false">IF($A27&gt;0,IF(AND(L$4=$G27,L$6=$F27),$D27*L$5,""),"")</f>
        <v/>
      </c>
      <c r="M27" s="2" t="str">
        <f aca="false">IF($A27&gt;0,IF(AND(M$4=$G27,M$6=$F27),$D27*M$5,""),"")</f>
        <v/>
      </c>
      <c r="N27" s="1506" t="n">
        <f aca="false">VLOOKUP(B27,'O_MN, PE_UTA_UGM 2024'!$E$2:$K$419,IF(G27&gt;1,6,7))</f>
        <v>0</v>
      </c>
      <c r="O27" s="1434" t="str">
        <f aca="false">IF($H27=O$4,$D27*$N27,"")</f>
        <v/>
      </c>
      <c r="P27" s="1435" t="str">
        <f aca="false">IF($H27=P$4,$D27*$N27,"")</f>
        <v/>
      </c>
      <c r="Q27" s="1435" t="str">
        <f aca="false">IF($H27=Q$4,$D27*$N27,"")</f>
        <v/>
      </c>
      <c r="R27" s="1435" t="str">
        <f aca="false">IF($H27=R$4,$D27*$N27,"")</f>
        <v/>
      </c>
      <c r="S27" s="1435" t="str">
        <f aca="false">IF($H27=S$4,$D27*$N27,"")</f>
        <v/>
      </c>
      <c r="T27" s="1435" t="str">
        <f aca="false">IF($H27=T$4,$D27*$N27,"")</f>
        <v/>
      </c>
      <c r="U27" s="1436" t="str">
        <f aca="false">IF($H27=U$4,$D27*$N27,"")</f>
        <v/>
      </c>
      <c r="V27" s="1418"/>
      <c r="W27" s="1419"/>
      <c r="X27" s="1419"/>
      <c r="Y27" s="1419"/>
      <c r="Z27" s="1419"/>
      <c r="AA27" s="1419"/>
      <c r="AB27" s="1420"/>
      <c r="AC27" s="1319"/>
      <c r="AD27" s="2" t="str">
        <f aca="false">IF(AND(AD$4=$G27,AD$6=$F27),$B27,"")</f>
        <v/>
      </c>
      <c r="AE27" s="2" t="str">
        <f aca="false">IF(AND(AE$4=$G27,AE$6=$F27),$B27,"")</f>
        <v/>
      </c>
      <c r="AF27" s="2" t="str">
        <f aca="false">IF(AND(AF$4=$G27,AF$6=$F27),$B27,"")</f>
        <v/>
      </c>
      <c r="AG27" s="2" t="str">
        <f aca="false">IF(AND(AG$4=$G27,AG$6=$F27),$B27,"")</f>
        <v/>
      </c>
      <c r="AI27" s="366"/>
      <c r="AL27" s="367"/>
      <c r="AO27" s="367"/>
      <c r="AP27" s="2" t="str">
        <f aca="false">IF(AT27&gt;0,RANK(AT27,AT$7:AT$423),"")</f>
        <v/>
      </c>
      <c r="AQ27" s="2" t="n">
        <f aca="false">'O_MN, PE_UTA_UGM 2024'!C23</f>
        <v>36</v>
      </c>
      <c r="AR27" s="1421" t="n">
        <v>360</v>
      </c>
      <c r="AS27" s="2" t="str">
        <f aca="false">IF(AY27&lt;&gt;"",AY27,"")</f>
        <v/>
      </c>
      <c r="AT27" s="1422" t="n">
        <f aca="false">IF(ISNUMBER($AR27),SUMIF(B$7:B$505,AR27,D$7:D$505),"")</f>
        <v>0</v>
      </c>
      <c r="AU27" s="1411" t="n">
        <f aca="false">IF(ISNUMBER($AR27),SUMIF(AD$7:AD$503,$AR27,J$7:J$503),"")</f>
        <v>0</v>
      </c>
      <c r="AV27" s="1411" t="n">
        <f aca="false">IF(ISNUMBER($AR27),SUMIF(AF$7:AF$503,$AR27,L$7:L$503),"")</f>
        <v>0</v>
      </c>
      <c r="AW27" s="1423" t="n">
        <f aca="false">IF(ISNUMBER($AR27),SUMIF(AE$7:AE$503,$AR27,K$7:K$503),"")</f>
        <v>0</v>
      </c>
      <c r="AX27" s="1423" t="n">
        <f aca="false">IF(ISNUMBER($AR27),SUMIF(AG$7:AG$503,$AR27,M$7:M$503),"")</f>
        <v>0</v>
      </c>
      <c r="AY27" s="2" t="str">
        <f aca="false">IF($AT27&gt;0,VLOOKUP($AR27,'O_MN, PE_UTA_UGM 2024'!E23:O439,2),"")</f>
        <v/>
      </c>
      <c r="AZ27" s="1507"/>
      <c r="BA27" s="1507"/>
      <c r="BB27" s="1507" t="str">
        <f aca="false">IF($AT27&gt;0,VLOOKUP($AR27,'O_MN, PE_UTA_UGM 2024'!$E$3:$O$419,BB$6),"")</f>
        <v/>
      </c>
      <c r="BC27" s="1507" t="str">
        <f aca="false">IF($AT27&gt;0,VLOOKUP($AR27,'O_MN, PE_UTA_UGM 2024'!$E$3:$O$419,BC$6),"")</f>
        <v/>
      </c>
      <c r="BD27" s="1507" t="str">
        <f aca="false">IF($AT27&gt;0,VLOOKUP($AR27,'O_MN, PE_UTA_UGM 2024'!$E$3:$O$419,BD$6),"")</f>
        <v/>
      </c>
      <c r="BE27" s="1507" t="str">
        <f aca="false">IF($AT27&gt;0,VLOOKUP($AR27,'O_MN, PE_UTA_UGM 2024'!$E$3:$O$419,BE$6),"")</f>
        <v/>
      </c>
      <c r="BF27" s="1507" t="str">
        <f aca="false">IF($AT27&gt;0,VLOOKUP($AR27,'O_MN, PE_UTA_UGM 2024'!$E$3:$O$419,BF$6),"")</f>
        <v/>
      </c>
      <c r="BG27" s="1507" t="str">
        <f aca="false">IF($AT27&gt;0,VLOOKUP($AR27,'O_MN, PE_UTA_UGM 2024'!$E$3:$O$419,BG$6),"")</f>
        <v/>
      </c>
      <c r="BH27" s="1504"/>
      <c r="BI27" s="1504"/>
      <c r="BJ27" s="1504"/>
      <c r="BK27" s="1504"/>
      <c r="BM27" s="1411"/>
      <c r="BN27" s="1411"/>
      <c r="BO27" s="1425" t="str">
        <f aca="false">IF(ISNUMBER($AU27*BB27*1),$AU27*BB27*1,"")</f>
        <v/>
      </c>
      <c r="BP27" s="1425" t="str">
        <f aca="false">IF(ISNUMBER($AV27*BC27*1),$AV27*BC27*1,"")</f>
        <v/>
      </c>
      <c r="BQ27" s="1425" t="str">
        <f aca="false">IF(ISNUMBER($AU27*BD27*1),$AU27*BD27*1,"")</f>
        <v/>
      </c>
      <c r="BR27" s="1425" t="str">
        <f aca="false">IF(ISNUMBER($AV27*BE27*1),$AV27*BE27*1,"")</f>
        <v/>
      </c>
      <c r="BS27" s="1411" t="str">
        <f aca="false">IF(ISNUMBER($AU27*BF27),$AU27*BF27,"")</f>
        <v/>
      </c>
      <c r="BT27" s="1411" t="str">
        <f aca="false">IF(ISNUMBER($AV27*BG27),$AV27*BG27,"")</f>
        <v/>
      </c>
      <c r="BU27" s="1411"/>
      <c r="BV27" s="1411"/>
      <c r="BW27" s="1411"/>
      <c r="BX27" s="1411"/>
      <c r="BZ27" s="1372"/>
      <c r="CA27" s="1372"/>
      <c r="CB27" s="1426" t="str">
        <f aca="false">IF(ISNUMBER($AW27*BB27),$AW27*BB27,"")</f>
        <v/>
      </c>
      <c r="CC27" s="1426" t="str">
        <f aca="false">IF(ISNUMBER($AX27*BC27),$AX27*BC27,"")</f>
        <v/>
      </c>
      <c r="CD27" s="1426" t="str">
        <f aca="false">IF(ISNUMBER($AW27*BD27),$AW27*BD27,"")</f>
        <v/>
      </c>
      <c r="CE27" s="1426" t="str">
        <f aca="false">IF(ISNUMBER($AX27*BE27),$AX27*BE27,"")</f>
        <v/>
      </c>
      <c r="CF27" s="1372" t="str">
        <f aca="false">IF(ISNUMBER($AW27*BF27),$AW27*BF27,"")</f>
        <v/>
      </c>
      <c r="CG27" s="1372" t="str">
        <f aca="false">IF(ISNUMBER($AX27*BG27),$AX27*BG27,"")</f>
        <v/>
      </c>
      <c r="CH27" s="1438"/>
      <c r="CI27" s="1438"/>
      <c r="CJ27" s="1438"/>
      <c r="CK27" s="1438"/>
      <c r="CU27" s="1411"/>
      <c r="CV27" s="1411"/>
      <c r="CW27" s="1425"/>
      <c r="CX27" s="1425"/>
      <c r="CY27" s="1425"/>
      <c r="CZ27" s="1425"/>
      <c r="DA27" s="1411"/>
      <c r="DB27" s="1411"/>
      <c r="DC27" s="1411"/>
      <c r="DD27" s="1411"/>
      <c r="DE27" s="1411"/>
      <c r="DF27" s="1411"/>
      <c r="DH27" s="1432"/>
      <c r="DI27" s="1432"/>
      <c r="DJ27" s="1437"/>
      <c r="DK27" s="1437"/>
      <c r="DL27" s="1437"/>
      <c r="DM27" s="1437"/>
      <c r="DN27" s="1432"/>
      <c r="DO27" s="1432"/>
      <c r="DP27" s="1432"/>
      <c r="DQ27" s="1432"/>
      <c r="DR27" s="1432"/>
      <c r="DS27" s="1432"/>
      <c r="DT27" s="1316"/>
      <c r="DU27" s="1433"/>
      <c r="DV27" s="1433"/>
      <c r="DW27" s="1433"/>
      <c r="DX27" s="1433"/>
      <c r="DY27" s="1433"/>
      <c r="DZ27" s="1433"/>
      <c r="EA27" s="1433"/>
      <c r="EB27" s="1433"/>
    </row>
    <row r="28" customFormat="false" ht="14.25" hidden="false" customHeight="false" outlineLevel="0" collapsed="false">
      <c r="A28" s="2" t="n">
        <f aca="false">'V_DATOS PAC_SGA'!CC23</f>
        <v>0</v>
      </c>
      <c r="B28" s="2" t="n">
        <f aca="false">IF(OR(A28=0,A28=""),0,IF(I28="IV",CONCATENATE('V_DATOS PAC_SGA'!CC23,"4")+0,CONCATENATE('V_DATOS PAC_SGA'!CC23,"0")+0))</f>
        <v>0</v>
      </c>
      <c r="C28" s="2" t="n">
        <f aca="false">'V_DATOS PAC_SGA'!CD23</f>
        <v>0</v>
      </c>
      <c r="D28" s="1409" t="n">
        <f aca="false">'V_DATOS PAC_SGA'!Y23</f>
        <v>0</v>
      </c>
      <c r="E28" s="1410" t="str">
        <f aca="false">IF('V_DATOS PAC_SGA'!AV23="","Regadio",'V_DATOS PAC_SGA'!AV23)</f>
        <v>Regadio</v>
      </c>
      <c r="F28" s="1411" t="n">
        <f aca="false">'V_DATOS PAC_SGA'!BK23</f>
        <v>0</v>
      </c>
      <c r="G28" s="1412" t="n">
        <f aca="false">'V_DATOS PAC_SGA'!AN23</f>
        <v>0</v>
      </c>
      <c r="H28" s="1413" t="str">
        <f aca="false">IF(B28&gt;0,VLOOKUP(B28,'O_MN, PE_UTA_UGM 2024'!E$3:O$419,10),"")</f>
        <v/>
      </c>
      <c r="I28" s="1359" t="str">
        <f aca="false">IF('V_DATOS PAC_SGA'!BV23="IV",'V_DATOS PAC_SGA'!BV23,"")</f>
        <v/>
      </c>
      <c r="J28" s="2" t="str">
        <f aca="false">IF($A28&gt;0,IF(AND(J$4=$G28,J$6=$F28),$D28*J$5,""),"")</f>
        <v/>
      </c>
      <c r="K28" s="2" t="str">
        <f aca="false">IF($A28&gt;0,IF(AND(K$4=$G28,K$6=$F28),$D28*K$5,""),"")</f>
        <v/>
      </c>
      <c r="L28" s="2" t="str">
        <f aca="false">IF($A28&gt;0,IF(AND(L$4=$G28,L$6=$F28),$D28*L$5,""),"")</f>
        <v/>
      </c>
      <c r="M28" s="2" t="str">
        <f aca="false">IF($A28&gt;0,IF(AND(M$4=$G28,M$6=$F28),$D28*M$5,""),"")</f>
        <v/>
      </c>
      <c r="N28" s="1506" t="n">
        <f aca="false">VLOOKUP(B28,'O_MN, PE_UTA_UGM 2024'!$E$2:$K$419,IF(G28&gt;1,6,7))</f>
        <v>0</v>
      </c>
      <c r="O28" s="1434" t="str">
        <f aca="false">IF($H28=O$4,$D28*$N28,"")</f>
        <v/>
      </c>
      <c r="P28" s="1435" t="str">
        <f aca="false">IF($H28=P$4,$D28*$N28,"")</f>
        <v/>
      </c>
      <c r="Q28" s="1435" t="str">
        <f aca="false">IF($H28=Q$4,$D28*$N28,"")</f>
        <v/>
      </c>
      <c r="R28" s="1435" t="str">
        <f aca="false">IF($H28=R$4,$D28*$N28,"")</f>
        <v/>
      </c>
      <c r="S28" s="1435" t="str">
        <f aca="false">IF($H28=S$4,$D28*$N28,"")</f>
        <v/>
      </c>
      <c r="T28" s="1435" t="str">
        <f aca="false">IF($H28=T$4,$D28*$N28,"")</f>
        <v/>
      </c>
      <c r="U28" s="1436" t="str">
        <f aca="false">IF($H28=U$4,$D28*$N28,"")</f>
        <v/>
      </c>
      <c r="V28" s="1418"/>
      <c r="W28" s="1419"/>
      <c r="X28" s="1419"/>
      <c r="Y28" s="1419"/>
      <c r="Z28" s="1419"/>
      <c r="AA28" s="1419"/>
      <c r="AB28" s="1420"/>
      <c r="AC28" s="1319"/>
      <c r="AD28" s="2" t="str">
        <f aca="false">IF(AND(AD$4=$G28,AD$6=$F28),$B28,"")</f>
        <v/>
      </c>
      <c r="AE28" s="2" t="str">
        <f aca="false">IF(AND(AE$4=$G28,AE$6=$F28),$B28,"")</f>
        <v/>
      </c>
      <c r="AF28" s="2" t="str">
        <f aca="false">IF(AND(AF$4=$G28,AF$6=$F28),$B28,"")</f>
        <v/>
      </c>
      <c r="AG28" s="2" t="str">
        <f aca="false">IF(AND(AG$4=$G28,AG$6=$F28),$B28,"")</f>
        <v/>
      </c>
      <c r="AI28" s="366"/>
      <c r="AL28" s="367"/>
      <c r="AO28" s="367"/>
      <c r="AP28" s="2" t="str">
        <f aca="false">IF(AT28&gt;0,RANK(AT28,AT$7:AT$423),"")</f>
        <v/>
      </c>
      <c r="AQ28" s="2" t="n">
        <f aca="false">'O_MN, PE_UTA_UGM 2024'!C24</f>
        <v>40</v>
      </c>
      <c r="AR28" s="1421" t="n">
        <v>400</v>
      </c>
      <c r="AS28" s="2" t="str">
        <f aca="false">IF(AY28&lt;&gt;"",AY28,"")</f>
        <v/>
      </c>
      <c r="AT28" s="1422" t="n">
        <f aca="false">IF(ISNUMBER($AR28),SUMIF(B$7:B$505,AR28,D$7:D$505),"")</f>
        <v>0</v>
      </c>
      <c r="AU28" s="1411" t="n">
        <f aca="false">IF(ISNUMBER($AR28),SUMIF(AD$7:AD$503,$AR28,J$7:J$503),"")</f>
        <v>0</v>
      </c>
      <c r="AV28" s="1411" t="n">
        <f aca="false">IF(ISNUMBER($AR28),SUMIF(AF$7:AF$503,$AR28,L$7:L$503),"")</f>
        <v>0</v>
      </c>
      <c r="AW28" s="1423" t="n">
        <f aca="false">IF(ISNUMBER($AR28),SUMIF(AE$7:AE$503,$AR28,K$7:K$503),"")</f>
        <v>0</v>
      </c>
      <c r="AX28" s="1423" t="n">
        <f aca="false">IF(ISNUMBER($AR28),SUMIF(AG$7:AG$503,$AR28,M$7:M$503),"")</f>
        <v>0</v>
      </c>
      <c r="AY28" s="2" t="str">
        <f aca="false">IF($AT28&gt;0,VLOOKUP($AR28,'O_MN, PE_UTA_UGM 2024'!E24:O440,2),"")</f>
        <v/>
      </c>
      <c r="AZ28" s="1507"/>
      <c r="BA28" s="1507"/>
      <c r="BB28" s="1507" t="str">
        <f aca="false">IF($AT28&gt;0,VLOOKUP($AR28,'O_MN, PE_UTA_UGM 2024'!$E$3:$O$419,BB$6),"")</f>
        <v/>
      </c>
      <c r="BC28" s="1507" t="str">
        <f aca="false">IF($AT28&gt;0,VLOOKUP($AR28,'O_MN, PE_UTA_UGM 2024'!$E$3:$O$419,BC$6),"")</f>
        <v/>
      </c>
      <c r="BD28" s="1507" t="str">
        <f aca="false">IF($AT28&gt;0,VLOOKUP($AR28,'O_MN, PE_UTA_UGM 2024'!$E$3:$O$419,BD$6),"")</f>
        <v/>
      </c>
      <c r="BE28" s="1507" t="str">
        <f aca="false">IF($AT28&gt;0,VLOOKUP($AR28,'O_MN, PE_UTA_UGM 2024'!$E$3:$O$419,BE$6),"")</f>
        <v/>
      </c>
      <c r="BF28" s="1507" t="str">
        <f aca="false">IF($AT28&gt;0,VLOOKUP($AR28,'O_MN, PE_UTA_UGM 2024'!$E$3:$O$419,BF$6),"")</f>
        <v/>
      </c>
      <c r="BG28" s="1507" t="str">
        <f aca="false">IF($AT28&gt;0,VLOOKUP($AR28,'O_MN, PE_UTA_UGM 2024'!$E$3:$O$419,BG$6),"")</f>
        <v/>
      </c>
      <c r="BH28" s="1504"/>
      <c r="BI28" s="1504"/>
      <c r="BJ28" s="1504"/>
      <c r="BK28" s="1504"/>
      <c r="BM28" s="1411"/>
      <c r="BN28" s="1411"/>
      <c r="BO28" s="1425" t="str">
        <f aca="false">IF(ISNUMBER($AU28*BB28*1),$AU28*BB28*1,"")</f>
        <v/>
      </c>
      <c r="BP28" s="1425" t="str">
        <f aca="false">IF(ISNUMBER($AV28*BC28*1),$AV28*BC28*1,"")</f>
        <v/>
      </c>
      <c r="BQ28" s="1425" t="str">
        <f aca="false">IF(ISNUMBER($AU28*BD28*1),$AU28*BD28*1,"")</f>
        <v/>
      </c>
      <c r="BR28" s="1425" t="str">
        <f aca="false">IF(ISNUMBER($AV28*BE28*1),$AV28*BE28*1,"")</f>
        <v/>
      </c>
      <c r="BS28" s="1411" t="str">
        <f aca="false">IF(ISNUMBER($AU28*BF28),$AU28*BF28,"")</f>
        <v/>
      </c>
      <c r="BT28" s="1411" t="str">
        <f aca="false">IF(ISNUMBER($AV28*BG28),$AV28*BG28,"")</f>
        <v/>
      </c>
      <c r="BU28" s="1411"/>
      <c r="BV28" s="1411"/>
      <c r="BW28" s="1411"/>
      <c r="BX28" s="1411"/>
      <c r="BZ28" s="1372"/>
      <c r="CA28" s="1372"/>
      <c r="CB28" s="1426" t="str">
        <f aca="false">IF(ISNUMBER($AW28*BB28),$AW28*BB28,"")</f>
        <v/>
      </c>
      <c r="CC28" s="1426" t="str">
        <f aca="false">IF(ISNUMBER($AX28*BC28),$AX28*BC28,"")</f>
        <v/>
      </c>
      <c r="CD28" s="1426" t="str">
        <f aca="false">IF(ISNUMBER($AW28*BD28),$AW28*BD28,"")</f>
        <v/>
      </c>
      <c r="CE28" s="1426" t="str">
        <f aca="false">IF(ISNUMBER($AX28*BE28),$AX28*BE28,"")</f>
        <v/>
      </c>
      <c r="CF28" s="1372" t="str">
        <f aca="false">IF(ISNUMBER($AW28*BF28),$AW28*BF28,"")</f>
        <v/>
      </c>
      <c r="CG28" s="1372" t="str">
        <f aca="false">IF(ISNUMBER($AX28*BG28),$AX28*BG28,"")</f>
        <v/>
      </c>
      <c r="CH28" s="1438"/>
      <c r="CI28" s="1438"/>
      <c r="CJ28" s="1438"/>
      <c r="CK28" s="1438"/>
      <c r="CU28" s="1411"/>
      <c r="CV28" s="1411"/>
      <c r="CW28" s="1425"/>
      <c r="CX28" s="1425"/>
      <c r="CY28" s="1425"/>
      <c r="CZ28" s="1425"/>
      <c r="DA28" s="1411"/>
      <c r="DB28" s="1411"/>
      <c r="DC28" s="1411"/>
      <c r="DD28" s="1411"/>
      <c r="DE28" s="1411"/>
      <c r="DF28" s="1411"/>
      <c r="DH28" s="1432"/>
      <c r="DI28" s="1432"/>
      <c r="DJ28" s="1437"/>
      <c r="DK28" s="1437"/>
      <c r="DL28" s="1437"/>
      <c r="DM28" s="1437"/>
      <c r="DN28" s="1432"/>
      <c r="DO28" s="1432"/>
      <c r="DP28" s="1432"/>
      <c r="DQ28" s="1432"/>
      <c r="DR28" s="1432"/>
      <c r="DS28" s="1432"/>
      <c r="DT28" s="1316"/>
      <c r="DU28" s="1433"/>
      <c r="DV28" s="1433"/>
      <c r="DW28" s="1433"/>
      <c r="DX28" s="1433"/>
      <c r="DY28" s="1433"/>
      <c r="DZ28" s="1433"/>
      <c r="EA28" s="1433"/>
      <c r="EB28" s="1433"/>
    </row>
    <row r="29" customFormat="false" ht="14.25" hidden="false" customHeight="false" outlineLevel="0" collapsed="false">
      <c r="A29" s="2" t="n">
        <f aca="false">'V_DATOS PAC_SGA'!CC24</f>
        <v>0</v>
      </c>
      <c r="B29" s="2" t="n">
        <f aca="false">IF(OR(A29=0,A29=""),0,IF(I29="IV",CONCATENATE('V_DATOS PAC_SGA'!CC24,"4")+0,CONCATENATE('V_DATOS PAC_SGA'!CC24,"0")+0))</f>
        <v>0</v>
      </c>
      <c r="C29" s="2" t="n">
        <f aca="false">'V_DATOS PAC_SGA'!CD24</f>
        <v>0</v>
      </c>
      <c r="D29" s="1409" t="n">
        <f aca="false">'V_DATOS PAC_SGA'!Y24</f>
        <v>0</v>
      </c>
      <c r="E29" s="1410" t="str">
        <f aca="false">IF('V_DATOS PAC_SGA'!AV24="","Regadio",'V_DATOS PAC_SGA'!AV24)</f>
        <v>Regadio</v>
      </c>
      <c r="F29" s="1411" t="n">
        <f aca="false">'V_DATOS PAC_SGA'!BK24</f>
        <v>0</v>
      </c>
      <c r="G29" s="1412" t="n">
        <f aca="false">'V_DATOS PAC_SGA'!AN24</f>
        <v>0</v>
      </c>
      <c r="H29" s="1413" t="str">
        <f aca="false">IF(B29&gt;0,VLOOKUP(B29,'O_MN, PE_UTA_UGM 2024'!E$3:O$419,10),"")</f>
        <v/>
      </c>
      <c r="I29" s="1359" t="str">
        <f aca="false">IF('V_DATOS PAC_SGA'!BV24="IV",'V_DATOS PAC_SGA'!BV24,"")</f>
        <v/>
      </c>
      <c r="J29" s="2" t="str">
        <f aca="false">IF($A29&gt;0,IF(AND(J$4=$G29,J$6=$F29),$D29*J$5,""),"")</f>
        <v/>
      </c>
      <c r="K29" s="2" t="str">
        <f aca="false">IF($A29&gt;0,IF(AND(K$4=$G29,K$6=$F29),$D29*K$5,""),"")</f>
        <v/>
      </c>
      <c r="L29" s="2" t="str">
        <f aca="false">IF($A29&gt;0,IF(AND(L$4=$G29,L$6=$F29),$D29*L$5,""),"")</f>
        <v/>
      </c>
      <c r="M29" s="2" t="str">
        <f aca="false">IF($A29&gt;0,IF(AND(M$4=$G29,M$6=$F29),$D29*M$5,""),"")</f>
        <v/>
      </c>
      <c r="N29" s="1506" t="n">
        <f aca="false">VLOOKUP(B29,'O_MN, PE_UTA_UGM 2024'!$E$2:$K$419,IF(G29&gt;1,6,7))</f>
        <v>0</v>
      </c>
      <c r="O29" s="1434" t="str">
        <f aca="false">IF($H29=O$4,$D29*$N29,"")</f>
        <v/>
      </c>
      <c r="P29" s="1435" t="str">
        <f aca="false">IF($H29=P$4,$D29*$N29,"")</f>
        <v/>
      </c>
      <c r="Q29" s="1435" t="str">
        <f aca="false">IF($H29=Q$4,$D29*$N29,"")</f>
        <v/>
      </c>
      <c r="R29" s="1435" t="str">
        <f aca="false">IF($H29=R$4,$D29*$N29,"")</f>
        <v/>
      </c>
      <c r="S29" s="1435" t="str">
        <f aca="false">IF($H29=S$4,$D29*$N29,"")</f>
        <v/>
      </c>
      <c r="T29" s="1435" t="str">
        <f aca="false">IF($H29=T$4,$D29*$N29,"")</f>
        <v/>
      </c>
      <c r="U29" s="1436" t="str">
        <f aca="false">IF($H29=U$4,$D29*$N29,"")</f>
        <v/>
      </c>
      <c r="V29" s="1418"/>
      <c r="W29" s="1419"/>
      <c r="X29" s="1419"/>
      <c r="Y29" s="1419"/>
      <c r="Z29" s="1419"/>
      <c r="AA29" s="1419"/>
      <c r="AB29" s="1420"/>
      <c r="AC29" s="1319"/>
      <c r="AD29" s="2" t="str">
        <f aca="false">IF(AND(AD$4=$G29,AD$6=$F29),$B29,"")</f>
        <v/>
      </c>
      <c r="AE29" s="2" t="str">
        <f aca="false">IF(AND(AE$4=$G29,AE$6=$F29),$B29,"")</f>
        <v/>
      </c>
      <c r="AF29" s="2" t="str">
        <f aca="false">IF(AND(AF$4=$G29,AF$6=$F29),$B29,"")</f>
        <v/>
      </c>
      <c r="AG29" s="2" t="str">
        <f aca="false">IF(AND(AG$4=$G29,AG$6=$F29),$B29,"")</f>
        <v/>
      </c>
      <c r="AI29" s="366"/>
      <c r="AL29" s="367"/>
      <c r="AO29" s="367"/>
      <c r="AP29" s="2" t="str">
        <f aca="false">IF(AT29&gt;0,RANK(AT29,AT$7:AT$423),"")</f>
        <v/>
      </c>
      <c r="AQ29" s="2" t="n">
        <f aca="false">'O_MN, PE_UTA_UGM 2024'!C25</f>
        <v>41</v>
      </c>
      <c r="AR29" s="1421" t="n">
        <v>410</v>
      </c>
      <c r="AS29" s="2" t="str">
        <f aca="false">IF(AY29&lt;&gt;"",AY29,"")</f>
        <v/>
      </c>
      <c r="AT29" s="1422" t="n">
        <f aca="false">IF(ISNUMBER($AR29),SUMIF(B$7:B$505,AR29,D$7:D$505),"")</f>
        <v>0</v>
      </c>
      <c r="AU29" s="1411" t="n">
        <f aca="false">IF(ISNUMBER($AR29),SUMIF(AD$7:AD$503,$AR29,J$7:J$503),"")</f>
        <v>0</v>
      </c>
      <c r="AV29" s="1411" t="n">
        <f aca="false">IF(ISNUMBER($AR29),SUMIF(AF$7:AF$503,$AR29,L$7:L$503),"")</f>
        <v>0</v>
      </c>
      <c r="AW29" s="1423" t="n">
        <f aca="false">IF(ISNUMBER($AR29),SUMIF(AE$7:AE$503,$AR29,K$7:K$503),"")</f>
        <v>0</v>
      </c>
      <c r="AX29" s="1423" t="n">
        <f aca="false">IF(ISNUMBER($AR29),SUMIF(AG$7:AG$503,$AR29,M$7:M$503),"")</f>
        <v>0</v>
      </c>
      <c r="AY29" s="2" t="str">
        <f aca="false">IF($AT29&gt;0,VLOOKUP($AR29,'O_MN, PE_UTA_UGM 2024'!E25:O441,2),"")</f>
        <v/>
      </c>
      <c r="AZ29" s="1507"/>
      <c r="BA29" s="1507"/>
      <c r="BB29" s="1507" t="str">
        <f aca="false">IF($AT29&gt;0,VLOOKUP($AR29,'O_MN, PE_UTA_UGM 2024'!$E$3:$O$419,BB$6),"")</f>
        <v/>
      </c>
      <c r="BC29" s="1507" t="str">
        <f aca="false">IF($AT29&gt;0,VLOOKUP($AR29,'O_MN, PE_UTA_UGM 2024'!$E$3:$O$419,BC$6),"")</f>
        <v/>
      </c>
      <c r="BD29" s="1507" t="str">
        <f aca="false">IF($AT29&gt;0,VLOOKUP($AR29,'O_MN, PE_UTA_UGM 2024'!$E$3:$O$419,BD$6),"")</f>
        <v/>
      </c>
      <c r="BE29" s="1507" t="str">
        <f aca="false">IF($AT29&gt;0,VLOOKUP($AR29,'O_MN, PE_UTA_UGM 2024'!$E$3:$O$419,BE$6),"")</f>
        <v/>
      </c>
      <c r="BF29" s="1507" t="str">
        <f aca="false">IF($AT29&gt;0,VLOOKUP($AR29,'O_MN, PE_UTA_UGM 2024'!$E$3:$O$419,BF$6),"")</f>
        <v/>
      </c>
      <c r="BG29" s="1507" t="str">
        <f aca="false">IF($AT29&gt;0,VLOOKUP($AR29,'O_MN, PE_UTA_UGM 2024'!$E$3:$O$419,BG$6),"")</f>
        <v/>
      </c>
      <c r="BH29" s="1504"/>
      <c r="BI29" s="1504"/>
      <c r="BJ29" s="1504"/>
      <c r="BK29" s="1504"/>
      <c r="BM29" s="1411"/>
      <c r="BN29" s="1411"/>
      <c r="BO29" s="1425" t="str">
        <f aca="false">IF(ISNUMBER($AU29*BB29*1),$AU29*BB29*1,"")</f>
        <v/>
      </c>
      <c r="BP29" s="1425" t="str">
        <f aca="false">IF(ISNUMBER($AV29*BC29*1),$AV29*BC29*1,"")</f>
        <v/>
      </c>
      <c r="BQ29" s="1425" t="str">
        <f aca="false">IF(ISNUMBER($AU29*BD29*1),$AU29*BD29*1,"")</f>
        <v/>
      </c>
      <c r="BR29" s="1425" t="str">
        <f aca="false">IF(ISNUMBER($AV29*BE29*1),$AV29*BE29*1,"")</f>
        <v/>
      </c>
      <c r="BS29" s="1411" t="str">
        <f aca="false">IF(ISNUMBER($AU29*BF29),$AU29*BF29,"")</f>
        <v/>
      </c>
      <c r="BT29" s="1411" t="str">
        <f aca="false">IF(ISNUMBER($AV29*BG29),$AV29*BG29,"")</f>
        <v/>
      </c>
      <c r="BU29" s="1411"/>
      <c r="BV29" s="1411"/>
      <c r="BW29" s="1411"/>
      <c r="BX29" s="1411"/>
      <c r="BZ29" s="1372"/>
      <c r="CA29" s="1372"/>
      <c r="CB29" s="1426" t="str">
        <f aca="false">IF(ISNUMBER($AW29*BB29),$AW29*BB29,"")</f>
        <v/>
      </c>
      <c r="CC29" s="1426" t="str">
        <f aca="false">IF(ISNUMBER($AX29*BC29),$AX29*BC29,"")</f>
        <v/>
      </c>
      <c r="CD29" s="1426" t="str">
        <f aca="false">IF(ISNUMBER($AW29*BD29),$AW29*BD29,"")</f>
        <v/>
      </c>
      <c r="CE29" s="1426" t="str">
        <f aca="false">IF(ISNUMBER($AX29*BE29),$AX29*BE29,"")</f>
        <v/>
      </c>
      <c r="CF29" s="1372" t="str">
        <f aca="false">IF(ISNUMBER($AW29*BF29),$AW29*BF29,"")</f>
        <v/>
      </c>
      <c r="CG29" s="1372" t="str">
        <f aca="false">IF(ISNUMBER($AX29*BG29),$AX29*BG29,"")</f>
        <v/>
      </c>
      <c r="CH29" s="1438"/>
      <c r="CI29" s="1438"/>
      <c r="CJ29" s="1438"/>
      <c r="CK29" s="1438"/>
      <c r="CU29" s="1411"/>
      <c r="CV29" s="1411"/>
      <c r="CW29" s="1425"/>
      <c r="CX29" s="1425"/>
      <c r="CY29" s="1425"/>
      <c r="CZ29" s="1425"/>
      <c r="DA29" s="1411"/>
      <c r="DB29" s="1411"/>
      <c r="DC29" s="1411"/>
      <c r="DD29" s="1411"/>
      <c r="DE29" s="1411"/>
      <c r="DF29" s="1411"/>
      <c r="DH29" s="1432"/>
      <c r="DI29" s="1432"/>
      <c r="DJ29" s="1437"/>
      <c r="DK29" s="1437"/>
      <c r="DL29" s="1437"/>
      <c r="DM29" s="1437"/>
      <c r="DN29" s="1432"/>
      <c r="DO29" s="1432"/>
      <c r="DP29" s="1432"/>
      <c r="DQ29" s="1432"/>
      <c r="DR29" s="1432"/>
      <c r="DS29" s="1432"/>
      <c r="DT29" s="1316"/>
      <c r="DU29" s="1433"/>
      <c r="DV29" s="1433"/>
      <c r="DW29" s="1433"/>
      <c r="DX29" s="1433"/>
      <c r="DY29" s="1433"/>
      <c r="DZ29" s="1433"/>
      <c r="EA29" s="1433"/>
      <c r="EB29" s="1433"/>
    </row>
    <row r="30" customFormat="false" ht="14.25" hidden="false" customHeight="false" outlineLevel="0" collapsed="false">
      <c r="A30" s="2" t="n">
        <f aca="false">'V_DATOS PAC_SGA'!CC25</f>
        <v>0</v>
      </c>
      <c r="B30" s="2" t="n">
        <f aca="false">IF(OR(A30=0,A30=""),0,IF(I30="IV",CONCATENATE('V_DATOS PAC_SGA'!CC25,"4")+0,CONCATENATE('V_DATOS PAC_SGA'!CC25,"0")+0))</f>
        <v>0</v>
      </c>
      <c r="C30" s="2" t="n">
        <f aca="false">'V_DATOS PAC_SGA'!CD25</f>
        <v>0</v>
      </c>
      <c r="D30" s="1409" t="n">
        <f aca="false">'V_DATOS PAC_SGA'!Y25</f>
        <v>0</v>
      </c>
      <c r="E30" s="1410" t="str">
        <f aca="false">IF('V_DATOS PAC_SGA'!AV25="","Regadio",'V_DATOS PAC_SGA'!AV25)</f>
        <v>Regadio</v>
      </c>
      <c r="F30" s="1411" t="n">
        <f aca="false">'V_DATOS PAC_SGA'!BK25</f>
        <v>0</v>
      </c>
      <c r="G30" s="1412" t="n">
        <f aca="false">'V_DATOS PAC_SGA'!AN25</f>
        <v>0</v>
      </c>
      <c r="H30" s="1413" t="str">
        <f aca="false">IF(B30&gt;0,VLOOKUP(B30,'O_MN, PE_UTA_UGM 2024'!E$3:O$419,10),"")</f>
        <v/>
      </c>
      <c r="I30" s="1359" t="str">
        <f aca="false">IF('V_DATOS PAC_SGA'!BV25="IV",'V_DATOS PAC_SGA'!BV25,"")</f>
        <v/>
      </c>
      <c r="J30" s="2" t="str">
        <f aca="false">IF($A30&gt;0,IF(AND(J$4=$G30,J$6=$F30),$D30*J$5,""),"")</f>
        <v/>
      </c>
      <c r="K30" s="2" t="str">
        <f aca="false">IF($A30&gt;0,IF(AND(K$4=$G30,K$6=$F30),$D30*K$5,""),"")</f>
        <v/>
      </c>
      <c r="L30" s="2" t="str">
        <f aca="false">IF($A30&gt;0,IF(AND(L$4=$G30,L$6=$F30),$D30*L$5,""),"")</f>
        <v/>
      </c>
      <c r="M30" s="2" t="str">
        <f aca="false">IF($A30&gt;0,IF(AND(M$4=$G30,M$6=$F30),$D30*M$5,""),"")</f>
        <v/>
      </c>
      <c r="N30" s="1506" t="n">
        <f aca="false">VLOOKUP(B30,'O_MN, PE_UTA_UGM 2024'!$E$2:$K$419,IF(G30&gt;1,6,7))</f>
        <v>0</v>
      </c>
      <c r="O30" s="1434" t="str">
        <f aca="false">IF($H30=O$4,$D30*$N30,"")</f>
        <v/>
      </c>
      <c r="P30" s="1435" t="str">
        <f aca="false">IF($H30=P$4,$D30*$N30,"")</f>
        <v/>
      </c>
      <c r="Q30" s="1435" t="str">
        <f aca="false">IF($H30=Q$4,$D30*$N30,"")</f>
        <v/>
      </c>
      <c r="R30" s="1435" t="str">
        <f aca="false">IF($H30=R$4,$D30*$N30,"")</f>
        <v/>
      </c>
      <c r="S30" s="1435" t="str">
        <f aca="false">IF($H30=S$4,$D30*$N30,"")</f>
        <v/>
      </c>
      <c r="T30" s="1435" t="str">
        <f aca="false">IF($H30=T$4,$D30*$N30,"")</f>
        <v/>
      </c>
      <c r="U30" s="1436" t="str">
        <f aca="false">IF($H30=U$4,$D30*$N30,"")</f>
        <v/>
      </c>
      <c r="V30" s="1418"/>
      <c r="W30" s="1419"/>
      <c r="X30" s="1419"/>
      <c r="Y30" s="1419"/>
      <c r="Z30" s="1419"/>
      <c r="AA30" s="1419"/>
      <c r="AB30" s="1420"/>
      <c r="AC30" s="1319"/>
      <c r="AD30" s="2" t="str">
        <f aca="false">IF(AND(AD$4=$G30,AD$6=$F30),$B30,"")</f>
        <v/>
      </c>
      <c r="AE30" s="2" t="str">
        <f aca="false">IF(AND(AE$4=$G30,AE$6=$F30),$B30,"")</f>
        <v/>
      </c>
      <c r="AF30" s="2" t="str">
        <f aca="false">IF(AND(AF$4=$G30,AF$6=$F30),$B30,"")</f>
        <v/>
      </c>
      <c r="AG30" s="2" t="str">
        <f aca="false">IF(AND(AG$4=$G30,AG$6=$F30),$B30,"")</f>
        <v/>
      </c>
      <c r="AI30" s="366"/>
      <c r="AL30" s="367"/>
      <c r="AO30" s="367"/>
      <c r="AP30" s="2" t="str">
        <f aca="false">IF(AT30&gt;0,RANK(AT30,AT$7:AT$423),"")</f>
        <v/>
      </c>
      <c r="AQ30" s="2" t="n">
        <f aca="false">'O_MN, PE_UTA_UGM 2024'!C26</f>
        <v>43</v>
      </c>
      <c r="AR30" s="1421" t="n">
        <v>430</v>
      </c>
      <c r="AS30" s="2" t="str">
        <f aca="false">IF(AY30&lt;&gt;"",AY30,"")</f>
        <v/>
      </c>
      <c r="AT30" s="1422" t="n">
        <f aca="false">IF(ISNUMBER($AR30),SUMIF(B$7:B$505,AR30,D$7:D$505),"")</f>
        <v>0</v>
      </c>
      <c r="AU30" s="1411" t="n">
        <f aca="false">IF(ISNUMBER($AR30),SUMIF(AD$7:AD$503,$AR30,J$7:J$503),"")</f>
        <v>0</v>
      </c>
      <c r="AV30" s="1411" t="n">
        <f aca="false">IF(ISNUMBER($AR30),SUMIF(AF$7:AF$503,$AR30,L$7:L$503),"")</f>
        <v>0</v>
      </c>
      <c r="AW30" s="1423" t="n">
        <f aca="false">IF(ISNUMBER($AR30),SUMIF(AE$7:AE$503,$AR30,K$7:K$503),"")</f>
        <v>0</v>
      </c>
      <c r="AX30" s="1423" t="n">
        <f aca="false">IF(ISNUMBER($AR30),SUMIF(AG$7:AG$503,$AR30,M$7:M$503),"")</f>
        <v>0</v>
      </c>
      <c r="AY30" s="2" t="str">
        <f aca="false">IF($AT30&gt;0,VLOOKUP($AR30,'O_MN, PE_UTA_UGM 2024'!E26:O442,2),"")</f>
        <v/>
      </c>
      <c r="AZ30" s="1507"/>
      <c r="BA30" s="1507"/>
      <c r="BB30" s="1507" t="str">
        <f aca="false">IF($AT30&gt;0,VLOOKUP($AR30,'O_MN, PE_UTA_UGM 2024'!$E$3:$O$419,BB$6),"")</f>
        <v/>
      </c>
      <c r="BC30" s="1507" t="str">
        <f aca="false">IF($AT30&gt;0,VLOOKUP($AR30,'O_MN, PE_UTA_UGM 2024'!$E$3:$O$419,BC$6),"")</f>
        <v/>
      </c>
      <c r="BD30" s="1507" t="str">
        <f aca="false">IF($AT30&gt;0,VLOOKUP($AR30,'O_MN, PE_UTA_UGM 2024'!$E$3:$O$419,BD$6),"")</f>
        <v/>
      </c>
      <c r="BE30" s="1507" t="str">
        <f aca="false">IF($AT30&gt;0,VLOOKUP($AR30,'O_MN, PE_UTA_UGM 2024'!$E$3:$O$419,BE$6),"")</f>
        <v/>
      </c>
      <c r="BF30" s="1507" t="str">
        <f aca="false">IF($AT30&gt;0,VLOOKUP($AR30,'O_MN, PE_UTA_UGM 2024'!$E$3:$O$419,BF$6),"")</f>
        <v/>
      </c>
      <c r="BG30" s="1507" t="str">
        <f aca="false">IF($AT30&gt;0,VLOOKUP($AR30,'O_MN, PE_UTA_UGM 2024'!$E$3:$O$419,BG$6),"")</f>
        <v/>
      </c>
      <c r="BH30" s="1504"/>
      <c r="BI30" s="1504"/>
      <c r="BJ30" s="1504"/>
      <c r="BK30" s="1504"/>
      <c r="BM30" s="1411"/>
      <c r="BN30" s="1411"/>
      <c r="BO30" s="1425" t="str">
        <f aca="false">IF(ISNUMBER($AU30*BB30*1),$AU30*BB30*1,"")</f>
        <v/>
      </c>
      <c r="BP30" s="1425" t="str">
        <f aca="false">IF(ISNUMBER($AV30*BC30*1),$AV30*BC30*1,"")</f>
        <v/>
      </c>
      <c r="BQ30" s="1425" t="str">
        <f aca="false">IF(ISNUMBER($AU30*BD30*1),$AU30*BD30*1,"")</f>
        <v/>
      </c>
      <c r="BR30" s="1425" t="str">
        <f aca="false">IF(ISNUMBER($AV30*BE30*1),$AV30*BE30*1,"")</f>
        <v/>
      </c>
      <c r="BS30" s="1411" t="str">
        <f aca="false">IF(ISNUMBER($AU30*BF30),$AU30*BF30,"")</f>
        <v/>
      </c>
      <c r="BT30" s="1411" t="str">
        <f aca="false">IF(ISNUMBER($AV30*BG30),$AV30*BG30,"")</f>
        <v/>
      </c>
      <c r="BU30" s="1411"/>
      <c r="BV30" s="1411"/>
      <c r="BW30" s="1411"/>
      <c r="BX30" s="1411"/>
      <c r="BZ30" s="1372"/>
      <c r="CA30" s="1372"/>
      <c r="CB30" s="1426" t="str">
        <f aca="false">IF(ISNUMBER($AW30*BB30),$AW30*BB30,"")</f>
        <v/>
      </c>
      <c r="CC30" s="1426" t="str">
        <f aca="false">IF(ISNUMBER($AX30*BC30),$AX30*BC30,"")</f>
        <v/>
      </c>
      <c r="CD30" s="1426" t="str">
        <f aca="false">IF(ISNUMBER($AW30*BD30),$AW30*BD30,"")</f>
        <v/>
      </c>
      <c r="CE30" s="1426" t="str">
        <f aca="false">IF(ISNUMBER($AX30*BE30),$AX30*BE30,"")</f>
        <v/>
      </c>
      <c r="CF30" s="1372" t="str">
        <f aca="false">IF(ISNUMBER($AW30*BF30),$AW30*BF30,"")</f>
        <v/>
      </c>
      <c r="CG30" s="1372" t="str">
        <f aca="false">IF(ISNUMBER($AX30*BG30),$AX30*BG30,"")</f>
        <v/>
      </c>
      <c r="CH30" s="1438"/>
      <c r="CI30" s="1438"/>
      <c r="CJ30" s="1438"/>
      <c r="CK30" s="1438"/>
      <c r="CU30" s="1411"/>
      <c r="CV30" s="1411"/>
      <c r="CW30" s="1425"/>
      <c r="CX30" s="1425"/>
      <c r="CY30" s="1425"/>
      <c r="CZ30" s="1425"/>
      <c r="DA30" s="1411"/>
      <c r="DB30" s="1411"/>
      <c r="DC30" s="1411"/>
      <c r="DD30" s="1411"/>
      <c r="DE30" s="1411"/>
      <c r="DF30" s="1411"/>
      <c r="DH30" s="1432"/>
      <c r="DI30" s="1432"/>
      <c r="DJ30" s="1437"/>
      <c r="DK30" s="1437"/>
      <c r="DL30" s="1437"/>
      <c r="DM30" s="1437"/>
      <c r="DN30" s="1432"/>
      <c r="DO30" s="1432"/>
      <c r="DP30" s="1432"/>
      <c r="DQ30" s="1432"/>
      <c r="DR30" s="1432"/>
      <c r="DS30" s="1432"/>
      <c r="DT30" s="1316"/>
      <c r="DU30" s="1433"/>
      <c r="DV30" s="1433"/>
      <c r="DW30" s="1433"/>
      <c r="DX30" s="1433"/>
      <c r="DY30" s="1433"/>
      <c r="DZ30" s="1433"/>
      <c r="EA30" s="1433"/>
      <c r="EB30" s="1433"/>
    </row>
    <row r="31" customFormat="false" ht="14.25" hidden="false" customHeight="false" outlineLevel="0" collapsed="false">
      <c r="A31" s="2" t="n">
        <f aca="false">'V_DATOS PAC_SGA'!CC26</f>
        <v>0</v>
      </c>
      <c r="B31" s="2" t="n">
        <f aca="false">IF(OR(A31=0,A31=""),0,IF(I31="IV",CONCATENATE('V_DATOS PAC_SGA'!CC26,"4")+0,CONCATENATE('V_DATOS PAC_SGA'!CC26,"0")+0))</f>
        <v>0</v>
      </c>
      <c r="C31" s="2" t="n">
        <f aca="false">'V_DATOS PAC_SGA'!CD26</f>
        <v>0</v>
      </c>
      <c r="D31" s="1409" t="n">
        <f aca="false">'V_DATOS PAC_SGA'!Y26</f>
        <v>0</v>
      </c>
      <c r="E31" s="1410" t="str">
        <f aca="false">IF('V_DATOS PAC_SGA'!AV26="","Regadio",'V_DATOS PAC_SGA'!AV26)</f>
        <v>Regadio</v>
      </c>
      <c r="F31" s="1411" t="n">
        <f aca="false">'V_DATOS PAC_SGA'!BK26</f>
        <v>0</v>
      </c>
      <c r="G31" s="1412" t="n">
        <f aca="false">'V_DATOS PAC_SGA'!AN26</f>
        <v>0</v>
      </c>
      <c r="H31" s="1413" t="str">
        <f aca="false">IF(B31&gt;0,VLOOKUP(B31,'O_MN, PE_UTA_UGM 2024'!E$3:O$419,10),"")</f>
        <v/>
      </c>
      <c r="I31" s="1359" t="str">
        <f aca="false">IF('V_DATOS PAC_SGA'!BV26="IV",'V_DATOS PAC_SGA'!BV26,"")</f>
        <v/>
      </c>
      <c r="J31" s="2" t="str">
        <f aca="false">IF($A31&gt;0,IF(AND(J$4=$G31,J$6=$F31),$D31*J$5,""),"")</f>
        <v/>
      </c>
      <c r="K31" s="2" t="str">
        <f aca="false">IF($A31&gt;0,IF(AND(K$4=$G31,K$6=$F31),$D31*K$5,""),"")</f>
        <v/>
      </c>
      <c r="L31" s="2" t="str">
        <f aca="false">IF($A31&gt;0,IF(AND(L$4=$G31,L$6=$F31),$D31*L$5,""),"")</f>
        <v/>
      </c>
      <c r="M31" s="2" t="str">
        <f aca="false">IF($A31&gt;0,IF(AND(M$4=$G31,M$6=$F31),$D31*M$5,""),"")</f>
        <v/>
      </c>
      <c r="N31" s="1506" t="n">
        <f aca="false">VLOOKUP(B31,'O_MN, PE_UTA_UGM 2024'!$E$2:$K$419,IF(G31&gt;1,6,7))</f>
        <v>0</v>
      </c>
      <c r="O31" s="1434" t="str">
        <f aca="false">IF($H31=O$4,$D31*$N31,"")</f>
        <v/>
      </c>
      <c r="P31" s="1435" t="str">
        <f aca="false">IF($H31=P$4,$D31*$N31,"")</f>
        <v/>
      </c>
      <c r="Q31" s="1435" t="str">
        <f aca="false">IF($H31=Q$4,$D31*$N31,"")</f>
        <v/>
      </c>
      <c r="R31" s="1435" t="str">
        <f aca="false">IF($H31=R$4,$D31*$N31,"")</f>
        <v/>
      </c>
      <c r="S31" s="1435" t="str">
        <f aca="false">IF($H31=S$4,$D31*$N31,"")</f>
        <v/>
      </c>
      <c r="T31" s="1435" t="str">
        <f aca="false">IF($H31=T$4,$D31*$N31,"")</f>
        <v/>
      </c>
      <c r="U31" s="1436" t="str">
        <f aca="false">IF($H31=U$4,$D31*$N31,"")</f>
        <v/>
      </c>
      <c r="V31" s="1418"/>
      <c r="W31" s="1419"/>
      <c r="X31" s="1419"/>
      <c r="Y31" s="1419"/>
      <c r="Z31" s="1419"/>
      <c r="AA31" s="1419"/>
      <c r="AB31" s="1420"/>
      <c r="AC31" s="1319"/>
      <c r="AD31" s="2" t="str">
        <f aca="false">IF(AND(AD$4=$G31,AD$6=$F31),$B31,"")</f>
        <v/>
      </c>
      <c r="AE31" s="2" t="str">
        <f aca="false">IF(AND(AE$4=$G31,AE$6=$F31),$B31,"")</f>
        <v/>
      </c>
      <c r="AF31" s="2" t="str">
        <f aca="false">IF(AND(AF$4=$G31,AF$6=$F31),$B31,"")</f>
        <v/>
      </c>
      <c r="AG31" s="2" t="str">
        <f aca="false">IF(AND(AG$4=$G31,AG$6=$F31),$B31,"")</f>
        <v/>
      </c>
      <c r="AI31" s="366"/>
      <c r="AL31" s="367"/>
      <c r="AO31" s="367"/>
      <c r="AP31" s="2" t="str">
        <f aca="false">IF(AT31&gt;0,RANK(AT31,AT$7:AT$423),"")</f>
        <v/>
      </c>
      <c r="AQ31" s="2" t="n">
        <f aca="false">'O_MN, PE_UTA_UGM 2024'!C27</f>
        <v>49</v>
      </c>
      <c r="AR31" s="1421" t="n">
        <v>490</v>
      </c>
      <c r="AS31" s="2" t="str">
        <f aca="false">IF(AY31&lt;&gt;"",AY31,"")</f>
        <v/>
      </c>
      <c r="AT31" s="1422" t="n">
        <f aca="false">IF(ISNUMBER($AR31),SUMIF(B$7:B$505,AR31,D$7:D$505),"")</f>
        <v>0</v>
      </c>
      <c r="AU31" s="1411" t="n">
        <f aca="false">IF(ISNUMBER($AR31),SUMIF(AD$7:AD$503,$AR31,J$7:J$503),"")</f>
        <v>0</v>
      </c>
      <c r="AV31" s="1411" t="n">
        <f aca="false">IF(ISNUMBER($AR31),SUMIF(AF$7:AF$503,$AR31,L$7:L$503),"")</f>
        <v>0</v>
      </c>
      <c r="AW31" s="1423" t="n">
        <f aca="false">IF(ISNUMBER($AR31),SUMIF(AE$7:AE$503,$AR31,K$7:K$503),"")</f>
        <v>0</v>
      </c>
      <c r="AX31" s="1423" t="n">
        <f aca="false">IF(ISNUMBER($AR31),SUMIF(AG$7:AG$503,$AR31,M$7:M$503),"")</f>
        <v>0</v>
      </c>
      <c r="AY31" s="2" t="str">
        <f aca="false">IF($AT31&gt;0,VLOOKUP($AR31,'O_MN, PE_UTA_UGM 2024'!E27:O443,2),"")</f>
        <v/>
      </c>
      <c r="AZ31" s="1507"/>
      <c r="BA31" s="1507"/>
      <c r="BB31" s="1507" t="str">
        <f aca="false">IF($AT31&gt;0,VLOOKUP($AR31,'O_MN, PE_UTA_UGM 2024'!$E$3:$O$419,BB$6),"")</f>
        <v/>
      </c>
      <c r="BC31" s="1507" t="str">
        <f aca="false">IF($AT31&gt;0,VLOOKUP($AR31,'O_MN, PE_UTA_UGM 2024'!$E$3:$O$419,BC$6),"")</f>
        <v/>
      </c>
      <c r="BD31" s="1507" t="str">
        <f aca="false">IF($AT31&gt;0,VLOOKUP($AR31,'O_MN, PE_UTA_UGM 2024'!$E$3:$O$419,BD$6),"")</f>
        <v/>
      </c>
      <c r="BE31" s="1507" t="str">
        <f aca="false">IF($AT31&gt;0,VLOOKUP($AR31,'O_MN, PE_UTA_UGM 2024'!$E$3:$O$419,BE$6),"")</f>
        <v/>
      </c>
      <c r="BF31" s="1507" t="str">
        <f aca="false">IF($AT31&gt;0,VLOOKUP($AR31,'O_MN, PE_UTA_UGM 2024'!$E$3:$O$419,BF$6),"")</f>
        <v/>
      </c>
      <c r="BG31" s="1507" t="str">
        <f aca="false">IF($AT31&gt;0,VLOOKUP($AR31,'O_MN, PE_UTA_UGM 2024'!$E$3:$O$419,BG$6),"")</f>
        <v/>
      </c>
      <c r="BH31" s="1504"/>
      <c r="BI31" s="1504"/>
      <c r="BJ31" s="1504"/>
      <c r="BK31" s="1504"/>
      <c r="BM31" s="1411"/>
      <c r="BN31" s="1411"/>
      <c r="BO31" s="1425" t="str">
        <f aca="false">IF(ISNUMBER($AU31*BB31*1),$AU31*BB31*1,"")</f>
        <v/>
      </c>
      <c r="BP31" s="1425" t="str">
        <f aca="false">IF(ISNUMBER($AV31*BC31*1),$AV31*BC31*1,"")</f>
        <v/>
      </c>
      <c r="BQ31" s="1425" t="str">
        <f aca="false">IF(ISNUMBER($AU31*BD31*1),$AU31*BD31*1,"")</f>
        <v/>
      </c>
      <c r="BR31" s="1425" t="str">
        <f aca="false">IF(ISNUMBER($AV31*BE31*1),$AV31*BE31*1,"")</f>
        <v/>
      </c>
      <c r="BS31" s="1411" t="str">
        <f aca="false">IF(ISNUMBER($AU31*BF31),$AU31*BF31,"")</f>
        <v/>
      </c>
      <c r="BT31" s="1411" t="str">
        <f aca="false">IF(ISNUMBER($AV31*BG31),$AV31*BG31,"")</f>
        <v/>
      </c>
      <c r="BU31" s="1411"/>
      <c r="BV31" s="1411"/>
      <c r="BW31" s="1411"/>
      <c r="BX31" s="1411"/>
      <c r="BZ31" s="1372"/>
      <c r="CA31" s="1372"/>
      <c r="CB31" s="1426" t="str">
        <f aca="false">IF(ISNUMBER($AW31*BB31),$AW31*BB31,"")</f>
        <v/>
      </c>
      <c r="CC31" s="1426" t="str">
        <f aca="false">IF(ISNUMBER($AX31*BC31),$AX31*BC31,"")</f>
        <v/>
      </c>
      <c r="CD31" s="1426" t="str">
        <f aca="false">IF(ISNUMBER($AW31*BD31),$AW31*BD31,"")</f>
        <v/>
      </c>
      <c r="CE31" s="1426" t="str">
        <f aca="false">IF(ISNUMBER($AX31*BE31),$AX31*BE31,"")</f>
        <v/>
      </c>
      <c r="CF31" s="1372" t="str">
        <f aca="false">IF(ISNUMBER($AW31*BF31),$AW31*BF31,"")</f>
        <v/>
      </c>
      <c r="CG31" s="1372" t="str">
        <f aca="false">IF(ISNUMBER($AX31*BG31),$AX31*BG31,"")</f>
        <v/>
      </c>
      <c r="CH31" s="1438"/>
      <c r="CI31" s="1438"/>
      <c r="CJ31" s="1438"/>
      <c r="CK31" s="1438"/>
      <c r="CU31" s="1411"/>
      <c r="CV31" s="1411"/>
      <c r="CW31" s="1425"/>
      <c r="CX31" s="1425"/>
      <c r="CY31" s="1425"/>
      <c r="CZ31" s="1425"/>
      <c r="DA31" s="1411"/>
      <c r="DB31" s="1411"/>
      <c r="DC31" s="1411"/>
      <c r="DD31" s="1411"/>
      <c r="DE31" s="1411"/>
      <c r="DF31" s="1411"/>
      <c r="DH31" s="1432"/>
      <c r="DI31" s="1432"/>
      <c r="DJ31" s="1437"/>
      <c r="DK31" s="1437"/>
      <c r="DL31" s="1437"/>
      <c r="DM31" s="1437"/>
      <c r="DN31" s="1432"/>
      <c r="DO31" s="1432"/>
      <c r="DP31" s="1432"/>
      <c r="DQ31" s="1432"/>
      <c r="DR31" s="1432"/>
      <c r="DS31" s="1432"/>
      <c r="DT31" s="1316"/>
      <c r="DU31" s="1433"/>
      <c r="DV31" s="1433"/>
      <c r="DW31" s="1433"/>
      <c r="DX31" s="1433"/>
      <c r="DY31" s="1433"/>
      <c r="DZ31" s="1433"/>
      <c r="EA31" s="1433"/>
      <c r="EB31" s="1433"/>
    </row>
    <row r="32" customFormat="false" ht="14.25" hidden="false" customHeight="false" outlineLevel="0" collapsed="false">
      <c r="A32" s="2" t="n">
        <f aca="false">'V_DATOS PAC_SGA'!CC27</f>
        <v>0</v>
      </c>
      <c r="B32" s="2" t="n">
        <f aca="false">IF(OR(A32=0,A32=""),0,IF(I32="IV",CONCATENATE('V_DATOS PAC_SGA'!CC27,"4")+0,CONCATENATE('V_DATOS PAC_SGA'!CC27,"0")+0))</f>
        <v>0</v>
      </c>
      <c r="C32" s="2" t="n">
        <f aca="false">'V_DATOS PAC_SGA'!CD27</f>
        <v>0</v>
      </c>
      <c r="D32" s="1409" t="n">
        <f aca="false">'V_DATOS PAC_SGA'!Y27</f>
        <v>0</v>
      </c>
      <c r="E32" s="1410" t="str">
        <f aca="false">IF('V_DATOS PAC_SGA'!AV27="","Regadio",'V_DATOS PAC_SGA'!AV27)</f>
        <v>Regadio</v>
      </c>
      <c r="F32" s="1411" t="n">
        <f aca="false">'V_DATOS PAC_SGA'!BK27</f>
        <v>0</v>
      </c>
      <c r="G32" s="1412" t="n">
        <f aca="false">'V_DATOS PAC_SGA'!AN27</f>
        <v>0</v>
      </c>
      <c r="H32" s="1413" t="str">
        <f aca="false">IF(B32&gt;0,VLOOKUP(B32,'O_MN, PE_UTA_UGM 2024'!E$3:O$419,10),"")</f>
        <v/>
      </c>
      <c r="I32" s="1359" t="str">
        <f aca="false">IF('V_DATOS PAC_SGA'!BV27="IV",'V_DATOS PAC_SGA'!BV27,"")</f>
        <v/>
      </c>
      <c r="J32" s="2" t="str">
        <f aca="false">IF($A32&gt;0,IF(AND(J$4=$G32,J$6=$F32),$D32*J$5,""),"")</f>
        <v/>
      </c>
      <c r="K32" s="2" t="str">
        <f aca="false">IF($A32&gt;0,IF(AND(K$4=$G32,K$6=$F32),$D32*K$5,""),"")</f>
        <v/>
      </c>
      <c r="L32" s="2" t="str">
        <f aca="false">IF($A32&gt;0,IF(AND(L$4=$G32,L$6=$F32),$D32*L$5,""),"")</f>
        <v/>
      </c>
      <c r="M32" s="2" t="str">
        <f aca="false">IF($A32&gt;0,IF(AND(M$4=$G32,M$6=$F32),$D32*M$5,""),"")</f>
        <v/>
      </c>
      <c r="N32" s="1506" t="n">
        <f aca="false">VLOOKUP(B32,'O_MN, PE_UTA_UGM 2024'!$E$2:$K$419,IF(G32&gt;1,6,7))</f>
        <v>0</v>
      </c>
      <c r="O32" s="1434" t="str">
        <f aca="false">IF($H32=O$4,$D32*$N32,"")</f>
        <v/>
      </c>
      <c r="P32" s="1435" t="str">
        <f aca="false">IF($H32=P$4,$D32*$N32,"")</f>
        <v/>
      </c>
      <c r="Q32" s="1435" t="str">
        <f aca="false">IF($H32=Q$4,$D32*$N32,"")</f>
        <v/>
      </c>
      <c r="R32" s="1435" t="str">
        <f aca="false">IF($H32=R$4,$D32*$N32,"")</f>
        <v/>
      </c>
      <c r="S32" s="1435" t="str">
        <f aca="false">IF($H32=S$4,$D32*$N32,"")</f>
        <v/>
      </c>
      <c r="T32" s="1435" t="str">
        <f aca="false">IF($H32=T$4,$D32*$N32,"")</f>
        <v/>
      </c>
      <c r="U32" s="1436" t="str">
        <f aca="false">IF($H32=U$4,$D32*$N32,"")</f>
        <v/>
      </c>
      <c r="V32" s="1418"/>
      <c r="W32" s="1419"/>
      <c r="X32" s="1419"/>
      <c r="Y32" s="1419"/>
      <c r="Z32" s="1419"/>
      <c r="AA32" s="1419"/>
      <c r="AB32" s="1420"/>
      <c r="AC32" s="1319"/>
      <c r="AD32" s="2" t="str">
        <f aca="false">IF(AND(AD$4=$G32,AD$6=$F32),$B32,"")</f>
        <v/>
      </c>
      <c r="AE32" s="2" t="str">
        <f aca="false">IF(AND(AE$4=$G32,AE$6=$F32),$B32,"")</f>
        <v/>
      </c>
      <c r="AF32" s="2" t="str">
        <f aca="false">IF(AND(AF$4=$G32,AF$6=$F32),$B32,"")</f>
        <v/>
      </c>
      <c r="AG32" s="2" t="str">
        <f aca="false">IF(AND(AG$4=$G32,AG$6=$F32),$B32,"")</f>
        <v/>
      </c>
      <c r="AI32" s="366"/>
      <c r="AL32" s="367"/>
      <c r="AO32" s="367"/>
      <c r="AP32" s="2" t="str">
        <f aca="false">IF(AT32&gt;0,RANK(AT32,AT$7:AT$423),"")</f>
        <v/>
      </c>
      <c r="AQ32" s="2" t="n">
        <f aca="false">'O_MN, PE_UTA_UGM 2024'!C28</f>
        <v>50</v>
      </c>
      <c r="AR32" s="1421" t="n">
        <v>500</v>
      </c>
      <c r="AS32" s="2" t="str">
        <f aca="false">IF(AY32&lt;&gt;"",AY32,"")</f>
        <v/>
      </c>
      <c r="AT32" s="1422" t="n">
        <f aca="false">IF(ISNUMBER($AR32),SUMIF(B$7:B$505,AR32,D$7:D$505),"")</f>
        <v>0</v>
      </c>
      <c r="AU32" s="1411" t="n">
        <f aca="false">IF(ISNUMBER($AR32),SUMIF(AD$7:AD$503,$AR32,J$7:J$503),"")</f>
        <v>0</v>
      </c>
      <c r="AV32" s="1411" t="n">
        <f aca="false">IF(ISNUMBER($AR32),SUMIF(AF$7:AF$503,$AR32,L$7:L$503),"")</f>
        <v>0</v>
      </c>
      <c r="AW32" s="1423" t="n">
        <f aca="false">IF(ISNUMBER($AR32),SUMIF(AE$7:AE$503,$AR32,K$7:K$503),"")</f>
        <v>0</v>
      </c>
      <c r="AX32" s="1423" t="n">
        <f aca="false">IF(ISNUMBER($AR32),SUMIF(AG$7:AG$503,$AR32,M$7:M$503),"")</f>
        <v>0</v>
      </c>
      <c r="AY32" s="2" t="str">
        <f aca="false">IF($AT32&gt;0,VLOOKUP($AR32,'O_MN, PE_UTA_UGM 2024'!E28:O444,2),"")</f>
        <v/>
      </c>
      <c r="AZ32" s="1507"/>
      <c r="BA32" s="1507"/>
      <c r="BB32" s="1507" t="str">
        <f aca="false">IF($AT32&gt;0,VLOOKUP($AR32,'O_MN, PE_UTA_UGM 2024'!$E$3:$O$419,BB$6),"")</f>
        <v/>
      </c>
      <c r="BC32" s="1507" t="str">
        <f aca="false">IF($AT32&gt;0,VLOOKUP($AR32,'O_MN, PE_UTA_UGM 2024'!$E$3:$O$419,BC$6),"")</f>
        <v/>
      </c>
      <c r="BD32" s="1507" t="str">
        <f aca="false">IF($AT32&gt;0,VLOOKUP($AR32,'O_MN, PE_UTA_UGM 2024'!$E$3:$O$419,BD$6),"")</f>
        <v/>
      </c>
      <c r="BE32" s="1507" t="str">
        <f aca="false">IF($AT32&gt;0,VLOOKUP($AR32,'O_MN, PE_UTA_UGM 2024'!$E$3:$O$419,BE$6),"")</f>
        <v/>
      </c>
      <c r="BF32" s="1507" t="str">
        <f aca="false">IF($AT32&gt;0,VLOOKUP($AR32,'O_MN, PE_UTA_UGM 2024'!$E$3:$O$419,BF$6),"")</f>
        <v/>
      </c>
      <c r="BG32" s="1507" t="str">
        <f aca="false">IF($AT32&gt;0,VLOOKUP($AR32,'O_MN, PE_UTA_UGM 2024'!$E$3:$O$419,BG$6),"")</f>
        <v/>
      </c>
      <c r="BH32" s="1504"/>
      <c r="BI32" s="1504"/>
      <c r="BJ32" s="1504"/>
      <c r="BK32" s="1504"/>
      <c r="BM32" s="1411"/>
      <c r="BN32" s="1411"/>
      <c r="BO32" s="1425" t="str">
        <f aca="false">IF(ISNUMBER($AU32*BB32*1),$AU32*BB32*1,"")</f>
        <v/>
      </c>
      <c r="BP32" s="1425" t="str">
        <f aca="false">IF(ISNUMBER($AV32*BC32*1),$AV32*BC32*1,"")</f>
        <v/>
      </c>
      <c r="BQ32" s="1425" t="str">
        <f aca="false">IF(ISNUMBER($AU32*BD32*1),$AU32*BD32*1,"")</f>
        <v/>
      </c>
      <c r="BR32" s="1425" t="str">
        <f aca="false">IF(ISNUMBER($AV32*BE32*1),$AV32*BE32*1,"")</f>
        <v/>
      </c>
      <c r="BS32" s="1411" t="str">
        <f aca="false">IF(ISNUMBER($AU32*BF32),$AU32*BF32,"")</f>
        <v/>
      </c>
      <c r="BT32" s="1411" t="str">
        <f aca="false">IF(ISNUMBER($AV32*BG32),$AV32*BG32,"")</f>
        <v/>
      </c>
      <c r="BU32" s="1411"/>
      <c r="BV32" s="1411"/>
      <c r="BW32" s="1411"/>
      <c r="BX32" s="1411"/>
      <c r="BZ32" s="1372"/>
      <c r="CA32" s="1372"/>
      <c r="CB32" s="1426" t="str">
        <f aca="false">IF(ISNUMBER($AW32*BB32),$AW32*BB32,"")</f>
        <v/>
      </c>
      <c r="CC32" s="1426" t="str">
        <f aca="false">IF(ISNUMBER($AX32*BC32),$AX32*BC32,"")</f>
        <v/>
      </c>
      <c r="CD32" s="1426" t="str">
        <f aca="false">IF(ISNUMBER($AW32*BD32),$AW32*BD32,"")</f>
        <v/>
      </c>
      <c r="CE32" s="1426" t="str">
        <f aca="false">IF(ISNUMBER($AX32*BE32),$AX32*BE32,"")</f>
        <v/>
      </c>
      <c r="CF32" s="1372" t="str">
        <f aca="false">IF(ISNUMBER($AW32*BF32),$AW32*BF32,"")</f>
        <v/>
      </c>
      <c r="CG32" s="1372" t="str">
        <f aca="false">IF(ISNUMBER($AX32*BG32),$AX32*BG32,"")</f>
        <v/>
      </c>
      <c r="CH32" s="1438"/>
      <c r="CI32" s="1438"/>
      <c r="CJ32" s="1438"/>
      <c r="CK32" s="1438"/>
      <c r="CU32" s="1411"/>
      <c r="CV32" s="1411"/>
      <c r="CW32" s="1425"/>
      <c r="CX32" s="1425"/>
      <c r="CY32" s="1425"/>
      <c r="CZ32" s="1425"/>
      <c r="DA32" s="1411"/>
      <c r="DB32" s="1411"/>
      <c r="DC32" s="1411"/>
      <c r="DD32" s="1411"/>
      <c r="DE32" s="1411"/>
      <c r="DF32" s="1411"/>
      <c r="DH32" s="1432"/>
      <c r="DI32" s="1432"/>
      <c r="DJ32" s="1437"/>
      <c r="DK32" s="1437"/>
      <c r="DL32" s="1437"/>
      <c r="DM32" s="1437"/>
      <c r="DN32" s="1432"/>
      <c r="DO32" s="1432"/>
      <c r="DP32" s="1432"/>
      <c r="DQ32" s="1432"/>
      <c r="DR32" s="1432"/>
      <c r="DS32" s="1432"/>
      <c r="DT32" s="1316"/>
      <c r="DU32" s="1433"/>
      <c r="DV32" s="1433"/>
      <c r="DW32" s="1433"/>
      <c r="DX32" s="1433"/>
      <c r="DY32" s="1433"/>
      <c r="DZ32" s="1433"/>
      <c r="EA32" s="1433"/>
      <c r="EB32" s="1433"/>
    </row>
    <row r="33" customFormat="false" ht="14.25" hidden="false" customHeight="false" outlineLevel="0" collapsed="false">
      <c r="A33" s="2" t="n">
        <f aca="false">'V_DATOS PAC_SGA'!CC28</f>
        <v>0</v>
      </c>
      <c r="B33" s="2" t="n">
        <f aca="false">IF(OR(A33=0,A33=""),0,IF(I33="IV",CONCATENATE('V_DATOS PAC_SGA'!CC28,"4")+0,CONCATENATE('V_DATOS PAC_SGA'!CC28,"0")+0))</f>
        <v>0</v>
      </c>
      <c r="C33" s="2" t="n">
        <f aca="false">'V_DATOS PAC_SGA'!CD28</f>
        <v>0</v>
      </c>
      <c r="D33" s="1409" t="n">
        <f aca="false">'V_DATOS PAC_SGA'!Y28</f>
        <v>0</v>
      </c>
      <c r="E33" s="1410" t="str">
        <f aca="false">IF('V_DATOS PAC_SGA'!AV28="","Regadio",'V_DATOS PAC_SGA'!AV28)</f>
        <v>Regadio</v>
      </c>
      <c r="F33" s="1411" t="n">
        <f aca="false">'V_DATOS PAC_SGA'!BK28</f>
        <v>0</v>
      </c>
      <c r="G33" s="1412" t="n">
        <f aca="false">'V_DATOS PAC_SGA'!AN28</f>
        <v>0</v>
      </c>
      <c r="H33" s="1413" t="str">
        <f aca="false">IF(B33&gt;0,VLOOKUP(B33,'O_MN, PE_UTA_UGM 2024'!E$3:O$419,10),"")</f>
        <v/>
      </c>
      <c r="I33" s="1359" t="str">
        <f aca="false">IF('V_DATOS PAC_SGA'!BV28="IV",'V_DATOS PAC_SGA'!BV28,"")</f>
        <v/>
      </c>
      <c r="J33" s="2" t="str">
        <f aca="false">IF($A33&gt;0,IF(AND(J$4=$G33,J$6=$F33),$D33*J$5,""),"")</f>
        <v/>
      </c>
      <c r="K33" s="2" t="str">
        <f aca="false">IF($A33&gt;0,IF(AND(K$4=$G33,K$6=$F33),$D33*K$5,""),"")</f>
        <v/>
      </c>
      <c r="L33" s="2" t="str">
        <f aca="false">IF($A33&gt;0,IF(AND(L$4=$G33,L$6=$F33),$D33*L$5,""),"")</f>
        <v/>
      </c>
      <c r="M33" s="2" t="str">
        <f aca="false">IF($A33&gt;0,IF(AND(M$4=$G33,M$6=$F33),$D33*M$5,""),"")</f>
        <v/>
      </c>
      <c r="N33" s="1506" t="n">
        <f aca="false">VLOOKUP(B33,'O_MN, PE_UTA_UGM 2024'!$E$2:$K$419,IF(G33&gt;1,6,7))</f>
        <v>0</v>
      </c>
      <c r="O33" s="1434" t="str">
        <f aca="false">IF($H33=O$4,$D33*$N33,"")</f>
        <v/>
      </c>
      <c r="P33" s="1435" t="str">
        <f aca="false">IF($H33=P$4,$D33*$N33,"")</f>
        <v/>
      </c>
      <c r="Q33" s="1435" t="str">
        <f aca="false">IF($H33=Q$4,$D33*$N33,"")</f>
        <v/>
      </c>
      <c r="R33" s="1435" t="str">
        <f aca="false">IF($H33=R$4,$D33*$N33,"")</f>
        <v/>
      </c>
      <c r="S33" s="1435" t="str">
        <f aca="false">IF($H33=S$4,$D33*$N33,"")</f>
        <v/>
      </c>
      <c r="T33" s="1435" t="str">
        <f aca="false">IF($H33=T$4,$D33*$N33,"")</f>
        <v/>
      </c>
      <c r="U33" s="1436" t="str">
        <f aca="false">IF($H33=U$4,$D33*$N33,"")</f>
        <v/>
      </c>
      <c r="V33" s="1418"/>
      <c r="W33" s="1419"/>
      <c r="X33" s="1419"/>
      <c r="Y33" s="1419"/>
      <c r="Z33" s="1419"/>
      <c r="AA33" s="1419"/>
      <c r="AB33" s="1420"/>
      <c r="AC33" s="1319"/>
      <c r="AD33" s="2" t="str">
        <f aca="false">IF(AND(AD$4=$G33,AD$6=$F33),$B33,"")</f>
        <v/>
      </c>
      <c r="AE33" s="2" t="str">
        <f aca="false">IF(AND(AE$4=$G33,AE$6=$F33),$B33,"")</f>
        <v/>
      </c>
      <c r="AF33" s="2" t="str">
        <f aca="false">IF(AND(AF$4=$G33,AF$6=$F33),$B33,"")</f>
        <v/>
      </c>
      <c r="AG33" s="2" t="str">
        <f aca="false">IF(AND(AG$4=$G33,AG$6=$F33),$B33,"")</f>
        <v/>
      </c>
      <c r="AI33" s="366"/>
      <c r="AL33" s="367"/>
      <c r="AO33" s="1420"/>
      <c r="AP33" s="2" t="str">
        <f aca="false">IF(AT33&gt;0,RANK(AT33,AT$7:AT$423),"")</f>
        <v/>
      </c>
      <c r="AQ33" s="2" t="n">
        <f aca="false">'O_MN, PE_UTA_UGM 2024'!C29</f>
        <v>51</v>
      </c>
      <c r="AR33" s="1421" t="n">
        <v>510</v>
      </c>
      <c r="AS33" s="2" t="str">
        <f aca="false">IF(AY33&lt;&gt;"",AY33,"")</f>
        <v/>
      </c>
      <c r="AT33" s="1422" t="n">
        <f aca="false">IF(ISNUMBER($AR33),SUMIF(B$7:B$505,AR33,D$7:D$505),"")</f>
        <v>0</v>
      </c>
      <c r="AU33" s="1411" t="n">
        <f aca="false">IF(ISNUMBER($AR33),SUMIF(AD$7:AD$503,$AR33,J$7:J$503),"")</f>
        <v>0</v>
      </c>
      <c r="AV33" s="1411" t="n">
        <f aca="false">IF(ISNUMBER($AR33),SUMIF(AF$7:AF$503,$AR33,L$7:L$503),"")</f>
        <v>0</v>
      </c>
      <c r="AW33" s="1423" t="n">
        <f aca="false">IF(ISNUMBER($AR33),SUMIF(AE$7:AE$503,$AR33,K$7:K$503),"")</f>
        <v>0</v>
      </c>
      <c r="AX33" s="1423" t="n">
        <f aca="false">IF(ISNUMBER($AR33),SUMIF(AG$7:AG$503,$AR33,M$7:M$503),"")</f>
        <v>0</v>
      </c>
      <c r="AY33" s="2" t="str">
        <f aca="false">IF($AT33&gt;0,VLOOKUP($AR33,'O_MN, PE_UTA_UGM 2024'!E29:O445,2),"")</f>
        <v/>
      </c>
      <c r="AZ33" s="1507"/>
      <c r="BA33" s="1507"/>
      <c r="BB33" s="1507" t="str">
        <f aca="false">IF($AT33&gt;0,VLOOKUP($AR33,'O_MN, PE_UTA_UGM 2024'!$E$3:$O$419,BB$6),"")</f>
        <v/>
      </c>
      <c r="BC33" s="1507" t="str">
        <f aca="false">IF($AT33&gt;0,VLOOKUP($AR33,'O_MN, PE_UTA_UGM 2024'!$E$3:$O$419,BC$6),"")</f>
        <v/>
      </c>
      <c r="BD33" s="1507" t="str">
        <f aca="false">IF($AT33&gt;0,VLOOKUP($AR33,'O_MN, PE_UTA_UGM 2024'!$E$3:$O$419,BD$6),"")</f>
        <v/>
      </c>
      <c r="BE33" s="1507" t="str">
        <f aca="false">IF($AT33&gt;0,VLOOKUP($AR33,'O_MN, PE_UTA_UGM 2024'!$E$3:$O$419,BE$6),"")</f>
        <v/>
      </c>
      <c r="BF33" s="1507" t="str">
        <f aca="false">IF($AT33&gt;0,VLOOKUP($AR33,'O_MN, PE_UTA_UGM 2024'!$E$3:$O$419,BF$6),"")</f>
        <v/>
      </c>
      <c r="BG33" s="1507" t="str">
        <f aca="false">IF($AT33&gt;0,VLOOKUP($AR33,'O_MN, PE_UTA_UGM 2024'!$E$3:$O$419,BG$6),"")</f>
        <v/>
      </c>
      <c r="BH33" s="1504"/>
      <c r="BI33" s="1504"/>
      <c r="BJ33" s="1504"/>
      <c r="BK33" s="1504"/>
      <c r="BM33" s="1411"/>
      <c r="BN33" s="1411"/>
      <c r="BO33" s="1425" t="str">
        <f aca="false">IF(ISNUMBER($AU33*BB33*1),$AU33*BB33*1,"")</f>
        <v/>
      </c>
      <c r="BP33" s="1425" t="str">
        <f aca="false">IF(ISNUMBER($AV33*BC33*1),$AV33*BC33*1,"")</f>
        <v/>
      </c>
      <c r="BQ33" s="1425" t="str">
        <f aca="false">IF(ISNUMBER($AU33*BD33*1),$AU33*BD33*1,"")</f>
        <v/>
      </c>
      <c r="BR33" s="1425" t="str">
        <f aca="false">IF(ISNUMBER($AV33*BE33*1),$AV33*BE33*1,"")</f>
        <v/>
      </c>
      <c r="BS33" s="1411" t="str">
        <f aca="false">IF(ISNUMBER($AU33*BF33),$AU33*BF33,"")</f>
        <v/>
      </c>
      <c r="BT33" s="1411" t="str">
        <f aca="false">IF(ISNUMBER($AV33*BG33),$AV33*BG33,"")</f>
        <v/>
      </c>
      <c r="BU33" s="1411"/>
      <c r="BV33" s="1411"/>
      <c r="BW33" s="1411"/>
      <c r="BX33" s="1411"/>
      <c r="BZ33" s="1372"/>
      <c r="CA33" s="1372"/>
      <c r="CB33" s="1426" t="str">
        <f aca="false">IF(ISNUMBER($AW33*BB33),$AW33*BB33,"")</f>
        <v/>
      </c>
      <c r="CC33" s="1426" t="str">
        <f aca="false">IF(ISNUMBER($AX33*BC33),$AX33*BC33,"")</f>
        <v/>
      </c>
      <c r="CD33" s="1426" t="str">
        <f aca="false">IF(ISNUMBER($AW33*BD33),$AW33*BD33,"")</f>
        <v/>
      </c>
      <c r="CE33" s="1426" t="str">
        <f aca="false">IF(ISNUMBER($AX33*BE33),$AX33*BE33,"")</f>
        <v/>
      </c>
      <c r="CF33" s="1372" t="str">
        <f aca="false">IF(ISNUMBER($AW33*BF33),$AW33*BF33,"")</f>
        <v/>
      </c>
      <c r="CG33" s="1372" t="str">
        <f aca="false">IF(ISNUMBER($AX33*BG33),$AX33*BG33,"")</f>
        <v/>
      </c>
      <c r="CH33" s="1438"/>
      <c r="CI33" s="1438"/>
      <c r="CJ33" s="1438"/>
      <c r="CK33" s="1438"/>
      <c r="CU33" s="1411"/>
      <c r="CV33" s="1411"/>
      <c r="CW33" s="1425"/>
      <c r="CX33" s="1425"/>
      <c r="CY33" s="1425"/>
      <c r="CZ33" s="1425"/>
      <c r="DA33" s="1411"/>
      <c r="DB33" s="1411"/>
      <c r="DC33" s="1411"/>
      <c r="DD33" s="1411"/>
      <c r="DE33" s="1411"/>
      <c r="DF33" s="1411"/>
      <c r="DH33" s="1432"/>
      <c r="DI33" s="1432"/>
      <c r="DJ33" s="1437"/>
      <c r="DK33" s="1437"/>
      <c r="DL33" s="1437"/>
      <c r="DM33" s="1437"/>
      <c r="DN33" s="1432"/>
      <c r="DO33" s="1432"/>
      <c r="DP33" s="1432"/>
      <c r="DQ33" s="1432"/>
      <c r="DR33" s="1432"/>
      <c r="DS33" s="1432"/>
      <c r="DT33" s="1316"/>
      <c r="DU33" s="1433"/>
      <c r="DV33" s="1433"/>
      <c r="DW33" s="1433"/>
      <c r="DX33" s="1433"/>
      <c r="DY33" s="1433"/>
      <c r="DZ33" s="1433"/>
      <c r="EA33" s="1433"/>
      <c r="EB33" s="1433"/>
    </row>
    <row r="34" customFormat="false" ht="14.25" hidden="false" customHeight="false" outlineLevel="0" collapsed="false">
      <c r="A34" s="2" t="n">
        <f aca="false">'V_DATOS PAC_SGA'!CC29</f>
        <v>0</v>
      </c>
      <c r="B34" s="2" t="n">
        <f aca="false">IF(OR(A34=0,A34=""),0,IF(I34="IV",CONCATENATE('V_DATOS PAC_SGA'!CC29,"4")+0,CONCATENATE('V_DATOS PAC_SGA'!CC29,"0")+0))</f>
        <v>0</v>
      </c>
      <c r="C34" s="2" t="n">
        <f aca="false">'V_DATOS PAC_SGA'!CD29</f>
        <v>0</v>
      </c>
      <c r="D34" s="1409" t="n">
        <f aca="false">'V_DATOS PAC_SGA'!Y29</f>
        <v>0</v>
      </c>
      <c r="E34" s="1410" t="str">
        <f aca="false">IF('V_DATOS PAC_SGA'!AV29="","Regadio",'V_DATOS PAC_SGA'!AV29)</f>
        <v>Regadio</v>
      </c>
      <c r="F34" s="1411" t="n">
        <f aca="false">'V_DATOS PAC_SGA'!BK29</f>
        <v>0</v>
      </c>
      <c r="G34" s="1412" t="n">
        <f aca="false">'V_DATOS PAC_SGA'!AN29</f>
        <v>0</v>
      </c>
      <c r="H34" s="1413" t="str">
        <f aca="false">IF(B34&gt;0,VLOOKUP(B34,'O_MN, PE_UTA_UGM 2024'!E$3:O$419,10),"")</f>
        <v/>
      </c>
      <c r="I34" s="1359" t="str">
        <f aca="false">IF('V_DATOS PAC_SGA'!BV29="IV",'V_DATOS PAC_SGA'!BV29,"")</f>
        <v/>
      </c>
      <c r="J34" s="2" t="str">
        <f aca="false">IF($A34&gt;0,IF(AND(J$4=$G34,J$6=$F34),$D34*J$5,""),"")</f>
        <v/>
      </c>
      <c r="K34" s="2" t="str">
        <f aca="false">IF($A34&gt;0,IF(AND(K$4=$G34,K$6=$F34),$D34*K$5,""),"")</f>
        <v/>
      </c>
      <c r="L34" s="2" t="str">
        <f aca="false">IF($A34&gt;0,IF(AND(L$4=$G34,L$6=$F34),$D34*L$5,""),"")</f>
        <v/>
      </c>
      <c r="M34" s="2" t="str">
        <f aca="false">IF($A34&gt;0,IF(AND(M$4=$G34,M$6=$F34),$D34*M$5,""),"")</f>
        <v/>
      </c>
      <c r="N34" s="1506" t="n">
        <f aca="false">VLOOKUP(B34,'O_MN, PE_UTA_UGM 2024'!$E$2:$K$419,IF(G34&gt;1,6,7))</f>
        <v>0</v>
      </c>
      <c r="O34" s="1434" t="str">
        <f aca="false">IF($H34=O$4,$D34*$N34,"")</f>
        <v/>
      </c>
      <c r="P34" s="1435" t="str">
        <f aca="false">IF($H34=P$4,$D34*$N34,"")</f>
        <v/>
      </c>
      <c r="Q34" s="1435" t="str">
        <f aca="false">IF($H34=Q$4,$D34*$N34,"")</f>
        <v/>
      </c>
      <c r="R34" s="1435" t="str">
        <f aca="false">IF($H34=R$4,$D34*$N34,"")</f>
        <v/>
      </c>
      <c r="S34" s="1435" t="str">
        <f aca="false">IF($H34=S$4,$D34*$N34,"")</f>
        <v/>
      </c>
      <c r="T34" s="1435" t="str">
        <f aca="false">IF($H34=T$4,$D34*$N34,"")</f>
        <v/>
      </c>
      <c r="U34" s="1436" t="str">
        <f aca="false">IF($H34=U$4,$D34*$N34,"")</f>
        <v/>
      </c>
      <c r="V34" s="1418"/>
      <c r="W34" s="1419"/>
      <c r="X34" s="1419"/>
      <c r="Y34" s="1419"/>
      <c r="Z34" s="1419"/>
      <c r="AA34" s="1419"/>
      <c r="AB34" s="1420"/>
      <c r="AC34" s="1319"/>
      <c r="AD34" s="2" t="str">
        <f aca="false">IF(AND(AD$4=$G34,AD$6=$F34),$B34,"")</f>
        <v/>
      </c>
      <c r="AE34" s="2" t="str">
        <f aca="false">IF(AND(AE$4=$G34,AE$6=$F34),$B34,"")</f>
        <v/>
      </c>
      <c r="AF34" s="2" t="str">
        <f aca="false">IF(AND(AF$4=$G34,AF$6=$F34),$B34,"")</f>
        <v/>
      </c>
      <c r="AG34" s="2" t="str">
        <f aca="false">IF(AND(AG$4=$G34,AG$6=$F34),$B34,"")</f>
        <v/>
      </c>
      <c r="AI34" s="366"/>
      <c r="AL34" s="367"/>
      <c r="AO34" s="1420"/>
      <c r="AP34" s="2" t="str">
        <f aca="false">IF(AT34&gt;0,RANK(AT34,AT$7:AT$423),"")</f>
        <v/>
      </c>
      <c r="AQ34" s="2" t="n">
        <f aca="false">'O_MN, PE_UTA_UGM 2024'!C30</f>
        <v>52</v>
      </c>
      <c r="AR34" s="1421" t="n">
        <v>520</v>
      </c>
      <c r="AS34" s="2" t="str">
        <f aca="false">IF(AY34&lt;&gt;"",AY34,"")</f>
        <v/>
      </c>
      <c r="AT34" s="1422" t="n">
        <f aca="false">IF(ISNUMBER($AR34),SUMIF(B$7:B$505,AR34,D$7:D$505),"")</f>
        <v>0</v>
      </c>
      <c r="AU34" s="1411" t="n">
        <f aca="false">IF(ISNUMBER($AR34),SUMIF(AD$7:AD$503,$AR34,J$7:J$503),"")</f>
        <v>0</v>
      </c>
      <c r="AV34" s="1411" t="n">
        <f aca="false">IF(ISNUMBER($AR34),SUMIF(AF$7:AF$503,$AR34,L$7:L$503),"")</f>
        <v>0</v>
      </c>
      <c r="AW34" s="1423" t="n">
        <f aca="false">IF(ISNUMBER($AR34),SUMIF(AE$7:AE$503,$AR34,K$7:K$503),"")</f>
        <v>0</v>
      </c>
      <c r="AX34" s="1423" t="n">
        <f aca="false">IF(ISNUMBER($AR34),SUMIF(AG$7:AG$503,$AR34,M$7:M$503),"")</f>
        <v>0</v>
      </c>
      <c r="AY34" s="2" t="str">
        <f aca="false">IF($AT34&gt;0,VLOOKUP($AR34,'O_MN, PE_UTA_UGM 2024'!E30:O446,2),"")</f>
        <v/>
      </c>
      <c r="AZ34" s="1507"/>
      <c r="BA34" s="1507"/>
      <c r="BB34" s="1507" t="str">
        <f aca="false">IF($AT34&gt;0,VLOOKUP($AR34,'O_MN, PE_UTA_UGM 2024'!$E$3:$O$419,BB$6),"")</f>
        <v/>
      </c>
      <c r="BC34" s="1507" t="str">
        <f aca="false">IF($AT34&gt;0,VLOOKUP($AR34,'O_MN, PE_UTA_UGM 2024'!$E$3:$O$419,BC$6),"")</f>
        <v/>
      </c>
      <c r="BD34" s="1507" t="str">
        <f aca="false">IF($AT34&gt;0,VLOOKUP($AR34,'O_MN, PE_UTA_UGM 2024'!$E$3:$O$419,BD$6),"")</f>
        <v/>
      </c>
      <c r="BE34" s="1507" t="str">
        <f aca="false">IF($AT34&gt;0,VLOOKUP($AR34,'O_MN, PE_UTA_UGM 2024'!$E$3:$O$419,BE$6),"")</f>
        <v/>
      </c>
      <c r="BF34" s="1507" t="str">
        <f aca="false">IF($AT34&gt;0,VLOOKUP($AR34,'O_MN, PE_UTA_UGM 2024'!$E$3:$O$419,BF$6),"")</f>
        <v/>
      </c>
      <c r="BG34" s="1507" t="str">
        <f aca="false">IF($AT34&gt;0,VLOOKUP($AR34,'O_MN, PE_UTA_UGM 2024'!$E$3:$O$419,BG$6),"")</f>
        <v/>
      </c>
      <c r="BH34" s="1504"/>
      <c r="BI34" s="1504"/>
      <c r="BJ34" s="1504"/>
      <c r="BK34" s="1504"/>
      <c r="BM34" s="1411"/>
      <c r="BN34" s="1411"/>
      <c r="BO34" s="1425" t="str">
        <f aca="false">IF(ISNUMBER($AU34*BB34*1),$AU34*BB34*1,"")</f>
        <v/>
      </c>
      <c r="BP34" s="1425" t="str">
        <f aca="false">IF(ISNUMBER($AV34*BC34*1),$AV34*BC34*1,"")</f>
        <v/>
      </c>
      <c r="BQ34" s="1425" t="str">
        <f aca="false">IF(ISNUMBER($AU34*BD34*1),$AU34*BD34*1,"")</f>
        <v/>
      </c>
      <c r="BR34" s="1425" t="str">
        <f aca="false">IF(ISNUMBER($AV34*BE34*1),$AV34*BE34*1,"")</f>
        <v/>
      </c>
      <c r="BS34" s="1411" t="str">
        <f aca="false">IF(ISNUMBER($AU34*BF34),$AU34*BF34,"")</f>
        <v/>
      </c>
      <c r="BT34" s="1411" t="str">
        <f aca="false">IF(ISNUMBER($AV34*BG34),$AV34*BG34,"")</f>
        <v/>
      </c>
      <c r="BU34" s="1411"/>
      <c r="BV34" s="1411"/>
      <c r="BW34" s="1411"/>
      <c r="BX34" s="1411"/>
      <c r="BZ34" s="1372"/>
      <c r="CA34" s="1372"/>
      <c r="CB34" s="1426" t="str">
        <f aca="false">IF(ISNUMBER($AW34*BB34),$AW34*BB34,"")</f>
        <v/>
      </c>
      <c r="CC34" s="1426" t="str">
        <f aca="false">IF(ISNUMBER($AX34*BC34),$AX34*BC34,"")</f>
        <v/>
      </c>
      <c r="CD34" s="1426" t="str">
        <f aca="false">IF(ISNUMBER($AW34*BD34),$AW34*BD34,"")</f>
        <v/>
      </c>
      <c r="CE34" s="1426" t="str">
        <f aca="false">IF(ISNUMBER($AX34*BE34),$AX34*BE34,"")</f>
        <v/>
      </c>
      <c r="CF34" s="1372" t="str">
        <f aca="false">IF(ISNUMBER($AW34*BF34),$AW34*BF34,"")</f>
        <v/>
      </c>
      <c r="CG34" s="1372" t="str">
        <f aca="false">IF(ISNUMBER($AX34*BG34),$AX34*BG34,"")</f>
        <v/>
      </c>
      <c r="CH34" s="1438"/>
      <c r="CI34" s="1438"/>
      <c r="CJ34" s="1438"/>
      <c r="CK34" s="1438"/>
      <c r="CU34" s="1411"/>
      <c r="CV34" s="1411"/>
      <c r="CW34" s="1425"/>
      <c r="CX34" s="1425"/>
      <c r="CY34" s="1425"/>
      <c r="CZ34" s="1425"/>
      <c r="DA34" s="1411"/>
      <c r="DB34" s="1411"/>
      <c r="DC34" s="1411"/>
      <c r="DD34" s="1411"/>
      <c r="DE34" s="1411"/>
      <c r="DF34" s="1411"/>
      <c r="DH34" s="1432"/>
      <c r="DI34" s="1432"/>
      <c r="DJ34" s="1437"/>
      <c r="DK34" s="1437"/>
      <c r="DL34" s="1437"/>
      <c r="DM34" s="1437"/>
      <c r="DN34" s="1432"/>
      <c r="DO34" s="1432"/>
      <c r="DP34" s="1432"/>
      <c r="DQ34" s="1432"/>
      <c r="DR34" s="1432"/>
      <c r="DS34" s="1432"/>
      <c r="DT34" s="1316"/>
      <c r="DU34" s="1433"/>
      <c r="DV34" s="1433"/>
      <c r="DW34" s="1433"/>
      <c r="DX34" s="1433"/>
      <c r="DY34" s="1433"/>
      <c r="DZ34" s="1433"/>
      <c r="EA34" s="1433"/>
      <c r="EB34" s="1433"/>
    </row>
    <row r="35" customFormat="false" ht="14.25" hidden="false" customHeight="false" outlineLevel="0" collapsed="false">
      <c r="A35" s="2" t="n">
        <f aca="false">'V_DATOS PAC_SGA'!CC30</f>
        <v>0</v>
      </c>
      <c r="B35" s="2" t="n">
        <f aca="false">IF(OR(A35=0,A35=""),0,IF(I35="IV",CONCATENATE('V_DATOS PAC_SGA'!CC30,"4")+0,CONCATENATE('V_DATOS PAC_SGA'!CC30,"0")+0))</f>
        <v>0</v>
      </c>
      <c r="C35" s="2" t="n">
        <f aca="false">'V_DATOS PAC_SGA'!CD30</f>
        <v>0</v>
      </c>
      <c r="D35" s="1409" t="n">
        <f aca="false">'V_DATOS PAC_SGA'!Y30</f>
        <v>0</v>
      </c>
      <c r="E35" s="1410" t="str">
        <f aca="false">IF('V_DATOS PAC_SGA'!AV30="","Regadio",'V_DATOS PAC_SGA'!AV30)</f>
        <v>Regadio</v>
      </c>
      <c r="F35" s="1411" t="n">
        <f aca="false">'V_DATOS PAC_SGA'!BK30</f>
        <v>0</v>
      </c>
      <c r="G35" s="1412" t="n">
        <f aca="false">'V_DATOS PAC_SGA'!AN30</f>
        <v>0</v>
      </c>
      <c r="H35" s="1413" t="str">
        <f aca="false">IF(B35&gt;0,VLOOKUP(B35,'O_MN, PE_UTA_UGM 2024'!E$3:O$419,10),"")</f>
        <v/>
      </c>
      <c r="I35" s="1359" t="str">
        <f aca="false">IF('V_DATOS PAC_SGA'!BV30="IV",'V_DATOS PAC_SGA'!BV30,"")</f>
        <v/>
      </c>
      <c r="J35" s="2" t="str">
        <f aca="false">IF($A35&gt;0,IF(AND(J$4=$G35,J$6=$F35),$D35*J$5,""),"")</f>
        <v/>
      </c>
      <c r="K35" s="2" t="str">
        <f aca="false">IF($A35&gt;0,IF(AND(K$4=$G35,K$6=$F35),$D35*K$5,""),"")</f>
        <v/>
      </c>
      <c r="L35" s="2" t="str">
        <f aca="false">IF($A35&gt;0,IF(AND(L$4=$G35,L$6=$F35),$D35*L$5,""),"")</f>
        <v/>
      </c>
      <c r="M35" s="2" t="str">
        <f aca="false">IF($A35&gt;0,IF(AND(M$4=$G35,M$6=$F35),$D35*M$5,""),"")</f>
        <v/>
      </c>
      <c r="N35" s="1506" t="n">
        <f aca="false">VLOOKUP(B35,'O_MN, PE_UTA_UGM 2024'!$E$2:$K$419,IF(G35&gt;1,6,7))</f>
        <v>0</v>
      </c>
      <c r="O35" s="1434" t="str">
        <f aca="false">IF($H35=O$4,$D35*$N35,"")</f>
        <v/>
      </c>
      <c r="P35" s="1435" t="str">
        <f aca="false">IF($H35=P$4,$D35*$N35,"")</f>
        <v/>
      </c>
      <c r="Q35" s="1435" t="str">
        <f aca="false">IF($H35=Q$4,$D35*$N35,"")</f>
        <v/>
      </c>
      <c r="R35" s="1435" t="str">
        <f aca="false">IF($H35=R$4,$D35*$N35,"")</f>
        <v/>
      </c>
      <c r="S35" s="1435" t="str">
        <f aca="false">IF($H35=S$4,$D35*$N35,"")</f>
        <v/>
      </c>
      <c r="T35" s="1435" t="str">
        <f aca="false">IF($H35=T$4,$D35*$N35,"")</f>
        <v/>
      </c>
      <c r="U35" s="1436" t="str">
        <f aca="false">IF($H35=U$4,$D35*$N35,"")</f>
        <v/>
      </c>
      <c r="V35" s="1418"/>
      <c r="W35" s="1419"/>
      <c r="X35" s="1419"/>
      <c r="Y35" s="1419"/>
      <c r="Z35" s="1419"/>
      <c r="AA35" s="1419"/>
      <c r="AB35" s="1420"/>
      <c r="AC35" s="1319"/>
      <c r="AD35" s="2" t="str">
        <f aca="false">IF(AND(AD$4=$G35,AD$6=$F35),$B35,"")</f>
        <v/>
      </c>
      <c r="AE35" s="2" t="str">
        <f aca="false">IF(AND(AE$4=$G35,AE$6=$F35),$B35,"")</f>
        <v/>
      </c>
      <c r="AF35" s="2" t="str">
        <f aca="false">IF(AND(AF$4=$G35,AF$6=$F35),$B35,"")</f>
        <v/>
      </c>
      <c r="AG35" s="2" t="str">
        <f aca="false">IF(AND(AG$4=$G35,AG$6=$F35),$B35,"")</f>
        <v/>
      </c>
      <c r="AI35" s="366"/>
      <c r="AL35" s="367"/>
      <c r="AO35" s="1420"/>
      <c r="AP35" s="2" t="str">
        <f aca="false">IF(AT35&gt;0,RANK(AT35,AT$7:AT$423),"")</f>
        <v/>
      </c>
      <c r="AQ35" s="2" t="n">
        <f aca="false">'O_MN, PE_UTA_UGM 2024'!C31</f>
        <v>53</v>
      </c>
      <c r="AR35" s="1421" t="n">
        <v>530</v>
      </c>
      <c r="AS35" s="2" t="str">
        <f aca="false">IF(AY35&lt;&gt;"",AY35,"")</f>
        <v/>
      </c>
      <c r="AT35" s="1422" t="n">
        <f aca="false">IF(ISNUMBER($AR35),SUMIF(B$7:B$505,AR35,D$7:D$505),"")</f>
        <v>0</v>
      </c>
      <c r="AU35" s="1411" t="n">
        <f aca="false">IF(ISNUMBER($AR35),SUMIF(AD$7:AD$503,$AR35,J$7:J$503),"")</f>
        <v>0</v>
      </c>
      <c r="AV35" s="1411" t="n">
        <f aca="false">IF(ISNUMBER($AR35),SUMIF(AF$7:AF$503,$AR35,L$7:L$503),"")</f>
        <v>0</v>
      </c>
      <c r="AW35" s="1423" t="n">
        <f aca="false">IF(ISNUMBER($AR35),SUMIF(AE$7:AE$503,$AR35,K$7:K$503),"")</f>
        <v>0</v>
      </c>
      <c r="AX35" s="1423" t="n">
        <f aca="false">IF(ISNUMBER($AR35),SUMIF(AG$7:AG$503,$AR35,M$7:M$503),"")</f>
        <v>0</v>
      </c>
      <c r="AY35" s="2" t="str">
        <f aca="false">IF($AT35&gt;0,VLOOKUP($AR35,'O_MN, PE_UTA_UGM 2024'!E31:O447,2),"")</f>
        <v/>
      </c>
      <c r="AZ35" s="1507"/>
      <c r="BA35" s="1507"/>
      <c r="BB35" s="1507" t="str">
        <f aca="false">IF($AT35&gt;0,VLOOKUP($AR35,'O_MN, PE_UTA_UGM 2024'!$E$3:$O$419,BB$6),"")</f>
        <v/>
      </c>
      <c r="BC35" s="1507" t="str">
        <f aca="false">IF($AT35&gt;0,VLOOKUP($AR35,'O_MN, PE_UTA_UGM 2024'!$E$3:$O$419,BC$6),"")</f>
        <v/>
      </c>
      <c r="BD35" s="1507" t="str">
        <f aca="false">IF($AT35&gt;0,VLOOKUP($AR35,'O_MN, PE_UTA_UGM 2024'!$E$3:$O$419,BD$6),"")</f>
        <v/>
      </c>
      <c r="BE35" s="1507" t="str">
        <f aca="false">IF($AT35&gt;0,VLOOKUP($AR35,'O_MN, PE_UTA_UGM 2024'!$E$3:$O$419,BE$6),"")</f>
        <v/>
      </c>
      <c r="BF35" s="1507" t="str">
        <f aca="false">IF($AT35&gt;0,VLOOKUP($AR35,'O_MN, PE_UTA_UGM 2024'!$E$3:$O$419,BF$6),"")</f>
        <v/>
      </c>
      <c r="BG35" s="1507" t="str">
        <f aca="false">IF($AT35&gt;0,VLOOKUP($AR35,'O_MN, PE_UTA_UGM 2024'!$E$3:$O$419,BG$6),"")</f>
        <v/>
      </c>
      <c r="BH35" s="1504"/>
      <c r="BI35" s="1504"/>
      <c r="BJ35" s="1504"/>
      <c r="BK35" s="1504"/>
      <c r="BM35" s="1411"/>
      <c r="BN35" s="1411"/>
      <c r="BO35" s="1425" t="str">
        <f aca="false">IF(ISNUMBER($AU35*BB35*1),$AU35*BB35*1,"")</f>
        <v/>
      </c>
      <c r="BP35" s="1425" t="str">
        <f aca="false">IF(ISNUMBER($AV35*BC35*1),$AV35*BC35*1,"")</f>
        <v/>
      </c>
      <c r="BQ35" s="1425" t="str">
        <f aca="false">IF(ISNUMBER($AU35*BD35*1),$AU35*BD35*1,"")</f>
        <v/>
      </c>
      <c r="BR35" s="1425" t="str">
        <f aca="false">IF(ISNUMBER($AV35*BE35*1),$AV35*BE35*1,"")</f>
        <v/>
      </c>
      <c r="BS35" s="1411" t="str">
        <f aca="false">IF(ISNUMBER($AU35*BF35),$AU35*BF35,"")</f>
        <v/>
      </c>
      <c r="BT35" s="1411" t="str">
        <f aca="false">IF(ISNUMBER($AV35*BG35),$AV35*BG35,"")</f>
        <v/>
      </c>
      <c r="BU35" s="1411"/>
      <c r="BV35" s="1411"/>
      <c r="BW35" s="1411"/>
      <c r="BX35" s="1411"/>
      <c r="BZ35" s="1372"/>
      <c r="CA35" s="1372"/>
      <c r="CB35" s="1426" t="str">
        <f aca="false">IF(ISNUMBER($AW35*BB35),$AW35*BB35,"")</f>
        <v/>
      </c>
      <c r="CC35" s="1426" t="str">
        <f aca="false">IF(ISNUMBER($AX35*BC35),$AX35*BC35,"")</f>
        <v/>
      </c>
      <c r="CD35" s="1426" t="str">
        <f aca="false">IF(ISNUMBER($AW35*BD35),$AW35*BD35,"")</f>
        <v/>
      </c>
      <c r="CE35" s="1426" t="str">
        <f aca="false">IF(ISNUMBER($AX35*BE35),$AX35*BE35,"")</f>
        <v/>
      </c>
      <c r="CF35" s="1372" t="str">
        <f aca="false">IF(ISNUMBER($AW35*BF35),$AW35*BF35,"")</f>
        <v/>
      </c>
      <c r="CG35" s="1372" t="str">
        <f aca="false">IF(ISNUMBER($AX35*BG35),$AX35*BG35,"")</f>
        <v/>
      </c>
      <c r="CH35" s="1438"/>
      <c r="CI35" s="1438"/>
      <c r="CJ35" s="1438"/>
      <c r="CK35" s="1438"/>
      <c r="CU35" s="1411"/>
      <c r="CV35" s="1411"/>
      <c r="CW35" s="1425"/>
      <c r="CX35" s="1425"/>
      <c r="CY35" s="1425"/>
      <c r="CZ35" s="1425"/>
      <c r="DA35" s="1411"/>
      <c r="DB35" s="1411"/>
      <c r="DC35" s="1411"/>
      <c r="DD35" s="1411"/>
      <c r="DE35" s="1411"/>
      <c r="DF35" s="1411"/>
      <c r="DH35" s="1432"/>
      <c r="DI35" s="1432"/>
      <c r="DJ35" s="1437"/>
      <c r="DK35" s="1437"/>
      <c r="DL35" s="1437"/>
      <c r="DM35" s="1437"/>
      <c r="DN35" s="1432"/>
      <c r="DO35" s="1432"/>
      <c r="DP35" s="1432"/>
      <c r="DQ35" s="1432"/>
      <c r="DR35" s="1432"/>
      <c r="DS35" s="1432"/>
      <c r="DT35" s="1316"/>
      <c r="DU35" s="1433"/>
      <c r="DV35" s="1433"/>
      <c r="DW35" s="1433"/>
      <c r="DX35" s="1433"/>
      <c r="DY35" s="1433"/>
      <c r="DZ35" s="1433"/>
      <c r="EA35" s="1433"/>
      <c r="EB35" s="1433"/>
    </row>
    <row r="36" customFormat="false" ht="14.25" hidden="false" customHeight="false" outlineLevel="0" collapsed="false">
      <c r="A36" s="2" t="n">
        <f aca="false">'V_DATOS PAC_SGA'!CC31</f>
        <v>0</v>
      </c>
      <c r="B36" s="2" t="n">
        <f aca="false">IF(OR(A36=0,A36=""),0,IF(I36="IV",CONCATENATE('V_DATOS PAC_SGA'!CC31,"4")+0,CONCATENATE('V_DATOS PAC_SGA'!CC31,"0")+0))</f>
        <v>0</v>
      </c>
      <c r="C36" s="2" t="n">
        <f aca="false">'V_DATOS PAC_SGA'!CD31</f>
        <v>0</v>
      </c>
      <c r="D36" s="1409" t="n">
        <f aca="false">'V_DATOS PAC_SGA'!Y31</f>
        <v>0</v>
      </c>
      <c r="E36" s="1410" t="str">
        <f aca="false">IF('V_DATOS PAC_SGA'!AV31="","Regadio",'V_DATOS PAC_SGA'!AV31)</f>
        <v>Regadio</v>
      </c>
      <c r="F36" s="1411" t="n">
        <f aca="false">'V_DATOS PAC_SGA'!BK31</f>
        <v>0</v>
      </c>
      <c r="G36" s="1412" t="n">
        <f aca="false">'V_DATOS PAC_SGA'!AN31</f>
        <v>0</v>
      </c>
      <c r="H36" s="1413" t="str">
        <f aca="false">IF(B36&gt;0,VLOOKUP(B36,'O_MN, PE_UTA_UGM 2024'!E$3:O$419,10),"")</f>
        <v/>
      </c>
      <c r="I36" s="1359" t="str">
        <f aca="false">IF('V_DATOS PAC_SGA'!BV31="IV",'V_DATOS PAC_SGA'!BV31,"")</f>
        <v/>
      </c>
      <c r="J36" s="2" t="str">
        <f aca="false">IF($A36&gt;0,IF(AND(J$4=$G36,J$6=$F36),$D36*J$5,""),"")</f>
        <v/>
      </c>
      <c r="K36" s="2" t="str">
        <f aca="false">IF($A36&gt;0,IF(AND(K$4=$G36,K$6=$F36),$D36*K$5,""),"")</f>
        <v/>
      </c>
      <c r="L36" s="2" t="str">
        <f aca="false">IF($A36&gt;0,IF(AND(L$4=$G36,L$6=$F36),$D36*L$5,""),"")</f>
        <v/>
      </c>
      <c r="M36" s="2" t="str">
        <f aca="false">IF($A36&gt;0,IF(AND(M$4=$G36,M$6=$F36),$D36*M$5,""),"")</f>
        <v/>
      </c>
      <c r="N36" s="1506" t="n">
        <f aca="false">VLOOKUP(B36,'O_MN, PE_UTA_UGM 2024'!$E$2:$K$419,IF(G36&gt;1,6,7))</f>
        <v>0</v>
      </c>
      <c r="O36" s="1434" t="str">
        <f aca="false">IF($H36=O$4,$D36*$N36,"")</f>
        <v/>
      </c>
      <c r="P36" s="1435" t="str">
        <f aca="false">IF($H36=P$4,$D36*$N36,"")</f>
        <v/>
      </c>
      <c r="Q36" s="1435" t="str">
        <f aca="false">IF($H36=Q$4,$D36*$N36,"")</f>
        <v/>
      </c>
      <c r="R36" s="1435" t="str">
        <f aca="false">IF($H36=R$4,$D36*$N36,"")</f>
        <v/>
      </c>
      <c r="S36" s="1435" t="str">
        <f aca="false">IF($H36=S$4,$D36*$N36,"")</f>
        <v/>
      </c>
      <c r="T36" s="1435" t="str">
        <f aca="false">IF($H36=T$4,$D36*$N36,"")</f>
        <v/>
      </c>
      <c r="U36" s="1436" t="str">
        <f aca="false">IF($H36=U$4,$D36*$N36,"")</f>
        <v/>
      </c>
      <c r="V36" s="1418"/>
      <c r="W36" s="1419"/>
      <c r="X36" s="1419"/>
      <c r="Y36" s="1419"/>
      <c r="Z36" s="1419"/>
      <c r="AA36" s="1419"/>
      <c r="AB36" s="1420"/>
      <c r="AC36" s="1319"/>
      <c r="AD36" s="2" t="str">
        <f aca="false">IF(AND(AD$4=$G36,AD$6=$F36),$B36,"")</f>
        <v/>
      </c>
      <c r="AE36" s="2" t="str">
        <f aca="false">IF(AND(AE$4=$G36,AE$6=$F36),$B36,"")</f>
        <v/>
      </c>
      <c r="AF36" s="2" t="str">
        <f aca="false">IF(AND(AF$4=$G36,AF$6=$F36),$B36,"")</f>
        <v/>
      </c>
      <c r="AG36" s="2" t="str">
        <f aca="false">IF(AND(AG$4=$G36,AG$6=$F36),$B36,"")</f>
        <v/>
      </c>
      <c r="AI36" s="366"/>
      <c r="AL36" s="367"/>
      <c r="AO36" s="1420"/>
      <c r="AP36" s="2" t="str">
        <f aca="false">IF(AT36&gt;0,RANK(AT36,AT$7:AT$423),"")</f>
        <v/>
      </c>
      <c r="AQ36" s="2" t="n">
        <f aca="false">'O_MN, PE_UTA_UGM 2024'!C32</f>
        <v>60</v>
      </c>
      <c r="AR36" s="1421" t="n">
        <v>600</v>
      </c>
      <c r="AS36" s="2" t="str">
        <f aca="false">IF(AY36&lt;&gt;"",AY36,"")</f>
        <v/>
      </c>
      <c r="AT36" s="1422" t="n">
        <f aca="false">IF(ISNUMBER($AR36),SUMIF(B$7:B$505,AR36,D$7:D$505),"")</f>
        <v>0</v>
      </c>
      <c r="AU36" s="1411" t="n">
        <f aca="false">IF(ISNUMBER($AR36),SUMIF(AD$7:AD$503,$AR36,J$7:J$503),"")</f>
        <v>0</v>
      </c>
      <c r="AV36" s="1411" t="n">
        <f aca="false">IF(ISNUMBER($AR36),SUMIF(AF$7:AF$503,$AR36,L$7:L$503),"")</f>
        <v>0</v>
      </c>
      <c r="AW36" s="1423" t="n">
        <f aca="false">IF(ISNUMBER($AR36),SUMIF(AE$7:AE$503,$AR36,K$7:K$503),"")</f>
        <v>0</v>
      </c>
      <c r="AX36" s="1423" t="n">
        <f aca="false">IF(ISNUMBER($AR36),SUMIF(AG$7:AG$503,$AR36,M$7:M$503),"")</f>
        <v>0</v>
      </c>
      <c r="AY36" s="2" t="str">
        <f aca="false">IF($AT36&gt;0,VLOOKUP($AR36,'O_MN, PE_UTA_UGM 2024'!E32:O448,2),"")</f>
        <v/>
      </c>
      <c r="AZ36" s="1507"/>
      <c r="BA36" s="1507"/>
      <c r="BB36" s="1507" t="str">
        <f aca="false">IF($AT36&gt;0,VLOOKUP($AR36,'O_MN, PE_UTA_UGM 2024'!$E$3:$O$419,BB$6),"")</f>
        <v/>
      </c>
      <c r="BC36" s="1507" t="str">
        <f aca="false">IF($AT36&gt;0,VLOOKUP($AR36,'O_MN, PE_UTA_UGM 2024'!$E$3:$O$419,BC$6),"")</f>
        <v/>
      </c>
      <c r="BD36" s="1507" t="str">
        <f aca="false">IF($AT36&gt;0,VLOOKUP($AR36,'O_MN, PE_UTA_UGM 2024'!$E$3:$O$419,BD$6),"")</f>
        <v/>
      </c>
      <c r="BE36" s="1507" t="str">
        <f aca="false">IF($AT36&gt;0,VLOOKUP($AR36,'O_MN, PE_UTA_UGM 2024'!$E$3:$O$419,BE$6),"")</f>
        <v/>
      </c>
      <c r="BF36" s="1507" t="str">
        <f aca="false">IF($AT36&gt;0,VLOOKUP($AR36,'O_MN, PE_UTA_UGM 2024'!$E$3:$O$419,BF$6),"")</f>
        <v/>
      </c>
      <c r="BG36" s="1507" t="str">
        <f aca="false">IF($AT36&gt;0,VLOOKUP($AR36,'O_MN, PE_UTA_UGM 2024'!$E$3:$O$419,BG$6),"")</f>
        <v/>
      </c>
      <c r="BH36" s="1504"/>
      <c r="BI36" s="1504"/>
      <c r="BJ36" s="1504"/>
      <c r="BK36" s="1504"/>
      <c r="BM36" s="1411"/>
      <c r="BN36" s="1411"/>
      <c r="BO36" s="1425" t="str">
        <f aca="false">IF(ISNUMBER($AU36*BB36*1),$AU36*BB36*1,"")</f>
        <v/>
      </c>
      <c r="BP36" s="1425" t="str">
        <f aca="false">IF(ISNUMBER($AV36*BC36*1),$AV36*BC36*1,"")</f>
        <v/>
      </c>
      <c r="BQ36" s="1425" t="str">
        <f aca="false">IF(ISNUMBER($AU36*BD36*1),$AU36*BD36*1,"")</f>
        <v/>
      </c>
      <c r="BR36" s="1425" t="str">
        <f aca="false">IF(ISNUMBER($AV36*BE36*1),$AV36*BE36*1,"")</f>
        <v/>
      </c>
      <c r="BS36" s="1411" t="str">
        <f aca="false">IF(ISNUMBER($AU36*BF36),$AU36*BF36,"")</f>
        <v/>
      </c>
      <c r="BT36" s="1411" t="str">
        <f aca="false">IF(ISNUMBER($AV36*BG36),$AV36*BG36,"")</f>
        <v/>
      </c>
      <c r="BU36" s="1411"/>
      <c r="BV36" s="1411"/>
      <c r="BW36" s="1411"/>
      <c r="BX36" s="1411"/>
      <c r="BZ36" s="1372"/>
      <c r="CA36" s="1372"/>
      <c r="CB36" s="1426" t="str">
        <f aca="false">IF(ISNUMBER($AW36*BB36),$AW36*BB36,"")</f>
        <v/>
      </c>
      <c r="CC36" s="1426" t="str">
        <f aca="false">IF(ISNUMBER($AX36*BC36),$AX36*BC36,"")</f>
        <v/>
      </c>
      <c r="CD36" s="1426" t="str">
        <f aca="false">IF(ISNUMBER($AW36*BD36),$AW36*BD36,"")</f>
        <v/>
      </c>
      <c r="CE36" s="1426" t="str">
        <f aca="false">IF(ISNUMBER($AX36*BE36),$AX36*BE36,"")</f>
        <v/>
      </c>
      <c r="CF36" s="1372" t="str">
        <f aca="false">IF(ISNUMBER($AW36*BF36),$AW36*BF36,"")</f>
        <v/>
      </c>
      <c r="CG36" s="1372" t="str">
        <f aca="false">IF(ISNUMBER($AX36*BG36),$AX36*BG36,"")</f>
        <v/>
      </c>
      <c r="CH36" s="1438"/>
      <c r="CI36" s="1438"/>
      <c r="CJ36" s="1438"/>
      <c r="CK36" s="1438"/>
      <c r="CU36" s="1411"/>
      <c r="CV36" s="1411"/>
      <c r="CW36" s="1425"/>
      <c r="CX36" s="1425"/>
      <c r="CY36" s="1425"/>
      <c r="CZ36" s="1425"/>
      <c r="DA36" s="1411"/>
      <c r="DB36" s="1411"/>
      <c r="DC36" s="1411"/>
      <c r="DD36" s="1411"/>
      <c r="DE36" s="1411"/>
      <c r="DF36" s="1411"/>
      <c r="DH36" s="1432"/>
      <c r="DI36" s="1432"/>
      <c r="DJ36" s="1437"/>
      <c r="DK36" s="1437"/>
      <c r="DL36" s="1437"/>
      <c r="DM36" s="1437"/>
      <c r="DN36" s="1432"/>
      <c r="DO36" s="1432"/>
      <c r="DP36" s="1432"/>
      <c r="DQ36" s="1432"/>
      <c r="DR36" s="1432"/>
      <c r="DS36" s="1432"/>
      <c r="DT36" s="1316"/>
      <c r="DU36" s="1433"/>
      <c r="DV36" s="1433"/>
      <c r="DW36" s="1433"/>
      <c r="DX36" s="1433"/>
      <c r="DY36" s="1433"/>
      <c r="DZ36" s="1433"/>
      <c r="EA36" s="1433"/>
      <c r="EB36" s="1433"/>
    </row>
    <row r="37" customFormat="false" ht="14.25" hidden="false" customHeight="false" outlineLevel="0" collapsed="false">
      <c r="A37" s="2" t="n">
        <f aca="false">'V_DATOS PAC_SGA'!CC32</f>
        <v>0</v>
      </c>
      <c r="B37" s="2" t="n">
        <f aca="false">IF(OR(A37=0,A37=""),0,IF(I37="IV",CONCATENATE('V_DATOS PAC_SGA'!CC32,"4")+0,CONCATENATE('V_DATOS PAC_SGA'!CC32,"0")+0))</f>
        <v>0</v>
      </c>
      <c r="C37" s="2" t="n">
        <f aca="false">'V_DATOS PAC_SGA'!CD32</f>
        <v>0</v>
      </c>
      <c r="D37" s="1409" t="n">
        <f aca="false">'V_DATOS PAC_SGA'!Y32</f>
        <v>0</v>
      </c>
      <c r="E37" s="1410" t="str">
        <f aca="false">IF('V_DATOS PAC_SGA'!AV32="","Regadio",'V_DATOS PAC_SGA'!AV32)</f>
        <v>Regadio</v>
      </c>
      <c r="F37" s="1411" t="n">
        <f aca="false">'V_DATOS PAC_SGA'!BK32</f>
        <v>0</v>
      </c>
      <c r="G37" s="1412" t="n">
        <f aca="false">'V_DATOS PAC_SGA'!AN32</f>
        <v>0</v>
      </c>
      <c r="H37" s="1413" t="str">
        <f aca="false">IF(B37&gt;0,VLOOKUP(B37,'O_MN, PE_UTA_UGM 2024'!E$3:O$419,10),"")</f>
        <v/>
      </c>
      <c r="I37" s="1359" t="str">
        <f aca="false">IF('V_DATOS PAC_SGA'!BV32="IV",'V_DATOS PAC_SGA'!BV32,"")</f>
        <v/>
      </c>
      <c r="J37" s="2" t="str">
        <f aca="false">IF($A37&gt;0,IF(AND(J$4=$G37,J$6=$F37),$D37*J$5,""),"")</f>
        <v/>
      </c>
      <c r="K37" s="2" t="str">
        <f aca="false">IF($A37&gt;0,IF(AND(K$4=$G37,K$6=$F37),$D37*K$5,""),"")</f>
        <v/>
      </c>
      <c r="L37" s="2" t="str">
        <f aca="false">IF($A37&gt;0,IF(AND(L$4=$G37,L$6=$F37),$D37*L$5,""),"")</f>
        <v/>
      </c>
      <c r="M37" s="2" t="str">
        <f aca="false">IF($A37&gt;0,IF(AND(M$4=$G37,M$6=$F37),$D37*M$5,""),"")</f>
        <v/>
      </c>
      <c r="N37" s="1506" t="n">
        <f aca="false">VLOOKUP(B37,'O_MN, PE_UTA_UGM 2024'!$E$2:$K$419,IF(G37&gt;1,6,7))</f>
        <v>0</v>
      </c>
      <c r="O37" s="1434" t="str">
        <f aca="false">IF($H37=O$4,$D37*$N37,"")</f>
        <v/>
      </c>
      <c r="P37" s="1435" t="str">
        <f aca="false">IF($H37=P$4,$D37*$N37,"")</f>
        <v/>
      </c>
      <c r="Q37" s="1435" t="str">
        <f aca="false">IF($H37=Q$4,$D37*$N37,"")</f>
        <v/>
      </c>
      <c r="R37" s="1435" t="str">
        <f aca="false">IF($H37=R$4,$D37*$N37,"")</f>
        <v/>
      </c>
      <c r="S37" s="1435" t="str">
        <f aca="false">IF($H37=S$4,$D37*$N37,"")</f>
        <v/>
      </c>
      <c r="T37" s="1435" t="str">
        <f aca="false">IF($H37=T$4,$D37*$N37,"")</f>
        <v/>
      </c>
      <c r="U37" s="1436" t="str">
        <f aca="false">IF($H37=U$4,$D37*$N37,"")</f>
        <v/>
      </c>
      <c r="V37" s="1418"/>
      <c r="W37" s="1419"/>
      <c r="X37" s="1419"/>
      <c r="Y37" s="1419"/>
      <c r="Z37" s="1419"/>
      <c r="AA37" s="1419"/>
      <c r="AB37" s="1420"/>
      <c r="AC37" s="1319"/>
      <c r="AD37" s="2" t="str">
        <f aca="false">IF(AND(AD$4=$G37,AD$6=$F37),$B37,"")</f>
        <v/>
      </c>
      <c r="AE37" s="2" t="str">
        <f aca="false">IF(AND(AE$4=$G37,AE$6=$F37),$B37,"")</f>
        <v/>
      </c>
      <c r="AF37" s="2" t="str">
        <f aca="false">IF(AND(AF$4=$G37,AF$6=$F37),$B37,"")</f>
        <v/>
      </c>
      <c r="AG37" s="2" t="str">
        <f aca="false">IF(AND(AG$4=$G37,AG$6=$F37),$B37,"")</f>
        <v/>
      </c>
      <c r="AI37" s="366"/>
      <c r="AL37" s="367"/>
      <c r="AO37" s="1420"/>
      <c r="AP37" s="2" t="str">
        <f aca="false">IF(AT37&gt;0,RANK(AT37,AT$7:AT$423),"")</f>
        <v/>
      </c>
      <c r="AQ37" s="2" t="n">
        <f aca="false">'O_MN, PE_UTA_UGM 2024'!C33</f>
        <v>61</v>
      </c>
      <c r="AR37" s="1421" t="n">
        <v>610</v>
      </c>
      <c r="AS37" s="2" t="str">
        <f aca="false">IF(AY37&lt;&gt;"",AY37,"")</f>
        <v/>
      </c>
      <c r="AT37" s="1422" t="n">
        <f aca="false">IF(ISNUMBER($AR37),SUMIF(B$7:B$505,AR37,D$7:D$505),"")</f>
        <v>0</v>
      </c>
      <c r="AU37" s="1411" t="n">
        <f aca="false">IF(ISNUMBER($AR37),SUMIF(AD$7:AD$503,$AR37,J$7:J$503),"")</f>
        <v>0</v>
      </c>
      <c r="AV37" s="1411" t="n">
        <f aca="false">IF(ISNUMBER($AR37),SUMIF(AF$7:AF$503,$AR37,L$7:L$503),"")</f>
        <v>0</v>
      </c>
      <c r="AW37" s="1423" t="n">
        <f aca="false">IF(ISNUMBER($AR37),SUMIF(AE$7:AE$503,$AR37,K$7:K$503),"")</f>
        <v>0</v>
      </c>
      <c r="AX37" s="1423" t="n">
        <f aca="false">IF(ISNUMBER($AR37),SUMIF(AG$7:AG$503,$AR37,M$7:M$503),"")</f>
        <v>0</v>
      </c>
      <c r="AY37" s="2" t="str">
        <f aca="false">IF($AT37&gt;0,VLOOKUP($AR37,'O_MN, PE_UTA_UGM 2024'!E33:O449,2),"")</f>
        <v/>
      </c>
      <c r="AZ37" s="1507"/>
      <c r="BA37" s="1507"/>
      <c r="BB37" s="1507" t="str">
        <f aca="false">IF($AT37&gt;0,VLOOKUP($AR37,'O_MN, PE_UTA_UGM 2024'!$E$3:$O$419,BB$6),"")</f>
        <v/>
      </c>
      <c r="BC37" s="1507" t="str">
        <f aca="false">IF($AT37&gt;0,VLOOKUP($AR37,'O_MN, PE_UTA_UGM 2024'!$E$3:$O$419,BC$6),"")</f>
        <v/>
      </c>
      <c r="BD37" s="1507" t="str">
        <f aca="false">IF($AT37&gt;0,VLOOKUP($AR37,'O_MN, PE_UTA_UGM 2024'!$E$3:$O$419,BD$6),"")</f>
        <v/>
      </c>
      <c r="BE37" s="1507" t="str">
        <f aca="false">IF($AT37&gt;0,VLOOKUP($AR37,'O_MN, PE_UTA_UGM 2024'!$E$3:$O$419,BE$6),"")</f>
        <v/>
      </c>
      <c r="BF37" s="1507" t="str">
        <f aca="false">IF($AT37&gt;0,VLOOKUP($AR37,'O_MN, PE_UTA_UGM 2024'!$E$3:$O$419,BF$6),"")</f>
        <v/>
      </c>
      <c r="BG37" s="1507" t="str">
        <f aca="false">IF($AT37&gt;0,VLOOKUP($AR37,'O_MN, PE_UTA_UGM 2024'!$E$3:$O$419,BG$6),"")</f>
        <v/>
      </c>
      <c r="BH37" s="1504"/>
      <c r="BI37" s="1504"/>
      <c r="BJ37" s="1504"/>
      <c r="BK37" s="1504"/>
      <c r="BM37" s="1411"/>
      <c r="BN37" s="1411"/>
      <c r="BO37" s="1425" t="str">
        <f aca="false">IF(ISNUMBER($AU37*BB37*1),$AU37*BB37*1,"")</f>
        <v/>
      </c>
      <c r="BP37" s="1425" t="str">
        <f aca="false">IF(ISNUMBER($AV37*BC37*1),$AV37*BC37*1,"")</f>
        <v/>
      </c>
      <c r="BQ37" s="1425" t="str">
        <f aca="false">IF(ISNUMBER($AU37*BD37*1),$AU37*BD37*1,"")</f>
        <v/>
      </c>
      <c r="BR37" s="1425" t="str">
        <f aca="false">IF(ISNUMBER($AV37*BE37*1),$AV37*BE37*1,"")</f>
        <v/>
      </c>
      <c r="BS37" s="1411" t="str">
        <f aca="false">IF(ISNUMBER($AU37*BF37),$AU37*BF37,"")</f>
        <v/>
      </c>
      <c r="BT37" s="1411" t="str">
        <f aca="false">IF(ISNUMBER($AV37*BG37),$AV37*BG37,"")</f>
        <v/>
      </c>
      <c r="BU37" s="1411"/>
      <c r="BV37" s="1411"/>
      <c r="BW37" s="1411"/>
      <c r="BX37" s="1411"/>
      <c r="BZ37" s="1372"/>
      <c r="CA37" s="1372"/>
      <c r="CB37" s="1426" t="str">
        <f aca="false">IF(ISNUMBER($AW37*BB37),$AW37*BB37,"")</f>
        <v/>
      </c>
      <c r="CC37" s="1426" t="str">
        <f aca="false">IF(ISNUMBER($AX37*BC37),$AX37*BC37,"")</f>
        <v/>
      </c>
      <c r="CD37" s="1426" t="str">
        <f aca="false">IF(ISNUMBER($AW37*BD37),$AW37*BD37,"")</f>
        <v/>
      </c>
      <c r="CE37" s="1426" t="str">
        <f aca="false">IF(ISNUMBER($AX37*BE37),$AX37*BE37,"")</f>
        <v/>
      </c>
      <c r="CF37" s="1372" t="str">
        <f aca="false">IF(ISNUMBER($AW37*BF37),$AW37*BF37,"")</f>
        <v/>
      </c>
      <c r="CG37" s="1372" t="str">
        <f aca="false">IF(ISNUMBER($AX37*BG37),$AX37*BG37,"")</f>
        <v/>
      </c>
      <c r="CH37" s="1438"/>
      <c r="CI37" s="1438"/>
      <c r="CJ37" s="1438"/>
      <c r="CK37" s="1438"/>
      <c r="CU37" s="1411"/>
      <c r="CV37" s="1411"/>
      <c r="CW37" s="1425"/>
      <c r="CX37" s="1425"/>
      <c r="CY37" s="1425"/>
      <c r="CZ37" s="1425"/>
      <c r="DA37" s="1411"/>
      <c r="DB37" s="1411"/>
      <c r="DC37" s="1411"/>
      <c r="DD37" s="1411"/>
      <c r="DE37" s="1411"/>
      <c r="DF37" s="1411"/>
      <c r="DH37" s="1432"/>
      <c r="DI37" s="1432"/>
      <c r="DJ37" s="1437"/>
      <c r="DK37" s="1437"/>
      <c r="DL37" s="1437"/>
      <c r="DM37" s="1437"/>
      <c r="DN37" s="1432"/>
      <c r="DO37" s="1432"/>
      <c r="DP37" s="1432"/>
      <c r="DQ37" s="1432"/>
      <c r="DR37" s="1432"/>
      <c r="DS37" s="1432"/>
      <c r="DT37" s="1316"/>
      <c r="DU37" s="1433"/>
      <c r="DV37" s="1433"/>
      <c r="DW37" s="1433"/>
      <c r="DX37" s="1433"/>
      <c r="DY37" s="1433"/>
      <c r="DZ37" s="1433"/>
      <c r="EA37" s="1433"/>
      <c r="EB37" s="1433"/>
    </row>
    <row r="38" customFormat="false" ht="14.25" hidden="false" customHeight="false" outlineLevel="0" collapsed="false">
      <c r="A38" s="2" t="n">
        <f aca="false">'V_DATOS PAC_SGA'!CC33</f>
        <v>0</v>
      </c>
      <c r="B38" s="2" t="n">
        <f aca="false">IF(OR(A38=0,A38=""),0,IF(I38="IV",CONCATENATE('V_DATOS PAC_SGA'!CC33,"4")+0,CONCATENATE('V_DATOS PAC_SGA'!CC33,"0")+0))</f>
        <v>0</v>
      </c>
      <c r="C38" s="2" t="n">
        <f aca="false">'V_DATOS PAC_SGA'!CD33</f>
        <v>0</v>
      </c>
      <c r="D38" s="1409" t="n">
        <f aca="false">'V_DATOS PAC_SGA'!Y33</f>
        <v>0</v>
      </c>
      <c r="E38" s="1410" t="str">
        <f aca="false">IF('V_DATOS PAC_SGA'!AV33="","Regadio",'V_DATOS PAC_SGA'!AV33)</f>
        <v>Regadio</v>
      </c>
      <c r="F38" s="1411" t="n">
        <f aca="false">'V_DATOS PAC_SGA'!BK33</f>
        <v>0</v>
      </c>
      <c r="G38" s="1412" t="n">
        <f aca="false">'V_DATOS PAC_SGA'!AN33</f>
        <v>0</v>
      </c>
      <c r="H38" s="1413" t="str">
        <f aca="false">IF(B38&gt;0,VLOOKUP(B38,'O_MN, PE_UTA_UGM 2024'!E$3:O$419,10),"")</f>
        <v/>
      </c>
      <c r="I38" s="1359" t="str">
        <f aca="false">IF('V_DATOS PAC_SGA'!BV33="IV",'V_DATOS PAC_SGA'!BV33,"")</f>
        <v/>
      </c>
      <c r="J38" s="2" t="str">
        <f aca="false">IF($A38&gt;0,IF(AND(J$4=$G38,J$6=$F38),$D38*J$5,""),"")</f>
        <v/>
      </c>
      <c r="K38" s="2" t="str">
        <f aca="false">IF($A38&gt;0,IF(AND(K$4=$G38,K$6=$F38),$D38*K$5,""),"")</f>
        <v/>
      </c>
      <c r="L38" s="2" t="str">
        <f aca="false">IF($A38&gt;0,IF(AND(L$4=$G38,L$6=$F38),$D38*L$5,""),"")</f>
        <v/>
      </c>
      <c r="M38" s="2" t="str">
        <f aca="false">IF($A38&gt;0,IF(AND(M$4=$G38,M$6=$F38),$D38*M$5,""),"")</f>
        <v/>
      </c>
      <c r="N38" s="1506" t="n">
        <f aca="false">VLOOKUP(B38,'O_MN, PE_UTA_UGM 2024'!$E$2:$K$419,IF(G38&gt;1,6,7))</f>
        <v>0</v>
      </c>
      <c r="O38" s="1434" t="str">
        <f aca="false">IF($H38=O$4,$D38*$N38,"")</f>
        <v/>
      </c>
      <c r="P38" s="1435" t="str">
        <f aca="false">IF($H38=P$4,$D38*$N38,"")</f>
        <v/>
      </c>
      <c r="Q38" s="1435" t="str">
        <f aca="false">IF($H38=Q$4,$D38*$N38,"")</f>
        <v/>
      </c>
      <c r="R38" s="1435" t="str">
        <f aca="false">IF($H38=R$4,$D38*$N38,"")</f>
        <v/>
      </c>
      <c r="S38" s="1435" t="str">
        <f aca="false">IF($H38=S$4,$D38*$N38,"")</f>
        <v/>
      </c>
      <c r="T38" s="1435" t="str">
        <f aca="false">IF($H38=T$4,$D38*$N38,"")</f>
        <v/>
      </c>
      <c r="U38" s="1436" t="str">
        <f aca="false">IF($H38=U$4,$D38*$N38,"")</f>
        <v/>
      </c>
      <c r="V38" s="1418"/>
      <c r="W38" s="1419"/>
      <c r="X38" s="1419"/>
      <c r="Y38" s="1419"/>
      <c r="Z38" s="1419"/>
      <c r="AA38" s="1419"/>
      <c r="AB38" s="1420"/>
      <c r="AC38" s="1319"/>
      <c r="AD38" s="2" t="str">
        <f aca="false">IF(AND(AD$4=$G38,AD$6=$F38),$B38,"")</f>
        <v/>
      </c>
      <c r="AE38" s="2" t="str">
        <f aca="false">IF(AND(AE$4=$G38,AE$6=$F38),$B38,"")</f>
        <v/>
      </c>
      <c r="AF38" s="2" t="str">
        <f aca="false">IF(AND(AF$4=$G38,AF$6=$F38),$B38,"")</f>
        <v/>
      </c>
      <c r="AG38" s="2" t="str">
        <f aca="false">IF(AND(AG$4=$G38,AG$6=$F38),$B38,"")</f>
        <v/>
      </c>
      <c r="AI38" s="366"/>
      <c r="AL38" s="367"/>
      <c r="AO38" s="1420"/>
      <c r="AP38" s="2" t="str">
        <f aca="false">IF(AT38&gt;0,RANK(AT38,AT$7:AT$423),"")</f>
        <v/>
      </c>
      <c r="AQ38" s="2" t="n">
        <f aca="false">'O_MN, PE_UTA_UGM 2024'!C34</f>
        <v>67</v>
      </c>
      <c r="AR38" s="1421" t="n">
        <v>620</v>
      </c>
      <c r="AS38" s="2" t="str">
        <f aca="false">IF(AY38&lt;&gt;"",AY38,"")</f>
        <v/>
      </c>
      <c r="AT38" s="1422" t="n">
        <f aca="false">IF(ISNUMBER($AR38),SUMIF(B$7:B$505,AR38,D$7:D$505),"")</f>
        <v>0</v>
      </c>
      <c r="AU38" s="1411" t="n">
        <f aca="false">IF(ISNUMBER($AR38),SUMIF(AD$7:AD$503,$AR38,J$7:J$503),"")</f>
        <v>0</v>
      </c>
      <c r="AV38" s="1411" t="n">
        <f aca="false">IF(ISNUMBER($AR38),SUMIF(AF$7:AF$503,$AR38,L$7:L$503),"")</f>
        <v>0</v>
      </c>
      <c r="AW38" s="1423" t="n">
        <f aca="false">IF(ISNUMBER($AR38),SUMIF(AE$7:AE$503,$AR38,K$7:K$503),"")</f>
        <v>0</v>
      </c>
      <c r="AX38" s="1423" t="n">
        <f aca="false">IF(ISNUMBER($AR38),SUMIF(AG$7:AG$503,$AR38,M$7:M$503),"")</f>
        <v>0</v>
      </c>
      <c r="AY38" s="2" t="str">
        <f aca="false">IF($AT38&gt;0,VLOOKUP($AR38,'O_MN, PE_UTA_UGM 2024'!E34:O450,2),"")</f>
        <v/>
      </c>
      <c r="AZ38" s="1507"/>
      <c r="BA38" s="1507"/>
      <c r="BB38" s="1507" t="str">
        <f aca="false">IF($AT38&gt;0,VLOOKUP($AR38,'O_MN, PE_UTA_UGM 2024'!$E$3:$O$419,BB$6),"")</f>
        <v/>
      </c>
      <c r="BC38" s="1507" t="str">
        <f aca="false">IF($AT38&gt;0,VLOOKUP($AR38,'O_MN, PE_UTA_UGM 2024'!$E$3:$O$419,BC$6),"")</f>
        <v/>
      </c>
      <c r="BD38" s="1507" t="str">
        <f aca="false">IF($AT38&gt;0,VLOOKUP($AR38,'O_MN, PE_UTA_UGM 2024'!$E$3:$O$419,BD$6),"")</f>
        <v/>
      </c>
      <c r="BE38" s="1507" t="str">
        <f aca="false">IF($AT38&gt;0,VLOOKUP($AR38,'O_MN, PE_UTA_UGM 2024'!$E$3:$O$419,BE$6),"")</f>
        <v/>
      </c>
      <c r="BF38" s="1507" t="str">
        <f aca="false">IF($AT38&gt;0,VLOOKUP($AR38,'O_MN, PE_UTA_UGM 2024'!$E$3:$O$419,BF$6),"")</f>
        <v/>
      </c>
      <c r="BG38" s="1507" t="str">
        <f aca="false">IF($AT38&gt;0,VLOOKUP($AR38,'O_MN, PE_UTA_UGM 2024'!$E$3:$O$419,BG$6),"")</f>
        <v/>
      </c>
      <c r="BH38" s="1504"/>
      <c r="BI38" s="1504"/>
      <c r="BJ38" s="1504"/>
      <c r="BK38" s="1504"/>
      <c r="BM38" s="1411"/>
      <c r="BN38" s="1411"/>
      <c r="BO38" s="1425" t="str">
        <f aca="false">IF(ISNUMBER($AU38*BB38*1),$AU38*BB38*1,"")</f>
        <v/>
      </c>
      <c r="BP38" s="1425" t="str">
        <f aca="false">IF(ISNUMBER($AV38*BC38*1),$AV38*BC38*1,"")</f>
        <v/>
      </c>
      <c r="BQ38" s="1425" t="str">
        <f aca="false">IF(ISNUMBER($AU38*BD38*1),$AU38*BD38*1,"")</f>
        <v/>
      </c>
      <c r="BR38" s="1425" t="str">
        <f aca="false">IF(ISNUMBER($AV38*BE38*1),$AV38*BE38*1,"")</f>
        <v/>
      </c>
      <c r="BS38" s="1411" t="str">
        <f aca="false">IF(ISNUMBER($AU38*BF38),$AU38*BF38,"")</f>
        <v/>
      </c>
      <c r="BT38" s="1411" t="str">
        <f aca="false">IF(ISNUMBER($AV38*BG38),$AV38*BG38,"")</f>
        <v/>
      </c>
      <c r="BU38" s="1411"/>
      <c r="BV38" s="1411"/>
      <c r="BW38" s="1411"/>
      <c r="BX38" s="1411"/>
      <c r="BZ38" s="1372"/>
      <c r="CA38" s="1372"/>
      <c r="CB38" s="1426" t="str">
        <f aca="false">IF(ISNUMBER($AW38*BB38),$AW38*BB38,"")</f>
        <v/>
      </c>
      <c r="CC38" s="1426" t="str">
        <f aca="false">IF(ISNUMBER($AX38*BC38),$AX38*BC38,"")</f>
        <v/>
      </c>
      <c r="CD38" s="1426" t="str">
        <f aca="false">IF(ISNUMBER($AW38*BD38),$AW38*BD38,"")</f>
        <v/>
      </c>
      <c r="CE38" s="1426" t="str">
        <f aca="false">IF(ISNUMBER($AX38*BE38),$AX38*BE38,"")</f>
        <v/>
      </c>
      <c r="CF38" s="1372" t="str">
        <f aca="false">IF(ISNUMBER($AW38*BF38),$AW38*BF38,"")</f>
        <v/>
      </c>
      <c r="CG38" s="1372" t="str">
        <f aca="false">IF(ISNUMBER($AX38*BG38),$AX38*BG38,"")</f>
        <v/>
      </c>
      <c r="CH38" s="1438"/>
      <c r="CI38" s="1438"/>
      <c r="CJ38" s="1438"/>
      <c r="CK38" s="1438"/>
      <c r="CU38" s="1411"/>
      <c r="CV38" s="1411"/>
      <c r="CW38" s="1425"/>
      <c r="CX38" s="1425"/>
      <c r="CY38" s="1425"/>
      <c r="CZ38" s="1425"/>
      <c r="DA38" s="1411"/>
      <c r="DB38" s="1411"/>
      <c r="DC38" s="1411"/>
      <c r="DD38" s="1411"/>
      <c r="DE38" s="1411"/>
      <c r="DF38" s="1411"/>
      <c r="DH38" s="1432"/>
      <c r="DI38" s="1432"/>
      <c r="DJ38" s="1437"/>
      <c r="DK38" s="1437"/>
      <c r="DL38" s="1437"/>
      <c r="DM38" s="1437"/>
      <c r="DN38" s="1432"/>
      <c r="DO38" s="1432"/>
      <c r="DP38" s="1432"/>
      <c r="DQ38" s="1432"/>
      <c r="DR38" s="1432"/>
      <c r="DS38" s="1432"/>
      <c r="DT38" s="1316"/>
      <c r="DU38" s="1433"/>
      <c r="DV38" s="1433"/>
      <c r="DW38" s="1433"/>
      <c r="DX38" s="1433"/>
      <c r="DY38" s="1433"/>
      <c r="DZ38" s="1433"/>
      <c r="EA38" s="1433"/>
      <c r="EB38" s="1433"/>
    </row>
    <row r="39" customFormat="false" ht="14.25" hidden="false" customHeight="false" outlineLevel="0" collapsed="false">
      <c r="A39" s="2" t="n">
        <f aca="false">'V_DATOS PAC_SGA'!CC34</f>
        <v>0</v>
      </c>
      <c r="B39" s="2" t="n">
        <f aca="false">IF(OR(A39=0,A39=""),0,IF(I39="IV",CONCATENATE('V_DATOS PAC_SGA'!CC34,"4")+0,CONCATENATE('V_DATOS PAC_SGA'!CC34,"0")+0))</f>
        <v>0</v>
      </c>
      <c r="C39" s="2" t="n">
        <f aca="false">'V_DATOS PAC_SGA'!CD34</f>
        <v>0</v>
      </c>
      <c r="D39" s="1409" t="n">
        <f aca="false">'V_DATOS PAC_SGA'!Y34</f>
        <v>0</v>
      </c>
      <c r="E39" s="1410" t="str">
        <f aca="false">IF('V_DATOS PAC_SGA'!AV34="","Regadio",'V_DATOS PAC_SGA'!AV34)</f>
        <v>Regadio</v>
      </c>
      <c r="F39" s="1411" t="n">
        <f aca="false">'V_DATOS PAC_SGA'!BK34</f>
        <v>0</v>
      </c>
      <c r="G39" s="1412" t="n">
        <f aca="false">'V_DATOS PAC_SGA'!AN34</f>
        <v>0</v>
      </c>
      <c r="H39" s="1413" t="str">
        <f aca="false">IF(B39&gt;0,VLOOKUP(B39,'O_MN, PE_UTA_UGM 2024'!E$3:O$419,10),"")</f>
        <v/>
      </c>
      <c r="I39" s="1359" t="str">
        <f aca="false">IF('V_DATOS PAC_SGA'!BV34="IV",'V_DATOS PAC_SGA'!BV34,"")</f>
        <v/>
      </c>
      <c r="J39" s="2" t="str">
        <f aca="false">IF($A39&gt;0,IF(AND(J$4=$G39,J$6=$F39),$D39*J$5,""),"")</f>
        <v/>
      </c>
      <c r="K39" s="2" t="str">
        <f aca="false">IF($A39&gt;0,IF(AND(K$4=$G39,K$6=$F39),$D39*K$5,""),"")</f>
        <v/>
      </c>
      <c r="L39" s="2" t="str">
        <f aca="false">IF($A39&gt;0,IF(AND(L$4=$G39,L$6=$F39),$D39*L$5,""),"")</f>
        <v/>
      </c>
      <c r="M39" s="2" t="str">
        <f aca="false">IF($A39&gt;0,IF(AND(M$4=$G39,M$6=$F39),$D39*M$5,""),"")</f>
        <v/>
      </c>
      <c r="N39" s="1506" t="n">
        <f aca="false">VLOOKUP(B39,'O_MN, PE_UTA_UGM 2024'!$E$2:$K$419,IF(G39&gt;1,6,7))</f>
        <v>0</v>
      </c>
      <c r="O39" s="1434" t="str">
        <f aca="false">IF($H39=O$4,$D39*$N39,"")</f>
        <v/>
      </c>
      <c r="P39" s="1435" t="str">
        <f aca="false">IF($H39=P$4,$D39*$N39,"")</f>
        <v/>
      </c>
      <c r="Q39" s="1435" t="str">
        <f aca="false">IF($H39=Q$4,$D39*$N39,"")</f>
        <v/>
      </c>
      <c r="R39" s="1435" t="str">
        <f aca="false">IF($H39=R$4,$D39*$N39,"")</f>
        <v/>
      </c>
      <c r="S39" s="1435" t="str">
        <f aca="false">IF($H39=S$4,$D39*$N39,"")</f>
        <v/>
      </c>
      <c r="T39" s="1435" t="str">
        <f aca="false">IF($H39=T$4,$D39*$N39,"")</f>
        <v/>
      </c>
      <c r="U39" s="1436" t="str">
        <f aca="false">IF($H39=U$4,$D39*$N39,"")</f>
        <v/>
      </c>
      <c r="V39" s="1418"/>
      <c r="W39" s="1419"/>
      <c r="X39" s="1419"/>
      <c r="Y39" s="1419"/>
      <c r="Z39" s="1419"/>
      <c r="AA39" s="1419"/>
      <c r="AB39" s="1420"/>
      <c r="AC39" s="1319"/>
      <c r="AD39" s="2" t="str">
        <f aca="false">IF(AND(AD$4=$G39,AD$6=$F39),$B39,"")</f>
        <v/>
      </c>
      <c r="AE39" s="2" t="str">
        <f aca="false">IF(AND(AE$4=$G39,AE$6=$F39),$B39,"")</f>
        <v/>
      </c>
      <c r="AF39" s="2" t="str">
        <f aca="false">IF(AND(AF$4=$G39,AF$6=$F39),$B39,"")</f>
        <v/>
      </c>
      <c r="AG39" s="2" t="str">
        <f aca="false">IF(AND(AG$4=$G39,AG$6=$F39),$B39,"")</f>
        <v/>
      </c>
      <c r="AI39" s="366"/>
      <c r="AL39" s="367"/>
      <c r="AO39" s="1420"/>
      <c r="AP39" s="2" t="str">
        <f aca="false">IF(AT39&gt;0,RANK(AT39,AT$7:AT$423),"")</f>
        <v/>
      </c>
      <c r="AQ39" s="2" t="n">
        <f aca="false">'O_MN, PE_UTA_UGM 2024'!C35</f>
        <v>68</v>
      </c>
      <c r="AR39" s="1421" t="n">
        <v>630</v>
      </c>
      <c r="AS39" s="2" t="str">
        <f aca="false">IF(AY39&lt;&gt;"",AY39,"")</f>
        <v/>
      </c>
      <c r="AT39" s="1422" t="n">
        <f aca="false">IF(ISNUMBER($AR39),SUMIF(B$7:B$505,AR39,D$7:D$505),"")</f>
        <v>0</v>
      </c>
      <c r="AU39" s="1411" t="n">
        <f aca="false">IF(ISNUMBER($AR39),SUMIF(AD$7:AD$503,$AR39,J$7:J$503),"")</f>
        <v>0</v>
      </c>
      <c r="AV39" s="1411" t="n">
        <f aca="false">IF(ISNUMBER($AR39),SUMIF(AF$7:AF$503,$AR39,L$7:L$503),"")</f>
        <v>0</v>
      </c>
      <c r="AW39" s="1423" t="n">
        <f aca="false">IF(ISNUMBER($AR39),SUMIF(AE$7:AE$503,$AR39,K$7:K$503),"")</f>
        <v>0</v>
      </c>
      <c r="AX39" s="1423" t="n">
        <f aca="false">IF(ISNUMBER($AR39),SUMIF(AG$7:AG$503,$AR39,M$7:M$503),"")</f>
        <v>0</v>
      </c>
      <c r="AY39" s="2" t="str">
        <f aca="false">IF($AT39&gt;0,VLOOKUP($AR39,'O_MN, PE_UTA_UGM 2024'!E35:O451,2),"")</f>
        <v/>
      </c>
      <c r="AZ39" s="1507"/>
      <c r="BA39" s="1507"/>
      <c r="BB39" s="1507" t="str">
        <f aca="false">IF($AT39&gt;0,VLOOKUP($AR39,'O_MN, PE_UTA_UGM 2024'!$E$3:$O$419,BB$6),"")</f>
        <v/>
      </c>
      <c r="BC39" s="1507" t="str">
        <f aca="false">IF($AT39&gt;0,VLOOKUP($AR39,'O_MN, PE_UTA_UGM 2024'!$E$3:$O$419,BC$6),"")</f>
        <v/>
      </c>
      <c r="BD39" s="1507" t="str">
        <f aca="false">IF($AT39&gt;0,VLOOKUP($AR39,'O_MN, PE_UTA_UGM 2024'!$E$3:$O$419,BD$6),"")</f>
        <v/>
      </c>
      <c r="BE39" s="1507" t="str">
        <f aca="false">IF($AT39&gt;0,VLOOKUP($AR39,'O_MN, PE_UTA_UGM 2024'!$E$3:$O$419,BE$6),"")</f>
        <v/>
      </c>
      <c r="BF39" s="1507" t="str">
        <f aca="false">IF($AT39&gt;0,VLOOKUP($AR39,'O_MN, PE_UTA_UGM 2024'!$E$3:$O$419,BF$6),"")</f>
        <v/>
      </c>
      <c r="BG39" s="1507" t="str">
        <f aca="false">IF($AT39&gt;0,VLOOKUP($AR39,'O_MN, PE_UTA_UGM 2024'!$E$3:$O$419,BG$6),"")</f>
        <v/>
      </c>
      <c r="BH39" s="1504"/>
      <c r="BI39" s="1504"/>
      <c r="BJ39" s="1504"/>
      <c r="BK39" s="1504"/>
      <c r="BM39" s="1411"/>
      <c r="BN39" s="1411"/>
      <c r="BO39" s="1425" t="str">
        <f aca="false">IF(ISNUMBER($AU39*BB39*1),$AU39*BB39*1,"")</f>
        <v/>
      </c>
      <c r="BP39" s="1425" t="str">
        <f aca="false">IF(ISNUMBER($AV39*BC39*1),$AV39*BC39*1,"")</f>
        <v/>
      </c>
      <c r="BQ39" s="1425" t="str">
        <f aca="false">IF(ISNUMBER($AU39*BD39*1),$AU39*BD39*1,"")</f>
        <v/>
      </c>
      <c r="BR39" s="1425" t="str">
        <f aca="false">IF(ISNUMBER($AV39*BE39*1),$AV39*BE39*1,"")</f>
        <v/>
      </c>
      <c r="BS39" s="1411" t="str">
        <f aca="false">IF(ISNUMBER($AU39*BF39),$AU39*BF39,"")</f>
        <v/>
      </c>
      <c r="BT39" s="1411" t="str">
        <f aca="false">IF(ISNUMBER($AV39*BG39),$AV39*BG39,"")</f>
        <v/>
      </c>
      <c r="BU39" s="1411"/>
      <c r="BV39" s="1411"/>
      <c r="BW39" s="1411"/>
      <c r="BX39" s="1411"/>
      <c r="BZ39" s="1372"/>
      <c r="CA39" s="1372"/>
      <c r="CB39" s="1426" t="str">
        <f aca="false">IF(ISNUMBER($AW39*BB39),$AW39*BB39,"")</f>
        <v/>
      </c>
      <c r="CC39" s="1426" t="str">
        <f aca="false">IF(ISNUMBER($AX39*BC39),$AX39*BC39,"")</f>
        <v/>
      </c>
      <c r="CD39" s="1426" t="str">
        <f aca="false">IF(ISNUMBER($AW39*BD39),$AW39*BD39,"")</f>
        <v/>
      </c>
      <c r="CE39" s="1426" t="str">
        <f aca="false">IF(ISNUMBER($AX39*BE39),$AX39*BE39,"")</f>
        <v/>
      </c>
      <c r="CF39" s="1372" t="str">
        <f aca="false">IF(ISNUMBER($AW39*BF39),$AW39*BF39,"")</f>
        <v/>
      </c>
      <c r="CG39" s="1372" t="str">
        <f aca="false">IF(ISNUMBER($AX39*BG39),$AX39*BG39,"")</f>
        <v/>
      </c>
      <c r="CH39" s="1438"/>
      <c r="CI39" s="1438"/>
      <c r="CJ39" s="1438"/>
      <c r="CK39" s="1438"/>
      <c r="CU39" s="1411"/>
      <c r="CV39" s="1411"/>
      <c r="CW39" s="1425"/>
      <c r="CX39" s="1425"/>
      <c r="CY39" s="1425"/>
      <c r="CZ39" s="1425"/>
      <c r="DA39" s="1411"/>
      <c r="DB39" s="1411"/>
      <c r="DC39" s="1411"/>
      <c r="DD39" s="1411"/>
      <c r="DE39" s="1411"/>
      <c r="DF39" s="1411"/>
      <c r="DH39" s="1432"/>
      <c r="DI39" s="1432"/>
      <c r="DJ39" s="1437"/>
      <c r="DK39" s="1437"/>
      <c r="DL39" s="1437"/>
      <c r="DM39" s="1437"/>
      <c r="DN39" s="1432"/>
      <c r="DO39" s="1432"/>
      <c r="DP39" s="1432"/>
      <c r="DQ39" s="1432"/>
      <c r="DR39" s="1432"/>
      <c r="DS39" s="1432"/>
      <c r="DT39" s="1316"/>
      <c r="DU39" s="1433"/>
      <c r="DV39" s="1433"/>
      <c r="DW39" s="1433"/>
      <c r="DX39" s="1433"/>
      <c r="DY39" s="1433"/>
      <c r="DZ39" s="1433"/>
      <c r="EA39" s="1433"/>
      <c r="EB39" s="1433"/>
    </row>
    <row r="40" customFormat="false" ht="14.25" hidden="false" customHeight="false" outlineLevel="0" collapsed="false">
      <c r="A40" s="2" t="n">
        <f aca="false">'V_DATOS PAC_SGA'!CC35</f>
        <v>0</v>
      </c>
      <c r="B40" s="2" t="n">
        <f aca="false">IF(OR(A40=0,A40=""),0,IF(I40="IV",CONCATENATE('V_DATOS PAC_SGA'!CC35,"4")+0,CONCATENATE('V_DATOS PAC_SGA'!CC35,"0")+0))</f>
        <v>0</v>
      </c>
      <c r="C40" s="2" t="n">
        <f aca="false">'V_DATOS PAC_SGA'!CD35</f>
        <v>0</v>
      </c>
      <c r="D40" s="1409" t="n">
        <f aca="false">'V_DATOS PAC_SGA'!Y35</f>
        <v>0</v>
      </c>
      <c r="E40" s="1410" t="str">
        <f aca="false">IF('V_DATOS PAC_SGA'!AV35="","Regadio",'V_DATOS PAC_SGA'!AV35)</f>
        <v>Regadio</v>
      </c>
      <c r="F40" s="1411" t="n">
        <f aca="false">'V_DATOS PAC_SGA'!BK35</f>
        <v>0</v>
      </c>
      <c r="G40" s="1412" t="n">
        <f aca="false">'V_DATOS PAC_SGA'!AN35</f>
        <v>0</v>
      </c>
      <c r="H40" s="1413" t="str">
        <f aca="false">IF(B40&gt;0,VLOOKUP(B40,'O_MN, PE_UTA_UGM 2024'!E$3:O$419,10),"")</f>
        <v/>
      </c>
      <c r="I40" s="1359" t="str">
        <f aca="false">IF('V_DATOS PAC_SGA'!BV35="IV",'V_DATOS PAC_SGA'!BV35,"")</f>
        <v/>
      </c>
      <c r="J40" s="2" t="str">
        <f aca="false">IF($A40&gt;0,IF(AND(J$4=$G40,J$6=$F40),$D40*J$5,""),"")</f>
        <v/>
      </c>
      <c r="K40" s="2" t="str">
        <f aca="false">IF($A40&gt;0,IF(AND(K$4=$G40,K$6=$F40),$D40*K$5,""),"")</f>
        <v/>
      </c>
      <c r="L40" s="2" t="str">
        <f aca="false">IF($A40&gt;0,IF(AND(L$4=$G40,L$6=$F40),$D40*L$5,""),"")</f>
        <v/>
      </c>
      <c r="M40" s="2" t="str">
        <f aca="false">IF($A40&gt;0,IF(AND(M$4=$G40,M$6=$F40),$D40*M$5,""),"")</f>
        <v/>
      </c>
      <c r="N40" s="1506" t="n">
        <f aca="false">VLOOKUP(B40,'O_MN, PE_UTA_UGM 2024'!$E$2:$K$419,IF(G40&gt;1,6,7))</f>
        <v>0</v>
      </c>
      <c r="O40" s="1434" t="str">
        <f aca="false">IF($H40=O$4,$D40*$N40,"")</f>
        <v/>
      </c>
      <c r="P40" s="1435" t="str">
        <f aca="false">IF($H40=P$4,$D40*$N40,"")</f>
        <v/>
      </c>
      <c r="Q40" s="1435" t="str">
        <f aca="false">IF($H40=Q$4,$D40*$N40,"")</f>
        <v/>
      </c>
      <c r="R40" s="1435" t="str">
        <f aca="false">IF($H40=R$4,$D40*$N40,"")</f>
        <v/>
      </c>
      <c r="S40" s="1435" t="str">
        <f aca="false">IF($H40=S$4,$D40*$N40,"")</f>
        <v/>
      </c>
      <c r="T40" s="1435" t="str">
        <f aca="false">IF($H40=T$4,$D40*$N40,"")</f>
        <v/>
      </c>
      <c r="U40" s="1436" t="str">
        <f aca="false">IF($H40=U$4,$D40*$N40,"")</f>
        <v/>
      </c>
      <c r="V40" s="1418"/>
      <c r="W40" s="1419"/>
      <c r="X40" s="1419"/>
      <c r="Y40" s="1419"/>
      <c r="Z40" s="1419"/>
      <c r="AA40" s="1419"/>
      <c r="AB40" s="1420"/>
      <c r="AC40" s="1319"/>
      <c r="AD40" s="2" t="str">
        <f aca="false">IF(AND(AD$4=$G40,AD$6=$F40),$B40,"")</f>
        <v/>
      </c>
      <c r="AE40" s="2" t="str">
        <f aca="false">IF(AND(AE$4=$G40,AE$6=$F40),$B40,"")</f>
        <v/>
      </c>
      <c r="AF40" s="2" t="str">
        <f aca="false">IF(AND(AF$4=$G40,AF$6=$F40),$B40,"")</f>
        <v/>
      </c>
      <c r="AG40" s="2" t="str">
        <f aca="false">IF(AND(AG$4=$G40,AG$6=$F40),$B40,"")</f>
        <v/>
      </c>
      <c r="AI40" s="366"/>
      <c r="AL40" s="367"/>
      <c r="AO40" s="367"/>
      <c r="AP40" s="2" t="str">
        <f aca="false">IF(AT40&gt;0,RANK(AT40,AT$7:AT$423),"")</f>
        <v/>
      </c>
      <c r="AQ40" s="2" t="n">
        <f aca="false">'O_MN, PE_UTA_UGM 2024'!C36</f>
        <v>69</v>
      </c>
      <c r="AR40" s="1421" t="n">
        <v>670</v>
      </c>
      <c r="AS40" s="2" t="str">
        <f aca="false">IF(AY40&lt;&gt;"",AY40,"")</f>
        <v/>
      </c>
      <c r="AT40" s="1422" t="n">
        <f aca="false">IF(ISNUMBER($AR40),SUMIF(B$7:B$505,AR40,D$7:D$505),"")</f>
        <v>0</v>
      </c>
      <c r="AU40" s="1411" t="n">
        <f aca="false">IF(ISNUMBER($AR40),SUMIF(AD$7:AD$503,$AR40,J$7:J$503),"")</f>
        <v>0</v>
      </c>
      <c r="AV40" s="1411" t="n">
        <f aca="false">IF(ISNUMBER($AR40),SUMIF(AF$7:AF$503,$AR40,L$7:L$503),"")</f>
        <v>0</v>
      </c>
      <c r="AW40" s="1423" t="n">
        <f aca="false">IF(ISNUMBER($AR40),SUMIF(AE$7:AE$503,$AR40,K$7:K$503),"")</f>
        <v>0</v>
      </c>
      <c r="AX40" s="1423" t="n">
        <f aca="false">IF(ISNUMBER($AR40),SUMIF(AG$7:AG$503,$AR40,M$7:M$503),"")</f>
        <v>0</v>
      </c>
      <c r="AY40" s="2" t="str">
        <f aca="false">IF($AT40&gt;0,VLOOKUP($AR40,'O_MN, PE_UTA_UGM 2024'!E36:O452,2),"")</f>
        <v/>
      </c>
      <c r="AZ40" s="1507"/>
      <c r="BA40" s="1507"/>
      <c r="BB40" s="1507" t="str">
        <f aca="false">IF($AT40&gt;0,VLOOKUP($AR40,'O_MN, PE_UTA_UGM 2024'!$E$3:$O$419,BB$6),"")</f>
        <v/>
      </c>
      <c r="BC40" s="1507" t="str">
        <f aca="false">IF($AT40&gt;0,VLOOKUP($AR40,'O_MN, PE_UTA_UGM 2024'!$E$3:$O$419,BC$6),"")</f>
        <v/>
      </c>
      <c r="BD40" s="1507" t="str">
        <f aca="false">IF($AT40&gt;0,VLOOKUP($AR40,'O_MN, PE_UTA_UGM 2024'!$E$3:$O$419,BD$6),"")</f>
        <v/>
      </c>
      <c r="BE40" s="1507" t="str">
        <f aca="false">IF($AT40&gt;0,VLOOKUP($AR40,'O_MN, PE_UTA_UGM 2024'!$E$3:$O$419,BE$6),"")</f>
        <v/>
      </c>
      <c r="BF40" s="1507" t="str">
        <f aca="false">IF($AT40&gt;0,VLOOKUP($AR40,'O_MN, PE_UTA_UGM 2024'!$E$3:$O$419,BF$6),"")</f>
        <v/>
      </c>
      <c r="BG40" s="1507" t="str">
        <f aca="false">IF($AT40&gt;0,VLOOKUP($AR40,'O_MN, PE_UTA_UGM 2024'!$E$3:$O$419,BG$6),"")</f>
        <v/>
      </c>
      <c r="BH40" s="1504"/>
      <c r="BI40" s="1504"/>
      <c r="BJ40" s="1504"/>
      <c r="BK40" s="1504"/>
      <c r="BM40" s="1411"/>
      <c r="BN40" s="1411"/>
      <c r="BO40" s="1425" t="str">
        <f aca="false">IF(ISNUMBER($AU40*BB40*1),$AU40*BB40*1,"")</f>
        <v/>
      </c>
      <c r="BP40" s="1425" t="str">
        <f aca="false">IF(ISNUMBER($AV40*BC40*1),$AV40*BC40*1,"")</f>
        <v/>
      </c>
      <c r="BQ40" s="1425" t="str">
        <f aca="false">IF(ISNUMBER($AU40*BD40*1),$AU40*BD40*1,"")</f>
        <v/>
      </c>
      <c r="BR40" s="1425" t="str">
        <f aca="false">IF(ISNUMBER($AV40*BE40*1),$AV40*BE40*1,"")</f>
        <v/>
      </c>
      <c r="BS40" s="1411" t="str">
        <f aca="false">IF(ISNUMBER($AU40*BF40),$AU40*BF40,"")</f>
        <v/>
      </c>
      <c r="BT40" s="1411" t="str">
        <f aca="false">IF(ISNUMBER($AV40*BG40),$AV40*BG40,"")</f>
        <v/>
      </c>
      <c r="BU40" s="1411"/>
      <c r="BV40" s="1411"/>
      <c r="BW40" s="1411"/>
      <c r="BX40" s="1411"/>
      <c r="BZ40" s="1372"/>
      <c r="CA40" s="1372"/>
      <c r="CB40" s="1426" t="str">
        <f aca="false">IF(ISNUMBER($AW40*BB40),$AW40*BB40,"")</f>
        <v/>
      </c>
      <c r="CC40" s="1426" t="str">
        <f aca="false">IF(ISNUMBER($AX40*BC40),$AX40*BC40,"")</f>
        <v/>
      </c>
      <c r="CD40" s="1426" t="str">
        <f aca="false">IF(ISNUMBER($AW40*BD40),$AW40*BD40,"")</f>
        <v/>
      </c>
      <c r="CE40" s="1426" t="str">
        <f aca="false">IF(ISNUMBER($AX40*BE40),$AX40*BE40,"")</f>
        <v/>
      </c>
      <c r="CF40" s="1372" t="str">
        <f aca="false">IF(ISNUMBER($AW40*BF40),$AW40*BF40,"")</f>
        <v/>
      </c>
      <c r="CG40" s="1372" t="str">
        <f aca="false">IF(ISNUMBER($AX40*BG40),$AX40*BG40,"")</f>
        <v/>
      </c>
      <c r="CH40" s="1438"/>
      <c r="CI40" s="1438"/>
      <c r="CJ40" s="1438"/>
      <c r="CK40" s="1438"/>
      <c r="CU40" s="1411"/>
      <c r="CV40" s="1411"/>
      <c r="CW40" s="1425"/>
      <c r="CX40" s="1425"/>
      <c r="CY40" s="1425"/>
      <c r="CZ40" s="1425"/>
      <c r="DA40" s="1411"/>
      <c r="DB40" s="1411"/>
      <c r="DC40" s="1411"/>
      <c r="DD40" s="1411"/>
      <c r="DE40" s="1411"/>
      <c r="DF40" s="1411"/>
      <c r="DH40" s="1432"/>
      <c r="DI40" s="1432"/>
      <c r="DJ40" s="1437"/>
      <c r="DK40" s="1437"/>
      <c r="DL40" s="1437"/>
      <c r="DM40" s="1437"/>
      <c r="DN40" s="1432"/>
      <c r="DO40" s="1432"/>
      <c r="DP40" s="1432"/>
      <c r="DQ40" s="1432"/>
      <c r="DR40" s="1432"/>
      <c r="DS40" s="1432"/>
      <c r="DT40" s="1316"/>
      <c r="DU40" s="1433"/>
      <c r="DV40" s="1433"/>
      <c r="DW40" s="1433"/>
      <c r="DX40" s="1433"/>
      <c r="DY40" s="1433"/>
      <c r="DZ40" s="1433"/>
      <c r="EA40" s="1433"/>
      <c r="EB40" s="1433"/>
    </row>
    <row r="41" customFormat="false" ht="14.25" hidden="false" customHeight="false" outlineLevel="0" collapsed="false">
      <c r="A41" s="2" t="n">
        <f aca="false">'V_DATOS PAC_SGA'!CC36</f>
        <v>0</v>
      </c>
      <c r="B41" s="2" t="n">
        <f aca="false">IF(OR(A41=0,A41=""),0,IF(I41="IV",CONCATENATE('V_DATOS PAC_SGA'!CC36,"4")+0,CONCATENATE('V_DATOS PAC_SGA'!CC36,"0")+0))</f>
        <v>0</v>
      </c>
      <c r="C41" s="2" t="n">
        <f aca="false">'V_DATOS PAC_SGA'!CD36</f>
        <v>0</v>
      </c>
      <c r="D41" s="1409" t="n">
        <f aca="false">'V_DATOS PAC_SGA'!Y36</f>
        <v>0</v>
      </c>
      <c r="E41" s="1410" t="str">
        <f aca="false">IF('V_DATOS PAC_SGA'!AV36="","Regadio",'V_DATOS PAC_SGA'!AV36)</f>
        <v>Regadio</v>
      </c>
      <c r="F41" s="1411" t="n">
        <f aca="false">'V_DATOS PAC_SGA'!BK36</f>
        <v>0</v>
      </c>
      <c r="G41" s="1412" t="n">
        <f aca="false">'V_DATOS PAC_SGA'!AN36</f>
        <v>0</v>
      </c>
      <c r="H41" s="1413" t="str">
        <f aca="false">IF(B41&gt;0,VLOOKUP(B41,'O_MN, PE_UTA_UGM 2024'!E$3:O$419,10),"")</f>
        <v/>
      </c>
      <c r="I41" s="1359" t="str">
        <f aca="false">IF('V_DATOS PAC_SGA'!BV36="IV",'V_DATOS PAC_SGA'!BV36,"")</f>
        <v/>
      </c>
      <c r="J41" s="2" t="str">
        <f aca="false">IF($A41&gt;0,IF(AND(J$4=$G41,J$6=$F41),$D41*J$5,""),"")</f>
        <v/>
      </c>
      <c r="K41" s="2" t="str">
        <f aca="false">IF($A41&gt;0,IF(AND(K$4=$G41,K$6=$F41),$D41*K$5,""),"")</f>
        <v/>
      </c>
      <c r="L41" s="2" t="str">
        <f aca="false">IF($A41&gt;0,IF(AND(L$4=$G41,L$6=$F41),$D41*L$5,""),"")</f>
        <v/>
      </c>
      <c r="M41" s="2" t="str">
        <f aca="false">IF($A41&gt;0,IF(AND(M$4=$G41,M$6=$F41),$D41*M$5,""),"")</f>
        <v/>
      </c>
      <c r="N41" s="1506" t="n">
        <f aca="false">VLOOKUP(B41,'O_MN, PE_UTA_UGM 2024'!$E$2:$K$419,IF(G41&gt;1,6,7))</f>
        <v>0</v>
      </c>
      <c r="O41" s="1434" t="str">
        <f aca="false">IF($H41=O$4,$D41*$N41,"")</f>
        <v/>
      </c>
      <c r="P41" s="1435" t="str">
        <f aca="false">IF($H41=P$4,$D41*$N41,"")</f>
        <v/>
      </c>
      <c r="Q41" s="1435" t="str">
        <f aca="false">IF($H41=Q$4,$D41*$N41,"")</f>
        <v/>
      </c>
      <c r="R41" s="1435" t="str">
        <f aca="false">IF($H41=R$4,$D41*$N41,"")</f>
        <v/>
      </c>
      <c r="S41" s="1435" t="str">
        <f aca="false">IF($H41=S$4,$D41*$N41,"")</f>
        <v/>
      </c>
      <c r="T41" s="1435" t="str">
        <f aca="false">IF($H41=T$4,$D41*$N41,"")</f>
        <v/>
      </c>
      <c r="U41" s="1436" t="str">
        <f aca="false">IF($H41=U$4,$D41*$N41,"")</f>
        <v/>
      </c>
      <c r="V41" s="1418"/>
      <c r="W41" s="1419"/>
      <c r="X41" s="1419"/>
      <c r="Y41" s="1419"/>
      <c r="Z41" s="1419"/>
      <c r="AA41" s="1419"/>
      <c r="AB41" s="1420"/>
      <c r="AC41" s="1319"/>
      <c r="AD41" s="2" t="str">
        <f aca="false">IF(AND(AD$4=$G41,AD$6=$F41),$B41,"")</f>
        <v/>
      </c>
      <c r="AE41" s="2" t="str">
        <f aca="false">IF(AND(AE$4=$G41,AE$6=$F41),$B41,"")</f>
        <v/>
      </c>
      <c r="AF41" s="2" t="str">
        <f aca="false">IF(AND(AF$4=$G41,AF$6=$F41),$B41,"")</f>
        <v/>
      </c>
      <c r="AG41" s="2" t="str">
        <f aca="false">IF(AND(AG$4=$G41,AG$6=$F41),$B41,"")</f>
        <v/>
      </c>
      <c r="AI41" s="366"/>
      <c r="AL41" s="367"/>
      <c r="AO41" s="367"/>
      <c r="AP41" s="2" t="str">
        <f aca="false">IF(AT41&gt;0,RANK(AT41,AT$7:AT$423),"")</f>
        <v/>
      </c>
      <c r="AQ41" s="2" t="n">
        <f aca="false">'O_MN, PE_UTA_UGM 2024'!C37</f>
        <v>70</v>
      </c>
      <c r="AR41" s="1421" t="n">
        <v>680</v>
      </c>
      <c r="AS41" s="2" t="str">
        <f aca="false">IF(AY41&lt;&gt;"",AY41,"")</f>
        <v/>
      </c>
      <c r="AT41" s="1422" t="n">
        <f aca="false">IF(ISNUMBER($AR41),SUMIF(B$7:B$505,AR41,D$7:D$505),"")</f>
        <v>0</v>
      </c>
      <c r="AU41" s="1411" t="n">
        <f aca="false">IF(ISNUMBER($AR41),SUMIF(AD$7:AD$503,$AR41,J$7:J$503),"")</f>
        <v>0</v>
      </c>
      <c r="AV41" s="1411" t="n">
        <f aca="false">IF(ISNUMBER($AR41),SUMIF(AF$7:AF$503,$AR41,L$7:L$503),"")</f>
        <v>0</v>
      </c>
      <c r="AW41" s="1423" t="n">
        <f aca="false">IF(ISNUMBER($AR41),SUMIF(AE$7:AE$503,$AR41,K$7:K$503),"")</f>
        <v>0</v>
      </c>
      <c r="AX41" s="1423" t="n">
        <f aca="false">IF(ISNUMBER($AR41),SUMIF(AG$7:AG$503,$AR41,M$7:M$503),"")</f>
        <v>0</v>
      </c>
      <c r="AY41" s="2" t="str">
        <f aca="false">IF($AT41&gt;0,VLOOKUP($AR41,'O_MN, PE_UTA_UGM 2024'!E37:O453,2),"")</f>
        <v/>
      </c>
      <c r="AZ41" s="1507"/>
      <c r="BA41" s="1507"/>
      <c r="BB41" s="1507" t="str">
        <f aca="false">IF($AT41&gt;0,VLOOKUP($AR41,'O_MN, PE_UTA_UGM 2024'!$E$3:$O$419,BB$6),"")</f>
        <v/>
      </c>
      <c r="BC41" s="1507" t="str">
        <f aca="false">IF($AT41&gt;0,VLOOKUP($AR41,'O_MN, PE_UTA_UGM 2024'!$E$3:$O$419,BC$6),"")</f>
        <v/>
      </c>
      <c r="BD41" s="1507" t="str">
        <f aca="false">IF($AT41&gt;0,VLOOKUP($AR41,'O_MN, PE_UTA_UGM 2024'!$E$3:$O$419,BD$6),"")</f>
        <v/>
      </c>
      <c r="BE41" s="1507" t="str">
        <f aca="false">IF($AT41&gt;0,VLOOKUP($AR41,'O_MN, PE_UTA_UGM 2024'!$E$3:$O$419,BE$6),"")</f>
        <v/>
      </c>
      <c r="BF41" s="1507" t="str">
        <f aca="false">IF($AT41&gt;0,VLOOKUP($AR41,'O_MN, PE_UTA_UGM 2024'!$E$3:$O$419,BF$6),"")</f>
        <v/>
      </c>
      <c r="BG41" s="1507" t="str">
        <f aca="false">IF($AT41&gt;0,VLOOKUP($AR41,'O_MN, PE_UTA_UGM 2024'!$E$3:$O$419,BG$6),"")</f>
        <v/>
      </c>
      <c r="BH41" s="1504"/>
      <c r="BI41" s="1504"/>
      <c r="BJ41" s="1504"/>
      <c r="BK41" s="1504"/>
      <c r="BM41" s="1411"/>
      <c r="BN41" s="1411"/>
      <c r="BO41" s="1425" t="str">
        <f aca="false">IF(ISNUMBER($AU41*BB41*1),$AU41*BB41*1,"")</f>
        <v/>
      </c>
      <c r="BP41" s="1425" t="str">
        <f aca="false">IF(ISNUMBER($AV41*BC41*1),$AV41*BC41*1,"")</f>
        <v/>
      </c>
      <c r="BQ41" s="1425" t="str">
        <f aca="false">IF(ISNUMBER($AU41*BD41*1),$AU41*BD41*1,"")</f>
        <v/>
      </c>
      <c r="BR41" s="1425" t="str">
        <f aca="false">IF(ISNUMBER($AV41*BE41*1),$AV41*BE41*1,"")</f>
        <v/>
      </c>
      <c r="BS41" s="1411" t="str">
        <f aca="false">IF(ISNUMBER($AU41*BF41),$AU41*BF41,"")</f>
        <v/>
      </c>
      <c r="BT41" s="1411" t="str">
        <f aca="false">IF(ISNUMBER($AV41*BG41),$AV41*BG41,"")</f>
        <v/>
      </c>
      <c r="BU41" s="1411"/>
      <c r="BV41" s="1411"/>
      <c r="BW41" s="1411"/>
      <c r="BX41" s="1411"/>
      <c r="BZ41" s="1372"/>
      <c r="CA41" s="1372"/>
      <c r="CB41" s="1426" t="str">
        <f aca="false">IF(ISNUMBER($AW41*BB41),$AW41*BB41,"")</f>
        <v/>
      </c>
      <c r="CC41" s="1426" t="str">
        <f aca="false">IF(ISNUMBER($AX41*BC41),$AX41*BC41,"")</f>
        <v/>
      </c>
      <c r="CD41" s="1426" t="str">
        <f aca="false">IF(ISNUMBER($AW41*BD41),$AW41*BD41,"")</f>
        <v/>
      </c>
      <c r="CE41" s="1426" t="str">
        <f aca="false">IF(ISNUMBER($AX41*BE41),$AX41*BE41,"")</f>
        <v/>
      </c>
      <c r="CF41" s="1372" t="str">
        <f aca="false">IF(ISNUMBER($AW41*BF41),$AW41*BF41,"")</f>
        <v/>
      </c>
      <c r="CG41" s="1372" t="str">
        <f aca="false">IF(ISNUMBER($AX41*BG41),$AX41*BG41,"")</f>
        <v/>
      </c>
      <c r="CH41" s="1438"/>
      <c r="CI41" s="1438"/>
      <c r="CJ41" s="1438"/>
      <c r="CK41" s="1438"/>
      <c r="CU41" s="1411"/>
      <c r="CV41" s="1411"/>
      <c r="CW41" s="1425"/>
      <c r="CX41" s="1425"/>
      <c r="CY41" s="1425"/>
      <c r="CZ41" s="1425"/>
      <c r="DA41" s="1411"/>
      <c r="DB41" s="1411"/>
      <c r="DC41" s="1411"/>
      <c r="DD41" s="1411"/>
      <c r="DE41" s="1411"/>
      <c r="DF41" s="1411"/>
      <c r="DH41" s="1432"/>
      <c r="DI41" s="1432"/>
      <c r="DJ41" s="1437"/>
      <c r="DK41" s="1437"/>
      <c r="DL41" s="1437"/>
      <c r="DM41" s="1437"/>
      <c r="DN41" s="1432"/>
      <c r="DO41" s="1432"/>
      <c r="DP41" s="1432"/>
      <c r="DQ41" s="1432"/>
      <c r="DR41" s="1432"/>
      <c r="DS41" s="1432"/>
      <c r="DT41" s="1316"/>
      <c r="DU41" s="1433"/>
      <c r="DV41" s="1433"/>
      <c r="DW41" s="1433"/>
      <c r="DX41" s="1433"/>
      <c r="DY41" s="1433"/>
      <c r="DZ41" s="1433"/>
      <c r="EA41" s="1433"/>
      <c r="EB41" s="1433"/>
    </row>
    <row r="42" customFormat="false" ht="14.25" hidden="false" customHeight="false" outlineLevel="0" collapsed="false">
      <c r="A42" s="2" t="n">
        <f aca="false">'V_DATOS PAC_SGA'!CC37</f>
        <v>0</v>
      </c>
      <c r="B42" s="2" t="n">
        <f aca="false">IF(OR(A42=0,A42=""),0,IF(I42="IV",CONCATENATE('V_DATOS PAC_SGA'!CC37,"4")+0,CONCATENATE('V_DATOS PAC_SGA'!CC37,"0")+0))</f>
        <v>0</v>
      </c>
      <c r="C42" s="2" t="n">
        <f aca="false">'V_DATOS PAC_SGA'!CD37</f>
        <v>0</v>
      </c>
      <c r="D42" s="1409" t="n">
        <f aca="false">'V_DATOS PAC_SGA'!Y37</f>
        <v>0</v>
      </c>
      <c r="E42" s="1410" t="str">
        <f aca="false">IF('V_DATOS PAC_SGA'!AV37="","Regadio",'V_DATOS PAC_SGA'!AV37)</f>
        <v>Regadio</v>
      </c>
      <c r="F42" s="1411" t="n">
        <f aca="false">'V_DATOS PAC_SGA'!BK37</f>
        <v>0</v>
      </c>
      <c r="G42" s="1412" t="n">
        <f aca="false">'V_DATOS PAC_SGA'!AN37</f>
        <v>0</v>
      </c>
      <c r="H42" s="1413" t="str">
        <f aca="false">IF(B42&gt;0,VLOOKUP(B42,'O_MN, PE_UTA_UGM 2024'!E$3:O$419,10),"")</f>
        <v/>
      </c>
      <c r="I42" s="1359" t="str">
        <f aca="false">IF('V_DATOS PAC_SGA'!BV37="IV",'V_DATOS PAC_SGA'!BV37,"")</f>
        <v/>
      </c>
      <c r="J42" s="2" t="str">
        <f aca="false">IF($A42&gt;0,IF(AND(J$4=$G42,J$6=$F42),$D42*J$5,""),"")</f>
        <v/>
      </c>
      <c r="K42" s="2" t="str">
        <f aca="false">IF($A42&gt;0,IF(AND(K$4=$G42,K$6=$F42),$D42*K$5,""),"")</f>
        <v/>
      </c>
      <c r="L42" s="2" t="str">
        <f aca="false">IF($A42&gt;0,IF(AND(L$4=$G42,L$6=$F42),$D42*L$5,""),"")</f>
        <v/>
      </c>
      <c r="M42" s="2" t="str">
        <f aca="false">IF($A42&gt;0,IF(AND(M$4=$G42,M$6=$F42),$D42*M$5,""),"")</f>
        <v/>
      </c>
      <c r="N42" s="1506" t="n">
        <f aca="false">VLOOKUP(B42,'O_MN, PE_UTA_UGM 2024'!$E$2:$K$419,IF(G42&gt;1,6,7))</f>
        <v>0</v>
      </c>
      <c r="O42" s="1434" t="str">
        <f aca="false">IF($H42=O$4,$D42*$N42,"")</f>
        <v/>
      </c>
      <c r="P42" s="1435" t="str">
        <f aca="false">IF($H42=P$4,$D42*$N42,"")</f>
        <v/>
      </c>
      <c r="Q42" s="1435" t="str">
        <f aca="false">IF($H42=Q$4,$D42*$N42,"")</f>
        <v/>
      </c>
      <c r="R42" s="1435" t="str">
        <f aca="false">IF($H42=R$4,$D42*$N42,"")</f>
        <v/>
      </c>
      <c r="S42" s="1435" t="str">
        <f aca="false">IF($H42=S$4,$D42*$N42,"")</f>
        <v/>
      </c>
      <c r="T42" s="1435" t="str">
        <f aca="false">IF($H42=T$4,$D42*$N42,"")</f>
        <v/>
      </c>
      <c r="U42" s="1436" t="str">
        <f aca="false">IF($H42=U$4,$D42*$N42,"")</f>
        <v/>
      </c>
      <c r="V42" s="1418"/>
      <c r="W42" s="1419"/>
      <c r="X42" s="1419"/>
      <c r="Y42" s="1419"/>
      <c r="Z42" s="1419"/>
      <c r="AA42" s="1419"/>
      <c r="AB42" s="1420"/>
      <c r="AC42" s="1319"/>
      <c r="AD42" s="2" t="str">
        <f aca="false">IF(AND(AD$4=$G42,AD$6=$F42),$B42,"")</f>
        <v/>
      </c>
      <c r="AE42" s="2" t="str">
        <f aca="false">IF(AND(AE$4=$G42,AE$6=$F42),$B42,"")</f>
        <v/>
      </c>
      <c r="AF42" s="2" t="str">
        <f aca="false">IF(AND(AF$4=$G42,AF$6=$F42),$B42,"")</f>
        <v/>
      </c>
      <c r="AG42" s="2" t="str">
        <f aca="false">IF(AND(AG$4=$G42,AG$6=$F42),$B42,"")</f>
        <v/>
      </c>
      <c r="AI42" s="366"/>
      <c r="AL42" s="367"/>
      <c r="AO42" s="367"/>
      <c r="AP42" s="2" t="str">
        <f aca="false">IF(AT42&gt;0,RANK(AT42,AT$7:AT$423),"")</f>
        <v/>
      </c>
      <c r="AQ42" s="2" t="n">
        <f aca="false">'O_MN, PE_UTA_UGM 2024'!C38</f>
        <v>71</v>
      </c>
      <c r="AR42" s="1421" t="n">
        <v>690</v>
      </c>
      <c r="AS42" s="2" t="str">
        <f aca="false">IF(AY42&lt;&gt;"",AY42,"")</f>
        <v/>
      </c>
      <c r="AT42" s="1422" t="n">
        <f aca="false">IF(ISNUMBER($AR42),SUMIF(B$7:B$505,AR42,D$7:D$505),"")</f>
        <v>0</v>
      </c>
      <c r="AU42" s="1411" t="n">
        <f aca="false">IF(ISNUMBER($AR42),SUMIF(AD$7:AD$503,$AR42,J$7:J$503),"")</f>
        <v>0</v>
      </c>
      <c r="AV42" s="1411" t="n">
        <f aca="false">IF(ISNUMBER($AR42),SUMIF(AF$7:AF$503,$AR42,L$7:L$503),"")</f>
        <v>0</v>
      </c>
      <c r="AW42" s="1423" t="n">
        <f aca="false">IF(ISNUMBER($AR42),SUMIF(AE$7:AE$503,$AR42,K$7:K$503),"")</f>
        <v>0</v>
      </c>
      <c r="AX42" s="1423" t="n">
        <f aca="false">IF(ISNUMBER($AR42),SUMIF(AG$7:AG$503,$AR42,M$7:M$503),"")</f>
        <v>0</v>
      </c>
      <c r="AY42" s="2" t="str">
        <f aca="false">IF($AT42&gt;0,VLOOKUP($AR42,'O_MN, PE_UTA_UGM 2024'!E38:O454,2),"")</f>
        <v/>
      </c>
      <c r="AZ42" s="1507"/>
      <c r="BA42" s="1507"/>
      <c r="BB42" s="1507" t="str">
        <f aca="false">IF($AT42&gt;0,VLOOKUP($AR42,'O_MN, PE_UTA_UGM 2024'!$E$3:$O$419,BB$6),"")</f>
        <v/>
      </c>
      <c r="BC42" s="1507" t="str">
        <f aca="false">IF($AT42&gt;0,VLOOKUP($AR42,'O_MN, PE_UTA_UGM 2024'!$E$3:$O$419,BC$6),"")</f>
        <v/>
      </c>
      <c r="BD42" s="1507" t="str">
        <f aca="false">IF($AT42&gt;0,VLOOKUP($AR42,'O_MN, PE_UTA_UGM 2024'!$E$3:$O$419,BD$6),"")</f>
        <v/>
      </c>
      <c r="BE42" s="1507" t="str">
        <f aca="false">IF($AT42&gt;0,VLOOKUP($AR42,'O_MN, PE_UTA_UGM 2024'!$E$3:$O$419,BE$6),"")</f>
        <v/>
      </c>
      <c r="BF42" s="1507" t="str">
        <f aca="false">IF($AT42&gt;0,VLOOKUP($AR42,'O_MN, PE_UTA_UGM 2024'!$E$3:$O$419,BF$6),"")</f>
        <v/>
      </c>
      <c r="BG42" s="1507" t="str">
        <f aca="false">IF($AT42&gt;0,VLOOKUP($AR42,'O_MN, PE_UTA_UGM 2024'!$E$3:$O$419,BG$6),"")</f>
        <v/>
      </c>
      <c r="BH42" s="1504"/>
      <c r="BI42" s="1504"/>
      <c r="BJ42" s="1504"/>
      <c r="BK42" s="1504"/>
      <c r="BM42" s="1411"/>
      <c r="BN42" s="1411"/>
      <c r="BO42" s="1425" t="str">
        <f aca="false">IF(ISNUMBER($AU42*BB42*1),$AU42*BB42*1,"")</f>
        <v/>
      </c>
      <c r="BP42" s="1425" t="str">
        <f aca="false">IF(ISNUMBER($AV42*BC42*1),$AV42*BC42*1,"")</f>
        <v/>
      </c>
      <c r="BQ42" s="1425" t="str">
        <f aca="false">IF(ISNUMBER($AU42*BD42*1),$AU42*BD42*1,"")</f>
        <v/>
      </c>
      <c r="BR42" s="1425" t="str">
        <f aca="false">IF(ISNUMBER($AV42*BE42*1),$AV42*BE42*1,"")</f>
        <v/>
      </c>
      <c r="BS42" s="1411" t="str">
        <f aca="false">IF(ISNUMBER($AU42*BF42),$AU42*BF42,"")</f>
        <v/>
      </c>
      <c r="BT42" s="1411" t="str">
        <f aca="false">IF(ISNUMBER($AV42*BG42),$AV42*BG42,"")</f>
        <v/>
      </c>
      <c r="BU42" s="1411"/>
      <c r="BV42" s="1411"/>
      <c r="BW42" s="1411"/>
      <c r="BX42" s="1411"/>
      <c r="BZ42" s="1372"/>
      <c r="CA42" s="1372"/>
      <c r="CB42" s="1426" t="str">
        <f aca="false">IF(ISNUMBER($AW42*BB42),$AW42*BB42,"")</f>
        <v/>
      </c>
      <c r="CC42" s="1426" t="str">
        <f aca="false">IF(ISNUMBER($AX42*BC42),$AX42*BC42,"")</f>
        <v/>
      </c>
      <c r="CD42" s="1426" t="str">
        <f aca="false">IF(ISNUMBER($AW42*BD42),$AW42*BD42,"")</f>
        <v/>
      </c>
      <c r="CE42" s="1426" t="str">
        <f aca="false">IF(ISNUMBER($AX42*BE42),$AX42*BE42,"")</f>
        <v/>
      </c>
      <c r="CF42" s="1372" t="str">
        <f aca="false">IF(ISNUMBER($AW42*BF42),$AW42*BF42,"")</f>
        <v/>
      </c>
      <c r="CG42" s="1372" t="str">
        <f aca="false">IF(ISNUMBER($AX42*BG42),$AX42*BG42,"")</f>
        <v/>
      </c>
      <c r="CH42" s="1438"/>
      <c r="CI42" s="1438"/>
      <c r="CJ42" s="1438"/>
      <c r="CK42" s="1438"/>
      <c r="CU42" s="1411"/>
      <c r="CV42" s="1411"/>
      <c r="CW42" s="1425"/>
      <c r="CX42" s="1425"/>
      <c r="CY42" s="1425"/>
      <c r="CZ42" s="1425"/>
      <c r="DA42" s="1411"/>
      <c r="DB42" s="1411"/>
      <c r="DC42" s="1411"/>
      <c r="DD42" s="1411"/>
      <c r="DE42" s="1411"/>
      <c r="DF42" s="1411"/>
      <c r="DH42" s="1432"/>
      <c r="DI42" s="1432"/>
      <c r="DJ42" s="1437"/>
      <c r="DK42" s="1437"/>
      <c r="DL42" s="1437"/>
      <c r="DM42" s="1437"/>
      <c r="DN42" s="1432"/>
      <c r="DO42" s="1432"/>
      <c r="DP42" s="1432"/>
      <c r="DQ42" s="1432"/>
      <c r="DR42" s="1432"/>
      <c r="DS42" s="1432"/>
      <c r="DT42" s="1316"/>
      <c r="DU42" s="1433"/>
      <c r="DV42" s="1433"/>
      <c r="DW42" s="1433"/>
      <c r="DX42" s="1433"/>
      <c r="DY42" s="1433"/>
      <c r="DZ42" s="1433"/>
      <c r="EA42" s="1433"/>
      <c r="EB42" s="1433"/>
    </row>
    <row r="43" customFormat="false" ht="14.25" hidden="false" customHeight="false" outlineLevel="0" collapsed="false">
      <c r="A43" s="2" t="n">
        <f aca="false">'V_DATOS PAC_SGA'!CC38</f>
        <v>0</v>
      </c>
      <c r="B43" s="2" t="n">
        <f aca="false">IF(OR(A43=0,A43=""),0,IF(I43="IV",CONCATENATE('V_DATOS PAC_SGA'!CC38,"4")+0,CONCATENATE('V_DATOS PAC_SGA'!CC38,"0")+0))</f>
        <v>0</v>
      </c>
      <c r="C43" s="2" t="n">
        <f aca="false">'V_DATOS PAC_SGA'!CD38</f>
        <v>0</v>
      </c>
      <c r="D43" s="1409" t="n">
        <f aca="false">'V_DATOS PAC_SGA'!Y38</f>
        <v>0</v>
      </c>
      <c r="E43" s="1410" t="str">
        <f aca="false">IF('V_DATOS PAC_SGA'!AV38="","Regadio",'V_DATOS PAC_SGA'!AV38)</f>
        <v>Regadio</v>
      </c>
      <c r="F43" s="1411" t="n">
        <f aca="false">'V_DATOS PAC_SGA'!BK38</f>
        <v>0</v>
      </c>
      <c r="G43" s="1412" t="n">
        <f aca="false">'V_DATOS PAC_SGA'!AN38</f>
        <v>0</v>
      </c>
      <c r="H43" s="1413" t="str">
        <f aca="false">IF(B43&gt;0,VLOOKUP(B43,'O_MN, PE_UTA_UGM 2024'!E$3:O$419,10),"")</f>
        <v/>
      </c>
      <c r="I43" s="1359" t="str">
        <f aca="false">IF('V_DATOS PAC_SGA'!BV38="IV",'V_DATOS PAC_SGA'!BV38,"")</f>
        <v/>
      </c>
      <c r="J43" s="2" t="str">
        <f aca="false">IF($A43&gt;0,IF(AND(J$4=$G43,J$6=$F43),$D43*J$5,""),"")</f>
        <v/>
      </c>
      <c r="K43" s="2" t="str">
        <f aca="false">IF($A43&gt;0,IF(AND(K$4=$G43,K$6=$F43),$D43*K$5,""),"")</f>
        <v/>
      </c>
      <c r="L43" s="2" t="str">
        <f aca="false">IF($A43&gt;0,IF(AND(L$4=$G43,L$6=$F43),$D43*L$5,""),"")</f>
        <v/>
      </c>
      <c r="M43" s="2" t="str">
        <f aca="false">IF($A43&gt;0,IF(AND(M$4=$G43,M$6=$F43),$D43*M$5,""),"")</f>
        <v/>
      </c>
      <c r="N43" s="1506" t="n">
        <f aca="false">VLOOKUP(B43,'O_MN, PE_UTA_UGM 2024'!$E$2:$K$419,IF(G43&gt;1,6,7))</f>
        <v>0</v>
      </c>
      <c r="O43" s="1434" t="str">
        <f aca="false">IF($H43=O$4,$D43*$N43,"")</f>
        <v/>
      </c>
      <c r="P43" s="1435" t="str">
        <f aca="false">IF($H43=P$4,$D43*$N43,"")</f>
        <v/>
      </c>
      <c r="Q43" s="1435" t="str">
        <f aca="false">IF($H43=Q$4,$D43*$N43,"")</f>
        <v/>
      </c>
      <c r="R43" s="1435" t="str">
        <f aca="false">IF($H43=R$4,$D43*$N43,"")</f>
        <v/>
      </c>
      <c r="S43" s="1435" t="str">
        <f aca="false">IF($H43=S$4,$D43*$N43,"")</f>
        <v/>
      </c>
      <c r="T43" s="1435" t="str">
        <f aca="false">IF($H43=T$4,$D43*$N43,"")</f>
        <v/>
      </c>
      <c r="U43" s="1436" t="str">
        <f aca="false">IF($H43=U$4,$D43*$N43,"")</f>
        <v/>
      </c>
      <c r="V43" s="1418"/>
      <c r="W43" s="1419"/>
      <c r="X43" s="1419"/>
      <c r="Y43" s="1419"/>
      <c r="Z43" s="1419"/>
      <c r="AA43" s="1419"/>
      <c r="AB43" s="1420"/>
      <c r="AC43" s="1319"/>
      <c r="AD43" s="2" t="str">
        <f aca="false">IF(AND(AD$4=$G43,AD$6=$F43),$B43,"")</f>
        <v/>
      </c>
      <c r="AE43" s="2" t="str">
        <f aca="false">IF(AND(AE$4=$G43,AE$6=$F43),$B43,"")</f>
        <v/>
      </c>
      <c r="AF43" s="2" t="str">
        <f aca="false">IF(AND(AF$4=$G43,AF$6=$F43),$B43,"")</f>
        <v/>
      </c>
      <c r="AG43" s="2" t="str">
        <f aca="false">IF(AND(AG$4=$G43,AG$6=$F43),$B43,"")</f>
        <v/>
      </c>
      <c r="AI43" s="366"/>
      <c r="AL43" s="367"/>
      <c r="AO43" s="367"/>
      <c r="AP43" s="2" t="str">
        <f aca="false">IF(AT43&gt;0,RANK(AT43,AT$7:AT$423),"")</f>
        <v/>
      </c>
      <c r="AQ43" s="2" t="n">
        <f aca="false">'O_MN, PE_UTA_UGM 2024'!C39</f>
        <v>72</v>
      </c>
      <c r="AR43" s="1421" t="n">
        <v>700</v>
      </c>
      <c r="AS43" s="2" t="str">
        <f aca="false">IF(AY43&lt;&gt;"",AY43,"")</f>
        <v/>
      </c>
      <c r="AT43" s="1422" t="n">
        <f aca="false">IF(ISNUMBER($AR43),SUMIF(B$7:B$505,AR43,D$7:D$505),"")</f>
        <v>0</v>
      </c>
      <c r="AU43" s="1411" t="n">
        <f aca="false">IF(ISNUMBER($AR43),SUMIF(AD$7:AD$503,$AR43,J$7:J$503),"")</f>
        <v>0</v>
      </c>
      <c r="AV43" s="1411" t="n">
        <f aca="false">IF(ISNUMBER($AR43),SUMIF(AF$7:AF$503,$AR43,L$7:L$503),"")</f>
        <v>0</v>
      </c>
      <c r="AW43" s="1423" t="n">
        <f aca="false">IF(ISNUMBER($AR43),SUMIF(AE$7:AE$503,$AR43,K$7:K$503),"")</f>
        <v>0</v>
      </c>
      <c r="AX43" s="1423" t="n">
        <f aca="false">IF(ISNUMBER($AR43),SUMIF(AG$7:AG$503,$AR43,M$7:M$503),"")</f>
        <v>0</v>
      </c>
      <c r="AY43" s="2" t="str">
        <f aca="false">IF($AT43&gt;0,VLOOKUP($AR43,'O_MN, PE_UTA_UGM 2024'!E39:O455,2),"")</f>
        <v/>
      </c>
      <c r="AZ43" s="1507"/>
      <c r="BA43" s="1507"/>
      <c r="BB43" s="1507" t="str">
        <f aca="false">IF($AT43&gt;0,VLOOKUP($AR43,'O_MN, PE_UTA_UGM 2024'!$E$3:$O$419,BB$6),"")</f>
        <v/>
      </c>
      <c r="BC43" s="1507" t="str">
        <f aca="false">IF($AT43&gt;0,VLOOKUP($AR43,'O_MN, PE_UTA_UGM 2024'!$E$3:$O$419,BC$6),"")</f>
        <v/>
      </c>
      <c r="BD43" s="1507" t="str">
        <f aca="false">IF($AT43&gt;0,VLOOKUP($AR43,'O_MN, PE_UTA_UGM 2024'!$E$3:$O$419,BD$6),"")</f>
        <v/>
      </c>
      <c r="BE43" s="1507" t="str">
        <f aca="false">IF($AT43&gt;0,VLOOKUP($AR43,'O_MN, PE_UTA_UGM 2024'!$E$3:$O$419,BE$6),"")</f>
        <v/>
      </c>
      <c r="BF43" s="1507" t="str">
        <f aca="false">IF($AT43&gt;0,VLOOKUP($AR43,'O_MN, PE_UTA_UGM 2024'!$E$3:$O$419,BF$6),"")</f>
        <v/>
      </c>
      <c r="BG43" s="1507" t="str">
        <f aca="false">IF($AT43&gt;0,VLOOKUP($AR43,'O_MN, PE_UTA_UGM 2024'!$E$3:$O$419,BG$6),"")</f>
        <v/>
      </c>
      <c r="BH43" s="1504"/>
      <c r="BI43" s="1504"/>
      <c r="BJ43" s="1504"/>
      <c r="BK43" s="1504"/>
      <c r="BM43" s="1411"/>
      <c r="BN43" s="1411"/>
      <c r="BO43" s="1425" t="str">
        <f aca="false">IF(ISNUMBER($AU43*BB43*1),$AU43*BB43*1,"")</f>
        <v/>
      </c>
      <c r="BP43" s="1425" t="str">
        <f aca="false">IF(ISNUMBER($AV43*BC43*1),$AV43*BC43*1,"")</f>
        <v/>
      </c>
      <c r="BQ43" s="1425" t="str">
        <f aca="false">IF(ISNUMBER($AU43*BD43*1),$AU43*BD43*1,"")</f>
        <v/>
      </c>
      <c r="BR43" s="1425" t="str">
        <f aca="false">IF(ISNUMBER($AV43*BE43*1),$AV43*BE43*1,"")</f>
        <v/>
      </c>
      <c r="BS43" s="1411" t="str">
        <f aca="false">IF(ISNUMBER($AU43*BF43),$AU43*BF43,"")</f>
        <v/>
      </c>
      <c r="BT43" s="1411" t="str">
        <f aca="false">IF(ISNUMBER($AV43*BG43),$AV43*BG43,"")</f>
        <v/>
      </c>
      <c r="BU43" s="1411"/>
      <c r="BV43" s="1411"/>
      <c r="BW43" s="1411"/>
      <c r="BX43" s="1411"/>
      <c r="BZ43" s="1372"/>
      <c r="CA43" s="1372"/>
      <c r="CB43" s="1426" t="str">
        <f aca="false">IF(ISNUMBER($AW43*BB43),$AW43*BB43,"")</f>
        <v/>
      </c>
      <c r="CC43" s="1426" t="str">
        <f aca="false">IF(ISNUMBER($AX43*BC43),$AX43*BC43,"")</f>
        <v/>
      </c>
      <c r="CD43" s="1426" t="str">
        <f aca="false">IF(ISNUMBER($AW43*BD43),$AW43*BD43,"")</f>
        <v/>
      </c>
      <c r="CE43" s="1426" t="str">
        <f aca="false">IF(ISNUMBER($AX43*BE43),$AX43*BE43,"")</f>
        <v/>
      </c>
      <c r="CF43" s="1372" t="str">
        <f aca="false">IF(ISNUMBER($AW43*BF43),$AW43*BF43,"")</f>
        <v/>
      </c>
      <c r="CG43" s="1372" t="str">
        <f aca="false">IF(ISNUMBER($AX43*BG43),$AX43*BG43,"")</f>
        <v/>
      </c>
      <c r="CH43" s="1438"/>
      <c r="CI43" s="1438"/>
      <c r="CJ43" s="1438"/>
      <c r="CK43" s="1438"/>
      <c r="CU43" s="1411"/>
      <c r="CV43" s="1411"/>
      <c r="CW43" s="1425"/>
      <c r="CX43" s="1425"/>
      <c r="CY43" s="1425"/>
      <c r="CZ43" s="1425"/>
      <c r="DA43" s="1411"/>
      <c r="DB43" s="1411"/>
      <c r="DC43" s="1411"/>
      <c r="DD43" s="1411"/>
      <c r="DE43" s="1411"/>
      <c r="DF43" s="1411"/>
      <c r="DH43" s="1432"/>
      <c r="DI43" s="1432"/>
      <c r="DJ43" s="1437"/>
      <c r="DK43" s="1437"/>
      <c r="DL43" s="1437"/>
      <c r="DM43" s="1437"/>
      <c r="DN43" s="1432"/>
      <c r="DO43" s="1432"/>
      <c r="DP43" s="1432"/>
      <c r="DQ43" s="1432"/>
      <c r="DR43" s="1432"/>
      <c r="DS43" s="1432"/>
      <c r="DT43" s="1316"/>
      <c r="DU43" s="1433"/>
      <c r="DV43" s="1433"/>
      <c r="DW43" s="1433"/>
      <c r="DX43" s="1433"/>
      <c r="DY43" s="1433"/>
      <c r="DZ43" s="1433"/>
      <c r="EA43" s="1433"/>
      <c r="EB43" s="1433"/>
    </row>
    <row r="44" customFormat="false" ht="14.25" hidden="false" customHeight="false" outlineLevel="0" collapsed="false">
      <c r="A44" s="2" t="n">
        <f aca="false">'V_DATOS PAC_SGA'!CC39</f>
        <v>0</v>
      </c>
      <c r="B44" s="2" t="n">
        <f aca="false">IF(OR(A44=0,A44=""),0,IF(I44="IV",CONCATENATE('V_DATOS PAC_SGA'!CC39,"4")+0,CONCATENATE('V_DATOS PAC_SGA'!CC39,"0")+0))</f>
        <v>0</v>
      </c>
      <c r="C44" s="2" t="n">
        <f aca="false">'V_DATOS PAC_SGA'!CD39</f>
        <v>0</v>
      </c>
      <c r="D44" s="1409" t="n">
        <f aca="false">'V_DATOS PAC_SGA'!Y39</f>
        <v>0</v>
      </c>
      <c r="E44" s="1410" t="str">
        <f aca="false">IF('V_DATOS PAC_SGA'!AV39="","Regadio",'V_DATOS PAC_SGA'!AV39)</f>
        <v>Regadio</v>
      </c>
      <c r="F44" s="1411" t="n">
        <f aca="false">'V_DATOS PAC_SGA'!BK39</f>
        <v>0</v>
      </c>
      <c r="G44" s="1412" t="n">
        <f aca="false">'V_DATOS PAC_SGA'!AN39</f>
        <v>0</v>
      </c>
      <c r="H44" s="1413" t="str">
        <f aca="false">IF(B44&gt;0,VLOOKUP(B44,'O_MN, PE_UTA_UGM 2024'!E$3:O$419,10),"")</f>
        <v/>
      </c>
      <c r="I44" s="1359" t="str">
        <f aca="false">IF('V_DATOS PAC_SGA'!BV39="IV",'V_DATOS PAC_SGA'!BV39,"")</f>
        <v/>
      </c>
      <c r="J44" s="2" t="str">
        <f aca="false">IF($A44&gt;0,IF(AND(J$4=$G44,J$6=$F44),$D44*J$5,""),"")</f>
        <v/>
      </c>
      <c r="K44" s="2" t="str">
        <f aca="false">IF($A44&gt;0,IF(AND(K$4=$G44,K$6=$F44),$D44*K$5,""),"")</f>
        <v/>
      </c>
      <c r="L44" s="2" t="str">
        <f aca="false">IF($A44&gt;0,IF(AND(L$4=$G44,L$6=$F44),$D44*L$5,""),"")</f>
        <v/>
      </c>
      <c r="M44" s="2" t="str">
        <f aca="false">IF($A44&gt;0,IF(AND(M$4=$G44,M$6=$F44),$D44*M$5,""),"")</f>
        <v/>
      </c>
      <c r="N44" s="1506" t="n">
        <f aca="false">VLOOKUP(B44,'O_MN, PE_UTA_UGM 2024'!$E$2:$K$419,IF(G44&gt;1,6,7))</f>
        <v>0</v>
      </c>
      <c r="O44" s="1434" t="str">
        <f aca="false">IF($H44=O$4,$D44*$N44,"")</f>
        <v/>
      </c>
      <c r="P44" s="1435" t="str">
        <f aca="false">IF($H44=P$4,$D44*$N44,"")</f>
        <v/>
      </c>
      <c r="Q44" s="1435" t="str">
        <f aca="false">IF($H44=Q$4,$D44*$N44,"")</f>
        <v/>
      </c>
      <c r="R44" s="1435" t="str">
        <f aca="false">IF($H44=R$4,$D44*$N44,"")</f>
        <v/>
      </c>
      <c r="S44" s="1435" t="str">
        <f aca="false">IF($H44=S$4,$D44*$N44,"")</f>
        <v/>
      </c>
      <c r="T44" s="1435" t="str">
        <f aca="false">IF($H44=T$4,$D44*$N44,"")</f>
        <v/>
      </c>
      <c r="U44" s="1436" t="str">
        <f aca="false">IF($H44=U$4,$D44*$N44,"")</f>
        <v/>
      </c>
      <c r="V44" s="1418"/>
      <c r="W44" s="1419"/>
      <c r="X44" s="1419"/>
      <c r="Y44" s="1419"/>
      <c r="Z44" s="1419"/>
      <c r="AA44" s="1419"/>
      <c r="AB44" s="1420"/>
      <c r="AC44" s="1319"/>
      <c r="AD44" s="2" t="str">
        <f aca="false">IF(AND(AD$4=$G44,AD$6=$F44),$B44,"")</f>
        <v/>
      </c>
      <c r="AE44" s="2" t="str">
        <f aca="false">IF(AND(AE$4=$G44,AE$6=$F44),$B44,"")</f>
        <v/>
      </c>
      <c r="AF44" s="2" t="str">
        <f aca="false">IF(AND(AF$4=$G44,AF$6=$F44),$B44,"")</f>
        <v/>
      </c>
      <c r="AG44" s="2" t="str">
        <f aca="false">IF(AND(AG$4=$G44,AG$6=$F44),$B44,"")</f>
        <v/>
      </c>
      <c r="AI44" s="366"/>
      <c r="AL44" s="367"/>
      <c r="AO44" s="367"/>
      <c r="AP44" s="2" t="str">
        <f aca="false">IF(AT44&gt;0,RANK(AT44,AT$7:AT$423),"")</f>
        <v/>
      </c>
      <c r="AQ44" s="2" t="n">
        <f aca="false">'O_MN, PE_UTA_UGM 2024'!C40</f>
        <v>73</v>
      </c>
      <c r="AR44" s="1421" t="n">
        <v>710</v>
      </c>
      <c r="AS44" s="2" t="str">
        <f aca="false">IF(AY44&lt;&gt;"",AY44,"")</f>
        <v/>
      </c>
      <c r="AT44" s="1422" t="n">
        <f aca="false">IF(ISNUMBER($AR44),SUMIF(B$7:B$505,AR44,D$7:D$505),"")</f>
        <v>0</v>
      </c>
      <c r="AU44" s="1411" t="n">
        <f aca="false">IF(ISNUMBER($AR44),SUMIF(AD$7:AD$503,$AR44,J$7:J$503),"")</f>
        <v>0</v>
      </c>
      <c r="AV44" s="1411" t="n">
        <f aca="false">IF(ISNUMBER($AR44),SUMIF(AF$7:AF$503,$AR44,L$7:L$503),"")</f>
        <v>0</v>
      </c>
      <c r="AW44" s="1423" t="n">
        <f aca="false">IF(ISNUMBER($AR44),SUMIF(AE$7:AE$503,$AR44,K$7:K$503),"")</f>
        <v>0</v>
      </c>
      <c r="AX44" s="1423" t="n">
        <f aca="false">IF(ISNUMBER($AR44),SUMIF(AG$7:AG$503,$AR44,M$7:M$503),"")</f>
        <v>0</v>
      </c>
      <c r="AY44" s="2" t="str">
        <f aca="false">IF($AT44&gt;0,VLOOKUP($AR44,'O_MN, PE_UTA_UGM 2024'!E40:O456,2),"")</f>
        <v/>
      </c>
      <c r="AZ44" s="1507"/>
      <c r="BA44" s="1507"/>
      <c r="BB44" s="1507" t="str">
        <f aca="false">IF($AT44&gt;0,VLOOKUP($AR44,'O_MN, PE_UTA_UGM 2024'!$E$3:$O$419,BB$6),"")</f>
        <v/>
      </c>
      <c r="BC44" s="1507" t="str">
        <f aca="false">IF($AT44&gt;0,VLOOKUP($AR44,'O_MN, PE_UTA_UGM 2024'!$E$3:$O$419,BC$6),"")</f>
        <v/>
      </c>
      <c r="BD44" s="1507" t="str">
        <f aca="false">IF($AT44&gt;0,VLOOKUP($AR44,'O_MN, PE_UTA_UGM 2024'!$E$3:$O$419,BD$6),"")</f>
        <v/>
      </c>
      <c r="BE44" s="1507" t="str">
        <f aca="false">IF($AT44&gt;0,VLOOKUP($AR44,'O_MN, PE_UTA_UGM 2024'!$E$3:$O$419,BE$6),"")</f>
        <v/>
      </c>
      <c r="BF44" s="1507" t="str">
        <f aca="false">IF($AT44&gt;0,VLOOKUP($AR44,'O_MN, PE_UTA_UGM 2024'!$E$3:$O$419,BF$6),"")</f>
        <v/>
      </c>
      <c r="BG44" s="1507" t="str">
        <f aca="false">IF($AT44&gt;0,VLOOKUP($AR44,'O_MN, PE_UTA_UGM 2024'!$E$3:$O$419,BG$6),"")</f>
        <v/>
      </c>
      <c r="BH44" s="1504"/>
      <c r="BI44" s="1504"/>
      <c r="BJ44" s="1504"/>
      <c r="BK44" s="1504"/>
      <c r="BM44" s="1411"/>
      <c r="BN44" s="1411"/>
      <c r="BO44" s="1425" t="str">
        <f aca="false">IF(ISNUMBER($AU44*BB44*1),$AU44*BB44*1,"")</f>
        <v/>
      </c>
      <c r="BP44" s="1425" t="str">
        <f aca="false">IF(ISNUMBER($AV44*BC44*1),$AV44*BC44*1,"")</f>
        <v/>
      </c>
      <c r="BQ44" s="1425" t="str">
        <f aca="false">IF(ISNUMBER($AU44*BD44*1),$AU44*BD44*1,"")</f>
        <v/>
      </c>
      <c r="BR44" s="1425" t="str">
        <f aca="false">IF(ISNUMBER($AV44*BE44*1),$AV44*BE44*1,"")</f>
        <v/>
      </c>
      <c r="BS44" s="1411" t="str">
        <f aca="false">IF(ISNUMBER($AU44*BF44),$AU44*BF44,"")</f>
        <v/>
      </c>
      <c r="BT44" s="1411" t="str">
        <f aca="false">IF(ISNUMBER($AV44*BG44),$AV44*BG44,"")</f>
        <v/>
      </c>
      <c r="BU44" s="1411"/>
      <c r="BV44" s="1411"/>
      <c r="BW44" s="1411"/>
      <c r="BX44" s="1411"/>
      <c r="BZ44" s="1372"/>
      <c r="CA44" s="1372"/>
      <c r="CB44" s="1426" t="str">
        <f aca="false">IF(ISNUMBER($AW44*BB44),$AW44*BB44,"")</f>
        <v/>
      </c>
      <c r="CC44" s="1426" t="str">
        <f aca="false">IF(ISNUMBER($AX44*BC44),$AX44*BC44,"")</f>
        <v/>
      </c>
      <c r="CD44" s="1426" t="str">
        <f aca="false">IF(ISNUMBER($AW44*BD44),$AW44*BD44,"")</f>
        <v/>
      </c>
      <c r="CE44" s="1426" t="str">
        <f aca="false">IF(ISNUMBER($AX44*BE44),$AX44*BE44,"")</f>
        <v/>
      </c>
      <c r="CF44" s="1372" t="str">
        <f aca="false">IF(ISNUMBER($AW44*BF44),$AW44*BF44,"")</f>
        <v/>
      </c>
      <c r="CG44" s="1372" t="str">
        <f aca="false">IF(ISNUMBER($AX44*BG44),$AX44*BG44,"")</f>
        <v/>
      </c>
      <c r="CH44" s="1438"/>
      <c r="CI44" s="1438"/>
      <c r="CJ44" s="1438"/>
      <c r="CK44" s="1438"/>
      <c r="CU44" s="1411"/>
      <c r="CV44" s="1411"/>
      <c r="CW44" s="1425"/>
      <c r="CX44" s="1425"/>
      <c r="CY44" s="1425"/>
      <c r="CZ44" s="1425"/>
      <c r="DA44" s="1411"/>
      <c r="DB44" s="1411"/>
      <c r="DC44" s="1411"/>
      <c r="DD44" s="1411"/>
      <c r="DE44" s="1411"/>
      <c r="DF44" s="1411"/>
      <c r="DH44" s="1432"/>
      <c r="DI44" s="1432"/>
      <c r="DJ44" s="1437"/>
      <c r="DK44" s="1437"/>
      <c r="DL44" s="1437"/>
      <c r="DM44" s="1437"/>
      <c r="DN44" s="1432"/>
      <c r="DO44" s="1432"/>
      <c r="DP44" s="1432"/>
      <c r="DQ44" s="1432"/>
      <c r="DR44" s="1432"/>
      <c r="DS44" s="1432"/>
      <c r="DT44" s="1316"/>
      <c r="DU44" s="1433"/>
      <c r="DV44" s="1433"/>
      <c r="DW44" s="1433"/>
      <c r="DX44" s="1433"/>
      <c r="DY44" s="1433"/>
      <c r="DZ44" s="1433"/>
      <c r="EA44" s="1433"/>
      <c r="EB44" s="1433"/>
    </row>
    <row r="45" customFormat="false" ht="14.25" hidden="false" customHeight="false" outlineLevel="0" collapsed="false">
      <c r="A45" s="2" t="n">
        <f aca="false">'V_DATOS PAC_SGA'!CC40</f>
        <v>0</v>
      </c>
      <c r="B45" s="2" t="n">
        <f aca="false">IF(OR(A45=0,A45=""),0,IF(I45="IV",CONCATENATE('V_DATOS PAC_SGA'!CC40,"4")+0,CONCATENATE('V_DATOS PAC_SGA'!CC40,"0")+0))</f>
        <v>0</v>
      </c>
      <c r="C45" s="2" t="n">
        <f aca="false">'V_DATOS PAC_SGA'!CD40</f>
        <v>0</v>
      </c>
      <c r="D45" s="1409" t="n">
        <f aca="false">'V_DATOS PAC_SGA'!Y40</f>
        <v>0</v>
      </c>
      <c r="E45" s="1410" t="str">
        <f aca="false">IF('V_DATOS PAC_SGA'!AV40="","Regadio",'V_DATOS PAC_SGA'!AV40)</f>
        <v>Regadio</v>
      </c>
      <c r="F45" s="1411" t="n">
        <f aca="false">'V_DATOS PAC_SGA'!BK40</f>
        <v>0</v>
      </c>
      <c r="G45" s="1412" t="n">
        <f aca="false">'V_DATOS PAC_SGA'!AN40</f>
        <v>0</v>
      </c>
      <c r="H45" s="1413" t="str">
        <f aca="false">IF(B45&gt;0,VLOOKUP(B45,'O_MN, PE_UTA_UGM 2024'!E$3:O$419,10),"")</f>
        <v/>
      </c>
      <c r="I45" s="1359" t="str">
        <f aca="false">IF('V_DATOS PAC_SGA'!BV40="IV",'V_DATOS PAC_SGA'!BV40,"")</f>
        <v/>
      </c>
      <c r="J45" s="2" t="str">
        <f aca="false">IF($A45&gt;0,IF(AND(J$4=$G45,J$6=$F45),$D45*J$5,""),"")</f>
        <v/>
      </c>
      <c r="K45" s="2" t="str">
        <f aca="false">IF($A45&gt;0,IF(AND(K$4=$G45,K$6=$F45),$D45*K$5,""),"")</f>
        <v/>
      </c>
      <c r="L45" s="2" t="str">
        <f aca="false">IF($A45&gt;0,IF(AND(L$4=$G45,L$6=$F45),$D45*L$5,""),"")</f>
        <v/>
      </c>
      <c r="M45" s="2" t="str">
        <f aca="false">IF($A45&gt;0,IF(AND(M$4=$G45,M$6=$F45),$D45*M$5,""),"")</f>
        <v/>
      </c>
      <c r="N45" s="1506" t="n">
        <f aca="false">VLOOKUP(B45,'O_MN, PE_UTA_UGM 2024'!$E$2:$K$419,IF(G45&gt;1,6,7))</f>
        <v>0</v>
      </c>
      <c r="O45" s="1434" t="str">
        <f aca="false">IF($H45=O$4,$D45*$N45,"")</f>
        <v/>
      </c>
      <c r="P45" s="1435" t="str">
        <f aca="false">IF($H45=P$4,$D45*$N45,"")</f>
        <v/>
      </c>
      <c r="Q45" s="1435" t="str">
        <f aca="false">IF($H45=Q$4,$D45*$N45,"")</f>
        <v/>
      </c>
      <c r="R45" s="1435" t="str">
        <f aca="false">IF($H45=R$4,$D45*$N45,"")</f>
        <v/>
      </c>
      <c r="S45" s="1435" t="str">
        <f aca="false">IF($H45=S$4,$D45*$N45,"")</f>
        <v/>
      </c>
      <c r="T45" s="1435" t="str">
        <f aca="false">IF($H45=T$4,$D45*$N45,"")</f>
        <v/>
      </c>
      <c r="U45" s="1436" t="str">
        <f aca="false">IF($H45=U$4,$D45*$N45,"")</f>
        <v/>
      </c>
      <c r="V45" s="1418"/>
      <c r="W45" s="1419"/>
      <c r="X45" s="1419"/>
      <c r="Y45" s="1419"/>
      <c r="Z45" s="1419"/>
      <c r="AA45" s="1419"/>
      <c r="AB45" s="1420"/>
      <c r="AC45" s="1319"/>
      <c r="AD45" s="2" t="str">
        <f aca="false">IF(AND(AD$4=$G45,AD$6=$F45),$B45,"")</f>
        <v/>
      </c>
      <c r="AE45" s="2" t="str">
        <f aca="false">IF(AND(AE$4=$G45,AE$6=$F45),$B45,"")</f>
        <v/>
      </c>
      <c r="AF45" s="2" t="str">
        <f aca="false">IF(AND(AF$4=$G45,AF$6=$F45),$B45,"")</f>
        <v/>
      </c>
      <c r="AG45" s="2" t="str">
        <f aca="false">IF(AND(AG$4=$G45,AG$6=$F45),$B45,"")</f>
        <v/>
      </c>
      <c r="AI45" s="366"/>
      <c r="AL45" s="367"/>
      <c r="AO45" s="367"/>
      <c r="AP45" s="2" t="str">
        <f aca="false">IF(AT45&gt;0,RANK(AT45,AT$7:AT$423),"")</f>
        <v/>
      </c>
      <c r="AQ45" s="2" t="n">
        <f aca="false">'O_MN, PE_UTA_UGM 2024'!C41</f>
        <v>74</v>
      </c>
      <c r="AR45" s="1421" t="n">
        <v>720</v>
      </c>
      <c r="AS45" s="2" t="str">
        <f aca="false">IF(AY45&lt;&gt;"",AY45,"")</f>
        <v/>
      </c>
      <c r="AT45" s="1422" t="n">
        <f aca="false">IF(ISNUMBER($AR45),SUMIF(B$7:B$505,AR45,D$7:D$505),"")</f>
        <v>0</v>
      </c>
      <c r="AU45" s="1411" t="n">
        <f aca="false">IF(ISNUMBER($AR45),SUMIF(AD$7:AD$503,$AR45,J$7:J$503),"")</f>
        <v>0</v>
      </c>
      <c r="AV45" s="1411" t="n">
        <f aca="false">IF(ISNUMBER($AR45),SUMIF(AF$7:AF$503,$AR45,L$7:L$503),"")</f>
        <v>0</v>
      </c>
      <c r="AW45" s="1423" t="n">
        <f aca="false">IF(ISNUMBER($AR45),SUMIF(AE$7:AE$503,$AR45,K$7:K$503),"")</f>
        <v>0</v>
      </c>
      <c r="AX45" s="1423" t="n">
        <f aca="false">IF(ISNUMBER($AR45),SUMIF(AG$7:AG$503,$AR45,M$7:M$503),"")</f>
        <v>0</v>
      </c>
      <c r="AY45" s="2" t="str">
        <f aca="false">IF($AT45&gt;0,VLOOKUP($AR45,'O_MN, PE_UTA_UGM 2024'!E41:O457,2),"")</f>
        <v/>
      </c>
      <c r="AZ45" s="1507"/>
      <c r="BA45" s="1507"/>
      <c r="BB45" s="1507" t="str">
        <f aca="false">IF($AT45&gt;0,VLOOKUP($AR45,'O_MN, PE_UTA_UGM 2024'!$E$3:$O$419,BB$6),"")</f>
        <v/>
      </c>
      <c r="BC45" s="1507" t="str">
        <f aca="false">IF($AT45&gt;0,VLOOKUP($AR45,'O_MN, PE_UTA_UGM 2024'!$E$3:$O$419,BC$6),"")</f>
        <v/>
      </c>
      <c r="BD45" s="1507" t="str">
        <f aca="false">IF($AT45&gt;0,VLOOKUP($AR45,'O_MN, PE_UTA_UGM 2024'!$E$3:$O$419,BD$6),"")</f>
        <v/>
      </c>
      <c r="BE45" s="1507" t="str">
        <f aca="false">IF($AT45&gt;0,VLOOKUP($AR45,'O_MN, PE_UTA_UGM 2024'!$E$3:$O$419,BE$6),"")</f>
        <v/>
      </c>
      <c r="BF45" s="1507" t="str">
        <f aca="false">IF($AT45&gt;0,VLOOKUP($AR45,'O_MN, PE_UTA_UGM 2024'!$E$3:$O$419,BF$6),"")</f>
        <v/>
      </c>
      <c r="BG45" s="1507" t="str">
        <f aca="false">IF($AT45&gt;0,VLOOKUP($AR45,'O_MN, PE_UTA_UGM 2024'!$E$3:$O$419,BG$6),"")</f>
        <v/>
      </c>
      <c r="BH45" s="1504"/>
      <c r="BI45" s="1504"/>
      <c r="BJ45" s="1504"/>
      <c r="BK45" s="1504"/>
      <c r="BM45" s="1411"/>
      <c r="BN45" s="1411"/>
      <c r="BO45" s="1425" t="str">
        <f aca="false">IF(ISNUMBER($AU45*BB45*1),$AU45*BB45*1,"")</f>
        <v/>
      </c>
      <c r="BP45" s="1425" t="str">
        <f aca="false">IF(ISNUMBER($AV45*BC45*1),$AV45*BC45*1,"")</f>
        <v/>
      </c>
      <c r="BQ45" s="1425" t="str">
        <f aca="false">IF(ISNUMBER($AU45*BD45*1),$AU45*BD45*1,"")</f>
        <v/>
      </c>
      <c r="BR45" s="1425" t="str">
        <f aca="false">IF(ISNUMBER($AV45*BE45*1),$AV45*BE45*1,"")</f>
        <v/>
      </c>
      <c r="BS45" s="1411" t="str">
        <f aca="false">IF(ISNUMBER($AU45*BF45),$AU45*BF45,"")</f>
        <v/>
      </c>
      <c r="BT45" s="1411" t="str">
        <f aca="false">IF(ISNUMBER($AV45*BG45),$AV45*BG45,"")</f>
        <v/>
      </c>
      <c r="BU45" s="1411"/>
      <c r="BV45" s="1411"/>
      <c r="BW45" s="1411"/>
      <c r="BX45" s="1411"/>
      <c r="BZ45" s="1372"/>
      <c r="CA45" s="1372"/>
      <c r="CB45" s="1426" t="str">
        <f aca="false">IF(ISNUMBER($AW45*BB45),$AW45*BB45,"")</f>
        <v/>
      </c>
      <c r="CC45" s="1426" t="str">
        <f aca="false">IF(ISNUMBER($AX45*BC45),$AX45*BC45,"")</f>
        <v/>
      </c>
      <c r="CD45" s="1426" t="str">
        <f aca="false">IF(ISNUMBER($AW45*BD45),$AW45*BD45,"")</f>
        <v/>
      </c>
      <c r="CE45" s="1426" t="str">
        <f aca="false">IF(ISNUMBER($AX45*BE45),$AX45*BE45,"")</f>
        <v/>
      </c>
      <c r="CF45" s="1372" t="str">
        <f aca="false">IF(ISNUMBER($AW45*BF45),$AW45*BF45,"")</f>
        <v/>
      </c>
      <c r="CG45" s="1372" t="str">
        <f aca="false">IF(ISNUMBER($AX45*BG45),$AX45*BG45,"")</f>
        <v/>
      </c>
      <c r="CH45" s="1438"/>
      <c r="CI45" s="1438"/>
      <c r="CJ45" s="1438"/>
      <c r="CK45" s="1438"/>
      <c r="CU45" s="1411"/>
      <c r="CV45" s="1411"/>
      <c r="CW45" s="1425"/>
      <c r="CX45" s="1425"/>
      <c r="CY45" s="1425"/>
      <c r="CZ45" s="1425"/>
      <c r="DA45" s="1411"/>
      <c r="DB45" s="1411"/>
      <c r="DC45" s="1411"/>
      <c r="DD45" s="1411"/>
      <c r="DE45" s="1411"/>
      <c r="DF45" s="1411"/>
      <c r="DH45" s="1432"/>
      <c r="DI45" s="1432"/>
      <c r="DJ45" s="1437"/>
      <c r="DK45" s="1437"/>
      <c r="DL45" s="1437"/>
      <c r="DM45" s="1437"/>
      <c r="DN45" s="1432"/>
      <c r="DO45" s="1432"/>
      <c r="DP45" s="1432"/>
      <c r="DQ45" s="1432"/>
      <c r="DR45" s="1432"/>
      <c r="DS45" s="1432"/>
      <c r="DT45" s="1316"/>
      <c r="DU45" s="1433"/>
      <c r="DV45" s="1433"/>
      <c r="DW45" s="1433"/>
      <c r="DX45" s="1433"/>
      <c r="DY45" s="1433"/>
      <c r="DZ45" s="1433"/>
      <c r="EA45" s="1433"/>
      <c r="EB45" s="1433"/>
    </row>
    <row r="46" customFormat="false" ht="14.25" hidden="false" customHeight="false" outlineLevel="0" collapsed="false">
      <c r="A46" s="2" t="n">
        <f aca="false">'V_DATOS PAC_SGA'!CC41</f>
        <v>0</v>
      </c>
      <c r="B46" s="2" t="n">
        <f aca="false">IF(OR(A46=0,A46=""),0,IF(I46="IV",CONCATENATE('V_DATOS PAC_SGA'!CC41,"4")+0,CONCATENATE('V_DATOS PAC_SGA'!CC41,"0")+0))</f>
        <v>0</v>
      </c>
      <c r="C46" s="2" t="n">
        <f aca="false">'V_DATOS PAC_SGA'!CD41</f>
        <v>0</v>
      </c>
      <c r="D46" s="1409" t="n">
        <f aca="false">'V_DATOS PAC_SGA'!Y41</f>
        <v>0</v>
      </c>
      <c r="E46" s="1410" t="str">
        <f aca="false">IF('V_DATOS PAC_SGA'!AV41="","Regadio",'V_DATOS PAC_SGA'!AV41)</f>
        <v>Regadio</v>
      </c>
      <c r="F46" s="1411" t="n">
        <f aca="false">'V_DATOS PAC_SGA'!BK41</f>
        <v>0</v>
      </c>
      <c r="G46" s="1412" t="n">
        <f aca="false">'V_DATOS PAC_SGA'!AN41</f>
        <v>0</v>
      </c>
      <c r="H46" s="1413" t="str">
        <f aca="false">IF(B46&gt;0,VLOOKUP(B46,'O_MN, PE_UTA_UGM 2024'!E$3:O$419,10),"")</f>
        <v/>
      </c>
      <c r="I46" s="1359" t="str">
        <f aca="false">IF('V_DATOS PAC_SGA'!BV41="IV",'V_DATOS PAC_SGA'!BV41,"")</f>
        <v/>
      </c>
      <c r="J46" s="2" t="str">
        <f aca="false">IF($A46&gt;0,IF(AND(J$4=$G46,J$6=$F46),$D46*J$5,""),"")</f>
        <v/>
      </c>
      <c r="K46" s="2" t="str">
        <f aca="false">IF($A46&gt;0,IF(AND(K$4=$G46,K$6=$F46),$D46*K$5,""),"")</f>
        <v/>
      </c>
      <c r="L46" s="2" t="str">
        <f aca="false">IF($A46&gt;0,IF(AND(L$4=$G46,L$6=$F46),$D46*L$5,""),"")</f>
        <v/>
      </c>
      <c r="M46" s="2" t="str">
        <f aca="false">IF($A46&gt;0,IF(AND(M$4=$G46,M$6=$F46),$D46*M$5,""),"")</f>
        <v/>
      </c>
      <c r="N46" s="1506" t="n">
        <f aca="false">VLOOKUP(B46,'O_MN, PE_UTA_UGM 2024'!$E$2:$K$419,IF(G46&gt;1,6,7))</f>
        <v>0</v>
      </c>
      <c r="O46" s="1434" t="str">
        <f aca="false">IF($H46=O$4,$D46*$N46,"")</f>
        <v/>
      </c>
      <c r="P46" s="1435" t="str">
        <f aca="false">IF($H46=P$4,$D46*$N46,"")</f>
        <v/>
      </c>
      <c r="Q46" s="1435" t="str">
        <f aca="false">IF($H46=Q$4,$D46*$N46,"")</f>
        <v/>
      </c>
      <c r="R46" s="1435" t="str">
        <f aca="false">IF($H46=R$4,$D46*$N46,"")</f>
        <v/>
      </c>
      <c r="S46" s="1435" t="str">
        <f aca="false">IF($H46=S$4,$D46*$N46,"")</f>
        <v/>
      </c>
      <c r="T46" s="1435" t="str">
        <f aca="false">IF($H46=T$4,$D46*$N46,"")</f>
        <v/>
      </c>
      <c r="U46" s="1436" t="str">
        <f aca="false">IF($H46=U$4,$D46*$N46,"")</f>
        <v/>
      </c>
      <c r="V46" s="1418"/>
      <c r="W46" s="1419"/>
      <c r="X46" s="1419"/>
      <c r="Y46" s="1419"/>
      <c r="Z46" s="1419"/>
      <c r="AA46" s="1419"/>
      <c r="AB46" s="1420"/>
      <c r="AC46" s="1319"/>
      <c r="AD46" s="2" t="str">
        <f aca="false">IF(AND(AD$4=$G46,AD$6=$F46),$B46,"")</f>
        <v/>
      </c>
      <c r="AE46" s="2" t="str">
        <f aca="false">IF(AND(AE$4=$G46,AE$6=$F46),$B46,"")</f>
        <v/>
      </c>
      <c r="AF46" s="2" t="str">
        <f aca="false">IF(AND(AF$4=$G46,AF$6=$F46),$B46,"")</f>
        <v/>
      </c>
      <c r="AG46" s="2" t="str">
        <f aca="false">IF(AND(AG$4=$G46,AG$6=$F46),$B46,"")</f>
        <v/>
      </c>
      <c r="AI46" s="366"/>
      <c r="AL46" s="367"/>
      <c r="AO46" s="367"/>
      <c r="AP46" s="2" t="str">
        <f aca="false">IF(AT46&gt;0,RANK(AT46,AT$7:AT$423),"")</f>
        <v/>
      </c>
      <c r="AQ46" s="2" t="n">
        <f aca="false">'O_MN, PE_UTA_UGM 2024'!C42</f>
        <v>76</v>
      </c>
      <c r="AR46" s="1421" t="n">
        <v>730</v>
      </c>
      <c r="AS46" s="2" t="str">
        <f aca="false">IF(AY46&lt;&gt;"",AY46,"")</f>
        <v/>
      </c>
      <c r="AT46" s="1422" t="n">
        <f aca="false">IF(ISNUMBER($AR46),SUMIF(B$7:B$505,AR46,D$7:D$505),"")</f>
        <v>0</v>
      </c>
      <c r="AU46" s="1411" t="n">
        <f aca="false">IF(ISNUMBER($AR46),SUMIF(AD$7:AD$503,$AR46,J$7:J$503),"")</f>
        <v>0</v>
      </c>
      <c r="AV46" s="1411" t="n">
        <f aca="false">IF(ISNUMBER($AR46),SUMIF(AF$7:AF$503,$AR46,L$7:L$503),"")</f>
        <v>0</v>
      </c>
      <c r="AW46" s="1423" t="n">
        <f aca="false">IF(ISNUMBER($AR46),SUMIF(AE$7:AE$503,$AR46,K$7:K$503),"")</f>
        <v>0</v>
      </c>
      <c r="AX46" s="1423" t="n">
        <f aca="false">IF(ISNUMBER($AR46),SUMIF(AG$7:AG$503,$AR46,M$7:M$503),"")</f>
        <v>0</v>
      </c>
      <c r="AY46" s="2" t="str">
        <f aca="false">IF($AT46&gt;0,VLOOKUP($AR46,'O_MN, PE_UTA_UGM 2024'!E42:O458,2),"")</f>
        <v/>
      </c>
      <c r="AZ46" s="1507"/>
      <c r="BA46" s="1507"/>
      <c r="BB46" s="1507" t="str">
        <f aca="false">IF($AT46&gt;0,VLOOKUP($AR46,'O_MN, PE_UTA_UGM 2024'!$E$3:$O$419,BB$6),"")</f>
        <v/>
      </c>
      <c r="BC46" s="1507" t="str">
        <f aca="false">IF($AT46&gt;0,VLOOKUP($AR46,'O_MN, PE_UTA_UGM 2024'!$E$3:$O$419,BC$6),"")</f>
        <v/>
      </c>
      <c r="BD46" s="1507" t="str">
        <f aca="false">IF($AT46&gt;0,VLOOKUP($AR46,'O_MN, PE_UTA_UGM 2024'!$E$3:$O$419,BD$6),"")</f>
        <v/>
      </c>
      <c r="BE46" s="1507" t="str">
        <f aca="false">IF($AT46&gt;0,VLOOKUP($AR46,'O_MN, PE_UTA_UGM 2024'!$E$3:$O$419,BE$6),"")</f>
        <v/>
      </c>
      <c r="BF46" s="1507" t="str">
        <f aca="false">IF($AT46&gt;0,VLOOKUP($AR46,'O_MN, PE_UTA_UGM 2024'!$E$3:$O$419,BF$6),"")</f>
        <v/>
      </c>
      <c r="BG46" s="1507" t="str">
        <f aca="false">IF($AT46&gt;0,VLOOKUP($AR46,'O_MN, PE_UTA_UGM 2024'!$E$3:$O$419,BG$6),"")</f>
        <v/>
      </c>
      <c r="BH46" s="1504"/>
      <c r="BI46" s="1504"/>
      <c r="BJ46" s="1504"/>
      <c r="BK46" s="1504"/>
      <c r="BM46" s="1411"/>
      <c r="BN46" s="1411"/>
      <c r="BO46" s="1425" t="str">
        <f aca="false">IF(ISNUMBER($AU46*BB46*1),$AU46*BB46*1,"")</f>
        <v/>
      </c>
      <c r="BP46" s="1425" t="str">
        <f aca="false">IF(ISNUMBER($AV46*BC46*1),$AV46*BC46*1,"")</f>
        <v/>
      </c>
      <c r="BQ46" s="1425" t="str">
        <f aca="false">IF(ISNUMBER($AU46*BD46*1),$AU46*BD46*1,"")</f>
        <v/>
      </c>
      <c r="BR46" s="1425" t="str">
        <f aca="false">IF(ISNUMBER($AV46*BE46*1),$AV46*BE46*1,"")</f>
        <v/>
      </c>
      <c r="BS46" s="1411" t="str">
        <f aca="false">IF(ISNUMBER($AU46*BF46),$AU46*BF46,"")</f>
        <v/>
      </c>
      <c r="BT46" s="1411" t="str">
        <f aca="false">IF(ISNUMBER($AV46*BG46),$AV46*BG46,"")</f>
        <v/>
      </c>
      <c r="BU46" s="1411"/>
      <c r="BV46" s="1411"/>
      <c r="BW46" s="1411"/>
      <c r="BX46" s="1411"/>
      <c r="BZ46" s="1372"/>
      <c r="CA46" s="1372"/>
      <c r="CB46" s="1426" t="str">
        <f aca="false">IF(ISNUMBER($AW46*BB46),$AW46*BB46,"")</f>
        <v/>
      </c>
      <c r="CC46" s="1426" t="str">
        <f aca="false">IF(ISNUMBER($AX46*BC46),$AX46*BC46,"")</f>
        <v/>
      </c>
      <c r="CD46" s="1426" t="str">
        <f aca="false">IF(ISNUMBER($AW46*BD46),$AW46*BD46,"")</f>
        <v/>
      </c>
      <c r="CE46" s="1426" t="str">
        <f aca="false">IF(ISNUMBER($AX46*BE46),$AX46*BE46,"")</f>
        <v/>
      </c>
      <c r="CF46" s="1372" t="str">
        <f aca="false">IF(ISNUMBER($AW46*BF46),$AW46*BF46,"")</f>
        <v/>
      </c>
      <c r="CG46" s="1372" t="str">
        <f aca="false">IF(ISNUMBER($AX46*BG46),$AX46*BG46,"")</f>
        <v/>
      </c>
      <c r="CH46" s="1438"/>
      <c r="CI46" s="1438"/>
      <c r="CJ46" s="1438"/>
      <c r="CK46" s="1438"/>
      <c r="CU46" s="1411"/>
      <c r="CV46" s="1411"/>
      <c r="CW46" s="1425"/>
      <c r="CX46" s="1425"/>
      <c r="CY46" s="1425"/>
      <c r="CZ46" s="1425"/>
      <c r="DA46" s="1411"/>
      <c r="DB46" s="1411"/>
      <c r="DC46" s="1411"/>
      <c r="DD46" s="1411"/>
      <c r="DE46" s="1411"/>
      <c r="DF46" s="1411"/>
      <c r="DH46" s="1432"/>
      <c r="DI46" s="1432"/>
      <c r="DJ46" s="1437"/>
      <c r="DK46" s="1437"/>
      <c r="DL46" s="1437"/>
      <c r="DM46" s="1437"/>
      <c r="DN46" s="1432"/>
      <c r="DO46" s="1432"/>
      <c r="DP46" s="1432"/>
      <c r="DQ46" s="1432"/>
      <c r="DR46" s="1432"/>
      <c r="DS46" s="1432"/>
      <c r="DT46" s="1316"/>
      <c r="DU46" s="1433"/>
      <c r="DV46" s="1433"/>
      <c r="DW46" s="1433"/>
      <c r="DX46" s="1433"/>
      <c r="DY46" s="1433"/>
      <c r="DZ46" s="1433"/>
      <c r="EA46" s="1433"/>
      <c r="EB46" s="1433"/>
    </row>
    <row r="47" customFormat="false" ht="14.25" hidden="false" customHeight="false" outlineLevel="0" collapsed="false">
      <c r="A47" s="2" t="n">
        <f aca="false">'V_DATOS PAC_SGA'!CC42</f>
        <v>0</v>
      </c>
      <c r="B47" s="2" t="n">
        <f aca="false">IF(OR(A47=0,A47=""),0,IF(I47="IV",CONCATENATE('V_DATOS PAC_SGA'!CC42,"4")+0,CONCATENATE('V_DATOS PAC_SGA'!CC42,"0")+0))</f>
        <v>0</v>
      </c>
      <c r="C47" s="2" t="n">
        <f aca="false">'V_DATOS PAC_SGA'!CD42</f>
        <v>0</v>
      </c>
      <c r="D47" s="1409" t="n">
        <f aca="false">'V_DATOS PAC_SGA'!Y42</f>
        <v>0</v>
      </c>
      <c r="E47" s="1410" t="str">
        <f aca="false">IF('V_DATOS PAC_SGA'!AV42="","Regadio",'V_DATOS PAC_SGA'!AV42)</f>
        <v>Regadio</v>
      </c>
      <c r="F47" s="1411" t="n">
        <f aca="false">'V_DATOS PAC_SGA'!BK42</f>
        <v>0</v>
      </c>
      <c r="G47" s="1412" t="n">
        <f aca="false">'V_DATOS PAC_SGA'!AN42</f>
        <v>0</v>
      </c>
      <c r="H47" s="1413" t="str">
        <f aca="false">IF(B47&gt;0,VLOOKUP(B47,'O_MN, PE_UTA_UGM 2024'!E$3:O$419,10),"")</f>
        <v/>
      </c>
      <c r="I47" s="1359" t="str">
        <f aca="false">IF('V_DATOS PAC_SGA'!BV42="IV",'V_DATOS PAC_SGA'!BV42,"")</f>
        <v/>
      </c>
      <c r="J47" s="2" t="str">
        <f aca="false">IF($A47&gt;0,IF(AND(J$4=$G47,J$6=$F47),$D47*J$5,""),"")</f>
        <v/>
      </c>
      <c r="K47" s="2" t="str">
        <f aca="false">IF($A47&gt;0,IF(AND(K$4=$G47,K$6=$F47),$D47*K$5,""),"")</f>
        <v/>
      </c>
      <c r="L47" s="2" t="str">
        <f aca="false">IF($A47&gt;0,IF(AND(L$4=$G47,L$6=$F47),$D47*L$5,""),"")</f>
        <v/>
      </c>
      <c r="M47" s="2" t="str">
        <f aca="false">IF($A47&gt;0,IF(AND(M$4=$G47,M$6=$F47),$D47*M$5,""),"")</f>
        <v/>
      </c>
      <c r="N47" s="1506" t="n">
        <f aca="false">VLOOKUP(B47,'O_MN, PE_UTA_UGM 2024'!$E$2:$K$419,IF(G47&gt;1,6,7))</f>
        <v>0</v>
      </c>
      <c r="O47" s="1434" t="str">
        <f aca="false">IF($H47=O$4,$D47*$N47,"")</f>
        <v/>
      </c>
      <c r="P47" s="1435" t="str">
        <f aca="false">IF($H47=P$4,$D47*$N47,"")</f>
        <v/>
      </c>
      <c r="Q47" s="1435" t="str">
        <f aca="false">IF($H47=Q$4,$D47*$N47,"")</f>
        <v/>
      </c>
      <c r="R47" s="1435" t="str">
        <f aca="false">IF($H47=R$4,$D47*$N47,"")</f>
        <v/>
      </c>
      <c r="S47" s="1435" t="str">
        <f aca="false">IF($H47=S$4,$D47*$N47,"")</f>
        <v/>
      </c>
      <c r="T47" s="1435" t="str">
        <f aca="false">IF($H47=T$4,$D47*$N47,"")</f>
        <v/>
      </c>
      <c r="U47" s="1436" t="str">
        <f aca="false">IF($H47=U$4,$D47*$N47,"")</f>
        <v/>
      </c>
      <c r="V47" s="1418"/>
      <c r="W47" s="1419"/>
      <c r="X47" s="1419"/>
      <c r="Y47" s="1419"/>
      <c r="Z47" s="1419"/>
      <c r="AA47" s="1419"/>
      <c r="AB47" s="1420"/>
      <c r="AC47" s="1319"/>
      <c r="AD47" s="2" t="str">
        <f aca="false">IF(AND(AD$4=$G47,AD$6=$F47),$B47,"")</f>
        <v/>
      </c>
      <c r="AE47" s="2" t="str">
        <f aca="false">IF(AND(AE$4=$G47,AE$6=$F47),$B47,"")</f>
        <v/>
      </c>
      <c r="AF47" s="2" t="str">
        <f aca="false">IF(AND(AF$4=$G47,AF$6=$F47),$B47,"")</f>
        <v/>
      </c>
      <c r="AG47" s="2" t="str">
        <f aca="false">IF(AND(AG$4=$G47,AG$6=$F47),$B47,"")</f>
        <v/>
      </c>
      <c r="AI47" s="366"/>
      <c r="AL47" s="367"/>
      <c r="AO47" s="367"/>
      <c r="AP47" s="2" t="str">
        <f aca="false">IF(AT47&gt;0,RANK(AT47,AT$7:AT$423),"")</f>
        <v/>
      </c>
      <c r="AQ47" s="2" t="n">
        <f aca="false">'O_MN, PE_UTA_UGM 2024'!C43</f>
        <v>77</v>
      </c>
      <c r="AR47" s="1421" t="n">
        <v>740</v>
      </c>
      <c r="AS47" s="2" t="str">
        <f aca="false">IF(AY47&lt;&gt;"",AY47,"")</f>
        <v/>
      </c>
      <c r="AT47" s="1422" t="n">
        <f aca="false">IF(ISNUMBER($AR47),SUMIF(B$7:B$505,AR47,D$7:D$505),"")</f>
        <v>0</v>
      </c>
      <c r="AU47" s="1411" t="n">
        <f aca="false">IF(ISNUMBER($AR47),SUMIF(AD$7:AD$503,$AR47,J$7:J$503),"")</f>
        <v>0</v>
      </c>
      <c r="AV47" s="1411" t="n">
        <f aca="false">IF(ISNUMBER($AR47),SUMIF(AF$7:AF$503,$AR47,L$7:L$503),"")</f>
        <v>0</v>
      </c>
      <c r="AW47" s="1423" t="n">
        <f aca="false">IF(ISNUMBER($AR47),SUMIF(AE$7:AE$503,$AR47,K$7:K$503),"")</f>
        <v>0</v>
      </c>
      <c r="AX47" s="1423" t="n">
        <f aca="false">IF(ISNUMBER($AR47),SUMIF(AG$7:AG$503,$AR47,M$7:M$503),"")</f>
        <v>0</v>
      </c>
      <c r="AY47" s="2" t="str">
        <f aca="false">IF($AT47&gt;0,VLOOKUP($AR47,'O_MN, PE_UTA_UGM 2024'!E43:O459,2),"")</f>
        <v/>
      </c>
      <c r="AZ47" s="1507"/>
      <c r="BA47" s="1507"/>
      <c r="BB47" s="1507" t="str">
        <f aca="false">IF($AT47&gt;0,VLOOKUP($AR47,'O_MN, PE_UTA_UGM 2024'!$E$3:$O$419,BB$6),"")</f>
        <v/>
      </c>
      <c r="BC47" s="1507" t="str">
        <f aca="false">IF($AT47&gt;0,VLOOKUP($AR47,'O_MN, PE_UTA_UGM 2024'!$E$3:$O$419,BC$6),"")</f>
        <v/>
      </c>
      <c r="BD47" s="1507" t="str">
        <f aca="false">IF($AT47&gt;0,VLOOKUP($AR47,'O_MN, PE_UTA_UGM 2024'!$E$3:$O$419,BD$6),"")</f>
        <v/>
      </c>
      <c r="BE47" s="1507" t="str">
        <f aca="false">IF($AT47&gt;0,VLOOKUP($AR47,'O_MN, PE_UTA_UGM 2024'!$E$3:$O$419,BE$6),"")</f>
        <v/>
      </c>
      <c r="BF47" s="1507" t="str">
        <f aca="false">IF($AT47&gt;0,VLOOKUP($AR47,'O_MN, PE_UTA_UGM 2024'!$E$3:$O$419,BF$6),"")</f>
        <v/>
      </c>
      <c r="BG47" s="1507" t="str">
        <f aca="false">IF($AT47&gt;0,VLOOKUP($AR47,'O_MN, PE_UTA_UGM 2024'!$E$3:$O$419,BG$6),"")</f>
        <v/>
      </c>
      <c r="BH47" s="1504"/>
      <c r="BI47" s="1504"/>
      <c r="BJ47" s="1504"/>
      <c r="BK47" s="1504"/>
      <c r="BM47" s="1411"/>
      <c r="BN47" s="1411"/>
      <c r="BO47" s="1425" t="str">
        <f aca="false">IF(ISNUMBER($AU47*BB47*1),$AU47*BB47*1,"")</f>
        <v/>
      </c>
      <c r="BP47" s="1425" t="str">
        <f aca="false">IF(ISNUMBER($AV47*BC47*1),$AV47*BC47*1,"")</f>
        <v/>
      </c>
      <c r="BQ47" s="1425" t="str">
        <f aca="false">IF(ISNUMBER($AU47*BD47*1),$AU47*BD47*1,"")</f>
        <v/>
      </c>
      <c r="BR47" s="1425" t="str">
        <f aca="false">IF(ISNUMBER($AV47*BE47*1),$AV47*BE47*1,"")</f>
        <v/>
      </c>
      <c r="BS47" s="1411" t="str">
        <f aca="false">IF(ISNUMBER($AU47*BF47),$AU47*BF47,"")</f>
        <v/>
      </c>
      <c r="BT47" s="1411" t="str">
        <f aca="false">IF(ISNUMBER($AV47*BG47),$AV47*BG47,"")</f>
        <v/>
      </c>
      <c r="BU47" s="1411"/>
      <c r="BV47" s="1411"/>
      <c r="BW47" s="1411"/>
      <c r="BX47" s="1411"/>
      <c r="BZ47" s="1372"/>
      <c r="CA47" s="1372"/>
      <c r="CB47" s="1426" t="str">
        <f aca="false">IF(ISNUMBER($AW47*BB47),$AW47*BB47,"")</f>
        <v/>
      </c>
      <c r="CC47" s="1426" t="str">
        <f aca="false">IF(ISNUMBER($AX47*BC47),$AX47*BC47,"")</f>
        <v/>
      </c>
      <c r="CD47" s="1426" t="str">
        <f aca="false">IF(ISNUMBER($AW47*BD47),$AW47*BD47,"")</f>
        <v/>
      </c>
      <c r="CE47" s="1426" t="str">
        <f aca="false">IF(ISNUMBER($AX47*BE47),$AX47*BE47,"")</f>
        <v/>
      </c>
      <c r="CF47" s="1372" t="str">
        <f aca="false">IF(ISNUMBER($AW47*BF47),$AW47*BF47,"")</f>
        <v/>
      </c>
      <c r="CG47" s="1372" t="str">
        <f aca="false">IF(ISNUMBER($AX47*BG47),$AX47*BG47,"")</f>
        <v/>
      </c>
      <c r="CH47" s="1438"/>
      <c r="CI47" s="1438"/>
      <c r="CJ47" s="1438"/>
      <c r="CK47" s="1438"/>
      <c r="CU47" s="1411"/>
      <c r="CV47" s="1411"/>
      <c r="CW47" s="1425"/>
      <c r="CX47" s="1425"/>
      <c r="CY47" s="1425"/>
      <c r="CZ47" s="1425"/>
      <c r="DA47" s="1411"/>
      <c r="DB47" s="1411"/>
      <c r="DC47" s="1411"/>
      <c r="DD47" s="1411"/>
      <c r="DE47" s="1411"/>
      <c r="DF47" s="1411"/>
      <c r="DH47" s="1432"/>
      <c r="DI47" s="1432"/>
      <c r="DJ47" s="1437"/>
      <c r="DK47" s="1437"/>
      <c r="DL47" s="1437"/>
      <c r="DM47" s="1437"/>
      <c r="DN47" s="1432"/>
      <c r="DO47" s="1432"/>
      <c r="DP47" s="1432"/>
      <c r="DQ47" s="1432"/>
      <c r="DR47" s="1432"/>
      <c r="DS47" s="1432"/>
      <c r="DT47" s="1316"/>
      <c r="DU47" s="1433"/>
      <c r="DV47" s="1433"/>
      <c r="DW47" s="1433"/>
      <c r="DX47" s="1433"/>
      <c r="DY47" s="1433"/>
      <c r="DZ47" s="1433"/>
      <c r="EA47" s="1433"/>
      <c r="EB47" s="1433"/>
    </row>
    <row r="48" customFormat="false" ht="14.25" hidden="false" customHeight="false" outlineLevel="0" collapsed="false">
      <c r="A48" s="2" t="n">
        <f aca="false">'V_DATOS PAC_SGA'!CC43</f>
        <v>0</v>
      </c>
      <c r="B48" s="2" t="n">
        <f aca="false">IF(OR(A48=0,A48=""),0,IF(I48="IV",CONCATENATE('V_DATOS PAC_SGA'!CC43,"4")+0,CONCATENATE('V_DATOS PAC_SGA'!CC43,"0")+0))</f>
        <v>0</v>
      </c>
      <c r="C48" s="2" t="n">
        <f aca="false">'V_DATOS PAC_SGA'!CD43</f>
        <v>0</v>
      </c>
      <c r="D48" s="1409" t="n">
        <f aca="false">'V_DATOS PAC_SGA'!Y43</f>
        <v>0</v>
      </c>
      <c r="E48" s="1410" t="str">
        <f aca="false">IF('V_DATOS PAC_SGA'!AV43="","Regadio",'V_DATOS PAC_SGA'!AV43)</f>
        <v>Regadio</v>
      </c>
      <c r="F48" s="1411" t="n">
        <f aca="false">'V_DATOS PAC_SGA'!BK43</f>
        <v>0</v>
      </c>
      <c r="G48" s="1412" t="n">
        <f aca="false">'V_DATOS PAC_SGA'!AN43</f>
        <v>0</v>
      </c>
      <c r="H48" s="1413" t="str">
        <f aca="false">IF(B48&gt;0,VLOOKUP(B48,'O_MN, PE_UTA_UGM 2024'!E$3:O$419,10),"")</f>
        <v/>
      </c>
      <c r="I48" s="1359" t="str">
        <f aca="false">IF('V_DATOS PAC_SGA'!BV43="IV",'V_DATOS PAC_SGA'!BV43,"")</f>
        <v/>
      </c>
      <c r="J48" s="2" t="str">
        <f aca="false">IF($A48&gt;0,IF(AND(J$4=$G48,J$6=$F48),$D48*J$5,""),"")</f>
        <v/>
      </c>
      <c r="K48" s="2" t="str">
        <f aca="false">IF($A48&gt;0,IF(AND(K$4=$G48,K$6=$F48),$D48*K$5,""),"")</f>
        <v/>
      </c>
      <c r="L48" s="2" t="str">
        <f aca="false">IF($A48&gt;0,IF(AND(L$4=$G48,L$6=$F48),$D48*L$5,""),"")</f>
        <v/>
      </c>
      <c r="M48" s="2" t="str">
        <f aca="false">IF($A48&gt;0,IF(AND(M$4=$G48,M$6=$F48),$D48*M$5,""),"")</f>
        <v/>
      </c>
      <c r="N48" s="1506" t="n">
        <f aca="false">VLOOKUP(B48,'O_MN, PE_UTA_UGM 2024'!$E$2:$K$419,IF(G48&gt;1,6,7))</f>
        <v>0</v>
      </c>
      <c r="O48" s="1434" t="str">
        <f aca="false">IF($H48=O$4,$D48*$N48,"")</f>
        <v/>
      </c>
      <c r="P48" s="1435" t="str">
        <f aca="false">IF($H48=P$4,$D48*$N48,"")</f>
        <v/>
      </c>
      <c r="Q48" s="1435" t="str">
        <f aca="false">IF($H48=Q$4,$D48*$N48,"")</f>
        <v/>
      </c>
      <c r="R48" s="1435" t="str">
        <f aca="false">IF($H48=R$4,$D48*$N48,"")</f>
        <v/>
      </c>
      <c r="S48" s="1435" t="str">
        <f aca="false">IF($H48=S$4,$D48*$N48,"")</f>
        <v/>
      </c>
      <c r="T48" s="1435" t="str">
        <f aca="false">IF($H48=T$4,$D48*$N48,"")</f>
        <v/>
      </c>
      <c r="U48" s="1436" t="str">
        <f aca="false">IF($H48=U$4,$D48*$N48,"")</f>
        <v/>
      </c>
      <c r="V48" s="1418"/>
      <c r="W48" s="1419"/>
      <c r="X48" s="1419"/>
      <c r="Y48" s="1419"/>
      <c r="Z48" s="1419"/>
      <c r="AA48" s="1419"/>
      <c r="AB48" s="1420"/>
      <c r="AC48" s="1319"/>
      <c r="AD48" s="2" t="str">
        <f aca="false">IF(AND(AD$4=$G48,AD$6=$F48),$B48,"")</f>
        <v/>
      </c>
      <c r="AE48" s="2" t="str">
        <f aca="false">IF(AND(AE$4=$G48,AE$6=$F48),$B48,"")</f>
        <v/>
      </c>
      <c r="AF48" s="2" t="str">
        <f aca="false">IF(AND(AF$4=$G48,AF$6=$F48),$B48,"")</f>
        <v/>
      </c>
      <c r="AG48" s="2" t="str">
        <f aca="false">IF(AND(AG$4=$G48,AG$6=$F48),$B48,"")</f>
        <v/>
      </c>
      <c r="AI48" s="366"/>
      <c r="AL48" s="367"/>
      <c r="AO48" s="367"/>
      <c r="AP48" s="2" t="str">
        <f aca="false">IF(AT48&gt;0,RANK(AT48,AT$7:AT$423),"")</f>
        <v/>
      </c>
      <c r="AQ48" s="2" t="n">
        <f aca="false">'O_MN, PE_UTA_UGM 2024'!C44</f>
        <v>78</v>
      </c>
      <c r="AR48" s="1421" t="n">
        <v>760</v>
      </c>
      <c r="AS48" s="2" t="str">
        <f aca="false">IF(AY48&lt;&gt;"",AY48,"")</f>
        <v/>
      </c>
      <c r="AT48" s="1422" t="n">
        <f aca="false">IF(ISNUMBER($AR48),SUMIF(B$7:B$505,AR48,D$7:D$505),"")</f>
        <v>0</v>
      </c>
      <c r="AU48" s="1411" t="n">
        <f aca="false">IF(ISNUMBER($AR48),SUMIF(AD$7:AD$503,$AR48,J$7:J$503),"")</f>
        <v>0</v>
      </c>
      <c r="AV48" s="1411" t="n">
        <f aca="false">IF(ISNUMBER($AR48),SUMIF(AF$7:AF$503,$AR48,L$7:L$503),"")</f>
        <v>0</v>
      </c>
      <c r="AW48" s="1423" t="n">
        <f aca="false">IF(ISNUMBER($AR48),SUMIF(AE$7:AE$503,$AR48,K$7:K$503),"")</f>
        <v>0</v>
      </c>
      <c r="AX48" s="1423" t="n">
        <f aca="false">IF(ISNUMBER($AR48),SUMIF(AG$7:AG$503,$AR48,M$7:M$503),"")</f>
        <v>0</v>
      </c>
      <c r="AY48" s="2" t="str">
        <f aca="false">IF($AT48&gt;0,VLOOKUP($AR48,'O_MN, PE_UTA_UGM 2024'!E44:O460,2),"")</f>
        <v/>
      </c>
      <c r="AZ48" s="1507"/>
      <c r="BA48" s="1507"/>
      <c r="BB48" s="1507" t="str">
        <f aca="false">IF($AT48&gt;0,VLOOKUP($AR48,'O_MN, PE_UTA_UGM 2024'!$E$3:$O$419,BB$6),"")</f>
        <v/>
      </c>
      <c r="BC48" s="1507" t="str">
        <f aca="false">IF($AT48&gt;0,VLOOKUP($AR48,'O_MN, PE_UTA_UGM 2024'!$E$3:$O$419,BC$6),"")</f>
        <v/>
      </c>
      <c r="BD48" s="1507" t="str">
        <f aca="false">IF($AT48&gt;0,VLOOKUP($AR48,'O_MN, PE_UTA_UGM 2024'!$E$3:$O$419,BD$6),"")</f>
        <v/>
      </c>
      <c r="BE48" s="1507" t="str">
        <f aca="false">IF($AT48&gt;0,VLOOKUP($AR48,'O_MN, PE_UTA_UGM 2024'!$E$3:$O$419,BE$6),"")</f>
        <v/>
      </c>
      <c r="BF48" s="1507" t="str">
        <f aca="false">IF($AT48&gt;0,VLOOKUP($AR48,'O_MN, PE_UTA_UGM 2024'!$E$3:$O$419,BF$6),"")</f>
        <v/>
      </c>
      <c r="BG48" s="1507" t="str">
        <f aca="false">IF($AT48&gt;0,VLOOKUP($AR48,'O_MN, PE_UTA_UGM 2024'!$E$3:$O$419,BG$6),"")</f>
        <v/>
      </c>
      <c r="BH48" s="1504"/>
      <c r="BI48" s="1504"/>
      <c r="BJ48" s="1504"/>
      <c r="BK48" s="1504"/>
      <c r="BM48" s="1411"/>
      <c r="BN48" s="1411"/>
      <c r="BO48" s="1425" t="str">
        <f aca="false">IF(ISNUMBER($AU48*BB48*1),$AU48*BB48*1,"")</f>
        <v/>
      </c>
      <c r="BP48" s="1425" t="str">
        <f aca="false">IF(ISNUMBER($AV48*BC48*1),$AV48*BC48*1,"")</f>
        <v/>
      </c>
      <c r="BQ48" s="1425" t="str">
        <f aca="false">IF(ISNUMBER($AU48*BD48*1),$AU48*BD48*1,"")</f>
        <v/>
      </c>
      <c r="BR48" s="1425" t="str">
        <f aca="false">IF(ISNUMBER($AV48*BE48*1),$AV48*BE48*1,"")</f>
        <v/>
      </c>
      <c r="BS48" s="1411" t="str">
        <f aca="false">IF(ISNUMBER($AU48*BF48),$AU48*BF48,"")</f>
        <v/>
      </c>
      <c r="BT48" s="1411" t="str">
        <f aca="false">IF(ISNUMBER($AV48*BG48),$AV48*BG48,"")</f>
        <v/>
      </c>
      <c r="BU48" s="1411"/>
      <c r="BV48" s="1411"/>
      <c r="BW48" s="1411"/>
      <c r="BX48" s="1411"/>
      <c r="BZ48" s="1372"/>
      <c r="CA48" s="1372"/>
      <c r="CB48" s="1426" t="str">
        <f aca="false">IF(ISNUMBER($AW48*BB48),$AW48*BB48,"")</f>
        <v/>
      </c>
      <c r="CC48" s="1426" t="str">
        <f aca="false">IF(ISNUMBER($AX48*BC48),$AX48*BC48,"")</f>
        <v/>
      </c>
      <c r="CD48" s="1426" t="str">
        <f aca="false">IF(ISNUMBER($AW48*BD48),$AW48*BD48,"")</f>
        <v/>
      </c>
      <c r="CE48" s="1426" t="str">
        <f aca="false">IF(ISNUMBER($AX48*BE48),$AX48*BE48,"")</f>
        <v/>
      </c>
      <c r="CF48" s="1372" t="str">
        <f aca="false">IF(ISNUMBER($AW48*BF48),$AW48*BF48,"")</f>
        <v/>
      </c>
      <c r="CG48" s="1372" t="str">
        <f aca="false">IF(ISNUMBER($AX48*BG48),$AX48*BG48,"")</f>
        <v/>
      </c>
      <c r="CH48" s="1438"/>
      <c r="CI48" s="1438"/>
      <c r="CJ48" s="1438"/>
      <c r="CK48" s="1438"/>
      <c r="CU48" s="1411"/>
      <c r="CV48" s="1411"/>
      <c r="CW48" s="1425"/>
      <c r="CX48" s="1425"/>
      <c r="CY48" s="1425"/>
      <c r="CZ48" s="1425"/>
      <c r="DA48" s="1411"/>
      <c r="DB48" s="1411"/>
      <c r="DC48" s="1411"/>
      <c r="DD48" s="1411"/>
      <c r="DE48" s="1411"/>
      <c r="DF48" s="1411"/>
      <c r="DH48" s="1432"/>
      <c r="DI48" s="1432"/>
      <c r="DJ48" s="1437"/>
      <c r="DK48" s="1437"/>
      <c r="DL48" s="1437"/>
      <c r="DM48" s="1437"/>
      <c r="DN48" s="1432"/>
      <c r="DO48" s="1432"/>
      <c r="DP48" s="1432"/>
      <c r="DQ48" s="1432"/>
      <c r="DR48" s="1432"/>
      <c r="DS48" s="1432"/>
      <c r="DT48" s="1316"/>
      <c r="DU48" s="1433"/>
      <c r="DV48" s="1433"/>
      <c r="DW48" s="1433"/>
      <c r="DX48" s="1433"/>
      <c r="DY48" s="1433"/>
      <c r="DZ48" s="1433"/>
      <c r="EA48" s="1433"/>
      <c r="EB48" s="1433"/>
    </row>
    <row r="49" customFormat="false" ht="14.25" hidden="false" customHeight="false" outlineLevel="0" collapsed="false">
      <c r="A49" s="2" t="n">
        <f aca="false">'V_DATOS PAC_SGA'!CC44</f>
        <v>0</v>
      </c>
      <c r="B49" s="2" t="n">
        <f aca="false">IF(OR(A49=0,A49=""),0,IF(I49="IV",CONCATENATE('V_DATOS PAC_SGA'!CC44,"4")+0,CONCATENATE('V_DATOS PAC_SGA'!CC44,"0")+0))</f>
        <v>0</v>
      </c>
      <c r="C49" s="2" t="n">
        <f aca="false">'V_DATOS PAC_SGA'!CD44</f>
        <v>0</v>
      </c>
      <c r="D49" s="1409" t="n">
        <f aca="false">'V_DATOS PAC_SGA'!Y44</f>
        <v>0</v>
      </c>
      <c r="E49" s="1410" t="str">
        <f aca="false">IF('V_DATOS PAC_SGA'!AV44="","Regadio",'V_DATOS PAC_SGA'!AV44)</f>
        <v>Regadio</v>
      </c>
      <c r="F49" s="1411" t="n">
        <f aca="false">'V_DATOS PAC_SGA'!BK44</f>
        <v>0</v>
      </c>
      <c r="G49" s="1412" t="n">
        <f aca="false">'V_DATOS PAC_SGA'!AN44</f>
        <v>0</v>
      </c>
      <c r="H49" s="1413" t="str">
        <f aca="false">IF(B49&gt;0,VLOOKUP(B49,'O_MN, PE_UTA_UGM 2024'!E$3:O$419,10),"")</f>
        <v/>
      </c>
      <c r="I49" s="1359" t="str">
        <f aca="false">IF('V_DATOS PAC_SGA'!BV44="IV",'V_DATOS PAC_SGA'!BV44,"")</f>
        <v/>
      </c>
      <c r="J49" s="2" t="str">
        <f aca="false">IF($A49&gt;0,IF(AND(J$4=$G49,J$6=$F49),$D49*J$5,""),"")</f>
        <v/>
      </c>
      <c r="K49" s="2" t="str">
        <f aca="false">IF($A49&gt;0,IF(AND(K$4=$G49,K$6=$F49),$D49*K$5,""),"")</f>
        <v/>
      </c>
      <c r="L49" s="2" t="str">
        <f aca="false">IF($A49&gt;0,IF(AND(L$4=$G49,L$6=$F49),$D49*L$5,""),"")</f>
        <v/>
      </c>
      <c r="M49" s="2" t="str">
        <f aca="false">IF($A49&gt;0,IF(AND(M$4=$G49,M$6=$F49),$D49*M$5,""),"")</f>
        <v/>
      </c>
      <c r="N49" s="1506" t="n">
        <f aca="false">VLOOKUP(B49,'O_MN, PE_UTA_UGM 2024'!$E$2:$K$419,IF(G49&gt;1,6,7))</f>
        <v>0</v>
      </c>
      <c r="O49" s="1434" t="str">
        <f aca="false">IF($H49=O$4,$D49*$N49,"")</f>
        <v/>
      </c>
      <c r="P49" s="1435" t="str">
        <f aca="false">IF($H49=P$4,$D49*$N49,"")</f>
        <v/>
      </c>
      <c r="Q49" s="1435" t="str">
        <f aca="false">IF($H49=Q$4,$D49*$N49,"")</f>
        <v/>
      </c>
      <c r="R49" s="1435" t="str">
        <f aca="false">IF($H49=R$4,$D49*$N49,"")</f>
        <v/>
      </c>
      <c r="S49" s="1435" t="str">
        <f aca="false">IF($H49=S$4,$D49*$N49,"")</f>
        <v/>
      </c>
      <c r="T49" s="1435" t="str">
        <f aca="false">IF($H49=T$4,$D49*$N49,"")</f>
        <v/>
      </c>
      <c r="U49" s="1436" t="str">
        <f aca="false">IF($H49=U$4,$D49*$N49,"")</f>
        <v/>
      </c>
      <c r="V49" s="1418"/>
      <c r="W49" s="1419"/>
      <c r="X49" s="1419"/>
      <c r="Y49" s="1419"/>
      <c r="Z49" s="1419"/>
      <c r="AA49" s="1419"/>
      <c r="AB49" s="1420"/>
      <c r="AC49" s="1319"/>
      <c r="AD49" s="2" t="str">
        <f aca="false">IF(AND(AD$4=$G49,AD$6=$F49),$B49,"")</f>
        <v/>
      </c>
      <c r="AE49" s="2" t="str">
        <f aca="false">IF(AND(AE$4=$G49,AE$6=$F49),$B49,"")</f>
        <v/>
      </c>
      <c r="AF49" s="2" t="str">
        <f aca="false">IF(AND(AF$4=$G49,AF$6=$F49),$B49,"")</f>
        <v/>
      </c>
      <c r="AG49" s="2" t="str">
        <f aca="false">IF(AND(AG$4=$G49,AG$6=$F49),$B49,"")</f>
        <v/>
      </c>
      <c r="AI49" s="366"/>
      <c r="AL49" s="367"/>
      <c r="AO49" s="367"/>
      <c r="AP49" s="2" t="str">
        <f aca="false">IF(AT49&gt;0,RANK(AT49,AT$7:AT$423),"")</f>
        <v/>
      </c>
      <c r="AQ49" s="2" t="n">
        <f aca="false">'O_MN, PE_UTA_UGM 2024'!C45</f>
        <v>80</v>
      </c>
      <c r="AR49" s="1421" t="n">
        <v>770</v>
      </c>
      <c r="AS49" s="2" t="str">
        <f aca="false">IF(AY49&lt;&gt;"",AY49,"")</f>
        <v/>
      </c>
      <c r="AT49" s="1422" t="n">
        <f aca="false">IF(ISNUMBER($AR49),SUMIF(B$7:B$505,AR49,D$7:D$505),"")</f>
        <v>0</v>
      </c>
      <c r="AU49" s="1411" t="n">
        <f aca="false">IF(ISNUMBER($AR49),SUMIF(AD$7:AD$503,$AR49,J$7:J$503),"")</f>
        <v>0</v>
      </c>
      <c r="AV49" s="1411" t="n">
        <f aca="false">IF(ISNUMBER($AR49),SUMIF(AF$7:AF$503,$AR49,L$7:L$503),"")</f>
        <v>0</v>
      </c>
      <c r="AW49" s="1423" t="n">
        <f aca="false">IF(ISNUMBER($AR49),SUMIF(AE$7:AE$503,$AR49,K$7:K$503),"")</f>
        <v>0</v>
      </c>
      <c r="AX49" s="1423" t="n">
        <f aca="false">IF(ISNUMBER($AR49),SUMIF(AG$7:AG$503,$AR49,M$7:M$503),"")</f>
        <v>0</v>
      </c>
      <c r="AY49" s="2" t="str">
        <f aca="false">IF($AT49&gt;0,VLOOKUP($AR49,'O_MN, PE_UTA_UGM 2024'!E45:O461,2),"")</f>
        <v/>
      </c>
      <c r="AZ49" s="1507"/>
      <c r="BA49" s="1507"/>
      <c r="BB49" s="1507" t="str">
        <f aca="false">IF($AT49&gt;0,VLOOKUP($AR49,'O_MN, PE_UTA_UGM 2024'!$E$3:$O$419,BB$6),"")</f>
        <v/>
      </c>
      <c r="BC49" s="1507" t="str">
        <f aca="false">IF($AT49&gt;0,VLOOKUP($AR49,'O_MN, PE_UTA_UGM 2024'!$E$3:$O$419,BC$6),"")</f>
        <v/>
      </c>
      <c r="BD49" s="1507" t="str">
        <f aca="false">IF($AT49&gt;0,VLOOKUP($AR49,'O_MN, PE_UTA_UGM 2024'!$E$3:$O$419,BD$6),"")</f>
        <v/>
      </c>
      <c r="BE49" s="1507" t="str">
        <f aca="false">IF($AT49&gt;0,VLOOKUP($AR49,'O_MN, PE_UTA_UGM 2024'!$E$3:$O$419,BE$6),"")</f>
        <v/>
      </c>
      <c r="BF49" s="1507" t="str">
        <f aca="false">IF($AT49&gt;0,VLOOKUP($AR49,'O_MN, PE_UTA_UGM 2024'!$E$3:$O$419,BF$6),"")</f>
        <v/>
      </c>
      <c r="BG49" s="1507" t="str">
        <f aca="false">IF($AT49&gt;0,VLOOKUP($AR49,'O_MN, PE_UTA_UGM 2024'!$E$3:$O$419,BG$6),"")</f>
        <v/>
      </c>
      <c r="BH49" s="1504"/>
      <c r="BI49" s="1504"/>
      <c r="BJ49" s="1504"/>
      <c r="BK49" s="1504"/>
      <c r="BM49" s="1411"/>
      <c r="BN49" s="1411"/>
      <c r="BO49" s="1425" t="str">
        <f aca="false">IF(ISNUMBER($AU49*BB49*1),$AU49*BB49*1,"")</f>
        <v/>
      </c>
      <c r="BP49" s="1425" t="str">
        <f aca="false">IF(ISNUMBER($AV49*BC49*1),$AV49*BC49*1,"")</f>
        <v/>
      </c>
      <c r="BQ49" s="1425" t="str">
        <f aca="false">IF(ISNUMBER($AU49*BD49*1),$AU49*BD49*1,"")</f>
        <v/>
      </c>
      <c r="BR49" s="1425" t="str">
        <f aca="false">IF(ISNUMBER($AV49*BE49*1),$AV49*BE49*1,"")</f>
        <v/>
      </c>
      <c r="BS49" s="1411" t="str">
        <f aca="false">IF(ISNUMBER($AU49*BF49),$AU49*BF49,"")</f>
        <v/>
      </c>
      <c r="BT49" s="1411" t="str">
        <f aca="false">IF(ISNUMBER($AV49*BG49),$AV49*BG49,"")</f>
        <v/>
      </c>
      <c r="BU49" s="1411"/>
      <c r="BV49" s="1411"/>
      <c r="BW49" s="1411"/>
      <c r="BX49" s="1411"/>
      <c r="BZ49" s="1372"/>
      <c r="CA49" s="1372"/>
      <c r="CB49" s="1426" t="str">
        <f aca="false">IF(ISNUMBER($AW49*BB49),$AW49*BB49,"")</f>
        <v/>
      </c>
      <c r="CC49" s="1426" t="str">
        <f aca="false">IF(ISNUMBER($AX49*BC49),$AX49*BC49,"")</f>
        <v/>
      </c>
      <c r="CD49" s="1426" t="str">
        <f aca="false">IF(ISNUMBER($AW49*BD49),$AW49*BD49,"")</f>
        <v/>
      </c>
      <c r="CE49" s="1426" t="str">
        <f aca="false">IF(ISNUMBER($AX49*BE49),$AX49*BE49,"")</f>
        <v/>
      </c>
      <c r="CF49" s="1372" t="str">
        <f aca="false">IF(ISNUMBER($AW49*BF49),$AW49*BF49,"")</f>
        <v/>
      </c>
      <c r="CG49" s="1372" t="str">
        <f aca="false">IF(ISNUMBER($AX49*BG49),$AX49*BG49,"")</f>
        <v/>
      </c>
      <c r="CH49" s="1438"/>
      <c r="CI49" s="1438"/>
      <c r="CJ49" s="1438"/>
      <c r="CK49" s="1438"/>
      <c r="CU49" s="1411"/>
      <c r="CV49" s="1411"/>
      <c r="CW49" s="1425"/>
      <c r="CX49" s="1425"/>
      <c r="CY49" s="1425"/>
      <c r="CZ49" s="1425"/>
      <c r="DA49" s="1411"/>
      <c r="DB49" s="1411"/>
      <c r="DC49" s="1411"/>
      <c r="DD49" s="1411"/>
      <c r="DE49" s="1411"/>
      <c r="DF49" s="1411"/>
      <c r="DH49" s="1432"/>
      <c r="DI49" s="1432"/>
      <c r="DJ49" s="1437"/>
      <c r="DK49" s="1437"/>
      <c r="DL49" s="1437"/>
      <c r="DM49" s="1437"/>
      <c r="DN49" s="1432"/>
      <c r="DO49" s="1432"/>
      <c r="DP49" s="1432"/>
      <c r="DQ49" s="1432"/>
      <c r="DR49" s="1432"/>
      <c r="DS49" s="1432"/>
      <c r="DT49" s="1316"/>
      <c r="DU49" s="1433"/>
      <c r="DV49" s="1433"/>
      <c r="DW49" s="1433"/>
      <c r="DX49" s="1433"/>
      <c r="DY49" s="1433"/>
      <c r="DZ49" s="1433"/>
      <c r="EA49" s="1433"/>
      <c r="EB49" s="1433"/>
    </row>
    <row r="50" customFormat="false" ht="14.25" hidden="false" customHeight="false" outlineLevel="0" collapsed="false">
      <c r="A50" s="2" t="n">
        <f aca="false">'V_DATOS PAC_SGA'!CC45</f>
        <v>0</v>
      </c>
      <c r="B50" s="2" t="n">
        <f aca="false">IF(OR(A50=0,A50=""),0,IF(I50="IV",CONCATENATE('V_DATOS PAC_SGA'!CC45,"4")+0,CONCATENATE('V_DATOS PAC_SGA'!CC45,"0")+0))</f>
        <v>0</v>
      </c>
      <c r="C50" s="2" t="n">
        <f aca="false">'V_DATOS PAC_SGA'!CD45</f>
        <v>0</v>
      </c>
      <c r="D50" s="1409" t="n">
        <f aca="false">'V_DATOS PAC_SGA'!Y45</f>
        <v>0</v>
      </c>
      <c r="E50" s="1410" t="str">
        <f aca="false">IF('V_DATOS PAC_SGA'!AV45="","Regadio",'V_DATOS PAC_SGA'!AV45)</f>
        <v>Regadio</v>
      </c>
      <c r="F50" s="1411" t="n">
        <f aca="false">'V_DATOS PAC_SGA'!BK45</f>
        <v>0</v>
      </c>
      <c r="G50" s="1412" t="n">
        <f aca="false">'V_DATOS PAC_SGA'!AN45</f>
        <v>0</v>
      </c>
      <c r="H50" s="1413" t="str">
        <f aca="false">IF(B50&gt;0,VLOOKUP(B50,'O_MN, PE_UTA_UGM 2024'!E$3:O$419,10),"")</f>
        <v/>
      </c>
      <c r="I50" s="1359" t="str">
        <f aca="false">IF('V_DATOS PAC_SGA'!BV45="IV",'V_DATOS PAC_SGA'!BV45,"")</f>
        <v/>
      </c>
      <c r="J50" s="2" t="str">
        <f aca="false">IF($A50&gt;0,IF(AND(J$4=$G50,J$6=$F50),$D50*J$5,""),"")</f>
        <v/>
      </c>
      <c r="K50" s="2" t="str">
        <f aca="false">IF($A50&gt;0,IF(AND(K$4=$G50,K$6=$F50),$D50*K$5,""),"")</f>
        <v/>
      </c>
      <c r="L50" s="2" t="str">
        <f aca="false">IF($A50&gt;0,IF(AND(L$4=$G50,L$6=$F50),$D50*L$5,""),"")</f>
        <v/>
      </c>
      <c r="M50" s="2" t="str">
        <f aca="false">IF($A50&gt;0,IF(AND(M$4=$G50,M$6=$F50),$D50*M$5,""),"")</f>
        <v/>
      </c>
      <c r="N50" s="1506" t="n">
        <f aca="false">VLOOKUP(B50,'O_MN, PE_UTA_UGM 2024'!$E$2:$K$419,IF(G50&gt;1,6,7))</f>
        <v>0</v>
      </c>
      <c r="O50" s="1434" t="str">
        <f aca="false">IF($H50=O$4,$D50*$N50,"")</f>
        <v/>
      </c>
      <c r="P50" s="1435" t="str">
        <f aca="false">IF($H50=P$4,$D50*$N50,"")</f>
        <v/>
      </c>
      <c r="Q50" s="1435" t="str">
        <f aca="false">IF($H50=Q$4,$D50*$N50,"")</f>
        <v/>
      </c>
      <c r="R50" s="1435" t="str">
        <f aca="false">IF($H50=R$4,$D50*$N50,"")</f>
        <v/>
      </c>
      <c r="S50" s="1435" t="str">
        <f aca="false">IF($H50=S$4,$D50*$N50,"")</f>
        <v/>
      </c>
      <c r="T50" s="1435" t="str">
        <f aca="false">IF($H50=T$4,$D50*$N50,"")</f>
        <v/>
      </c>
      <c r="U50" s="1436" t="str">
        <f aca="false">IF($H50=U$4,$D50*$N50,"")</f>
        <v/>
      </c>
      <c r="V50" s="1418"/>
      <c r="W50" s="1419"/>
      <c r="X50" s="1419"/>
      <c r="Y50" s="1419"/>
      <c r="Z50" s="1419"/>
      <c r="AA50" s="1419"/>
      <c r="AB50" s="1420"/>
      <c r="AC50" s="1319"/>
      <c r="AD50" s="2" t="str">
        <f aca="false">IF(AND(AD$4=$G50,AD$6=$F50),$B50,"")</f>
        <v/>
      </c>
      <c r="AE50" s="2" t="str">
        <f aca="false">IF(AND(AE$4=$G50,AE$6=$F50),$B50,"")</f>
        <v/>
      </c>
      <c r="AF50" s="2" t="str">
        <f aca="false">IF(AND(AF$4=$G50,AF$6=$F50),$B50,"")</f>
        <v/>
      </c>
      <c r="AG50" s="2" t="str">
        <f aca="false">IF(AND(AG$4=$G50,AG$6=$F50),$B50,"")</f>
        <v/>
      </c>
      <c r="AI50" s="366"/>
      <c r="AL50" s="367"/>
      <c r="AO50" s="367"/>
      <c r="AP50" s="2" t="str">
        <f aca="false">IF(AT50&gt;0,RANK(AT50,AT$7:AT$423),"")</f>
        <v/>
      </c>
      <c r="AQ50" s="2" t="n">
        <f aca="false">'O_MN, PE_UTA_UGM 2024'!C46</f>
        <v>82</v>
      </c>
      <c r="AR50" s="1421" t="n">
        <v>780</v>
      </c>
      <c r="AS50" s="2" t="str">
        <f aca="false">IF(AY50&lt;&gt;"",AY50,"")</f>
        <v/>
      </c>
      <c r="AT50" s="1422" t="n">
        <f aca="false">IF(ISNUMBER($AR50),SUMIF(B$7:B$505,AR50,D$7:D$505),"")</f>
        <v>0</v>
      </c>
      <c r="AU50" s="1411" t="n">
        <f aca="false">IF(ISNUMBER($AR50),SUMIF(AD$7:AD$503,$AR50,J$7:J$503),"")</f>
        <v>0</v>
      </c>
      <c r="AV50" s="1411" t="n">
        <f aca="false">IF(ISNUMBER($AR50),SUMIF(AF$7:AF$503,$AR50,L$7:L$503),"")</f>
        <v>0</v>
      </c>
      <c r="AW50" s="1423" t="n">
        <f aca="false">IF(ISNUMBER($AR50),SUMIF(AE$7:AE$503,$AR50,K$7:K$503),"")</f>
        <v>0</v>
      </c>
      <c r="AX50" s="1423" t="n">
        <f aca="false">IF(ISNUMBER($AR50),SUMIF(AG$7:AG$503,$AR50,M$7:M$503),"")</f>
        <v>0</v>
      </c>
      <c r="AY50" s="2" t="str">
        <f aca="false">IF($AT50&gt;0,VLOOKUP($AR50,'O_MN, PE_UTA_UGM 2024'!E46:O462,2),"")</f>
        <v/>
      </c>
      <c r="AZ50" s="1507"/>
      <c r="BA50" s="1507"/>
      <c r="BB50" s="1507" t="str">
        <f aca="false">IF($AT50&gt;0,VLOOKUP($AR50,'O_MN, PE_UTA_UGM 2024'!$E$3:$O$419,BB$6),"")</f>
        <v/>
      </c>
      <c r="BC50" s="1507" t="str">
        <f aca="false">IF($AT50&gt;0,VLOOKUP($AR50,'O_MN, PE_UTA_UGM 2024'!$E$3:$O$419,BC$6),"")</f>
        <v/>
      </c>
      <c r="BD50" s="1507" t="str">
        <f aca="false">IF($AT50&gt;0,VLOOKUP($AR50,'O_MN, PE_UTA_UGM 2024'!$E$3:$O$419,BD$6),"")</f>
        <v/>
      </c>
      <c r="BE50" s="1507" t="str">
        <f aca="false">IF($AT50&gt;0,VLOOKUP($AR50,'O_MN, PE_UTA_UGM 2024'!$E$3:$O$419,BE$6),"")</f>
        <v/>
      </c>
      <c r="BF50" s="1507" t="str">
        <f aca="false">IF($AT50&gt;0,VLOOKUP($AR50,'O_MN, PE_UTA_UGM 2024'!$E$3:$O$419,BF$6),"")</f>
        <v/>
      </c>
      <c r="BG50" s="1507" t="str">
        <f aca="false">IF($AT50&gt;0,VLOOKUP($AR50,'O_MN, PE_UTA_UGM 2024'!$E$3:$O$419,BG$6),"")</f>
        <v/>
      </c>
      <c r="BH50" s="1504"/>
      <c r="BI50" s="1504"/>
      <c r="BJ50" s="1504"/>
      <c r="BK50" s="1504"/>
      <c r="BM50" s="1411"/>
      <c r="BN50" s="1411"/>
      <c r="BO50" s="1425" t="str">
        <f aca="false">IF(ISNUMBER($AU50*BB50*1),$AU50*BB50*1,"")</f>
        <v/>
      </c>
      <c r="BP50" s="1425" t="str">
        <f aca="false">IF(ISNUMBER($AV50*BC50*1),$AV50*BC50*1,"")</f>
        <v/>
      </c>
      <c r="BQ50" s="1425" t="str">
        <f aca="false">IF(ISNUMBER($AU50*BD50*1),$AU50*BD50*1,"")</f>
        <v/>
      </c>
      <c r="BR50" s="1425" t="str">
        <f aca="false">IF(ISNUMBER($AV50*BE50*1),$AV50*BE50*1,"")</f>
        <v/>
      </c>
      <c r="BS50" s="1411" t="str">
        <f aca="false">IF(ISNUMBER($AU50*BF50),$AU50*BF50,"")</f>
        <v/>
      </c>
      <c r="BT50" s="1411" t="str">
        <f aca="false">IF(ISNUMBER($AV50*BG50),$AV50*BG50,"")</f>
        <v/>
      </c>
      <c r="BU50" s="1411"/>
      <c r="BV50" s="1411"/>
      <c r="BW50" s="1411"/>
      <c r="BX50" s="1411"/>
      <c r="BZ50" s="1372"/>
      <c r="CA50" s="1372"/>
      <c r="CB50" s="1426" t="str">
        <f aca="false">IF(ISNUMBER($AW50*BB50),$AW50*BB50,"")</f>
        <v/>
      </c>
      <c r="CC50" s="1426" t="str">
        <f aca="false">IF(ISNUMBER($AX50*BC50),$AX50*BC50,"")</f>
        <v/>
      </c>
      <c r="CD50" s="1426" t="str">
        <f aca="false">IF(ISNUMBER($AW50*BD50),$AW50*BD50,"")</f>
        <v/>
      </c>
      <c r="CE50" s="1426" t="str">
        <f aca="false">IF(ISNUMBER($AX50*BE50),$AX50*BE50,"")</f>
        <v/>
      </c>
      <c r="CF50" s="1372" t="str">
        <f aca="false">IF(ISNUMBER($AW50*BF50),$AW50*BF50,"")</f>
        <v/>
      </c>
      <c r="CG50" s="1372" t="str">
        <f aca="false">IF(ISNUMBER($AX50*BG50),$AX50*BG50,"")</f>
        <v/>
      </c>
      <c r="CH50" s="1438"/>
      <c r="CI50" s="1438"/>
      <c r="CJ50" s="1438"/>
      <c r="CK50" s="1438"/>
      <c r="CU50" s="1411"/>
      <c r="CV50" s="1411"/>
      <c r="CW50" s="1425"/>
      <c r="CX50" s="1425"/>
      <c r="CY50" s="1425"/>
      <c r="CZ50" s="1425"/>
      <c r="DA50" s="1411"/>
      <c r="DB50" s="1411"/>
      <c r="DC50" s="1411"/>
      <c r="DD50" s="1411"/>
      <c r="DE50" s="1411"/>
      <c r="DF50" s="1411"/>
      <c r="DH50" s="1432"/>
      <c r="DI50" s="1432"/>
      <c r="DJ50" s="1437"/>
      <c r="DK50" s="1437"/>
      <c r="DL50" s="1437"/>
      <c r="DM50" s="1437"/>
      <c r="DN50" s="1432"/>
      <c r="DO50" s="1432"/>
      <c r="DP50" s="1432"/>
      <c r="DQ50" s="1432"/>
      <c r="DR50" s="1432"/>
      <c r="DS50" s="1432"/>
      <c r="DT50" s="1316"/>
      <c r="DU50" s="1433"/>
      <c r="DV50" s="1433"/>
      <c r="DW50" s="1433"/>
      <c r="DX50" s="1433"/>
      <c r="DY50" s="1433"/>
      <c r="DZ50" s="1433"/>
      <c r="EA50" s="1433"/>
      <c r="EB50" s="1433"/>
    </row>
    <row r="51" customFormat="false" ht="14.25" hidden="false" customHeight="false" outlineLevel="0" collapsed="false">
      <c r="A51" s="2" t="n">
        <f aca="false">'V_DATOS PAC_SGA'!CC46</f>
        <v>0</v>
      </c>
      <c r="B51" s="2" t="n">
        <f aca="false">IF(OR(A51=0,A51=""),0,IF(I51="IV",CONCATENATE('V_DATOS PAC_SGA'!CC46,"4")+0,CONCATENATE('V_DATOS PAC_SGA'!CC46,"0")+0))</f>
        <v>0</v>
      </c>
      <c r="C51" s="2" t="n">
        <f aca="false">'V_DATOS PAC_SGA'!CD46</f>
        <v>0</v>
      </c>
      <c r="D51" s="1409" t="n">
        <f aca="false">'V_DATOS PAC_SGA'!Y46</f>
        <v>0</v>
      </c>
      <c r="E51" s="1410" t="str">
        <f aca="false">IF('V_DATOS PAC_SGA'!AV46="","Regadio",'V_DATOS PAC_SGA'!AV46)</f>
        <v>Regadio</v>
      </c>
      <c r="F51" s="1411" t="n">
        <f aca="false">'V_DATOS PAC_SGA'!BK46</f>
        <v>0</v>
      </c>
      <c r="G51" s="1412" t="n">
        <f aca="false">'V_DATOS PAC_SGA'!AN46</f>
        <v>0</v>
      </c>
      <c r="H51" s="1413" t="str">
        <f aca="false">IF(B51&gt;0,VLOOKUP(B51,'O_MN, PE_UTA_UGM 2024'!E$3:O$419,10),"")</f>
        <v/>
      </c>
      <c r="I51" s="1359" t="str">
        <f aca="false">IF('V_DATOS PAC_SGA'!BV46="IV",'V_DATOS PAC_SGA'!BV46,"")</f>
        <v/>
      </c>
      <c r="J51" s="2" t="str">
        <f aca="false">IF($A51&gt;0,IF(AND(J$4=$G51,J$6=$F51),$D51*J$5,""),"")</f>
        <v/>
      </c>
      <c r="K51" s="2" t="str">
        <f aca="false">IF($A51&gt;0,IF(AND(K$4=$G51,K$6=$F51),$D51*K$5,""),"")</f>
        <v/>
      </c>
      <c r="L51" s="2" t="str">
        <f aca="false">IF($A51&gt;0,IF(AND(L$4=$G51,L$6=$F51),$D51*L$5,""),"")</f>
        <v/>
      </c>
      <c r="M51" s="2" t="str">
        <f aca="false">IF($A51&gt;0,IF(AND(M$4=$G51,M$6=$F51),$D51*M$5,""),"")</f>
        <v/>
      </c>
      <c r="N51" s="1506" t="n">
        <f aca="false">VLOOKUP(B51,'O_MN, PE_UTA_UGM 2024'!$E$2:$K$419,IF(G51&gt;1,6,7))</f>
        <v>0</v>
      </c>
      <c r="O51" s="1434" t="str">
        <f aca="false">IF($H51=O$4,$D51*$N51,"")</f>
        <v/>
      </c>
      <c r="P51" s="1435" t="str">
        <f aca="false">IF($H51=P$4,$D51*$N51,"")</f>
        <v/>
      </c>
      <c r="Q51" s="1435" t="str">
        <f aca="false">IF($H51=Q$4,$D51*$N51,"")</f>
        <v/>
      </c>
      <c r="R51" s="1435" t="str">
        <f aca="false">IF($H51=R$4,$D51*$N51,"")</f>
        <v/>
      </c>
      <c r="S51" s="1435" t="str">
        <f aca="false">IF($H51=S$4,$D51*$N51,"")</f>
        <v/>
      </c>
      <c r="T51" s="1435" t="str">
        <f aca="false">IF($H51=T$4,$D51*$N51,"")</f>
        <v/>
      </c>
      <c r="U51" s="1436" t="str">
        <f aca="false">IF($H51=U$4,$D51*$N51,"")</f>
        <v/>
      </c>
      <c r="V51" s="1418"/>
      <c r="W51" s="1419"/>
      <c r="X51" s="1419"/>
      <c r="Y51" s="1419"/>
      <c r="Z51" s="1419"/>
      <c r="AA51" s="1419"/>
      <c r="AB51" s="1420"/>
      <c r="AC51" s="1319"/>
      <c r="AD51" s="2" t="str">
        <f aca="false">IF(AND(AD$4=$G51,AD$6=$F51),$B51,"")</f>
        <v/>
      </c>
      <c r="AE51" s="2" t="str">
        <f aca="false">IF(AND(AE$4=$G51,AE$6=$F51),$B51,"")</f>
        <v/>
      </c>
      <c r="AF51" s="2" t="str">
        <f aca="false">IF(AND(AF$4=$G51,AF$6=$F51),$B51,"")</f>
        <v/>
      </c>
      <c r="AG51" s="2" t="str">
        <f aca="false">IF(AND(AG$4=$G51,AG$6=$F51),$B51,"")</f>
        <v/>
      </c>
      <c r="AI51" s="366"/>
      <c r="AL51" s="367"/>
      <c r="AO51" s="367"/>
      <c r="AP51" s="2" t="str">
        <f aca="false">IF(AT51&gt;0,RANK(AT51,AT$7:AT$423),"")</f>
        <v/>
      </c>
      <c r="AQ51" s="2" t="n">
        <f aca="false">'O_MN, PE_UTA_UGM 2024'!C47</f>
        <v>84</v>
      </c>
      <c r="AR51" s="1421" t="n">
        <v>800</v>
      </c>
      <c r="AS51" s="2" t="str">
        <f aca="false">IF(AY51&lt;&gt;"",AY51,"")</f>
        <v/>
      </c>
      <c r="AT51" s="1422" t="n">
        <f aca="false">IF(ISNUMBER($AR51),SUMIF(B$7:B$505,AR51,D$7:D$505),"")</f>
        <v>0</v>
      </c>
      <c r="AU51" s="1411" t="n">
        <f aca="false">IF(ISNUMBER($AR51),SUMIF(AD$7:AD$503,$AR51,J$7:J$503),"")</f>
        <v>0</v>
      </c>
      <c r="AV51" s="1411" t="n">
        <f aca="false">IF(ISNUMBER($AR51),SUMIF(AF$7:AF$503,$AR51,L$7:L$503),"")</f>
        <v>0</v>
      </c>
      <c r="AW51" s="1423" t="n">
        <f aca="false">IF(ISNUMBER($AR51),SUMIF(AE$7:AE$503,$AR51,K$7:K$503),"")</f>
        <v>0</v>
      </c>
      <c r="AX51" s="1423" t="n">
        <f aca="false">IF(ISNUMBER($AR51),SUMIF(AG$7:AG$503,$AR51,M$7:M$503),"")</f>
        <v>0</v>
      </c>
      <c r="AY51" s="2" t="str">
        <f aca="false">IF($AT51&gt;0,VLOOKUP($AR51,'O_MN, PE_UTA_UGM 2024'!E47:O463,2),"")</f>
        <v/>
      </c>
      <c r="AZ51" s="1507"/>
      <c r="BA51" s="1507"/>
      <c r="BB51" s="1507" t="str">
        <f aca="false">IF($AT51&gt;0,VLOOKUP($AR51,'O_MN, PE_UTA_UGM 2024'!$E$3:$O$419,BB$6),"")</f>
        <v/>
      </c>
      <c r="BC51" s="1507" t="str">
        <f aca="false">IF($AT51&gt;0,VLOOKUP($AR51,'O_MN, PE_UTA_UGM 2024'!$E$3:$O$419,BC$6),"")</f>
        <v/>
      </c>
      <c r="BD51" s="1507" t="str">
        <f aca="false">IF($AT51&gt;0,VLOOKUP($AR51,'O_MN, PE_UTA_UGM 2024'!$E$3:$O$419,BD$6),"")</f>
        <v/>
      </c>
      <c r="BE51" s="1507" t="str">
        <f aca="false">IF($AT51&gt;0,VLOOKUP($AR51,'O_MN, PE_UTA_UGM 2024'!$E$3:$O$419,BE$6),"")</f>
        <v/>
      </c>
      <c r="BF51" s="1507" t="str">
        <f aca="false">IF($AT51&gt;0,VLOOKUP($AR51,'O_MN, PE_UTA_UGM 2024'!$E$3:$O$419,BF$6),"")</f>
        <v/>
      </c>
      <c r="BG51" s="1507" t="str">
        <f aca="false">IF($AT51&gt;0,VLOOKUP($AR51,'O_MN, PE_UTA_UGM 2024'!$E$3:$O$419,BG$6),"")</f>
        <v/>
      </c>
      <c r="BH51" s="1504"/>
      <c r="BI51" s="1504"/>
      <c r="BJ51" s="1504"/>
      <c r="BK51" s="1504"/>
      <c r="BM51" s="1411"/>
      <c r="BN51" s="1411"/>
      <c r="BO51" s="1425" t="str">
        <f aca="false">IF(ISNUMBER($AU51*BB51*1),$AU51*BB51*1,"")</f>
        <v/>
      </c>
      <c r="BP51" s="1425" t="str">
        <f aca="false">IF(ISNUMBER($AV51*BC51*1),$AV51*BC51*1,"")</f>
        <v/>
      </c>
      <c r="BQ51" s="1425" t="str">
        <f aca="false">IF(ISNUMBER($AU51*BD51*1),$AU51*BD51*1,"")</f>
        <v/>
      </c>
      <c r="BR51" s="1425" t="str">
        <f aca="false">IF(ISNUMBER($AV51*BE51*1),$AV51*BE51*1,"")</f>
        <v/>
      </c>
      <c r="BS51" s="1411" t="str">
        <f aca="false">IF(ISNUMBER($AU51*BF51),$AU51*BF51,"")</f>
        <v/>
      </c>
      <c r="BT51" s="1411" t="str">
        <f aca="false">IF(ISNUMBER($AV51*BG51),$AV51*BG51,"")</f>
        <v/>
      </c>
      <c r="BU51" s="1411"/>
      <c r="BV51" s="1411"/>
      <c r="BW51" s="1411"/>
      <c r="BX51" s="1411"/>
      <c r="BZ51" s="1372"/>
      <c r="CA51" s="1372"/>
      <c r="CB51" s="1426" t="str">
        <f aca="false">IF(ISNUMBER($AW51*BB51),$AW51*BB51,"")</f>
        <v/>
      </c>
      <c r="CC51" s="1426" t="str">
        <f aca="false">IF(ISNUMBER($AX51*BC51),$AX51*BC51,"")</f>
        <v/>
      </c>
      <c r="CD51" s="1426" t="str">
        <f aca="false">IF(ISNUMBER($AW51*BD51),$AW51*BD51,"")</f>
        <v/>
      </c>
      <c r="CE51" s="1426" t="str">
        <f aca="false">IF(ISNUMBER($AX51*BE51),$AX51*BE51,"")</f>
        <v/>
      </c>
      <c r="CF51" s="1372" t="str">
        <f aca="false">IF(ISNUMBER($AW51*BF51),$AW51*BF51,"")</f>
        <v/>
      </c>
      <c r="CG51" s="1372" t="str">
        <f aca="false">IF(ISNUMBER($AX51*BG51),$AX51*BG51,"")</f>
        <v/>
      </c>
      <c r="CH51" s="1438"/>
      <c r="CI51" s="1438"/>
      <c r="CJ51" s="1438"/>
      <c r="CK51" s="1438"/>
      <c r="CU51" s="1411"/>
      <c r="CV51" s="1411"/>
      <c r="CW51" s="1425"/>
      <c r="CX51" s="1425"/>
      <c r="CY51" s="1425"/>
      <c r="CZ51" s="1425"/>
      <c r="DA51" s="1411"/>
      <c r="DB51" s="1411"/>
      <c r="DC51" s="1411"/>
      <c r="DD51" s="1411"/>
      <c r="DE51" s="1411"/>
      <c r="DF51" s="1411"/>
      <c r="DH51" s="1432"/>
      <c r="DI51" s="1432"/>
      <c r="DJ51" s="1437"/>
      <c r="DK51" s="1437"/>
      <c r="DL51" s="1437"/>
      <c r="DM51" s="1437"/>
      <c r="DN51" s="1432"/>
      <c r="DO51" s="1432"/>
      <c r="DP51" s="1432"/>
      <c r="DQ51" s="1432"/>
      <c r="DR51" s="1432"/>
      <c r="DS51" s="1432"/>
      <c r="DT51" s="1316"/>
      <c r="DU51" s="1433"/>
      <c r="DV51" s="1433"/>
      <c r="DW51" s="1433"/>
      <c r="DX51" s="1433"/>
      <c r="DY51" s="1433"/>
      <c r="DZ51" s="1433"/>
      <c r="EA51" s="1433"/>
      <c r="EB51" s="1433"/>
    </row>
    <row r="52" customFormat="false" ht="14.25" hidden="false" customHeight="false" outlineLevel="0" collapsed="false">
      <c r="A52" s="2" t="n">
        <f aca="false">'V_DATOS PAC_SGA'!CC47</f>
        <v>0</v>
      </c>
      <c r="B52" s="2" t="n">
        <f aca="false">IF(OR(A52=0,A52=""),0,IF(I52="IV",CONCATENATE('V_DATOS PAC_SGA'!CC47,"4")+0,CONCATENATE('V_DATOS PAC_SGA'!CC47,"0")+0))</f>
        <v>0</v>
      </c>
      <c r="C52" s="2" t="n">
        <f aca="false">'V_DATOS PAC_SGA'!CD47</f>
        <v>0</v>
      </c>
      <c r="D52" s="1409" t="n">
        <f aca="false">'V_DATOS PAC_SGA'!Y47</f>
        <v>0</v>
      </c>
      <c r="E52" s="1410" t="str">
        <f aca="false">IF('V_DATOS PAC_SGA'!AV47="","Regadio",'V_DATOS PAC_SGA'!AV47)</f>
        <v>Regadio</v>
      </c>
      <c r="F52" s="1411" t="n">
        <f aca="false">'V_DATOS PAC_SGA'!BK47</f>
        <v>0</v>
      </c>
      <c r="G52" s="1412" t="n">
        <f aca="false">'V_DATOS PAC_SGA'!AN47</f>
        <v>0</v>
      </c>
      <c r="H52" s="1413" t="str">
        <f aca="false">IF(B52&gt;0,VLOOKUP(B52,'O_MN, PE_UTA_UGM 2024'!E$3:O$419,10),"")</f>
        <v/>
      </c>
      <c r="I52" s="1359" t="str">
        <f aca="false">IF('V_DATOS PAC_SGA'!BV47="IV",'V_DATOS PAC_SGA'!BV47,"")</f>
        <v/>
      </c>
      <c r="J52" s="2" t="str">
        <f aca="false">IF($A52&gt;0,IF(AND(J$4=$G52,J$6=$F52),$D52*J$5,""),"")</f>
        <v/>
      </c>
      <c r="K52" s="2" t="str">
        <f aca="false">IF($A52&gt;0,IF(AND(K$4=$G52,K$6=$F52),$D52*K$5,""),"")</f>
        <v/>
      </c>
      <c r="L52" s="2" t="str">
        <f aca="false">IF($A52&gt;0,IF(AND(L$4=$G52,L$6=$F52),$D52*L$5,""),"")</f>
        <v/>
      </c>
      <c r="M52" s="2" t="str">
        <f aca="false">IF($A52&gt;0,IF(AND(M$4=$G52,M$6=$F52),$D52*M$5,""),"")</f>
        <v/>
      </c>
      <c r="N52" s="1506" t="n">
        <f aca="false">VLOOKUP(B52,'O_MN, PE_UTA_UGM 2024'!$E$2:$K$419,IF(G52&gt;1,6,7))</f>
        <v>0</v>
      </c>
      <c r="O52" s="1434" t="str">
        <f aca="false">IF($H52=O$4,$D52*$N52,"")</f>
        <v/>
      </c>
      <c r="P52" s="1435" t="str">
        <f aca="false">IF($H52=P$4,$D52*$N52,"")</f>
        <v/>
      </c>
      <c r="Q52" s="1435" t="str">
        <f aca="false">IF($H52=Q$4,$D52*$N52,"")</f>
        <v/>
      </c>
      <c r="R52" s="1435" t="str">
        <f aca="false">IF($H52=R$4,$D52*$N52,"")</f>
        <v/>
      </c>
      <c r="S52" s="1435" t="str">
        <f aca="false">IF($H52=S$4,$D52*$N52,"")</f>
        <v/>
      </c>
      <c r="T52" s="1435" t="str">
        <f aca="false">IF($H52=T$4,$D52*$N52,"")</f>
        <v/>
      </c>
      <c r="U52" s="1436" t="str">
        <f aca="false">IF($H52=U$4,$D52*$N52,"")</f>
        <v/>
      </c>
      <c r="V52" s="1418"/>
      <c r="W52" s="1419"/>
      <c r="X52" s="1419"/>
      <c r="Y52" s="1419"/>
      <c r="Z52" s="1419"/>
      <c r="AA52" s="1419"/>
      <c r="AB52" s="1420"/>
      <c r="AC52" s="1319"/>
      <c r="AD52" s="2" t="str">
        <f aca="false">IF(AND(AD$4=$G52,AD$6=$F52),$B52,"")</f>
        <v/>
      </c>
      <c r="AE52" s="2" t="str">
        <f aca="false">IF(AND(AE$4=$G52,AE$6=$F52),$B52,"")</f>
        <v/>
      </c>
      <c r="AF52" s="2" t="str">
        <f aca="false">IF(AND(AF$4=$G52,AF$6=$F52),$B52,"")</f>
        <v/>
      </c>
      <c r="AG52" s="2" t="str">
        <f aca="false">IF(AND(AG$4=$G52,AG$6=$F52),$B52,"")</f>
        <v/>
      </c>
      <c r="AI52" s="366"/>
      <c r="AL52" s="367"/>
      <c r="AO52" s="367"/>
      <c r="AP52" s="2" t="str">
        <f aca="false">IF(AT52&gt;0,RANK(AT52,AT$7:AT$423),"")</f>
        <v/>
      </c>
      <c r="AQ52" s="2" t="n">
        <f aca="false">'O_MN, PE_UTA_UGM 2024'!C48</f>
        <v>85</v>
      </c>
      <c r="AR52" s="1421" t="n">
        <v>820</v>
      </c>
      <c r="AS52" s="2" t="str">
        <f aca="false">IF(AY52&lt;&gt;"",AY52,"")</f>
        <v/>
      </c>
      <c r="AT52" s="1422" t="n">
        <f aca="false">IF(ISNUMBER($AR52),SUMIF(B$7:B$505,AR52,D$7:D$505),"")</f>
        <v>0</v>
      </c>
      <c r="AU52" s="1411" t="n">
        <f aca="false">IF(ISNUMBER($AR52),SUMIF(AD$7:AD$503,$AR52,J$7:J$503),"")</f>
        <v>0</v>
      </c>
      <c r="AV52" s="1411" t="n">
        <f aca="false">IF(ISNUMBER($AR52),SUMIF(AF$7:AF$503,$AR52,L$7:L$503),"")</f>
        <v>0</v>
      </c>
      <c r="AW52" s="1423" t="n">
        <f aca="false">IF(ISNUMBER($AR52),SUMIF(AE$7:AE$503,$AR52,K$7:K$503),"")</f>
        <v>0</v>
      </c>
      <c r="AX52" s="1423" t="n">
        <f aca="false">IF(ISNUMBER($AR52),SUMIF(AG$7:AG$503,$AR52,M$7:M$503),"")</f>
        <v>0</v>
      </c>
      <c r="AY52" s="2" t="str">
        <f aca="false">IF($AT52&gt;0,VLOOKUP($AR52,'O_MN, PE_UTA_UGM 2024'!E48:O464,2),"")</f>
        <v/>
      </c>
      <c r="AZ52" s="1507"/>
      <c r="BA52" s="1507"/>
      <c r="BB52" s="1507" t="str">
        <f aca="false">IF($AT52&gt;0,VLOOKUP($AR52,'O_MN, PE_UTA_UGM 2024'!$E$3:$O$419,BB$6),"")</f>
        <v/>
      </c>
      <c r="BC52" s="1507" t="str">
        <f aca="false">IF($AT52&gt;0,VLOOKUP($AR52,'O_MN, PE_UTA_UGM 2024'!$E$3:$O$419,BC$6),"")</f>
        <v/>
      </c>
      <c r="BD52" s="1507" t="str">
        <f aca="false">IF($AT52&gt;0,VLOOKUP($AR52,'O_MN, PE_UTA_UGM 2024'!$E$3:$O$419,BD$6),"")</f>
        <v/>
      </c>
      <c r="BE52" s="1507" t="str">
        <f aca="false">IF($AT52&gt;0,VLOOKUP($AR52,'O_MN, PE_UTA_UGM 2024'!$E$3:$O$419,BE$6),"")</f>
        <v/>
      </c>
      <c r="BF52" s="1507" t="str">
        <f aca="false">IF($AT52&gt;0,VLOOKUP($AR52,'O_MN, PE_UTA_UGM 2024'!$E$3:$O$419,BF$6),"")</f>
        <v/>
      </c>
      <c r="BG52" s="1507" t="str">
        <f aca="false">IF($AT52&gt;0,VLOOKUP($AR52,'O_MN, PE_UTA_UGM 2024'!$E$3:$O$419,BG$6),"")</f>
        <v/>
      </c>
      <c r="BH52" s="1504"/>
      <c r="BI52" s="1504"/>
      <c r="BJ52" s="1504"/>
      <c r="BK52" s="1504"/>
      <c r="BM52" s="1411"/>
      <c r="BN52" s="1411"/>
      <c r="BO52" s="1425" t="str">
        <f aca="false">IF(ISNUMBER($AU52*BB52*1),$AU52*BB52*1,"")</f>
        <v/>
      </c>
      <c r="BP52" s="1425" t="str">
        <f aca="false">IF(ISNUMBER($AV52*BC52*1),$AV52*BC52*1,"")</f>
        <v/>
      </c>
      <c r="BQ52" s="1425" t="str">
        <f aca="false">IF(ISNUMBER($AU52*BD52*1),$AU52*BD52*1,"")</f>
        <v/>
      </c>
      <c r="BR52" s="1425" t="str">
        <f aca="false">IF(ISNUMBER($AV52*BE52*1),$AV52*BE52*1,"")</f>
        <v/>
      </c>
      <c r="BS52" s="1411" t="str">
        <f aca="false">IF(ISNUMBER($AU52*BF52),$AU52*BF52,"")</f>
        <v/>
      </c>
      <c r="BT52" s="1411" t="str">
        <f aca="false">IF(ISNUMBER($AV52*BG52),$AV52*BG52,"")</f>
        <v/>
      </c>
      <c r="BU52" s="1411"/>
      <c r="BV52" s="1411"/>
      <c r="BW52" s="1411"/>
      <c r="BX52" s="1411"/>
      <c r="BZ52" s="1372"/>
      <c r="CA52" s="1372"/>
      <c r="CB52" s="1426" t="str">
        <f aca="false">IF(ISNUMBER($AW52*BB52),$AW52*BB52,"")</f>
        <v/>
      </c>
      <c r="CC52" s="1426" t="str">
        <f aca="false">IF(ISNUMBER($AX52*BC52),$AX52*BC52,"")</f>
        <v/>
      </c>
      <c r="CD52" s="1426" t="str">
        <f aca="false">IF(ISNUMBER($AW52*BD52),$AW52*BD52,"")</f>
        <v/>
      </c>
      <c r="CE52" s="1426" t="str">
        <f aca="false">IF(ISNUMBER($AX52*BE52),$AX52*BE52,"")</f>
        <v/>
      </c>
      <c r="CF52" s="1372" t="str">
        <f aca="false">IF(ISNUMBER($AW52*BF52),$AW52*BF52,"")</f>
        <v/>
      </c>
      <c r="CG52" s="1372" t="str">
        <f aca="false">IF(ISNUMBER($AX52*BG52),$AX52*BG52,"")</f>
        <v/>
      </c>
      <c r="CH52" s="1438"/>
      <c r="CI52" s="1438"/>
      <c r="CJ52" s="1438"/>
      <c r="CK52" s="1438"/>
      <c r="CU52" s="1411"/>
      <c r="CV52" s="1411"/>
      <c r="CW52" s="1425"/>
      <c r="CX52" s="1425"/>
      <c r="CY52" s="1425"/>
      <c r="CZ52" s="1425"/>
      <c r="DA52" s="1411"/>
      <c r="DB52" s="1411"/>
      <c r="DC52" s="1411"/>
      <c r="DD52" s="1411"/>
      <c r="DE52" s="1411"/>
      <c r="DF52" s="1411"/>
      <c r="DH52" s="1432"/>
      <c r="DI52" s="1432"/>
      <c r="DJ52" s="1437"/>
      <c r="DK52" s="1437"/>
      <c r="DL52" s="1437"/>
      <c r="DM52" s="1437"/>
      <c r="DN52" s="1432"/>
      <c r="DO52" s="1432"/>
      <c r="DP52" s="1432"/>
      <c r="DQ52" s="1432"/>
      <c r="DR52" s="1432"/>
      <c r="DS52" s="1432"/>
      <c r="DT52" s="1316"/>
      <c r="DU52" s="1433"/>
      <c r="DV52" s="1433"/>
      <c r="DW52" s="1433"/>
      <c r="DX52" s="1433"/>
      <c r="DY52" s="1433"/>
      <c r="DZ52" s="1433"/>
      <c r="EA52" s="1433"/>
      <c r="EB52" s="1433"/>
    </row>
    <row r="53" customFormat="false" ht="14.25" hidden="false" customHeight="false" outlineLevel="0" collapsed="false">
      <c r="A53" s="2" t="n">
        <f aca="false">'V_DATOS PAC_SGA'!CC48</f>
        <v>0</v>
      </c>
      <c r="B53" s="2" t="n">
        <f aca="false">IF(OR(A53=0,A53=""),0,IF(I53="IV",CONCATENATE('V_DATOS PAC_SGA'!CC48,"4")+0,CONCATENATE('V_DATOS PAC_SGA'!CC48,"0")+0))</f>
        <v>0</v>
      </c>
      <c r="C53" s="2" t="n">
        <f aca="false">'V_DATOS PAC_SGA'!CD48</f>
        <v>0</v>
      </c>
      <c r="D53" s="1409" t="n">
        <f aca="false">'V_DATOS PAC_SGA'!Y48</f>
        <v>0</v>
      </c>
      <c r="E53" s="1410" t="str">
        <f aca="false">IF('V_DATOS PAC_SGA'!AV48="","Regadio",'V_DATOS PAC_SGA'!AV48)</f>
        <v>Regadio</v>
      </c>
      <c r="F53" s="1411" t="n">
        <f aca="false">'V_DATOS PAC_SGA'!BK48</f>
        <v>0</v>
      </c>
      <c r="G53" s="1412" t="n">
        <f aca="false">'V_DATOS PAC_SGA'!AN48</f>
        <v>0</v>
      </c>
      <c r="H53" s="1413" t="str">
        <f aca="false">IF(B53&gt;0,VLOOKUP(B53,'O_MN, PE_UTA_UGM 2024'!E$3:O$419,10),"")</f>
        <v/>
      </c>
      <c r="I53" s="1359" t="str">
        <f aca="false">IF('V_DATOS PAC_SGA'!BV48="IV",'V_DATOS PAC_SGA'!BV48,"")</f>
        <v/>
      </c>
      <c r="J53" s="2" t="str">
        <f aca="false">IF($A53&gt;0,IF(AND(J$4=$G53,J$6=$F53),$D53*J$5,""),"")</f>
        <v/>
      </c>
      <c r="K53" s="2" t="str">
        <f aca="false">IF($A53&gt;0,IF(AND(K$4=$G53,K$6=$F53),$D53*K$5,""),"")</f>
        <v/>
      </c>
      <c r="L53" s="2" t="str">
        <f aca="false">IF($A53&gt;0,IF(AND(L$4=$G53,L$6=$F53),$D53*L$5,""),"")</f>
        <v/>
      </c>
      <c r="M53" s="2" t="str">
        <f aca="false">IF($A53&gt;0,IF(AND(M$4=$G53,M$6=$F53),$D53*M$5,""),"")</f>
        <v/>
      </c>
      <c r="N53" s="1506" t="n">
        <f aca="false">VLOOKUP(B53,'O_MN, PE_UTA_UGM 2024'!$E$2:$K$419,IF(G53&gt;1,6,7))</f>
        <v>0</v>
      </c>
      <c r="O53" s="1434" t="str">
        <f aca="false">IF($H53=O$4,$D53*$N53,"")</f>
        <v/>
      </c>
      <c r="P53" s="1435" t="str">
        <f aca="false">IF($H53=P$4,$D53*$N53,"")</f>
        <v/>
      </c>
      <c r="Q53" s="1435" t="str">
        <f aca="false">IF($H53=Q$4,$D53*$N53,"")</f>
        <v/>
      </c>
      <c r="R53" s="1435" t="str">
        <f aca="false">IF($H53=R$4,$D53*$N53,"")</f>
        <v/>
      </c>
      <c r="S53" s="1435" t="str">
        <f aca="false">IF($H53=S$4,$D53*$N53,"")</f>
        <v/>
      </c>
      <c r="T53" s="1435" t="str">
        <f aca="false">IF($H53=T$4,$D53*$N53,"")</f>
        <v/>
      </c>
      <c r="U53" s="1436" t="str">
        <f aca="false">IF($H53=U$4,$D53*$N53,"")</f>
        <v/>
      </c>
      <c r="V53" s="1418"/>
      <c r="W53" s="1419"/>
      <c r="X53" s="1419"/>
      <c r="Y53" s="1419"/>
      <c r="Z53" s="1419"/>
      <c r="AA53" s="1419"/>
      <c r="AB53" s="1420"/>
      <c r="AC53" s="1319"/>
      <c r="AD53" s="2" t="str">
        <f aca="false">IF(AND(AD$4=$G53,AD$6=$F53),$B53,"")</f>
        <v/>
      </c>
      <c r="AE53" s="2" t="str">
        <f aca="false">IF(AND(AE$4=$G53,AE$6=$F53),$B53,"")</f>
        <v/>
      </c>
      <c r="AF53" s="2" t="str">
        <f aca="false">IF(AND(AF$4=$G53,AF$6=$F53),$B53,"")</f>
        <v/>
      </c>
      <c r="AG53" s="2" t="str">
        <f aca="false">IF(AND(AG$4=$G53,AG$6=$F53),$B53,"")</f>
        <v/>
      </c>
      <c r="AI53" s="366"/>
      <c r="AL53" s="367"/>
      <c r="AO53" s="367"/>
      <c r="AP53" s="2" t="str">
        <f aca="false">IF(AT53&gt;0,RANK(AT53,AT$7:AT$423),"")</f>
        <v/>
      </c>
      <c r="AQ53" s="2" t="n">
        <f aca="false">'O_MN, PE_UTA_UGM 2024'!C49</f>
        <v>86</v>
      </c>
      <c r="AR53" s="1421" t="n">
        <v>840</v>
      </c>
      <c r="AS53" s="2" t="str">
        <f aca="false">IF(AY53&lt;&gt;"",AY53,"")</f>
        <v/>
      </c>
      <c r="AT53" s="1422" t="n">
        <f aca="false">IF(ISNUMBER($AR53),SUMIF(B$7:B$505,AR53,D$7:D$505),"")</f>
        <v>0</v>
      </c>
      <c r="AU53" s="1411" t="n">
        <f aca="false">IF(ISNUMBER($AR53),SUMIF(AD$7:AD$503,$AR53,J$7:J$503),"")</f>
        <v>0</v>
      </c>
      <c r="AV53" s="1411" t="n">
        <f aca="false">IF(ISNUMBER($AR53),SUMIF(AF$7:AF$503,$AR53,L$7:L$503),"")</f>
        <v>0</v>
      </c>
      <c r="AW53" s="1423" t="n">
        <f aca="false">IF(ISNUMBER($AR53),SUMIF(AE$7:AE$503,$AR53,K$7:K$503),"")</f>
        <v>0</v>
      </c>
      <c r="AX53" s="1423" t="n">
        <f aca="false">IF(ISNUMBER($AR53),SUMIF(AG$7:AG$503,$AR53,M$7:M$503),"")</f>
        <v>0</v>
      </c>
      <c r="AY53" s="2" t="str">
        <f aca="false">IF($AT53&gt;0,VLOOKUP($AR53,'O_MN, PE_UTA_UGM 2024'!E49:O465,2),"")</f>
        <v/>
      </c>
      <c r="AZ53" s="1507"/>
      <c r="BA53" s="1507"/>
      <c r="BB53" s="1507" t="str">
        <f aca="false">IF($AT53&gt;0,VLOOKUP($AR53,'O_MN, PE_UTA_UGM 2024'!$E$3:$O$419,BB$6),"")</f>
        <v/>
      </c>
      <c r="BC53" s="1507" t="str">
        <f aca="false">IF($AT53&gt;0,VLOOKUP($AR53,'O_MN, PE_UTA_UGM 2024'!$E$3:$O$419,BC$6),"")</f>
        <v/>
      </c>
      <c r="BD53" s="1507" t="str">
        <f aca="false">IF($AT53&gt;0,VLOOKUP($AR53,'O_MN, PE_UTA_UGM 2024'!$E$3:$O$419,BD$6),"")</f>
        <v/>
      </c>
      <c r="BE53" s="1507" t="str">
        <f aca="false">IF($AT53&gt;0,VLOOKUP($AR53,'O_MN, PE_UTA_UGM 2024'!$E$3:$O$419,BE$6),"")</f>
        <v/>
      </c>
      <c r="BF53" s="1507" t="str">
        <f aca="false">IF($AT53&gt;0,VLOOKUP($AR53,'O_MN, PE_UTA_UGM 2024'!$E$3:$O$419,BF$6),"")</f>
        <v/>
      </c>
      <c r="BG53" s="1507" t="str">
        <f aca="false">IF($AT53&gt;0,VLOOKUP($AR53,'O_MN, PE_UTA_UGM 2024'!$E$3:$O$419,BG$6),"")</f>
        <v/>
      </c>
      <c r="BH53" s="1504"/>
      <c r="BI53" s="1504"/>
      <c r="BJ53" s="1504"/>
      <c r="BK53" s="1504"/>
      <c r="BM53" s="1411"/>
      <c r="BN53" s="1411"/>
      <c r="BO53" s="1425" t="str">
        <f aca="false">IF(ISNUMBER($AU53*BB53*1),$AU53*BB53*1,"")</f>
        <v/>
      </c>
      <c r="BP53" s="1425" t="str">
        <f aca="false">IF(ISNUMBER($AV53*BC53*1),$AV53*BC53*1,"")</f>
        <v/>
      </c>
      <c r="BQ53" s="1425" t="str">
        <f aca="false">IF(ISNUMBER($AU53*BD53*1),$AU53*BD53*1,"")</f>
        <v/>
      </c>
      <c r="BR53" s="1425" t="str">
        <f aca="false">IF(ISNUMBER($AV53*BE53*1),$AV53*BE53*1,"")</f>
        <v/>
      </c>
      <c r="BS53" s="1411" t="str">
        <f aca="false">IF(ISNUMBER($AU53*BF53),$AU53*BF53,"")</f>
        <v/>
      </c>
      <c r="BT53" s="1411" t="str">
        <f aca="false">IF(ISNUMBER($AV53*BG53),$AV53*BG53,"")</f>
        <v/>
      </c>
      <c r="BU53" s="1411"/>
      <c r="BV53" s="1411"/>
      <c r="BW53" s="1411"/>
      <c r="BX53" s="1411"/>
      <c r="BZ53" s="1372"/>
      <c r="CA53" s="1372"/>
      <c r="CB53" s="1426" t="str">
        <f aca="false">IF(ISNUMBER($AW53*BB53),$AW53*BB53,"")</f>
        <v/>
      </c>
      <c r="CC53" s="1426" t="str">
        <f aca="false">IF(ISNUMBER($AX53*BC53),$AX53*BC53,"")</f>
        <v/>
      </c>
      <c r="CD53" s="1426" t="str">
        <f aca="false">IF(ISNUMBER($AW53*BD53),$AW53*BD53,"")</f>
        <v/>
      </c>
      <c r="CE53" s="1426" t="str">
        <f aca="false">IF(ISNUMBER($AX53*BE53),$AX53*BE53,"")</f>
        <v/>
      </c>
      <c r="CF53" s="1372" t="str">
        <f aca="false">IF(ISNUMBER($AW53*BF53),$AW53*BF53,"")</f>
        <v/>
      </c>
      <c r="CG53" s="1372" t="str">
        <f aca="false">IF(ISNUMBER($AX53*BG53),$AX53*BG53,"")</f>
        <v/>
      </c>
      <c r="CH53" s="1438"/>
      <c r="CI53" s="1438"/>
      <c r="CJ53" s="1438"/>
      <c r="CK53" s="1438"/>
      <c r="CU53" s="1411"/>
      <c r="CV53" s="1411"/>
      <c r="CW53" s="1425"/>
      <c r="CX53" s="1425"/>
      <c r="CY53" s="1425"/>
      <c r="CZ53" s="1425"/>
      <c r="DA53" s="1411"/>
      <c r="DB53" s="1411"/>
      <c r="DC53" s="1411"/>
      <c r="DD53" s="1411"/>
      <c r="DE53" s="1411"/>
      <c r="DF53" s="1411"/>
      <c r="DH53" s="1432"/>
      <c r="DI53" s="1432"/>
      <c r="DJ53" s="1437"/>
      <c r="DK53" s="1437"/>
      <c r="DL53" s="1437"/>
      <c r="DM53" s="1437"/>
      <c r="DN53" s="1432"/>
      <c r="DO53" s="1432"/>
      <c r="DP53" s="1432"/>
      <c r="DQ53" s="1432"/>
      <c r="DR53" s="1432"/>
      <c r="DS53" s="1432"/>
      <c r="DT53" s="1316"/>
      <c r="DU53" s="1433"/>
      <c r="DV53" s="1433"/>
      <c r="DW53" s="1433"/>
      <c r="DX53" s="1433"/>
      <c r="DY53" s="1433"/>
      <c r="DZ53" s="1433"/>
      <c r="EA53" s="1433"/>
      <c r="EB53" s="1433"/>
    </row>
    <row r="54" customFormat="false" ht="14.25" hidden="false" customHeight="false" outlineLevel="0" collapsed="false">
      <c r="A54" s="2" t="n">
        <f aca="false">'V_DATOS PAC_SGA'!CC49</f>
        <v>0</v>
      </c>
      <c r="B54" s="2" t="n">
        <f aca="false">IF(OR(A54=0,A54=""),0,IF(I54="IV",CONCATENATE('V_DATOS PAC_SGA'!CC49,"4")+0,CONCATENATE('V_DATOS PAC_SGA'!CC49,"0")+0))</f>
        <v>0</v>
      </c>
      <c r="C54" s="2" t="n">
        <f aca="false">'V_DATOS PAC_SGA'!CD49</f>
        <v>0</v>
      </c>
      <c r="D54" s="1409" t="n">
        <f aca="false">'V_DATOS PAC_SGA'!Y49</f>
        <v>0</v>
      </c>
      <c r="E54" s="1410" t="str">
        <f aca="false">IF('V_DATOS PAC_SGA'!AV49="","Regadio",'V_DATOS PAC_SGA'!AV49)</f>
        <v>Regadio</v>
      </c>
      <c r="F54" s="1411" t="n">
        <f aca="false">'V_DATOS PAC_SGA'!BK49</f>
        <v>0</v>
      </c>
      <c r="G54" s="1412" t="n">
        <f aca="false">'V_DATOS PAC_SGA'!AN49</f>
        <v>0</v>
      </c>
      <c r="H54" s="1413" t="str">
        <f aca="false">IF(B54&gt;0,VLOOKUP(B54,'O_MN, PE_UTA_UGM 2024'!E$3:O$419,10),"")</f>
        <v/>
      </c>
      <c r="I54" s="1359" t="str">
        <f aca="false">IF('V_DATOS PAC_SGA'!BV49="IV",'V_DATOS PAC_SGA'!BV49,"")</f>
        <v/>
      </c>
      <c r="J54" s="2" t="str">
        <f aca="false">IF($A54&gt;0,IF(AND(J$4=$G54,J$6=$F54),$D54*J$5,""),"")</f>
        <v/>
      </c>
      <c r="K54" s="2" t="str">
        <f aca="false">IF($A54&gt;0,IF(AND(K$4=$G54,K$6=$F54),$D54*K$5,""),"")</f>
        <v/>
      </c>
      <c r="L54" s="2" t="str">
        <f aca="false">IF($A54&gt;0,IF(AND(L$4=$G54,L$6=$F54),$D54*L$5,""),"")</f>
        <v/>
      </c>
      <c r="M54" s="2" t="str">
        <f aca="false">IF($A54&gt;0,IF(AND(M$4=$G54,M$6=$F54),$D54*M$5,""),"")</f>
        <v/>
      </c>
      <c r="N54" s="1506" t="n">
        <f aca="false">VLOOKUP(B54,'O_MN, PE_UTA_UGM 2024'!$E$2:$K$419,IF(G54&gt;1,6,7))</f>
        <v>0</v>
      </c>
      <c r="O54" s="1434" t="str">
        <f aca="false">IF($H54=O$4,$D54*$N54,"")</f>
        <v/>
      </c>
      <c r="P54" s="1435" t="str">
        <f aca="false">IF($H54=P$4,$D54*$N54,"")</f>
        <v/>
      </c>
      <c r="Q54" s="1435" t="str">
        <f aca="false">IF($H54=Q$4,$D54*$N54,"")</f>
        <v/>
      </c>
      <c r="R54" s="1435" t="str">
        <f aca="false">IF($H54=R$4,$D54*$N54,"")</f>
        <v/>
      </c>
      <c r="S54" s="1435" t="str">
        <f aca="false">IF($H54=S$4,$D54*$N54,"")</f>
        <v/>
      </c>
      <c r="T54" s="1435" t="str">
        <f aca="false">IF($H54=T$4,$D54*$N54,"")</f>
        <v/>
      </c>
      <c r="U54" s="1436" t="str">
        <f aca="false">IF($H54=U$4,$D54*$N54,"")</f>
        <v/>
      </c>
      <c r="V54" s="1418"/>
      <c r="W54" s="1419"/>
      <c r="X54" s="1419"/>
      <c r="Y54" s="1419"/>
      <c r="Z54" s="1419"/>
      <c r="AA54" s="1419"/>
      <c r="AB54" s="1420"/>
      <c r="AC54" s="1319"/>
      <c r="AD54" s="2" t="str">
        <f aca="false">IF(AND(AD$4=$G54,AD$6=$F54),$B54,"")</f>
        <v/>
      </c>
      <c r="AE54" s="2" t="str">
        <f aca="false">IF(AND(AE$4=$G54,AE$6=$F54),$B54,"")</f>
        <v/>
      </c>
      <c r="AF54" s="2" t="str">
        <f aca="false">IF(AND(AF$4=$G54,AF$6=$F54),$B54,"")</f>
        <v/>
      </c>
      <c r="AG54" s="2" t="str">
        <f aca="false">IF(AND(AG$4=$G54,AG$6=$F54),$B54,"")</f>
        <v/>
      </c>
      <c r="AI54" s="366"/>
      <c r="AL54" s="367"/>
      <c r="AO54" s="367"/>
      <c r="AP54" s="2" t="str">
        <f aca="false">IF(AT54&gt;0,RANK(AT54,AT$7:AT$423),"")</f>
        <v/>
      </c>
      <c r="AQ54" s="2" t="n">
        <f aca="false">'O_MN, PE_UTA_UGM 2024'!C50</f>
        <v>87</v>
      </c>
      <c r="AR54" s="1421" t="n">
        <v>850</v>
      </c>
      <c r="AS54" s="2" t="str">
        <f aca="false">IF(AY54&lt;&gt;"",AY54,"")</f>
        <v/>
      </c>
      <c r="AT54" s="1422" t="n">
        <f aca="false">IF(ISNUMBER($AR54),SUMIF(B$7:B$505,AR54,D$7:D$505),"")</f>
        <v>0</v>
      </c>
      <c r="AU54" s="1411" t="n">
        <f aca="false">IF(ISNUMBER($AR54),SUMIF(AD$7:AD$503,$AR54,J$7:J$503),"")</f>
        <v>0</v>
      </c>
      <c r="AV54" s="1411" t="n">
        <f aca="false">IF(ISNUMBER($AR54),SUMIF(AF$7:AF$503,$AR54,L$7:L$503),"")</f>
        <v>0</v>
      </c>
      <c r="AW54" s="1423" t="n">
        <f aca="false">IF(ISNUMBER($AR54),SUMIF(AE$7:AE$503,$AR54,K$7:K$503),"")</f>
        <v>0</v>
      </c>
      <c r="AX54" s="1423" t="n">
        <f aca="false">IF(ISNUMBER($AR54),SUMIF(AG$7:AG$503,$AR54,M$7:M$503),"")</f>
        <v>0</v>
      </c>
      <c r="AY54" s="2" t="str">
        <f aca="false">IF($AT54&gt;0,VLOOKUP($AR54,'O_MN, PE_UTA_UGM 2024'!E50:O466,2),"")</f>
        <v/>
      </c>
      <c r="AZ54" s="1507"/>
      <c r="BA54" s="1507"/>
      <c r="BB54" s="1507" t="str">
        <f aca="false">IF($AT54&gt;0,VLOOKUP($AR54,'O_MN, PE_UTA_UGM 2024'!$E$3:$O$419,BB$6),"")</f>
        <v/>
      </c>
      <c r="BC54" s="1507" t="str">
        <f aca="false">IF($AT54&gt;0,VLOOKUP($AR54,'O_MN, PE_UTA_UGM 2024'!$E$3:$O$419,BC$6),"")</f>
        <v/>
      </c>
      <c r="BD54" s="1507" t="str">
        <f aca="false">IF($AT54&gt;0,VLOOKUP($AR54,'O_MN, PE_UTA_UGM 2024'!$E$3:$O$419,BD$6),"")</f>
        <v/>
      </c>
      <c r="BE54" s="1507" t="str">
        <f aca="false">IF($AT54&gt;0,VLOOKUP($AR54,'O_MN, PE_UTA_UGM 2024'!$E$3:$O$419,BE$6),"")</f>
        <v/>
      </c>
      <c r="BF54" s="1507" t="str">
        <f aca="false">IF($AT54&gt;0,VLOOKUP($AR54,'O_MN, PE_UTA_UGM 2024'!$E$3:$O$419,BF$6),"")</f>
        <v/>
      </c>
      <c r="BG54" s="1507" t="str">
        <f aca="false">IF($AT54&gt;0,VLOOKUP($AR54,'O_MN, PE_UTA_UGM 2024'!$E$3:$O$419,BG$6),"")</f>
        <v/>
      </c>
      <c r="BH54" s="1504"/>
      <c r="BI54" s="1504"/>
      <c r="BJ54" s="1504"/>
      <c r="BK54" s="1504"/>
      <c r="BM54" s="1411"/>
      <c r="BN54" s="1411"/>
      <c r="BO54" s="1425" t="str">
        <f aca="false">IF(ISNUMBER($AU54*BB54*1),$AU54*BB54*1,"")</f>
        <v/>
      </c>
      <c r="BP54" s="1425" t="str">
        <f aca="false">IF(ISNUMBER($AV54*BC54*1),$AV54*BC54*1,"")</f>
        <v/>
      </c>
      <c r="BQ54" s="1425" t="str">
        <f aca="false">IF(ISNUMBER($AU54*BD54*1),$AU54*BD54*1,"")</f>
        <v/>
      </c>
      <c r="BR54" s="1425" t="str">
        <f aca="false">IF(ISNUMBER($AV54*BE54*1),$AV54*BE54*1,"")</f>
        <v/>
      </c>
      <c r="BS54" s="1411" t="str">
        <f aca="false">IF(ISNUMBER($AU54*BF54),$AU54*BF54,"")</f>
        <v/>
      </c>
      <c r="BT54" s="1411" t="str">
        <f aca="false">IF(ISNUMBER($AV54*BG54),$AV54*BG54,"")</f>
        <v/>
      </c>
      <c r="BU54" s="1411"/>
      <c r="BV54" s="1411"/>
      <c r="BW54" s="1411"/>
      <c r="BX54" s="1411"/>
      <c r="BZ54" s="1372"/>
      <c r="CA54" s="1372"/>
      <c r="CB54" s="1426" t="str">
        <f aca="false">IF(ISNUMBER($AW54*BB54),$AW54*BB54,"")</f>
        <v/>
      </c>
      <c r="CC54" s="1426" t="str">
        <f aca="false">IF(ISNUMBER($AX54*BC54),$AX54*BC54,"")</f>
        <v/>
      </c>
      <c r="CD54" s="1426" t="str">
        <f aca="false">IF(ISNUMBER($AW54*BD54),$AW54*BD54,"")</f>
        <v/>
      </c>
      <c r="CE54" s="1426" t="str">
        <f aca="false">IF(ISNUMBER($AX54*BE54),$AX54*BE54,"")</f>
        <v/>
      </c>
      <c r="CF54" s="1372" t="str">
        <f aca="false">IF(ISNUMBER($AW54*BF54),$AW54*BF54,"")</f>
        <v/>
      </c>
      <c r="CG54" s="1372" t="str">
        <f aca="false">IF(ISNUMBER($AX54*BG54),$AX54*BG54,"")</f>
        <v/>
      </c>
      <c r="CH54" s="1438"/>
      <c r="CI54" s="1438"/>
      <c r="CJ54" s="1438"/>
      <c r="CK54" s="1438"/>
      <c r="CU54" s="1411"/>
      <c r="CV54" s="1411"/>
      <c r="CW54" s="1425"/>
      <c r="CX54" s="1425"/>
      <c r="CY54" s="1425"/>
      <c r="CZ54" s="1425"/>
      <c r="DA54" s="1411"/>
      <c r="DB54" s="1411"/>
      <c r="DC54" s="1411"/>
      <c r="DD54" s="1411"/>
      <c r="DE54" s="1411"/>
      <c r="DF54" s="1411"/>
      <c r="DH54" s="1432"/>
      <c r="DI54" s="1432"/>
      <c r="DJ54" s="1437"/>
      <c r="DK54" s="1437"/>
      <c r="DL54" s="1437"/>
      <c r="DM54" s="1437"/>
      <c r="DN54" s="1432"/>
      <c r="DO54" s="1432"/>
      <c r="DP54" s="1432"/>
      <c r="DQ54" s="1432"/>
      <c r="DR54" s="1432"/>
      <c r="DS54" s="1432"/>
      <c r="DT54" s="1316"/>
      <c r="DU54" s="1433"/>
      <c r="DV54" s="1433"/>
      <c r="DW54" s="1433"/>
      <c r="DX54" s="1433"/>
      <c r="DY54" s="1433"/>
      <c r="DZ54" s="1433"/>
      <c r="EA54" s="1433"/>
      <c r="EB54" s="1433"/>
    </row>
    <row r="55" customFormat="false" ht="14.25" hidden="false" customHeight="false" outlineLevel="0" collapsed="false">
      <c r="A55" s="2" t="n">
        <f aca="false">'V_DATOS PAC_SGA'!CC50</f>
        <v>0</v>
      </c>
      <c r="B55" s="2" t="n">
        <f aca="false">IF(OR(A55=0,A55=""),0,IF(I55="IV",CONCATENATE('V_DATOS PAC_SGA'!CC50,"4")+0,CONCATENATE('V_DATOS PAC_SGA'!CC50,"0")+0))</f>
        <v>0</v>
      </c>
      <c r="C55" s="2" t="n">
        <f aca="false">'V_DATOS PAC_SGA'!CD50</f>
        <v>0</v>
      </c>
      <c r="D55" s="1409" t="n">
        <f aca="false">'V_DATOS PAC_SGA'!Y50</f>
        <v>0</v>
      </c>
      <c r="E55" s="1410" t="str">
        <f aca="false">IF('V_DATOS PAC_SGA'!AV50="","Regadio",'V_DATOS PAC_SGA'!AV50)</f>
        <v>Regadio</v>
      </c>
      <c r="F55" s="1411" t="n">
        <f aca="false">'V_DATOS PAC_SGA'!BK50</f>
        <v>0</v>
      </c>
      <c r="G55" s="1412" t="n">
        <f aca="false">'V_DATOS PAC_SGA'!AN50</f>
        <v>0</v>
      </c>
      <c r="H55" s="1413" t="str">
        <f aca="false">IF(B55&gt;0,VLOOKUP(B55,'O_MN, PE_UTA_UGM 2024'!E$3:O$419,10),"")</f>
        <v/>
      </c>
      <c r="I55" s="1359" t="str">
        <f aca="false">IF('V_DATOS PAC_SGA'!BV50="IV",'V_DATOS PAC_SGA'!BV50,"")</f>
        <v/>
      </c>
      <c r="J55" s="2" t="str">
        <f aca="false">IF($A55&gt;0,IF(AND(J$4=$G55,J$6=$F55),$D55*J$5,""),"")</f>
        <v/>
      </c>
      <c r="K55" s="2" t="str">
        <f aca="false">IF($A55&gt;0,IF(AND(K$4=$G55,K$6=$F55),$D55*K$5,""),"")</f>
        <v/>
      </c>
      <c r="L55" s="2" t="str">
        <f aca="false">IF($A55&gt;0,IF(AND(L$4=$G55,L$6=$F55),$D55*L$5,""),"")</f>
        <v/>
      </c>
      <c r="M55" s="2" t="str">
        <f aca="false">IF($A55&gt;0,IF(AND(M$4=$G55,M$6=$F55),$D55*M$5,""),"")</f>
        <v/>
      </c>
      <c r="N55" s="1506" t="n">
        <f aca="false">VLOOKUP(B55,'O_MN, PE_UTA_UGM 2024'!$E$2:$K$419,IF(G55&gt;1,6,7))</f>
        <v>0</v>
      </c>
      <c r="O55" s="1434" t="str">
        <f aca="false">IF($H55=O$4,$D55*$N55,"")</f>
        <v/>
      </c>
      <c r="P55" s="1435" t="str">
        <f aca="false">IF($H55=P$4,$D55*$N55,"")</f>
        <v/>
      </c>
      <c r="Q55" s="1435" t="str">
        <f aca="false">IF($H55=Q$4,$D55*$N55,"")</f>
        <v/>
      </c>
      <c r="R55" s="1435" t="str">
        <f aca="false">IF($H55=R$4,$D55*$N55,"")</f>
        <v/>
      </c>
      <c r="S55" s="1435" t="str">
        <f aca="false">IF($H55=S$4,$D55*$N55,"")</f>
        <v/>
      </c>
      <c r="T55" s="1435" t="str">
        <f aca="false">IF($H55=T$4,$D55*$N55,"")</f>
        <v/>
      </c>
      <c r="U55" s="1436" t="str">
        <f aca="false">IF($H55=U$4,$D55*$N55,"")</f>
        <v/>
      </c>
      <c r="V55" s="1418"/>
      <c r="W55" s="1419"/>
      <c r="X55" s="1419"/>
      <c r="Y55" s="1419"/>
      <c r="Z55" s="1419"/>
      <c r="AA55" s="1419"/>
      <c r="AB55" s="1420"/>
      <c r="AC55" s="1319"/>
      <c r="AD55" s="2" t="str">
        <f aca="false">IF(AND(AD$4=$G55,AD$6=$F55),$B55,"")</f>
        <v/>
      </c>
      <c r="AE55" s="2" t="str">
        <f aca="false">IF(AND(AE$4=$G55,AE$6=$F55),$B55,"")</f>
        <v/>
      </c>
      <c r="AF55" s="2" t="str">
        <f aca="false">IF(AND(AF$4=$G55,AF$6=$F55),$B55,"")</f>
        <v/>
      </c>
      <c r="AG55" s="2" t="str">
        <f aca="false">IF(AND(AG$4=$G55,AG$6=$F55),$B55,"")</f>
        <v/>
      </c>
      <c r="AI55" s="366"/>
      <c r="AL55" s="367"/>
      <c r="AO55" s="367"/>
      <c r="AP55" s="2" t="str">
        <f aca="false">IF(AT55&gt;0,RANK(AT55,AT$7:AT$423),"")</f>
        <v/>
      </c>
      <c r="AQ55" s="2" t="n">
        <f aca="false">'O_MN, PE_UTA_UGM 2024'!C51</f>
        <v>88</v>
      </c>
      <c r="AR55" s="1421" t="n">
        <v>860</v>
      </c>
      <c r="AS55" s="2" t="str">
        <f aca="false">IF(AY55&lt;&gt;"",AY55,"")</f>
        <v/>
      </c>
      <c r="AT55" s="1422" t="n">
        <f aca="false">IF(ISNUMBER($AR55),SUMIF(B$7:B$505,AR55,D$7:D$505),"")</f>
        <v>0</v>
      </c>
      <c r="AU55" s="1411" t="n">
        <f aca="false">IF(ISNUMBER($AR55),SUMIF(AD$7:AD$503,$AR55,J$7:J$503),"")</f>
        <v>0</v>
      </c>
      <c r="AV55" s="1411" t="n">
        <f aca="false">IF(ISNUMBER($AR55),SUMIF(AF$7:AF$503,$AR55,L$7:L$503),"")</f>
        <v>0</v>
      </c>
      <c r="AW55" s="1423" t="n">
        <f aca="false">IF(ISNUMBER($AR55),SUMIF(AE$7:AE$503,$AR55,K$7:K$503),"")</f>
        <v>0</v>
      </c>
      <c r="AX55" s="1423" t="n">
        <f aca="false">IF(ISNUMBER($AR55),SUMIF(AG$7:AG$503,$AR55,M$7:M$503),"")</f>
        <v>0</v>
      </c>
      <c r="AY55" s="2" t="str">
        <f aca="false">IF($AT55&gt;0,VLOOKUP($AR55,'O_MN, PE_UTA_UGM 2024'!E51:O467,2),"")</f>
        <v/>
      </c>
      <c r="AZ55" s="1507"/>
      <c r="BA55" s="1507"/>
      <c r="BB55" s="1507" t="str">
        <f aca="false">IF($AT55&gt;0,VLOOKUP($AR55,'O_MN, PE_UTA_UGM 2024'!$E$3:$O$419,BB$6),"")</f>
        <v/>
      </c>
      <c r="BC55" s="1507" t="str">
        <f aca="false">IF($AT55&gt;0,VLOOKUP($AR55,'O_MN, PE_UTA_UGM 2024'!$E$3:$O$419,BC$6),"")</f>
        <v/>
      </c>
      <c r="BD55" s="1507" t="str">
        <f aca="false">IF($AT55&gt;0,VLOOKUP($AR55,'O_MN, PE_UTA_UGM 2024'!$E$3:$O$419,BD$6),"")</f>
        <v/>
      </c>
      <c r="BE55" s="1507" t="str">
        <f aca="false">IF($AT55&gt;0,VLOOKUP($AR55,'O_MN, PE_UTA_UGM 2024'!$E$3:$O$419,BE$6),"")</f>
        <v/>
      </c>
      <c r="BF55" s="1507" t="str">
        <f aca="false">IF($AT55&gt;0,VLOOKUP($AR55,'O_MN, PE_UTA_UGM 2024'!$E$3:$O$419,BF$6),"")</f>
        <v/>
      </c>
      <c r="BG55" s="1507" t="str">
        <f aca="false">IF($AT55&gt;0,VLOOKUP($AR55,'O_MN, PE_UTA_UGM 2024'!$E$3:$O$419,BG$6),"")</f>
        <v/>
      </c>
      <c r="BH55" s="1504"/>
      <c r="BI55" s="1504"/>
      <c r="BJ55" s="1504"/>
      <c r="BK55" s="1504"/>
      <c r="BM55" s="1411"/>
      <c r="BN55" s="1411"/>
      <c r="BO55" s="1425" t="str">
        <f aca="false">IF(ISNUMBER($AU55*BB55*1),$AU55*BB55*1,"")</f>
        <v/>
      </c>
      <c r="BP55" s="1425" t="str">
        <f aca="false">IF(ISNUMBER($AV55*BC55*1),$AV55*BC55*1,"")</f>
        <v/>
      </c>
      <c r="BQ55" s="1425" t="str">
        <f aca="false">IF(ISNUMBER($AU55*BD55*1),$AU55*BD55*1,"")</f>
        <v/>
      </c>
      <c r="BR55" s="1425" t="str">
        <f aca="false">IF(ISNUMBER($AV55*BE55*1),$AV55*BE55*1,"")</f>
        <v/>
      </c>
      <c r="BS55" s="1411" t="str">
        <f aca="false">IF(ISNUMBER($AU55*BF55),$AU55*BF55,"")</f>
        <v/>
      </c>
      <c r="BT55" s="1411" t="str">
        <f aca="false">IF(ISNUMBER($AV55*BG55),$AV55*BG55,"")</f>
        <v/>
      </c>
      <c r="BU55" s="1411"/>
      <c r="BV55" s="1411"/>
      <c r="BW55" s="1411"/>
      <c r="BX55" s="1411"/>
      <c r="BZ55" s="1372"/>
      <c r="CA55" s="1372"/>
      <c r="CB55" s="1426" t="str">
        <f aca="false">IF(ISNUMBER($AW55*BB55),$AW55*BB55,"")</f>
        <v/>
      </c>
      <c r="CC55" s="1426" t="str">
        <f aca="false">IF(ISNUMBER($AX55*BC55),$AX55*BC55,"")</f>
        <v/>
      </c>
      <c r="CD55" s="1426" t="str">
        <f aca="false">IF(ISNUMBER($AW55*BD55),$AW55*BD55,"")</f>
        <v/>
      </c>
      <c r="CE55" s="1426" t="str">
        <f aca="false">IF(ISNUMBER($AX55*BE55),$AX55*BE55,"")</f>
        <v/>
      </c>
      <c r="CF55" s="1372" t="str">
        <f aca="false">IF(ISNUMBER($AW55*BF55),$AW55*BF55,"")</f>
        <v/>
      </c>
      <c r="CG55" s="1372" t="str">
        <f aca="false">IF(ISNUMBER($AX55*BG55),$AX55*BG55,"")</f>
        <v/>
      </c>
      <c r="CH55" s="1438"/>
      <c r="CI55" s="1438"/>
      <c r="CJ55" s="1438"/>
      <c r="CK55" s="1438"/>
      <c r="CU55" s="1411"/>
      <c r="CV55" s="1411"/>
      <c r="CW55" s="1425"/>
      <c r="CX55" s="1425"/>
      <c r="CY55" s="1425"/>
      <c r="CZ55" s="1425"/>
      <c r="DA55" s="1411"/>
      <c r="DB55" s="1411"/>
      <c r="DC55" s="1411"/>
      <c r="DD55" s="1411"/>
      <c r="DE55" s="1411"/>
      <c r="DF55" s="1411"/>
      <c r="DH55" s="1432"/>
      <c r="DI55" s="1432"/>
      <c r="DJ55" s="1437"/>
      <c r="DK55" s="1437"/>
      <c r="DL55" s="1437"/>
      <c r="DM55" s="1437"/>
      <c r="DN55" s="1432"/>
      <c r="DO55" s="1432"/>
      <c r="DP55" s="1432"/>
      <c r="DQ55" s="1432"/>
      <c r="DR55" s="1432"/>
      <c r="DS55" s="1432"/>
      <c r="DT55" s="1316"/>
      <c r="DU55" s="1433"/>
      <c r="DV55" s="1433"/>
      <c r="DW55" s="1433"/>
      <c r="DX55" s="1433"/>
      <c r="DY55" s="1433"/>
      <c r="DZ55" s="1433"/>
      <c r="EA55" s="1433"/>
      <c r="EB55" s="1433"/>
    </row>
    <row r="56" customFormat="false" ht="14.25" hidden="false" customHeight="false" outlineLevel="0" collapsed="false">
      <c r="A56" s="2" t="n">
        <f aca="false">'V_DATOS PAC_SGA'!CC51</f>
        <v>0</v>
      </c>
      <c r="B56" s="2" t="n">
        <f aca="false">IF(OR(A56=0,A56=""),0,IF(I56="IV",CONCATENATE('V_DATOS PAC_SGA'!CC51,"4")+0,CONCATENATE('V_DATOS PAC_SGA'!CC51,"0")+0))</f>
        <v>0</v>
      </c>
      <c r="C56" s="2" t="n">
        <f aca="false">'V_DATOS PAC_SGA'!CD51</f>
        <v>0</v>
      </c>
      <c r="D56" s="1409" t="n">
        <f aca="false">'V_DATOS PAC_SGA'!Y51</f>
        <v>0</v>
      </c>
      <c r="E56" s="1410" t="str">
        <f aca="false">IF('V_DATOS PAC_SGA'!AV51="","Regadio",'V_DATOS PAC_SGA'!AV51)</f>
        <v>Regadio</v>
      </c>
      <c r="F56" s="1411" t="n">
        <f aca="false">'V_DATOS PAC_SGA'!BK51</f>
        <v>0</v>
      </c>
      <c r="G56" s="1412" t="n">
        <f aca="false">'V_DATOS PAC_SGA'!AN51</f>
        <v>0</v>
      </c>
      <c r="H56" s="1413" t="str">
        <f aca="false">IF(B56&gt;0,VLOOKUP(B56,'O_MN, PE_UTA_UGM 2024'!E$3:O$419,10),"")</f>
        <v/>
      </c>
      <c r="I56" s="1359" t="str">
        <f aca="false">IF('V_DATOS PAC_SGA'!BV51="IV",'V_DATOS PAC_SGA'!BV51,"")</f>
        <v/>
      </c>
      <c r="J56" s="2" t="str">
        <f aca="false">IF($A56&gt;0,IF(AND(J$4=$G56,J$6=$F56),$D56*J$5,""),"")</f>
        <v/>
      </c>
      <c r="K56" s="2" t="str">
        <f aca="false">IF($A56&gt;0,IF(AND(K$4=$G56,K$6=$F56),$D56*K$5,""),"")</f>
        <v/>
      </c>
      <c r="L56" s="2" t="str">
        <f aca="false">IF($A56&gt;0,IF(AND(L$4=$G56,L$6=$F56),$D56*L$5,""),"")</f>
        <v/>
      </c>
      <c r="M56" s="2" t="str">
        <f aca="false">IF($A56&gt;0,IF(AND(M$4=$G56,M$6=$F56),$D56*M$5,""),"")</f>
        <v/>
      </c>
      <c r="N56" s="1506" t="n">
        <f aca="false">VLOOKUP(B56,'O_MN, PE_UTA_UGM 2024'!$E$2:$K$419,IF(G56&gt;1,6,7))</f>
        <v>0</v>
      </c>
      <c r="O56" s="1434" t="str">
        <f aca="false">IF($H56=O$4,$D56*$N56,"")</f>
        <v/>
      </c>
      <c r="P56" s="1435" t="str">
        <f aca="false">IF($H56=P$4,$D56*$N56,"")</f>
        <v/>
      </c>
      <c r="Q56" s="1435" t="str">
        <f aca="false">IF($H56=Q$4,$D56*$N56,"")</f>
        <v/>
      </c>
      <c r="R56" s="1435" t="str">
        <f aca="false">IF($H56=R$4,$D56*$N56,"")</f>
        <v/>
      </c>
      <c r="S56" s="1435" t="str">
        <f aca="false">IF($H56=S$4,$D56*$N56,"")</f>
        <v/>
      </c>
      <c r="T56" s="1435" t="str">
        <f aca="false">IF($H56=T$4,$D56*$N56,"")</f>
        <v/>
      </c>
      <c r="U56" s="1436" t="str">
        <f aca="false">IF($H56=U$4,$D56*$N56,"")</f>
        <v/>
      </c>
      <c r="V56" s="1418"/>
      <c r="W56" s="1419"/>
      <c r="X56" s="1419"/>
      <c r="Y56" s="1419"/>
      <c r="Z56" s="1419"/>
      <c r="AA56" s="1419"/>
      <c r="AB56" s="1420"/>
      <c r="AC56" s="1319"/>
      <c r="AD56" s="2" t="str">
        <f aca="false">IF(AND(AD$4=$G56,AD$6=$F56),$B56,"")</f>
        <v/>
      </c>
      <c r="AE56" s="2" t="str">
        <f aca="false">IF(AND(AE$4=$G56,AE$6=$F56),$B56,"")</f>
        <v/>
      </c>
      <c r="AF56" s="2" t="str">
        <f aca="false">IF(AND(AF$4=$G56,AF$6=$F56),$B56,"")</f>
        <v/>
      </c>
      <c r="AG56" s="2" t="str">
        <f aca="false">IF(AND(AG$4=$G56,AG$6=$F56),$B56,"")</f>
        <v/>
      </c>
      <c r="AI56" s="366"/>
      <c r="AL56" s="367"/>
      <c r="AO56" s="367"/>
      <c r="AP56" s="2" t="str">
        <f aca="false">IF(AT56&gt;0,RANK(AT56,AT$7:AT$423),"")</f>
        <v/>
      </c>
      <c r="AQ56" s="2" t="n">
        <f aca="false">'O_MN, PE_UTA_UGM 2024'!C52</f>
        <v>90</v>
      </c>
      <c r="AR56" s="1421" t="n">
        <v>870</v>
      </c>
      <c r="AS56" s="2" t="str">
        <f aca="false">IF(AY56&lt;&gt;"",AY56,"")</f>
        <v/>
      </c>
      <c r="AT56" s="1422" t="n">
        <f aca="false">IF(ISNUMBER($AR56),SUMIF(B$7:B$505,AR56,D$7:D$505),"")</f>
        <v>0</v>
      </c>
      <c r="AU56" s="1439" t="n">
        <f aca="false">IF(ISNUMBER($AR56),SUMIF(AD$7:AD$503,$AR56,J$7:J$503),"")</f>
        <v>0</v>
      </c>
      <c r="AV56" s="1439" t="n">
        <f aca="false">IF(ISNUMBER($AR56),SUMIF(AF$7:AF$503,$AR56,L$7:L$503),"")</f>
        <v>0</v>
      </c>
      <c r="AW56" s="1440" t="n">
        <f aca="false">IF(ISNUMBER($AR56),SUMIF(AE$7:AE$503,$AR56,K$7:K$503),"")</f>
        <v>0</v>
      </c>
      <c r="AX56" s="1440" t="n">
        <f aca="false">IF(ISNUMBER($AR56),SUMIF(AG$7:AG$503,$AR56,M$7:M$503),"")</f>
        <v>0</v>
      </c>
      <c r="AY56" s="2" t="str">
        <f aca="false">IF($AT56&gt;0,VLOOKUP($AR56,'O_MN, PE_UTA_UGM 2024'!E52:O468,2),"")</f>
        <v/>
      </c>
      <c r="AZ56" s="1507"/>
      <c r="BA56" s="1507"/>
      <c r="BB56" s="1507" t="str">
        <f aca="false">IF($AT56&gt;0,VLOOKUP($AR56,'O_MN, PE_UTA_UGM 2024'!$E$3:$O$419,BB$6),"")</f>
        <v/>
      </c>
      <c r="BC56" s="1507" t="str">
        <f aca="false">IF($AT56&gt;0,VLOOKUP($AR56,'O_MN, PE_UTA_UGM 2024'!$E$3:$O$419,BC$6),"")</f>
        <v/>
      </c>
      <c r="BD56" s="1507" t="str">
        <f aca="false">IF($AT56&gt;0,VLOOKUP($AR56,'O_MN, PE_UTA_UGM 2024'!$E$3:$O$419,BD$6),"")</f>
        <v/>
      </c>
      <c r="BE56" s="1507" t="str">
        <f aca="false">IF($AT56&gt;0,VLOOKUP($AR56,'O_MN, PE_UTA_UGM 2024'!$E$3:$O$419,BE$6),"")</f>
        <v/>
      </c>
      <c r="BF56" s="1507" t="str">
        <f aca="false">IF($AT56&gt;0,VLOOKUP($AR56,'O_MN, PE_UTA_UGM 2024'!$E$3:$O$419,BF$6),"")</f>
        <v/>
      </c>
      <c r="BG56" s="1507" t="str">
        <f aca="false">IF($AT56&gt;0,VLOOKUP($AR56,'O_MN, PE_UTA_UGM 2024'!$E$3:$O$419,BG$6),"")</f>
        <v/>
      </c>
      <c r="BH56" s="1504"/>
      <c r="BI56" s="1504"/>
      <c r="BJ56" s="1504"/>
      <c r="BK56" s="1504"/>
      <c r="BL56" s="1441"/>
      <c r="BM56" s="1439"/>
      <c r="BN56" s="1439"/>
      <c r="BO56" s="1442" t="str">
        <f aca="false">IF(ISNUMBER($AU56*BB56*1),$AU56*BB56*1,"")</f>
        <v/>
      </c>
      <c r="BP56" s="1442" t="str">
        <f aca="false">IF(ISNUMBER($AV56*BC56*1),$AV56*BC56*1,"")</f>
        <v/>
      </c>
      <c r="BQ56" s="1442" t="str">
        <f aca="false">IF(ISNUMBER($AU56*BD56*1),$AU56*BD56*1,"")</f>
        <v/>
      </c>
      <c r="BR56" s="1442" t="str">
        <f aca="false">IF(ISNUMBER($AV56*BE56*1),$AV56*BE56*1,"")</f>
        <v/>
      </c>
      <c r="BS56" s="1439" t="str">
        <f aca="false">IF(ISNUMBER($AU56*BF56),$AU56*BF56,"")</f>
        <v/>
      </c>
      <c r="BT56" s="1439" t="str">
        <f aca="false">IF(ISNUMBER($AV56*BG56),$AV56*BG56,"")</f>
        <v/>
      </c>
      <c r="BU56" s="1439"/>
      <c r="BV56" s="1439"/>
      <c r="BW56" s="1439"/>
      <c r="BX56" s="1439"/>
      <c r="BY56" s="1441"/>
      <c r="BZ56" s="1443"/>
      <c r="CA56" s="1443"/>
      <c r="CB56" s="1444" t="str">
        <f aca="false">IF(ISNUMBER($AW56*BB56),$AW56*BB56,"")</f>
        <v/>
      </c>
      <c r="CC56" s="1444" t="str">
        <f aca="false">IF(ISNUMBER($AX56*BC56),$AX56*BC56,"")</f>
        <v/>
      </c>
      <c r="CD56" s="1444" t="str">
        <f aca="false">IF(ISNUMBER($AW56*BD56),$AW56*BD56,"")</f>
        <v/>
      </c>
      <c r="CE56" s="1444" t="str">
        <f aca="false">IF(ISNUMBER($AX56*BE56),$AX56*BE56,"")</f>
        <v/>
      </c>
      <c r="CF56" s="1443" t="str">
        <f aca="false">IF(ISNUMBER($AW56*BF56),$AW56*BF56,"")</f>
        <v/>
      </c>
      <c r="CG56" s="1443" t="str">
        <f aca="false">IF(ISNUMBER($AX56*BG56),$AX56*BG56,"")</f>
        <v/>
      </c>
      <c r="CH56" s="1438"/>
      <c r="CI56" s="1438"/>
      <c r="CJ56" s="1438"/>
      <c r="CK56" s="1438"/>
      <c r="CU56" s="1411"/>
      <c r="CV56" s="1411"/>
      <c r="CW56" s="1425"/>
      <c r="CX56" s="1425"/>
      <c r="CY56" s="1425"/>
      <c r="CZ56" s="1425"/>
      <c r="DA56" s="1411"/>
      <c r="DB56" s="1411"/>
      <c r="DC56" s="1411"/>
      <c r="DD56" s="1411"/>
      <c r="DE56" s="1411"/>
      <c r="DF56" s="1411"/>
      <c r="DH56" s="1432"/>
      <c r="DI56" s="1432"/>
      <c r="DJ56" s="1437"/>
      <c r="DK56" s="1437"/>
      <c r="DL56" s="1437"/>
      <c r="DM56" s="1437"/>
      <c r="DN56" s="1432"/>
      <c r="DO56" s="1432"/>
      <c r="DP56" s="1432"/>
      <c r="DQ56" s="1432"/>
      <c r="DR56" s="1432"/>
      <c r="DS56" s="1432"/>
      <c r="DT56" s="1316"/>
      <c r="DU56" s="1433"/>
      <c r="DV56" s="1433"/>
      <c r="DW56" s="1433"/>
      <c r="DX56" s="1433"/>
      <c r="DY56" s="1433"/>
      <c r="DZ56" s="1433"/>
      <c r="EA56" s="1433"/>
      <c r="EB56" s="1433"/>
    </row>
    <row r="57" customFormat="false" ht="14.25" hidden="false" customHeight="false" outlineLevel="0" collapsed="false">
      <c r="A57" s="2" t="n">
        <f aca="false">'V_DATOS PAC_SGA'!CC52</f>
        <v>0</v>
      </c>
      <c r="B57" s="2" t="n">
        <f aca="false">IF(OR(A57=0,A57=""),0,IF(I57="IV",CONCATENATE('V_DATOS PAC_SGA'!CC52,"4")+0,CONCATENATE('V_DATOS PAC_SGA'!CC52,"0")+0))</f>
        <v>0</v>
      </c>
      <c r="C57" s="2" t="n">
        <f aca="false">'V_DATOS PAC_SGA'!CD52</f>
        <v>0</v>
      </c>
      <c r="D57" s="1409" t="n">
        <f aca="false">'V_DATOS PAC_SGA'!Y52</f>
        <v>0</v>
      </c>
      <c r="E57" s="1410" t="str">
        <f aca="false">IF('V_DATOS PAC_SGA'!AV52="","Regadio",'V_DATOS PAC_SGA'!AV52)</f>
        <v>Regadio</v>
      </c>
      <c r="F57" s="1411" t="n">
        <f aca="false">'V_DATOS PAC_SGA'!BK52</f>
        <v>0</v>
      </c>
      <c r="G57" s="1412" t="n">
        <f aca="false">'V_DATOS PAC_SGA'!AN52</f>
        <v>0</v>
      </c>
      <c r="H57" s="1413" t="str">
        <f aca="false">IF(B57&gt;0,VLOOKUP(B57,'O_MN, PE_UTA_UGM 2024'!E$3:O$419,10),"")</f>
        <v/>
      </c>
      <c r="I57" s="1359" t="str">
        <f aca="false">IF('V_DATOS PAC_SGA'!BV52="IV",'V_DATOS PAC_SGA'!BV52,"")</f>
        <v/>
      </c>
      <c r="J57" s="2" t="str">
        <f aca="false">IF($A57&gt;0,IF(AND(J$4=$G57,J$6=$F57),$D57*J$5,""),"")</f>
        <v/>
      </c>
      <c r="K57" s="2" t="str">
        <f aca="false">IF($A57&gt;0,IF(AND(K$4=$G57,K$6=$F57),$D57*K$5,""),"")</f>
        <v/>
      </c>
      <c r="L57" s="2" t="str">
        <f aca="false">IF($A57&gt;0,IF(AND(L$4=$G57,L$6=$F57),$D57*L$5,""),"")</f>
        <v/>
      </c>
      <c r="M57" s="2" t="str">
        <f aca="false">IF($A57&gt;0,IF(AND(M$4=$G57,M$6=$F57),$D57*M$5,""),"")</f>
        <v/>
      </c>
      <c r="N57" s="1506" t="n">
        <f aca="false">VLOOKUP(B57,'O_MN, PE_UTA_UGM 2024'!$E$2:$K$419,IF(G57&gt;1,6,7))</f>
        <v>0</v>
      </c>
      <c r="O57" s="1434" t="str">
        <f aca="false">IF($H57=O$4,$D57*$N57,"")</f>
        <v/>
      </c>
      <c r="P57" s="1435" t="str">
        <f aca="false">IF($H57=P$4,$D57*$N57,"")</f>
        <v/>
      </c>
      <c r="Q57" s="1435" t="str">
        <f aca="false">IF($H57=Q$4,$D57*$N57,"")</f>
        <v/>
      </c>
      <c r="R57" s="1435" t="str">
        <f aca="false">IF($H57=R$4,$D57*$N57,"")</f>
        <v/>
      </c>
      <c r="S57" s="1435" t="str">
        <f aca="false">IF($H57=S$4,$D57*$N57,"")</f>
        <v/>
      </c>
      <c r="T57" s="1435" t="str">
        <f aca="false">IF($H57=T$4,$D57*$N57,"")</f>
        <v/>
      </c>
      <c r="U57" s="1436" t="str">
        <f aca="false">IF($H57=U$4,$D57*$N57,"")</f>
        <v/>
      </c>
      <c r="V57" s="1418"/>
      <c r="W57" s="1419"/>
      <c r="X57" s="1419"/>
      <c r="Y57" s="1419"/>
      <c r="Z57" s="1419"/>
      <c r="AA57" s="1419"/>
      <c r="AB57" s="1420"/>
      <c r="AC57" s="1319"/>
      <c r="AD57" s="2" t="str">
        <f aca="false">IF(AND(AD$4=$G57,AD$6=$F57),$B57,"")</f>
        <v/>
      </c>
      <c r="AE57" s="2" t="str">
        <f aca="false">IF(AND(AE$4=$G57,AE$6=$F57),$B57,"")</f>
        <v/>
      </c>
      <c r="AF57" s="2" t="str">
        <f aca="false">IF(AND(AF$4=$G57,AF$6=$F57),$B57,"")</f>
        <v/>
      </c>
      <c r="AG57" s="2" t="str">
        <f aca="false">IF(AND(AG$4=$G57,AG$6=$F57),$B57,"")</f>
        <v/>
      </c>
      <c r="AI57" s="366"/>
      <c r="AL57" s="367"/>
      <c r="AO57" s="367"/>
      <c r="AP57" s="2" t="str">
        <f aca="false">IF(AT57&gt;0,RANK(AT57,AT$7:AT$423),"")</f>
        <v/>
      </c>
      <c r="AQ57" s="2" t="n">
        <f aca="false">'O_MN, PE_UTA_UGM 2024'!C53</f>
        <v>92</v>
      </c>
      <c r="AR57" s="1421" t="n">
        <v>880</v>
      </c>
      <c r="AS57" s="2" t="str">
        <f aca="false">IF(AY57&lt;&gt;"",AY57,"")</f>
        <v/>
      </c>
      <c r="AT57" s="1422" t="n">
        <f aca="false">IF(ISNUMBER($AR57),SUMIF(B$7:B$505,AR57,D$7:D$505),"")</f>
        <v>0</v>
      </c>
      <c r="AU57" s="1411" t="n">
        <f aca="false">IF(ISNUMBER($AR57),SUMIF(AD$7:AD$503,$AR57,J$7:J$503),"")</f>
        <v>0</v>
      </c>
      <c r="AV57" s="1411" t="n">
        <f aca="false">IF(ISNUMBER($AR57),SUMIF(AF$7:AF$503,$AR57,L$7:L$503),"")</f>
        <v>0</v>
      </c>
      <c r="AW57" s="1423" t="n">
        <f aca="false">IF(ISNUMBER($AR57),SUMIF(AE$7:AE$503,$AR57,K$7:K$503),"")</f>
        <v>0</v>
      </c>
      <c r="AX57" s="1423" t="n">
        <f aca="false">IF(ISNUMBER($AR57),SUMIF(AG$7:AG$503,$AR57,M$7:M$503),"")</f>
        <v>0</v>
      </c>
      <c r="AY57" s="2" t="str">
        <f aca="false">IF($AT57&gt;0,VLOOKUP($AR57,'O_MN, PE_UTA_UGM 2024'!E53:O469,2),"")</f>
        <v/>
      </c>
      <c r="AZ57" s="1507"/>
      <c r="BA57" s="1507"/>
      <c r="BB57" s="1507" t="str">
        <f aca="false">IF($AT57&gt;0,VLOOKUP($AR57,'O_MN, PE_UTA_UGM 2024'!$E$3:$O$419,BB$6),"")</f>
        <v/>
      </c>
      <c r="BC57" s="1507" t="str">
        <f aca="false">IF($AT57&gt;0,VLOOKUP($AR57,'O_MN, PE_UTA_UGM 2024'!$E$3:$O$419,BC$6),"")</f>
        <v/>
      </c>
      <c r="BD57" s="1507" t="str">
        <f aca="false">IF($AT57&gt;0,VLOOKUP($AR57,'O_MN, PE_UTA_UGM 2024'!$E$3:$O$419,BD$6),"")</f>
        <v/>
      </c>
      <c r="BE57" s="1507" t="str">
        <f aca="false">IF($AT57&gt;0,VLOOKUP($AR57,'O_MN, PE_UTA_UGM 2024'!$E$3:$O$419,BE$6),"")</f>
        <v/>
      </c>
      <c r="BF57" s="1507" t="str">
        <f aca="false">IF($AT57&gt;0,VLOOKUP($AR57,'O_MN, PE_UTA_UGM 2024'!$E$3:$O$419,BF$6),"")</f>
        <v/>
      </c>
      <c r="BG57" s="1507" t="str">
        <f aca="false">IF($AT57&gt;0,VLOOKUP($AR57,'O_MN, PE_UTA_UGM 2024'!$E$3:$O$419,BG$6),"")</f>
        <v/>
      </c>
      <c r="BH57" s="1504"/>
      <c r="BI57" s="1504"/>
      <c r="BJ57" s="1504"/>
      <c r="BK57" s="1504"/>
      <c r="BM57" s="1411"/>
      <c r="BN57" s="1411"/>
      <c r="BO57" s="1425" t="str">
        <f aca="false">IF(ISNUMBER($AU57*BB57*1),$AU57*BB57*1,"")</f>
        <v/>
      </c>
      <c r="BP57" s="1425" t="str">
        <f aca="false">IF(ISNUMBER($AV57*BC57*1),$AV57*BC57*1,"")</f>
        <v/>
      </c>
      <c r="BQ57" s="1425" t="str">
        <f aca="false">IF(ISNUMBER($AU57*BD57*1),$AU57*BD57*1,"")</f>
        <v/>
      </c>
      <c r="BR57" s="1425" t="str">
        <f aca="false">IF(ISNUMBER($AV57*BE57*1),$AV57*BE57*1,"")</f>
        <v/>
      </c>
      <c r="BS57" s="1411" t="str">
        <f aca="false">IF(ISNUMBER($AU57*BF57),$AU57*BF57,"")</f>
        <v/>
      </c>
      <c r="BT57" s="1411" t="str">
        <f aca="false">IF(ISNUMBER($AV57*BG57),$AV57*BG57,"")</f>
        <v/>
      </c>
      <c r="BU57" s="1411"/>
      <c r="BV57" s="1411"/>
      <c r="BW57" s="1411"/>
      <c r="BX57" s="1411"/>
      <c r="BZ57" s="1372"/>
      <c r="CA57" s="1372"/>
      <c r="CB57" s="1426" t="str">
        <f aca="false">IF(ISNUMBER($AW57*BB57),$AW57*BB57,"")</f>
        <v/>
      </c>
      <c r="CC57" s="1426" t="str">
        <f aca="false">IF(ISNUMBER($AX57*BC57),$AX57*BC57,"")</f>
        <v/>
      </c>
      <c r="CD57" s="1426" t="str">
        <f aca="false">IF(ISNUMBER($AW57*BD57),$AW57*BD57,"")</f>
        <v/>
      </c>
      <c r="CE57" s="1426" t="str">
        <f aca="false">IF(ISNUMBER($AX57*BE57),$AX57*BE57,"")</f>
        <v/>
      </c>
      <c r="CF57" s="1372" t="str">
        <f aca="false">IF(ISNUMBER($AW57*BF57),$AW57*BF57,"")</f>
        <v/>
      </c>
      <c r="CG57" s="1372" t="str">
        <f aca="false">IF(ISNUMBER($AX57*BG57),$AX57*BG57,"")</f>
        <v/>
      </c>
      <c r="CH57" s="1438"/>
      <c r="CI57" s="1438"/>
      <c r="CJ57" s="1438"/>
      <c r="CK57" s="1438"/>
      <c r="CU57" s="1411"/>
      <c r="CV57" s="1411"/>
      <c r="CW57" s="1425"/>
      <c r="CX57" s="1425"/>
      <c r="CY57" s="1425"/>
      <c r="CZ57" s="1425"/>
      <c r="DA57" s="1411"/>
      <c r="DB57" s="1411"/>
      <c r="DC57" s="1411"/>
      <c r="DD57" s="1411"/>
      <c r="DE57" s="1411"/>
      <c r="DF57" s="1411"/>
      <c r="DH57" s="1432"/>
      <c r="DI57" s="1432"/>
      <c r="DJ57" s="1437"/>
      <c r="DK57" s="1437"/>
      <c r="DL57" s="1437"/>
      <c r="DM57" s="1437"/>
      <c r="DN57" s="1432"/>
      <c r="DO57" s="1432"/>
      <c r="DP57" s="1432"/>
      <c r="DQ57" s="1432"/>
      <c r="DR57" s="1432"/>
      <c r="DS57" s="1432"/>
      <c r="DT57" s="1316"/>
      <c r="DU57" s="1433"/>
      <c r="DV57" s="1433"/>
      <c r="DW57" s="1433"/>
      <c r="DX57" s="1433"/>
      <c r="DY57" s="1433"/>
      <c r="DZ57" s="1433"/>
      <c r="EA57" s="1433"/>
      <c r="EB57" s="1433"/>
    </row>
    <row r="58" customFormat="false" ht="14.25" hidden="false" customHeight="false" outlineLevel="0" collapsed="false">
      <c r="A58" s="2" t="n">
        <f aca="false">'V_DATOS PAC_SGA'!CC53</f>
        <v>0</v>
      </c>
      <c r="B58" s="2" t="n">
        <f aca="false">IF(OR(A58=0,A58=""),0,IF(I58="IV",CONCATENATE('V_DATOS PAC_SGA'!CC53,"4")+0,CONCATENATE('V_DATOS PAC_SGA'!CC53,"0")+0))</f>
        <v>0</v>
      </c>
      <c r="C58" s="2" t="n">
        <f aca="false">'V_DATOS PAC_SGA'!CD53</f>
        <v>0</v>
      </c>
      <c r="D58" s="1409" t="n">
        <f aca="false">'V_DATOS PAC_SGA'!Y53</f>
        <v>0</v>
      </c>
      <c r="E58" s="1410" t="str">
        <f aca="false">IF('V_DATOS PAC_SGA'!AV53="","Regadio",'V_DATOS PAC_SGA'!AV53)</f>
        <v>Regadio</v>
      </c>
      <c r="F58" s="1411" t="n">
        <f aca="false">'V_DATOS PAC_SGA'!BK53</f>
        <v>0</v>
      </c>
      <c r="G58" s="1412" t="n">
        <f aca="false">'V_DATOS PAC_SGA'!AN53</f>
        <v>0</v>
      </c>
      <c r="H58" s="1413" t="str">
        <f aca="false">IF(B58&gt;0,VLOOKUP(B58,'O_MN, PE_UTA_UGM 2024'!E$3:O$419,10),"")</f>
        <v/>
      </c>
      <c r="I58" s="1359" t="str">
        <f aca="false">IF('V_DATOS PAC_SGA'!BV53="IV",'V_DATOS PAC_SGA'!BV53,"")</f>
        <v/>
      </c>
      <c r="J58" s="2" t="str">
        <f aca="false">IF($A58&gt;0,IF(AND(J$4=$G58,J$6=$F58),$D58*J$5,""),"")</f>
        <v/>
      </c>
      <c r="K58" s="2" t="str">
        <f aca="false">IF($A58&gt;0,IF(AND(K$4=$G58,K$6=$F58),$D58*K$5,""),"")</f>
        <v/>
      </c>
      <c r="L58" s="2" t="str">
        <f aca="false">IF($A58&gt;0,IF(AND(L$4=$G58,L$6=$F58),$D58*L$5,""),"")</f>
        <v/>
      </c>
      <c r="M58" s="2" t="str">
        <f aca="false">IF($A58&gt;0,IF(AND(M$4=$G58,M$6=$F58),$D58*M$5,""),"")</f>
        <v/>
      </c>
      <c r="N58" s="1506" t="n">
        <f aca="false">VLOOKUP(B58,'O_MN, PE_UTA_UGM 2024'!$E$2:$K$419,IF(G58&gt;1,6,7))</f>
        <v>0</v>
      </c>
      <c r="O58" s="1434" t="str">
        <f aca="false">IF($H58=O$4,$D58*$N58,"")</f>
        <v/>
      </c>
      <c r="P58" s="1435" t="str">
        <f aca="false">IF($H58=P$4,$D58*$N58,"")</f>
        <v/>
      </c>
      <c r="Q58" s="1435" t="str">
        <f aca="false">IF($H58=Q$4,$D58*$N58,"")</f>
        <v/>
      </c>
      <c r="R58" s="1435" t="str">
        <f aca="false">IF($H58=R$4,$D58*$N58,"")</f>
        <v/>
      </c>
      <c r="S58" s="1435" t="str">
        <f aca="false">IF($H58=S$4,$D58*$N58,"")</f>
        <v/>
      </c>
      <c r="T58" s="1435" t="str">
        <f aca="false">IF($H58=T$4,$D58*$N58,"")</f>
        <v/>
      </c>
      <c r="U58" s="1436" t="str">
        <f aca="false">IF($H58=U$4,$D58*$N58,"")</f>
        <v/>
      </c>
      <c r="V58" s="1418"/>
      <c r="W58" s="1419"/>
      <c r="X58" s="1419"/>
      <c r="Y58" s="1419"/>
      <c r="Z58" s="1419"/>
      <c r="AA58" s="1419"/>
      <c r="AB58" s="1420"/>
      <c r="AC58" s="1319"/>
      <c r="AD58" s="2" t="str">
        <f aca="false">IF(AND(AD$4=$G58,AD$6=$F58),$B58,"")</f>
        <v/>
      </c>
      <c r="AE58" s="2" t="str">
        <f aca="false">IF(AND(AE$4=$G58,AE$6=$F58),$B58,"")</f>
        <v/>
      </c>
      <c r="AF58" s="2" t="str">
        <f aca="false">IF(AND(AF$4=$G58,AF$6=$F58),$B58,"")</f>
        <v/>
      </c>
      <c r="AG58" s="2" t="str">
        <f aca="false">IF(AND(AG$4=$G58,AG$6=$F58),$B58,"")</f>
        <v/>
      </c>
      <c r="AI58" s="366"/>
      <c r="AL58" s="367"/>
      <c r="AO58" s="367"/>
      <c r="AP58" s="2" t="str">
        <f aca="false">IF(AT58&gt;0,RANK(AT58,AT$7:AT$423),"")</f>
        <v/>
      </c>
      <c r="AQ58" s="2" t="n">
        <f aca="false">'O_MN, PE_UTA_UGM 2024'!C54</f>
        <v>96</v>
      </c>
      <c r="AR58" s="1421" t="n">
        <v>900</v>
      </c>
      <c r="AS58" s="2" t="str">
        <f aca="false">IF(AY58&lt;&gt;"",AY58,"")</f>
        <v/>
      </c>
      <c r="AT58" s="1422" t="n">
        <f aca="false">IF(ISNUMBER($AR58),SUMIF(B$7:B$505,AR58,D$7:D$505),"")</f>
        <v>0</v>
      </c>
      <c r="AU58" s="1411" t="n">
        <f aca="false">IF(ISNUMBER($AR58),SUMIF(AD$7:AD$503,$AR58,J$7:J$503),"")</f>
        <v>0</v>
      </c>
      <c r="AV58" s="1411" t="n">
        <f aca="false">IF(ISNUMBER($AR58),SUMIF(AF$7:AF$503,$AR58,L$7:L$503),"")</f>
        <v>0</v>
      </c>
      <c r="AW58" s="1423" t="n">
        <f aca="false">IF(ISNUMBER($AR58),SUMIF(AE$7:AE$503,$AR58,K$7:K$503),"")</f>
        <v>0</v>
      </c>
      <c r="AX58" s="1423" t="n">
        <f aca="false">IF(ISNUMBER($AR58),SUMIF(AG$7:AG$503,$AR58,M$7:M$503),"")</f>
        <v>0</v>
      </c>
      <c r="AY58" s="2" t="str">
        <f aca="false">IF($AT58&gt;0,VLOOKUP($AR58,'O_MN, PE_UTA_UGM 2024'!E54:O470,2),"")</f>
        <v/>
      </c>
      <c r="AZ58" s="1507"/>
      <c r="BA58" s="1507"/>
      <c r="BB58" s="1507" t="str">
        <f aca="false">IF($AT58&gt;0,VLOOKUP($AR58,'O_MN, PE_UTA_UGM 2024'!$E$3:$O$419,BB$6),"")</f>
        <v/>
      </c>
      <c r="BC58" s="1507" t="str">
        <f aca="false">IF($AT58&gt;0,VLOOKUP($AR58,'O_MN, PE_UTA_UGM 2024'!$E$3:$O$419,BC$6),"")</f>
        <v/>
      </c>
      <c r="BD58" s="1507" t="str">
        <f aca="false">IF($AT58&gt;0,VLOOKUP($AR58,'O_MN, PE_UTA_UGM 2024'!$E$3:$O$419,BD$6),"")</f>
        <v/>
      </c>
      <c r="BE58" s="1507" t="str">
        <f aca="false">IF($AT58&gt;0,VLOOKUP($AR58,'O_MN, PE_UTA_UGM 2024'!$E$3:$O$419,BE$6),"")</f>
        <v/>
      </c>
      <c r="BF58" s="1507" t="str">
        <f aca="false">IF($AT58&gt;0,VLOOKUP($AR58,'O_MN, PE_UTA_UGM 2024'!$E$3:$O$419,BF$6),"")</f>
        <v/>
      </c>
      <c r="BG58" s="1507" t="str">
        <f aca="false">IF($AT58&gt;0,VLOOKUP($AR58,'O_MN, PE_UTA_UGM 2024'!$E$3:$O$419,BG$6),"")</f>
        <v/>
      </c>
      <c r="BH58" s="1504"/>
      <c r="BI58" s="1504"/>
      <c r="BJ58" s="1504"/>
      <c r="BK58" s="1504"/>
      <c r="BM58" s="1411"/>
      <c r="BN58" s="1411"/>
      <c r="BO58" s="1425" t="str">
        <f aca="false">IF(ISNUMBER($AU58*BB58*1),$AU58*BB58*1,"")</f>
        <v/>
      </c>
      <c r="BP58" s="1425" t="str">
        <f aca="false">IF(ISNUMBER($AV58*BC58*1),$AV58*BC58*1,"")</f>
        <v/>
      </c>
      <c r="BQ58" s="1425" t="str">
        <f aca="false">IF(ISNUMBER($AU58*BD58*1),$AU58*BD58*1,"")</f>
        <v/>
      </c>
      <c r="BR58" s="1425" t="str">
        <f aca="false">IF(ISNUMBER($AV58*BE58*1),$AV58*BE58*1,"")</f>
        <v/>
      </c>
      <c r="BS58" s="1411" t="str">
        <f aca="false">IF(ISNUMBER($AU58*BF58),$AU58*BF58,"")</f>
        <v/>
      </c>
      <c r="BT58" s="1411" t="str">
        <f aca="false">IF(ISNUMBER($AV58*BG58),$AV58*BG58,"")</f>
        <v/>
      </c>
      <c r="BU58" s="1411"/>
      <c r="BV58" s="1411"/>
      <c r="BW58" s="1411"/>
      <c r="BX58" s="1411"/>
      <c r="BZ58" s="1372"/>
      <c r="CA58" s="1372"/>
      <c r="CB58" s="1426" t="str">
        <f aca="false">IF(ISNUMBER($AW58*BB58),$AW58*BB58,"")</f>
        <v/>
      </c>
      <c r="CC58" s="1426" t="str">
        <f aca="false">IF(ISNUMBER($AX58*BC58),$AX58*BC58,"")</f>
        <v/>
      </c>
      <c r="CD58" s="1426" t="str">
        <f aca="false">IF(ISNUMBER($AW58*BD58),$AW58*BD58,"")</f>
        <v/>
      </c>
      <c r="CE58" s="1426" t="str">
        <f aca="false">IF(ISNUMBER($AX58*BE58),$AX58*BE58,"")</f>
        <v/>
      </c>
      <c r="CF58" s="1372" t="str">
        <f aca="false">IF(ISNUMBER($AW58*BF58),$AW58*BF58,"")</f>
        <v/>
      </c>
      <c r="CG58" s="1372" t="str">
        <f aca="false">IF(ISNUMBER($AX58*BG58),$AX58*BG58,"")</f>
        <v/>
      </c>
      <c r="CH58" s="1438"/>
      <c r="CI58" s="1438"/>
      <c r="CJ58" s="1438"/>
      <c r="CK58" s="1438"/>
      <c r="CU58" s="1411"/>
      <c r="CV58" s="1411"/>
      <c r="CW58" s="1425"/>
      <c r="CX58" s="1425"/>
      <c r="CY58" s="1425"/>
      <c r="CZ58" s="1425"/>
      <c r="DA58" s="1411"/>
      <c r="DB58" s="1411"/>
      <c r="DC58" s="1411"/>
      <c r="DD58" s="1411"/>
      <c r="DE58" s="1411"/>
      <c r="DF58" s="1411"/>
      <c r="DH58" s="1432"/>
      <c r="DI58" s="1432"/>
      <c r="DJ58" s="1437"/>
      <c r="DK58" s="1437"/>
      <c r="DL58" s="1437"/>
      <c r="DM58" s="1437"/>
      <c r="DN58" s="1432"/>
      <c r="DO58" s="1432"/>
      <c r="DP58" s="1432"/>
      <c r="DQ58" s="1432"/>
      <c r="DR58" s="1432"/>
      <c r="DS58" s="1432"/>
      <c r="DT58" s="1316"/>
      <c r="DU58" s="1433"/>
      <c r="DV58" s="1433"/>
      <c r="DW58" s="1433"/>
      <c r="DX58" s="1433"/>
      <c r="DY58" s="1433"/>
      <c r="DZ58" s="1433"/>
      <c r="EA58" s="1433"/>
      <c r="EB58" s="1433"/>
    </row>
    <row r="59" customFormat="false" ht="14.25" hidden="false" customHeight="false" outlineLevel="0" collapsed="false">
      <c r="A59" s="2" t="n">
        <f aca="false">'V_DATOS PAC_SGA'!CC54</f>
        <v>0</v>
      </c>
      <c r="B59" s="2" t="n">
        <f aca="false">IF(OR(A59=0,A59=""),0,IF(I59="IV",CONCATENATE('V_DATOS PAC_SGA'!CC54,"4")+0,CONCATENATE('V_DATOS PAC_SGA'!CC54,"0")+0))</f>
        <v>0</v>
      </c>
      <c r="C59" s="2" t="n">
        <f aca="false">'V_DATOS PAC_SGA'!CD54</f>
        <v>0</v>
      </c>
      <c r="D59" s="1409" t="n">
        <f aca="false">'V_DATOS PAC_SGA'!Y54</f>
        <v>0</v>
      </c>
      <c r="E59" s="1410" t="str">
        <f aca="false">IF('V_DATOS PAC_SGA'!AV54="","Regadio",'V_DATOS PAC_SGA'!AV54)</f>
        <v>Regadio</v>
      </c>
      <c r="F59" s="1411" t="n">
        <f aca="false">'V_DATOS PAC_SGA'!BK54</f>
        <v>0</v>
      </c>
      <c r="G59" s="1412" t="n">
        <f aca="false">'V_DATOS PAC_SGA'!AN54</f>
        <v>0</v>
      </c>
      <c r="H59" s="1413" t="str">
        <f aca="false">IF(B59&gt;0,VLOOKUP(B59,'O_MN, PE_UTA_UGM 2024'!E$3:O$419,10),"")</f>
        <v/>
      </c>
      <c r="I59" s="1359" t="str">
        <f aca="false">IF('V_DATOS PAC_SGA'!BV54="IV",'V_DATOS PAC_SGA'!BV54,"")</f>
        <v/>
      </c>
      <c r="J59" s="2" t="str">
        <f aca="false">IF($A59&gt;0,IF(AND(J$4=$G59,J$6=$F59),$D59*J$5,""),"")</f>
        <v/>
      </c>
      <c r="K59" s="2" t="str">
        <f aca="false">IF($A59&gt;0,IF(AND(K$4=$G59,K$6=$F59),$D59*K$5,""),"")</f>
        <v/>
      </c>
      <c r="L59" s="2" t="str">
        <f aca="false">IF($A59&gt;0,IF(AND(L$4=$G59,L$6=$F59),$D59*L$5,""),"")</f>
        <v/>
      </c>
      <c r="M59" s="2" t="str">
        <f aca="false">IF($A59&gt;0,IF(AND(M$4=$G59,M$6=$F59),$D59*M$5,""),"")</f>
        <v/>
      </c>
      <c r="N59" s="1506" t="n">
        <f aca="false">VLOOKUP(B59,'O_MN, PE_UTA_UGM 2024'!$E$2:$K$419,IF(G59&gt;1,6,7))</f>
        <v>0</v>
      </c>
      <c r="O59" s="1434" t="str">
        <f aca="false">IF($H59=O$4,$D59*$N59,"")</f>
        <v/>
      </c>
      <c r="P59" s="1435" t="str">
        <f aca="false">IF($H59=P$4,$D59*$N59,"")</f>
        <v/>
      </c>
      <c r="Q59" s="1435" t="str">
        <f aca="false">IF($H59=Q$4,$D59*$N59,"")</f>
        <v/>
      </c>
      <c r="R59" s="1435" t="str">
        <f aca="false">IF($H59=R$4,$D59*$N59,"")</f>
        <v/>
      </c>
      <c r="S59" s="1435" t="str">
        <f aca="false">IF($H59=S$4,$D59*$N59,"")</f>
        <v/>
      </c>
      <c r="T59" s="1435" t="str">
        <f aca="false">IF($H59=T$4,$D59*$N59,"")</f>
        <v/>
      </c>
      <c r="U59" s="1436" t="str">
        <f aca="false">IF($H59=U$4,$D59*$N59,"")</f>
        <v/>
      </c>
      <c r="V59" s="1418"/>
      <c r="W59" s="1419"/>
      <c r="X59" s="1419"/>
      <c r="Y59" s="1419"/>
      <c r="Z59" s="1419"/>
      <c r="AA59" s="1419"/>
      <c r="AB59" s="1420"/>
      <c r="AC59" s="1319"/>
      <c r="AD59" s="2" t="str">
        <f aca="false">IF(AND(AD$4=$G59,AD$6=$F59),$B59,"")</f>
        <v/>
      </c>
      <c r="AE59" s="2" t="str">
        <f aca="false">IF(AND(AE$4=$G59,AE$6=$F59),$B59,"")</f>
        <v/>
      </c>
      <c r="AF59" s="2" t="str">
        <f aca="false">IF(AND(AF$4=$G59,AF$6=$F59),$B59,"")</f>
        <v/>
      </c>
      <c r="AG59" s="2" t="str">
        <f aca="false">IF(AND(AG$4=$G59,AG$6=$F59),$B59,"")</f>
        <v/>
      </c>
      <c r="AI59" s="366"/>
      <c r="AL59" s="367"/>
      <c r="AO59" s="367"/>
      <c r="AP59" s="2" t="str">
        <f aca="false">IF(AT59&gt;0,RANK(AT59,AT$7:AT$423),"")</f>
        <v/>
      </c>
      <c r="AQ59" s="2" t="n">
        <f aca="false">'O_MN, PE_UTA_UGM 2024'!C55</f>
        <v>99</v>
      </c>
      <c r="AR59" s="1421" t="n">
        <v>910</v>
      </c>
      <c r="AS59" s="2" t="str">
        <f aca="false">IF(AY59&lt;&gt;"",AY59,"")</f>
        <v/>
      </c>
      <c r="AT59" s="1422" t="n">
        <f aca="false">IF(ISNUMBER($AR59),SUMIF(B$7:B$505,AR59,D$7:D$505),"")</f>
        <v>0</v>
      </c>
      <c r="AU59" s="1411" t="n">
        <f aca="false">IF(ISNUMBER($AR59),SUMIF(AD$7:AD$503,$AR59,J$7:J$503),"")</f>
        <v>0</v>
      </c>
      <c r="AV59" s="1411" t="n">
        <f aca="false">IF(ISNUMBER($AR59),SUMIF(AF$7:AF$503,$AR59,L$7:L$503),"")</f>
        <v>0</v>
      </c>
      <c r="AW59" s="1423" t="n">
        <f aca="false">IF(ISNUMBER($AR59),SUMIF(AE$7:AE$503,$AR59,K$7:K$503),"")</f>
        <v>0</v>
      </c>
      <c r="AX59" s="1423" t="n">
        <f aca="false">IF(ISNUMBER($AR59),SUMIF(AG$7:AG$503,$AR59,M$7:M$503),"")</f>
        <v>0</v>
      </c>
      <c r="AY59" s="2" t="str">
        <f aca="false">IF($AT59&gt;0,VLOOKUP($AR59,'O_MN, PE_UTA_UGM 2024'!E55:O471,2),"")</f>
        <v/>
      </c>
      <c r="AZ59" s="1507"/>
      <c r="BA59" s="1507"/>
      <c r="BB59" s="1507" t="str">
        <f aca="false">IF($AT59&gt;0,VLOOKUP($AR59,'O_MN, PE_UTA_UGM 2024'!$E$3:$O$419,BB$6),"")</f>
        <v/>
      </c>
      <c r="BC59" s="1507" t="str">
        <f aca="false">IF($AT59&gt;0,VLOOKUP($AR59,'O_MN, PE_UTA_UGM 2024'!$E$3:$O$419,BC$6),"")</f>
        <v/>
      </c>
      <c r="BD59" s="1507" t="str">
        <f aca="false">IF($AT59&gt;0,VLOOKUP($AR59,'O_MN, PE_UTA_UGM 2024'!$E$3:$O$419,BD$6),"")</f>
        <v/>
      </c>
      <c r="BE59" s="1507" t="str">
        <f aca="false">IF($AT59&gt;0,VLOOKUP($AR59,'O_MN, PE_UTA_UGM 2024'!$E$3:$O$419,BE$6),"")</f>
        <v/>
      </c>
      <c r="BF59" s="1507" t="str">
        <f aca="false">IF($AT59&gt;0,VLOOKUP($AR59,'O_MN, PE_UTA_UGM 2024'!$E$3:$O$419,BF$6),"")</f>
        <v/>
      </c>
      <c r="BG59" s="1507" t="str">
        <f aca="false">IF($AT59&gt;0,VLOOKUP($AR59,'O_MN, PE_UTA_UGM 2024'!$E$3:$O$419,BG$6),"")</f>
        <v/>
      </c>
      <c r="BH59" s="1504"/>
      <c r="BI59" s="1504"/>
      <c r="BJ59" s="1504"/>
      <c r="BK59" s="1504"/>
      <c r="BM59" s="1411"/>
      <c r="BN59" s="1411"/>
      <c r="BO59" s="1425" t="str">
        <f aca="false">IF(ISNUMBER($AU59*BB59*1),$AU59*BB59*1,"")</f>
        <v/>
      </c>
      <c r="BP59" s="1425" t="str">
        <f aca="false">IF(ISNUMBER($AV59*BC59*1),$AV59*BC59*1,"")</f>
        <v/>
      </c>
      <c r="BQ59" s="1425" t="str">
        <f aca="false">IF(ISNUMBER($AU59*BD59*1),$AU59*BD59*1,"")</f>
        <v/>
      </c>
      <c r="BR59" s="1425" t="str">
        <f aca="false">IF(ISNUMBER($AV59*BE59*1),$AV59*BE59*1,"")</f>
        <v/>
      </c>
      <c r="BS59" s="1411" t="str">
        <f aca="false">IF(ISNUMBER($AU59*BF59),$AU59*BF59,"")</f>
        <v/>
      </c>
      <c r="BT59" s="1411" t="str">
        <f aca="false">IF(ISNUMBER($AV59*BG59),$AV59*BG59,"")</f>
        <v/>
      </c>
      <c r="BU59" s="1411"/>
      <c r="BV59" s="1411"/>
      <c r="BW59" s="1411"/>
      <c r="BX59" s="1411"/>
      <c r="BZ59" s="1372"/>
      <c r="CA59" s="1372"/>
      <c r="CB59" s="1426" t="str">
        <f aca="false">IF(ISNUMBER($AW59*BB59),$AW59*BB59,"")</f>
        <v/>
      </c>
      <c r="CC59" s="1426" t="str">
        <f aca="false">IF(ISNUMBER($AX59*BC59),$AX59*BC59,"")</f>
        <v/>
      </c>
      <c r="CD59" s="1426" t="str">
        <f aca="false">IF(ISNUMBER($AW59*BD59),$AW59*BD59,"")</f>
        <v/>
      </c>
      <c r="CE59" s="1426" t="str">
        <f aca="false">IF(ISNUMBER($AX59*BE59),$AX59*BE59,"")</f>
        <v/>
      </c>
      <c r="CF59" s="1372" t="str">
        <f aca="false">IF(ISNUMBER($AW59*BF59),$AW59*BF59,"")</f>
        <v/>
      </c>
      <c r="CG59" s="1372" t="str">
        <f aca="false">IF(ISNUMBER($AX59*BG59),$AX59*BG59,"")</f>
        <v/>
      </c>
      <c r="CH59" s="1438"/>
      <c r="CI59" s="1438"/>
      <c r="CJ59" s="1438"/>
      <c r="CK59" s="1438"/>
      <c r="CU59" s="1411"/>
      <c r="CV59" s="1411"/>
      <c r="CW59" s="1425"/>
      <c r="CX59" s="1425"/>
      <c r="CY59" s="1425"/>
      <c r="CZ59" s="1425"/>
      <c r="DA59" s="1411"/>
      <c r="DB59" s="1411"/>
      <c r="DC59" s="1411"/>
      <c r="DD59" s="1411"/>
      <c r="DE59" s="1411"/>
      <c r="DF59" s="1411"/>
      <c r="DH59" s="1432"/>
      <c r="DI59" s="1432"/>
      <c r="DJ59" s="1437"/>
      <c r="DK59" s="1437"/>
      <c r="DL59" s="1437"/>
      <c r="DM59" s="1437"/>
      <c r="DN59" s="1432"/>
      <c r="DO59" s="1432"/>
      <c r="DP59" s="1432"/>
      <c r="DQ59" s="1432"/>
      <c r="DR59" s="1432"/>
      <c r="DS59" s="1432"/>
      <c r="DT59" s="1316"/>
      <c r="DU59" s="1433"/>
      <c r="DV59" s="1433"/>
      <c r="DW59" s="1433"/>
      <c r="DX59" s="1433"/>
      <c r="DY59" s="1433"/>
      <c r="DZ59" s="1433"/>
      <c r="EA59" s="1433"/>
      <c r="EB59" s="1433"/>
    </row>
    <row r="60" customFormat="false" ht="14.25" hidden="false" customHeight="false" outlineLevel="0" collapsed="false">
      <c r="A60" s="2" t="n">
        <f aca="false">'V_DATOS PAC_SGA'!CC55</f>
        <v>0</v>
      </c>
      <c r="B60" s="2" t="n">
        <f aca="false">IF(OR(A60=0,A60=""),0,IF(I60="IV",CONCATENATE('V_DATOS PAC_SGA'!CC55,"4")+0,CONCATENATE('V_DATOS PAC_SGA'!CC55,"0")+0))</f>
        <v>0</v>
      </c>
      <c r="C60" s="2" t="n">
        <f aca="false">'V_DATOS PAC_SGA'!CD55</f>
        <v>0</v>
      </c>
      <c r="D60" s="1409" t="n">
        <f aca="false">'V_DATOS PAC_SGA'!Y55</f>
        <v>0</v>
      </c>
      <c r="E60" s="1410" t="str">
        <f aca="false">IF('V_DATOS PAC_SGA'!AV55="","Regadio",'V_DATOS PAC_SGA'!AV55)</f>
        <v>Regadio</v>
      </c>
      <c r="F60" s="1411" t="n">
        <f aca="false">'V_DATOS PAC_SGA'!BK55</f>
        <v>0</v>
      </c>
      <c r="G60" s="1412" t="n">
        <f aca="false">'V_DATOS PAC_SGA'!AN55</f>
        <v>0</v>
      </c>
      <c r="H60" s="1413" t="str">
        <f aca="false">IF(B60&gt;0,VLOOKUP(B60,'O_MN, PE_UTA_UGM 2024'!E$3:O$419,10),"")</f>
        <v/>
      </c>
      <c r="I60" s="1359" t="str">
        <f aca="false">IF('V_DATOS PAC_SGA'!BV55="IV",'V_DATOS PAC_SGA'!BV55,"")</f>
        <v/>
      </c>
      <c r="J60" s="2" t="str">
        <f aca="false">IF($A60&gt;0,IF(AND(J$4=$G60,J$6=$F60),$D60*J$5,""),"")</f>
        <v/>
      </c>
      <c r="K60" s="2" t="str">
        <f aca="false">IF($A60&gt;0,IF(AND(K$4=$G60,K$6=$F60),$D60*K$5,""),"")</f>
        <v/>
      </c>
      <c r="L60" s="2" t="str">
        <f aca="false">IF($A60&gt;0,IF(AND(L$4=$G60,L$6=$F60),$D60*L$5,""),"")</f>
        <v/>
      </c>
      <c r="M60" s="2" t="str">
        <f aca="false">IF($A60&gt;0,IF(AND(M$4=$G60,M$6=$F60),$D60*M$5,""),"")</f>
        <v/>
      </c>
      <c r="N60" s="1506" t="n">
        <f aca="false">VLOOKUP(B60,'O_MN, PE_UTA_UGM 2024'!$E$2:$K$419,IF(G60&gt;1,6,7))</f>
        <v>0</v>
      </c>
      <c r="O60" s="1434" t="str">
        <f aca="false">IF($H60=O$4,$D60*$N60,"")</f>
        <v/>
      </c>
      <c r="P60" s="1435" t="str">
        <f aca="false">IF($H60=P$4,$D60*$N60,"")</f>
        <v/>
      </c>
      <c r="Q60" s="1435" t="str">
        <f aca="false">IF($H60=Q$4,$D60*$N60,"")</f>
        <v/>
      </c>
      <c r="R60" s="1435" t="str">
        <f aca="false">IF($H60=R$4,$D60*$N60,"")</f>
        <v/>
      </c>
      <c r="S60" s="1435" t="str">
        <f aca="false">IF($H60=S$4,$D60*$N60,"")</f>
        <v/>
      </c>
      <c r="T60" s="1435" t="str">
        <f aca="false">IF($H60=T$4,$D60*$N60,"")</f>
        <v/>
      </c>
      <c r="U60" s="1436" t="str">
        <f aca="false">IF($H60=U$4,$D60*$N60,"")</f>
        <v/>
      </c>
      <c r="V60" s="1418"/>
      <c r="W60" s="1419"/>
      <c r="X60" s="1419"/>
      <c r="Y60" s="1419"/>
      <c r="Z60" s="1419"/>
      <c r="AA60" s="1419"/>
      <c r="AB60" s="1420"/>
      <c r="AC60" s="1319"/>
      <c r="AD60" s="2" t="str">
        <f aca="false">IF(AND(AD$4=$G60,AD$6=$F60),$B60,"")</f>
        <v/>
      </c>
      <c r="AE60" s="2" t="str">
        <f aca="false">IF(AND(AE$4=$G60,AE$6=$F60),$B60,"")</f>
        <v/>
      </c>
      <c r="AF60" s="2" t="str">
        <f aca="false">IF(AND(AF$4=$G60,AF$6=$F60),$B60,"")</f>
        <v/>
      </c>
      <c r="AG60" s="2" t="str">
        <f aca="false">IF(AND(AG$4=$G60,AG$6=$F60),$B60,"")</f>
        <v/>
      </c>
      <c r="AI60" s="366"/>
      <c r="AL60" s="367"/>
      <c r="AO60" s="367"/>
      <c r="AP60" s="2" t="str">
        <f aca="false">IF(AT60&gt;0,RANK(AT60,AT$7:AT$423),"")</f>
        <v/>
      </c>
      <c r="AQ60" s="2" t="n">
        <f aca="false">'O_MN, PE_UTA_UGM 2024'!C56</f>
        <v>101</v>
      </c>
      <c r="AR60" s="1421" t="n">
        <v>920</v>
      </c>
      <c r="AS60" s="2" t="str">
        <f aca="false">IF(AY60&lt;&gt;"",AY60,"")</f>
        <v/>
      </c>
      <c r="AT60" s="1422" t="n">
        <f aca="false">IF(ISNUMBER($AR60),SUMIF(B$7:B$505,AR60,D$7:D$505),"")</f>
        <v>0</v>
      </c>
      <c r="AU60" s="1411" t="n">
        <f aca="false">IF(ISNUMBER($AR60),SUMIF(AD$7:AD$503,$AR60,J$7:J$503),"")</f>
        <v>0</v>
      </c>
      <c r="AV60" s="1411" t="n">
        <f aca="false">IF(ISNUMBER($AR60),SUMIF(AF$7:AF$503,$AR60,L$7:L$503),"")</f>
        <v>0</v>
      </c>
      <c r="AW60" s="1423" t="n">
        <f aca="false">IF(ISNUMBER($AR60),SUMIF(AE$7:AE$503,$AR60,K$7:K$503),"")</f>
        <v>0</v>
      </c>
      <c r="AX60" s="1423" t="n">
        <f aca="false">IF(ISNUMBER($AR60),SUMIF(AG$7:AG$503,$AR60,M$7:M$503),"")</f>
        <v>0</v>
      </c>
      <c r="AY60" s="2" t="str">
        <f aca="false">IF($AT60&gt;0,VLOOKUP($AR60,'O_MN, PE_UTA_UGM 2024'!E56:O472,2),"")</f>
        <v/>
      </c>
      <c r="AZ60" s="1507"/>
      <c r="BA60" s="1507"/>
      <c r="BB60" s="1507" t="str">
        <f aca="false">IF($AT60&gt;0,VLOOKUP($AR60,'O_MN, PE_UTA_UGM 2024'!$E$3:$O$419,BB$6),"")</f>
        <v/>
      </c>
      <c r="BC60" s="1507" t="str">
        <f aca="false">IF($AT60&gt;0,VLOOKUP($AR60,'O_MN, PE_UTA_UGM 2024'!$E$3:$O$419,BC$6),"")</f>
        <v/>
      </c>
      <c r="BD60" s="1507" t="str">
        <f aca="false">IF($AT60&gt;0,VLOOKUP($AR60,'O_MN, PE_UTA_UGM 2024'!$E$3:$O$419,BD$6),"")</f>
        <v/>
      </c>
      <c r="BE60" s="1507" t="str">
        <f aca="false">IF($AT60&gt;0,VLOOKUP($AR60,'O_MN, PE_UTA_UGM 2024'!$E$3:$O$419,BE$6),"")</f>
        <v/>
      </c>
      <c r="BF60" s="1507" t="str">
        <f aca="false">IF($AT60&gt;0,VLOOKUP($AR60,'O_MN, PE_UTA_UGM 2024'!$E$3:$O$419,BF$6),"")</f>
        <v/>
      </c>
      <c r="BG60" s="1507" t="str">
        <f aca="false">IF($AT60&gt;0,VLOOKUP($AR60,'O_MN, PE_UTA_UGM 2024'!$E$3:$O$419,BG$6),"")</f>
        <v/>
      </c>
      <c r="BH60" s="1504"/>
      <c r="BI60" s="1504"/>
      <c r="BJ60" s="1504"/>
      <c r="BK60" s="1504"/>
      <c r="BM60" s="1411"/>
      <c r="BN60" s="1411"/>
      <c r="BO60" s="1425" t="str">
        <f aca="false">IF(ISNUMBER($AU60*BB60*1),$AU60*BB60*1,"")</f>
        <v/>
      </c>
      <c r="BP60" s="1425" t="str">
        <f aca="false">IF(ISNUMBER($AV60*BC60*1),$AV60*BC60*1,"")</f>
        <v/>
      </c>
      <c r="BQ60" s="1425" t="str">
        <f aca="false">IF(ISNUMBER($AU60*BD60*1),$AU60*BD60*1,"")</f>
        <v/>
      </c>
      <c r="BR60" s="1425" t="str">
        <f aca="false">IF(ISNUMBER($AV60*BE60*1),$AV60*BE60*1,"")</f>
        <v/>
      </c>
      <c r="BS60" s="1411" t="str">
        <f aca="false">IF(ISNUMBER($AU60*BF60),$AU60*BF60,"")</f>
        <v/>
      </c>
      <c r="BT60" s="1411" t="str">
        <f aca="false">IF(ISNUMBER($AV60*BG60),$AV60*BG60,"")</f>
        <v/>
      </c>
      <c r="BU60" s="1411"/>
      <c r="BV60" s="1411"/>
      <c r="BW60" s="1411"/>
      <c r="BX60" s="1411"/>
      <c r="BZ60" s="1372"/>
      <c r="CA60" s="1372"/>
      <c r="CB60" s="1426" t="str">
        <f aca="false">IF(ISNUMBER($AW60*BB60),$AW60*BB60,"")</f>
        <v/>
      </c>
      <c r="CC60" s="1426" t="str">
        <f aca="false">IF(ISNUMBER($AX60*BC60),$AX60*BC60,"")</f>
        <v/>
      </c>
      <c r="CD60" s="1426" t="str">
        <f aca="false">IF(ISNUMBER($AW60*BD60),$AW60*BD60,"")</f>
        <v/>
      </c>
      <c r="CE60" s="1426" t="str">
        <f aca="false">IF(ISNUMBER($AX60*BE60),$AX60*BE60,"")</f>
        <v/>
      </c>
      <c r="CF60" s="1372" t="str">
        <f aca="false">IF(ISNUMBER($AW60*BF60),$AW60*BF60,"")</f>
        <v/>
      </c>
      <c r="CG60" s="1372" t="str">
        <f aca="false">IF(ISNUMBER($AX60*BG60),$AX60*BG60,"")</f>
        <v/>
      </c>
      <c r="CH60" s="1438"/>
      <c r="CI60" s="1438"/>
      <c r="CJ60" s="1438"/>
      <c r="CK60" s="1438"/>
      <c r="CU60" s="1411"/>
      <c r="CV60" s="1411"/>
      <c r="CW60" s="1425"/>
      <c r="CX60" s="1425"/>
      <c r="CY60" s="1425"/>
      <c r="CZ60" s="1425"/>
      <c r="DA60" s="1411"/>
      <c r="DB60" s="1411"/>
      <c r="DC60" s="1411"/>
      <c r="DD60" s="1411"/>
      <c r="DE60" s="1411"/>
      <c r="DF60" s="1411"/>
      <c r="DH60" s="1432"/>
      <c r="DI60" s="1432"/>
      <c r="DJ60" s="1437"/>
      <c r="DK60" s="1437"/>
      <c r="DL60" s="1437"/>
      <c r="DM60" s="1437"/>
      <c r="DN60" s="1432"/>
      <c r="DO60" s="1432"/>
      <c r="DP60" s="1432"/>
      <c r="DQ60" s="1432"/>
      <c r="DR60" s="1432"/>
      <c r="DS60" s="1432"/>
      <c r="DT60" s="1316"/>
      <c r="DU60" s="1433"/>
      <c r="DV60" s="1433"/>
      <c r="DW60" s="1433"/>
      <c r="DX60" s="1433"/>
      <c r="DY60" s="1433"/>
      <c r="DZ60" s="1433"/>
      <c r="EA60" s="1433"/>
      <c r="EB60" s="1433"/>
    </row>
    <row r="61" customFormat="false" ht="14.25" hidden="false" customHeight="false" outlineLevel="0" collapsed="false">
      <c r="A61" s="2" t="n">
        <f aca="false">'V_DATOS PAC_SGA'!CC56</f>
        <v>0</v>
      </c>
      <c r="B61" s="2" t="n">
        <f aca="false">IF(OR(A61=0,A61=""),0,IF(I61="IV",CONCATENATE('V_DATOS PAC_SGA'!CC56,"4")+0,CONCATENATE('V_DATOS PAC_SGA'!CC56,"0")+0))</f>
        <v>0</v>
      </c>
      <c r="C61" s="2" t="n">
        <f aca="false">'V_DATOS PAC_SGA'!CD56</f>
        <v>0</v>
      </c>
      <c r="D61" s="1409" t="n">
        <f aca="false">'V_DATOS PAC_SGA'!Y56</f>
        <v>0</v>
      </c>
      <c r="E61" s="1410" t="str">
        <f aca="false">IF('V_DATOS PAC_SGA'!AV56="","Regadio",'V_DATOS PAC_SGA'!AV56)</f>
        <v>Regadio</v>
      </c>
      <c r="F61" s="1411" t="n">
        <f aca="false">'V_DATOS PAC_SGA'!BK56</f>
        <v>0</v>
      </c>
      <c r="G61" s="1412" t="n">
        <f aca="false">'V_DATOS PAC_SGA'!AN56</f>
        <v>0</v>
      </c>
      <c r="H61" s="1413" t="str">
        <f aca="false">IF(B61&gt;0,VLOOKUP(B61,'O_MN, PE_UTA_UGM 2024'!E$3:O$419,10),"")</f>
        <v/>
      </c>
      <c r="I61" s="1359" t="str">
        <f aca="false">IF('V_DATOS PAC_SGA'!BV56="IV",'V_DATOS PAC_SGA'!BV56,"")</f>
        <v/>
      </c>
      <c r="J61" s="2" t="str">
        <f aca="false">IF($A61&gt;0,IF(AND(J$4=$G61,J$6=$F61),$D61*J$5,""),"")</f>
        <v/>
      </c>
      <c r="K61" s="2" t="str">
        <f aca="false">IF($A61&gt;0,IF(AND(K$4=$G61,K$6=$F61),$D61*K$5,""),"")</f>
        <v/>
      </c>
      <c r="L61" s="2" t="str">
        <f aca="false">IF($A61&gt;0,IF(AND(L$4=$G61,L$6=$F61),$D61*L$5,""),"")</f>
        <v/>
      </c>
      <c r="M61" s="2" t="str">
        <f aca="false">IF($A61&gt;0,IF(AND(M$4=$G61,M$6=$F61),$D61*M$5,""),"")</f>
        <v/>
      </c>
      <c r="N61" s="1506" t="n">
        <f aca="false">VLOOKUP(B61,'O_MN, PE_UTA_UGM 2024'!$E$2:$K$419,IF(G61&gt;1,6,7))</f>
        <v>0</v>
      </c>
      <c r="O61" s="1434" t="str">
        <f aca="false">IF($H61=O$4,$D61*$N61,"")</f>
        <v/>
      </c>
      <c r="P61" s="1435" t="str">
        <f aca="false">IF($H61=P$4,$D61*$N61,"")</f>
        <v/>
      </c>
      <c r="Q61" s="1435" t="str">
        <f aca="false">IF($H61=Q$4,$D61*$N61,"")</f>
        <v/>
      </c>
      <c r="R61" s="1435" t="str">
        <f aca="false">IF($H61=R$4,$D61*$N61,"")</f>
        <v/>
      </c>
      <c r="S61" s="1435" t="str">
        <f aca="false">IF($H61=S$4,$D61*$N61,"")</f>
        <v/>
      </c>
      <c r="T61" s="1435" t="str">
        <f aca="false">IF($H61=T$4,$D61*$N61,"")</f>
        <v/>
      </c>
      <c r="U61" s="1436" t="str">
        <f aca="false">IF($H61=U$4,$D61*$N61,"")</f>
        <v/>
      </c>
      <c r="V61" s="1418"/>
      <c r="W61" s="1419"/>
      <c r="X61" s="1419"/>
      <c r="Y61" s="1419"/>
      <c r="Z61" s="1419"/>
      <c r="AA61" s="1419"/>
      <c r="AB61" s="1420"/>
      <c r="AC61" s="1319"/>
      <c r="AD61" s="2" t="str">
        <f aca="false">IF(AND(AD$4=$G61,AD$6=$F61),$B61,"")</f>
        <v/>
      </c>
      <c r="AE61" s="2" t="str">
        <f aca="false">IF(AND(AE$4=$G61,AE$6=$F61),$B61,"")</f>
        <v/>
      </c>
      <c r="AF61" s="2" t="str">
        <f aca="false">IF(AND(AF$4=$G61,AF$6=$F61),$B61,"")</f>
        <v/>
      </c>
      <c r="AG61" s="2" t="str">
        <f aca="false">IF(AND(AG$4=$G61,AG$6=$F61),$B61,"")</f>
        <v/>
      </c>
      <c r="AI61" s="366"/>
      <c r="AL61" s="367"/>
      <c r="AO61" s="367"/>
      <c r="AP61" s="2" t="str">
        <f aca="false">IF(AT61&gt;0,RANK(AT61,AT$7:AT$423),"")</f>
        <v/>
      </c>
      <c r="AQ61" s="2" t="n">
        <f aca="false">'O_MN, PE_UTA_UGM 2024'!C57</f>
        <v>102</v>
      </c>
      <c r="AR61" s="1421" t="n">
        <v>960</v>
      </c>
      <c r="AS61" s="2" t="str">
        <f aca="false">IF(AY61&lt;&gt;"",AY61,"")</f>
        <v/>
      </c>
      <c r="AT61" s="1422" t="n">
        <f aca="false">IF(ISNUMBER($AR61),SUMIF(B$7:B$505,AR61,D$7:D$505),"")</f>
        <v>0</v>
      </c>
      <c r="AU61" s="1411" t="n">
        <f aca="false">IF(ISNUMBER($AR61),SUMIF(AD$7:AD$503,$AR61,J$7:J$503),"")</f>
        <v>0</v>
      </c>
      <c r="AV61" s="1411" t="n">
        <f aca="false">IF(ISNUMBER($AR61),SUMIF(AF$7:AF$503,$AR61,L$7:L$503),"")</f>
        <v>0</v>
      </c>
      <c r="AW61" s="1423" t="n">
        <f aca="false">IF(ISNUMBER($AR61),SUMIF(AE$7:AE$503,$AR61,K$7:K$503),"")</f>
        <v>0</v>
      </c>
      <c r="AX61" s="1423" t="n">
        <f aca="false">IF(ISNUMBER($AR61),SUMIF(AG$7:AG$503,$AR61,M$7:M$503),"")</f>
        <v>0</v>
      </c>
      <c r="AY61" s="2" t="str">
        <f aca="false">IF($AT61&gt;0,VLOOKUP($AR61,'O_MN, PE_UTA_UGM 2024'!E57:O473,2),"")</f>
        <v/>
      </c>
      <c r="AZ61" s="1507"/>
      <c r="BA61" s="1507"/>
      <c r="BB61" s="1507" t="str">
        <f aca="false">IF($AT61&gt;0,VLOOKUP($AR61,'O_MN, PE_UTA_UGM 2024'!$E$3:$O$419,BB$6),"")</f>
        <v/>
      </c>
      <c r="BC61" s="1507" t="str">
        <f aca="false">IF($AT61&gt;0,VLOOKUP($AR61,'O_MN, PE_UTA_UGM 2024'!$E$3:$O$419,BC$6),"")</f>
        <v/>
      </c>
      <c r="BD61" s="1507" t="str">
        <f aca="false">IF($AT61&gt;0,VLOOKUP($AR61,'O_MN, PE_UTA_UGM 2024'!$E$3:$O$419,BD$6),"")</f>
        <v/>
      </c>
      <c r="BE61" s="1507" t="str">
        <f aca="false">IF($AT61&gt;0,VLOOKUP($AR61,'O_MN, PE_UTA_UGM 2024'!$E$3:$O$419,BE$6),"")</f>
        <v/>
      </c>
      <c r="BF61" s="1507" t="str">
        <f aca="false">IF($AT61&gt;0,VLOOKUP($AR61,'O_MN, PE_UTA_UGM 2024'!$E$3:$O$419,BF$6),"")</f>
        <v/>
      </c>
      <c r="BG61" s="1507" t="str">
        <f aca="false">IF($AT61&gt;0,VLOOKUP($AR61,'O_MN, PE_UTA_UGM 2024'!$E$3:$O$419,BG$6),"")</f>
        <v/>
      </c>
      <c r="BH61" s="1504"/>
      <c r="BI61" s="1504"/>
      <c r="BJ61" s="1504"/>
      <c r="BK61" s="1504"/>
      <c r="BM61" s="1411"/>
      <c r="BN61" s="1411"/>
      <c r="BO61" s="1425" t="str">
        <f aca="false">IF(ISNUMBER($AU61*BB61*1),$AU61*BB61*1,"")</f>
        <v/>
      </c>
      <c r="BP61" s="1425" t="str">
        <f aca="false">IF(ISNUMBER($AV61*BC61*1),$AV61*BC61*1,"")</f>
        <v/>
      </c>
      <c r="BQ61" s="1425" t="str">
        <f aca="false">IF(ISNUMBER($AU61*BD61*1),$AU61*BD61*1,"")</f>
        <v/>
      </c>
      <c r="BR61" s="1425" t="str">
        <f aca="false">IF(ISNUMBER($AV61*BE61*1),$AV61*BE61*1,"")</f>
        <v/>
      </c>
      <c r="BS61" s="1411" t="str">
        <f aca="false">IF(ISNUMBER($AU61*BF61),$AU61*BF61,"")</f>
        <v/>
      </c>
      <c r="BT61" s="1411" t="str">
        <f aca="false">IF(ISNUMBER($AV61*BG61),$AV61*BG61,"")</f>
        <v/>
      </c>
      <c r="BU61" s="1411"/>
      <c r="BV61" s="1411"/>
      <c r="BW61" s="1411"/>
      <c r="BX61" s="1411"/>
      <c r="BZ61" s="1372"/>
      <c r="CA61" s="1372"/>
      <c r="CB61" s="1426" t="str">
        <f aca="false">IF(ISNUMBER($AW61*BB61),$AW61*BB61,"")</f>
        <v/>
      </c>
      <c r="CC61" s="1426" t="str">
        <f aca="false">IF(ISNUMBER($AX61*BC61),$AX61*BC61,"")</f>
        <v/>
      </c>
      <c r="CD61" s="1426" t="str">
        <f aca="false">IF(ISNUMBER($AW61*BD61),$AW61*BD61,"")</f>
        <v/>
      </c>
      <c r="CE61" s="1426" t="str">
        <f aca="false">IF(ISNUMBER($AX61*BE61),$AX61*BE61,"")</f>
        <v/>
      </c>
      <c r="CF61" s="1372" t="str">
        <f aca="false">IF(ISNUMBER($AW61*BF61),$AW61*BF61,"")</f>
        <v/>
      </c>
      <c r="CG61" s="1372" t="str">
        <f aca="false">IF(ISNUMBER($AX61*BG61),$AX61*BG61,"")</f>
        <v/>
      </c>
      <c r="CH61" s="1438"/>
      <c r="CI61" s="1438"/>
      <c r="CJ61" s="1438"/>
      <c r="CK61" s="1438"/>
      <c r="CU61" s="1411"/>
      <c r="CV61" s="1411"/>
      <c r="CW61" s="1425"/>
      <c r="CX61" s="1425"/>
      <c r="CY61" s="1425"/>
      <c r="CZ61" s="1425"/>
      <c r="DA61" s="1411"/>
      <c r="DB61" s="1411"/>
      <c r="DC61" s="1411"/>
      <c r="DD61" s="1411"/>
      <c r="DE61" s="1411"/>
      <c r="DF61" s="1411"/>
      <c r="DH61" s="1432"/>
      <c r="DI61" s="1432"/>
      <c r="DJ61" s="1437"/>
      <c r="DK61" s="1437"/>
      <c r="DL61" s="1437"/>
      <c r="DM61" s="1437"/>
      <c r="DN61" s="1432"/>
      <c r="DO61" s="1432"/>
      <c r="DP61" s="1432"/>
      <c r="DQ61" s="1432"/>
      <c r="DR61" s="1432"/>
      <c r="DS61" s="1432"/>
      <c r="DT61" s="1316"/>
      <c r="DU61" s="1433"/>
      <c r="DV61" s="1433"/>
      <c r="DW61" s="1433"/>
      <c r="DX61" s="1433"/>
      <c r="DY61" s="1433"/>
      <c r="DZ61" s="1433"/>
      <c r="EA61" s="1433"/>
      <c r="EB61" s="1433"/>
    </row>
    <row r="62" customFormat="false" ht="14.25" hidden="false" customHeight="false" outlineLevel="0" collapsed="false">
      <c r="A62" s="2" t="n">
        <f aca="false">'V_DATOS PAC_SGA'!CC57</f>
        <v>0</v>
      </c>
      <c r="B62" s="2" t="n">
        <f aca="false">IF(OR(A62=0,A62=""),0,IF(I62="IV",CONCATENATE('V_DATOS PAC_SGA'!CC57,"4")+0,CONCATENATE('V_DATOS PAC_SGA'!CC57,"0")+0))</f>
        <v>0</v>
      </c>
      <c r="C62" s="2" t="n">
        <f aca="false">'V_DATOS PAC_SGA'!CD57</f>
        <v>0</v>
      </c>
      <c r="D62" s="1409" t="n">
        <f aca="false">'V_DATOS PAC_SGA'!Y57</f>
        <v>0</v>
      </c>
      <c r="E62" s="1410" t="str">
        <f aca="false">IF('V_DATOS PAC_SGA'!AV57="","Regadio",'V_DATOS PAC_SGA'!AV57)</f>
        <v>Regadio</v>
      </c>
      <c r="F62" s="1411" t="n">
        <f aca="false">'V_DATOS PAC_SGA'!BK57</f>
        <v>0</v>
      </c>
      <c r="G62" s="1412" t="n">
        <f aca="false">'V_DATOS PAC_SGA'!AN57</f>
        <v>0</v>
      </c>
      <c r="H62" s="1413" t="str">
        <f aca="false">IF(B62&gt;0,VLOOKUP(B62,'O_MN, PE_UTA_UGM 2024'!E$3:O$419,10),"")</f>
        <v/>
      </c>
      <c r="I62" s="1359" t="str">
        <f aca="false">IF('V_DATOS PAC_SGA'!BV57="IV",'V_DATOS PAC_SGA'!BV57,"")</f>
        <v/>
      </c>
      <c r="J62" s="2" t="str">
        <f aca="false">IF($A62&gt;0,IF(AND(J$4=$G62,J$6=$F62),$D62*J$5,""),"")</f>
        <v/>
      </c>
      <c r="K62" s="2" t="str">
        <f aca="false">IF($A62&gt;0,IF(AND(K$4=$G62,K$6=$F62),$D62*K$5,""),"")</f>
        <v/>
      </c>
      <c r="L62" s="2" t="str">
        <f aca="false">IF($A62&gt;0,IF(AND(L$4=$G62,L$6=$F62),$D62*L$5,""),"")</f>
        <v/>
      </c>
      <c r="M62" s="2" t="str">
        <f aca="false">IF($A62&gt;0,IF(AND(M$4=$G62,M$6=$F62),$D62*M$5,""),"")</f>
        <v/>
      </c>
      <c r="N62" s="1506" t="n">
        <f aca="false">VLOOKUP(B62,'O_MN, PE_UTA_UGM 2024'!$E$2:$K$419,IF(G62&gt;1,6,7))</f>
        <v>0</v>
      </c>
      <c r="O62" s="1434" t="str">
        <f aca="false">IF($H62=O$4,$D62*$N62,"")</f>
        <v/>
      </c>
      <c r="P62" s="1435" t="str">
        <f aca="false">IF($H62=P$4,$D62*$N62,"")</f>
        <v/>
      </c>
      <c r="Q62" s="1435" t="str">
        <f aca="false">IF($H62=Q$4,$D62*$N62,"")</f>
        <v/>
      </c>
      <c r="R62" s="1435" t="str">
        <f aca="false">IF($H62=R$4,$D62*$N62,"")</f>
        <v/>
      </c>
      <c r="S62" s="1435" t="str">
        <f aca="false">IF($H62=S$4,$D62*$N62,"")</f>
        <v/>
      </c>
      <c r="T62" s="1435" t="str">
        <f aca="false">IF($H62=T$4,$D62*$N62,"")</f>
        <v/>
      </c>
      <c r="U62" s="1436" t="str">
        <f aca="false">IF($H62=U$4,$D62*$N62,"")</f>
        <v/>
      </c>
      <c r="V62" s="1418"/>
      <c r="W62" s="1419"/>
      <c r="X62" s="1419"/>
      <c r="Y62" s="1419"/>
      <c r="Z62" s="1419"/>
      <c r="AA62" s="1419"/>
      <c r="AB62" s="1420"/>
      <c r="AC62" s="1319"/>
      <c r="AD62" s="2" t="str">
        <f aca="false">IF(AND(AD$4=$G62,AD$6=$F62),$B62,"")</f>
        <v/>
      </c>
      <c r="AE62" s="2" t="str">
        <f aca="false">IF(AND(AE$4=$G62,AE$6=$F62),$B62,"")</f>
        <v/>
      </c>
      <c r="AF62" s="2" t="str">
        <f aca="false">IF(AND(AF$4=$G62,AF$6=$F62),$B62,"")</f>
        <v/>
      </c>
      <c r="AG62" s="2" t="str">
        <f aca="false">IF(AND(AG$4=$G62,AG$6=$F62),$B62,"")</f>
        <v/>
      </c>
      <c r="AI62" s="366"/>
      <c r="AL62" s="367"/>
      <c r="AO62" s="367"/>
      <c r="AP62" s="2" t="str">
        <f aca="false">IF(AT62&gt;0,RANK(AT62,AT$7:AT$423),"")</f>
        <v/>
      </c>
      <c r="AQ62" s="2" t="n">
        <f aca="false">'O_MN, PE_UTA_UGM 2024'!C58</f>
        <v>104</v>
      </c>
      <c r="AR62" s="1421" t="n">
        <v>970</v>
      </c>
      <c r="AS62" s="2" t="str">
        <f aca="false">IF(AY62&lt;&gt;"",AY62,"")</f>
        <v/>
      </c>
      <c r="AT62" s="1422" t="n">
        <f aca="false">IF(ISNUMBER($AR62),SUMIF(B$7:B$505,AR62,D$7:D$505),"")</f>
        <v>0</v>
      </c>
      <c r="AU62" s="1411" t="n">
        <f aca="false">IF(ISNUMBER($AR62),SUMIF(AD$7:AD$503,$AR62,J$7:J$503),"")</f>
        <v>0</v>
      </c>
      <c r="AV62" s="1411" t="n">
        <f aca="false">IF(ISNUMBER($AR62),SUMIF(AF$7:AF$503,$AR62,L$7:L$503),"")</f>
        <v>0</v>
      </c>
      <c r="AW62" s="1423" t="n">
        <f aca="false">IF(ISNUMBER($AR62),SUMIF(AE$7:AE$503,$AR62,K$7:K$503),"")</f>
        <v>0</v>
      </c>
      <c r="AX62" s="1423" t="n">
        <f aca="false">IF(ISNUMBER($AR62),SUMIF(AG$7:AG$503,$AR62,M$7:M$503),"")</f>
        <v>0</v>
      </c>
      <c r="AY62" s="2" t="str">
        <f aca="false">IF($AT62&gt;0,VLOOKUP($AR62,'O_MN, PE_UTA_UGM 2024'!E58:O474,2),"")</f>
        <v/>
      </c>
      <c r="AZ62" s="1507"/>
      <c r="BA62" s="1507"/>
      <c r="BB62" s="1507" t="str">
        <f aca="false">IF($AT62&gt;0,VLOOKUP($AR62,'O_MN, PE_UTA_UGM 2024'!$E$3:$O$419,BB$6),"")</f>
        <v/>
      </c>
      <c r="BC62" s="1507" t="str">
        <f aca="false">IF($AT62&gt;0,VLOOKUP($AR62,'O_MN, PE_UTA_UGM 2024'!$E$3:$O$419,BC$6),"")</f>
        <v/>
      </c>
      <c r="BD62" s="1507" t="str">
        <f aca="false">IF($AT62&gt;0,VLOOKUP($AR62,'O_MN, PE_UTA_UGM 2024'!$E$3:$O$419,BD$6),"")</f>
        <v/>
      </c>
      <c r="BE62" s="1507" t="str">
        <f aca="false">IF($AT62&gt;0,VLOOKUP($AR62,'O_MN, PE_UTA_UGM 2024'!$E$3:$O$419,BE$6),"")</f>
        <v/>
      </c>
      <c r="BF62" s="1507" t="str">
        <f aca="false">IF($AT62&gt;0,VLOOKUP($AR62,'O_MN, PE_UTA_UGM 2024'!$E$3:$O$419,BF$6),"")</f>
        <v/>
      </c>
      <c r="BG62" s="1507" t="str">
        <f aca="false">IF($AT62&gt;0,VLOOKUP($AR62,'O_MN, PE_UTA_UGM 2024'!$E$3:$O$419,BG$6),"")</f>
        <v/>
      </c>
      <c r="BH62" s="1504"/>
      <c r="BI62" s="1504"/>
      <c r="BJ62" s="1504"/>
      <c r="BK62" s="1504"/>
      <c r="BM62" s="1411"/>
      <c r="BN62" s="1411"/>
      <c r="BO62" s="1425" t="str">
        <f aca="false">IF(ISNUMBER($AU62*BB62*1),$AU62*BB62*1,"")</f>
        <v/>
      </c>
      <c r="BP62" s="1425" t="str">
        <f aca="false">IF(ISNUMBER($AV62*BC62*1),$AV62*BC62*1,"")</f>
        <v/>
      </c>
      <c r="BQ62" s="1425" t="str">
        <f aca="false">IF(ISNUMBER($AU62*BD62*1),$AU62*BD62*1,"")</f>
        <v/>
      </c>
      <c r="BR62" s="1425" t="str">
        <f aca="false">IF(ISNUMBER($AV62*BE62*1),$AV62*BE62*1,"")</f>
        <v/>
      </c>
      <c r="BS62" s="1411" t="str">
        <f aca="false">IF(ISNUMBER($AU62*BF62),$AU62*BF62,"")</f>
        <v/>
      </c>
      <c r="BT62" s="1411" t="str">
        <f aca="false">IF(ISNUMBER($AV62*BG62),$AV62*BG62,"")</f>
        <v/>
      </c>
      <c r="BU62" s="1411"/>
      <c r="BV62" s="1411"/>
      <c r="BW62" s="1411"/>
      <c r="BX62" s="1411"/>
      <c r="BZ62" s="1372"/>
      <c r="CA62" s="1372"/>
      <c r="CB62" s="1426" t="str">
        <f aca="false">IF(ISNUMBER($AW62*BB62),$AW62*BB62,"")</f>
        <v/>
      </c>
      <c r="CC62" s="1426" t="str">
        <f aca="false">IF(ISNUMBER($AX62*BC62),$AX62*BC62,"")</f>
        <v/>
      </c>
      <c r="CD62" s="1426" t="str">
        <f aca="false">IF(ISNUMBER($AW62*BD62),$AW62*BD62,"")</f>
        <v/>
      </c>
      <c r="CE62" s="1426" t="str">
        <f aca="false">IF(ISNUMBER($AX62*BE62),$AX62*BE62,"")</f>
        <v/>
      </c>
      <c r="CF62" s="1372" t="str">
        <f aca="false">IF(ISNUMBER($AW62*BF62),$AW62*BF62,"")</f>
        <v/>
      </c>
      <c r="CG62" s="1372" t="str">
        <f aca="false">IF(ISNUMBER($AX62*BG62),$AX62*BG62,"")</f>
        <v/>
      </c>
      <c r="CH62" s="1438"/>
      <c r="CI62" s="1438"/>
      <c r="CJ62" s="1438"/>
      <c r="CK62" s="1438"/>
      <c r="CU62" s="1411"/>
      <c r="CV62" s="1411"/>
      <c r="CW62" s="1425"/>
      <c r="CX62" s="1425"/>
      <c r="CY62" s="1425"/>
      <c r="CZ62" s="1425"/>
      <c r="DA62" s="1411"/>
      <c r="DB62" s="1411"/>
      <c r="DC62" s="1411"/>
      <c r="DD62" s="1411"/>
      <c r="DE62" s="1411"/>
      <c r="DF62" s="1411"/>
      <c r="DH62" s="1432"/>
      <c r="DI62" s="1432"/>
      <c r="DJ62" s="1437"/>
      <c r="DK62" s="1437"/>
      <c r="DL62" s="1437"/>
      <c r="DM62" s="1437"/>
      <c r="DN62" s="1432"/>
      <c r="DO62" s="1432"/>
      <c r="DP62" s="1432"/>
      <c r="DQ62" s="1432"/>
      <c r="DR62" s="1432"/>
      <c r="DS62" s="1432"/>
      <c r="DT62" s="1316"/>
      <c r="DU62" s="1433"/>
      <c r="DV62" s="1433"/>
      <c r="DW62" s="1433"/>
      <c r="DX62" s="1433"/>
      <c r="DY62" s="1433"/>
      <c r="DZ62" s="1433"/>
      <c r="EA62" s="1433"/>
      <c r="EB62" s="1433"/>
    </row>
    <row r="63" customFormat="false" ht="14.25" hidden="false" customHeight="false" outlineLevel="0" collapsed="false">
      <c r="A63" s="2" t="n">
        <f aca="false">'V_DATOS PAC_SGA'!CC58</f>
        <v>0</v>
      </c>
      <c r="B63" s="2" t="n">
        <f aca="false">IF(OR(A63=0,A63=""),0,IF(I63="IV",CONCATENATE('V_DATOS PAC_SGA'!CC58,"4")+0,CONCATENATE('V_DATOS PAC_SGA'!CC58,"0")+0))</f>
        <v>0</v>
      </c>
      <c r="C63" s="2" t="n">
        <f aca="false">'V_DATOS PAC_SGA'!CD58</f>
        <v>0</v>
      </c>
      <c r="D63" s="1409" t="n">
        <f aca="false">'V_DATOS PAC_SGA'!Y58</f>
        <v>0</v>
      </c>
      <c r="E63" s="1410" t="str">
        <f aca="false">IF('V_DATOS PAC_SGA'!AV58="","Regadio",'V_DATOS PAC_SGA'!AV58)</f>
        <v>Regadio</v>
      </c>
      <c r="F63" s="1411" t="n">
        <f aca="false">'V_DATOS PAC_SGA'!BK58</f>
        <v>0</v>
      </c>
      <c r="G63" s="1412" t="n">
        <f aca="false">'V_DATOS PAC_SGA'!AN58</f>
        <v>0</v>
      </c>
      <c r="H63" s="1413" t="str">
        <f aca="false">IF(B63&gt;0,VLOOKUP(B63,'O_MN, PE_UTA_UGM 2024'!E$3:O$419,10),"")</f>
        <v/>
      </c>
      <c r="I63" s="1359" t="str">
        <f aca="false">IF('V_DATOS PAC_SGA'!BV58="IV",'V_DATOS PAC_SGA'!BV58,"")</f>
        <v/>
      </c>
      <c r="J63" s="2" t="str">
        <f aca="false">IF($A63&gt;0,IF(AND(J$4=$G63,J$6=$F63),$D63*J$5,""),"")</f>
        <v/>
      </c>
      <c r="K63" s="2" t="str">
        <f aca="false">IF($A63&gt;0,IF(AND(K$4=$G63,K$6=$F63),$D63*K$5,""),"")</f>
        <v/>
      </c>
      <c r="L63" s="2" t="str">
        <f aca="false">IF($A63&gt;0,IF(AND(L$4=$G63,L$6=$F63),$D63*L$5,""),"")</f>
        <v/>
      </c>
      <c r="M63" s="2" t="str">
        <f aca="false">IF($A63&gt;0,IF(AND(M$4=$G63,M$6=$F63),$D63*M$5,""),"")</f>
        <v/>
      </c>
      <c r="N63" s="1506" t="n">
        <f aca="false">VLOOKUP(B63,'O_MN, PE_UTA_UGM 2024'!$E$2:$K$419,IF(G63&gt;1,6,7))</f>
        <v>0</v>
      </c>
      <c r="O63" s="1434" t="str">
        <f aca="false">IF($H63=O$4,$D63*$N63,"")</f>
        <v/>
      </c>
      <c r="P63" s="1435" t="str">
        <f aca="false">IF($H63=P$4,$D63*$N63,"")</f>
        <v/>
      </c>
      <c r="Q63" s="1435" t="str">
        <f aca="false">IF($H63=Q$4,$D63*$N63,"")</f>
        <v/>
      </c>
      <c r="R63" s="1435" t="str">
        <f aca="false">IF($H63=R$4,$D63*$N63,"")</f>
        <v/>
      </c>
      <c r="S63" s="1435" t="str">
        <f aca="false">IF($H63=S$4,$D63*$N63,"")</f>
        <v/>
      </c>
      <c r="T63" s="1435" t="str">
        <f aca="false">IF($H63=T$4,$D63*$N63,"")</f>
        <v/>
      </c>
      <c r="U63" s="1436" t="str">
        <f aca="false">IF($H63=U$4,$D63*$N63,"")</f>
        <v/>
      </c>
      <c r="V63" s="1418"/>
      <c r="W63" s="1419"/>
      <c r="X63" s="1419"/>
      <c r="Y63" s="1419"/>
      <c r="Z63" s="1419"/>
      <c r="AA63" s="1419"/>
      <c r="AB63" s="1420"/>
      <c r="AC63" s="1319"/>
      <c r="AD63" s="2" t="str">
        <f aca="false">IF(AND(AD$4=$G63,AD$6=$F63),$B63,"")</f>
        <v/>
      </c>
      <c r="AE63" s="2" t="str">
        <f aca="false">IF(AND(AE$4=$G63,AE$6=$F63),$B63,"")</f>
        <v/>
      </c>
      <c r="AF63" s="2" t="str">
        <f aca="false">IF(AND(AF$4=$G63,AF$6=$F63),$B63,"")</f>
        <v/>
      </c>
      <c r="AG63" s="2" t="str">
        <f aca="false">IF(AND(AG$4=$G63,AG$6=$F63),$B63,"")</f>
        <v/>
      </c>
      <c r="AI63" s="366"/>
      <c r="AL63" s="367"/>
      <c r="AO63" s="367"/>
      <c r="AP63" s="2" t="str">
        <f aca="false">IF(AT63&gt;0,RANK(AT63,AT$7:AT$423),"")</f>
        <v/>
      </c>
      <c r="AQ63" s="2" t="n">
        <f aca="false">'O_MN, PE_UTA_UGM 2024'!C59</f>
        <v>105</v>
      </c>
      <c r="AR63" s="1421" t="n">
        <v>990</v>
      </c>
      <c r="AS63" s="2" t="str">
        <f aca="false">IF(AY63&lt;&gt;"",AY63,"")</f>
        <v/>
      </c>
      <c r="AT63" s="1422" t="n">
        <f aca="false">IF(ISNUMBER($AR63),SUMIF(B$7:B$505,AR63,D$7:D$505),"")</f>
        <v>0</v>
      </c>
      <c r="AU63" s="1411" t="n">
        <f aca="false">IF(ISNUMBER($AR63),SUMIF(AD$7:AD$503,$AR63,J$7:J$503),"")</f>
        <v>0</v>
      </c>
      <c r="AV63" s="1411" t="n">
        <f aca="false">IF(ISNUMBER($AR63),SUMIF(AF$7:AF$503,$AR63,L$7:L$503),"")</f>
        <v>0</v>
      </c>
      <c r="AW63" s="1423" t="n">
        <f aca="false">IF(ISNUMBER($AR63),SUMIF(AE$7:AE$503,$AR63,K$7:K$503),"")</f>
        <v>0</v>
      </c>
      <c r="AX63" s="1423" t="n">
        <f aca="false">IF(ISNUMBER($AR63),SUMIF(AG$7:AG$503,$AR63,M$7:M$503),"")</f>
        <v>0</v>
      </c>
      <c r="AY63" s="2" t="str">
        <f aca="false">IF($AT63&gt;0,VLOOKUP($AR63,'O_MN, PE_UTA_UGM 2024'!E59:O475,2),"")</f>
        <v/>
      </c>
      <c r="AZ63" s="1507"/>
      <c r="BA63" s="1507"/>
      <c r="BB63" s="1507" t="str">
        <f aca="false">IF($AT63&gt;0,VLOOKUP($AR63,'O_MN, PE_UTA_UGM 2024'!$E$3:$O$419,BB$6),"")</f>
        <v/>
      </c>
      <c r="BC63" s="1507" t="str">
        <f aca="false">IF($AT63&gt;0,VLOOKUP($AR63,'O_MN, PE_UTA_UGM 2024'!$E$3:$O$419,BC$6),"")</f>
        <v/>
      </c>
      <c r="BD63" s="1507" t="str">
        <f aca="false">IF($AT63&gt;0,VLOOKUP($AR63,'O_MN, PE_UTA_UGM 2024'!$E$3:$O$419,BD$6),"")</f>
        <v/>
      </c>
      <c r="BE63" s="1507" t="str">
        <f aca="false">IF($AT63&gt;0,VLOOKUP($AR63,'O_MN, PE_UTA_UGM 2024'!$E$3:$O$419,BE$6),"")</f>
        <v/>
      </c>
      <c r="BF63" s="1507" t="str">
        <f aca="false">IF($AT63&gt;0,VLOOKUP($AR63,'O_MN, PE_UTA_UGM 2024'!$E$3:$O$419,BF$6),"")</f>
        <v/>
      </c>
      <c r="BG63" s="1507" t="str">
        <f aca="false">IF($AT63&gt;0,VLOOKUP($AR63,'O_MN, PE_UTA_UGM 2024'!$E$3:$O$419,BG$6),"")</f>
        <v/>
      </c>
      <c r="BH63" s="1504"/>
      <c r="BI63" s="1504"/>
      <c r="BJ63" s="1504"/>
      <c r="BK63" s="1504"/>
      <c r="BM63" s="1411"/>
      <c r="BN63" s="1411"/>
      <c r="BO63" s="1425" t="str">
        <f aca="false">IF(ISNUMBER($AU63*BB63*1),$AU63*BB63*1,"")</f>
        <v/>
      </c>
      <c r="BP63" s="1425" t="str">
        <f aca="false">IF(ISNUMBER($AV63*BC63*1),$AV63*BC63*1,"")</f>
        <v/>
      </c>
      <c r="BQ63" s="1425" t="str">
        <f aca="false">IF(ISNUMBER($AU63*BD63*1),$AU63*BD63*1,"")</f>
        <v/>
      </c>
      <c r="BR63" s="1425" t="str">
        <f aca="false">IF(ISNUMBER($AV63*BE63*1),$AV63*BE63*1,"")</f>
        <v/>
      </c>
      <c r="BS63" s="1411" t="str">
        <f aca="false">IF(ISNUMBER($AU63*BF63),$AU63*BF63,"")</f>
        <v/>
      </c>
      <c r="BT63" s="1411" t="str">
        <f aca="false">IF(ISNUMBER($AV63*BG63),$AV63*BG63,"")</f>
        <v/>
      </c>
      <c r="BU63" s="1411"/>
      <c r="BV63" s="1411"/>
      <c r="BW63" s="1411"/>
      <c r="BX63" s="1411"/>
      <c r="BZ63" s="1372"/>
      <c r="CA63" s="1372"/>
      <c r="CB63" s="1426" t="str">
        <f aca="false">IF(ISNUMBER($AW63*BB63),$AW63*BB63,"")</f>
        <v/>
      </c>
      <c r="CC63" s="1426" t="str">
        <f aca="false">IF(ISNUMBER($AX63*BC63),$AX63*BC63,"")</f>
        <v/>
      </c>
      <c r="CD63" s="1426" t="str">
        <f aca="false">IF(ISNUMBER($AW63*BD63),$AW63*BD63,"")</f>
        <v/>
      </c>
      <c r="CE63" s="1426" t="str">
        <f aca="false">IF(ISNUMBER($AX63*BE63),$AX63*BE63,"")</f>
        <v/>
      </c>
      <c r="CF63" s="1372" t="str">
        <f aca="false">IF(ISNUMBER($AW63*BF63),$AW63*BF63,"")</f>
        <v/>
      </c>
      <c r="CG63" s="1372" t="str">
        <f aca="false">IF(ISNUMBER($AX63*BG63),$AX63*BG63,"")</f>
        <v/>
      </c>
      <c r="CH63" s="1438"/>
      <c r="CI63" s="1438"/>
      <c r="CJ63" s="1438"/>
      <c r="CK63" s="1438"/>
      <c r="CU63" s="1411"/>
      <c r="CV63" s="1411"/>
      <c r="CW63" s="1425"/>
      <c r="CX63" s="1425"/>
      <c r="CY63" s="1425"/>
      <c r="CZ63" s="1425"/>
      <c r="DA63" s="1411"/>
      <c r="DB63" s="1411"/>
      <c r="DC63" s="1411"/>
      <c r="DD63" s="1411"/>
      <c r="DE63" s="1411"/>
      <c r="DF63" s="1411"/>
      <c r="DH63" s="1432"/>
      <c r="DI63" s="1432"/>
      <c r="DJ63" s="1437"/>
      <c r="DK63" s="1437"/>
      <c r="DL63" s="1437"/>
      <c r="DM63" s="1437"/>
      <c r="DN63" s="1432"/>
      <c r="DO63" s="1432"/>
      <c r="DP63" s="1432"/>
      <c r="DQ63" s="1432"/>
      <c r="DR63" s="1432"/>
      <c r="DS63" s="1432"/>
      <c r="DT63" s="1316"/>
      <c r="DU63" s="1433"/>
      <c r="DV63" s="1433"/>
      <c r="DW63" s="1433"/>
      <c r="DX63" s="1433"/>
      <c r="DY63" s="1433"/>
      <c r="DZ63" s="1433"/>
      <c r="EA63" s="1433"/>
      <c r="EB63" s="1433"/>
    </row>
    <row r="64" customFormat="false" ht="14.25" hidden="false" customHeight="false" outlineLevel="0" collapsed="false">
      <c r="A64" s="2" t="n">
        <f aca="false">'V_DATOS PAC_SGA'!CC59</f>
        <v>0</v>
      </c>
      <c r="B64" s="2" t="n">
        <f aca="false">IF(OR(A64=0,A64=""),0,IF(I64="IV",CONCATENATE('V_DATOS PAC_SGA'!CC59,"4")+0,CONCATENATE('V_DATOS PAC_SGA'!CC59,"0")+0))</f>
        <v>0</v>
      </c>
      <c r="C64" s="2" t="n">
        <f aca="false">'V_DATOS PAC_SGA'!CD59</f>
        <v>0</v>
      </c>
      <c r="D64" s="1409" t="n">
        <f aca="false">'V_DATOS PAC_SGA'!Y59</f>
        <v>0</v>
      </c>
      <c r="E64" s="1410" t="str">
        <f aca="false">IF('V_DATOS PAC_SGA'!AV59="","Regadio",'V_DATOS PAC_SGA'!AV59)</f>
        <v>Regadio</v>
      </c>
      <c r="F64" s="1411" t="n">
        <f aca="false">'V_DATOS PAC_SGA'!BK59</f>
        <v>0</v>
      </c>
      <c r="G64" s="1412" t="n">
        <f aca="false">'V_DATOS PAC_SGA'!AN59</f>
        <v>0</v>
      </c>
      <c r="H64" s="1413" t="str">
        <f aca="false">IF(B64&gt;0,VLOOKUP(B64,'O_MN, PE_UTA_UGM 2024'!E$3:O$419,10),"")</f>
        <v/>
      </c>
      <c r="I64" s="1359" t="str">
        <f aca="false">IF('V_DATOS PAC_SGA'!BV59="IV",'V_DATOS PAC_SGA'!BV59,"")</f>
        <v/>
      </c>
      <c r="J64" s="2" t="str">
        <f aca="false">IF($A64&gt;0,IF(AND(J$4=$G64,J$6=$F64),$D64*J$5,""),"")</f>
        <v/>
      </c>
      <c r="K64" s="2" t="str">
        <f aca="false">IF($A64&gt;0,IF(AND(K$4=$G64,K$6=$F64),$D64*K$5,""),"")</f>
        <v/>
      </c>
      <c r="L64" s="2" t="str">
        <f aca="false">IF($A64&gt;0,IF(AND(L$4=$G64,L$6=$F64),$D64*L$5,""),"")</f>
        <v/>
      </c>
      <c r="M64" s="2" t="str">
        <f aca="false">IF($A64&gt;0,IF(AND(M$4=$G64,M$6=$F64),$D64*M$5,""),"")</f>
        <v/>
      </c>
      <c r="N64" s="1506" t="n">
        <f aca="false">VLOOKUP(B64,'O_MN, PE_UTA_UGM 2024'!$E$2:$K$419,IF(G64&gt;1,6,7))</f>
        <v>0</v>
      </c>
      <c r="O64" s="1434" t="str">
        <f aca="false">IF($H64=O$4,$D64*$N64,"")</f>
        <v/>
      </c>
      <c r="P64" s="1435" t="str">
        <f aca="false">IF($H64=P$4,$D64*$N64,"")</f>
        <v/>
      </c>
      <c r="Q64" s="1435" t="str">
        <f aca="false">IF($H64=Q$4,$D64*$N64,"")</f>
        <v/>
      </c>
      <c r="R64" s="1435" t="str">
        <f aca="false">IF($H64=R$4,$D64*$N64,"")</f>
        <v/>
      </c>
      <c r="S64" s="1435" t="str">
        <f aca="false">IF($H64=S$4,$D64*$N64,"")</f>
        <v/>
      </c>
      <c r="T64" s="1435" t="str">
        <f aca="false">IF($H64=T$4,$D64*$N64,"")</f>
        <v/>
      </c>
      <c r="U64" s="1436" t="str">
        <f aca="false">IF($H64=U$4,$D64*$N64,"")</f>
        <v/>
      </c>
      <c r="V64" s="1418"/>
      <c r="W64" s="1419"/>
      <c r="X64" s="1419"/>
      <c r="Y64" s="1419"/>
      <c r="Z64" s="1419"/>
      <c r="AA64" s="1419"/>
      <c r="AB64" s="1420"/>
      <c r="AC64" s="1319"/>
      <c r="AD64" s="2" t="str">
        <f aca="false">IF(AND(AD$4=$G64,AD$6=$F64),$B64,"")</f>
        <v/>
      </c>
      <c r="AE64" s="2" t="str">
        <f aca="false">IF(AND(AE$4=$G64,AE$6=$F64),$B64,"")</f>
        <v/>
      </c>
      <c r="AF64" s="2" t="str">
        <f aca="false">IF(AND(AF$4=$G64,AF$6=$F64),$B64,"")</f>
        <v/>
      </c>
      <c r="AG64" s="2" t="str">
        <f aca="false">IF(AND(AG$4=$G64,AG$6=$F64),$B64,"")</f>
        <v/>
      </c>
      <c r="AI64" s="366"/>
      <c r="AL64" s="367"/>
      <c r="AO64" s="367"/>
      <c r="AP64" s="2" t="str">
        <f aca="false">IF(AT64&gt;0,RANK(AT64,AT$7:AT$423),"")</f>
        <v/>
      </c>
      <c r="AQ64" s="2" t="n">
        <f aca="false">'O_MN, PE_UTA_UGM 2024'!C60</f>
        <v>106</v>
      </c>
      <c r="AR64" s="1421" t="n">
        <v>1010</v>
      </c>
      <c r="AS64" s="2" t="str">
        <f aca="false">IF(AY64&lt;&gt;"",AY64,"")</f>
        <v/>
      </c>
      <c r="AT64" s="1422" t="n">
        <f aca="false">IF(ISNUMBER($AR64),SUMIF(B$7:B$505,AR64,D$7:D$505),"")</f>
        <v>0</v>
      </c>
      <c r="AU64" s="1411" t="n">
        <f aca="false">IF(ISNUMBER($AR64),SUMIF(AD$7:AD$503,$AR64,J$7:J$503),"")</f>
        <v>0</v>
      </c>
      <c r="AV64" s="1411" t="n">
        <f aca="false">IF(ISNUMBER($AR64),SUMIF(AF$7:AF$503,$AR64,L$7:L$503),"")</f>
        <v>0</v>
      </c>
      <c r="AW64" s="1423" t="n">
        <f aca="false">IF(ISNUMBER($AR64),SUMIF(AE$7:AE$503,$AR64,K$7:K$503),"")</f>
        <v>0</v>
      </c>
      <c r="AX64" s="1423" t="n">
        <f aca="false">IF(ISNUMBER($AR64),SUMIF(AG$7:AG$503,$AR64,M$7:M$503),"")</f>
        <v>0</v>
      </c>
      <c r="AY64" s="2" t="str">
        <f aca="false">IF($AT64&gt;0,VLOOKUP($AR64,'O_MN, PE_UTA_UGM 2024'!E60:O476,2),"")</f>
        <v/>
      </c>
      <c r="AZ64" s="1507"/>
      <c r="BA64" s="1507"/>
      <c r="BB64" s="1507" t="str">
        <f aca="false">IF($AT64&gt;0,VLOOKUP($AR64,'O_MN, PE_UTA_UGM 2024'!$E$3:$O$419,BB$6),"")</f>
        <v/>
      </c>
      <c r="BC64" s="1507" t="str">
        <f aca="false">IF($AT64&gt;0,VLOOKUP($AR64,'O_MN, PE_UTA_UGM 2024'!$E$3:$O$419,BC$6),"")</f>
        <v/>
      </c>
      <c r="BD64" s="1507" t="str">
        <f aca="false">IF($AT64&gt;0,VLOOKUP($AR64,'O_MN, PE_UTA_UGM 2024'!$E$3:$O$419,BD$6),"")</f>
        <v/>
      </c>
      <c r="BE64" s="1507" t="str">
        <f aca="false">IF($AT64&gt;0,VLOOKUP($AR64,'O_MN, PE_UTA_UGM 2024'!$E$3:$O$419,BE$6),"")</f>
        <v/>
      </c>
      <c r="BF64" s="1507" t="str">
        <f aca="false">IF($AT64&gt;0,VLOOKUP($AR64,'O_MN, PE_UTA_UGM 2024'!$E$3:$O$419,BF$6),"")</f>
        <v/>
      </c>
      <c r="BG64" s="1507" t="str">
        <f aca="false">IF($AT64&gt;0,VLOOKUP($AR64,'O_MN, PE_UTA_UGM 2024'!$E$3:$O$419,BG$6),"")</f>
        <v/>
      </c>
      <c r="BH64" s="1504"/>
      <c r="BI64" s="1504"/>
      <c r="BJ64" s="1504"/>
      <c r="BK64" s="1504"/>
      <c r="BM64" s="1411"/>
      <c r="BN64" s="1411"/>
      <c r="BO64" s="1425" t="str">
        <f aca="false">IF(ISNUMBER($AU64*BB64*1),$AU64*BB64*1,"")</f>
        <v/>
      </c>
      <c r="BP64" s="1425" t="str">
        <f aca="false">IF(ISNUMBER($AV64*BC64*1),$AV64*BC64*1,"")</f>
        <v/>
      </c>
      <c r="BQ64" s="1425" t="str">
        <f aca="false">IF(ISNUMBER($AU64*BD64*1),$AU64*BD64*1,"")</f>
        <v/>
      </c>
      <c r="BR64" s="1425" t="str">
        <f aca="false">IF(ISNUMBER($AV64*BE64*1),$AV64*BE64*1,"")</f>
        <v/>
      </c>
      <c r="BS64" s="1411" t="str">
        <f aca="false">IF(ISNUMBER($AU64*BF64),$AU64*BF64,"")</f>
        <v/>
      </c>
      <c r="BT64" s="1411" t="str">
        <f aca="false">IF(ISNUMBER($AV64*BG64),$AV64*BG64,"")</f>
        <v/>
      </c>
      <c r="BU64" s="1411"/>
      <c r="BV64" s="1411"/>
      <c r="BW64" s="1411"/>
      <c r="BX64" s="1411"/>
      <c r="BZ64" s="1372"/>
      <c r="CA64" s="1372"/>
      <c r="CB64" s="1426" t="str">
        <f aca="false">IF(ISNUMBER($AW64*BB64),$AW64*BB64,"")</f>
        <v/>
      </c>
      <c r="CC64" s="1426" t="str">
        <f aca="false">IF(ISNUMBER($AX64*BC64),$AX64*BC64,"")</f>
        <v/>
      </c>
      <c r="CD64" s="1426" t="str">
        <f aca="false">IF(ISNUMBER($AW64*BD64),$AW64*BD64,"")</f>
        <v/>
      </c>
      <c r="CE64" s="1426" t="str">
        <f aca="false">IF(ISNUMBER($AX64*BE64),$AX64*BE64,"")</f>
        <v/>
      </c>
      <c r="CF64" s="1372" t="str">
        <f aca="false">IF(ISNUMBER($AW64*BF64),$AW64*BF64,"")</f>
        <v/>
      </c>
      <c r="CG64" s="1372" t="str">
        <f aca="false">IF(ISNUMBER($AX64*BG64),$AX64*BG64,"")</f>
        <v/>
      </c>
      <c r="CH64" s="1438"/>
      <c r="CI64" s="1438"/>
      <c r="CJ64" s="1438"/>
      <c r="CK64" s="1438"/>
      <c r="CU64" s="1411"/>
      <c r="CV64" s="1411"/>
      <c r="CW64" s="1425"/>
      <c r="CX64" s="1425"/>
      <c r="CY64" s="1425"/>
      <c r="CZ64" s="1425"/>
      <c r="DA64" s="1411"/>
      <c r="DB64" s="1411"/>
      <c r="DC64" s="1411"/>
      <c r="DD64" s="1411"/>
      <c r="DE64" s="1411"/>
      <c r="DF64" s="1411"/>
      <c r="DH64" s="1432"/>
      <c r="DI64" s="1432"/>
      <c r="DJ64" s="1437"/>
      <c r="DK64" s="1437"/>
      <c r="DL64" s="1437"/>
      <c r="DM64" s="1437"/>
      <c r="DN64" s="1432"/>
      <c r="DO64" s="1432"/>
      <c r="DP64" s="1432"/>
      <c r="DQ64" s="1432"/>
      <c r="DR64" s="1432"/>
      <c r="DS64" s="1432"/>
      <c r="DT64" s="1316"/>
      <c r="DU64" s="1433"/>
      <c r="DV64" s="1433"/>
      <c r="DW64" s="1433"/>
      <c r="DX64" s="1433"/>
      <c r="DY64" s="1433"/>
      <c r="DZ64" s="1433"/>
      <c r="EA64" s="1433"/>
      <c r="EB64" s="1433"/>
    </row>
    <row r="65" customFormat="false" ht="14.25" hidden="false" customHeight="false" outlineLevel="0" collapsed="false">
      <c r="A65" s="2" t="n">
        <f aca="false">'V_DATOS PAC_SGA'!CC60</f>
        <v>0</v>
      </c>
      <c r="B65" s="2" t="n">
        <f aca="false">IF(OR(A65=0,A65=""),0,IF(I65="IV",CONCATENATE('V_DATOS PAC_SGA'!CC60,"4")+0,CONCATENATE('V_DATOS PAC_SGA'!CC60,"0")+0))</f>
        <v>0</v>
      </c>
      <c r="C65" s="2" t="n">
        <f aca="false">'V_DATOS PAC_SGA'!CD60</f>
        <v>0</v>
      </c>
      <c r="D65" s="1409" t="n">
        <f aca="false">'V_DATOS PAC_SGA'!Y60</f>
        <v>0</v>
      </c>
      <c r="E65" s="1410" t="str">
        <f aca="false">IF('V_DATOS PAC_SGA'!AV60="","Regadio",'V_DATOS PAC_SGA'!AV60)</f>
        <v>Regadio</v>
      </c>
      <c r="F65" s="1411" t="n">
        <f aca="false">'V_DATOS PAC_SGA'!BK60</f>
        <v>0</v>
      </c>
      <c r="G65" s="1412" t="n">
        <f aca="false">'V_DATOS PAC_SGA'!AN60</f>
        <v>0</v>
      </c>
      <c r="H65" s="1413" t="str">
        <f aca="false">IF(B65&gt;0,VLOOKUP(B65,'O_MN, PE_UTA_UGM 2024'!E$3:O$419,10),"")</f>
        <v/>
      </c>
      <c r="I65" s="1359" t="str">
        <f aca="false">IF('V_DATOS PAC_SGA'!BV60="IV",'V_DATOS PAC_SGA'!BV60,"")</f>
        <v/>
      </c>
      <c r="J65" s="2" t="str">
        <f aca="false">IF($A65&gt;0,IF(AND(J$4=$G65,J$6=$F65),$D65*J$5,""),"")</f>
        <v/>
      </c>
      <c r="K65" s="2" t="str">
        <f aca="false">IF($A65&gt;0,IF(AND(K$4=$G65,K$6=$F65),$D65*K$5,""),"")</f>
        <v/>
      </c>
      <c r="L65" s="2" t="str">
        <f aca="false">IF($A65&gt;0,IF(AND(L$4=$G65,L$6=$F65),$D65*L$5,""),"")</f>
        <v/>
      </c>
      <c r="M65" s="2" t="str">
        <f aca="false">IF($A65&gt;0,IF(AND(M$4=$G65,M$6=$F65),$D65*M$5,""),"")</f>
        <v/>
      </c>
      <c r="N65" s="1506" t="n">
        <f aca="false">VLOOKUP(B65,'O_MN, PE_UTA_UGM 2024'!$E$2:$K$419,IF(G65&gt;1,6,7))</f>
        <v>0</v>
      </c>
      <c r="O65" s="1434" t="str">
        <f aca="false">IF($H65=O$4,$D65*$N65,"")</f>
        <v/>
      </c>
      <c r="P65" s="1435" t="str">
        <f aca="false">IF($H65=P$4,$D65*$N65,"")</f>
        <v/>
      </c>
      <c r="Q65" s="1435" t="str">
        <f aca="false">IF($H65=Q$4,$D65*$N65,"")</f>
        <v/>
      </c>
      <c r="R65" s="1435" t="str">
        <f aca="false">IF($H65=R$4,$D65*$N65,"")</f>
        <v/>
      </c>
      <c r="S65" s="1435" t="str">
        <f aca="false">IF($H65=S$4,$D65*$N65,"")</f>
        <v/>
      </c>
      <c r="T65" s="1435" t="str">
        <f aca="false">IF($H65=T$4,$D65*$N65,"")</f>
        <v/>
      </c>
      <c r="U65" s="1436" t="str">
        <f aca="false">IF($H65=U$4,$D65*$N65,"")</f>
        <v/>
      </c>
      <c r="V65" s="1418"/>
      <c r="W65" s="1419"/>
      <c r="X65" s="1419"/>
      <c r="Y65" s="1419"/>
      <c r="Z65" s="1419"/>
      <c r="AA65" s="1419"/>
      <c r="AB65" s="1420"/>
      <c r="AC65" s="1319"/>
      <c r="AD65" s="2" t="str">
        <f aca="false">IF(AND(AD$4=$G65,AD$6=$F65),$B65,"")</f>
        <v/>
      </c>
      <c r="AE65" s="2" t="str">
        <f aca="false">IF(AND(AE$4=$G65,AE$6=$F65),$B65,"")</f>
        <v/>
      </c>
      <c r="AF65" s="2" t="str">
        <f aca="false">IF(AND(AF$4=$G65,AF$6=$F65),$B65,"")</f>
        <v/>
      </c>
      <c r="AG65" s="2" t="str">
        <f aca="false">IF(AND(AG$4=$G65,AG$6=$F65),$B65,"")</f>
        <v/>
      </c>
      <c r="AI65" s="366"/>
      <c r="AL65" s="367"/>
      <c r="AO65" s="367"/>
      <c r="AP65" s="2" t="str">
        <f aca="false">IF(AT65&gt;0,RANK(AT65,AT$7:AT$423),"")</f>
        <v/>
      </c>
      <c r="AQ65" s="2" t="n">
        <f aca="false">'O_MN, PE_UTA_UGM 2024'!C61</f>
        <v>107</v>
      </c>
      <c r="AR65" s="1421" t="n">
        <v>1020</v>
      </c>
      <c r="AS65" s="2" t="str">
        <f aca="false">IF(AY65&lt;&gt;"",AY65,"")</f>
        <v/>
      </c>
      <c r="AT65" s="1422" t="n">
        <f aca="false">IF(ISNUMBER($AR65),SUMIF(B$7:B$505,AR65,D$7:D$505),"")</f>
        <v>0</v>
      </c>
      <c r="AU65" s="1411" t="n">
        <f aca="false">IF(ISNUMBER($AR65),SUMIF(AD$7:AD$503,$AR65,J$7:J$503),"")</f>
        <v>0</v>
      </c>
      <c r="AV65" s="1411" t="n">
        <f aca="false">IF(ISNUMBER($AR65),SUMIF(AF$7:AF$503,$AR65,L$7:L$503),"")</f>
        <v>0</v>
      </c>
      <c r="AW65" s="1423" t="n">
        <f aca="false">IF(ISNUMBER($AR65),SUMIF(AE$7:AE$503,$AR65,K$7:K$503),"")</f>
        <v>0</v>
      </c>
      <c r="AX65" s="1423" t="n">
        <f aca="false">IF(ISNUMBER($AR65),SUMIF(AG$7:AG$503,$AR65,M$7:M$503),"")</f>
        <v>0</v>
      </c>
      <c r="AY65" s="2" t="str">
        <f aca="false">IF($AT65&gt;0,VLOOKUP($AR65,'O_MN, PE_UTA_UGM 2024'!E61:O477,2),"")</f>
        <v/>
      </c>
      <c r="AZ65" s="1507"/>
      <c r="BA65" s="1507"/>
      <c r="BB65" s="1507" t="str">
        <f aca="false">IF($AT65&gt;0,VLOOKUP($AR65,'O_MN, PE_UTA_UGM 2024'!$E$3:$O$419,BB$6),"")</f>
        <v/>
      </c>
      <c r="BC65" s="1507" t="str">
        <f aca="false">IF($AT65&gt;0,VLOOKUP($AR65,'O_MN, PE_UTA_UGM 2024'!$E$3:$O$419,BC$6),"")</f>
        <v/>
      </c>
      <c r="BD65" s="1507" t="str">
        <f aca="false">IF($AT65&gt;0,VLOOKUP($AR65,'O_MN, PE_UTA_UGM 2024'!$E$3:$O$419,BD$6),"")</f>
        <v/>
      </c>
      <c r="BE65" s="1507" t="str">
        <f aca="false">IF($AT65&gt;0,VLOOKUP($AR65,'O_MN, PE_UTA_UGM 2024'!$E$3:$O$419,BE$6),"")</f>
        <v/>
      </c>
      <c r="BF65" s="1507" t="str">
        <f aca="false">IF($AT65&gt;0,VLOOKUP($AR65,'O_MN, PE_UTA_UGM 2024'!$E$3:$O$419,BF$6),"")</f>
        <v/>
      </c>
      <c r="BG65" s="1507" t="str">
        <f aca="false">IF($AT65&gt;0,VLOOKUP($AR65,'O_MN, PE_UTA_UGM 2024'!$E$3:$O$419,BG$6),"")</f>
        <v/>
      </c>
      <c r="BH65" s="1504"/>
      <c r="BI65" s="1504"/>
      <c r="BJ65" s="1504"/>
      <c r="BK65" s="1504"/>
      <c r="BM65" s="1411"/>
      <c r="BN65" s="1411"/>
      <c r="BO65" s="1425" t="str">
        <f aca="false">IF(ISNUMBER($AU65*BB65*1),$AU65*BB65*1,"")</f>
        <v/>
      </c>
      <c r="BP65" s="1425" t="str">
        <f aca="false">IF(ISNUMBER($AV65*BC65*1),$AV65*BC65*1,"")</f>
        <v/>
      </c>
      <c r="BQ65" s="1425" t="str">
        <f aca="false">IF(ISNUMBER($AU65*BD65*1),$AU65*BD65*1,"")</f>
        <v/>
      </c>
      <c r="BR65" s="1425" t="str">
        <f aca="false">IF(ISNUMBER($AV65*BE65*1),$AV65*BE65*1,"")</f>
        <v/>
      </c>
      <c r="BS65" s="1411" t="str">
        <f aca="false">IF(ISNUMBER($AU65*BF65),$AU65*BF65,"")</f>
        <v/>
      </c>
      <c r="BT65" s="1411" t="str">
        <f aca="false">IF(ISNUMBER($AV65*BG65),$AV65*BG65,"")</f>
        <v/>
      </c>
      <c r="BU65" s="1411"/>
      <c r="BV65" s="1411"/>
      <c r="BW65" s="1411"/>
      <c r="BX65" s="1411"/>
      <c r="BZ65" s="1372"/>
      <c r="CA65" s="1372"/>
      <c r="CB65" s="1426" t="str">
        <f aca="false">IF(ISNUMBER($AW65*BB65),$AW65*BB65,"")</f>
        <v/>
      </c>
      <c r="CC65" s="1426" t="str">
        <f aca="false">IF(ISNUMBER($AX65*BC65),$AX65*BC65,"")</f>
        <v/>
      </c>
      <c r="CD65" s="1426" t="str">
        <f aca="false">IF(ISNUMBER($AW65*BD65),$AW65*BD65,"")</f>
        <v/>
      </c>
      <c r="CE65" s="1426" t="str">
        <f aca="false">IF(ISNUMBER($AX65*BE65),$AX65*BE65,"")</f>
        <v/>
      </c>
      <c r="CF65" s="1372" t="str">
        <f aca="false">IF(ISNUMBER($AW65*BF65),$AW65*BF65,"")</f>
        <v/>
      </c>
      <c r="CG65" s="1372" t="str">
        <f aca="false">IF(ISNUMBER($AX65*BG65),$AX65*BG65,"")</f>
        <v/>
      </c>
      <c r="CH65" s="1438"/>
      <c r="CI65" s="1438"/>
      <c r="CJ65" s="1438"/>
      <c r="CK65" s="1438"/>
      <c r="CU65" s="1411"/>
      <c r="CV65" s="1411"/>
      <c r="CW65" s="1425"/>
      <c r="CX65" s="1425"/>
      <c r="CY65" s="1425"/>
      <c r="CZ65" s="1425"/>
      <c r="DA65" s="1411"/>
      <c r="DB65" s="1411"/>
      <c r="DC65" s="1411"/>
      <c r="DD65" s="1411"/>
      <c r="DE65" s="1411"/>
      <c r="DF65" s="1411"/>
      <c r="DH65" s="1432"/>
      <c r="DI65" s="1432"/>
      <c r="DJ65" s="1437"/>
      <c r="DK65" s="1437"/>
      <c r="DL65" s="1437"/>
      <c r="DM65" s="1437"/>
      <c r="DN65" s="1432"/>
      <c r="DO65" s="1432"/>
      <c r="DP65" s="1432"/>
      <c r="DQ65" s="1432"/>
      <c r="DR65" s="1432"/>
      <c r="DS65" s="1432"/>
      <c r="DT65" s="1316"/>
      <c r="DU65" s="1433"/>
      <c r="DV65" s="1433"/>
      <c r="DW65" s="1433"/>
      <c r="DX65" s="1433"/>
      <c r="DY65" s="1433"/>
      <c r="DZ65" s="1433"/>
      <c r="EA65" s="1433"/>
      <c r="EB65" s="1433"/>
    </row>
    <row r="66" customFormat="false" ht="14.25" hidden="false" customHeight="false" outlineLevel="0" collapsed="false">
      <c r="A66" s="2" t="n">
        <f aca="false">'V_DATOS PAC_SGA'!CC61</f>
        <v>0</v>
      </c>
      <c r="B66" s="2" t="n">
        <f aca="false">IF(OR(A66=0,A66=""),0,IF(I66="IV",CONCATENATE('V_DATOS PAC_SGA'!CC61,"4")+0,CONCATENATE('V_DATOS PAC_SGA'!CC61,"0")+0))</f>
        <v>0</v>
      </c>
      <c r="C66" s="2" t="n">
        <f aca="false">'V_DATOS PAC_SGA'!CD61</f>
        <v>0</v>
      </c>
      <c r="D66" s="1409" t="n">
        <f aca="false">'V_DATOS PAC_SGA'!Y61</f>
        <v>0</v>
      </c>
      <c r="E66" s="1410" t="str">
        <f aca="false">IF('V_DATOS PAC_SGA'!AV61="","Regadio",'V_DATOS PAC_SGA'!AV61)</f>
        <v>Regadio</v>
      </c>
      <c r="F66" s="1411" t="n">
        <f aca="false">'V_DATOS PAC_SGA'!BK61</f>
        <v>0</v>
      </c>
      <c r="G66" s="1412" t="n">
        <f aca="false">'V_DATOS PAC_SGA'!AN61</f>
        <v>0</v>
      </c>
      <c r="H66" s="1413" t="str">
        <f aca="false">IF(B66&gt;0,VLOOKUP(B66,'O_MN, PE_UTA_UGM 2024'!E$3:O$419,10),"")</f>
        <v/>
      </c>
      <c r="I66" s="1359" t="str">
        <f aca="false">IF('V_DATOS PAC_SGA'!BV61="IV",'V_DATOS PAC_SGA'!BV61,"")</f>
        <v/>
      </c>
      <c r="J66" s="2" t="str">
        <f aca="false">IF($A66&gt;0,IF(AND(J$4=$G66,J$6=$F66),$D66*J$5,""),"")</f>
        <v/>
      </c>
      <c r="K66" s="2" t="str">
        <f aca="false">IF($A66&gt;0,IF(AND(K$4=$G66,K$6=$F66),$D66*K$5,""),"")</f>
        <v/>
      </c>
      <c r="L66" s="2" t="str">
        <f aca="false">IF($A66&gt;0,IF(AND(L$4=$G66,L$6=$F66),$D66*L$5,""),"")</f>
        <v/>
      </c>
      <c r="M66" s="2" t="str">
        <f aca="false">IF($A66&gt;0,IF(AND(M$4=$G66,M$6=$F66),$D66*M$5,""),"")</f>
        <v/>
      </c>
      <c r="N66" s="1506" t="n">
        <f aca="false">VLOOKUP(B66,'O_MN, PE_UTA_UGM 2024'!$E$2:$K$419,IF(G66&gt;1,6,7))</f>
        <v>0</v>
      </c>
      <c r="O66" s="1434" t="str">
        <f aca="false">IF($H66=O$4,$D66*$N66,"")</f>
        <v/>
      </c>
      <c r="P66" s="1435" t="str">
        <f aca="false">IF($H66=P$4,$D66*$N66,"")</f>
        <v/>
      </c>
      <c r="Q66" s="1435" t="str">
        <f aca="false">IF($H66=Q$4,$D66*$N66,"")</f>
        <v/>
      </c>
      <c r="R66" s="1435" t="str">
        <f aca="false">IF($H66=R$4,$D66*$N66,"")</f>
        <v/>
      </c>
      <c r="S66" s="1435" t="str">
        <f aca="false">IF($H66=S$4,$D66*$N66,"")</f>
        <v/>
      </c>
      <c r="T66" s="1435" t="str">
        <f aca="false">IF($H66=T$4,$D66*$N66,"")</f>
        <v/>
      </c>
      <c r="U66" s="1436" t="str">
        <f aca="false">IF($H66=U$4,$D66*$N66,"")</f>
        <v/>
      </c>
      <c r="V66" s="1418"/>
      <c r="W66" s="1419"/>
      <c r="X66" s="1419"/>
      <c r="Y66" s="1419"/>
      <c r="Z66" s="1419"/>
      <c r="AA66" s="1419"/>
      <c r="AB66" s="1420"/>
      <c r="AC66" s="1319"/>
      <c r="AD66" s="2" t="str">
        <f aca="false">IF(AND(AD$4=$G66,AD$6=$F66),$B66,"")</f>
        <v/>
      </c>
      <c r="AE66" s="2" t="str">
        <f aca="false">IF(AND(AE$4=$G66,AE$6=$F66),$B66,"")</f>
        <v/>
      </c>
      <c r="AF66" s="2" t="str">
        <f aca="false">IF(AND(AF$4=$G66,AF$6=$F66),$B66,"")</f>
        <v/>
      </c>
      <c r="AG66" s="2" t="str">
        <f aca="false">IF(AND(AG$4=$G66,AG$6=$F66),$B66,"")</f>
        <v/>
      </c>
      <c r="AI66" s="366"/>
      <c r="AL66" s="367"/>
      <c r="AO66" s="367"/>
      <c r="AP66" s="2" t="str">
        <f aca="false">IF(AT66&gt;0,RANK(AT66,AT$7:AT$423),"")</f>
        <v/>
      </c>
      <c r="AQ66" s="2" t="n">
        <f aca="false">'O_MN, PE_UTA_UGM 2024'!C62</f>
        <v>108</v>
      </c>
      <c r="AR66" s="1421" t="n">
        <v>1040</v>
      </c>
      <c r="AS66" s="2" t="str">
        <f aca="false">IF(AY66&lt;&gt;"",AY66,"")</f>
        <v/>
      </c>
      <c r="AT66" s="1422" t="n">
        <f aca="false">IF(ISNUMBER($AR66),SUMIF(B$7:B$505,AR66,D$7:D$505),"")</f>
        <v>0</v>
      </c>
      <c r="AU66" s="1411" t="n">
        <f aca="false">IF(ISNUMBER($AR66),SUMIF(AD$7:AD$503,$AR66,J$7:J$503),"")</f>
        <v>0</v>
      </c>
      <c r="AV66" s="1411" t="n">
        <f aca="false">IF(ISNUMBER($AR66),SUMIF(AF$7:AF$503,$AR66,L$7:L$503),"")</f>
        <v>0</v>
      </c>
      <c r="AW66" s="1423" t="n">
        <f aca="false">IF(ISNUMBER($AR66),SUMIF(AE$7:AE$503,$AR66,K$7:K$503),"")</f>
        <v>0</v>
      </c>
      <c r="AX66" s="1423" t="n">
        <f aca="false">IF(ISNUMBER($AR66),SUMIF(AG$7:AG$503,$AR66,M$7:M$503),"")</f>
        <v>0</v>
      </c>
      <c r="AY66" s="2" t="str">
        <f aca="false">IF($AT66&gt;0,VLOOKUP($AR66,'O_MN, PE_UTA_UGM 2024'!E62:O478,2),"")</f>
        <v/>
      </c>
      <c r="AZ66" s="1507"/>
      <c r="BA66" s="1507"/>
      <c r="BB66" s="1507" t="str">
        <f aca="false">IF($AT66&gt;0,VLOOKUP($AR66,'O_MN, PE_UTA_UGM 2024'!$E$3:$O$419,BB$6),"")</f>
        <v/>
      </c>
      <c r="BC66" s="1507" t="str">
        <f aca="false">IF($AT66&gt;0,VLOOKUP($AR66,'O_MN, PE_UTA_UGM 2024'!$E$3:$O$419,BC$6),"")</f>
        <v/>
      </c>
      <c r="BD66" s="1507" t="str">
        <f aca="false">IF($AT66&gt;0,VLOOKUP($AR66,'O_MN, PE_UTA_UGM 2024'!$E$3:$O$419,BD$6),"")</f>
        <v/>
      </c>
      <c r="BE66" s="1507" t="str">
        <f aca="false">IF($AT66&gt;0,VLOOKUP($AR66,'O_MN, PE_UTA_UGM 2024'!$E$3:$O$419,BE$6),"")</f>
        <v/>
      </c>
      <c r="BF66" s="1507" t="str">
        <f aca="false">IF($AT66&gt;0,VLOOKUP($AR66,'O_MN, PE_UTA_UGM 2024'!$E$3:$O$419,BF$6),"")</f>
        <v/>
      </c>
      <c r="BG66" s="1507" t="str">
        <f aca="false">IF($AT66&gt;0,VLOOKUP($AR66,'O_MN, PE_UTA_UGM 2024'!$E$3:$O$419,BG$6),"")</f>
        <v/>
      </c>
      <c r="BH66" s="1504"/>
      <c r="BI66" s="1504"/>
      <c r="BJ66" s="1504"/>
      <c r="BK66" s="1504"/>
      <c r="BM66" s="1411"/>
      <c r="BN66" s="1411"/>
      <c r="BO66" s="1425" t="str">
        <f aca="false">IF(ISNUMBER($AU66*BB66*1),$AU66*BB66*1,"")</f>
        <v/>
      </c>
      <c r="BP66" s="1425" t="str">
        <f aca="false">IF(ISNUMBER($AV66*BC66*1),$AV66*BC66*1,"")</f>
        <v/>
      </c>
      <c r="BQ66" s="1425" t="str">
        <f aca="false">IF(ISNUMBER($AU66*BD66*1),$AU66*BD66*1,"")</f>
        <v/>
      </c>
      <c r="BR66" s="1425" t="str">
        <f aca="false">IF(ISNUMBER($AV66*BE66*1),$AV66*BE66*1,"")</f>
        <v/>
      </c>
      <c r="BS66" s="1411" t="str">
        <f aca="false">IF(ISNUMBER($AU66*BF66),$AU66*BF66,"")</f>
        <v/>
      </c>
      <c r="BT66" s="1411" t="str">
        <f aca="false">IF(ISNUMBER($AV66*BG66),$AV66*BG66,"")</f>
        <v/>
      </c>
      <c r="BU66" s="1411"/>
      <c r="BV66" s="1411"/>
      <c r="BW66" s="1411"/>
      <c r="BX66" s="1411"/>
      <c r="BZ66" s="1372"/>
      <c r="CA66" s="1372"/>
      <c r="CB66" s="1426" t="str">
        <f aca="false">IF(ISNUMBER($AW66*BB66),$AW66*BB66,"")</f>
        <v/>
      </c>
      <c r="CC66" s="1426" t="str">
        <f aca="false">IF(ISNUMBER($AX66*BC66),$AX66*BC66,"")</f>
        <v/>
      </c>
      <c r="CD66" s="1426" t="str">
        <f aca="false">IF(ISNUMBER($AW66*BD66),$AW66*BD66,"")</f>
        <v/>
      </c>
      <c r="CE66" s="1426" t="str">
        <f aca="false">IF(ISNUMBER($AX66*BE66),$AX66*BE66,"")</f>
        <v/>
      </c>
      <c r="CF66" s="1372" t="str">
        <f aca="false">IF(ISNUMBER($AW66*BF66),$AW66*BF66,"")</f>
        <v/>
      </c>
      <c r="CG66" s="1372" t="str">
        <f aca="false">IF(ISNUMBER($AX66*BG66),$AX66*BG66,"")</f>
        <v/>
      </c>
      <c r="CH66" s="1438"/>
      <c r="CI66" s="1438"/>
      <c r="CJ66" s="1438"/>
      <c r="CK66" s="1438"/>
      <c r="CU66" s="1411"/>
      <c r="CV66" s="1411"/>
      <c r="CW66" s="1425"/>
      <c r="CX66" s="1425"/>
      <c r="CY66" s="1425"/>
      <c r="CZ66" s="1425"/>
      <c r="DA66" s="1411"/>
      <c r="DB66" s="1411"/>
      <c r="DC66" s="1411"/>
      <c r="DD66" s="1411"/>
      <c r="DE66" s="1411"/>
      <c r="DF66" s="1411"/>
      <c r="DH66" s="1432"/>
      <c r="DI66" s="1432"/>
      <c r="DJ66" s="1437"/>
      <c r="DK66" s="1437"/>
      <c r="DL66" s="1437"/>
      <c r="DM66" s="1437"/>
      <c r="DN66" s="1432"/>
      <c r="DO66" s="1432"/>
      <c r="DP66" s="1432"/>
      <c r="DQ66" s="1432"/>
      <c r="DR66" s="1432"/>
      <c r="DS66" s="1432"/>
      <c r="DT66" s="1316"/>
      <c r="DU66" s="1433"/>
      <c r="DV66" s="1433"/>
      <c r="DW66" s="1433"/>
      <c r="DX66" s="1433"/>
      <c r="DY66" s="1433"/>
      <c r="DZ66" s="1433"/>
      <c r="EA66" s="1433"/>
      <c r="EB66" s="1433"/>
    </row>
    <row r="67" customFormat="false" ht="14.25" hidden="false" customHeight="false" outlineLevel="0" collapsed="false">
      <c r="A67" s="2" t="n">
        <f aca="false">'V_DATOS PAC_SGA'!CC62</f>
        <v>0</v>
      </c>
      <c r="B67" s="2" t="n">
        <f aca="false">IF(OR(A67=0,A67=""),0,IF(I67="IV",CONCATENATE('V_DATOS PAC_SGA'!CC62,"4")+0,CONCATENATE('V_DATOS PAC_SGA'!CC62,"0")+0))</f>
        <v>0</v>
      </c>
      <c r="C67" s="2" t="n">
        <f aca="false">'V_DATOS PAC_SGA'!CD62</f>
        <v>0</v>
      </c>
      <c r="D67" s="1409" t="n">
        <f aca="false">'V_DATOS PAC_SGA'!Y62</f>
        <v>0</v>
      </c>
      <c r="E67" s="1410" t="str">
        <f aca="false">IF('V_DATOS PAC_SGA'!AV62="","Regadio",'V_DATOS PAC_SGA'!AV62)</f>
        <v>Regadio</v>
      </c>
      <c r="F67" s="1411" t="n">
        <f aca="false">'V_DATOS PAC_SGA'!BK62</f>
        <v>0</v>
      </c>
      <c r="G67" s="1412" t="n">
        <f aca="false">'V_DATOS PAC_SGA'!AN62</f>
        <v>0</v>
      </c>
      <c r="H67" s="1413" t="str">
        <f aca="false">IF(B67&gt;0,VLOOKUP(B67,'O_MN, PE_UTA_UGM 2024'!E$3:O$419,10),"")</f>
        <v/>
      </c>
      <c r="I67" s="1359" t="str">
        <f aca="false">IF('V_DATOS PAC_SGA'!BV62="IV",'V_DATOS PAC_SGA'!BV62,"")</f>
        <v/>
      </c>
      <c r="J67" s="2" t="str">
        <f aca="false">IF($A67&gt;0,IF(AND(J$4=$G67,J$6=$F67),$D67*J$5,""),"")</f>
        <v/>
      </c>
      <c r="K67" s="2" t="str">
        <f aca="false">IF($A67&gt;0,IF(AND(K$4=$G67,K$6=$F67),$D67*K$5,""),"")</f>
        <v/>
      </c>
      <c r="L67" s="2" t="str">
        <f aca="false">IF($A67&gt;0,IF(AND(L$4=$G67,L$6=$F67),$D67*L$5,""),"")</f>
        <v/>
      </c>
      <c r="M67" s="2" t="str">
        <f aca="false">IF($A67&gt;0,IF(AND(M$4=$G67,M$6=$F67),$D67*M$5,""),"")</f>
        <v/>
      </c>
      <c r="N67" s="1506" t="n">
        <f aca="false">VLOOKUP(B67,'O_MN, PE_UTA_UGM 2024'!$E$2:$K$419,IF(G67&gt;1,6,7))</f>
        <v>0</v>
      </c>
      <c r="O67" s="1434" t="str">
        <f aca="false">IF($H67=O$4,$D67*$N67,"")</f>
        <v/>
      </c>
      <c r="P67" s="1435" t="str">
        <f aca="false">IF($H67=P$4,$D67*$N67,"")</f>
        <v/>
      </c>
      <c r="Q67" s="1435" t="str">
        <f aca="false">IF($H67=Q$4,$D67*$N67,"")</f>
        <v/>
      </c>
      <c r="R67" s="1435" t="str">
        <f aca="false">IF($H67=R$4,$D67*$N67,"")</f>
        <v/>
      </c>
      <c r="S67" s="1435" t="str">
        <f aca="false">IF($H67=S$4,$D67*$N67,"")</f>
        <v/>
      </c>
      <c r="T67" s="1435" t="str">
        <f aca="false">IF($H67=T$4,$D67*$N67,"")</f>
        <v/>
      </c>
      <c r="U67" s="1436" t="str">
        <f aca="false">IF($H67=U$4,$D67*$N67,"")</f>
        <v/>
      </c>
      <c r="V67" s="1418"/>
      <c r="W67" s="1419"/>
      <c r="X67" s="1419"/>
      <c r="Y67" s="1419"/>
      <c r="Z67" s="1419"/>
      <c r="AA67" s="1419"/>
      <c r="AB67" s="1420"/>
      <c r="AC67" s="1319"/>
      <c r="AD67" s="2" t="str">
        <f aca="false">IF(AND(AD$4=$G67,AD$6=$F67),$B67,"")</f>
        <v/>
      </c>
      <c r="AE67" s="2" t="str">
        <f aca="false">IF(AND(AE$4=$G67,AE$6=$F67),$B67,"")</f>
        <v/>
      </c>
      <c r="AF67" s="2" t="str">
        <f aca="false">IF(AND(AF$4=$G67,AF$6=$F67),$B67,"")</f>
        <v/>
      </c>
      <c r="AG67" s="2" t="str">
        <f aca="false">IF(AND(AG$4=$G67,AG$6=$F67),$B67,"")</f>
        <v/>
      </c>
      <c r="AI67" s="366"/>
      <c r="AL67" s="367"/>
      <c r="AO67" s="367"/>
      <c r="AP67" s="2" t="str">
        <f aca="false">IF(AT67&gt;0,RANK(AT67,AT$7:AT$423),"")</f>
        <v/>
      </c>
      <c r="AQ67" s="2" t="n">
        <f aca="false">'O_MN, PE_UTA_UGM 2024'!C63</f>
        <v>109</v>
      </c>
      <c r="AR67" s="1421" t="n">
        <v>1050</v>
      </c>
      <c r="AS67" s="2" t="str">
        <f aca="false">IF(AY67&lt;&gt;"",AY67,"")</f>
        <v/>
      </c>
      <c r="AT67" s="1422" t="n">
        <f aca="false">IF(ISNUMBER($AR67),SUMIF(B$7:B$505,AR67,D$7:D$505),"")</f>
        <v>0</v>
      </c>
      <c r="AU67" s="1411" t="n">
        <f aca="false">IF(ISNUMBER($AR67),SUMIF(AD$7:AD$503,$AR67,J$7:J$503),"")</f>
        <v>0</v>
      </c>
      <c r="AV67" s="1411" t="n">
        <f aca="false">IF(ISNUMBER($AR67),SUMIF(AF$7:AF$503,$AR67,L$7:L$503),"")</f>
        <v>0</v>
      </c>
      <c r="AW67" s="1423" t="n">
        <f aca="false">IF(ISNUMBER($AR67),SUMIF(AE$7:AE$503,$AR67,K$7:K$503),"")</f>
        <v>0</v>
      </c>
      <c r="AX67" s="1423" t="n">
        <f aca="false">IF(ISNUMBER($AR67),SUMIF(AG$7:AG$503,$AR67,M$7:M$503),"")</f>
        <v>0</v>
      </c>
      <c r="AY67" s="2" t="str">
        <f aca="false">IF($AT67&gt;0,VLOOKUP($AR67,'O_MN, PE_UTA_UGM 2024'!E63:O479,2),"")</f>
        <v/>
      </c>
      <c r="AZ67" s="1507"/>
      <c r="BA67" s="1507"/>
      <c r="BB67" s="1507" t="str">
        <f aca="false">IF($AT67&gt;0,VLOOKUP($AR67,'O_MN, PE_UTA_UGM 2024'!$E$3:$O$419,BB$6),"")</f>
        <v/>
      </c>
      <c r="BC67" s="1507" t="str">
        <f aca="false">IF($AT67&gt;0,VLOOKUP($AR67,'O_MN, PE_UTA_UGM 2024'!$E$3:$O$419,BC$6),"")</f>
        <v/>
      </c>
      <c r="BD67" s="1507" t="str">
        <f aca="false">IF($AT67&gt;0,VLOOKUP($AR67,'O_MN, PE_UTA_UGM 2024'!$E$3:$O$419,BD$6),"")</f>
        <v/>
      </c>
      <c r="BE67" s="1507" t="str">
        <f aca="false">IF($AT67&gt;0,VLOOKUP($AR67,'O_MN, PE_UTA_UGM 2024'!$E$3:$O$419,BE$6),"")</f>
        <v/>
      </c>
      <c r="BF67" s="1507" t="str">
        <f aca="false">IF($AT67&gt;0,VLOOKUP($AR67,'O_MN, PE_UTA_UGM 2024'!$E$3:$O$419,BF$6),"")</f>
        <v/>
      </c>
      <c r="BG67" s="1507" t="str">
        <f aca="false">IF($AT67&gt;0,VLOOKUP($AR67,'O_MN, PE_UTA_UGM 2024'!$E$3:$O$419,BG$6),"")</f>
        <v/>
      </c>
      <c r="BH67" s="1504"/>
      <c r="BI67" s="1504"/>
      <c r="BJ67" s="1504"/>
      <c r="BK67" s="1504"/>
      <c r="BM67" s="1411"/>
      <c r="BN67" s="1411"/>
      <c r="BO67" s="1425" t="str">
        <f aca="false">IF(ISNUMBER($AU67*BB67*1),$AU67*BB67*1,"")</f>
        <v/>
      </c>
      <c r="BP67" s="1425" t="str">
        <f aca="false">IF(ISNUMBER($AV67*BC67*1),$AV67*BC67*1,"")</f>
        <v/>
      </c>
      <c r="BQ67" s="1425" t="str">
        <f aca="false">IF(ISNUMBER($AU67*BD67*1),$AU67*BD67*1,"")</f>
        <v/>
      </c>
      <c r="BR67" s="1425" t="str">
        <f aca="false">IF(ISNUMBER($AV67*BE67*1),$AV67*BE67*1,"")</f>
        <v/>
      </c>
      <c r="BS67" s="1411" t="str">
        <f aca="false">IF(ISNUMBER($AU67*BF67),$AU67*BF67,"")</f>
        <v/>
      </c>
      <c r="BT67" s="1411" t="str">
        <f aca="false">IF(ISNUMBER($AV67*BG67),$AV67*BG67,"")</f>
        <v/>
      </c>
      <c r="BU67" s="1411"/>
      <c r="BV67" s="1411"/>
      <c r="BW67" s="1411"/>
      <c r="BX67" s="1411"/>
      <c r="BZ67" s="1372"/>
      <c r="CA67" s="1372"/>
      <c r="CB67" s="1426" t="str">
        <f aca="false">IF(ISNUMBER($AW67*BB67),$AW67*BB67,"")</f>
        <v/>
      </c>
      <c r="CC67" s="1426" t="str">
        <f aca="false">IF(ISNUMBER($AX67*BC67),$AX67*BC67,"")</f>
        <v/>
      </c>
      <c r="CD67" s="1426" t="str">
        <f aca="false">IF(ISNUMBER($AW67*BD67),$AW67*BD67,"")</f>
        <v/>
      </c>
      <c r="CE67" s="1426" t="str">
        <f aca="false">IF(ISNUMBER($AX67*BE67),$AX67*BE67,"")</f>
        <v/>
      </c>
      <c r="CF67" s="1372" t="str">
        <f aca="false">IF(ISNUMBER($AW67*BF67),$AW67*BF67,"")</f>
        <v/>
      </c>
      <c r="CG67" s="1372" t="str">
        <f aca="false">IF(ISNUMBER($AX67*BG67),$AX67*BG67,"")</f>
        <v/>
      </c>
      <c r="CH67" s="1438"/>
      <c r="CI67" s="1438"/>
      <c r="CJ67" s="1438"/>
      <c r="CK67" s="1438"/>
      <c r="CU67" s="1411"/>
      <c r="CV67" s="1411"/>
      <c r="CW67" s="1425"/>
      <c r="CX67" s="1425"/>
      <c r="CY67" s="1425"/>
      <c r="CZ67" s="1425"/>
      <c r="DA67" s="1411"/>
      <c r="DB67" s="1411"/>
      <c r="DC67" s="1411"/>
      <c r="DD67" s="1411"/>
      <c r="DE67" s="1411"/>
      <c r="DF67" s="1411"/>
      <c r="DH67" s="1432"/>
      <c r="DI67" s="1432"/>
      <c r="DJ67" s="1437"/>
      <c r="DK67" s="1437"/>
      <c r="DL67" s="1437"/>
      <c r="DM67" s="1437"/>
      <c r="DN67" s="1432"/>
      <c r="DO67" s="1432"/>
      <c r="DP67" s="1432"/>
      <c r="DQ67" s="1432"/>
      <c r="DR67" s="1432"/>
      <c r="DS67" s="1432"/>
      <c r="DT67" s="1316"/>
      <c r="DU67" s="1433"/>
      <c r="DV67" s="1433"/>
      <c r="DW67" s="1433"/>
      <c r="DX67" s="1433"/>
      <c r="DY67" s="1433"/>
      <c r="DZ67" s="1433"/>
      <c r="EA67" s="1433"/>
      <c r="EB67" s="1433"/>
    </row>
    <row r="68" customFormat="false" ht="14.25" hidden="false" customHeight="false" outlineLevel="0" collapsed="false">
      <c r="A68" s="2" t="n">
        <f aca="false">'V_DATOS PAC_SGA'!CC63</f>
        <v>0</v>
      </c>
      <c r="B68" s="2" t="n">
        <f aca="false">IF(OR(A68=0,A68=""),0,IF(I68="IV",CONCATENATE('V_DATOS PAC_SGA'!CC63,"4")+0,CONCATENATE('V_DATOS PAC_SGA'!CC63,"0")+0))</f>
        <v>0</v>
      </c>
      <c r="C68" s="2" t="n">
        <f aca="false">'V_DATOS PAC_SGA'!CD63</f>
        <v>0</v>
      </c>
      <c r="D68" s="1409" t="n">
        <f aca="false">'V_DATOS PAC_SGA'!Y63</f>
        <v>0</v>
      </c>
      <c r="E68" s="1410" t="str">
        <f aca="false">IF('V_DATOS PAC_SGA'!AV63="","Regadio",'V_DATOS PAC_SGA'!AV63)</f>
        <v>Regadio</v>
      </c>
      <c r="F68" s="1411" t="n">
        <f aca="false">'V_DATOS PAC_SGA'!BK63</f>
        <v>0</v>
      </c>
      <c r="G68" s="1412" t="n">
        <f aca="false">'V_DATOS PAC_SGA'!AN63</f>
        <v>0</v>
      </c>
      <c r="H68" s="1413" t="str">
        <f aca="false">IF(B68&gt;0,VLOOKUP(B68,'O_MN, PE_UTA_UGM 2024'!E$3:O$419,10),"")</f>
        <v/>
      </c>
      <c r="I68" s="1359" t="str">
        <f aca="false">IF('V_DATOS PAC_SGA'!BV63="IV",'V_DATOS PAC_SGA'!BV63,"")</f>
        <v/>
      </c>
      <c r="J68" s="2" t="str">
        <f aca="false">IF($A68&gt;0,IF(AND(J$4=$G68,J$6=$F68),$D68*J$5,""),"")</f>
        <v/>
      </c>
      <c r="K68" s="2" t="str">
        <f aca="false">IF($A68&gt;0,IF(AND(K$4=$G68,K$6=$F68),$D68*K$5,""),"")</f>
        <v/>
      </c>
      <c r="L68" s="2" t="str">
        <f aca="false">IF($A68&gt;0,IF(AND(L$4=$G68,L$6=$F68),$D68*L$5,""),"")</f>
        <v/>
      </c>
      <c r="M68" s="2" t="str">
        <f aca="false">IF($A68&gt;0,IF(AND(M$4=$G68,M$6=$F68),$D68*M$5,""),"")</f>
        <v/>
      </c>
      <c r="N68" s="1506" t="n">
        <f aca="false">VLOOKUP(B68,'O_MN, PE_UTA_UGM 2024'!$E$2:$K$419,IF(G68&gt;1,6,7))</f>
        <v>0</v>
      </c>
      <c r="O68" s="1434" t="str">
        <f aca="false">IF($H68=O$4,$D68*$N68,"")</f>
        <v/>
      </c>
      <c r="P68" s="1435" t="str">
        <f aca="false">IF($H68=P$4,$D68*$N68,"")</f>
        <v/>
      </c>
      <c r="Q68" s="1435" t="str">
        <f aca="false">IF($H68=Q$4,$D68*$N68,"")</f>
        <v/>
      </c>
      <c r="R68" s="1435" t="str">
        <f aca="false">IF($H68=R$4,$D68*$N68,"")</f>
        <v/>
      </c>
      <c r="S68" s="1435" t="str">
        <f aca="false">IF($H68=S$4,$D68*$N68,"")</f>
        <v/>
      </c>
      <c r="T68" s="1435" t="str">
        <f aca="false">IF($H68=T$4,$D68*$N68,"")</f>
        <v/>
      </c>
      <c r="U68" s="1436" t="str">
        <f aca="false">IF($H68=U$4,$D68*$N68,"")</f>
        <v/>
      </c>
      <c r="V68" s="1418"/>
      <c r="W68" s="1419"/>
      <c r="X68" s="1419"/>
      <c r="Y68" s="1419"/>
      <c r="Z68" s="1419"/>
      <c r="AA68" s="1419"/>
      <c r="AB68" s="1420"/>
      <c r="AC68" s="1319"/>
      <c r="AD68" s="2" t="str">
        <f aca="false">IF(AND(AD$4=$G68,AD$6=$F68),$B68,"")</f>
        <v/>
      </c>
      <c r="AE68" s="2" t="str">
        <f aca="false">IF(AND(AE$4=$G68,AE$6=$F68),$B68,"")</f>
        <v/>
      </c>
      <c r="AF68" s="2" t="str">
        <f aca="false">IF(AND(AF$4=$G68,AF$6=$F68),$B68,"")</f>
        <v/>
      </c>
      <c r="AG68" s="2" t="str">
        <f aca="false">IF(AND(AG$4=$G68,AG$6=$F68),$B68,"")</f>
        <v/>
      </c>
      <c r="AI68" s="366"/>
      <c r="AL68" s="367"/>
      <c r="AO68" s="367"/>
      <c r="AP68" s="2" t="str">
        <f aca="false">IF(AT68&gt;0,RANK(AT68,AT$7:AT$423),"")</f>
        <v/>
      </c>
      <c r="AQ68" s="2" t="n">
        <f aca="false">'O_MN, PE_UTA_UGM 2024'!C64</f>
        <v>110</v>
      </c>
      <c r="AR68" s="1421" t="n">
        <v>1060</v>
      </c>
      <c r="AS68" s="2" t="str">
        <f aca="false">IF(AY68&lt;&gt;"",AY68,"")</f>
        <v/>
      </c>
      <c r="AT68" s="1422" t="n">
        <f aca="false">IF(ISNUMBER($AR68),SUMIF(B$7:B$505,AR68,D$7:D$505),"")</f>
        <v>0</v>
      </c>
      <c r="AU68" s="1411" t="n">
        <f aca="false">IF(ISNUMBER($AR68),SUMIF(AD$7:AD$503,$AR68,J$7:J$503),"")</f>
        <v>0</v>
      </c>
      <c r="AV68" s="1411" t="n">
        <f aca="false">IF(ISNUMBER($AR68),SUMIF(AF$7:AF$503,$AR68,L$7:L$503),"")</f>
        <v>0</v>
      </c>
      <c r="AW68" s="1423" t="n">
        <f aca="false">IF(ISNUMBER($AR68),SUMIF(AE$7:AE$503,$AR68,K$7:K$503),"")</f>
        <v>0</v>
      </c>
      <c r="AX68" s="1423" t="n">
        <f aca="false">IF(ISNUMBER($AR68),SUMIF(AG$7:AG$503,$AR68,M$7:M$503),"")</f>
        <v>0</v>
      </c>
      <c r="AY68" s="2" t="str">
        <f aca="false">IF($AT68&gt;0,VLOOKUP($AR68,'O_MN, PE_UTA_UGM 2024'!E64:O480,2),"")</f>
        <v/>
      </c>
      <c r="AZ68" s="1507"/>
      <c r="BA68" s="1507"/>
      <c r="BB68" s="1507" t="str">
        <f aca="false">IF($AT68&gt;0,VLOOKUP($AR68,'O_MN, PE_UTA_UGM 2024'!$E$3:$O$419,BB$6),"")</f>
        <v/>
      </c>
      <c r="BC68" s="1507" t="str">
        <f aca="false">IF($AT68&gt;0,VLOOKUP($AR68,'O_MN, PE_UTA_UGM 2024'!$E$3:$O$419,BC$6),"")</f>
        <v/>
      </c>
      <c r="BD68" s="1507" t="str">
        <f aca="false">IF($AT68&gt;0,VLOOKUP($AR68,'O_MN, PE_UTA_UGM 2024'!$E$3:$O$419,BD$6),"")</f>
        <v/>
      </c>
      <c r="BE68" s="1507" t="str">
        <f aca="false">IF($AT68&gt;0,VLOOKUP($AR68,'O_MN, PE_UTA_UGM 2024'!$E$3:$O$419,BE$6),"")</f>
        <v/>
      </c>
      <c r="BF68" s="1507" t="str">
        <f aca="false">IF($AT68&gt;0,VLOOKUP($AR68,'O_MN, PE_UTA_UGM 2024'!$E$3:$O$419,BF$6),"")</f>
        <v/>
      </c>
      <c r="BG68" s="1507" t="str">
        <f aca="false">IF($AT68&gt;0,VLOOKUP($AR68,'O_MN, PE_UTA_UGM 2024'!$E$3:$O$419,BG$6),"")</f>
        <v/>
      </c>
      <c r="BH68" s="1504"/>
      <c r="BI68" s="1504"/>
      <c r="BJ68" s="1504"/>
      <c r="BK68" s="1504"/>
      <c r="BM68" s="1411"/>
      <c r="BN68" s="1411"/>
      <c r="BO68" s="1425" t="str">
        <f aca="false">IF(ISNUMBER($AU68*BB68*1),$AU68*BB68*1,"")</f>
        <v/>
      </c>
      <c r="BP68" s="1425" t="str">
        <f aca="false">IF(ISNUMBER($AV68*BC68*1),$AV68*BC68*1,"")</f>
        <v/>
      </c>
      <c r="BQ68" s="1425" t="str">
        <f aca="false">IF(ISNUMBER($AU68*BD68*1),$AU68*BD68*1,"")</f>
        <v/>
      </c>
      <c r="BR68" s="1425" t="str">
        <f aca="false">IF(ISNUMBER($AV68*BE68*1),$AV68*BE68*1,"")</f>
        <v/>
      </c>
      <c r="BS68" s="1411" t="str">
        <f aca="false">IF(ISNUMBER($AU68*BF68),$AU68*BF68,"")</f>
        <v/>
      </c>
      <c r="BT68" s="1411" t="str">
        <f aca="false">IF(ISNUMBER($AV68*BG68),$AV68*BG68,"")</f>
        <v/>
      </c>
      <c r="BU68" s="1411"/>
      <c r="BV68" s="1411"/>
      <c r="BW68" s="1411"/>
      <c r="BX68" s="1411"/>
      <c r="BZ68" s="1372"/>
      <c r="CA68" s="1372"/>
      <c r="CB68" s="1426" t="str">
        <f aca="false">IF(ISNUMBER($AW68*BB68),$AW68*BB68,"")</f>
        <v/>
      </c>
      <c r="CC68" s="1426" t="str">
        <f aca="false">IF(ISNUMBER($AX68*BC68),$AX68*BC68,"")</f>
        <v/>
      </c>
      <c r="CD68" s="1426" t="str">
        <f aca="false">IF(ISNUMBER($AW68*BD68),$AW68*BD68,"")</f>
        <v/>
      </c>
      <c r="CE68" s="1426" t="str">
        <f aca="false">IF(ISNUMBER($AX68*BE68),$AX68*BE68,"")</f>
        <v/>
      </c>
      <c r="CF68" s="1372" t="str">
        <f aca="false">IF(ISNUMBER($AW68*BF68),$AW68*BF68,"")</f>
        <v/>
      </c>
      <c r="CG68" s="1372" t="str">
        <f aca="false">IF(ISNUMBER($AX68*BG68),$AX68*BG68,"")</f>
        <v/>
      </c>
      <c r="CH68" s="1438"/>
      <c r="CI68" s="1438"/>
      <c r="CJ68" s="1438"/>
      <c r="CK68" s="1438"/>
      <c r="CU68" s="1411"/>
      <c r="CV68" s="1411"/>
      <c r="CW68" s="1425"/>
      <c r="CX68" s="1425"/>
      <c r="CY68" s="1425"/>
      <c r="CZ68" s="1425"/>
      <c r="DA68" s="1411"/>
      <c r="DB68" s="1411"/>
      <c r="DC68" s="1411"/>
      <c r="DD68" s="1411"/>
      <c r="DE68" s="1411"/>
      <c r="DF68" s="1411"/>
      <c r="DH68" s="1432"/>
      <c r="DI68" s="1432"/>
      <c r="DJ68" s="1437"/>
      <c r="DK68" s="1437"/>
      <c r="DL68" s="1437"/>
      <c r="DM68" s="1437"/>
      <c r="DN68" s="1432"/>
      <c r="DO68" s="1432"/>
      <c r="DP68" s="1432"/>
      <c r="DQ68" s="1432"/>
      <c r="DR68" s="1432"/>
      <c r="DS68" s="1432"/>
      <c r="DT68" s="1316"/>
      <c r="DU68" s="1433"/>
      <c r="DV68" s="1433"/>
      <c r="DW68" s="1433"/>
      <c r="DX68" s="1433"/>
      <c r="DY68" s="1433"/>
      <c r="DZ68" s="1433"/>
      <c r="EA68" s="1433"/>
      <c r="EB68" s="1433"/>
    </row>
    <row r="69" customFormat="false" ht="14.25" hidden="false" customHeight="false" outlineLevel="0" collapsed="false">
      <c r="A69" s="2" t="n">
        <f aca="false">'V_DATOS PAC_SGA'!CC64</f>
        <v>0</v>
      </c>
      <c r="B69" s="2" t="n">
        <f aca="false">IF(OR(A69=0,A69=""),0,IF(I69="IV",CONCATENATE('V_DATOS PAC_SGA'!CC64,"4")+0,CONCATENATE('V_DATOS PAC_SGA'!CC64,"0")+0))</f>
        <v>0</v>
      </c>
      <c r="C69" s="2" t="n">
        <f aca="false">'V_DATOS PAC_SGA'!CD64</f>
        <v>0</v>
      </c>
      <c r="D69" s="1409" t="n">
        <f aca="false">'V_DATOS PAC_SGA'!Y64</f>
        <v>0</v>
      </c>
      <c r="E69" s="1410" t="str">
        <f aca="false">IF('V_DATOS PAC_SGA'!AV64="","Regadio",'V_DATOS PAC_SGA'!AV64)</f>
        <v>Regadio</v>
      </c>
      <c r="F69" s="1411" t="n">
        <f aca="false">'V_DATOS PAC_SGA'!BK64</f>
        <v>0</v>
      </c>
      <c r="G69" s="1412" t="n">
        <f aca="false">'V_DATOS PAC_SGA'!AN64</f>
        <v>0</v>
      </c>
      <c r="H69" s="1413" t="str">
        <f aca="false">IF(B69&gt;0,VLOOKUP(B69,'O_MN, PE_UTA_UGM 2024'!E$3:O$419,10),"")</f>
        <v/>
      </c>
      <c r="I69" s="1359" t="str">
        <f aca="false">IF('V_DATOS PAC_SGA'!BV64="IV",'V_DATOS PAC_SGA'!BV64,"")</f>
        <v/>
      </c>
      <c r="J69" s="2" t="str">
        <f aca="false">IF($A69&gt;0,IF(AND(J$4=$G69,J$6=$F69),$D69*J$5,""),"")</f>
        <v/>
      </c>
      <c r="K69" s="2" t="str">
        <f aca="false">IF($A69&gt;0,IF(AND(K$4=$G69,K$6=$F69),$D69*K$5,""),"")</f>
        <v/>
      </c>
      <c r="L69" s="2" t="str">
        <f aca="false">IF($A69&gt;0,IF(AND(L$4=$G69,L$6=$F69),$D69*L$5,""),"")</f>
        <v/>
      </c>
      <c r="M69" s="2" t="str">
        <f aca="false">IF($A69&gt;0,IF(AND(M$4=$G69,M$6=$F69),$D69*M$5,""),"")</f>
        <v/>
      </c>
      <c r="N69" s="1506" t="n">
        <f aca="false">VLOOKUP(B69,'O_MN, PE_UTA_UGM 2024'!$E$2:$K$419,IF(G69&gt;1,6,7))</f>
        <v>0</v>
      </c>
      <c r="O69" s="1434" t="str">
        <f aca="false">IF($H69=O$4,$D69*$N69,"")</f>
        <v/>
      </c>
      <c r="P69" s="1435" t="str">
        <f aca="false">IF($H69=P$4,$D69*$N69,"")</f>
        <v/>
      </c>
      <c r="Q69" s="1435" t="str">
        <f aca="false">IF($H69=Q$4,$D69*$N69,"")</f>
        <v/>
      </c>
      <c r="R69" s="1435" t="str">
        <f aca="false">IF($H69=R$4,$D69*$N69,"")</f>
        <v/>
      </c>
      <c r="S69" s="1435" t="str">
        <f aca="false">IF($H69=S$4,$D69*$N69,"")</f>
        <v/>
      </c>
      <c r="T69" s="1435" t="str">
        <f aca="false">IF($H69=T$4,$D69*$N69,"")</f>
        <v/>
      </c>
      <c r="U69" s="1436" t="str">
        <f aca="false">IF($H69=U$4,$D69*$N69,"")</f>
        <v/>
      </c>
      <c r="V69" s="1418"/>
      <c r="W69" s="1419"/>
      <c r="X69" s="1419"/>
      <c r="Y69" s="1419"/>
      <c r="Z69" s="1419"/>
      <c r="AA69" s="1419"/>
      <c r="AB69" s="1420"/>
      <c r="AC69" s="1319"/>
      <c r="AD69" s="2" t="str">
        <f aca="false">IF(AND(AD$4=$G69,AD$6=$F69),$B69,"")</f>
        <v/>
      </c>
      <c r="AE69" s="2" t="str">
        <f aca="false">IF(AND(AE$4=$G69,AE$6=$F69),$B69,"")</f>
        <v/>
      </c>
      <c r="AF69" s="2" t="str">
        <f aca="false">IF(AND(AF$4=$G69,AF$6=$F69),$B69,"")</f>
        <v/>
      </c>
      <c r="AG69" s="2" t="str">
        <f aca="false">IF(AND(AG$4=$G69,AG$6=$F69),$B69,"")</f>
        <v/>
      </c>
      <c r="AI69" s="366"/>
      <c r="AL69" s="367"/>
      <c r="AO69" s="367"/>
      <c r="AP69" s="2" t="str">
        <f aca="false">IF(AT69&gt;0,RANK(AT69,AT$7:AT$423),"")</f>
        <v/>
      </c>
      <c r="AQ69" s="2" t="n">
        <f aca="false">'O_MN, PE_UTA_UGM 2024'!C65</f>
        <v>111</v>
      </c>
      <c r="AR69" s="1421" t="n">
        <v>1070</v>
      </c>
      <c r="AS69" s="2" t="str">
        <f aca="false">IF(AY69&lt;&gt;"",AY69,"")</f>
        <v/>
      </c>
      <c r="AT69" s="1422" t="n">
        <f aca="false">IF(ISNUMBER($AR69),SUMIF(B$7:B$505,AR69,D$7:D$505),"")</f>
        <v>0</v>
      </c>
      <c r="AU69" s="1411" t="n">
        <f aca="false">IF(ISNUMBER($AR69),SUMIF(AD$7:AD$503,$AR69,J$7:J$503),"")</f>
        <v>0</v>
      </c>
      <c r="AV69" s="1411" t="n">
        <f aca="false">IF(ISNUMBER($AR69),SUMIF(AF$7:AF$503,$AR69,L$7:L$503),"")</f>
        <v>0</v>
      </c>
      <c r="AW69" s="1423" t="n">
        <f aca="false">IF(ISNUMBER($AR69),SUMIF(AE$7:AE$503,$AR69,K$7:K$503),"")</f>
        <v>0</v>
      </c>
      <c r="AX69" s="1423" t="n">
        <f aca="false">IF(ISNUMBER($AR69),SUMIF(AG$7:AG$503,$AR69,M$7:M$503),"")</f>
        <v>0</v>
      </c>
      <c r="AY69" s="2" t="str">
        <f aca="false">IF($AT69&gt;0,VLOOKUP($AR69,'O_MN, PE_UTA_UGM 2024'!E65:O481,2),"")</f>
        <v/>
      </c>
      <c r="AZ69" s="1507"/>
      <c r="BA69" s="1507"/>
      <c r="BB69" s="1507" t="str">
        <f aca="false">IF($AT69&gt;0,VLOOKUP($AR69,'O_MN, PE_UTA_UGM 2024'!$E$3:$O$419,BB$6),"")</f>
        <v/>
      </c>
      <c r="BC69" s="1507" t="str">
        <f aca="false">IF($AT69&gt;0,VLOOKUP($AR69,'O_MN, PE_UTA_UGM 2024'!$E$3:$O$419,BC$6),"")</f>
        <v/>
      </c>
      <c r="BD69" s="1507" t="str">
        <f aca="false">IF($AT69&gt;0,VLOOKUP($AR69,'O_MN, PE_UTA_UGM 2024'!$E$3:$O$419,BD$6),"")</f>
        <v/>
      </c>
      <c r="BE69" s="1507" t="str">
        <f aca="false">IF($AT69&gt;0,VLOOKUP($AR69,'O_MN, PE_UTA_UGM 2024'!$E$3:$O$419,BE$6),"")</f>
        <v/>
      </c>
      <c r="BF69" s="1507" t="str">
        <f aca="false">IF($AT69&gt;0,VLOOKUP($AR69,'O_MN, PE_UTA_UGM 2024'!$E$3:$O$419,BF$6),"")</f>
        <v/>
      </c>
      <c r="BG69" s="1507" t="str">
        <f aca="false">IF($AT69&gt;0,VLOOKUP($AR69,'O_MN, PE_UTA_UGM 2024'!$E$3:$O$419,BG$6),"")</f>
        <v/>
      </c>
      <c r="BH69" s="1504"/>
      <c r="BI69" s="1504"/>
      <c r="BJ69" s="1504"/>
      <c r="BK69" s="1504"/>
      <c r="BM69" s="1411"/>
      <c r="BN69" s="1411"/>
      <c r="BO69" s="1425" t="str">
        <f aca="false">IF(ISNUMBER($AU69*BB69*1),$AU69*BB69*1,"")</f>
        <v/>
      </c>
      <c r="BP69" s="1425" t="str">
        <f aca="false">IF(ISNUMBER($AV69*BC69*1),$AV69*BC69*1,"")</f>
        <v/>
      </c>
      <c r="BQ69" s="1425" t="str">
        <f aca="false">IF(ISNUMBER($AU69*BD69*1),$AU69*BD69*1,"")</f>
        <v/>
      </c>
      <c r="BR69" s="1425" t="str">
        <f aca="false">IF(ISNUMBER($AV69*BE69*1),$AV69*BE69*1,"")</f>
        <v/>
      </c>
      <c r="BS69" s="1411" t="str">
        <f aca="false">IF(ISNUMBER($AU69*BF69),$AU69*BF69,"")</f>
        <v/>
      </c>
      <c r="BT69" s="1411" t="str">
        <f aca="false">IF(ISNUMBER($AV69*BG69),$AV69*BG69,"")</f>
        <v/>
      </c>
      <c r="BU69" s="1411"/>
      <c r="BV69" s="1411"/>
      <c r="BW69" s="1411"/>
      <c r="BX69" s="1411"/>
      <c r="BZ69" s="1372"/>
      <c r="CA69" s="1372"/>
      <c r="CB69" s="1426" t="str">
        <f aca="false">IF(ISNUMBER($AW69*BB69),$AW69*BB69,"")</f>
        <v/>
      </c>
      <c r="CC69" s="1426" t="str">
        <f aca="false">IF(ISNUMBER($AX69*BC69),$AX69*BC69,"")</f>
        <v/>
      </c>
      <c r="CD69" s="1426" t="str">
        <f aca="false">IF(ISNUMBER($AW69*BD69),$AW69*BD69,"")</f>
        <v/>
      </c>
      <c r="CE69" s="1426" t="str">
        <f aca="false">IF(ISNUMBER($AX69*BE69),$AX69*BE69,"")</f>
        <v/>
      </c>
      <c r="CF69" s="1372" t="str">
        <f aca="false">IF(ISNUMBER($AW69*BF69),$AW69*BF69,"")</f>
        <v/>
      </c>
      <c r="CG69" s="1372" t="str">
        <f aca="false">IF(ISNUMBER($AX69*BG69),$AX69*BG69,"")</f>
        <v/>
      </c>
      <c r="CH69" s="1438"/>
      <c r="CI69" s="1438"/>
      <c r="CJ69" s="1438"/>
      <c r="CK69" s="1438"/>
      <c r="CU69" s="1411"/>
      <c r="CV69" s="1411"/>
      <c r="CW69" s="1425"/>
      <c r="CX69" s="1425"/>
      <c r="CY69" s="1425"/>
      <c r="CZ69" s="1425"/>
      <c r="DA69" s="1411"/>
      <c r="DB69" s="1411"/>
      <c r="DC69" s="1411"/>
      <c r="DD69" s="1411"/>
      <c r="DE69" s="1411"/>
      <c r="DF69" s="1411"/>
      <c r="DH69" s="1432"/>
      <c r="DI69" s="1432"/>
      <c r="DJ69" s="1437"/>
      <c r="DK69" s="1437"/>
      <c r="DL69" s="1437"/>
      <c r="DM69" s="1437"/>
      <c r="DN69" s="1432"/>
      <c r="DO69" s="1432"/>
      <c r="DP69" s="1432"/>
      <c r="DQ69" s="1432"/>
      <c r="DR69" s="1432"/>
      <c r="DS69" s="1432"/>
      <c r="DT69" s="1316"/>
      <c r="DU69" s="1433"/>
      <c r="DV69" s="1433"/>
      <c r="DW69" s="1433"/>
      <c r="DX69" s="1433"/>
      <c r="DY69" s="1433"/>
      <c r="DZ69" s="1433"/>
      <c r="EA69" s="1433"/>
      <c r="EB69" s="1433"/>
    </row>
    <row r="70" customFormat="false" ht="14.25" hidden="false" customHeight="false" outlineLevel="0" collapsed="false">
      <c r="A70" s="2" t="n">
        <f aca="false">'V_DATOS PAC_SGA'!CC65</f>
        <v>0</v>
      </c>
      <c r="B70" s="2" t="n">
        <f aca="false">IF(OR(A70=0,A70=""),0,IF(I70="IV",CONCATENATE('V_DATOS PAC_SGA'!CC65,"4")+0,CONCATENATE('V_DATOS PAC_SGA'!CC65,"0")+0))</f>
        <v>0</v>
      </c>
      <c r="C70" s="2" t="n">
        <f aca="false">'V_DATOS PAC_SGA'!CD65</f>
        <v>0</v>
      </c>
      <c r="D70" s="1409" t="n">
        <f aca="false">'V_DATOS PAC_SGA'!Y65</f>
        <v>0</v>
      </c>
      <c r="E70" s="1410" t="str">
        <f aca="false">IF('V_DATOS PAC_SGA'!AV65="","Regadio",'V_DATOS PAC_SGA'!AV65)</f>
        <v>Regadio</v>
      </c>
      <c r="F70" s="1411" t="n">
        <f aca="false">'V_DATOS PAC_SGA'!BK65</f>
        <v>0</v>
      </c>
      <c r="G70" s="1412" t="n">
        <f aca="false">'V_DATOS PAC_SGA'!AN65</f>
        <v>0</v>
      </c>
      <c r="H70" s="1413" t="str">
        <f aca="false">IF(B70&gt;0,VLOOKUP(B70,'O_MN, PE_UTA_UGM 2024'!E$3:O$419,10),"")</f>
        <v/>
      </c>
      <c r="I70" s="1359" t="str">
        <f aca="false">IF('V_DATOS PAC_SGA'!BV65="IV",'V_DATOS PAC_SGA'!BV65,"")</f>
        <v/>
      </c>
      <c r="J70" s="2" t="str">
        <f aca="false">IF($A70&gt;0,IF(AND(J$4=$G70,J$6=$F70),$D70*J$5,""),"")</f>
        <v/>
      </c>
      <c r="K70" s="2" t="str">
        <f aca="false">IF($A70&gt;0,IF(AND(K$4=$G70,K$6=$F70),$D70*K$5,""),"")</f>
        <v/>
      </c>
      <c r="L70" s="2" t="str">
        <f aca="false">IF($A70&gt;0,IF(AND(L$4=$G70,L$6=$F70),$D70*L$5,""),"")</f>
        <v/>
      </c>
      <c r="M70" s="2" t="str">
        <f aca="false">IF($A70&gt;0,IF(AND(M$4=$G70,M$6=$F70),$D70*M$5,""),"")</f>
        <v/>
      </c>
      <c r="N70" s="1506" t="n">
        <f aca="false">VLOOKUP(B70,'O_MN, PE_UTA_UGM 2024'!$E$2:$K$419,IF(G70&gt;1,6,7))</f>
        <v>0</v>
      </c>
      <c r="O70" s="1434" t="str">
        <f aca="false">IF($H70=O$4,$D70*$N70,"")</f>
        <v/>
      </c>
      <c r="P70" s="1435" t="str">
        <f aca="false">IF($H70=P$4,$D70*$N70,"")</f>
        <v/>
      </c>
      <c r="Q70" s="1435" t="str">
        <f aca="false">IF($H70=Q$4,$D70*$N70,"")</f>
        <v/>
      </c>
      <c r="R70" s="1435" t="str">
        <f aca="false">IF($H70=R$4,$D70*$N70,"")</f>
        <v/>
      </c>
      <c r="S70" s="1435" t="str">
        <f aca="false">IF($H70=S$4,$D70*$N70,"")</f>
        <v/>
      </c>
      <c r="T70" s="1435" t="str">
        <f aca="false">IF($H70=T$4,$D70*$N70,"")</f>
        <v/>
      </c>
      <c r="U70" s="1436" t="str">
        <f aca="false">IF($H70=U$4,$D70*$N70,"")</f>
        <v/>
      </c>
      <c r="V70" s="1418"/>
      <c r="W70" s="1419"/>
      <c r="X70" s="1419"/>
      <c r="Y70" s="1419"/>
      <c r="Z70" s="1419"/>
      <c r="AA70" s="1419"/>
      <c r="AB70" s="1420"/>
      <c r="AC70" s="1319"/>
      <c r="AD70" s="2" t="str">
        <f aca="false">IF(AND(AD$4=$G70,AD$6=$F70),$B70,"")</f>
        <v/>
      </c>
      <c r="AE70" s="2" t="str">
        <f aca="false">IF(AND(AE$4=$G70,AE$6=$F70),$B70,"")</f>
        <v/>
      </c>
      <c r="AF70" s="2" t="str">
        <f aca="false">IF(AND(AF$4=$G70,AF$6=$F70),$B70,"")</f>
        <v/>
      </c>
      <c r="AG70" s="2" t="str">
        <f aca="false">IF(AND(AG$4=$G70,AG$6=$F70),$B70,"")</f>
        <v/>
      </c>
      <c r="AI70" s="366"/>
      <c r="AL70" s="367"/>
      <c r="AO70" s="367"/>
      <c r="AP70" s="2" t="str">
        <f aca="false">IF(AT70&gt;0,RANK(AT70,AT$7:AT$423),"")</f>
        <v/>
      </c>
      <c r="AQ70" s="2" t="n">
        <f aca="false">'O_MN, PE_UTA_UGM 2024'!C66</f>
        <v>112</v>
      </c>
      <c r="AR70" s="1421" t="n">
        <v>1080</v>
      </c>
      <c r="AS70" s="2" t="str">
        <f aca="false">IF(AY70&lt;&gt;"",AY70,"")</f>
        <v/>
      </c>
      <c r="AT70" s="1422" t="n">
        <f aca="false">IF(ISNUMBER($AR70),SUMIF(B$7:B$505,AR70,D$7:D$505),"")</f>
        <v>0</v>
      </c>
      <c r="AU70" s="1411" t="n">
        <f aca="false">IF(ISNUMBER($AR70),SUMIF(AD$7:AD$503,$AR70,J$7:J$503),"")</f>
        <v>0</v>
      </c>
      <c r="AV70" s="1411" t="n">
        <f aca="false">IF(ISNUMBER($AR70),SUMIF(AF$7:AF$503,$AR70,L$7:L$503),"")</f>
        <v>0</v>
      </c>
      <c r="AW70" s="1423" t="n">
        <f aca="false">IF(ISNUMBER($AR70),SUMIF(AE$7:AE$503,$AR70,K$7:K$503),"")</f>
        <v>0</v>
      </c>
      <c r="AX70" s="1423" t="n">
        <f aca="false">IF(ISNUMBER($AR70),SUMIF(AG$7:AG$503,$AR70,M$7:M$503),"")</f>
        <v>0</v>
      </c>
      <c r="AY70" s="2" t="str">
        <f aca="false">IF($AT70&gt;0,VLOOKUP($AR70,'O_MN, PE_UTA_UGM 2024'!E66:O482,2),"")</f>
        <v/>
      </c>
      <c r="AZ70" s="1507"/>
      <c r="BA70" s="1507"/>
      <c r="BB70" s="1507" t="str">
        <f aca="false">IF($AT70&gt;0,VLOOKUP($AR70,'O_MN, PE_UTA_UGM 2024'!$E$3:$O$419,BB$6),"")</f>
        <v/>
      </c>
      <c r="BC70" s="1507" t="str">
        <f aca="false">IF($AT70&gt;0,VLOOKUP($AR70,'O_MN, PE_UTA_UGM 2024'!$E$3:$O$419,BC$6),"")</f>
        <v/>
      </c>
      <c r="BD70" s="1507" t="str">
        <f aca="false">IF($AT70&gt;0,VLOOKUP($AR70,'O_MN, PE_UTA_UGM 2024'!$E$3:$O$419,BD$6),"")</f>
        <v/>
      </c>
      <c r="BE70" s="1507" t="str">
        <f aca="false">IF($AT70&gt;0,VLOOKUP($AR70,'O_MN, PE_UTA_UGM 2024'!$E$3:$O$419,BE$6),"")</f>
        <v/>
      </c>
      <c r="BF70" s="1507" t="str">
        <f aca="false">IF($AT70&gt;0,VLOOKUP($AR70,'O_MN, PE_UTA_UGM 2024'!$E$3:$O$419,BF$6),"")</f>
        <v/>
      </c>
      <c r="BG70" s="1507" t="str">
        <f aca="false">IF($AT70&gt;0,VLOOKUP($AR70,'O_MN, PE_UTA_UGM 2024'!$E$3:$O$419,BG$6),"")</f>
        <v/>
      </c>
      <c r="BH70" s="1504"/>
      <c r="BI70" s="1504"/>
      <c r="BJ70" s="1504"/>
      <c r="BK70" s="1504"/>
      <c r="BM70" s="1411"/>
      <c r="BN70" s="1411"/>
      <c r="BO70" s="1425" t="str">
        <f aca="false">IF(ISNUMBER($AU70*BB70*1),$AU70*BB70*1,"")</f>
        <v/>
      </c>
      <c r="BP70" s="1425" t="str">
        <f aca="false">IF(ISNUMBER($AV70*BC70*1),$AV70*BC70*1,"")</f>
        <v/>
      </c>
      <c r="BQ70" s="1425" t="str">
        <f aca="false">IF(ISNUMBER($AU70*BD70*1),$AU70*BD70*1,"")</f>
        <v/>
      </c>
      <c r="BR70" s="1425" t="str">
        <f aca="false">IF(ISNUMBER($AV70*BE70*1),$AV70*BE70*1,"")</f>
        <v/>
      </c>
      <c r="BS70" s="1411" t="str">
        <f aca="false">IF(ISNUMBER($AU70*BF70),$AU70*BF70,"")</f>
        <v/>
      </c>
      <c r="BT70" s="1411" t="str">
        <f aca="false">IF(ISNUMBER($AV70*BG70),$AV70*BG70,"")</f>
        <v/>
      </c>
      <c r="BU70" s="1411"/>
      <c r="BV70" s="1411"/>
      <c r="BW70" s="1411"/>
      <c r="BX70" s="1411"/>
      <c r="BZ70" s="1372"/>
      <c r="CA70" s="1372"/>
      <c r="CB70" s="1426" t="str">
        <f aca="false">IF(ISNUMBER($AW70*BB70),$AW70*BB70,"")</f>
        <v/>
      </c>
      <c r="CC70" s="1426" t="str">
        <f aca="false">IF(ISNUMBER($AX70*BC70),$AX70*BC70,"")</f>
        <v/>
      </c>
      <c r="CD70" s="1426" t="str">
        <f aca="false">IF(ISNUMBER($AW70*BD70),$AW70*BD70,"")</f>
        <v/>
      </c>
      <c r="CE70" s="1426" t="str">
        <f aca="false">IF(ISNUMBER($AX70*BE70),$AX70*BE70,"")</f>
        <v/>
      </c>
      <c r="CF70" s="1372" t="str">
        <f aca="false">IF(ISNUMBER($AW70*BF70),$AW70*BF70,"")</f>
        <v/>
      </c>
      <c r="CG70" s="1372" t="str">
        <f aca="false">IF(ISNUMBER($AX70*BG70),$AX70*BG70,"")</f>
        <v/>
      </c>
      <c r="CH70" s="1438"/>
      <c r="CI70" s="1438"/>
      <c r="CJ70" s="1438"/>
      <c r="CK70" s="1438"/>
      <c r="CU70" s="1411"/>
      <c r="CV70" s="1411"/>
      <c r="CW70" s="1425"/>
      <c r="CX70" s="1425"/>
      <c r="CY70" s="1425"/>
      <c r="CZ70" s="1425"/>
      <c r="DA70" s="1411"/>
      <c r="DB70" s="1411"/>
      <c r="DC70" s="1411"/>
      <c r="DD70" s="1411"/>
      <c r="DE70" s="1411"/>
      <c r="DF70" s="1411"/>
      <c r="DH70" s="1432"/>
      <c r="DI70" s="1432"/>
      <c r="DJ70" s="1437"/>
      <c r="DK70" s="1437"/>
      <c r="DL70" s="1437"/>
      <c r="DM70" s="1437"/>
      <c r="DN70" s="1432"/>
      <c r="DO70" s="1432"/>
      <c r="DP70" s="1432"/>
      <c r="DQ70" s="1432"/>
      <c r="DR70" s="1432"/>
      <c r="DS70" s="1432"/>
      <c r="DT70" s="1316"/>
      <c r="DU70" s="1433"/>
      <c r="DV70" s="1433"/>
      <c r="DW70" s="1433"/>
      <c r="DX70" s="1433"/>
      <c r="DY70" s="1433"/>
      <c r="DZ70" s="1433"/>
      <c r="EA70" s="1433"/>
      <c r="EB70" s="1433"/>
    </row>
    <row r="71" customFormat="false" ht="14.25" hidden="false" customHeight="false" outlineLevel="0" collapsed="false">
      <c r="A71" s="2" t="n">
        <f aca="false">'V_DATOS PAC_SGA'!CC66</f>
        <v>0</v>
      </c>
      <c r="B71" s="2" t="n">
        <f aca="false">IF(OR(A71=0,A71=""),0,IF(I71="IV",CONCATENATE('V_DATOS PAC_SGA'!CC66,"4")+0,CONCATENATE('V_DATOS PAC_SGA'!CC66,"0")+0))</f>
        <v>0</v>
      </c>
      <c r="C71" s="2" t="n">
        <f aca="false">'V_DATOS PAC_SGA'!CD66</f>
        <v>0</v>
      </c>
      <c r="D71" s="1409" t="n">
        <f aca="false">'V_DATOS PAC_SGA'!Y66</f>
        <v>0</v>
      </c>
      <c r="E71" s="1410" t="str">
        <f aca="false">IF('V_DATOS PAC_SGA'!AV66="","Regadio",'V_DATOS PAC_SGA'!AV66)</f>
        <v>Regadio</v>
      </c>
      <c r="F71" s="1411" t="n">
        <f aca="false">'V_DATOS PAC_SGA'!BK66</f>
        <v>0</v>
      </c>
      <c r="G71" s="1412" t="n">
        <f aca="false">'V_DATOS PAC_SGA'!AN66</f>
        <v>0</v>
      </c>
      <c r="H71" s="1413" t="str">
        <f aca="false">IF(B71&gt;0,VLOOKUP(B71,'O_MN, PE_UTA_UGM 2024'!E$3:O$419,10),"")</f>
        <v/>
      </c>
      <c r="I71" s="1359" t="str">
        <f aca="false">IF('V_DATOS PAC_SGA'!BV66="IV",'V_DATOS PAC_SGA'!BV66,"")</f>
        <v/>
      </c>
      <c r="J71" s="2" t="str">
        <f aca="false">IF($A71&gt;0,IF(AND(J$4=$G71,J$6=$F71),$D71*J$5,""),"")</f>
        <v/>
      </c>
      <c r="K71" s="2" t="str">
        <f aca="false">IF($A71&gt;0,IF(AND(K$4=$G71,K$6=$F71),$D71*K$5,""),"")</f>
        <v/>
      </c>
      <c r="L71" s="2" t="str">
        <f aca="false">IF($A71&gt;0,IF(AND(L$4=$G71,L$6=$F71),$D71*L$5,""),"")</f>
        <v/>
      </c>
      <c r="M71" s="2" t="str">
        <f aca="false">IF($A71&gt;0,IF(AND(M$4=$G71,M$6=$F71),$D71*M$5,""),"")</f>
        <v/>
      </c>
      <c r="N71" s="1506" t="n">
        <f aca="false">VLOOKUP(B71,'O_MN, PE_UTA_UGM 2024'!$E$2:$K$419,IF(G71&gt;1,6,7))</f>
        <v>0</v>
      </c>
      <c r="O71" s="1434" t="str">
        <f aca="false">IF($H71=O$4,$D71*$N71,"")</f>
        <v/>
      </c>
      <c r="P71" s="1435" t="str">
        <f aca="false">IF($H71=P$4,$D71*$N71,"")</f>
        <v/>
      </c>
      <c r="Q71" s="1435" t="str">
        <f aca="false">IF($H71=Q$4,$D71*$N71,"")</f>
        <v/>
      </c>
      <c r="R71" s="1435" t="str">
        <f aca="false">IF($H71=R$4,$D71*$N71,"")</f>
        <v/>
      </c>
      <c r="S71" s="1435" t="str">
        <f aca="false">IF($H71=S$4,$D71*$N71,"")</f>
        <v/>
      </c>
      <c r="T71" s="1435" t="str">
        <f aca="false">IF($H71=T$4,$D71*$N71,"")</f>
        <v/>
      </c>
      <c r="U71" s="1436" t="str">
        <f aca="false">IF($H71=U$4,$D71*$N71,"")</f>
        <v/>
      </c>
      <c r="V71" s="1418"/>
      <c r="W71" s="1419"/>
      <c r="X71" s="1419"/>
      <c r="Y71" s="1419"/>
      <c r="Z71" s="1419"/>
      <c r="AA71" s="1419"/>
      <c r="AB71" s="1420"/>
      <c r="AC71" s="1319"/>
      <c r="AD71" s="2" t="str">
        <f aca="false">IF(AND(AD$4=$G71,AD$6=$F71),$B71,"")</f>
        <v/>
      </c>
      <c r="AE71" s="2" t="str">
        <f aca="false">IF(AND(AE$4=$G71,AE$6=$F71),$B71,"")</f>
        <v/>
      </c>
      <c r="AF71" s="2" t="str">
        <f aca="false">IF(AND(AF$4=$G71,AF$6=$F71),$B71,"")</f>
        <v/>
      </c>
      <c r="AG71" s="2" t="str">
        <f aca="false">IF(AND(AG$4=$G71,AG$6=$F71),$B71,"")</f>
        <v/>
      </c>
      <c r="AI71" s="366"/>
      <c r="AL71" s="367"/>
      <c r="AO71" s="367"/>
      <c r="AP71" s="2" t="str">
        <f aca="false">IF(AT71&gt;0,RANK(AT71,AT$7:AT$423),"")</f>
        <v/>
      </c>
      <c r="AQ71" s="2" t="n">
        <f aca="false">'O_MN, PE_UTA_UGM 2024'!C67</f>
        <v>113</v>
      </c>
      <c r="AR71" s="1421" t="n">
        <v>1090</v>
      </c>
      <c r="AS71" s="2" t="str">
        <f aca="false">IF(AY71&lt;&gt;"",AY71,"")</f>
        <v/>
      </c>
      <c r="AT71" s="1422" t="n">
        <f aca="false">IF(ISNUMBER($AR71),SUMIF(B$7:B$505,AR71,D$7:D$505),"")</f>
        <v>0</v>
      </c>
      <c r="AU71" s="1411" t="n">
        <f aca="false">IF(ISNUMBER($AR71),SUMIF(AD$7:AD$503,$AR71,J$7:J$503),"")</f>
        <v>0</v>
      </c>
      <c r="AV71" s="1411" t="n">
        <f aca="false">IF(ISNUMBER($AR71),SUMIF(AF$7:AF$503,$AR71,L$7:L$503),"")</f>
        <v>0</v>
      </c>
      <c r="AW71" s="1423" t="n">
        <f aca="false">IF(ISNUMBER($AR71),SUMIF(AE$7:AE$503,$AR71,K$7:K$503),"")</f>
        <v>0</v>
      </c>
      <c r="AX71" s="1423" t="n">
        <f aca="false">IF(ISNUMBER($AR71),SUMIF(AG$7:AG$503,$AR71,M$7:M$503),"")</f>
        <v>0</v>
      </c>
      <c r="AY71" s="2" t="str">
        <f aca="false">IF($AT71&gt;0,VLOOKUP($AR71,'O_MN, PE_UTA_UGM 2024'!E67:O483,2),"")</f>
        <v/>
      </c>
      <c r="AZ71" s="1507"/>
      <c r="BA71" s="1507"/>
      <c r="BB71" s="1507" t="str">
        <f aca="false">IF($AT71&gt;0,VLOOKUP($AR71,'O_MN, PE_UTA_UGM 2024'!$E$3:$O$419,BB$6),"")</f>
        <v/>
      </c>
      <c r="BC71" s="1507" t="str">
        <f aca="false">IF($AT71&gt;0,VLOOKUP($AR71,'O_MN, PE_UTA_UGM 2024'!$E$3:$O$419,BC$6),"")</f>
        <v/>
      </c>
      <c r="BD71" s="1507" t="str">
        <f aca="false">IF($AT71&gt;0,VLOOKUP($AR71,'O_MN, PE_UTA_UGM 2024'!$E$3:$O$419,BD$6),"")</f>
        <v/>
      </c>
      <c r="BE71" s="1507" t="str">
        <f aca="false">IF($AT71&gt;0,VLOOKUP($AR71,'O_MN, PE_UTA_UGM 2024'!$E$3:$O$419,BE$6),"")</f>
        <v/>
      </c>
      <c r="BF71" s="1507" t="str">
        <f aca="false">IF($AT71&gt;0,VLOOKUP($AR71,'O_MN, PE_UTA_UGM 2024'!$E$3:$O$419,BF$6),"")</f>
        <v/>
      </c>
      <c r="BG71" s="1507" t="str">
        <f aca="false">IF($AT71&gt;0,VLOOKUP($AR71,'O_MN, PE_UTA_UGM 2024'!$E$3:$O$419,BG$6),"")</f>
        <v/>
      </c>
      <c r="BH71" s="1504"/>
      <c r="BI71" s="1504"/>
      <c r="BJ71" s="1504"/>
      <c r="BK71" s="1504"/>
      <c r="BM71" s="1411"/>
      <c r="BN71" s="1411"/>
      <c r="BO71" s="1425" t="str">
        <f aca="false">IF(ISNUMBER($AU71*BB71*1),$AU71*BB71*1,"")</f>
        <v/>
      </c>
      <c r="BP71" s="1425" t="str">
        <f aca="false">IF(ISNUMBER($AV71*BC71*1),$AV71*BC71*1,"")</f>
        <v/>
      </c>
      <c r="BQ71" s="1425" t="str">
        <f aca="false">IF(ISNUMBER($AU71*BD71*1),$AU71*BD71*1,"")</f>
        <v/>
      </c>
      <c r="BR71" s="1425" t="str">
        <f aca="false">IF(ISNUMBER($AV71*BE71*1),$AV71*BE71*1,"")</f>
        <v/>
      </c>
      <c r="BS71" s="1411" t="str">
        <f aca="false">IF(ISNUMBER($AU71*BF71),$AU71*BF71,"")</f>
        <v/>
      </c>
      <c r="BT71" s="1411" t="str">
        <f aca="false">IF(ISNUMBER($AV71*BG71),$AV71*BG71,"")</f>
        <v/>
      </c>
      <c r="BU71" s="1411"/>
      <c r="BV71" s="1411"/>
      <c r="BW71" s="1411"/>
      <c r="BX71" s="1411"/>
      <c r="BZ71" s="1372"/>
      <c r="CA71" s="1372"/>
      <c r="CB71" s="1426" t="str">
        <f aca="false">IF(ISNUMBER($AW71*BB71),$AW71*BB71,"")</f>
        <v/>
      </c>
      <c r="CC71" s="1426" t="str">
        <f aca="false">IF(ISNUMBER($AX71*BC71),$AX71*BC71,"")</f>
        <v/>
      </c>
      <c r="CD71" s="1426" t="str">
        <f aca="false">IF(ISNUMBER($AW71*BD71),$AW71*BD71,"")</f>
        <v/>
      </c>
      <c r="CE71" s="1426" t="str">
        <f aca="false">IF(ISNUMBER($AX71*BE71),$AX71*BE71,"")</f>
        <v/>
      </c>
      <c r="CF71" s="1372" t="str">
        <f aca="false">IF(ISNUMBER($AW71*BF71),$AW71*BF71,"")</f>
        <v/>
      </c>
      <c r="CG71" s="1372" t="str">
        <f aca="false">IF(ISNUMBER($AX71*BG71),$AX71*BG71,"")</f>
        <v/>
      </c>
      <c r="CH71" s="1438"/>
      <c r="CI71" s="1438"/>
      <c r="CJ71" s="1438"/>
      <c r="CK71" s="1438"/>
      <c r="CU71" s="1411"/>
      <c r="CV71" s="1411"/>
      <c r="CW71" s="1425"/>
      <c r="CX71" s="1425"/>
      <c r="CY71" s="1425"/>
      <c r="CZ71" s="1425"/>
      <c r="DA71" s="1411"/>
      <c r="DB71" s="1411"/>
      <c r="DC71" s="1411"/>
      <c r="DD71" s="1411"/>
      <c r="DE71" s="1411"/>
      <c r="DF71" s="1411"/>
      <c r="DH71" s="1432"/>
      <c r="DI71" s="1432"/>
      <c r="DJ71" s="1437"/>
      <c r="DK71" s="1437"/>
      <c r="DL71" s="1437"/>
      <c r="DM71" s="1437"/>
      <c r="DN71" s="1432"/>
      <c r="DO71" s="1432"/>
      <c r="DP71" s="1432"/>
      <c r="DQ71" s="1432"/>
      <c r="DR71" s="1432"/>
      <c r="DS71" s="1432"/>
      <c r="DT71" s="1316"/>
      <c r="DU71" s="1433"/>
      <c r="DV71" s="1433"/>
      <c r="DW71" s="1433"/>
      <c r="DX71" s="1433"/>
      <c r="DY71" s="1433"/>
      <c r="DZ71" s="1433"/>
      <c r="EA71" s="1433"/>
      <c r="EB71" s="1433"/>
    </row>
    <row r="72" customFormat="false" ht="14.25" hidden="false" customHeight="false" outlineLevel="0" collapsed="false">
      <c r="A72" s="2" t="n">
        <f aca="false">'V_DATOS PAC_SGA'!CC67</f>
        <v>0</v>
      </c>
      <c r="B72" s="2" t="n">
        <f aca="false">IF(OR(A72=0,A72=""),0,IF(I72="IV",CONCATENATE('V_DATOS PAC_SGA'!CC67,"4")+0,CONCATENATE('V_DATOS PAC_SGA'!CC67,"0")+0))</f>
        <v>0</v>
      </c>
      <c r="C72" s="2" t="n">
        <f aca="false">'V_DATOS PAC_SGA'!CD67</f>
        <v>0</v>
      </c>
      <c r="D72" s="1409" t="n">
        <f aca="false">'V_DATOS PAC_SGA'!Y67</f>
        <v>0</v>
      </c>
      <c r="E72" s="1410" t="str">
        <f aca="false">IF('V_DATOS PAC_SGA'!AV67="","Regadio",'V_DATOS PAC_SGA'!AV67)</f>
        <v>Regadio</v>
      </c>
      <c r="F72" s="1411" t="n">
        <f aca="false">'V_DATOS PAC_SGA'!BK67</f>
        <v>0</v>
      </c>
      <c r="G72" s="1412" t="n">
        <f aca="false">'V_DATOS PAC_SGA'!AN67</f>
        <v>0</v>
      </c>
      <c r="H72" s="1413" t="str">
        <f aca="false">IF(B72&gt;0,VLOOKUP(B72,'O_MN, PE_UTA_UGM 2024'!E$3:O$419,10),"")</f>
        <v/>
      </c>
      <c r="I72" s="1359" t="str">
        <f aca="false">IF('V_DATOS PAC_SGA'!BV67="IV",'V_DATOS PAC_SGA'!BV67,"")</f>
        <v/>
      </c>
      <c r="J72" s="2" t="str">
        <f aca="false">IF($A72&gt;0,IF(AND(J$4=$G72,J$6=$F72),$D72*J$5,""),"")</f>
        <v/>
      </c>
      <c r="K72" s="2" t="str">
        <f aca="false">IF($A72&gt;0,IF(AND(K$4=$G72,K$6=$F72),$D72*K$5,""),"")</f>
        <v/>
      </c>
      <c r="L72" s="2" t="str">
        <f aca="false">IF($A72&gt;0,IF(AND(L$4=$G72,L$6=$F72),$D72*L$5,""),"")</f>
        <v/>
      </c>
      <c r="M72" s="2" t="str">
        <f aca="false">IF($A72&gt;0,IF(AND(M$4=$G72,M$6=$F72),$D72*M$5,""),"")</f>
        <v/>
      </c>
      <c r="N72" s="1506" t="n">
        <f aca="false">VLOOKUP(B72,'O_MN, PE_UTA_UGM 2024'!$E$2:$K$419,IF(G72&gt;1,6,7))</f>
        <v>0</v>
      </c>
      <c r="O72" s="1434" t="str">
        <f aca="false">IF($H72=O$4,$D72*$N72,"")</f>
        <v/>
      </c>
      <c r="P72" s="1435" t="str">
        <f aca="false">IF($H72=P$4,$D72*$N72,"")</f>
        <v/>
      </c>
      <c r="Q72" s="1435" t="str">
        <f aca="false">IF($H72=Q$4,$D72*$N72,"")</f>
        <v/>
      </c>
      <c r="R72" s="1435" t="str">
        <f aca="false">IF($H72=R$4,$D72*$N72,"")</f>
        <v/>
      </c>
      <c r="S72" s="1435" t="str">
        <f aca="false">IF($H72=S$4,$D72*$N72,"")</f>
        <v/>
      </c>
      <c r="T72" s="1435" t="str">
        <f aca="false">IF($H72=T$4,$D72*$N72,"")</f>
        <v/>
      </c>
      <c r="U72" s="1436" t="str">
        <f aca="false">IF($H72=U$4,$D72*$N72,"")</f>
        <v/>
      </c>
      <c r="V72" s="1418"/>
      <c r="W72" s="1419"/>
      <c r="X72" s="1419"/>
      <c r="Y72" s="1419"/>
      <c r="Z72" s="1419"/>
      <c r="AA72" s="1419"/>
      <c r="AB72" s="1420"/>
      <c r="AC72" s="1319"/>
      <c r="AD72" s="2" t="str">
        <f aca="false">IF(AND(AD$4=$G72,AD$6=$F72),$B72,"")</f>
        <v/>
      </c>
      <c r="AE72" s="2" t="str">
        <f aca="false">IF(AND(AE$4=$G72,AE$6=$F72),$B72,"")</f>
        <v/>
      </c>
      <c r="AF72" s="2" t="str">
        <f aca="false">IF(AND(AF$4=$G72,AF$6=$F72),$B72,"")</f>
        <v/>
      </c>
      <c r="AG72" s="2" t="str">
        <f aca="false">IF(AND(AG$4=$G72,AG$6=$F72),$B72,"")</f>
        <v/>
      </c>
      <c r="AI72" s="366"/>
      <c r="AL72" s="367"/>
      <c r="AO72" s="367"/>
      <c r="AP72" s="2" t="str">
        <f aca="false">IF(AT72&gt;0,RANK(AT72,AT$7:AT$423),"")</f>
        <v/>
      </c>
      <c r="AQ72" s="2" t="n">
        <f aca="false">'O_MN, PE_UTA_UGM 2024'!C68</f>
        <v>117</v>
      </c>
      <c r="AR72" s="1421" t="n">
        <v>1100</v>
      </c>
      <c r="AS72" s="2" t="str">
        <f aca="false">IF(AY72&lt;&gt;"",AY72,"")</f>
        <v/>
      </c>
      <c r="AT72" s="1422" t="n">
        <f aca="false">IF(ISNUMBER($AR72),SUMIF(B$7:B$505,AR72,D$7:D$505),"")</f>
        <v>0</v>
      </c>
      <c r="AU72" s="1411" t="n">
        <f aca="false">IF(ISNUMBER($AR72),SUMIF(AD$7:AD$503,$AR72,J$7:J$503),"")</f>
        <v>0</v>
      </c>
      <c r="AV72" s="1411" t="n">
        <f aca="false">IF(ISNUMBER($AR72),SUMIF(AF$7:AF$503,$AR72,L$7:L$503),"")</f>
        <v>0</v>
      </c>
      <c r="AW72" s="1423" t="n">
        <f aca="false">IF(ISNUMBER($AR72),SUMIF(AE$7:AE$503,$AR72,K$7:K$503),"")</f>
        <v>0</v>
      </c>
      <c r="AX72" s="1423" t="n">
        <f aca="false">IF(ISNUMBER($AR72),SUMIF(AG$7:AG$503,$AR72,M$7:M$503),"")</f>
        <v>0</v>
      </c>
      <c r="AY72" s="2" t="str">
        <f aca="false">IF($AT72&gt;0,VLOOKUP($AR72,'O_MN, PE_UTA_UGM 2024'!E68:O484,2),"")</f>
        <v/>
      </c>
      <c r="AZ72" s="1507"/>
      <c r="BA72" s="1507"/>
      <c r="BB72" s="1507" t="str">
        <f aca="false">IF($AT72&gt;0,VLOOKUP($AR72,'O_MN, PE_UTA_UGM 2024'!$E$3:$O$419,BB$6),"")</f>
        <v/>
      </c>
      <c r="BC72" s="1507" t="str">
        <f aca="false">IF($AT72&gt;0,VLOOKUP($AR72,'O_MN, PE_UTA_UGM 2024'!$E$3:$O$419,BC$6),"")</f>
        <v/>
      </c>
      <c r="BD72" s="1507" t="str">
        <f aca="false">IF($AT72&gt;0,VLOOKUP($AR72,'O_MN, PE_UTA_UGM 2024'!$E$3:$O$419,BD$6),"")</f>
        <v/>
      </c>
      <c r="BE72" s="1507" t="str">
        <f aca="false">IF($AT72&gt;0,VLOOKUP($AR72,'O_MN, PE_UTA_UGM 2024'!$E$3:$O$419,BE$6),"")</f>
        <v/>
      </c>
      <c r="BF72" s="1507" t="str">
        <f aca="false">IF($AT72&gt;0,VLOOKUP($AR72,'O_MN, PE_UTA_UGM 2024'!$E$3:$O$419,BF$6),"")</f>
        <v/>
      </c>
      <c r="BG72" s="1507" t="str">
        <f aca="false">IF($AT72&gt;0,VLOOKUP($AR72,'O_MN, PE_UTA_UGM 2024'!$E$3:$O$419,BG$6),"")</f>
        <v/>
      </c>
      <c r="BH72" s="1504"/>
      <c r="BI72" s="1504"/>
      <c r="BJ72" s="1504"/>
      <c r="BK72" s="1504"/>
      <c r="BM72" s="1411"/>
      <c r="BN72" s="1411"/>
      <c r="BO72" s="1425" t="str">
        <f aca="false">IF(ISNUMBER($AU72*BB72*1),$AU72*BB72*1,"")</f>
        <v/>
      </c>
      <c r="BP72" s="1425" t="str">
        <f aca="false">IF(ISNUMBER($AV72*BC72*1),$AV72*BC72*1,"")</f>
        <v/>
      </c>
      <c r="BQ72" s="1425" t="str">
        <f aca="false">IF(ISNUMBER($AU72*BD72*1),$AU72*BD72*1,"")</f>
        <v/>
      </c>
      <c r="BR72" s="1425" t="str">
        <f aca="false">IF(ISNUMBER($AV72*BE72*1),$AV72*BE72*1,"")</f>
        <v/>
      </c>
      <c r="BS72" s="1411" t="str">
        <f aca="false">IF(ISNUMBER($AU72*BF72),$AU72*BF72,"")</f>
        <v/>
      </c>
      <c r="BT72" s="1411" t="str">
        <f aca="false">IF(ISNUMBER($AV72*BG72),$AV72*BG72,"")</f>
        <v/>
      </c>
      <c r="BU72" s="1411"/>
      <c r="BV72" s="1411"/>
      <c r="BW72" s="1411"/>
      <c r="BX72" s="1411"/>
      <c r="BZ72" s="1372"/>
      <c r="CA72" s="1372"/>
      <c r="CB72" s="1426" t="str">
        <f aca="false">IF(ISNUMBER($AW72*BB72),$AW72*BB72,"")</f>
        <v/>
      </c>
      <c r="CC72" s="1426" t="str">
        <f aca="false">IF(ISNUMBER($AX72*BC72),$AX72*BC72,"")</f>
        <v/>
      </c>
      <c r="CD72" s="1426" t="str">
        <f aca="false">IF(ISNUMBER($AW72*BD72),$AW72*BD72,"")</f>
        <v/>
      </c>
      <c r="CE72" s="1426" t="str">
        <f aca="false">IF(ISNUMBER($AX72*BE72),$AX72*BE72,"")</f>
        <v/>
      </c>
      <c r="CF72" s="1372" t="str">
        <f aca="false">IF(ISNUMBER($AW72*BF72),$AW72*BF72,"")</f>
        <v/>
      </c>
      <c r="CG72" s="1372" t="str">
        <f aca="false">IF(ISNUMBER($AX72*BG72),$AX72*BG72,"")</f>
        <v/>
      </c>
      <c r="CH72" s="1438"/>
      <c r="CI72" s="1438"/>
      <c r="CJ72" s="1438"/>
      <c r="CK72" s="1438"/>
      <c r="CU72" s="1411"/>
      <c r="CV72" s="1411"/>
      <c r="CW72" s="1425"/>
      <c r="CX72" s="1425"/>
      <c r="CY72" s="1425"/>
      <c r="CZ72" s="1425"/>
      <c r="DA72" s="1411"/>
      <c r="DB72" s="1411"/>
      <c r="DC72" s="1411"/>
      <c r="DD72" s="1411"/>
      <c r="DE72" s="1411"/>
      <c r="DF72" s="1411"/>
      <c r="DH72" s="1432"/>
      <c r="DI72" s="1432"/>
      <c r="DJ72" s="1437"/>
      <c r="DK72" s="1437"/>
      <c r="DL72" s="1437"/>
      <c r="DM72" s="1437"/>
      <c r="DN72" s="1432"/>
      <c r="DO72" s="1432"/>
      <c r="DP72" s="1432"/>
      <c r="DQ72" s="1432"/>
      <c r="DR72" s="1432"/>
      <c r="DS72" s="1432"/>
      <c r="DT72" s="1316"/>
      <c r="DU72" s="1433"/>
      <c r="DV72" s="1433"/>
      <c r="DW72" s="1433"/>
      <c r="DX72" s="1433"/>
      <c r="DY72" s="1433"/>
      <c r="DZ72" s="1433"/>
      <c r="EA72" s="1433"/>
      <c r="EB72" s="1433"/>
    </row>
    <row r="73" customFormat="false" ht="14.25" hidden="false" customHeight="false" outlineLevel="0" collapsed="false">
      <c r="A73" s="2" t="n">
        <f aca="false">'V_DATOS PAC_SGA'!CC68</f>
        <v>0</v>
      </c>
      <c r="B73" s="2" t="n">
        <f aca="false">IF(OR(A73=0,A73=""),0,IF(I73="IV",CONCATENATE('V_DATOS PAC_SGA'!CC68,"4")+0,CONCATENATE('V_DATOS PAC_SGA'!CC68,"0")+0))</f>
        <v>0</v>
      </c>
      <c r="C73" s="2" t="n">
        <f aca="false">'V_DATOS PAC_SGA'!CD68</f>
        <v>0</v>
      </c>
      <c r="D73" s="1409" t="n">
        <f aca="false">'V_DATOS PAC_SGA'!Y68</f>
        <v>0</v>
      </c>
      <c r="E73" s="1410" t="str">
        <f aca="false">IF('V_DATOS PAC_SGA'!AV68="","Regadio",'V_DATOS PAC_SGA'!AV68)</f>
        <v>Regadio</v>
      </c>
      <c r="F73" s="1411" t="n">
        <f aca="false">'V_DATOS PAC_SGA'!BK68</f>
        <v>0</v>
      </c>
      <c r="G73" s="1412" t="n">
        <f aca="false">'V_DATOS PAC_SGA'!AN68</f>
        <v>0</v>
      </c>
      <c r="H73" s="1413" t="str">
        <f aca="false">IF(B73&gt;0,VLOOKUP(B73,'O_MN, PE_UTA_UGM 2024'!E$3:O$419,10),"")</f>
        <v/>
      </c>
      <c r="I73" s="1359" t="str">
        <f aca="false">IF('V_DATOS PAC_SGA'!BV68="IV",'V_DATOS PAC_SGA'!BV68,"")</f>
        <v/>
      </c>
      <c r="J73" s="2" t="str">
        <f aca="false">IF($A73&gt;0,IF(AND(J$4=$G73,J$6=$F73),$D73*J$5,""),"")</f>
        <v/>
      </c>
      <c r="K73" s="2" t="str">
        <f aca="false">IF($A73&gt;0,IF(AND(K$4=$G73,K$6=$F73),$D73*K$5,""),"")</f>
        <v/>
      </c>
      <c r="L73" s="2" t="str">
        <f aca="false">IF($A73&gt;0,IF(AND(L$4=$G73,L$6=$F73),$D73*L$5,""),"")</f>
        <v/>
      </c>
      <c r="M73" s="2" t="str">
        <f aca="false">IF($A73&gt;0,IF(AND(M$4=$G73,M$6=$F73),$D73*M$5,""),"")</f>
        <v/>
      </c>
      <c r="N73" s="1506" t="n">
        <f aca="false">VLOOKUP(B73,'O_MN, PE_UTA_UGM 2024'!$E$2:$K$419,IF(G73&gt;1,6,7))</f>
        <v>0</v>
      </c>
      <c r="O73" s="1434" t="str">
        <f aca="false">IF($H73=O$4,$D73*$N73,"")</f>
        <v/>
      </c>
      <c r="P73" s="1435" t="str">
        <f aca="false">IF($H73=P$4,$D73*$N73,"")</f>
        <v/>
      </c>
      <c r="Q73" s="1435" t="str">
        <f aca="false">IF($H73=Q$4,$D73*$N73,"")</f>
        <v/>
      </c>
      <c r="R73" s="1435" t="str">
        <f aca="false">IF($H73=R$4,$D73*$N73,"")</f>
        <v/>
      </c>
      <c r="S73" s="1435" t="str">
        <f aca="false">IF($H73=S$4,$D73*$N73,"")</f>
        <v/>
      </c>
      <c r="T73" s="1435" t="str">
        <f aca="false">IF($H73=T$4,$D73*$N73,"")</f>
        <v/>
      </c>
      <c r="U73" s="1436" t="str">
        <f aca="false">IF($H73=U$4,$D73*$N73,"")</f>
        <v/>
      </c>
      <c r="V73" s="1418"/>
      <c r="W73" s="1419"/>
      <c r="X73" s="1419"/>
      <c r="Y73" s="1419"/>
      <c r="Z73" s="1419"/>
      <c r="AA73" s="1419"/>
      <c r="AB73" s="1420"/>
      <c r="AC73" s="1319"/>
      <c r="AD73" s="2" t="str">
        <f aca="false">IF(AND(AD$4=$G73,AD$6=$F73),$B73,"")</f>
        <v/>
      </c>
      <c r="AE73" s="2" t="str">
        <f aca="false">IF(AND(AE$4=$G73,AE$6=$F73),$B73,"")</f>
        <v/>
      </c>
      <c r="AF73" s="2" t="str">
        <f aca="false">IF(AND(AF$4=$G73,AF$6=$F73),$B73,"")</f>
        <v/>
      </c>
      <c r="AG73" s="2" t="str">
        <f aca="false">IF(AND(AG$4=$G73,AG$6=$F73),$B73,"")</f>
        <v/>
      </c>
      <c r="AI73" s="366"/>
      <c r="AL73" s="367"/>
      <c r="AO73" s="367"/>
      <c r="AP73" s="2" t="str">
        <f aca="false">IF(AT73&gt;0,RANK(AT73,AT$7:AT$423),"")</f>
        <v/>
      </c>
      <c r="AQ73" s="2" t="n">
        <f aca="false">'O_MN, PE_UTA_UGM 2024'!C69</f>
        <v>118</v>
      </c>
      <c r="AR73" s="1421" t="n">
        <v>1110</v>
      </c>
      <c r="AS73" s="2" t="str">
        <f aca="false">IF(AY73&lt;&gt;"",AY73,"")</f>
        <v/>
      </c>
      <c r="AT73" s="1422" t="n">
        <f aca="false">IF(ISNUMBER($AR73),SUMIF(B$7:B$505,AR73,D$7:D$505),"")</f>
        <v>0</v>
      </c>
      <c r="AU73" s="1411" t="n">
        <f aca="false">IF(ISNUMBER($AR73),SUMIF(AD$7:AD$503,$AR73,J$7:J$503),"")</f>
        <v>0</v>
      </c>
      <c r="AV73" s="1411" t="n">
        <f aca="false">IF(ISNUMBER($AR73),SUMIF(AF$7:AF$503,$AR73,L$7:L$503),"")</f>
        <v>0</v>
      </c>
      <c r="AW73" s="1423" t="n">
        <f aca="false">IF(ISNUMBER($AR73),SUMIF(AE$7:AE$503,$AR73,K$7:K$503),"")</f>
        <v>0</v>
      </c>
      <c r="AX73" s="1423" t="n">
        <f aca="false">IF(ISNUMBER($AR73),SUMIF(AG$7:AG$503,$AR73,M$7:M$503),"")</f>
        <v>0</v>
      </c>
      <c r="AY73" s="2" t="str">
        <f aca="false">IF($AT73&gt;0,VLOOKUP($AR73,'O_MN, PE_UTA_UGM 2024'!E69:O485,2),"")</f>
        <v/>
      </c>
      <c r="AZ73" s="1507"/>
      <c r="BA73" s="1507"/>
      <c r="BB73" s="1507" t="str">
        <f aca="false">IF($AT73&gt;0,VLOOKUP($AR73,'O_MN, PE_UTA_UGM 2024'!$E$3:$O$419,BB$6),"")</f>
        <v/>
      </c>
      <c r="BC73" s="1507" t="str">
        <f aca="false">IF($AT73&gt;0,VLOOKUP($AR73,'O_MN, PE_UTA_UGM 2024'!$E$3:$O$419,BC$6),"")</f>
        <v/>
      </c>
      <c r="BD73" s="1507" t="str">
        <f aca="false">IF($AT73&gt;0,VLOOKUP($AR73,'O_MN, PE_UTA_UGM 2024'!$E$3:$O$419,BD$6),"")</f>
        <v/>
      </c>
      <c r="BE73" s="1507" t="str">
        <f aca="false">IF($AT73&gt;0,VLOOKUP($AR73,'O_MN, PE_UTA_UGM 2024'!$E$3:$O$419,BE$6),"")</f>
        <v/>
      </c>
      <c r="BF73" s="1507" t="str">
        <f aca="false">IF($AT73&gt;0,VLOOKUP($AR73,'O_MN, PE_UTA_UGM 2024'!$E$3:$O$419,BF$6),"")</f>
        <v/>
      </c>
      <c r="BG73" s="1507" t="str">
        <f aca="false">IF($AT73&gt;0,VLOOKUP($AR73,'O_MN, PE_UTA_UGM 2024'!$E$3:$O$419,BG$6),"")</f>
        <v/>
      </c>
      <c r="BH73" s="1504"/>
      <c r="BI73" s="1504"/>
      <c r="BJ73" s="1504"/>
      <c r="BK73" s="1504"/>
      <c r="BM73" s="1411"/>
      <c r="BN73" s="1411"/>
      <c r="BO73" s="1425" t="str">
        <f aca="false">IF(ISNUMBER($AU73*BB73*1),$AU73*BB73*1,"")</f>
        <v/>
      </c>
      <c r="BP73" s="1425" t="str">
        <f aca="false">IF(ISNUMBER($AV73*BC73*1),$AV73*BC73*1,"")</f>
        <v/>
      </c>
      <c r="BQ73" s="1425" t="str">
        <f aca="false">IF(ISNUMBER($AU73*BD73*1),$AU73*BD73*1,"")</f>
        <v/>
      </c>
      <c r="BR73" s="1425" t="str">
        <f aca="false">IF(ISNUMBER($AV73*BE73*1),$AV73*BE73*1,"")</f>
        <v/>
      </c>
      <c r="BS73" s="1411" t="str">
        <f aca="false">IF(ISNUMBER($AU73*BF73),$AU73*BF73,"")</f>
        <v/>
      </c>
      <c r="BT73" s="1411" t="str">
        <f aca="false">IF(ISNUMBER($AV73*BG73),$AV73*BG73,"")</f>
        <v/>
      </c>
      <c r="BU73" s="1411"/>
      <c r="BV73" s="1411"/>
      <c r="BW73" s="1411"/>
      <c r="BX73" s="1411"/>
      <c r="BZ73" s="1372"/>
      <c r="CA73" s="1372"/>
      <c r="CB73" s="1426" t="str">
        <f aca="false">IF(ISNUMBER($AW73*BB73),$AW73*BB73,"")</f>
        <v/>
      </c>
      <c r="CC73" s="1426" t="str">
        <f aca="false">IF(ISNUMBER($AX73*BC73),$AX73*BC73,"")</f>
        <v/>
      </c>
      <c r="CD73" s="1426" t="str">
        <f aca="false">IF(ISNUMBER($AW73*BD73),$AW73*BD73,"")</f>
        <v/>
      </c>
      <c r="CE73" s="1426" t="str">
        <f aca="false">IF(ISNUMBER($AX73*BE73),$AX73*BE73,"")</f>
        <v/>
      </c>
      <c r="CF73" s="1372" t="str">
        <f aca="false">IF(ISNUMBER($AW73*BF73),$AW73*BF73,"")</f>
        <v/>
      </c>
      <c r="CG73" s="1372" t="str">
        <f aca="false">IF(ISNUMBER($AX73*BG73),$AX73*BG73,"")</f>
        <v/>
      </c>
      <c r="CH73" s="1438"/>
      <c r="CI73" s="1438"/>
      <c r="CJ73" s="1438"/>
      <c r="CK73" s="1438"/>
      <c r="CU73" s="1411"/>
      <c r="CV73" s="1411"/>
      <c r="CW73" s="1425"/>
      <c r="CX73" s="1425"/>
      <c r="CY73" s="1425"/>
      <c r="CZ73" s="1425"/>
      <c r="DA73" s="1411"/>
      <c r="DB73" s="1411"/>
      <c r="DC73" s="1411"/>
      <c r="DD73" s="1411"/>
      <c r="DE73" s="1411"/>
      <c r="DF73" s="1411"/>
      <c r="DH73" s="1432"/>
      <c r="DI73" s="1432"/>
      <c r="DJ73" s="1437"/>
      <c r="DK73" s="1437"/>
      <c r="DL73" s="1437"/>
      <c r="DM73" s="1437"/>
      <c r="DN73" s="1432"/>
      <c r="DO73" s="1432"/>
      <c r="DP73" s="1432"/>
      <c r="DQ73" s="1432"/>
      <c r="DR73" s="1432"/>
      <c r="DS73" s="1432"/>
      <c r="DT73" s="1316"/>
      <c r="DU73" s="1433"/>
      <c r="DV73" s="1433"/>
      <c r="DW73" s="1433"/>
      <c r="DX73" s="1433"/>
      <c r="DY73" s="1433"/>
      <c r="DZ73" s="1433"/>
      <c r="EA73" s="1433"/>
      <c r="EB73" s="1433"/>
    </row>
    <row r="74" customFormat="false" ht="14.25" hidden="false" customHeight="false" outlineLevel="0" collapsed="false">
      <c r="A74" s="2" t="n">
        <f aca="false">'V_DATOS PAC_SGA'!CC69</f>
        <v>0</v>
      </c>
      <c r="B74" s="2" t="n">
        <f aca="false">IF(OR(A74=0,A74=""),0,IF(I74="IV",CONCATENATE('V_DATOS PAC_SGA'!CC69,"4")+0,CONCATENATE('V_DATOS PAC_SGA'!CC69,"0")+0))</f>
        <v>0</v>
      </c>
      <c r="C74" s="2" t="n">
        <f aca="false">'V_DATOS PAC_SGA'!CD69</f>
        <v>0</v>
      </c>
      <c r="D74" s="1409" t="n">
        <f aca="false">'V_DATOS PAC_SGA'!Y69</f>
        <v>0</v>
      </c>
      <c r="E74" s="1410" t="str">
        <f aca="false">IF('V_DATOS PAC_SGA'!AV69="","Regadio",'V_DATOS PAC_SGA'!AV69)</f>
        <v>Regadio</v>
      </c>
      <c r="F74" s="1411" t="n">
        <f aca="false">'V_DATOS PAC_SGA'!BK69</f>
        <v>0</v>
      </c>
      <c r="G74" s="1412" t="n">
        <f aca="false">'V_DATOS PAC_SGA'!AN69</f>
        <v>0</v>
      </c>
      <c r="H74" s="1413" t="str">
        <f aca="false">IF(B74&gt;0,VLOOKUP(B74,'O_MN, PE_UTA_UGM 2024'!E$3:O$419,10),"")</f>
        <v/>
      </c>
      <c r="I74" s="1359" t="str">
        <f aca="false">IF('V_DATOS PAC_SGA'!BV69="IV",'V_DATOS PAC_SGA'!BV69,"")</f>
        <v/>
      </c>
      <c r="J74" s="2" t="str">
        <f aca="false">IF($A74&gt;0,IF(AND(J$4=$G74,J$6=$F74),$D74*J$5,""),"")</f>
        <v/>
      </c>
      <c r="K74" s="2" t="str">
        <f aca="false">IF($A74&gt;0,IF(AND(K$4=$G74,K$6=$F74),$D74*K$5,""),"")</f>
        <v/>
      </c>
      <c r="L74" s="2" t="str">
        <f aca="false">IF($A74&gt;0,IF(AND(L$4=$G74,L$6=$F74),$D74*L$5,""),"")</f>
        <v/>
      </c>
      <c r="M74" s="2" t="str">
        <f aca="false">IF($A74&gt;0,IF(AND(M$4=$G74,M$6=$F74),$D74*M$5,""),"")</f>
        <v/>
      </c>
      <c r="N74" s="1506" t="n">
        <f aca="false">VLOOKUP(B74,'O_MN, PE_UTA_UGM 2024'!$E$2:$K$419,IF(G74&gt;1,6,7))</f>
        <v>0</v>
      </c>
      <c r="O74" s="1434" t="str">
        <f aca="false">IF($H74=O$4,$D74*$N74,"")</f>
        <v/>
      </c>
      <c r="P74" s="1435" t="str">
        <f aca="false">IF($H74=P$4,$D74*$N74,"")</f>
        <v/>
      </c>
      <c r="Q74" s="1435" t="str">
        <f aca="false">IF($H74=Q$4,$D74*$N74,"")</f>
        <v/>
      </c>
      <c r="R74" s="1435" t="str">
        <f aca="false">IF($H74=R$4,$D74*$N74,"")</f>
        <v/>
      </c>
      <c r="S74" s="1435" t="str">
        <f aca="false">IF($H74=S$4,$D74*$N74,"")</f>
        <v/>
      </c>
      <c r="T74" s="1435" t="str">
        <f aca="false">IF($H74=T$4,$D74*$N74,"")</f>
        <v/>
      </c>
      <c r="U74" s="1436" t="str">
        <f aca="false">IF($H74=U$4,$D74*$N74,"")</f>
        <v/>
      </c>
      <c r="V74" s="1418"/>
      <c r="W74" s="1419"/>
      <c r="X74" s="1419"/>
      <c r="Y74" s="1419"/>
      <c r="Z74" s="1419"/>
      <c r="AA74" s="1419"/>
      <c r="AB74" s="1420"/>
      <c r="AC74" s="1319"/>
      <c r="AD74" s="2" t="str">
        <f aca="false">IF(AND(AD$4=$G74,AD$6=$F74),$B74,"")</f>
        <v/>
      </c>
      <c r="AE74" s="2" t="str">
        <f aca="false">IF(AND(AE$4=$G74,AE$6=$F74),$B74,"")</f>
        <v/>
      </c>
      <c r="AF74" s="2" t="str">
        <f aca="false">IF(AND(AF$4=$G74,AF$6=$F74),$B74,"")</f>
        <v/>
      </c>
      <c r="AG74" s="2" t="str">
        <f aca="false">IF(AND(AG$4=$G74,AG$6=$F74),$B74,"")</f>
        <v/>
      </c>
      <c r="AI74" s="366"/>
      <c r="AL74" s="367"/>
      <c r="AO74" s="367"/>
      <c r="AP74" s="2" t="str">
        <f aca="false">IF(AT74&gt;0,RANK(AT74,AT$7:AT$423),"")</f>
        <v/>
      </c>
      <c r="AQ74" s="2" t="n">
        <f aca="false">'O_MN, PE_UTA_UGM 2024'!C70</f>
        <v>120</v>
      </c>
      <c r="AR74" s="1421" t="n">
        <v>1126</v>
      </c>
      <c r="AS74" s="2" t="str">
        <f aca="false">IF(AY74&lt;&gt;"",AY74,"")</f>
        <v/>
      </c>
      <c r="AT74" s="1422" t="n">
        <f aca="false">IF(ISNUMBER($AR74),SUMIF(B$7:B$505,AR74,D$7:D$505),"")</f>
        <v>0</v>
      </c>
      <c r="AU74" s="1411" t="n">
        <f aca="false">IF(ISNUMBER($AR74),SUMIF(AD$7:AD$503,$AR74,J$7:J$503),"")</f>
        <v>0</v>
      </c>
      <c r="AV74" s="1411" t="n">
        <f aca="false">IF(ISNUMBER($AR74),SUMIF(AF$7:AF$503,$AR74,L$7:L$503),"")</f>
        <v>0</v>
      </c>
      <c r="AW74" s="1423" t="n">
        <f aca="false">IF(ISNUMBER($AR74),SUMIF(AE$7:AE$503,$AR74,K$7:K$503),"")</f>
        <v>0</v>
      </c>
      <c r="AX74" s="1423" t="n">
        <f aca="false">IF(ISNUMBER($AR74),SUMIF(AG$7:AG$503,$AR74,M$7:M$503),"")</f>
        <v>0</v>
      </c>
      <c r="AY74" s="2" t="str">
        <f aca="false">IF($AT74&gt;0,VLOOKUP($AR74,'O_MN, PE_UTA_UGM 2024'!E70:O486,2),"")</f>
        <v/>
      </c>
      <c r="AZ74" s="1507"/>
      <c r="BA74" s="1507"/>
      <c r="BB74" s="1507" t="str">
        <f aca="false">IF($AT74&gt;0,VLOOKUP($AR74,'O_MN, PE_UTA_UGM 2024'!$E$3:$O$419,BB$6),"")</f>
        <v/>
      </c>
      <c r="BC74" s="1507" t="str">
        <f aca="false">IF($AT74&gt;0,VLOOKUP($AR74,'O_MN, PE_UTA_UGM 2024'!$E$3:$O$419,BC$6),"")</f>
        <v/>
      </c>
      <c r="BD74" s="1507" t="str">
        <f aca="false">IF($AT74&gt;0,VLOOKUP($AR74,'O_MN, PE_UTA_UGM 2024'!$E$3:$O$419,BD$6),"")</f>
        <v/>
      </c>
      <c r="BE74" s="1507" t="str">
        <f aca="false">IF($AT74&gt;0,VLOOKUP($AR74,'O_MN, PE_UTA_UGM 2024'!$E$3:$O$419,BE$6),"")</f>
        <v/>
      </c>
      <c r="BF74" s="1507" t="str">
        <f aca="false">IF($AT74&gt;0,VLOOKUP($AR74,'O_MN, PE_UTA_UGM 2024'!$E$3:$O$419,BF$6),"")</f>
        <v/>
      </c>
      <c r="BG74" s="1507" t="str">
        <f aca="false">IF($AT74&gt;0,VLOOKUP($AR74,'O_MN, PE_UTA_UGM 2024'!$E$3:$O$419,BG$6),"")</f>
        <v/>
      </c>
      <c r="BH74" s="1504"/>
      <c r="BI74" s="1504"/>
      <c r="BJ74" s="1504"/>
      <c r="BK74" s="1504"/>
      <c r="BM74" s="1411"/>
      <c r="BN74" s="1411"/>
      <c r="BO74" s="1425" t="str">
        <f aca="false">IF(ISNUMBER($AU74*BB74*1),$AU74*BB74*1,"")</f>
        <v/>
      </c>
      <c r="BP74" s="1425" t="str">
        <f aca="false">IF(ISNUMBER($AV74*BC74*1),$AV74*BC74*1,"")</f>
        <v/>
      </c>
      <c r="BQ74" s="1425" t="str">
        <f aca="false">IF(ISNUMBER($AU74*BD74*1),$AU74*BD74*1,"")</f>
        <v/>
      </c>
      <c r="BR74" s="1425" t="str">
        <f aca="false">IF(ISNUMBER($AV74*BE74*1),$AV74*BE74*1,"")</f>
        <v/>
      </c>
      <c r="BS74" s="1411" t="str">
        <f aca="false">IF(ISNUMBER($AU74*BF74),$AU74*BF74,"")</f>
        <v/>
      </c>
      <c r="BT74" s="1411" t="str">
        <f aca="false">IF(ISNUMBER($AV74*BG74),$AV74*BG74,"")</f>
        <v/>
      </c>
      <c r="BU74" s="1411"/>
      <c r="BV74" s="1411"/>
      <c r="BW74" s="1411"/>
      <c r="BX74" s="1411"/>
      <c r="BZ74" s="1372"/>
      <c r="CA74" s="1372"/>
      <c r="CB74" s="1426" t="str">
        <f aca="false">IF(ISNUMBER($AW74*BB74),$AW74*BB74,"")</f>
        <v/>
      </c>
      <c r="CC74" s="1426" t="str">
        <f aca="false">IF(ISNUMBER($AX74*BC74),$AX74*BC74,"")</f>
        <v/>
      </c>
      <c r="CD74" s="1426" t="str">
        <f aca="false">IF(ISNUMBER($AW74*BD74),$AW74*BD74,"")</f>
        <v/>
      </c>
      <c r="CE74" s="1426" t="str">
        <f aca="false">IF(ISNUMBER($AX74*BE74),$AX74*BE74,"")</f>
        <v/>
      </c>
      <c r="CF74" s="1372" t="str">
        <f aca="false">IF(ISNUMBER($AW74*BF74),$AW74*BF74,"")</f>
        <v/>
      </c>
      <c r="CG74" s="1372" t="str">
        <f aca="false">IF(ISNUMBER($AX74*BG74),$AX74*BG74,"")</f>
        <v/>
      </c>
      <c r="CH74" s="1438"/>
      <c r="CI74" s="1438"/>
      <c r="CJ74" s="1438"/>
      <c r="CK74" s="1438"/>
      <c r="CU74" s="1411"/>
      <c r="CV74" s="1411"/>
      <c r="CW74" s="1425"/>
      <c r="CX74" s="1425"/>
      <c r="CY74" s="1425"/>
      <c r="CZ74" s="1425"/>
      <c r="DA74" s="1411"/>
      <c r="DB74" s="1411"/>
      <c r="DC74" s="1411"/>
      <c r="DD74" s="1411"/>
      <c r="DE74" s="1411"/>
      <c r="DF74" s="1411"/>
      <c r="DH74" s="1432"/>
      <c r="DI74" s="1432"/>
      <c r="DJ74" s="1437"/>
      <c r="DK74" s="1437"/>
      <c r="DL74" s="1437"/>
      <c r="DM74" s="1437"/>
      <c r="DN74" s="1432"/>
      <c r="DO74" s="1432"/>
      <c r="DP74" s="1432"/>
      <c r="DQ74" s="1432"/>
      <c r="DR74" s="1432"/>
      <c r="DS74" s="1432"/>
      <c r="DT74" s="1316"/>
      <c r="DU74" s="1433"/>
      <c r="DV74" s="1433"/>
      <c r="DW74" s="1433"/>
      <c r="DX74" s="1433"/>
      <c r="DY74" s="1433"/>
      <c r="DZ74" s="1433"/>
      <c r="EA74" s="1433"/>
      <c r="EB74" s="1433"/>
    </row>
    <row r="75" customFormat="false" ht="14.25" hidden="false" customHeight="false" outlineLevel="0" collapsed="false">
      <c r="A75" s="2" t="n">
        <f aca="false">'V_DATOS PAC_SGA'!CC70</f>
        <v>0</v>
      </c>
      <c r="B75" s="2" t="n">
        <f aca="false">IF(OR(A75=0,A75=""),0,IF(I75="IV",CONCATENATE('V_DATOS PAC_SGA'!CC70,"4")+0,CONCATENATE('V_DATOS PAC_SGA'!CC70,"0")+0))</f>
        <v>0</v>
      </c>
      <c r="C75" s="2" t="n">
        <f aca="false">'V_DATOS PAC_SGA'!CD70</f>
        <v>0</v>
      </c>
      <c r="D75" s="1409" t="n">
        <f aca="false">'V_DATOS PAC_SGA'!Y70</f>
        <v>0</v>
      </c>
      <c r="E75" s="1410" t="str">
        <f aca="false">IF('V_DATOS PAC_SGA'!AV70="","Regadio",'V_DATOS PAC_SGA'!AV70)</f>
        <v>Regadio</v>
      </c>
      <c r="F75" s="1411" t="n">
        <f aca="false">'V_DATOS PAC_SGA'!BK70</f>
        <v>0</v>
      </c>
      <c r="G75" s="1412" t="n">
        <f aca="false">'V_DATOS PAC_SGA'!AN70</f>
        <v>0</v>
      </c>
      <c r="H75" s="1413" t="str">
        <f aca="false">IF(B75&gt;0,VLOOKUP(B75,'O_MN, PE_UTA_UGM 2024'!E$3:O$419,10),"")</f>
        <v/>
      </c>
      <c r="I75" s="1359" t="str">
        <f aca="false">IF('V_DATOS PAC_SGA'!BV70="IV",'V_DATOS PAC_SGA'!BV70,"")</f>
        <v/>
      </c>
      <c r="J75" s="2" t="str">
        <f aca="false">IF($A75&gt;0,IF(AND(J$4=$G75,J$6=$F75),$D75*J$5,""),"")</f>
        <v/>
      </c>
      <c r="K75" s="2" t="str">
        <f aca="false">IF($A75&gt;0,IF(AND(K$4=$G75,K$6=$F75),$D75*K$5,""),"")</f>
        <v/>
      </c>
      <c r="L75" s="2" t="str">
        <f aca="false">IF($A75&gt;0,IF(AND(L$4=$G75,L$6=$F75),$D75*L$5,""),"")</f>
        <v/>
      </c>
      <c r="M75" s="2" t="str">
        <f aca="false">IF($A75&gt;0,IF(AND(M$4=$G75,M$6=$F75),$D75*M$5,""),"")</f>
        <v/>
      </c>
      <c r="N75" s="1506" t="n">
        <f aca="false">VLOOKUP(B75,'O_MN, PE_UTA_UGM 2024'!$E$2:$K$419,IF(G75&gt;1,6,7))</f>
        <v>0</v>
      </c>
      <c r="O75" s="1434" t="str">
        <f aca="false">IF($H75=O$4,$D75*$N75,"")</f>
        <v/>
      </c>
      <c r="P75" s="1435" t="str">
        <f aca="false">IF($H75=P$4,$D75*$N75,"")</f>
        <v/>
      </c>
      <c r="Q75" s="1435" t="str">
        <f aca="false">IF($H75=Q$4,$D75*$N75,"")</f>
        <v/>
      </c>
      <c r="R75" s="1435" t="str">
        <f aca="false">IF($H75=R$4,$D75*$N75,"")</f>
        <v/>
      </c>
      <c r="S75" s="1435" t="str">
        <f aca="false">IF($H75=S$4,$D75*$N75,"")</f>
        <v/>
      </c>
      <c r="T75" s="1435" t="str">
        <f aca="false">IF($H75=T$4,$D75*$N75,"")</f>
        <v/>
      </c>
      <c r="U75" s="1436" t="str">
        <f aca="false">IF($H75=U$4,$D75*$N75,"")</f>
        <v/>
      </c>
      <c r="V75" s="1418"/>
      <c r="W75" s="1419"/>
      <c r="X75" s="1419"/>
      <c r="Y75" s="1419"/>
      <c r="Z75" s="1419"/>
      <c r="AA75" s="1419"/>
      <c r="AB75" s="1420"/>
      <c r="AC75" s="1319"/>
      <c r="AD75" s="2" t="str">
        <f aca="false">IF(AND(AD$4=$G75,AD$6=$F75),$B75,"")</f>
        <v/>
      </c>
      <c r="AE75" s="2" t="str">
        <f aca="false">IF(AND(AE$4=$G75,AE$6=$F75),$B75,"")</f>
        <v/>
      </c>
      <c r="AF75" s="2" t="str">
        <f aca="false">IF(AND(AF$4=$G75,AF$6=$F75),$B75,"")</f>
        <v/>
      </c>
      <c r="AG75" s="2" t="str">
        <f aca="false">IF(AND(AG$4=$G75,AG$6=$F75),$B75,"")</f>
        <v/>
      </c>
      <c r="AI75" s="366"/>
      <c r="AL75" s="367"/>
      <c r="AO75" s="367"/>
      <c r="AP75" s="2" t="str">
        <f aca="false">IF(AT75&gt;0,RANK(AT75,AT$7:AT$423),"")</f>
        <v/>
      </c>
      <c r="AQ75" s="2" t="n">
        <f aca="false">'O_MN, PE_UTA_UGM 2024'!C71</f>
        <v>121</v>
      </c>
      <c r="AR75" s="1421" t="n">
        <v>1130</v>
      </c>
      <c r="AS75" s="2" t="str">
        <f aca="false">IF(AY75&lt;&gt;"",AY75,"")</f>
        <v/>
      </c>
      <c r="AT75" s="1422" t="n">
        <f aca="false">IF(ISNUMBER($AR75),SUMIF(B$7:B$505,AR75,D$7:D$505),"")</f>
        <v>0</v>
      </c>
      <c r="AU75" s="1411" t="n">
        <f aca="false">IF(ISNUMBER($AR75),SUMIF(AD$7:AD$503,$AR75,J$7:J$503),"")</f>
        <v>0</v>
      </c>
      <c r="AV75" s="1411" t="n">
        <f aca="false">IF(ISNUMBER($AR75),SUMIF(AF$7:AF$503,$AR75,L$7:L$503),"")</f>
        <v>0</v>
      </c>
      <c r="AW75" s="1423" t="n">
        <f aca="false">IF(ISNUMBER($AR75),SUMIF(AE$7:AE$503,$AR75,K$7:K$503),"")</f>
        <v>0</v>
      </c>
      <c r="AX75" s="1423" t="n">
        <f aca="false">IF(ISNUMBER($AR75),SUMIF(AG$7:AG$503,$AR75,M$7:M$503),"")</f>
        <v>0</v>
      </c>
      <c r="AY75" s="2" t="str">
        <f aca="false">IF($AT75&gt;0,VLOOKUP($AR75,'O_MN, PE_UTA_UGM 2024'!E71:O487,2),"")</f>
        <v/>
      </c>
      <c r="AZ75" s="1507"/>
      <c r="BA75" s="1507"/>
      <c r="BB75" s="1507" t="str">
        <f aca="false">IF($AT75&gt;0,VLOOKUP($AR75,'O_MN, PE_UTA_UGM 2024'!$E$3:$O$419,BB$6),"")</f>
        <v/>
      </c>
      <c r="BC75" s="1507" t="str">
        <f aca="false">IF($AT75&gt;0,VLOOKUP($AR75,'O_MN, PE_UTA_UGM 2024'!$E$3:$O$419,BC$6),"")</f>
        <v/>
      </c>
      <c r="BD75" s="1507" t="str">
        <f aca="false">IF($AT75&gt;0,VLOOKUP($AR75,'O_MN, PE_UTA_UGM 2024'!$E$3:$O$419,BD$6),"")</f>
        <v/>
      </c>
      <c r="BE75" s="1507" t="str">
        <f aca="false">IF($AT75&gt;0,VLOOKUP($AR75,'O_MN, PE_UTA_UGM 2024'!$E$3:$O$419,BE$6),"")</f>
        <v/>
      </c>
      <c r="BF75" s="1507" t="str">
        <f aca="false">IF($AT75&gt;0,VLOOKUP($AR75,'O_MN, PE_UTA_UGM 2024'!$E$3:$O$419,BF$6),"")</f>
        <v/>
      </c>
      <c r="BG75" s="1507" t="str">
        <f aca="false">IF($AT75&gt;0,VLOOKUP($AR75,'O_MN, PE_UTA_UGM 2024'!$E$3:$O$419,BG$6),"")</f>
        <v/>
      </c>
      <c r="BH75" s="1504"/>
      <c r="BI75" s="1504"/>
      <c r="BJ75" s="1504"/>
      <c r="BK75" s="1504"/>
      <c r="BM75" s="1411"/>
      <c r="BN75" s="1411"/>
      <c r="BO75" s="1425" t="str">
        <f aca="false">IF(ISNUMBER($AU75*BB75*1),$AU75*BB75*1,"")</f>
        <v/>
      </c>
      <c r="BP75" s="1425" t="str">
        <f aca="false">IF(ISNUMBER($AV75*BC75*1),$AV75*BC75*1,"")</f>
        <v/>
      </c>
      <c r="BQ75" s="1425" t="str">
        <f aca="false">IF(ISNUMBER($AU75*BD75*1),$AU75*BD75*1,"")</f>
        <v/>
      </c>
      <c r="BR75" s="1425" t="str">
        <f aca="false">IF(ISNUMBER($AV75*BE75*1),$AV75*BE75*1,"")</f>
        <v/>
      </c>
      <c r="BS75" s="1411" t="str">
        <f aca="false">IF(ISNUMBER($AU75*BF75),$AU75*BF75,"")</f>
        <v/>
      </c>
      <c r="BT75" s="1411" t="str">
        <f aca="false">IF(ISNUMBER($AV75*BG75),$AV75*BG75,"")</f>
        <v/>
      </c>
      <c r="BU75" s="1411"/>
      <c r="BV75" s="1411"/>
      <c r="BW75" s="1411"/>
      <c r="BX75" s="1411"/>
      <c r="BZ75" s="1372"/>
      <c r="CA75" s="1372"/>
      <c r="CB75" s="1426" t="str">
        <f aca="false">IF(ISNUMBER($AW75*BB75),$AW75*BB75,"")</f>
        <v/>
      </c>
      <c r="CC75" s="1426" t="str">
        <f aca="false">IF(ISNUMBER($AX75*BC75),$AX75*BC75,"")</f>
        <v/>
      </c>
      <c r="CD75" s="1426" t="str">
        <f aca="false">IF(ISNUMBER($AW75*BD75),$AW75*BD75,"")</f>
        <v/>
      </c>
      <c r="CE75" s="1426" t="str">
        <f aca="false">IF(ISNUMBER($AX75*BE75),$AX75*BE75,"")</f>
        <v/>
      </c>
      <c r="CF75" s="1372" t="str">
        <f aca="false">IF(ISNUMBER($AW75*BF75),$AW75*BF75,"")</f>
        <v/>
      </c>
      <c r="CG75" s="1372" t="str">
        <f aca="false">IF(ISNUMBER($AX75*BG75),$AX75*BG75,"")</f>
        <v/>
      </c>
      <c r="CH75" s="1438"/>
      <c r="CI75" s="1438"/>
      <c r="CJ75" s="1438"/>
      <c r="CK75" s="1438"/>
      <c r="CU75" s="1411"/>
      <c r="CV75" s="1411"/>
      <c r="CW75" s="1425"/>
      <c r="CX75" s="1425"/>
      <c r="CY75" s="1425"/>
      <c r="CZ75" s="1425"/>
      <c r="DA75" s="1411"/>
      <c r="DB75" s="1411"/>
      <c r="DC75" s="1411"/>
      <c r="DD75" s="1411"/>
      <c r="DE75" s="1411"/>
      <c r="DF75" s="1411"/>
      <c r="DH75" s="1432"/>
      <c r="DI75" s="1432"/>
      <c r="DJ75" s="1437"/>
      <c r="DK75" s="1437"/>
      <c r="DL75" s="1437"/>
      <c r="DM75" s="1437"/>
      <c r="DN75" s="1432"/>
      <c r="DO75" s="1432"/>
      <c r="DP75" s="1432"/>
      <c r="DQ75" s="1432"/>
      <c r="DR75" s="1432"/>
      <c r="DS75" s="1432"/>
      <c r="DT75" s="1316"/>
      <c r="DU75" s="1433"/>
      <c r="DV75" s="1433"/>
      <c r="DW75" s="1433"/>
      <c r="DX75" s="1433"/>
      <c r="DY75" s="1433"/>
      <c r="DZ75" s="1433"/>
      <c r="EA75" s="1433"/>
      <c r="EB75" s="1433"/>
    </row>
    <row r="76" customFormat="false" ht="14.25" hidden="false" customHeight="false" outlineLevel="0" collapsed="false">
      <c r="A76" s="2" t="n">
        <f aca="false">'V_DATOS PAC_SGA'!CC71</f>
        <v>0</v>
      </c>
      <c r="B76" s="2" t="n">
        <f aca="false">IF(OR(A76=0,A76=""),0,IF(I76="IV",CONCATENATE('V_DATOS PAC_SGA'!CC71,"4")+0,CONCATENATE('V_DATOS PAC_SGA'!CC71,"0")+0))</f>
        <v>0</v>
      </c>
      <c r="C76" s="2" t="n">
        <f aca="false">'V_DATOS PAC_SGA'!CD71</f>
        <v>0</v>
      </c>
      <c r="D76" s="1409" t="n">
        <f aca="false">'V_DATOS PAC_SGA'!Y71</f>
        <v>0</v>
      </c>
      <c r="E76" s="1410" t="str">
        <f aca="false">IF('V_DATOS PAC_SGA'!AV71="","Regadio",'V_DATOS PAC_SGA'!AV71)</f>
        <v>Regadio</v>
      </c>
      <c r="F76" s="1411" t="n">
        <f aca="false">'V_DATOS PAC_SGA'!BK71</f>
        <v>0</v>
      </c>
      <c r="G76" s="1412" t="n">
        <f aca="false">'V_DATOS PAC_SGA'!AN71</f>
        <v>0</v>
      </c>
      <c r="H76" s="1413" t="str">
        <f aca="false">IF(B76&gt;0,VLOOKUP(B76,'O_MN, PE_UTA_UGM 2024'!E$3:O$419,10),"")</f>
        <v/>
      </c>
      <c r="I76" s="1359" t="str">
        <f aca="false">IF('V_DATOS PAC_SGA'!BV71="IV",'V_DATOS PAC_SGA'!BV71,"")</f>
        <v/>
      </c>
      <c r="J76" s="2" t="str">
        <f aca="false">IF($A76&gt;0,IF(AND(J$4=$G76,J$6=$F76),$D76*J$5,""),"")</f>
        <v/>
      </c>
      <c r="K76" s="2" t="str">
        <f aca="false">IF($A76&gt;0,IF(AND(K$4=$G76,K$6=$F76),$D76*K$5,""),"")</f>
        <v/>
      </c>
      <c r="L76" s="2" t="str">
        <f aca="false">IF($A76&gt;0,IF(AND(L$4=$G76,L$6=$F76),$D76*L$5,""),"")</f>
        <v/>
      </c>
      <c r="M76" s="2" t="str">
        <f aca="false">IF($A76&gt;0,IF(AND(M$4=$G76,M$6=$F76),$D76*M$5,""),"")</f>
        <v/>
      </c>
      <c r="N76" s="1506" t="n">
        <f aca="false">VLOOKUP(B76,'O_MN, PE_UTA_UGM 2024'!$E$2:$K$419,IF(G76&gt;1,6,7))</f>
        <v>0</v>
      </c>
      <c r="O76" s="1434" t="str">
        <f aca="false">IF($H76=O$4,$D76*$N76,"")</f>
        <v/>
      </c>
      <c r="P76" s="1435" t="str">
        <f aca="false">IF($H76=P$4,$D76*$N76,"")</f>
        <v/>
      </c>
      <c r="Q76" s="1435" t="str">
        <f aca="false">IF($H76=Q$4,$D76*$N76,"")</f>
        <v/>
      </c>
      <c r="R76" s="1435" t="str">
        <f aca="false">IF($H76=R$4,$D76*$N76,"")</f>
        <v/>
      </c>
      <c r="S76" s="1435" t="str">
        <f aca="false">IF($H76=S$4,$D76*$N76,"")</f>
        <v/>
      </c>
      <c r="T76" s="1435" t="str">
        <f aca="false">IF($H76=T$4,$D76*$N76,"")</f>
        <v/>
      </c>
      <c r="U76" s="1436" t="str">
        <f aca="false">IF($H76=U$4,$D76*$N76,"")</f>
        <v/>
      </c>
      <c r="V76" s="1418"/>
      <c r="W76" s="1419"/>
      <c r="X76" s="1419"/>
      <c r="Y76" s="1419"/>
      <c r="Z76" s="1419"/>
      <c r="AA76" s="1419"/>
      <c r="AB76" s="1420"/>
      <c r="AC76" s="1319"/>
      <c r="AD76" s="2" t="str">
        <f aca="false">IF(AND(AD$4=$G76,AD$6=$F76),$B76,"")</f>
        <v/>
      </c>
      <c r="AE76" s="2" t="str">
        <f aca="false">IF(AND(AE$4=$G76,AE$6=$F76),$B76,"")</f>
        <v/>
      </c>
      <c r="AF76" s="2" t="str">
        <f aca="false">IF(AND(AF$4=$G76,AF$6=$F76),$B76,"")</f>
        <v/>
      </c>
      <c r="AG76" s="2" t="str">
        <f aca="false">IF(AND(AG$4=$G76,AG$6=$F76),$B76,"")</f>
        <v/>
      </c>
      <c r="AI76" s="366"/>
      <c r="AL76" s="367"/>
      <c r="AO76" s="367"/>
      <c r="AP76" s="2" t="str">
        <f aca="false">IF(AT76&gt;0,RANK(AT76,AT$7:AT$423),"")</f>
        <v/>
      </c>
      <c r="AQ76" s="2" t="n">
        <f aca="false">'O_MN, PE_UTA_UGM 2024'!C72</f>
        <v>121</v>
      </c>
      <c r="AR76" s="1421" t="n">
        <v>1170</v>
      </c>
      <c r="AS76" s="2" t="str">
        <f aca="false">IF(AY76&lt;&gt;"",AY76,"")</f>
        <v/>
      </c>
      <c r="AT76" s="1422" t="n">
        <f aca="false">IF(ISNUMBER($AR76),SUMIF(B$7:B$505,AR76,D$7:D$505),"")</f>
        <v>0</v>
      </c>
      <c r="AU76" s="1411" t="n">
        <f aca="false">IF(ISNUMBER($AR76),SUMIF(AD$7:AD$503,$AR76,J$7:J$503),"")</f>
        <v>0</v>
      </c>
      <c r="AV76" s="1411" t="n">
        <f aca="false">IF(ISNUMBER($AR76),SUMIF(AF$7:AF$503,$AR76,L$7:L$503),"")</f>
        <v>0</v>
      </c>
      <c r="AW76" s="1423" t="n">
        <f aca="false">IF(ISNUMBER($AR76),SUMIF(AE$7:AE$503,$AR76,K$7:K$503),"")</f>
        <v>0</v>
      </c>
      <c r="AX76" s="1423" t="n">
        <f aca="false">IF(ISNUMBER($AR76),SUMIF(AG$7:AG$503,$AR76,M$7:M$503),"")</f>
        <v>0</v>
      </c>
      <c r="AY76" s="2" t="str">
        <f aca="false">IF($AT76&gt;0,VLOOKUP($AR76,'O_MN, PE_UTA_UGM 2024'!E72:O488,2),"")</f>
        <v/>
      </c>
      <c r="AZ76" s="1507"/>
      <c r="BA76" s="1507"/>
      <c r="BB76" s="1507" t="str">
        <f aca="false">IF($AT76&gt;0,VLOOKUP($AR76,'O_MN, PE_UTA_UGM 2024'!$E$3:$O$419,BB$6),"")</f>
        <v/>
      </c>
      <c r="BC76" s="1507" t="str">
        <f aca="false">IF($AT76&gt;0,VLOOKUP($AR76,'O_MN, PE_UTA_UGM 2024'!$E$3:$O$419,BC$6),"")</f>
        <v/>
      </c>
      <c r="BD76" s="1507" t="str">
        <f aca="false">IF($AT76&gt;0,VLOOKUP($AR76,'O_MN, PE_UTA_UGM 2024'!$E$3:$O$419,BD$6),"")</f>
        <v/>
      </c>
      <c r="BE76" s="1507" t="str">
        <f aca="false">IF($AT76&gt;0,VLOOKUP($AR76,'O_MN, PE_UTA_UGM 2024'!$E$3:$O$419,BE$6),"")</f>
        <v/>
      </c>
      <c r="BF76" s="1507" t="str">
        <f aca="false">IF($AT76&gt;0,VLOOKUP($AR76,'O_MN, PE_UTA_UGM 2024'!$E$3:$O$419,BF$6),"")</f>
        <v/>
      </c>
      <c r="BG76" s="1507" t="str">
        <f aca="false">IF($AT76&gt;0,VLOOKUP($AR76,'O_MN, PE_UTA_UGM 2024'!$E$3:$O$419,BG$6),"")</f>
        <v/>
      </c>
      <c r="BH76" s="1504"/>
      <c r="BI76" s="1504"/>
      <c r="BJ76" s="1504"/>
      <c r="BK76" s="1504"/>
      <c r="BM76" s="1411"/>
      <c r="BN76" s="1411"/>
      <c r="BO76" s="1425" t="str">
        <f aca="false">IF(ISNUMBER($AU76*BB76*1),$AU76*BB76*1,"")</f>
        <v/>
      </c>
      <c r="BP76" s="1425" t="str">
        <f aca="false">IF(ISNUMBER($AV76*BC76*1),$AV76*BC76*1,"")</f>
        <v/>
      </c>
      <c r="BQ76" s="1425" t="str">
        <f aca="false">IF(ISNUMBER($AU76*BD76*1),$AU76*BD76*1,"")</f>
        <v/>
      </c>
      <c r="BR76" s="1425" t="str">
        <f aca="false">IF(ISNUMBER($AV76*BE76*1),$AV76*BE76*1,"")</f>
        <v/>
      </c>
      <c r="BS76" s="1411" t="str">
        <f aca="false">IF(ISNUMBER($AU76*BF76),$AU76*BF76,"")</f>
        <v/>
      </c>
      <c r="BT76" s="1411" t="str">
        <f aca="false">IF(ISNUMBER($AV76*BG76),$AV76*BG76,"")</f>
        <v/>
      </c>
      <c r="BU76" s="1411"/>
      <c r="BV76" s="1411"/>
      <c r="BW76" s="1411"/>
      <c r="BX76" s="1411"/>
      <c r="BZ76" s="1372"/>
      <c r="CA76" s="1372"/>
      <c r="CB76" s="1426" t="str">
        <f aca="false">IF(ISNUMBER($AW76*BB76),$AW76*BB76,"")</f>
        <v/>
      </c>
      <c r="CC76" s="1426" t="str">
        <f aca="false">IF(ISNUMBER($AX76*BC76),$AX76*BC76,"")</f>
        <v/>
      </c>
      <c r="CD76" s="1426" t="str">
        <f aca="false">IF(ISNUMBER($AW76*BD76),$AW76*BD76,"")</f>
        <v/>
      </c>
      <c r="CE76" s="1426" t="str">
        <f aca="false">IF(ISNUMBER($AX76*BE76),$AX76*BE76,"")</f>
        <v/>
      </c>
      <c r="CF76" s="1372" t="str">
        <f aca="false">IF(ISNUMBER($AW76*BF76),$AW76*BF76,"")</f>
        <v/>
      </c>
      <c r="CG76" s="1372" t="str">
        <f aca="false">IF(ISNUMBER($AX76*BG76),$AX76*BG76,"")</f>
        <v/>
      </c>
      <c r="CH76" s="1438"/>
      <c r="CI76" s="1438"/>
      <c r="CJ76" s="1438"/>
      <c r="CK76" s="1438"/>
      <c r="CU76" s="1411"/>
      <c r="CV76" s="1411"/>
      <c r="CW76" s="1425"/>
      <c r="CX76" s="1425"/>
      <c r="CY76" s="1425"/>
      <c r="CZ76" s="1425"/>
      <c r="DA76" s="1411"/>
      <c r="DB76" s="1411"/>
      <c r="DC76" s="1411"/>
      <c r="DD76" s="1411"/>
      <c r="DE76" s="1411"/>
      <c r="DF76" s="1411"/>
      <c r="DH76" s="1432"/>
      <c r="DI76" s="1432"/>
      <c r="DJ76" s="1437"/>
      <c r="DK76" s="1437"/>
      <c r="DL76" s="1437"/>
      <c r="DM76" s="1437"/>
      <c r="DN76" s="1432"/>
      <c r="DO76" s="1432"/>
      <c r="DP76" s="1432"/>
      <c r="DQ76" s="1432"/>
      <c r="DR76" s="1432"/>
      <c r="DS76" s="1432"/>
      <c r="DT76" s="1316"/>
      <c r="DU76" s="1433"/>
      <c r="DV76" s="1433"/>
      <c r="DW76" s="1433"/>
      <c r="DX76" s="1433"/>
      <c r="DY76" s="1433"/>
      <c r="DZ76" s="1433"/>
      <c r="EA76" s="1433"/>
      <c r="EB76" s="1433"/>
    </row>
    <row r="77" customFormat="false" ht="14.25" hidden="false" customHeight="false" outlineLevel="0" collapsed="false">
      <c r="A77" s="2" t="n">
        <f aca="false">'V_DATOS PAC_SGA'!CC72</f>
        <v>0</v>
      </c>
      <c r="B77" s="2" t="n">
        <f aca="false">IF(OR(A77=0,A77=""),0,IF(I77="IV",CONCATENATE('V_DATOS PAC_SGA'!CC72,"4")+0,CONCATENATE('V_DATOS PAC_SGA'!CC72,"0")+0))</f>
        <v>0</v>
      </c>
      <c r="C77" s="2" t="n">
        <f aca="false">'V_DATOS PAC_SGA'!CD72</f>
        <v>0</v>
      </c>
      <c r="D77" s="1409" t="n">
        <f aca="false">'V_DATOS PAC_SGA'!Y72</f>
        <v>0</v>
      </c>
      <c r="E77" s="1410" t="str">
        <f aca="false">IF('V_DATOS PAC_SGA'!AV72="","Regadio",'V_DATOS PAC_SGA'!AV72)</f>
        <v>Regadio</v>
      </c>
      <c r="F77" s="1411" t="n">
        <f aca="false">'V_DATOS PAC_SGA'!BK72</f>
        <v>0</v>
      </c>
      <c r="G77" s="1412" t="n">
        <f aca="false">'V_DATOS PAC_SGA'!AN72</f>
        <v>0</v>
      </c>
      <c r="H77" s="1413" t="str">
        <f aca="false">IF(B77&gt;0,VLOOKUP(B77,'O_MN, PE_UTA_UGM 2024'!E$3:O$419,10),"")</f>
        <v/>
      </c>
      <c r="I77" s="1359" t="str">
        <f aca="false">IF('V_DATOS PAC_SGA'!BV72="IV",'V_DATOS PAC_SGA'!BV72,"")</f>
        <v/>
      </c>
      <c r="J77" s="2" t="str">
        <f aca="false">IF($A77&gt;0,IF(AND(J$4=$G77,J$6=$F77),$D77*J$5,""),"")</f>
        <v/>
      </c>
      <c r="K77" s="2" t="str">
        <f aca="false">IF($A77&gt;0,IF(AND(K$4=$G77,K$6=$F77),$D77*K$5,""),"")</f>
        <v/>
      </c>
      <c r="L77" s="2" t="str">
        <f aca="false">IF($A77&gt;0,IF(AND(L$4=$G77,L$6=$F77),$D77*L$5,""),"")</f>
        <v/>
      </c>
      <c r="M77" s="2" t="str">
        <f aca="false">IF($A77&gt;0,IF(AND(M$4=$G77,M$6=$F77),$D77*M$5,""),"")</f>
        <v/>
      </c>
      <c r="N77" s="1506" t="n">
        <f aca="false">VLOOKUP(B77,'O_MN, PE_UTA_UGM 2024'!$E$2:$K$419,IF(G77&gt;1,6,7))</f>
        <v>0</v>
      </c>
      <c r="O77" s="1434" t="str">
        <f aca="false">IF($H77=O$4,$D77*$N77,"")</f>
        <v/>
      </c>
      <c r="P77" s="1435" t="str">
        <f aca="false">IF($H77=P$4,$D77*$N77,"")</f>
        <v/>
      </c>
      <c r="Q77" s="1435" t="str">
        <f aca="false">IF($H77=Q$4,$D77*$N77,"")</f>
        <v/>
      </c>
      <c r="R77" s="1435" t="str">
        <f aca="false">IF($H77=R$4,$D77*$N77,"")</f>
        <v/>
      </c>
      <c r="S77" s="1435" t="str">
        <f aca="false">IF($H77=S$4,$D77*$N77,"")</f>
        <v/>
      </c>
      <c r="T77" s="1435" t="str">
        <f aca="false">IF($H77=T$4,$D77*$N77,"")</f>
        <v/>
      </c>
      <c r="U77" s="1436" t="str">
        <f aca="false">IF($H77=U$4,$D77*$N77,"")</f>
        <v/>
      </c>
      <c r="V77" s="1418"/>
      <c r="W77" s="1419"/>
      <c r="X77" s="1419"/>
      <c r="Y77" s="1419"/>
      <c r="Z77" s="1419"/>
      <c r="AA77" s="1419"/>
      <c r="AB77" s="1420"/>
      <c r="AC77" s="1319"/>
      <c r="AD77" s="2" t="str">
        <f aca="false">IF(AND(AD$4=$G77,AD$6=$F77),$B77,"")</f>
        <v/>
      </c>
      <c r="AE77" s="2" t="str">
        <f aca="false">IF(AND(AE$4=$G77,AE$6=$F77),$B77,"")</f>
        <v/>
      </c>
      <c r="AF77" s="2" t="str">
        <f aca="false">IF(AND(AF$4=$G77,AF$6=$F77),$B77,"")</f>
        <v/>
      </c>
      <c r="AG77" s="2" t="str">
        <f aca="false">IF(AND(AG$4=$G77,AG$6=$F77),$B77,"")</f>
        <v/>
      </c>
      <c r="AI77" s="366"/>
      <c r="AL77" s="367"/>
      <c r="AO77" s="367"/>
      <c r="AP77" s="2" t="str">
        <f aca="false">IF(AT77&gt;0,RANK(AT77,AT$7:AT$423),"")</f>
        <v/>
      </c>
      <c r="AQ77" s="2" t="n">
        <f aca="false">'O_MN, PE_UTA_UGM 2024'!C73</f>
        <v>121</v>
      </c>
      <c r="AR77" s="1421" t="n">
        <v>1180</v>
      </c>
      <c r="AS77" s="2" t="str">
        <f aca="false">IF(AY77&lt;&gt;"",AY77,"")</f>
        <v/>
      </c>
      <c r="AT77" s="1422" t="n">
        <f aca="false">IF(ISNUMBER($AR77),SUMIF(B$7:B$505,AR77,D$7:D$505),"")</f>
        <v>0</v>
      </c>
      <c r="AU77" s="1411" t="n">
        <f aca="false">IF(ISNUMBER($AR77),SUMIF(AD$7:AD$503,$AR77,J$7:J$503),"")</f>
        <v>0</v>
      </c>
      <c r="AV77" s="1411" t="n">
        <f aca="false">IF(ISNUMBER($AR77),SUMIF(AF$7:AF$503,$AR77,L$7:L$503),"")</f>
        <v>0</v>
      </c>
      <c r="AW77" s="1423" t="n">
        <f aca="false">IF(ISNUMBER($AR77),SUMIF(AE$7:AE$503,$AR77,K$7:K$503),"")</f>
        <v>0</v>
      </c>
      <c r="AX77" s="1423" t="n">
        <f aca="false">IF(ISNUMBER($AR77),SUMIF(AG$7:AG$503,$AR77,M$7:M$503),"")</f>
        <v>0</v>
      </c>
      <c r="AY77" s="2" t="str">
        <f aca="false">IF($AT77&gt;0,VLOOKUP($AR77,'O_MN, PE_UTA_UGM 2024'!E73:O489,2),"")</f>
        <v/>
      </c>
      <c r="AZ77" s="1507"/>
      <c r="BA77" s="1507"/>
      <c r="BB77" s="1507" t="str">
        <f aca="false">IF($AT77&gt;0,VLOOKUP($AR77,'O_MN, PE_UTA_UGM 2024'!$E$3:$O$419,BB$6),"")</f>
        <v/>
      </c>
      <c r="BC77" s="1507" t="str">
        <f aca="false">IF($AT77&gt;0,VLOOKUP($AR77,'O_MN, PE_UTA_UGM 2024'!$E$3:$O$419,BC$6),"")</f>
        <v/>
      </c>
      <c r="BD77" s="1507" t="str">
        <f aca="false">IF($AT77&gt;0,VLOOKUP($AR77,'O_MN, PE_UTA_UGM 2024'!$E$3:$O$419,BD$6),"")</f>
        <v/>
      </c>
      <c r="BE77" s="1507" t="str">
        <f aca="false">IF($AT77&gt;0,VLOOKUP($AR77,'O_MN, PE_UTA_UGM 2024'!$E$3:$O$419,BE$6),"")</f>
        <v/>
      </c>
      <c r="BF77" s="1507" t="str">
        <f aca="false">IF($AT77&gt;0,VLOOKUP($AR77,'O_MN, PE_UTA_UGM 2024'!$E$3:$O$419,BF$6),"")</f>
        <v/>
      </c>
      <c r="BG77" s="1507" t="str">
        <f aca="false">IF($AT77&gt;0,VLOOKUP($AR77,'O_MN, PE_UTA_UGM 2024'!$E$3:$O$419,BG$6),"")</f>
        <v/>
      </c>
      <c r="BH77" s="1504"/>
      <c r="BI77" s="1504"/>
      <c r="BJ77" s="1504"/>
      <c r="BK77" s="1504"/>
      <c r="BM77" s="1411"/>
      <c r="BN77" s="1411"/>
      <c r="BO77" s="1425" t="str">
        <f aca="false">IF(ISNUMBER($AU77*BB77*1),$AU77*BB77*1,"")</f>
        <v/>
      </c>
      <c r="BP77" s="1425" t="str">
        <f aca="false">IF(ISNUMBER($AV77*BC77*1),$AV77*BC77*1,"")</f>
        <v/>
      </c>
      <c r="BQ77" s="1425" t="str">
        <f aca="false">IF(ISNUMBER($AU77*BD77*1),$AU77*BD77*1,"")</f>
        <v/>
      </c>
      <c r="BR77" s="1425" t="str">
        <f aca="false">IF(ISNUMBER($AV77*BE77*1),$AV77*BE77*1,"")</f>
        <v/>
      </c>
      <c r="BS77" s="1411" t="str">
        <f aca="false">IF(ISNUMBER($AU77*BF77),$AU77*BF77,"")</f>
        <v/>
      </c>
      <c r="BT77" s="1411" t="str">
        <f aca="false">IF(ISNUMBER($AV77*BG77),$AV77*BG77,"")</f>
        <v/>
      </c>
      <c r="BU77" s="1411"/>
      <c r="BV77" s="1411"/>
      <c r="BW77" s="1411"/>
      <c r="BX77" s="1411"/>
      <c r="BZ77" s="1372"/>
      <c r="CA77" s="1372"/>
      <c r="CB77" s="1426" t="str">
        <f aca="false">IF(ISNUMBER($AW77*BB77),$AW77*BB77,"")</f>
        <v/>
      </c>
      <c r="CC77" s="1426" t="str">
        <f aca="false">IF(ISNUMBER($AX77*BC77),$AX77*BC77,"")</f>
        <v/>
      </c>
      <c r="CD77" s="1426" t="str">
        <f aca="false">IF(ISNUMBER($AW77*BD77),$AW77*BD77,"")</f>
        <v/>
      </c>
      <c r="CE77" s="1426" t="str">
        <f aca="false">IF(ISNUMBER($AX77*BE77),$AX77*BE77,"")</f>
        <v/>
      </c>
      <c r="CF77" s="1372" t="str">
        <f aca="false">IF(ISNUMBER($AW77*BF77),$AW77*BF77,"")</f>
        <v/>
      </c>
      <c r="CG77" s="1372" t="str">
        <f aca="false">IF(ISNUMBER($AX77*BG77),$AX77*BG77,"")</f>
        <v/>
      </c>
      <c r="CH77" s="1438"/>
      <c r="CI77" s="1438"/>
      <c r="CJ77" s="1438"/>
      <c r="CK77" s="1438"/>
      <c r="CU77" s="1411"/>
      <c r="CV77" s="1411"/>
      <c r="CW77" s="1425"/>
      <c r="CX77" s="1425"/>
      <c r="CY77" s="1425"/>
      <c r="CZ77" s="1425"/>
      <c r="DA77" s="1411"/>
      <c r="DB77" s="1411"/>
      <c r="DC77" s="1411"/>
      <c r="DD77" s="1411"/>
      <c r="DE77" s="1411"/>
      <c r="DF77" s="1411"/>
      <c r="DH77" s="1432"/>
      <c r="DI77" s="1432"/>
      <c r="DJ77" s="1437"/>
      <c r="DK77" s="1437"/>
      <c r="DL77" s="1437"/>
      <c r="DM77" s="1437"/>
      <c r="DN77" s="1432"/>
      <c r="DO77" s="1432"/>
      <c r="DP77" s="1432"/>
      <c r="DQ77" s="1432"/>
      <c r="DR77" s="1432"/>
      <c r="DS77" s="1432"/>
      <c r="DT77" s="1316"/>
      <c r="DU77" s="1433"/>
      <c r="DV77" s="1433"/>
      <c r="DW77" s="1433"/>
      <c r="DX77" s="1433"/>
      <c r="DY77" s="1433"/>
      <c r="DZ77" s="1433"/>
      <c r="EA77" s="1433"/>
      <c r="EB77" s="1433"/>
    </row>
    <row r="78" customFormat="false" ht="14.25" hidden="false" customHeight="false" outlineLevel="0" collapsed="false">
      <c r="A78" s="2" t="n">
        <f aca="false">'V_DATOS PAC_SGA'!CC73</f>
        <v>0</v>
      </c>
      <c r="B78" s="2" t="n">
        <f aca="false">IF(OR(A78=0,A78=""),0,IF(I78="IV",CONCATENATE('V_DATOS PAC_SGA'!CC73,"4")+0,CONCATENATE('V_DATOS PAC_SGA'!CC73,"0")+0))</f>
        <v>0</v>
      </c>
      <c r="C78" s="2" t="n">
        <f aca="false">'V_DATOS PAC_SGA'!CD73</f>
        <v>0</v>
      </c>
      <c r="D78" s="1409" t="n">
        <f aca="false">'V_DATOS PAC_SGA'!Y73</f>
        <v>0</v>
      </c>
      <c r="E78" s="1410" t="str">
        <f aca="false">IF('V_DATOS PAC_SGA'!AV73="","Regadio",'V_DATOS PAC_SGA'!AV73)</f>
        <v>Regadio</v>
      </c>
      <c r="F78" s="1411" t="n">
        <f aca="false">'V_DATOS PAC_SGA'!BK73</f>
        <v>0</v>
      </c>
      <c r="G78" s="1412" t="n">
        <f aca="false">'V_DATOS PAC_SGA'!AN73</f>
        <v>0</v>
      </c>
      <c r="H78" s="1413" t="str">
        <f aca="false">IF(B78&gt;0,VLOOKUP(B78,'O_MN, PE_UTA_UGM 2024'!E$3:O$419,10),"")</f>
        <v/>
      </c>
      <c r="I78" s="1359" t="str">
        <f aca="false">IF('V_DATOS PAC_SGA'!BV73="IV",'V_DATOS PAC_SGA'!BV73,"")</f>
        <v/>
      </c>
      <c r="J78" s="2" t="str">
        <f aca="false">IF($A78&gt;0,IF(AND(J$4=$G78,J$6=$F78),$D78*J$5,""),"")</f>
        <v/>
      </c>
      <c r="K78" s="2" t="str">
        <f aca="false">IF($A78&gt;0,IF(AND(K$4=$G78,K$6=$F78),$D78*K$5,""),"")</f>
        <v/>
      </c>
      <c r="L78" s="2" t="str">
        <f aca="false">IF($A78&gt;0,IF(AND(L$4=$G78,L$6=$F78),$D78*L$5,""),"")</f>
        <v/>
      </c>
      <c r="M78" s="2" t="str">
        <f aca="false">IF($A78&gt;0,IF(AND(M$4=$G78,M$6=$F78),$D78*M$5,""),"")</f>
        <v/>
      </c>
      <c r="N78" s="1506" t="n">
        <f aca="false">VLOOKUP(B78,'O_MN, PE_UTA_UGM 2024'!$E$2:$K$419,IF(G78&gt;1,6,7))</f>
        <v>0</v>
      </c>
      <c r="O78" s="1434" t="str">
        <f aca="false">IF($H78=O$4,$D78*$N78,"")</f>
        <v/>
      </c>
      <c r="P78" s="1435" t="str">
        <f aca="false">IF($H78=P$4,$D78*$N78,"")</f>
        <v/>
      </c>
      <c r="Q78" s="1435" t="str">
        <f aca="false">IF($H78=Q$4,$D78*$N78,"")</f>
        <v/>
      </c>
      <c r="R78" s="1435" t="str">
        <f aca="false">IF($H78=R$4,$D78*$N78,"")</f>
        <v/>
      </c>
      <c r="S78" s="1435" t="str">
        <f aca="false">IF($H78=S$4,$D78*$N78,"")</f>
        <v/>
      </c>
      <c r="T78" s="1435" t="str">
        <f aca="false">IF($H78=T$4,$D78*$N78,"")</f>
        <v/>
      </c>
      <c r="U78" s="1436" t="str">
        <f aca="false">IF($H78=U$4,$D78*$N78,"")</f>
        <v/>
      </c>
      <c r="V78" s="1418"/>
      <c r="W78" s="1419"/>
      <c r="X78" s="1419"/>
      <c r="Y78" s="1419"/>
      <c r="Z78" s="1419"/>
      <c r="AA78" s="1419"/>
      <c r="AB78" s="1420"/>
      <c r="AC78" s="1319"/>
      <c r="AD78" s="2" t="str">
        <f aca="false">IF(AND(AD$4=$G78,AD$6=$F78),$B78,"")</f>
        <v/>
      </c>
      <c r="AE78" s="2" t="str">
        <f aca="false">IF(AND(AE$4=$G78,AE$6=$F78),$B78,"")</f>
        <v/>
      </c>
      <c r="AF78" s="2" t="str">
        <f aca="false">IF(AND(AF$4=$G78,AF$6=$F78),$B78,"")</f>
        <v/>
      </c>
      <c r="AG78" s="2" t="str">
        <f aca="false">IF(AND(AG$4=$G78,AG$6=$F78),$B78,"")</f>
        <v/>
      </c>
      <c r="AI78" s="366"/>
      <c r="AL78" s="367"/>
      <c r="AO78" s="367"/>
      <c r="AP78" s="2" t="str">
        <f aca="false">IF(AT78&gt;0,RANK(AT78,AT$7:AT$423),"")</f>
        <v/>
      </c>
      <c r="AQ78" s="2" t="n">
        <f aca="false">'O_MN, PE_UTA_UGM 2024'!C74</f>
        <v>122</v>
      </c>
      <c r="AR78" s="1421" t="n">
        <v>1200</v>
      </c>
      <c r="AS78" s="2" t="str">
        <f aca="false">IF(AY78&lt;&gt;"",AY78,"")</f>
        <v/>
      </c>
      <c r="AT78" s="1422" t="n">
        <f aca="false">IF(ISNUMBER($AR78),SUMIF(B$7:B$505,AR78,D$7:D$505),"")</f>
        <v>0</v>
      </c>
      <c r="AU78" s="1411" t="n">
        <f aca="false">IF(ISNUMBER($AR78),SUMIF(AD$7:AD$503,$AR78,J$7:J$503),"")</f>
        <v>0</v>
      </c>
      <c r="AV78" s="1411" t="n">
        <f aca="false">IF(ISNUMBER($AR78),SUMIF(AF$7:AF$503,$AR78,L$7:L$503),"")</f>
        <v>0</v>
      </c>
      <c r="AW78" s="1423" t="n">
        <f aca="false">IF(ISNUMBER($AR78),SUMIF(AE$7:AE$503,$AR78,K$7:K$503),"")</f>
        <v>0</v>
      </c>
      <c r="AX78" s="1423" t="n">
        <f aca="false">IF(ISNUMBER($AR78),SUMIF(AG$7:AG$503,$AR78,M$7:M$503),"")</f>
        <v>0</v>
      </c>
      <c r="AY78" s="2" t="str">
        <f aca="false">IF($AT78&gt;0,VLOOKUP($AR78,'O_MN, PE_UTA_UGM 2024'!E74:O490,2),"")</f>
        <v/>
      </c>
      <c r="AZ78" s="1507"/>
      <c r="BA78" s="1507"/>
      <c r="BB78" s="1507" t="str">
        <f aca="false">IF($AT78&gt;0,VLOOKUP($AR78,'O_MN, PE_UTA_UGM 2024'!$E$3:$O$419,BB$6),"")</f>
        <v/>
      </c>
      <c r="BC78" s="1507" t="str">
        <f aca="false">IF($AT78&gt;0,VLOOKUP($AR78,'O_MN, PE_UTA_UGM 2024'!$E$3:$O$419,BC$6),"")</f>
        <v/>
      </c>
      <c r="BD78" s="1507" t="str">
        <f aca="false">IF($AT78&gt;0,VLOOKUP($AR78,'O_MN, PE_UTA_UGM 2024'!$E$3:$O$419,BD$6),"")</f>
        <v/>
      </c>
      <c r="BE78" s="1507" t="str">
        <f aca="false">IF($AT78&gt;0,VLOOKUP($AR78,'O_MN, PE_UTA_UGM 2024'!$E$3:$O$419,BE$6),"")</f>
        <v/>
      </c>
      <c r="BF78" s="1507" t="str">
        <f aca="false">IF($AT78&gt;0,VLOOKUP($AR78,'O_MN, PE_UTA_UGM 2024'!$E$3:$O$419,BF$6),"")</f>
        <v/>
      </c>
      <c r="BG78" s="1507" t="str">
        <f aca="false">IF($AT78&gt;0,VLOOKUP($AR78,'O_MN, PE_UTA_UGM 2024'!$E$3:$O$419,BG$6),"")</f>
        <v/>
      </c>
      <c r="BH78" s="1504"/>
      <c r="BI78" s="1504"/>
      <c r="BJ78" s="1504"/>
      <c r="BK78" s="1504"/>
      <c r="BM78" s="1411"/>
      <c r="BN78" s="1411"/>
      <c r="BO78" s="1425" t="str">
        <f aca="false">IF(ISNUMBER($AU78*BB78*1),$AU78*BB78*1,"")</f>
        <v/>
      </c>
      <c r="BP78" s="1425" t="str">
        <f aca="false">IF(ISNUMBER($AV78*BC78*1),$AV78*BC78*1,"")</f>
        <v/>
      </c>
      <c r="BQ78" s="1425" t="str">
        <f aca="false">IF(ISNUMBER($AU78*BD78*1),$AU78*BD78*1,"")</f>
        <v/>
      </c>
      <c r="BR78" s="1425" t="str">
        <f aca="false">IF(ISNUMBER($AV78*BE78*1),$AV78*BE78*1,"")</f>
        <v/>
      </c>
      <c r="BS78" s="1411" t="str">
        <f aca="false">IF(ISNUMBER($AU78*BF78),$AU78*BF78,"")</f>
        <v/>
      </c>
      <c r="BT78" s="1411" t="str">
        <f aca="false">IF(ISNUMBER($AV78*BG78),$AV78*BG78,"")</f>
        <v/>
      </c>
      <c r="BU78" s="1411"/>
      <c r="BV78" s="1411"/>
      <c r="BW78" s="1411"/>
      <c r="BX78" s="1411"/>
      <c r="BZ78" s="1372"/>
      <c r="CA78" s="1372"/>
      <c r="CB78" s="1426" t="str">
        <f aca="false">IF(ISNUMBER($AW78*BB78),$AW78*BB78,"")</f>
        <v/>
      </c>
      <c r="CC78" s="1426" t="str">
        <f aca="false">IF(ISNUMBER($AX78*BC78),$AX78*BC78,"")</f>
        <v/>
      </c>
      <c r="CD78" s="1426" t="str">
        <f aca="false">IF(ISNUMBER($AW78*BD78),$AW78*BD78,"")</f>
        <v/>
      </c>
      <c r="CE78" s="1426" t="str">
        <f aca="false">IF(ISNUMBER($AX78*BE78),$AX78*BE78,"")</f>
        <v/>
      </c>
      <c r="CF78" s="1372" t="str">
        <f aca="false">IF(ISNUMBER($AW78*BF78),$AW78*BF78,"")</f>
        <v/>
      </c>
      <c r="CG78" s="1372" t="str">
        <f aca="false">IF(ISNUMBER($AX78*BG78),$AX78*BG78,"")</f>
        <v/>
      </c>
      <c r="CH78" s="1438"/>
      <c r="CI78" s="1438"/>
      <c r="CJ78" s="1438"/>
      <c r="CK78" s="1438"/>
      <c r="CU78" s="1411"/>
      <c r="CV78" s="1411"/>
      <c r="CW78" s="1425"/>
      <c r="CX78" s="1425"/>
      <c r="CY78" s="1425"/>
      <c r="CZ78" s="1425"/>
      <c r="DA78" s="1411"/>
      <c r="DB78" s="1411"/>
      <c r="DC78" s="1411"/>
      <c r="DD78" s="1411"/>
      <c r="DE78" s="1411"/>
      <c r="DF78" s="1411"/>
      <c r="DH78" s="1432"/>
      <c r="DI78" s="1432"/>
      <c r="DJ78" s="1437"/>
      <c r="DK78" s="1437"/>
      <c r="DL78" s="1437"/>
      <c r="DM78" s="1437"/>
      <c r="DN78" s="1432"/>
      <c r="DO78" s="1432"/>
      <c r="DP78" s="1432"/>
      <c r="DQ78" s="1432"/>
      <c r="DR78" s="1432"/>
      <c r="DS78" s="1432"/>
      <c r="DT78" s="1316"/>
      <c r="DU78" s="1433"/>
      <c r="DV78" s="1433"/>
      <c r="DW78" s="1433"/>
      <c r="DX78" s="1433"/>
      <c r="DY78" s="1433"/>
      <c r="DZ78" s="1433"/>
      <c r="EA78" s="1433"/>
      <c r="EB78" s="1433"/>
    </row>
    <row r="79" customFormat="false" ht="14.25" hidden="false" customHeight="false" outlineLevel="0" collapsed="false">
      <c r="A79" s="2" t="n">
        <f aca="false">'V_DATOS PAC_SGA'!CC74</f>
        <v>0</v>
      </c>
      <c r="B79" s="2" t="n">
        <f aca="false">IF(OR(A79=0,A79=""),0,IF(I79="IV",CONCATENATE('V_DATOS PAC_SGA'!CC74,"4")+0,CONCATENATE('V_DATOS PAC_SGA'!CC74,"0")+0))</f>
        <v>0</v>
      </c>
      <c r="C79" s="2" t="n">
        <f aca="false">'V_DATOS PAC_SGA'!CD74</f>
        <v>0</v>
      </c>
      <c r="D79" s="1409" t="n">
        <f aca="false">'V_DATOS PAC_SGA'!Y74</f>
        <v>0</v>
      </c>
      <c r="E79" s="1410" t="str">
        <f aca="false">IF('V_DATOS PAC_SGA'!AV74="","Regadio",'V_DATOS PAC_SGA'!AV74)</f>
        <v>Regadio</v>
      </c>
      <c r="F79" s="1411" t="n">
        <f aca="false">'V_DATOS PAC_SGA'!BK74</f>
        <v>0</v>
      </c>
      <c r="G79" s="1412" t="n">
        <f aca="false">'V_DATOS PAC_SGA'!AN74</f>
        <v>0</v>
      </c>
      <c r="H79" s="1413" t="str">
        <f aca="false">IF(B79&gt;0,VLOOKUP(B79,'O_MN, PE_UTA_UGM 2024'!E$3:O$419,10),"")</f>
        <v/>
      </c>
      <c r="I79" s="1359" t="str">
        <f aca="false">IF('V_DATOS PAC_SGA'!BV74="IV",'V_DATOS PAC_SGA'!BV74,"")</f>
        <v/>
      </c>
      <c r="J79" s="2" t="str">
        <f aca="false">IF($A79&gt;0,IF(AND(J$4=$G79,J$6=$F79),$D79*J$5,""),"")</f>
        <v/>
      </c>
      <c r="K79" s="2" t="str">
        <f aca="false">IF($A79&gt;0,IF(AND(K$4=$G79,K$6=$F79),$D79*K$5,""),"")</f>
        <v/>
      </c>
      <c r="L79" s="2" t="str">
        <f aca="false">IF($A79&gt;0,IF(AND(L$4=$G79,L$6=$F79),$D79*L$5,""),"")</f>
        <v/>
      </c>
      <c r="M79" s="2" t="str">
        <f aca="false">IF($A79&gt;0,IF(AND(M$4=$G79,M$6=$F79),$D79*M$5,""),"")</f>
        <v/>
      </c>
      <c r="N79" s="1506" t="n">
        <f aca="false">VLOOKUP(B79,'O_MN, PE_UTA_UGM 2024'!$E$2:$K$419,IF(G79&gt;1,6,7))</f>
        <v>0</v>
      </c>
      <c r="O79" s="1434" t="str">
        <f aca="false">IF($H79=O$4,$D79*$N79,"")</f>
        <v/>
      </c>
      <c r="P79" s="1435" t="str">
        <f aca="false">IF($H79=P$4,$D79*$N79,"")</f>
        <v/>
      </c>
      <c r="Q79" s="1435" t="str">
        <f aca="false">IF($H79=Q$4,$D79*$N79,"")</f>
        <v/>
      </c>
      <c r="R79" s="1435" t="str">
        <f aca="false">IF($H79=R$4,$D79*$N79,"")</f>
        <v/>
      </c>
      <c r="S79" s="1435" t="str">
        <f aca="false">IF($H79=S$4,$D79*$N79,"")</f>
        <v/>
      </c>
      <c r="T79" s="1435" t="str">
        <f aca="false">IF($H79=T$4,$D79*$N79,"")</f>
        <v/>
      </c>
      <c r="U79" s="1436" t="str">
        <f aca="false">IF($H79=U$4,$D79*$N79,"")</f>
        <v/>
      </c>
      <c r="V79" s="1418"/>
      <c r="W79" s="1419"/>
      <c r="X79" s="1419"/>
      <c r="Y79" s="1419"/>
      <c r="Z79" s="1419"/>
      <c r="AA79" s="1419"/>
      <c r="AB79" s="1420"/>
      <c r="AC79" s="1319"/>
      <c r="AD79" s="2" t="str">
        <f aca="false">IF(AND(AD$4=$G79,AD$6=$F79),$B79,"")</f>
        <v/>
      </c>
      <c r="AE79" s="2" t="str">
        <f aca="false">IF(AND(AE$4=$G79,AE$6=$F79),$B79,"")</f>
        <v/>
      </c>
      <c r="AF79" s="2" t="str">
        <f aca="false">IF(AND(AF$4=$G79,AF$6=$F79),$B79,"")</f>
        <v/>
      </c>
      <c r="AG79" s="2" t="str">
        <f aca="false">IF(AND(AG$4=$G79,AG$6=$F79),$B79,"")</f>
        <v/>
      </c>
      <c r="AI79" s="366"/>
      <c r="AL79" s="367"/>
      <c r="AO79" s="367"/>
      <c r="AP79" s="2" t="str">
        <f aca="false">IF(AT79&gt;0,RANK(AT79,AT$7:AT$423),"")</f>
        <v/>
      </c>
      <c r="AQ79" s="2" t="n">
        <f aca="false">'O_MN, PE_UTA_UGM 2024'!C75</f>
        <v>123</v>
      </c>
      <c r="AR79" s="1421" t="n">
        <v>1210</v>
      </c>
      <c r="AS79" s="2" t="str">
        <f aca="false">IF(AY79&lt;&gt;"",AY79,"")</f>
        <v/>
      </c>
      <c r="AT79" s="1422" t="n">
        <f aca="false">IF(ISNUMBER($AR79),SUMIF(B$7:B$505,AR79,D$7:D$505),"")</f>
        <v>0</v>
      </c>
      <c r="AU79" s="1411" t="n">
        <f aca="false">IF(ISNUMBER($AR79),SUMIF(AD$7:AD$503,$AR79,J$7:J$503),"")</f>
        <v>0</v>
      </c>
      <c r="AV79" s="1411" t="n">
        <f aca="false">IF(ISNUMBER($AR79),SUMIF(AF$7:AF$503,$AR79,L$7:L$503),"")</f>
        <v>0</v>
      </c>
      <c r="AW79" s="1423" t="n">
        <f aca="false">IF(ISNUMBER($AR79),SUMIF(AE$7:AE$503,$AR79,K$7:K$503),"")</f>
        <v>0</v>
      </c>
      <c r="AX79" s="1423" t="n">
        <f aca="false">IF(ISNUMBER($AR79),SUMIF(AG$7:AG$503,$AR79,M$7:M$503),"")</f>
        <v>0</v>
      </c>
      <c r="AY79" s="2" t="str">
        <f aca="false">IF($AT79&gt;0,VLOOKUP($AR79,'O_MN, PE_UTA_UGM 2024'!E75:O491,2),"")</f>
        <v/>
      </c>
      <c r="AZ79" s="1507"/>
      <c r="BA79" s="1507"/>
      <c r="BB79" s="1507" t="str">
        <f aca="false">IF($AT79&gt;0,VLOOKUP($AR79,'O_MN, PE_UTA_UGM 2024'!$E$3:$O$419,BB$6),"")</f>
        <v/>
      </c>
      <c r="BC79" s="1507" t="str">
        <f aca="false">IF($AT79&gt;0,VLOOKUP($AR79,'O_MN, PE_UTA_UGM 2024'!$E$3:$O$419,BC$6),"")</f>
        <v/>
      </c>
      <c r="BD79" s="1507" t="str">
        <f aca="false">IF($AT79&gt;0,VLOOKUP($AR79,'O_MN, PE_UTA_UGM 2024'!$E$3:$O$419,BD$6),"")</f>
        <v/>
      </c>
      <c r="BE79" s="1507" t="str">
        <f aca="false">IF($AT79&gt;0,VLOOKUP($AR79,'O_MN, PE_UTA_UGM 2024'!$E$3:$O$419,BE$6),"")</f>
        <v/>
      </c>
      <c r="BF79" s="1507" t="str">
        <f aca="false">IF($AT79&gt;0,VLOOKUP($AR79,'O_MN, PE_UTA_UGM 2024'!$E$3:$O$419,BF$6),"")</f>
        <v/>
      </c>
      <c r="BG79" s="1507" t="str">
        <f aca="false">IF($AT79&gt;0,VLOOKUP($AR79,'O_MN, PE_UTA_UGM 2024'!$E$3:$O$419,BG$6),"")</f>
        <v/>
      </c>
      <c r="BH79" s="1504"/>
      <c r="BI79" s="1504"/>
      <c r="BJ79" s="1504"/>
      <c r="BK79" s="1504"/>
      <c r="BM79" s="1411"/>
      <c r="BN79" s="1411"/>
      <c r="BO79" s="1425" t="str">
        <f aca="false">IF(ISNUMBER($AU79*BB79*1),$AU79*BB79*1,"")</f>
        <v/>
      </c>
      <c r="BP79" s="1425" t="str">
        <f aca="false">IF(ISNUMBER($AV79*BC79*1),$AV79*BC79*1,"")</f>
        <v/>
      </c>
      <c r="BQ79" s="1425" t="str">
        <f aca="false">IF(ISNUMBER($AU79*BD79*1),$AU79*BD79*1,"")</f>
        <v/>
      </c>
      <c r="BR79" s="1425" t="str">
        <f aca="false">IF(ISNUMBER($AV79*BE79*1),$AV79*BE79*1,"")</f>
        <v/>
      </c>
      <c r="BS79" s="1411" t="str">
        <f aca="false">IF(ISNUMBER($AU79*BF79),$AU79*BF79,"")</f>
        <v/>
      </c>
      <c r="BT79" s="1411" t="str">
        <f aca="false">IF(ISNUMBER($AV79*BG79),$AV79*BG79,"")</f>
        <v/>
      </c>
      <c r="BU79" s="1411"/>
      <c r="BV79" s="1411"/>
      <c r="BW79" s="1411"/>
      <c r="BX79" s="1411"/>
      <c r="BZ79" s="1372"/>
      <c r="CA79" s="1372"/>
      <c r="CB79" s="1426" t="str">
        <f aca="false">IF(ISNUMBER($AW79*BB79),$AW79*BB79,"")</f>
        <v/>
      </c>
      <c r="CC79" s="1426" t="str">
        <f aca="false">IF(ISNUMBER($AX79*BC79),$AX79*BC79,"")</f>
        <v/>
      </c>
      <c r="CD79" s="1426" t="str">
        <f aca="false">IF(ISNUMBER($AW79*BD79),$AW79*BD79,"")</f>
        <v/>
      </c>
      <c r="CE79" s="1426" t="str">
        <f aca="false">IF(ISNUMBER($AX79*BE79),$AX79*BE79,"")</f>
        <v/>
      </c>
      <c r="CF79" s="1372" t="str">
        <f aca="false">IF(ISNUMBER($AW79*BF79),$AW79*BF79,"")</f>
        <v/>
      </c>
      <c r="CG79" s="1372" t="str">
        <f aca="false">IF(ISNUMBER($AX79*BG79),$AX79*BG79,"")</f>
        <v/>
      </c>
      <c r="CH79" s="1438"/>
      <c r="CI79" s="1438"/>
      <c r="CJ79" s="1438"/>
      <c r="CK79" s="1438"/>
      <c r="CU79" s="1411"/>
      <c r="CV79" s="1411"/>
      <c r="CW79" s="1425"/>
      <c r="CX79" s="1425"/>
      <c r="CY79" s="1425"/>
      <c r="CZ79" s="1425"/>
      <c r="DA79" s="1411"/>
      <c r="DB79" s="1411"/>
      <c r="DC79" s="1411"/>
      <c r="DD79" s="1411"/>
      <c r="DE79" s="1411"/>
      <c r="DF79" s="1411"/>
      <c r="DH79" s="1432"/>
      <c r="DI79" s="1432"/>
      <c r="DJ79" s="1437"/>
      <c r="DK79" s="1437"/>
      <c r="DL79" s="1437"/>
      <c r="DM79" s="1437"/>
      <c r="DN79" s="1432"/>
      <c r="DO79" s="1432"/>
      <c r="DP79" s="1432"/>
      <c r="DQ79" s="1432"/>
      <c r="DR79" s="1432"/>
      <c r="DS79" s="1432"/>
      <c r="DT79" s="1316"/>
      <c r="DU79" s="1433"/>
      <c r="DV79" s="1433"/>
      <c r="DW79" s="1433"/>
      <c r="DX79" s="1433"/>
      <c r="DY79" s="1433"/>
      <c r="DZ79" s="1433"/>
      <c r="EA79" s="1433"/>
      <c r="EB79" s="1433"/>
    </row>
    <row r="80" customFormat="false" ht="14.25" hidden="false" customHeight="false" outlineLevel="0" collapsed="false">
      <c r="A80" s="2" t="n">
        <f aca="false">'V_DATOS PAC_SGA'!CC75</f>
        <v>0</v>
      </c>
      <c r="B80" s="2" t="n">
        <f aca="false">IF(OR(A80=0,A80=""),0,IF(I80="IV",CONCATENATE('V_DATOS PAC_SGA'!CC75,"4")+0,CONCATENATE('V_DATOS PAC_SGA'!CC75,"0")+0))</f>
        <v>0</v>
      </c>
      <c r="C80" s="2" t="n">
        <f aca="false">'V_DATOS PAC_SGA'!CD75</f>
        <v>0</v>
      </c>
      <c r="D80" s="1409" t="n">
        <f aca="false">'V_DATOS PAC_SGA'!Y75</f>
        <v>0</v>
      </c>
      <c r="E80" s="1410" t="str">
        <f aca="false">IF('V_DATOS PAC_SGA'!AV75="","Regadio",'V_DATOS PAC_SGA'!AV75)</f>
        <v>Regadio</v>
      </c>
      <c r="F80" s="1411" t="n">
        <f aca="false">'V_DATOS PAC_SGA'!BK75</f>
        <v>0</v>
      </c>
      <c r="G80" s="1412" t="n">
        <f aca="false">'V_DATOS PAC_SGA'!AN75</f>
        <v>0</v>
      </c>
      <c r="H80" s="1413" t="str">
        <f aca="false">IF(B80&gt;0,VLOOKUP(B80,'O_MN, PE_UTA_UGM 2024'!E$3:O$419,10),"")</f>
        <v/>
      </c>
      <c r="I80" s="1359" t="str">
        <f aca="false">IF('V_DATOS PAC_SGA'!BV75="IV",'V_DATOS PAC_SGA'!BV75,"")</f>
        <v/>
      </c>
      <c r="J80" s="2" t="str">
        <f aca="false">IF($A80&gt;0,IF(AND(J$4=$G80,J$6=$F80),$D80*J$5,""),"")</f>
        <v/>
      </c>
      <c r="K80" s="2" t="str">
        <f aca="false">IF($A80&gt;0,IF(AND(K$4=$G80,K$6=$F80),$D80*K$5,""),"")</f>
        <v/>
      </c>
      <c r="L80" s="2" t="str">
        <f aca="false">IF($A80&gt;0,IF(AND(L$4=$G80,L$6=$F80),$D80*L$5,""),"")</f>
        <v/>
      </c>
      <c r="M80" s="2" t="str">
        <f aca="false">IF($A80&gt;0,IF(AND(M$4=$G80,M$6=$F80),$D80*M$5,""),"")</f>
        <v/>
      </c>
      <c r="N80" s="1506" t="n">
        <f aca="false">VLOOKUP(B80,'O_MN, PE_UTA_UGM 2024'!$E$2:$K$419,IF(G80&gt;1,6,7))</f>
        <v>0</v>
      </c>
      <c r="O80" s="1434" t="str">
        <f aca="false">IF($H80=O$4,$D80*$N80,"")</f>
        <v/>
      </c>
      <c r="P80" s="1435" t="str">
        <f aca="false">IF($H80=P$4,$D80*$N80,"")</f>
        <v/>
      </c>
      <c r="Q80" s="1435" t="str">
        <f aca="false">IF($H80=Q$4,$D80*$N80,"")</f>
        <v/>
      </c>
      <c r="R80" s="1435" t="str">
        <f aca="false">IF($H80=R$4,$D80*$N80,"")</f>
        <v/>
      </c>
      <c r="S80" s="1435" t="str">
        <f aca="false">IF($H80=S$4,$D80*$N80,"")</f>
        <v/>
      </c>
      <c r="T80" s="1435" t="str">
        <f aca="false">IF($H80=T$4,$D80*$N80,"")</f>
        <v/>
      </c>
      <c r="U80" s="1436" t="str">
        <f aca="false">IF($H80=U$4,$D80*$N80,"")</f>
        <v/>
      </c>
      <c r="V80" s="1418"/>
      <c r="W80" s="1419"/>
      <c r="X80" s="1419"/>
      <c r="Y80" s="1419"/>
      <c r="Z80" s="1419"/>
      <c r="AA80" s="1419"/>
      <c r="AB80" s="1420"/>
      <c r="AC80" s="1319"/>
      <c r="AD80" s="2" t="str">
        <f aca="false">IF(AND(AD$4=$G80,AD$6=$F80),$B80,"")</f>
        <v/>
      </c>
      <c r="AE80" s="2" t="str">
        <f aca="false">IF(AND(AE$4=$G80,AE$6=$F80),$B80,"")</f>
        <v/>
      </c>
      <c r="AF80" s="2" t="str">
        <f aca="false">IF(AND(AF$4=$G80,AF$6=$F80),$B80,"")</f>
        <v/>
      </c>
      <c r="AG80" s="2" t="str">
        <f aca="false">IF(AND(AG$4=$G80,AG$6=$F80),$B80,"")</f>
        <v/>
      </c>
      <c r="AI80" s="366"/>
      <c r="AL80" s="367"/>
      <c r="AO80" s="367"/>
      <c r="AP80" s="2" t="str">
        <f aca="false">IF(AT80&gt;0,RANK(AT80,AT$7:AT$423),"")</f>
        <v/>
      </c>
      <c r="AQ80" s="2" t="n">
        <f aca="false">'O_MN, PE_UTA_UGM 2024'!C76</f>
        <v>124</v>
      </c>
      <c r="AR80" s="1421" t="n">
        <v>1214</v>
      </c>
      <c r="AS80" s="2" t="str">
        <f aca="false">IF(AY80&lt;&gt;"",AY80,"")</f>
        <v/>
      </c>
      <c r="AT80" s="1422" t="n">
        <f aca="false">IF(ISNUMBER($AR80),SUMIF(B$7:B$505,AR80,D$7:D$505),"")</f>
        <v>0</v>
      </c>
      <c r="AU80" s="1411" t="n">
        <f aca="false">IF(ISNUMBER($AR80),SUMIF(AD$7:AD$503,$AR80,J$7:J$503),"")</f>
        <v>0</v>
      </c>
      <c r="AV80" s="1411" t="n">
        <f aca="false">IF(ISNUMBER($AR80),SUMIF(AF$7:AF$503,$AR80,L$7:L$503),"")</f>
        <v>0</v>
      </c>
      <c r="AW80" s="1423" t="n">
        <f aca="false">IF(ISNUMBER($AR80),SUMIF(AE$7:AE$503,$AR80,K$7:K$503),"")</f>
        <v>0</v>
      </c>
      <c r="AX80" s="1423" t="n">
        <f aca="false">IF(ISNUMBER($AR80),SUMIF(AG$7:AG$503,$AR80,M$7:M$503),"")</f>
        <v>0</v>
      </c>
      <c r="AY80" s="2" t="str">
        <f aca="false">IF($AT80&gt;0,VLOOKUP($AR80,'O_MN, PE_UTA_UGM 2024'!E76:O492,2),"")</f>
        <v/>
      </c>
      <c r="AZ80" s="1507"/>
      <c r="BA80" s="1507"/>
      <c r="BB80" s="1507" t="str">
        <f aca="false">IF($AT80&gt;0,VLOOKUP($AR80,'O_MN, PE_UTA_UGM 2024'!$E$3:$O$419,BB$6),"")</f>
        <v/>
      </c>
      <c r="BC80" s="1507" t="str">
        <f aca="false">IF($AT80&gt;0,VLOOKUP($AR80,'O_MN, PE_UTA_UGM 2024'!$E$3:$O$419,BC$6),"")</f>
        <v/>
      </c>
      <c r="BD80" s="1507" t="str">
        <f aca="false">IF($AT80&gt;0,VLOOKUP($AR80,'O_MN, PE_UTA_UGM 2024'!$E$3:$O$419,BD$6),"")</f>
        <v/>
      </c>
      <c r="BE80" s="1507" t="str">
        <f aca="false">IF($AT80&gt;0,VLOOKUP($AR80,'O_MN, PE_UTA_UGM 2024'!$E$3:$O$419,BE$6),"")</f>
        <v/>
      </c>
      <c r="BF80" s="1507" t="str">
        <f aca="false">IF($AT80&gt;0,VLOOKUP($AR80,'O_MN, PE_UTA_UGM 2024'!$E$3:$O$419,BF$6),"")</f>
        <v/>
      </c>
      <c r="BG80" s="1507" t="str">
        <f aca="false">IF($AT80&gt;0,VLOOKUP($AR80,'O_MN, PE_UTA_UGM 2024'!$E$3:$O$419,BG$6),"")</f>
        <v/>
      </c>
      <c r="BH80" s="1504"/>
      <c r="BI80" s="1504"/>
      <c r="BJ80" s="1504"/>
      <c r="BK80" s="1504"/>
      <c r="BM80" s="1411"/>
      <c r="BN80" s="1411"/>
      <c r="BO80" s="1425" t="str">
        <f aca="false">IF(ISNUMBER($AU80*BB80*1),$AU80*BB80*1,"")</f>
        <v/>
      </c>
      <c r="BP80" s="1425" t="str">
        <f aca="false">IF(ISNUMBER($AV80*BC80*1),$AV80*BC80*1,"")</f>
        <v/>
      </c>
      <c r="BQ80" s="1425" t="str">
        <f aca="false">IF(ISNUMBER($AU80*BD80*1),$AU80*BD80*1,"")</f>
        <v/>
      </c>
      <c r="BR80" s="1425" t="str">
        <f aca="false">IF(ISNUMBER($AV80*BE80*1),$AV80*BE80*1,"")</f>
        <v/>
      </c>
      <c r="BS80" s="1411" t="str">
        <f aca="false">IF(ISNUMBER($AU80*BF80),$AU80*BF80,"")</f>
        <v/>
      </c>
      <c r="BT80" s="1411" t="str">
        <f aca="false">IF(ISNUMBER($AV80*BG80),$AV80*BG80,"")</f>
        <v/>
      </c>
      <c r="BU80" s="1411"/>
      <c r="BV80" s="1411"/>
      <c r="BW80" s="1411"/>
      <c r="BX80" s="1411"/>
      <c r="BZ80" s="1372"/>
      <c r="CA80" s="1372"/>
      <c r="CB80" s="1426" t="str">
        <f aca="false">IF(ISNUMBER($AW80*BB80),$AW80*BB80,"")</f>
        <v/>
      </c>
      <c r="CC80" s="1426" t="str">
        <f aca="false">IF(ISNUMBER($AX80*BC80),$AX80*BC80,"")</f>
        <v/>
      </c>
      <c r="CD80" s="1426" t="str">
        <f aca="false">IF(ISNUMBER($AW80*BD80),$AW80*BD80,"")</f>
        <v/>
      </c>
      <c r="CE80" s="1426" t="str">
        <f aca="false">IF(ISNUMBER($AX80*BE80),$AX80*BE80,"")</f>
        <v/>
      </c>
      <c r="CF80" s="1372" t="str">
        <f aca="false">IF(ISNUMBER($AW80*BF80),$AW80*BF80,"")</f>
        <v/>
      </c>
      <c r="CG80" s="1372" t="str">
        <f aca="false">IF(ISNUMBER($AX80*BG80),$AX80*BG80,"")</f>
        <v/>
      </c>
      <c r="CH80" s="1438"/>
      <c r="CI80" s="1438"/>
      <c r="CJ80" s="1438"/>
      <c r="CK80" s="1438"/>
      <c r="CU80" s="1411"/>
      <c r="CV80" s="1411"/>
      <c r="CW80" s="1425"/>
      <c r="CX80" s="1425"/>
      <c r="CY80" s="1425"/>
      <c r="CZ80" s="1425"/>
      <c r="DA80" s="1411"/>
      <c r="DB80" s="1411"/>
      <c r="DC80" s="1411"/>
      <c r="DD80" s="1411"/>
      <c r="DE80" s="1411"/>
      <c r="DF80" s="1411"/>
      <c r="DH80" s="1432"/>
      <c r="DI80" s="1432"/>
      <c r="DJ80" s="1437"/>
      <c r="DK80" s="1437"/>
      <c r="DL80" s="1437"/>
      <c r="DM80" s="1437"/>
      <c r="DN80" s="1432"/>
      <c r="DO80" s="1432"/>
      <c r="DP80" s="1432"/>
      <c r="DQ80" s="1432"/>
      <c r="DR80" s="1432"/>
      <c r="DS80" s="1432"/>
      <c r="DT80" s="1316"/>
      <c r="DU80" s="1433"/>
      <c r="DV80" s="1433"/>
      <c r="DW80" s="1433"/>
      <c r="DX80" s="1433"/>
      <c r="DY80" s="1433"/>
      <c r="DZ80" s="1433"/>
      <c r="EA80" s="1433"/>
      <c r="EB80" s="1433"/>
    </row>
    <row r="81" customFormat="false" ht="14.25" hidden="false" customHeight="false" outlineLevel="0" collapsed="false">
      <c r="A81" s="2" t="n">
        <f aca="false">'V_DATOS PAC_SGA'!CC76</f>
        <v>0</v>
      </c>
      <c r="B81" s="2" t="n">
        <f aca="false">IF(OR(A81=0,A81=""),0,IF(I81="IV",CONCATENATE('V_DATOS PAC_SGA'!CC76,"4")+0,CONCATENATE('V_DATOS PAC_SGA'!CC76,"0")+0))</f>
        <v>0</v>
      </c>
      <c r="C81" s="2" t="n">
        <f aca="false">'V_DATOS PAC_SGA'!CD76</f>
        <v>0</v>
      </c>
      <c r="D81" s="1409" t="n">
        <f aca="false">'V_DATOS PAC_SGA'!Y76</f>
        <v>0</v>
      </c>
      <c r="E81" s="1410" t="str">
        <f aca="false">IF('V_DATOS PAC_SGA'!AV76="","Regadio",'V_DATOS PAC_SGA'!AV76)</f>
        <v>Regadio</v>
      </c>
      <c r="F81" s="1411" t="n">
        <f aca="false">'V_DATOS PAC_SGA'!BK76</f>
        <v>0</v>
      </c>
      <c r="G81" s="1412" t="n">
        <f aca="false">'V_DATOS PAC_SGA'!AN76</f>
        <v>0</v>
      </c>
      <c r="H81" s="1413" t="str">
        <f aca="false">IF(B81&gt;0,VLOOKUP(B81,'O_MN, PE_UTA_UGM 2024'!E$3:O$419,10),"")</f>
        <v/>
      </c>
      <c r="I81" s="1359" t="str">
        <f aca="false">IF('V_DATOS PAC_SGA'!BV76="IV",'V_DATOS PAC_SGA'!BV76,"")</f>
        <v/>
      </c>
      <c r="J81" s="2" t="str">
        <f aca="false">IF($A81&gt;0,IF(AND(J$4=$G81,J$6=$F81),$D81*J$5,""),"")</f>
        <v/>
      </c>
      <c r="K81" s="2" t="str">
        <f aca="false">IF($A81&gt;0,IF(AND(K$4=$G81,K$6=$F81),$D81*K$5,""),"")</f>
        <v/>
      </c>
      <c r="L81" s="2" t="str">
        <f aca="false">IF($A81&gt;0,IF(AND(L$4=$G81,L$6=$F81),$D81*L$5,""),"")</f>
        <v/>
      </c>
      <c r="M81" s="2" t="str">
        <f aca="false">IF($A81&gt;0,IF(AND(M$4=$G81,M$6=$F81),$D81*M$5,""),"")</f>
        <v/>
      </c>
      <c r="N81" s="1506" t="n">
        <f aca="false">VLOOKUP(B81,'O_MN, PE_UTA_UGM 2024'!$E$2:$K$419,IF(G81&gt;1,6,7))</f>
        <v>0</v>
      </c>
      <c r="O81" s="1434" t="str">
        <f aca="false">IF($H81=O$4,$D81*$N81,"")</f>
        <v/>
      </c>
      <c r="P81" s="1435" t="str">
        <f aca="false">IF($H81=P$4,$D81*$N81,"")</f>
        <v/>
      </c>
      <c r="Q81" s="1435" t="str">
        <f aca="false">IF($H81=Q$4,$D81*$N81,"")</f>
        <v/>
      </c>
      <c r="R81" s="1435" t="str">
        <f aca="false">IF($H81=R$4,$D81*$N81,"")</f>
        <v/>
      </c>
      <c r="S81" s="1435" t="str">
        <f aca="false">IF($H81=S$4,$D81*$N81,"")</f>
        <v/>
      </c>
      <c r="T81" s="1435" t="str">
        <f aca="false">IF($H81=T$4,$D81*$N81,"")</f>
        <v/>
      </c>
      <c r="U81" s="1436" t="str">
        <f aca="false">IF($H81=U$4,$D81*$N81,"")</f>
        <v/>
      </c>
      <c r="V81" s="1418"/>
      <c r="W81" s="1419"/>
      <c r="X81" s="1419"/>
      <c r="Y81" s="1419"/>
      <c r="Z81" s="1419"/>
      <c r="AA81" s="1419"/>
      <c r="AB81" s="1420"/>
      <c r="AC81" s="1319"/>
      <c r="AD81" s="2" t="str">
        <f aca="false">IF(AND(AD$4=$G81,AD$6=$F81),$B81,"")</f>
        <v/>
      </c>
      <c r="AE81" s="2" t="str">
        <f aca="false">IF(AND(AE$4=$G81,AE$6=$F81),$B81,"")</f>
        <v/>
      </c>
      <c r="AF81" s="2" t="str">
        <f aca="false">IF(AND(AF$4=$G81,AF$6=$F81),$B81,"")</f>
        <v/>
      </c>
      <c r="AG81" s="2" t="str">
        <f aca="false">IF(AND(AG$4=$G81,AG$6=$F81),$B81,"")</f>
        <v/>
      </c>
      <c r="AI81" s="366"/>
      <c r="AL81" s="367"/>
      <c r="AO81" s="367"/>
      <c r="AP81" s="2" t="str">
        <f aca="false">IF(AT81&gt;0,RANK(AT81,AT$7:AT$423),"")</f>
        <v/>
      </c>
      <c r="AQ81" s="2" t="n">
        <f aca="false">'O_MN, PE_UTA_UGM 2024'!C77</f>
        <v>125</v>
      </c>
      <c r="AR81" s="1421" t="n">
        <v>1219</v>
      </c>
      <c r="AS81" s="2" t="str">
        <f aca="false">IF(AY81&lt;&gt;"",AY81,"")</f>
        <v/>
      </c>
      <c r="AT81" s="1422" t="n">
        <f aca="false">IF(ISNUMBER($AR81),SUMIF(B$7:B$505,AR81,D$7:D$505),"")</f>
        <v>0</v>
      </c>
      <c r="AU81" s="1411" t="n">
        <f aca="false">IF(ISNUMBER($AR81),SUMIF(AD$7:AD$503,$AR81,J$7:J$503),"")</f>
        <v>0</v>
      </c>
      <c r="AV81" s="1411" t="n">
        <f aca="false">IF(ISNUMBER($AR81),SUMIF(AF$7:AF$503,$AR81,L$7:L$503),"")</f>
        <v>0</v>
      </c>
      <c r="AW81" s="1423" t="n">
        <f aca="false">IF(ISNUMBER($AR81),SUMIF(AE$7:AE$503,$AR81,K$7:K$503),"")</f>
        <v>0</v>
      </c>
      <c r="AX81" s="1423" t="n">
        <f aca="false">IF(ISNUMBER($AR81),SUMIF(AG$7:AG$503,$AR81,M$7:M$503),"")</f>
        <v>0</v>
      </c>
      <c r="AY81" s="2" t="str">
        <f aca="false">IF($AT81&gt;0,VLOOKUP($AR81,'O_MN, PE_UTA_UGM 2024'!E77:O493,2),"")</f>
        <v/>
      </c>
      <c r="AZ81" s="1507"/>
      <c r="BA81" s="1507"/>
      <c r="BB81" s="1507" t="str">
        <f aca="false">IF($AT81&gt;0,VLOOKUP($AR81,'O_MN, PE_UTA_UGM 2024'!$E$3:$O$419,BB$6),"")</f>
        <v/>
      </c>
      <c r="BC81" s="1507" t="str">
        <f aca="false">IF($AT81&gt;0,VLOOKUP($AR81,'O_MN, PE_UTA_UGM 2024'!$E$3:$O$419,BC$6),"")</f>
        <v/>
      </c>
      <c r="BD81" s="1507" t="str">
        <f aca="false">IF($AT81&gt;0,VLOOKUP($AR81,'O_MN, PE_UTA_UGM 2024'!$E$3:$O$419,BD$6),"")</f>
        <v/>
      </c>
      <c r="BE81" s="1507" t="str">
        <f aca="false">IF($AT81&gt;0,VLOOKUP($AR81,'O_MN, PE_UTA_UGM 2024'!$E$3:$O$419,BE$6),"")</f>
        <v/>
      </c>
      <c r="BF81" s="1507" t="str">
        <f aca="false">IF($AT81&gt;0,VLOOKUP($AR81,'O_MN, PE_UTA_UGM 2024'!$E$3:$O$419,BF$6),"")</f>
        <v/>
      </c>
      <c r="BG81" s="1507" t="str">
        <f aca="false">IF($AT81&gt;0,VLOOKUP($AR81,'O_MN, PE_UTA_UGM 2024'!$E$3:$O$419,BG$6),"")</f>
        <v/>
      </c>
      <c r="BH81" s="1504"/>
      <c r="BI81" s="1504"/>
      <c r="BJ81" s="1504"/>
      <c r="BK81" s="1504"/>
      <c r="BM81" s="1411"/>
      <c r="BN81" s="1411"/>
      <c r="BO81" s="1425" t="str">
        <f aca="false">IF(ISNUMBER($AU81*BB81*1),$AU81*BB81*1,"")</f>
        <v/>
      </c>
      <c r="BP81" s="1425" t="str">
        <f aca="false">IF(ISNUMBER($AV81*BC81*1),$AV81*BC81*1,"")</f>
        <v/>
      </c>
      <c r="BQ81" s="1425" t="str">
        <f aca="false">IF(ISNUMBER($AU81*BD81*1),$AU81*BD81*1,"")</f>
        <v/>
      </c>
      <c r="BR81" s="1425" t="str">
        <f aca="false">IF(ISNUMBER($AV81*BE81*1),$AV81*BE81*1,"")</f>
        <v/>
      </c>
      <c r="BS81" s="1411" t="str">
        <f aca="false">IF(ISNUMBER($AU81*BF81),$AU81*BF81,"")</f>
        <v/>
      </c>
      <c r="BT81" s="1411" t="str">
        <f aca="false">IF(ISNUMBER($AV81*BG81),$AV81*BG81,"")</f>
        <v/>
      </c>
      <c r="BU81" s="1411"/>
      <c r="BV81" s="1411"/>
      <c r="BW81" s="1411"/>
      <c r="BX81" s="1411"/>
      <c r="BZ81" s="1372"/>
      <c r="CA81" s="1372"/>
      <c r="CB81" s="1426" t="str">
        <f aca="false">IF(ISNUMBER($AW81*BB81),$AW81*BB81,"")</f>
        <v/>
      </c>
      <c r="CC81" s="1426" t="str">
        <f aca="false">IF(ISNUMBER($AX81*BC81),$AX81*BC81,"")</f>
        <v/>
      </c>
      <c r="CD81" s="1426" t="str">
        <f aca="false">IF(ISNUMBER($AW81*BD81),$AW81*BD81,"")</f>
        <v/>
      </c>
      <c r="CE81" s="1426" t="str">
        <f aca="false">IF(ISNUMBER($AX81*BE81),$AX81*BE81,"")</f>
        <v/>
      </c>
      <c r="CF81" s="1372" t="str">
        <f aca="false">IF(ISNUMBER($AW81*BF81),$AW81*BF81,"")</f>
        <v/>
      </c>
      <c r="CG81" s="1372" t="str">
        <f aca="false">IF(ISNUMBER($AX81*BG81),$AX81*BG81,"")</f>
        <v/>
      </c>
      <c r="CH81" s="1438"/>
      <c r="CI81" s="1438"/>
      <c r="CJ81" s="1438"/>
      <c r="CK81" s="1438"/>
      <c r="CU81" s="1411"/>
      <c r="CV81" s="1411"/>
      <c r="CW81" s="1425"/>
      <c r="CX81" s="1425"/>
      <c r="CY81" s="1425"/>
      <c r="CZ81" s="1425"/>
      <c r="DA81" s="1411"/>
      <c r="DB81" s="1411"/>
      <c r="DC81" s="1411"/>
      <c r="DD81" s="1411"/>
      <c r="DE81" s="1411"/>
      <c r="DF81" s="1411"/>
      <c r="DH81" s="1432"/>
      <c r="DI81" s="1432"/>
      <c r="DJ81" s="1437"/>
      <c r="DK81" s="1437"/>
      <c r="DL81" s="1437"/>
      <c r="DM81" s="1437"/>
      <c r="DN81" s="1432"/>
      <c r="DO81" s="1432"/>
      <c r="DP81" s="1432"/>
      <c r="DQ81" s="1432"/>
      <c r="DR81" s="1432"/>
      <c r="DS81" s="1432"/>
      <c r="DT81" s="1316"/>
      <c r="DU81" s="1433"/>
      <c r="DV81" s="1433"/>
      <c r="DW81" s="1433"/>
      <c r="DX81" s="1433"/>
      <c r="DY81" s="1433"/>
      <c r="DZ81" s="1433"/>
      <c r="EA81" s="1433"/>
      <c r="EB81" s="1433"/>
    </row>
    <row r="82" customFormat="false" ht="14.25" hidden="false" customHeight="false" outlineLevel="0" collapsed="false">
      <c r="A82" s="2" t="n">
        <f aca="false">'V_DATOS PAC_SGA'!CC77</f>
        <v>0</v>
      </c>
      <c r="B82" s="2" t="n">
        <f aca="false">IF(OR(A82=0,A82=""),0,IF(I82="IV",CONCATENATE('V_DATOS PAC_SGA'!CC77,"4")+0,CONCATENATE('V_DATOS PAC_SGA'!CC77,"0")+0))</f>
        <v>0</v>
      </c>
      <c r="C82" s="2" t="n">
        <f aca="false">'V_DATOS PAC_SGA'!CD77</f>
        <v>0</v>
      </c>
      <c r="D82" s="1409" t="n">
        <f aca="false">'V_DATOS PAC_SGA'!Y77</f>
        <v>0</v>
      </c>
      <c r="E82" s="1410" t="str">
        <f aca="false">IF('V_DATOS PAC_SGA'!AV77="","Regadio",'V_DATOS PAC_SGA'!AV77)</f>
        <v>Regadio</v>
      </c>
      <c r="F82" s="1411" t="n">
        <f aca="false">'V_DATOS PAC_SGA'!BK77</f>
        <v>0</v>
      </c>
      <c r="G82" s="1412" t="n">
        <f aca="false">'V_DATOS PAC_SGA'!AN77</f>
        <v>0</v>
      </c>
      <c r="H82" s="1413" t="str">
        <f aca="false">IF(B82&gt;0,VLOOKUP(B82,'O_MN, PE_UTA_UGM 2024'!E$3:O$419,10),"")</f>
        <v/>
      </c>
      <c r="I82" s="1359" t="str">
        <f aca="false">IF('V_DATOS PAC_SGA'!BV77="IV",'V_DATOS PAC_SGA'!BV77,"")</f>
        <v/>
      </c>
      <c r="J82" s="2" t="str">
        <f aca="false">IF($A82&gt;0,IF(AND(J$4=$G82,J$6=$F82),$D82*J$5,""),"")</f>
        <v/>
      </c>
      <c r="K82" s="2" t="str">
        <f aca="false">IF($A82&gt;0,IF(AND(K$4=$G82,K$6=$F82),$D82*K$5,""),"")</f>
        <v/>
      </c>
      <c r="L82" s="2" t="str">
        <f aca="false">IF($A82&gt;0,IF(AND(L$4=$G82,L$6=$F82),$D82*L$5,""),"")</f>
        <v/>
      </c>
      <c r="M82" s="2" t="str">
        <f aca="false">IF($A82&gt;0,IF(AND(M$4=$G82,M$6=$F82),$D82*M$5,""),"")</f>
        <v/>
      </c>
      <c r="N82" s="1506" t="n">
        <f aca="false">VLOOKUP(B82,'O_MN, PE_UTA_UGM 2024'!$E$2:$K$419,IF(G82&gt;1,6,7))</f>
        <v>0</v>
      </c>
      <c r="O82" s="1434" t="str">
        <f aca="false">IF($H82=O$4,$D82*$N82,"")</f>
        <v/>
      </c>
      <c r="P82" s="1435" t="str">
        <f aca="false">IF($H82=P$4,$D82*$N82,"")</f>
        <v/>
      </c>
      <c r="Q82" s="1435" t="str">
        <f aca="false">IF($H82=Q$4,$D82*$N82,"")</f>
        <v/>
      </c>
      <c r="R82" s="1435" t="str">
        <f aca="false">IF($H82=R$4,$D82*$N82,"")</f>
        <v/>
      </c>
      <c r="S82" s="1435" t="str">
        <f aca="false">IF($H82=S$4,$D82*$N82,"")</f>
        <v/>
      </c>
      <c r="T82" s="1435" t="str">
        <f aca="false">IF($H82=T$4,$D82*$N82,"")</f>
        <v/>
      </c>
      <c r="U82" s="1436" t="str">
        <f aca="false">IF($H82=U$4,$D82*$N82,"")</f>
        <v/>
      </c>
      <c r="V82" s="1418"/>
      <c r="W82" s="1419"/>
      <c r="X82" s="1419"/>
      <c r="Y82" s="1419"/>
      <c r="Z82" s="1419"/>
      <c r="AA82" s="1419"/>
      <c r="AB82" s="1420"/>
      <c r="AC82" s="1319"/>
      <c r="AD82" s="2" t="str">
        <f aca="false">IF(AND(AD$4=$G82,AD$6=$F82),$B82,"")</f>
        <v/>
      </c>
      <c r="AE82" s="2" t="str">
        <f aca="false">IF(AND(AE$4=$G82,AE$6=$F82),$B82,"")</f>
        <v/>
      </c>
      <c r="AF82" s="2" t="str">
        <f aca="false">IF(AND(AF$4=$G82,AF$6=$F82),$B82,"")</f>
        <v/>
      </c>
      <c r="AG82" s="2" t="str">
        <f aca="false">IF(AND(AG$4=$G82,AG$6=$F82),$B82,"")</f>
        <v/>
      </c>
      <c r="AI82" s="366"/>
      <c r="AL82" s="367"/>
      <c r="AO82" s="367"/>
      <c r="AP82" s="2" t="str">
        <f aca="false">IF(AT82&gt;0,RANK(AT82,AT$7:AT$423),"")</f>
        <v/>
      </c>
      <c r="AQ82" s="2" t="n">
        <f aca="false">'O_MN, PE_UTA_UGM 2024'!C78</f>
        <v>138</v>
      </c>
      <c r="AR82" s="1421" t="n">
        <v>1220</v>
      </c>
      <c r="AS82" s="2" t="str">
        <f aca="false">IF(AY82&lt;&gt;"",AY82,"")</f>
        <v/>
      </c>
      <c r="AT82" s="1422" t="n">
        <f aca="false">IF(ISNUMBER($AR82),SUMIF(B$7:B$505,AR82,D$7:D$505),"")</f>
        <v>0</v>
      </c>
      <c r="AU82" s="1411" t="n">
        <f aca="false">IF(ISNUMBER($AR82),SUMIF(AD$7:AD$503,$AR82,J$7:J$503),"")</f>
        <v>0</v>
      </c>
      <c r="AV82" s="1411" t="n">
        <f aca="false">IF(ISNUMBER($AR82),SUMIF(AF$7:AF$503,$AR82,L$7:L$503),"")</f>
        <v>0</v>
      </c>
      <c r="AW82" s="1423" t="n">
        <f aca="false">IF(ISNUMBER($AR82),SUMIF(AE$7:AE$503,$AR82,K$7:K$503),"")</f>
        <v>0</v>
      </c>
      <c r="AX82" s="1423" t="n">
        <f aca="false">IF(ISNUMBER($AR82),SUMIF(AG$7:AG$503,$AR82,M$7:M$503),"")</f>
        <v>0</v>
      </c>
      <c r="AY82" s="2" t="str">
        <f aca="false">IF($AT82&gt;0,VLOOKUP($AR82,'O_MN, PE_UTA_UGM 2024'!E78:O494,2),"")</f>
        <v/>
      </c>
      <c r="AZ82" s="1507"/>
      <c r="BA82" s="1507"/>
      <c r="BB82" s="1507" t="str">
        <f aca="false">IF($AT82&gt;0,VLOOKUP($AR82,'O_MN, PE_UTA_UGM 2024'!$E$3:$O$419,BB$6),"")</f>
        <v/>
      </c>
      <c r="BC82" s="1507" t="str">
        <f aca="false">IF($AT82&gt;0,VLOOKUP($AR82,'O_MN, PE_UTA_UGM 2024'!$E$3:$O$419,BC$6),"")</f>
        <v/>
      </c>
      <c r="BD82" s="1507" t="str">
        <f aca="false">IF($AT82&gt;0,VLOOKUP($AR82,'O_MN, PE_UTA_UGM 2024'!$E$3:$O$419,BD$6),"")</f>
        <v/>
      </c>
      <c r="BE82" s="1507" t="str">
        <f aca="false">IF($AT82&gt;0,VLOOKUP($AR82,'O_MN, PE_UTA_UGM 2024'!$E$3:$O$419,BE$6),"")</f>
        <v/>
      </c>
      <c r="BF82" s="1507" t="str">
        <f aca="false">IF($AT82&gt;0,VLOOKUP($AR82,'O_MN, PE_UTA_UGM 2024'!$E$3:$O$419,BF$6),"")</f>
        <v/>
      </c>
      <c r="BG82" s="1507" t="str">
        <f aca="false">IF($AT82&gt;0,VLOOKUP($AR82,'O_MN, PE_UTA_UGM 2024'!$E$3:$O$419,BG$6),"")</f>
        <v/>
      </c>
      <c r="BH82" s="1504"/>
      <c r="BI82" s="1504"/>
      <c r="BJ82" s="1504"/>
      <c r="BK82" s="1504"/>
      <c r="BM82" s="1411"/>
      <c r="BN82" s="1411"/>
      <c r="BO82" s="1425" t="str">
        <f aca="false">IF(ISNUMBER($AU82*BB82*1),$AU82*BB82*1,"")</f>
        <v/>
      </c>
      <c r="BP82" s="1425" t="str">
        <f aca="false">IF(ISNUMBER($AV82*BC82*1),$AV82*BC82*1,"")</f>
        <v/>
      </c>
      <c r="BQ82" s="1425" t="str">
        <f aca="false">IF(ISNUMBER($AU82*BD82*1),$AU82*BD82*1,"")</f>
        <v/>
      </c>
      <c r="BR82" s="1425" t="str">
        <f aca="false">IF(ISNUMBER($AV82*BE82*1),$AV82*BE82*1,"")</f>
        <v/>
      </c>
      <c r="BS82" s="1411" t="str">
        <f aca="false">IF(ISNUMBER($AU82*BF82),$AU82*BF82,"")</f>
        <v/>
      </c>
      <c r="BT82" s="1411" t="str">
        <f aca="false">IF(ISNUMBER($AV82*BG82),$AV82*BG82,"")</f>
        <v/>
      </c>
      <c r="BU82" s="1411"/>
      <c r="BV82" s="1411"/>
      <c r="BW82" s="1411"/>
      <c r="BX82" s="1411"/>
      <c r="BZ82" s="1372"/>
      <c r="CA82" s="1372"/>
      <c r="CB82" s="1426" t="str">
        <f aca="false">IF(ISNUMBER($AW82*BB82),$AW82*BB82,"")</f>
        <v/>
      </c>
      <c r="CC82" s="1426" t="str">
        <f aca="false">IF(ISNUMBER($AX82*BC82),$AX82*BC82,"")</f>
        <v/>
      </c>
      <c r="CD82" s="1426" t="str">
        <f aca="false">IF(ISNUMBER($AW82*BD82),$AW82*BD82,"")</f>
        <v/>
      </c>
      <c r="CE82" s="1426" t="str">
        <f aca="false">IF(ISNUMBER($AX82*BE82),$AX82*BE82,"")</f>
        <v/>
      </c>
      <c r="CF82" s="1372" t="str">
        <f aca="false">IF(ISNUMBER($AW82*BF82),$AW82*BF82,"")</f>
        <v/>
      </c>
      <c r="CG82" s="1372" t="str">
        <f aca="false">IF(ISNUMBER($AX82*BG82),$AX82*BG82,"")</f>
        <v/>
      </c>
      <c r="CH82" s="1438"/>
      <c r="CI82" s="1438"/>
      <c r="CJ82" s="1438"/>
      <c r="CK82" s="1438"/>
      <c r="CU82" s="1411"/>
      <c r="CV82" s="1411"/>
      <c r="CW82" s="1425"/>
      <c r="CX82" s="1425"/>
      <c r="CY82" s="1425"/>
      <c r="CZ82" s="1425"/>
      <c r="DA82" s="1411"/>
      <c r="DB82" s="1411"/>
      <c r="DC82" s="1411"/>
      <c r="DD82" s="1411"/>
      <c r="DE82" s="1411"/>
      <c r="DF82" s="1411"/>
      <c r="DH82" s="1432"/>
      <c r="DI82" s="1432"/>
      <c r="DJ82" s="1437"/>
      <c r="DK82" s="1437"/>
      <c r="DL82" s="1437"/>
      <c r="DM82" s="1437"/>
      <c r="DN82" s="1432"/>
      <c r="DO82" s="1432"/>
      <c r="DP82" s="1432"/>
      <c r="DQ82" s="1432"/>
      <c r="DR82" s="1432"/>
      <c r="DS82" s="1432"/>
      <c r="DT82" s="1316"/>
      <c r="DU82" s="1433"/>
      <c r="DV82" s="1433"/>
      <c r="DW82" s="1433"/>
      <c r="DX82" s="1433"/>
      <c r="DY82" s="1433"/>
      <c r="DZ82" s="1433"/>
      <c r="EA82" s="1433"/>
      <c r="EB82" s="1433"/>
    </row>
    <row r="83" customFormat="false" ht="14.25" hidden="false" customHeight="false" outlineLevel="0" collapsed="false">
      <c r="A83" s="2" t="n">
        <f aca="false">'V_DATOS PAC_SGA'!CC78</f>
        <v>0</v>
      </c>
      <c r="B83" s="2" t="n">
        <f aca="false">IF(OR(A83=0,A83=""),0,IF(I83="IV",CONCATENATE('V_DATOS PAC_SGA'!CC78,"4")+0,CONCATENATE('V_DATOS PAC_SGA'!CC78,"0")+0))</f>
        <v>0</v>
      </c>
      <c r="C83" s="2" t="n">
        <f aca="false">'V_DATOS PAC_SGA'!CD78</f>
        <v>0</v>
      </c>
      <c r="D83" s="1409" t="n">
        <f aca="false">'V_DATOS PAC_SGA'!Y78</f>
        <v>0</v>
      </c>
      <c r="E83" s="1410" t="str">
        <f aca="false">IF('V_DATOS PAC_SGA'!AV78="","Regadio",'V_DATOS PAC_SGA'!AV78)</f>
        <v>Regadio</v>
      </c>
      <c r="F83" s="1411" t="n">
        <f aca="false">'V_DATOS PAC_SGA'!BK78</f>
        <v>0</v>
      </c>
      <c r="G83" s="1412" t="n">
        <f aca="false">'V_DATOS PAC_SGA'!AN78</f>
        <v>0</v>
      </c>
      <c r="H83" s="1413" t="str">
        <f aca="false">IF(B83&gt;0,VLOOKUP(B83,'O_MN, PE_UTA_UGM 2024'!E$3:O$419,10),"")</f>
        <v/>
      </c>
      <c r="I83" s="1359" t="str">
        <f aca="false">IF('V_DATOS PAC_SGA'!BV78="IV",'V_DATOS PAC_SGA'!BV78,"")</f>
        <v/>
      </c>
      <c r="J83" s="2" t="str">
        <f aca="false">IF($A83&gt;0,IF(AND(J$4=$G83,J$6=$F83),$D83*J$5,""),"")</f>
        <v/>
      </c>
      <c r="K83" s="2" t="str">
        <f aca="false">IF($A83&gt;0,IF(AND(K$4=$G83,K$6=$F83),$D83*K$5,""),"")</f>
        <v/>
      </c>
      <c r="L83" s="2" t="str">
        <f aca="false">IF($A83&gt;0,IF(AND(L$4=$G83,L$6=$F83),$D83*L$5,""),"")</f>
        <v/>
      </c>
      <c r="M83" s="2" t="str">
        <f aca="false">IF($A83&gt;0,IF(AND(M$4=$G83,M$6=$F83),$D83*M$5,""),"")</f>
        <v/>
      </c>
      <c r="N83" s="1506" t="n">
        <f aca="false">VLOOKUP(B83,'O_MN, PE_UTA_UGM 2024'!$E$2:$K$419,IF(G83&gt;1,6,7))</f>
        <v>0</v>
      </c>
      <c r="O83" s="1434" t="str">
        <f aca="false">IF($H83=O$4,$D83*$N83,"")</f>
        <v/>
      </c>
      <c r="P83" s="1435" t="str">
        <f aca="false">IF($H83=P$4,$D83*$N83,"")</f>
        <v/>
      </c>
      <c r="Q83" s="1435" t="str">
        <f aca="false">IF($H83=Q$4,$D83*$N83,"")</f>
        <v/>
      </c>
      <c r="R83" s="1435" t="str">
        <f aca="false">IF($H83=R$4,$D83*$N83,"")</f>
        <v/>
      </c>
      <c r="S83" s="1435" t="str">
        <f aca="false">IF($H83=S$4,$D83*$N83,"")</f>
        <v/>
      </c>
      <c r="T83" s="1435" t="str">
        <f aca="false">IF($H83=T$4,$D83*$N83,"")</f>
        <v/>
      </c>
      <c r="U83" s="1436" t="str">
        <f aca="false">IF($H83=U$4,$D83*$N83,"")</f>
        <v/>
      </c>
      <c r="V83" s="1418"/>
      <c r="W83" s="1419"/>
      <c r="X83" s="1419"/>
      <c r="Y83" s="1419"/>
      <c r="Z83" s="1419"/>
      <c r="AA83" s="1419"/>
      <c r="AB83" s="1420"/>
      <c r="AC83" s="1319"/>
      <c r="AD83" s="2" t="str">
        <f aca="false">IF(AND(AD$4=$G83,AD$6=$F83),$B83,"")</f>
        <v/>
      </c>
      <c r="AE83" s="2" t="str">
        <f aca="false">IF(AND(AE$4=$G83,AE$6=$F83),$B83,"")</f>
        <v/>
      </c>
      <c r="AF83" s="2" t="str">
        <f aca="false">IF(AND(AF$4=$G83,AF$6=$F83),$B83,"")</f>
        <v/>
      </c>
      <c r="AG83" s="2" t="str">
        <f aca="false">IF(AND(AG$4=$G83,AG$6=$F83),$B83,"")</f>
        <v/>
      </c>
      <c r="AI83" s="366"/>
      <c r="AL83" s="367"/>
      <c r="AO83" s="367"/>
      <c r="AP83" s="2" t="str">
        <f aca="false">IF(AT83&gt;0,RANK(AT83,AT$7:AT$423),"")</f>
        <v/>
      </c>
      <c r="AQ83" s="2" t="n">
        <f aca="false">'O_MN, PE_UTA_UGM 2024'!C79</f>
        <v>139</v>
      </c>
      <c r="AR83" s="1421" t="n">
        <v>1236</v>
      </c>
      <c r="AS83" s="2" t="str">
        <f aca="false">IF(AY83&lt;&gt;"",AY83,"")</f>
        <v/>
      </c>
      <c r="AT83" s="1422" t="n">
        <f aca="false">IF(ISNUMBER($AR83),SUMIF(B$7:B$505,AR83,D$7:D$505),"")</f>
        <v>0</v>
      </c>
      <c r="AU83" s="1411" t="n">
        <f aca="false">IF(ISNUMBER($AR83),SUMIF(AD$7:AD$503,$AR83,J$7:J$503),"")</f>
        <v>0</v>
      </c>
      <c r="AV83" s="1411" t="n">
        <f aca="false">IF(ISNUMBER($AR83),SUMIF(AF$7:AF$503,$AR83,L$7:L$503),"")</f>
        <v>0</v>
      </c>
      <c r="AW83" s="1423" t="n">
        <f aca="false">IF(ISNUMBER($AR83),SUMIF(AE$7:AE$503,$AR83,K$7:K$503),"")</f>
        <v>0</v>
      </c>
      <c r="AX83" s="1423" t="n">
        <f aca="false">IF(ISNUMBER($AR83),SUMIF(AG$7:AG$503,$AR83,M$7:M$503),"")</f>
        <v>0</v>
      </c>
      <c r="AY83" s="2" t="str">
        <f aca="false">IF($AT83&gt;0,VLOOKUP($AR83,'O_MN, PE_UTA_UGM 2024'!E79:O495,2),"")</f>
        <v/>
      </c>
      <c r="AZ83" s="1507"/>
      <c r="BA83" s="1507"/>
      <c r="BB83" s="1507" t="str">
        <f aca="false">IF($AT83&gt;0,VLOOKUP($AR83,'O_MN, PE_UTA_UGM 2024'!$E$3:$O$419,BB$6),"")</f>
        <v/>
      </c>
      <c r="BC83" s="1507" t="str">
        <f aca="false">IF($AT83&gt;0,VLOOKUP($AR83,'O_MN, PE_UTA_UGM 2024'!$E$3:$O$419,BC$6),"")</f>
        <v/>
      </c>
      <c r="BD83" s="1507" t="str">
        <f aca="false">IF($AT83&gt;0,VLOOKUP($AR83,'O_MN, PE_UTA_UGM 2024'!$E$3:$O$419,BD$6),"")</f>
        <v/>
      </c>
      <c r="BE83" s="1507" t="str">
        <f aca="false">IF($AT83&gt;0,VLOOKUP($AR83,'O_MN, PE_UTA_UGM 2024'!$E$3:$O$419,BE$6),"")</f>
        <v/>
      </c>
      <c r="BF83" s="1507" t="str">
        <f aca="false">IF($AT83&gt;0,VLOOKUP($AR83,'O_MN, PE_UTA_UGM 2024'!$E$3:$O$419,BF$6),"")</f>
        <v/>
      </c>
      <c r="BG83" s="1507" t="str">
        <f aca="false">IF($AT83&gt;0,VLOOKUP($AR83,'O_MN, PE_UTA_UGM 2024'!$E$3:$O$419,BG$6),"")</f>
        <v/>
      </c>
      <c r="BH83" s="1504"/>
      <c r="BI83" s="1504"/>
      <c r="BJ83" s="1504"/>
      <c r="BK83" s="1504"/>
      <c r="BM83" s="1411"/>
      <c r="BN83" s="1411"/>
      <c r="BO83" s="1425" t="str">
        <f aca="false">IF(ISNUMBER($AU83*BB83*1),$AU83*BB83*1,"")</f>
        <v/>
      </c>
      <c r="BP83" s="1425" t="str">
        <f aca="false">IF(ISNUMBER($AV83*BC83*1),$AV83*BC83*1,"")</f>
        <v/>
      </c>
      <c r="BQ83" s="1425" t="str">
        <f aca="false">IF(ISNUMBER($AU83*BD83*1),$AU83*BD83*1,"")</f>
        <v/>
      </c>
      <c r="BR83" s="1425" t="str">
        <f aca="false">IF(ISNUMBER($AV83*BE83*1),$AV83*BE83*1,"")</f>
        <v/>
      </c>
      <c r="BS83" s="1411" t="str">
        <f aca="false">IF(ISNUMBER($AU83*BF83),$AU83*BF83,"")</f>
        <v/>
      </c>
      <c r="BT83" s="1411" t="str">
        <f aca="false">IF(ISNUMBER($AV83*BG83),$AV83*BG83,"")</f>
        <v/>
      </c>
      <c r="BU83" s="1411"/>
      <c r="BV83" s="1411"/>
      <c r="BW83" s="1411"/>
      <c r="BX83" s="1411"/>
      <c r="BZ83" s="1372"/>
      <c r="CA83" s="1372"/>
      <c r="CB83" s="1426" t="str">
        <f aca="false">IF(ISNUMBER($AW83*BB83),$AW83*BB83,"")</f>
        <v/>
      </c>
      <c r="CC83" s="1426" t="str">
        <f aca="false">IF(ISNUMBER($AX83*BC83),$AX83*BC83,"")</f>
        <v/>
      </c>
      <c r="CD83" s="1426" t="str">
        <f aca="false">IF(ISNUMBER($AW83*BD83),$AW83*BD83,"")</f>
        <v/>
      </c>
      <c r="CE83" s="1426" t="str">
        <f aca="false">IF(ISNUMBER($AX83*BE83),$AX83*BE83,"")</f>
        <v/>
      </c>
      <c r="CF83" s="1372" t="str">
        <f aca="false">IF(ISNUMBER($AW83*BF83),$AW83*BF83,"")</f>
        <v/>
      </c>
      <c r="CG83" s="1372" t="str">
        <f aca="false">IF(ISNUMBER($AX83*BG83),$AX83*BG83,"")</f>
        <v/>
      </c>
      <c r="CH83" s="1438"/>
      <c r="CI83" s="1438"/>
      <c r="CJ83" s="1438"/>
      <c r="CK83" s="1438"/>
      <c r="CU83" s="1411"/>
      <c r="CV83" s="1411"/>
      <c r="CW83" s="1425"/>
      <c r="CX83" s="1425"/>
      <c r="CY83" s="1425"/>
      <c r="CZ83" s="1425"/>
      <c r="DA83" s="1411"/>
      <c r="DB83" s="1411"/>
      <c r="DC83" s="1411"/>
      <c r="DD83" s="1411"/>
      <c r="DE83" s="1411"/>
      <c r="DF83" s="1411"/>
      <c r="DH83" s="1432"/>
      <c r="DI83" s="1432"/>
      <c r="DJ83" s="1437"/>
      <c r="DK83" s="1437"/>
      <c r="DL83" s="1437"/>
      <c r="DM83" s="1437"/>
      <c r="DN83" s="1432"/>
      <c r="DO83" s="1432"/>
      <c r="DP83" s="1432"/>
      <c r="DQ83" s="1432"/>
      <c r="DR83" s="1432"/>
      <c r="DS83" s="1432"/>
      <c r="DT83" s="1316"/>
      <c r="DU83" s="1433"/>
      <c r="DV83" s="1433"/>
      <c r="DW83" s="1433"/>
      <c r="DX83" s="1433"/>
      <c r="DY83" s="1433"/>
      <c r="DZ83" s="1433"/>
      <c r="EA83" s="1433"/>
      <c r="EB83" s="1433"/>
    </row>
    <row r="84" customFormat="false" ht="14.25" hidden="false" customHeight="false" outlineLevel="0" collapsed="false">
      <c r="A84" s="2" t="n">
        <f aca="false">'V_DATOS PAC_SGA'!CC79</f>
        <v>0</v>
      </c>
      <c r="B84" s="2" t="n">
        <f aca="false">IF(OR(A84=0,A84=""),0,IF(I84="IV",CONCATENATE('V_DATOS PAC_SGA'!CC79,"4")+0,CONCATENATE('V_DATOS PAC_SGA'!CC79,"0")+0))</f>
        <v>0</v>
      </c>
      <c r="C84" s="2" t="n">
        <f aca="false">'V_DATOS PAC_SGA'!CD79</f>
        <v>0</v>
      </c>
      <c r="D84" s="1409" t="n">
        <f aca="false">'V_DATOS PAC_SGA'!Y79</f>
        <v>0</v>
      </c>
      <c r="E84" s="1410" t="str">
        <f aca="false">IF('V_DATOS PAC_SGA'!AV79="","Regadio",'V_DATOS PAC_SGA'!AV79)</f>
        <v>Regadio</v>
      </c>
      <c r="F84" s="1411" t="n">
        <f aca="false">'V_DATOS PAC_SGA'!BK79</f>
        <v>0</v>
      </c>
      <c r="G84" s="1412" t="n">
        <f aca="false">'V_DATOS PAC_SGA'!AN79</f>
        <v>0</v>
      </c>
      <c r="H84" s="1413" t="str">
        <f aca="false">IF(B84&gt;0,VLOOKUP(B84,'O_MN, PE_UTA_UGM 2024'!E$3:O$419,10),"")</f>
        <v/>
      </c>
      <c r="I84" s="1359" t="str">
        <f aca="false">IF('V_DATOS PAC_SGA'!BV79="IV",'V_DATOS PAC_SGA'!BV79,"")</f>
        <v/>
      </c>
      <c r="J84" s="2" t="str">
        <f aca="false">IF($A84&gt;0,IF(AND(J$4=$G84,J$6=$F84),$D84*J$5,""),"")</f>
        <v/>
      </c>
      <c r="K84" s="2" t="str">
        <f aca="false">IF($A84&gt;0,IF(AND(K$4=$G84,K$6=$F84),$D84*K$5,""),"")</f>
        <v/>
      </c>
      <c r="L84" s="2" t="str">
        <f aca="false">IF($A84&gt;0,IF(AND(L$4=$G84,L$6=$F84),$D84*L$5,""),"")</f>
        <v/>
      </c>
      <c r="M84" s="2" t="str">
        <f aca="false">IF($A84&gt;0,IF(AND(M$4=$G84,M$6=$F84),$D84*M$5,""),"")</f>
        <v/>
      </c>
      <c r="N84" s="1506" t="n">
        <f aca="false">VLOOKUP(B84,'O_MN, PE_UTA_UGM 2024'!$E$2:$K$419,IF(G84&gt;1,6,7))</f>
        <v>0</v>
      </c>
      <c r="O84" s="1434" t="str">
        <f aca="false">IF($H84=O$4,$D84*$N84,"")</f>
        <v/>
      </c>
      <c r="P84" s="1435" t="str">
        <f aca="false">IF($H84=P$4,$D84*$N84,"")</f>
        <v/>
      </c>
      <c r="Q84" s="1435" t="str">
        <f aca="false">IF($H84=Q$4,$D84*$N84,"")</f>
        <v/>
      </c>
      <c r="R84" s="1435" t="str">
        <f aca="false">IF($H84=R$4,$D84*$N84,"")</f>
        <v/>
      </c>
      <c r="S84" s="1435" t="str">
        <f aca="false">IF($H84=S$4,$D84*$N84,"")</f>
        <v/>
      </c>
      <c r="T84" s="1435" t="str">
        <f aca="false">IF($H84=T$4,$D84*$N84,"")</f>
        <v/>
      </c>
      <c r="U84" s="1436" t="str">
        <f aca="false">IF($H84=U$4,$D84*$N84,"")</f>
        <v/>
      </c>
      <c r="V84" s="1418"/>
      <c r="W84" s="1419"/>
      <c r="X84" s="1419"/>
      <c r="Y84" s="1419"/>
      <c r="Z84" s="1419"/>
      <c r="AA84" s="1419"/>
      <c r="AB84" s="1420"/>
      <c r="AC84" s="1319"/>
      <c r="AD84" s="2" t="str">
        <f aca="false">IF(AND(AD$4=$G84,AD$6=$F84),$B84,"")</f>
        <v/>
      </c>
      <c r="AE84" s="2" t="str">
        <f aca="false">IF(AND(AE$4=$G84,AE$6=$F84),$B84,"")</f>
        <v/>
      </c>
      <c r="AF84" s="2" t="str">
        <f aca="false">IF(AND(AF$4=$G84,AF$6=$F84),$B84,"")</f>
        <v/>
      </c>
      <c r="AG84" s="2" t="str">
        <f aca="false">IF(AND(AG$4=$G84,AG$6=$F84),$B84,"")</f>
        <v/>
      </c>
      <c r="AI84" s="366"/>
      <c r="AL84" s="367"/>
      <c r="AO84" s="367"/>
      <c r="AP84" s="2" t="str">
        <f aca="false">IF(AT84&gt;0,RANK(AT84,AT$7:AT$423),"")</f>
        <v/>
      </c>
      <c r="AQ84" s="2" t="n">
        <f aca="false">'O_MN, PE_UTA_UGM 2024'!C80</f>
        <v>140</v>
      </c>
      <c r="AR84" s="1421" t="n">
        <v>1240</v>
      </c>
      <c r="AS84" s="2" t="str">
        <f aca="false">IF(AY84&lt;&gt;"",AY84,"")</f>
        <v/>
      </c>
      <c r="AT84" s="1422" t="n">
        <f aca="false">IF(ISNUMBER($AR84),SUMIF(B$7:B$505,AR84,D$7:D$505),"")</f>
        <v>0</v>
      </c>
      <c r="AU84" s="1411" t="n">
        <f aca="false">IF(ISNUMBER($AR84),SUMIF(AD$7:AD$503,$AR84,J$7:J$503),"")</f>
        <v>0</v>
      </c>
      <c r="AV84" s="1411" t="n">
        <f aca="false">IF(ISNUMBER($AR84),SUMIF(AF$7:AF$503,$AR84,L$7:L$503),"")</f>
        <v>0</v>
      </c>
      <c r="AW84" s="1423" t="n">
        <f aca="false">IF(ISNUMBER($AR84),SUMIF(AE$7:AE$503,$AR84,K$7:K$503),"")</f>
        <v>0</v>
      </c>
      <c r="AX84" s="1423" t="n">
        <f aca="false">IF(ISNUMBER($AR84),SUMIF(AG$7:AG$503,$AR84,M$7:M$503),"")</f>
        <v>0</v>
      </c>
      <c r="AY84" s="2" t="str">
        <f aca="false">IF($AT84&gt;0,VLOOKUP($AR84,'O_MN, PE_UTA_UGM 2024'!E80:O496,2),"")</f>
        <v/>
      </c>
      <c r="AZ84" s="1507"/>
      <c r="BA84" s="1507"/>
      <c r="BB84" s="1507" t="str">
        <f aca="false">IF($AT84&gt;0,VLOOKUP($AR84,'O_MN, PE_UTA_UGM 2024'!$E$3:$O$419,BB$6),"")</f>
        <v/>
      </c>
      <c r="BC84" s="1507" t="str">
        <f aca="false">IF($AT84&gt;0,VLOOKUP($AR84,'O_MN, PE_UTA_UGM 2024'!$E$3:$O$419,BC$6),"")</f>
        <v/>
      </c>
      <c r="BD84" s="1507" t="str">
        <f aca="false">IF($AT84&gt;0,VLOOKUP($AR84,'O_MN, PE_UTA_UGM 2024'!$E$3:$O$419,BD$6),"")</f>
        <v/>
      </c>
      <c r="BE84" s="1507" t="str">
        <f aca="false">IF($AT84&gt;0,VLOOKUP($AR84,'O_MN, PE_UTA_UGM 2024'!$E$3:$O$419,BE$6),"")</f>
        <v/>
      </c>
      <c r="BF84" s="1507" t="str">
        <f aca="false">IF($AT84&gt;0,VLOOKUP($AR84,'O_MN, PE_UTA_UGM 2024'!$E$3:$O$419,BF$6),"")</f>
        <v/>
      </c>
      <c r="BG84" s="1507" t="str">
        <f aca="false">IF($AT84&gt;0,VLOOKUP($AR84,'O_MN, PE_UTA_UGM 2024'!$E$3:$O$419,BG$6),"")</f>
        <v/>
      </c>
      <c r="BH84" s="1504"/>
      <c r="BI84" s="1504"/>
      <c r="BJ84" s="1504"/>
      <c r="BK84" s="1504"/>
      <c r="BM84" s="1411"/>
      <c r="BN84" s="1411"/>
      <c r="BO84" s="1425" t="str">
        <f aca="false">IF(ISNUMBER($AU84*BB84*1),$AU84*BB84*1,"")</f>
        <v/>
      </c>
      <c r="BP84" s="1425" t="str">
        <f aca="false">IF(ISNUMBER($AV84*BC84*1),$AV84*BC84*1,"")</f>
        <v/>
      </c>
      <c r="BQ84" s="1425" t="str">
        <f aca="false">IF(ISNUMBER($AU84*BD84*1),$AU84*BD84*1,"")</f>
        <v/>
      </c>
      <c r="BR84" s="1425" t="str">
        <f aca="false">IF(ISNUMBER($AV84*BE84*1),$AV84*BE84*1,"")</f>
        <v/>
      </c>
      <c r="BS84" s="1411" t="str">
        <f aca="false">IF(ISNUMBER($AU84*BF84),$AU84*BF84,"")</f>
        <v/>
      </c>
      <c r="BT84" s="1411" t="str">
        <f aca="false">IF(ISNUMBER($AV84*BG84),$AV84*BG84,"")</f>
        <v/>
      </c>
      <c r="BU84" s="1411"/>
      <c r="BV84" s="1411"/>
      <c r="BW84" s="1411"/>
      <c r="BX84" s="1411"/>
      <c r="BZ84" s="1372"/>
      <c r="CA84" s="1372"/>
      <c r="CB84" s="1426" t="str">
        <f aca="false">IF(ISNUMBER($AW84*BB84),$AW84*BB84,"")</f>
        <v/>
      </c>
      <c r="CC84" s="1426" t="str">
        <f aca="false">IF(ISNUMBER($AX84*BC84),$AX84*BC84,"")</f>
        <v/>
      </c>
      <c r="CD84" s="1426" t="str">
        <f aca="false">IF(ISNUMBER($AW84*BD84),$AW84*BD84,"")</f>
        <v/>
      </c>
      <c r="CE84" s="1426" t="str">
        <f aca="false">IF(ISNUMBER($AX84*BE84),$AX84*BE84,"")</f>
        <v/>
      </c>
      <c r="CF84" s="1372" t="str">
        <f aca="false">IF(ISNUMBER($AW84*BF84),$AW84*BF84,"")</f>
        <v/>
      </c>
      <c r="CG84" s="1372" t="str">
        <f aca="false">IF(ISNUMBER($AX84*BG84),$AX84*BG84,"")</f>
        <v/>
      </c>
      <c r="CH84" s="1438"/>
      <c r="CI84" s="1438"/>
      <c r="CJ84" s="1438"/>
      <c r="CK84" s="1438"/>
      <c r="CU84" s="1411"/>
      <c r="CV84" s="1411"/>
      <c r="CW84" s="1425"/>
      <c r="CX84" s="1425"/>
      <c r="CY84" s="1425"/>
      <c r="CZ84" s="1425"/>
      <c r="DA84" s="1411"/>
      <c r="DB84" s="1411"/>
      <c r="DC84" s="1411"/>
      <c r="DD84" s="1411"/>
      <c r="DE84" s="1411"/>
      <c r="DF84" s="1411"/>
      <c r="DH84" s="1432"/>
      <c r="DI84" s="1432"/>
      <c r="DJ84" s="1437"/>
      <c r="DK84" s="1437"/>
      <c r="DL84" s="1437"/>
      <c r="DM84" s="1437"/>
      <c r="DN84" s="1432"/>
      <c r="DO84" s="1432"/>
      <c r="DP84" s="1432"/>
      <c r="DQ84" s="1432"/>
      <c r="DR84" s="1432"/>
      <c r="DS84" s="1432"/>
      <c r="DT84" s="1316"/>
      <c r="DU84" s="1433"/>
      <c r="DV84" s="1433"/>
      <c r="DW84" s="1433"/>
      <c r="DX84" s="1433"/>
      <c r="DY84" s="1433"/>
      <c r="DZ84" s="1433"/>
      <c r="EA84" s="1433"/>
      <c r="EB84" s="1433"/>
    </row>
    <row r="85" customFormat="false" ht="14.25" hidden="false" customHeight="false" outlineLevel="0" collapsed="false">
      <c r="A85" s="2" t="n">
        <f aca="false">'V_DATOS PAC_SGA'!CC80</f>
        <v>0</v>
      </c>
      <c r="B85" s="2" t="n">
        <f aca="false">IF(OR(A85=0,A85=""),0,IF(I85="IV",CONCATENATE('V_DATOS PAC_SGA'!CC80,"4")+0,CONCATENATE('V_DATOS PAC_SGA'!CC80,"0")+0))</f>
        <v>0</v>
      </c>
      <c r="C85" s="2" t="n">
        <f aca="false">'V_DATOS PAC_SGA'!CD80</f>
        <v>0</v>
      </c>
      <c r="D85" s="1409" t="n">
        <f aca="false">'V_DATOS PAC_SGA'!Y80</f>
        <v>0</v>
      </c>
      <c r="E85" s="1410" t="str">
        <f aca="false">IF('V_DATOS PAC_SGA'!AV80="","Regadio",'V_DATOS PAC_SGA'!AV80)</f>
        <v>Regadio</v>
      </c>
      <c r="F85" s="1411" t="n">
        <f aca="false">'V_DATOS PAC_SGA'!BK80</f>
        <v>0</v>
      </c>
      <c r="G85" s="1412" t="n">
        <f aca="false">'V_DATOS PAC_SGA'!AN80</f>
        <v>0</v>
      </c>
      <c r="H85" s="1413" t="str">
        <f aca="false">IF(B85&gt;0,VLOOKUP(B85,'O_MN, PE_UTA_UGM 2024'!E$3:O$419,10),"")</f>
        <v/>
      </c>
      <c r="I85" s="1359" t="str">
        <f aca="false">IF('V_DATOS PAC_SGA'!BV80="IV",'V_DATOS PAC_SGA'!BV80,"")</f>
        <v/>
      </c>
      <c r="J85" s="2" t="str">
        <f aca="false">IF($A85&gt;0,IF(AND(J$4=$G85,J$6=$F85),$D85*J$5,""),"")</f>
        <v/>
      </c>
      <c r="K85" s="2" t="str">
        <f aca="false">IF($A85&gt;0,IF(AND(K$4=$G85,K$6=$F85),$D85*K$5,""),"")</f>
        <v/>
      </c>
      <c r="L85" s="2" t="str">
        <f aca="false">IF($A85&gt;0,IF(AND(L$4=$G85,L$6=$F85),$D85*L$5,""),"")</f>
        <v/>
      </c>
      <c r="M85" s="2" t="str">
        <f aca="false">IF($A85&gt;0,IF(AND(M$4=$G85,M$6=$F85),$D85*M$5,""),"")</f>
        <v/>
      </c>
      <c r="N85" s="1506" t="n">
        <f aca="false">VLOOKUP(B85,'O_MN, PE_UTA_UGM 2024'!$E$2:$K$419,IF(G85&gt;1,6,7))</f>
        <v>0</v>
      </c>
      <c r="O85" s="1434" t="str">
        <f aca="false">IF($H85=O$4,$D85*$N85,"")</f>
        <v/>
      </c>
      <c r="P85" s="1435" t="str">
        <f aca="false">IF($H85=P$4,$D85*$N85,"")</f>
        <v/>
      </c>
      <c r="Q85" s="1435" t="str">
        <f aca="false">IF($H85=Q$4,$D85*$N85,"")</f>
        <v/>
      </c>
      <c r="R85" s="1435" t="str">
        <f aca="false">IF($H85=R$4,$D85*$N85,"")</f>
        <v/>
      </c>
      <c r="S85" s="1435" t="str">
        <f aca="false">IF($H85=S$4,$D85*$N85,"")</f>
        <v/>
      </c>
      <c r="T85" s="1435" t="str">
        <f aca="false">IF($H85=T$4,$D85*$N85,"")</f>
        <v/>
      </c>
      <c r="U85" s="1436" t="str">
        <f aca="false">IF($H85=U$4,$D85*$N85,"")</f>
        <v/>
      </c>
      <c r="V85" s="1418"/>
      <c r="W85" s="1419"/>
      <c r="X85" s="1419"/>
      <c r="Y85" s="1419"/>
      <c r="Z85" s="1419"/>
      <c r="AA85" s="1419"/>
      <c r="AB85" s="1420"/>
      <c r="AC85" s="1319"/>
      <c r="AD85" s="2" t="str">
        <f aca="false">IF(AND(AD$4=$G85,AD$6=$F85),$B85,"")</f>
        <v/>
      </c>
      <c r="AE85" s="2" t="str">
        <f aca="false">IF(AND(AE$4=$G85,AE$6=$F85),$B85,"")</f>
        <v/>
      </c>
      <c r="AF85" s="2" t="str">
        <f aca="false">IF(AND(AF$4=$G85,AF$6=$F85),$B85,"")</f>
        <v/>
      </c>
      <c r="AG85" s="2" t="str">
        <f aca="false">IF(AND(AG$4=$G85,AG$6=$F85),$B85,"")</f>
        <v/>
      </c>
      <c r="AI85" s="366"/>
      <c r="AL85" s="367"/>
      <c r="AO85" s="367"/>
      <c r="AP85" s="2" t="str">
        <f aca="false">IF(AT85&gt;0,RANK(AT85,AT$7:AT$423),"")</f>
        <v/>
      </c>
      <c r="AQ85" s="2" t="n">
        <f aca="false">'O_MN, PE_UTA_UGM 2024'!C81</f>
        <v>141</v>
      </c>
      <c r="AR85" s="1421" t="n">
        <v>1250</v>
      </c>
      <c r="AS85" s="2" t="str">
        <f aca="false">IF(AY85&lt;&gt;"",AY85,"")</f>
        <v/>
      </c>
      <c r="AT85" s="1422" t="n">
        <f aca="false">IF(ISNUMBER($AR85),SUMIF(B$7:B$505,AR85,D$7:D$505),"")</f>
        <v>0</v>
      </c>
      <c r="AU85" s="1411" t="n">
        <f aca="false">IF(ISNUMBER($AR85),SUMIF(AD$7:AD$503,$AR85,J$7:J$503),"")</f>
        <v>0</v>
      </c>
      <c r="AV85" s="1411" t="n">
        <f aca="false">IF(ISNUMBER($AR85),SUMIF(AF$7:AF$503,$AR85,L$7:L$503),"")</f>
        <v>0</v>
      </c>
      <c r="AW85" s="1423" t="n">
        <f aca="false">IF(ISNUMBER($AR85),SUMIF(AE$7:AE$503,$AR85,K$7:K$503),"")</f>
        <v>0</v>
      </c>
      <c r="AX85" s="1423" t="n">
        <f aca="false">IF(ISNUMBER($AR85),SUMIF(AG$7:AG$503,$AR85,M$7:M$503),"")</f>
        <v>0</v>
      </c>
      <c r="AY85" s="2" t="str">
        <f aca="false">IF($AT85&gt;0,VLOOKUP($AR85,'O_MN, PE_UTA_UGM 2024'!E81:O497,2),"")</f>
        <v/>
      </c>
      <c r="AZ85" s="1507"/>
      <c r="BA85" s="1507"/>
      <c r="BB85" s="1507" t="str">
        <f aca="false">IF($AT85&gt;0,VLOOKUP($AR85,'O_MN, PE_UTA_UGM 2024'!$E$3:$O$419,BB$6),"")</f>
        <v/>
      </c>
      <c r="BC85" s="1507" t="str">
        <f aca="false">IF($AT85&gt;0,VLOOKUP($AR85,'O_MN, PE_UTA_UGM 2024'!$E$3:$O$419,BC$6),"")</f>
        <v/>
      </c>
      <c r="BD85" s="1507" t="str">
        <f aca="false">IF($AT85&gt;0,VLOOKUP($AR85,'O_MN, PE_UTA_UGM 2024'!$E$3:$O$419,BD$6),"")</f>
        <v/>
      </c>
      <c r="BE85" s="1507" t="str">
        <f aca="false">IF($AT85&gt;0,VLOOKUP($AR85,'O_MN, PE_UTA_UGM 2024'!$E$3:$O$419,BE$6),"")</f>
        <v/>
      </c>
      <c r="BF85" s="1507" t="str">
        <f aca="false">IF($AT85&gt;0,VLOOKUP($AR85,'O_MN, PE_UTA_UGM 2024'!$E$3:$O$419,BF$6),"")</f>
        <v/>
      </c>
      <c r="BG85" s="1507" t="str">
        <f aca="false">IF($AT85&gt;0,VLOOKUP($AR85,'O_MN, PE_UTA_UGM 2024'!$E$3:$O$419,BG$6),"")</f>
        <v/>
      </c>
      <c r="BH85" s="1504"/>
      <c r="BI85" s="1504"/>
      <c r="BJ85" s="1504"/>
      <c r="BK85" s="1504"/>
      <c r="BM85" s="1411"/>
      <c r="BN85" s="1411"/>
      <c r="BO85" s="1425" t="str">
        <f aca="false">IF(ISNUMBER($AU85*BB85*1),$AU85*BB85*1,"")</f>
        <v/>
      </c>
      <c r="BP85" s="1425" t="str">
        <f aca="false">IF(ISNUMBER($AV85*BC85*1),$AV85*BC85*1,"")</f>
        <v/>
      </c>
      <c r="BQ85" s="1425" t="str">
        <f aca="false">IF(ISNUMBER($AU85*BD85*1),$AU85*BD85*1,"")</f>
        <v/>
      </c>
      <c r="BR85" s="1425" t="str">
        <f aca="false">IF(ISNUMBER($AV85*BE85*1),$AV85*BE85*1,"")</f>
        <v/>
      </c>
      <c r="BS85" s="1411" t="str">
        <f aca="false">IF(ISNUMBER($AU85*BF85),$AU85*BF85,"")</f>
        <v/>
      </c>
      <c r="BT85" s="1411" t="str">
        <f aca="false">IF(ISNUMBER($AV85*BG85),$AV85*BG85,"")</f>
        <v/>
      </c>
      <c r="BU85" s="1411"/>
      <c r="BV85" s="1411"/>
      <c r="BW85" s="1411"/>
      <c r="BX85" s="1411"/>
      <c r="BZ85" s="1372"/>
      <c r="CA85" s="1372"/>
      <c r="CB85" s="1426" t="str">
        <f aca="false">IF(ISNUMBER($AW85*BB85),$AW85*BB85,"")</f>
        <v/>
      </c>
      <c r="CC85" s="1426" t="str">
        <f aca="false">IF(ISNUMBER($AX85*BC85),$AX85*BC85,"")</f>
        <v/>
      </c>
      <c r="CD85" s="1426" t="str">
        <f aca="false">IF(ISNUMBER($AW85*BD85),$AW85*BD85,"")</f>
        <v/>
      </c>
      <c r="CE85" s="1426" t="str">
        <f aca="false">IF(ISNUMBER($AX85*BE85),$AX85*BE85,"")</f>
        <v/>
      </c>
      <c r="CF85" s="1372" t="str">
        <f aca="false">IF(ISNUMBER($AW85*BF85),$AW85*BF85,"")</f>
        <v/>
      </c>
      <c r="CG85" s="1372" t="str">
        <f aca="false">IF(ISNUMBER($AX85*BG85),$AX85*BG85,"")</f>
        <v/>
      </c>
      <c r="CH85" s="1438"/>
      <c r="CI85" s="1438"/>
      <c r="CJ85" s="1438"/>
      <c r="CK85" s="1438"/>
      <c r="CU85" s="1411"/>
      <c r="CV85" s="1411"/>
      <c r="CW85" s="1425"/>
      <c r="CX85" s="1425"/>
      <c r="CY85" s="1425"/>
      <c r="CZ85" s="1425"/>
      <c r="DA85" s="1411"/>
      <c r="DB85" s="1411"/>
      <c r="DC85" s="1411"/>
      <c r="DD85" s="1411"/>
      <c r="DE85" s="1411"/>
      <c r="DF85" s="1411"/>
      <c r="DH85" s="1432"/>
      <c r="DI85" s="1432"/>
      <c r="DJ85" s="1437"/>
      <c r="DK85" s="1437"/>
      <c r="DL85" s="1437"/>
      <c r="DM85" s="1437"/>
      <c r="DN85" s="1432"/>
      <c r="DO85" s="1432"/>
      <c r="DP85" s="1432"/>
      <c r="DQ85" s="1432"/>
      <c r="DR85" s="1432"/>
      <c r="DS85" s="1432"/>
      <c r="DT85" s="1316"/>
      <c r="DU85" s="1433"/>
      <c r="DV85" s="1433"/>
      <c r="DW85" s="1433"/>
      <c r="DX85" s="1433"/>
      <c r="DY85" s="1433"/>
      <c r="DZ85" s="1433"/>
      <c r="EA85" s="1433"/>
      <c r="EB85" s="1433"/>
    </row>
    <row r="86" customFormat="false" ht="14.25" hidden="false" customHeight="false" outlineLevel="0" collapsed="false">
      <c r="A86" s="2" t="n">
        <f aca="false">'V_DATOS PAC_SGA'!CC81</f>
        <v>0</v>
      </c>
      <c r="B86" s="2" t="n">
        <f aca="false">IF(OR(A86=0,A86=""),0,IF(I86="IV",CONCATENATE('V_DATOS PAC_SGA'!CC81,"4")+0,CONCATENATE('V_DATOS PAC_SGA'!CC81,"0")+0))</f>
        <v>0</v>
      </c>
      <c r="C86" s="2" t="n">
        <f aca="false">'V_DATOS PAC_SGA'!CD81</f>
        <v>0</v>
      </c>
      <c r="D86" s="1409" t="n">
        <f aca="false">'V_DATOS PAC_SGA'!Y81</f>
        <v>0</v>
      </c>
      <c r="E86" s="1410" t="str">
        <f aca="false">IF('V_DATOS PAC_SGA'!AV81="","Regadio",'V_DATOS PAC_SGA'!AV81)</f>
        <v>Regadio</v>
      </c>
      <c r="F86" s="1411" t="n">
        <f aca="false">'V_DATOS PAC_SGA'!BK81</f>
        <v>0</v>
      </c>
      <c r="G86" s="1412" t="n">
        <f aca="false">'V_DATOS PAC_SGA'!AN81</f>
        <v>0</v>
      </c>
      <c r="H86" s="1413" t="str">
        <f aca="false">IF(B86&gt;0,VLOOKUP(B86,'O_MN, PE_UTA_UGM 2024'!E$3:O$419,10),"")</f>
        <v/>
      </c>
      <c r="I86" s="1359" t="str">
        <f aca="false">IF('V_DATOS PAC_SGA'!BV81="IV",'V_DATOS PAC_SGA'!BV81,"")</f>
        <v/>
      </c>
      <c r="J86" s="2" t="str">
        <f aca="false">IF($A86&gt;0,IF(AND(J$4=$G86,J$6=$F86),$D86*J$5,""),"")</f>
        <v/>
      </c>
      <c r="K86" s="2" t="str">
        <f aca="false">IF($A86&gt;0,IF(AND(K$4=$G86,K$6=$F86),$D86*K$5,""),"")</f>
        <v/>
      </c>
      <c r="L86" s="2" t="str">
        <f aca="false">IF($A86&gt;0,IF(AND(L$4=$G86,L$6=$F86),$D86*L$5,""),"")</f>
        <v/>
      </c>
      <c r="M86" s="2" t="str">
        <f aca="false">IF($A86&gt;0,IF(AND(M$4=$G86,M$6=$F86),$D86*M$5,""),"")</f>
        <v/>
      </c>
      <c r="N86" s="1506" t="n">
        <f aca="false">VLOOKUP(B86,'O_MN, PE_UTA_UGM 2024'!$E$2:$K$419,IF(G86&gt;1,6,7))</f>
        <v>0</v>
      </c>
      <c r="O86" s="1434" t="str">
        <f aca="false">IF($H86=O$4,$D86*$N86,"")</f>
        <v/>
      </c>
      <c r="P86" s="1435" t="str">
        <f aca="false">IF($H86=P$4,$D86*$N86,"")</f>
        <v/>
      </c>
      <c r="Q86" s="1435" t="str">
        <f aca="false">IF($H86=Q$4,$D86*$N86,"")</f>
        <v/>
      </c>
      <c r="R86" s="1435" t="str">
        <f aca="false">IF($H86=R$4,$D86*$N86,"")</f>
        <v/>
      </c>
      <c r="S86" s="1435" t="str">
        <f aca="false">IF($H86=S$4,$D86*$N86,"")</f>
        <v/>
      </c>
      <c r="T86" s="1435" t="str">
        <f aca="false">IF($H86=T$4,$D86*$N86,"")</f>
        <v/>
      </c>
      <c r="U86" s="1436" t="str">
        <f aca="false">IF($H86=U$4,$D86*$N86,"")</f>
        <v/>
      </c>
      <c r="V86" s="1418"/>
      <c r="W86" s="1419"/>
      <c r="X86" s="1419"/>
      <c r="Y86" s="1419"/>
      <c r="Z86" s="1419"/>
      <c r="AA86" s="1419"/>
      <c r="AB86" s="1420"/>
      <c r="AC86" s="1319"/>
      <c r="AD86" s="2" t="str">
        <f aca="false">IF(AND(AD$4=$G86,AD$6=$F86),$B86,"")</f>
        <v/>
      </c>
      <c r="AE86" s="2" t="str">
        <f aca="false">IF(AND(AE$4=$G86,AE$6=$F86),$B86,"")</f>
        <v/>
      </c>
      <c r="AF86" s="2" t="str">
        <f aca="false">IF(AND(AF$4=$G86,AF$6=$F86),$B86,"")</f>
        <v/>
      </c>
      <c r="AG86" s="2" t="str">
        <f aca="false">IF(AND(AG$4=$G86,AG$6=$F86),$B86,"")</f>
        <v/>
      </c>
      <c r="AI86" s="366"/>
      <c r="AL86" s="367"/>
      <c r="AO86" s="367"/>
      <c r="AP86" s="2" t="str">
        <f aca="false">IF(AT86&gt;0,RANK(AT86,AT$7:AT$423),"")</f>
        <v/>
      </c>
      <c r="AQ86" s="2" t="n">
        <f aca="false">'O_MN, PE_UTA_UGM 2024'!C82</f>
        <v>142</v>
      </c>
      <c r="AR86" s="1421" t="n">
        <v>1380</v>
      </c>
      <c r="AS86" s="2" t="str">
        <f aca="false">IF(AY86&lt;&gt;"",AY86,"")</f>
        <v/>
      </c>
      <c r="AT86" s="1422" t="n">
        <f aca="false">IF(ISNUMBER($AR86),SUMIF(B$7:B$505,AR86,D$7:D$505),"")</f>
        <v>0</v>
      </c>
      <c r="AU86" s="1411" t="n">
        <f aca="false">IF(ISNUMBER($AR86),SUMIF(AD$7:AD$503,$AR86,J$7:J$503),"")</f>
        <v>0</v>
      </c>
      <c r="AV86" s="1411" t="n">
        <f aca="false">IF(ISNUMBER($AR86),SUMIF(AF$7:AF$503,$AR86,L$7:L$503),"")</f>
        <v>0</v>
      </c>
      <c r="AW86" s="1423" t="n">
        <f aca="false">IF(ISNUMBER($AR86),SUMIF(AE$7:AE$503,$AR86,K$7:K$503),"")</f>
        <v>0</v>
      </c>
      <c r="AX86" s="1423" t="n">
        <f aca="false">IF(ISNUMBER($AR86),SUMIF(AG$7:AG$503,$AR86,M$7:M$503),"")</f>
        <v>0</v>
      </c>
      <c r="AY86" s="2" t="str">
        <f aca="false">IF($AT86&gt;0,VLOOKUP($AR86,'O_MN, PE_UTA_UGM 2024'!E82:O498,2),"")</f>
        <v/>
      </c>
      <c r="AZ86" s="1507"/>
      <c r="BA86" s="1507"/>
      <c r="BB86" s="1507" t="str">
        <f aca="false">IF($AT86&gt;0,VLOOKUP($AR86,'O_MN, PE_UTA_UGM 2024'!$E$3:$O$419,BB$6),"")</f>
        <v/>
      </c>
      <c r="BC86" s="1507" t="str">
        <f aca="false">IF($AT86&gt;0,VLOOKUP($AR86,'O_MN, PE_UTA_UGM 2024'!$E$3:$O$419,BC$6),"")</f>
        <v/>
      </c>
      <c r="BD86" s="1507" t="str">
        <f aca="false">IF($AT86&gt;0,VLOOKUP($AR86,'O_MN, PE_UTA_UGM 2024'!$E$3:$O$419,BD$6),"")</f>
        <v/>
      </c>
      <c r="BE86" s="1507" t="str">
        <f aca="false">IF($AT86&gt;0,VLOOKUP($AR86,'O_MN, PE_UTA_UGM 2024'!$E$3:$O$419,BE$6),"")</f>
        <v/>
      </c>
      <c r="BF86" s="1507" t="str">
        <f aca="false">IF($AT86&gt;0,VLOOKUP($AR86,'O_MN, PE_UTA_UGM 2024'!$E$3:$O$419,BF$6),"")</f>
        <v/>
      </c>
      <c r="BG86" s="1507" t="str">
        <f aca="false">IF($AT86&gt;0,VLOOKUP($AR86,'O_MN, PE_UTA_UGM 2024'!$E$3:$O$419,BG$6),"")</f>
        <v/>
      </c>
      <c r="BH86" s="1504"/>
      <c r="BI86" s="1504"/>
      <c r="BJ86" s="1504"/>
      <c r="BK86" s="1504"/>
      <c r="BM86" s="1411"/>
      <c r="BN86" s="1411"/>
      <c r="BO86" s="1425" t="str">
        <f aca="false">IF(ISNUMBER($AU86*BB86*1),$AU86*BB86*1,"")</f>
        <v/>
      </c>
      <c r="BP86" s="1425" t="str">
        <f aca="false">IF(ISNUMBER($AV86*BC86*1),$AV86*BC86*1,"")</f>
        <v/>
      </c>
      <c r="BQ86" s="1425" t="str">
        <f aca="false">IF(ISNUMBER($AU86*BD86*1),$AU86*BD86*1,"")</f>
        <v/>
      </c>
      <c r="BR86" s="1425" t="str">
        <f aca="false">IF(ISNUMBER($AV86*BE86*1),$AV86*BE86*1,"")</f>
        <v/>
      </c>
      <c r="BS86" s="1411" t="str">
        <f aca="false">IF(ISNUMBER($AU86*BF86),$AU86*BF86,"")</f>
        <v/>
      </c>
      <c r="BT86" s="1411" t="str">
        <f aca="false">IF(ISNUMBER($AV86*BG86),$AV86*BG86,"")</f>
        <v/>
      </c>
      <c r="BU86" s="1411"/>
      <c r="BV86" s="1411"/>
      <c r="BW86" s="1411"/>
      <c r="BX86" s="1411"/>
      <c r="BZ86" s="1372"/>
      <c r="CA86" s="1372"/>
      <c r="CB86" s="1426" t="str">
        <f aca="false">IF(ISNUMBER($AW86*BB86),$AW86*BB86,"")</f>
        <v/>
      </c>
      <c r="CC86" s="1426" t="str">
        <f aca="false">IF(ISNUMBER($AX86*BC86),$AX86*BC86,"")</f>
        <v/>
      </c>
      <c r="CD86" s="1426" t="str">
        <f aca="false">IF(ISNUMBER($AW86*BD86),$AW86*BD86,"")</f>
        <v/>
      </c>
      <c r="CE86" s="1426" t="str">
        <f aca="false">IF(ISNUMBER($AX86*BE86),$AX86*BE86,"")</f>
        <v/>
      </c>
      <c r="CF86" s="1372" t="str">
        <f aca="false">IF(ISNUMBER($AW86*BF86),$AW86*BF86,"")</f>
        <v/>
      </c>
      <c r="CG86" s="1372" t="str">
        <f aca="false">IF(ISNUMBER($AX86*BG86),$AX86*BG86,"")</f>
        <v/>
      </c>
      <c r="CH86" s="1438"/>
      <c r="CI86" s="1438"/>
      <c r="CJ86" s="1438"/>
      <c r="CK86" s="1438"/>
      <c r="CU86" s="1411"/>
      <c r="CV86" s="1411"/>
      <c r="CW86" s="1425"/>
      <c r="CX86" s="1425"/>
      <c r="CY86" s="1425"/>
      <c r="CZ86" s="1425"/>
      <c r="DA86" s="1411"/>
      <c r="DB86" s="1411"/>
      <c r="DC86" s="1411"/>
      <c r="DD86" s="1411"/>
      <c r="DE86" s="1411"/>
      <c r="DF86" s="1411"/>
      <c r="DH86" s="1432"/>
      <c r="DI86" s="1432"/>
      <c r="DJ86" s="1437"/>
      <c r="DK86" s="1437"/>
      <c r="DL86" s="1437"/>
      <c r="DM86" s="1437"/>
      <c r="DN86" s="1432"/>
      <c r="DO86" s="1432"/>
      <c r="DP86" s="1432"/>
      <c r="DQ86" s="1432"/>
      <c r="DR86" s="1432"/>
      <c r="DS86" s="1432"/>
      <c r="DT86" s="1316"/>
      <c r="DU86" s="1433"/>
      <c r="DV86" s="1433"/>
      <c r="DW86" s="1433"/>
      <c r="DX86" s="1433"/>
      <c r="DY86" s="1433"/>
      <c r="DZ86" s="1433"/>
      <c r="EA86" s="1433"/>
      <c r="EB86" s="1433"/>
    </row>
    <row r="87" customFormat="false" ht="14.25" hidden="false" customHeight="false" outlineLevel="0" collapsed="false">
      <c r="A87" s="2" t="n">
        <f aca="false">'V_DATOS PAC_SGA'!CC82</f>
        <v>0</v>
      </c>
      <c r="B87" s="2" t="n">
        <f aca="false">IF(OR(A87=0,A87=""),0,IF(I87="IV",CONCATENATE('V_DATOS PAC_SGA'!CC82,"4")+0,CONCATENATE('V_DATOS PAC_SGA'!CC82,"0")+0))</f>
        <v>0</v>
      </c>
      <c r="C87" s="2" t="n">
        <f aca="false">'V_DATOS PAC_SGA'!CD82</f>
        <v>0</v>
      </c>
      <c r="D87" s="1409" t="n">
        <f aca="false">'V_DATOS PAC_SGA'!Y82</f>
        <v>0</v>
      </c>
      <c r="E87" s="1410" t="str">
        <f aca="false">IF('V_DATOS PAC_SGA'!AV82="","Regadio",'V_DATOS PAC_SGA'!AV82)</f>
        <v>Regadio</v>
      </c>
      <c r="F87" s="1411" t="n">
        <f aca="false">'V_DATOS PAC_SGA'!BK82</f>
        <v>0</v>
      </c>
      <c r="G87" s="1412" t="n">
        <f aca="false">'V_DATOS PAC_SGA'!AN82</f>
        <v>0</v>
      </c>
      <c r="H87" s="1413" t="str">
        <f aca="false">IF(B87&gt;0,VLOOKUP(B87,'O_MN, PE_UTA_UGM 2024'!E$3:O$419,10),"")</f>
        <v/>
      </c>
      <c r="I87" s="1359" t="str">
        <f aca="false">IF('V_DATOS PAC_SGA'!BV82="IV",'V_DATOS PAC_SGA'!BV82,"")</f>
        <v/>
      </c>
      <c r="J87" s="2" t="str">
        <f aca="false">IF($A87&gt;0,IF(AND(J$4=$G87,J$6=$F87),$D87*J$5,""),"")</f>
        <v/>
      </c>
      <c r="K87" s="2" t="str">
        <f aca="false">IF($A87&gt;0,IF(AND(K$4=$G87,K$6=$F87),$D87*K$5,""),"")</f>
        <v/>
      </c>
      <c r="L87" s="2" t="str">
        <f aca="false">IF($A87&gt;0,IF(AND(L$4=$G87,L$6=$F87),$D87*L$5,""),"")</f>
        <v/>
      </c>
      <c r="M87" s="2" t="str">
        <f aca="false">IF($A87&gt;0,IF(AND(M$4=$G87,M$6=$F87),$D87*M$5,""),"")</f>
        <v/>
      </c>
      <c r="N87" s="1506" t="n">
        <f aca="false">VLOOKUP(B87,'O_MN, PE_UTA_UGM 2024'!$E$2:$K$419,IF(G87&gt;1,6,7))</f>
        <v>0</v>
      </c>
      <c r="O87" s="1434" t="str">
        <f aca="false">IF($H87=O$4,$D87*$N87,"")</f>
        <v/>
      </c>
      <c r="P87" s="1435" t="str">
        <f aca="false">IF($H87=P$4,$D87*$N87,"")</f>
        <v/>
      </c>
      <c r="Q87" s="1435" t="str">
        <f aca="false">IF($H87=Q$4,$D87*$N87,"")</f>
        <v/>
      </c>
      <c r="R87" s="1435" t="str">
        <f aca="false">IF($H87=R$4,$D87*$N87,"")</f>
        <v/>
      </c>
      <c r="S87" s="1435" t="str">
        <f aca="false">IF($H87=S$4,$D87*$N87,"")</f>
        <v/>
      </c>
      <c r="T87" s="1435" t="str">
        <f aca="false">IF($H87=T$4,$D87*$N87,"")</f>
        <v/>
      </c>
      <c r="U87" s="1436" t="str">
        <f aca="false">IF($H87=U$4,$D87*$N87,"")</f>
        <v/>
      </c>
      <c r="V87" s="1418"/>
      <c r="W87" s="1419"/>
      <c r="X87" s="1419"/>
      <c r="Y87" s="1419"/>
      <c r="Z87" s="1419"/>
      <c r="AA87" s="1419"/>
      <c r="AB87" s="1420"/>
      <c r="AC87" s="1319"/>
      <c r="AD87" s="2" t="str">
        <f aca="false">IF(AND(AD$4=$G87,AD$6=$F87),$B87,"")</f>
        <v/>
      </c>
      <c r="AE87" s="2" t="str">
        <f aca="false">IF(AND(AE$4=$G87,AE$6=$F87),$B87,"")</f>
        <v/>
      </c>
      <c r="AF87" s="2" t="str">
        <f aca="false">IF(AND(AF$4=$G87,AF$6=$F87),$B87,"")</f>
        <v/>
      </c>
      <c r="AG87" s="2" t="str">
        <f aca="false">IF(AND(AG$4=$G87,AG$6=$F87),$B87,"")</f>
        <v/>
      </c>
      <c r="AI87" s="366"/>
      <c r="AL87" s="367"/>
      <c r="AO87" s="367"/>
      <c r="AP87" s="2" t="str">
        <f aca="false">IF(AT87&gt;0,RANK(AT87,AT$7:AT$423),"")</f>
        <v/>
      </c>
      <c r="AQ87" s="2" t="n">
        <f aca="false">'O_MN, PE_UTA_UGM 2024'!C83</f>
        <v>143</v>
      </c>
      <c r="AR87" s="1421" t="n">
        <v>1390</v>
      </c>
      <c r="AS87" s="2" t="str">
        <f aca="false">IF(AY87&lt;&gt;"",AY87,"")</f>
        <v/>
      </c>
      <c r="AT87" s="1422" t="n">
        <f aca="false">IF(ISNUMBER($AR87),SUMIF(B$7:B$505,AR87,D$7:D$505),"")</f>
        <v>0</v>
      </c>
      <c r="AU87" s="1411" t="n">
        <f aca="false">IF(ISNUMBER($AR87),SUMIF(AD$7:AD$503,$AR87,J$7:J$503),"")</f>
        <v>0</v>
      </c>
      <c r="AV87" s="1411" t="n">
        <f aca="false">IF(ISNUMBER($AR87),SUMIF(AF$7:AF$503,$AR87,L$7:L$503),"")</f>
        <v>0</v>
      </c>
      <c r="AW87" s="1423" t="n">
        <f aca="false">IF(ISNUMBER($AR87),SUMIF(AE$7:AE$503,$AR87,K$7:K$503),"")</f>
        <v>0</v>
      </c>
      <c r="AX87" s="1423" t="n">
        <f aca="false">IF(ISNUMBER($AR87),SUMIF(AG$7:AG$503,$AR87,M$7:M$503),"")</f>
        <v>0</v>
      </c>
      <c r="AY87" s="2" t="str">
        <f aca="false">IF($AT87&gt;0,VLOOKUP($AR87,'O_MN, PE_UTA_UGM 2024'!E83:O499,2),"")</f>
        <v/>
      </c>
      <c r="AZ87" s="1507"/>
      <c r="BA87" s="1507"/>
      <c r="BB87" s="1507" t="str">
        <f aca="false">IF($AT87&gt;0,VLOOKUP($AR87,'O_MN, PE_UTA_UGM 2024'!$E$3:$O$419,BB$6),"")</f>
        <v/>
      </c>
      <c r="BC87" s="1507" t="str">
        <f aca="false">IF($AT87&gt;0,VLOOKUP($AR87,'O_MN, PE_UTA_UGM 2024'!$E$3:$O$419,BC$6),"")</f>
        <v/>
      </c>
      <c r="BD87" s="1507" t="str">
        <f aca="false">IF($AT87&gt;0,VLOOKUP($AR87,'O_MN, PE_UTA_UGM 2024'!$E$3:$O$419,BD$6),"")</f>
        <v/>
      </c>
      <c r="BE87" s="1507" t="str">
        <f aca="false">IF($AT87&gt;0,VLOOKUP($AR87,'O_MN, PE_UTA_UGM 2024'!$E$3:$O$419,BE$6),"")</f>
        <v/>
      </c>
      <c r="BF87" s="1507" t="str">
        <f aca="false">IF($AT87&gt;0,VLOOKUP($AR87,'O_MN, PE_UTA_UGM 2024'!$E$3:$O$419,BF$6),"")</f>
        <v/>
      </c>
      <c r="BG87" s="1507" t="str">
        <f aca="false">IF($AT87&gt;0,VLOOKUP($AR87,'O_MN, PE_UTA_UGM 2024'!$E$3:$O$419,BG$6),"")</f>
        <v/>
      </c>
      <c r="BH87" s="1504"/>
      <c r="BI87" s="1504"/>
      <c r="BJ87" s="1504"/>
      <c r="BK87" s="1504"/>
      <c r="BM87" s="1411"/>
      <c r="BN87" s="1411"/>
      <c r="BO87" s="1425" t="str">
        <f aca="false">IF(ISNUMBER($AU87*BB87*1),$AU87*BB87*1,"")</f>
        <v/>
      </c>
      <c r="BP87" s="1425" t="str">
        <f aca="false">IF(ISNUMBER($AV87*BC87*1),$AV87*BC87*1,"")</f>
        <v/>
      </c>
      <c r="BQ87" s="1425" t="str">
        <f aca="false">IF(ISNUMBER($AU87*BD87*1),$AU87*BD87*1,"")</f>
        <v/>
      </c>
      <c r="BR87" s="1425" t="str">
        <f aca="false">IF(ISNUMBER($AV87*BE87*1),$AV87*BE87*1,"")</f>
        <v/>
      </c>
      <c r="BS87" s="1411" t="str">
        <f aca="false">IF(ISNUMBER($AU87*BF87),$AU87*BF87,"")</f>
        <v/>
      </c>
      <c r="BT87" s="1411" t="str">
        <f aca="false">IF(ISNUMBER($AV87*BG87),$AV87*BG87,"")</f>
        <v/>
      </c>
      <c r="BU87" s="1411"/>
      <c r="BV87" s="1411"/>
      <c r="BW87" s="1411"/>
      <c r="BX87" s="1411"/>
      <c r="BZ87" s="1372"/>
      <c r="CA87" s="1372"/>
      <c r="CB87" s="1426" t="str">
        <f aca="false">IF(ISNUMBER($AW87*BB87),$AW87*BB87,"")</f>
        <v/>
      </c>
      <c r="CC87" s="1426" t="str">
        <f aca="false">IF(ISNUMBER($AX87*BC87),$AX87*BC87,"")</f>
        <v/>
      </c>
      <c r="CD87" s="1426" t="str">
        <f aca="false">IF(ISNUMBER($AW87*BD87),$AW87*BD87,"")</f>
        <v/>
      </c>
      <c r="CE87" s="1426" t="str">
        <f aca="false">IF(ISNUMBER($AX87*BE87),$AX87*BE87,"")</f>
        <v/>
      </c>
      <c r="CF87" s="1372" t="str">
        <f aca="false">IF(ISNUMBER($AW87*BF87),$AW87*BF87,"")</f>
        <v/>
      </c>
      <c r="CG87" s="1372" t="str">
        <f aca="false">IF(ISNUMBER($AX87*BG87),$AX87*BG87,"")</f>
        <v/>
      </c>
      <c r="CH87" s="1438"/>
      <c r="CI87" s="1438"/>
      <c r="CJ87" s="1438"/>
      <c r="CK87" s="1438"/>
      <c r="CU87" s="1411"/>
      <c r="CV87" s="1411"/>
      <c r="CW87" s="1425"/>
      <c r="CX87" s="1425"/>
      <c r="CY87" s="1425"/>
      <c r="CZ87" s="1425"/>
      <c r="DA87" s="1411"/>
      <c r="DB87" s="1411"/>
      <c r="DC87" s="1411"/>
      <c r="DD87" s="1411"/>
      <c r="DE87" s="1411"/>
      <c r="DF87" s="1411"/>
      <c r="DH87" s="1432"/>
      <c r="DI87" s="1432"/>
      <c r="DJ87" s="1437"/>
      <c r="DK87" s="1437"/>
      <c r="DL87" s="1437"/>
      <c r="DM87" s="1437"/>
      <c r="DN87" s="1432"/>
      <c r="DO87" s="1432"/>
      <c r="DP87" s="1432"/>
      <c r="DQ87" s="1432"/>
      <c r="DR87" s="1432"/>
      <c r="DS87" s="1432"/>
      <c r="DT87" s="1316"/>
      <c r="DU87" s="1433"/>
      <c r="DV87" s="1433"/>
      <c r="DW87" s="1433"/>
      <c r="DX87" s="1433"/>
      <c r="DY87" s="1433"/>
      <c r="DZ87" s="1433"/>
      <c r="EA87" s="1433"/>
      <c r="EB87" s="1433"/>
    </row>
    <row r="88" customFormat="false" ht="14.25" hidden="false" customHeight="false" outlineLevel="0" collapsed="false">
      <c r="A88" s="2" t="n">
        <f aca="false">'V_DATOS PAC_SGA'!CC83</f>
        <v>0</v>
      </c>
      <c r="B88" s="2" t="n">
        <f aca="false">IF(OR(A88=0,A88=""),0,IF(I88="IV",CONCATENATE('V_DATOS PAC_SGA'!CC83,"4")+0,CONCATENATE('V_DATOS PAC_SGA'!CC83,"0")+0))</f>
        <v>0</v>
      </c>
      <c r="C88" s="2" t="n">
        <f aca="false">'V_DATOS PAC_SGA'!CD83</f>
        <v>0</v>
      </c>
      <c r="D88" s="1409" t="n">
        <f aca="false">'V_DATOS PAC_SGA'!Y83</f>
        <v>0</v>
      </c>
      <c r="E88" s="1410" t="str">
        <f aca="false">IF('V_DATOS PAC_SGA'!AV83="","Regadio",'V_DATOS PAC_SGA'!AV83)</f>
        <v>Regadio</v>
      </c>
      <c r="F88" s="1411" t="n">
        <f aca="false">'V_DATOS PAC_SGA'!BK83</f>
        <v>0</v>
      </c>
      <c r="G88" s="1412" t="n">
        <f aca="false">'V_DATOS PAC_SGA'!AN83</f>
        <v>0</v>
      </c>
      <c r="H88" s="1413" t="str">
        <f aca="false">IF(B88&gt;0,VLOOKUP(B88,'O_MN, PE_UTA_UGM 2024'!E$3:O$419,10),"")</f>
        <v/>
      </c>
      <c r="I88" s="1359" t="str">
        <f aca="false">IF('V_DATOS PAC_SGA'!BV83="IV",'V_DATOS PAC_SGA'!BV83,"")</f>
        <v/>
      </c>
      <c r="J88" s="2" t="str">
        <f aca="false">IF($A88&gt;0,IF(AND(J$4=$G88,J$6=$F88),$D88*J$5,""),"")</f>
        <v/>
      </c>
      <c r="K88" s="2" t="str">
        <f aca="false">IF($A88&gt;0,IF(AND(K$4=$G88,K$6=$F88),$D88*K$5,""),"")</f>
        <v/>
      </c>
      <c r="L88" s="2" t="str">
        <f aca="false">IF($A88&gt;0,IF(AND(L$4=$G88,L$6=$F88),$D88*L$5,""),"")</f>
        <v/>
      </c>
      <c r="M88" s="2" t="str">
        <f aca="false">IF($A88&gt;0,IF(AND(M$4=$G88,M$6=$F88),$D88*M$5,""),"")</f>
        <v/>
      </c>
      <c r="N88" s="1506" t="n">
        <f aca="false">VLOOKUP(B88,'O_MN, PE_UTA_UGM 2024'!$E$2:$K$419,IF(G88&gt;1,6,7))</f>
        <v>0</v>
      </c>
      <c r="O88" s="1434" t="str">
        <f aca="false">IF($H88=O$4,$D88*$N88,"")</f>
        <v/>
      </c>
      <c r="P88" s="1435" t="str">
        <f aca="false">IF($H88=P$4,$D88*$N88,"")</f>
        <v/>
      </c>
      <c r="Q88" s="1435" t="str">
        <f aca="false">IF($H88=Q$4,$D88*$N88,"")</f>
        <v/>
      </c>
      <c r="R88" s="1435" t="str">
        <f aca="false">IF($H88=R$4,$D88*$N88,"")</f>
        <v/>
      </c>
      <c r="S88" s="1435" t="str">
        <f aca="false">IF($H88=S$4,$D88*$N88,"")</f>
        <v/>
      </c>
      <c r="T88" s="1435" t="str">
        <f aca="false">IF($H88=T$4,$D88*$N88,"")</f>
        <v/>
      </c>
      <c r="U88" s="1436" t="str">
        <f aca="false">IF($H88=U$4,$D88*$N88,"")</f>
        <v/>
      </c>
      <c r="V88" s="1418"/>
      <c r="W88" s="1419"/>
      <c r="X88" s="1419"/>
      <c r="Y88" s="1419"/>
      <c r="Z88" s="1419"/>
      <c r="AA88" s="1419"/>
      <c r="AB88" s="1420"/>
      <c r="AC88" s="1319"/>
      <c r="AD88" s="2" t="str">
        <f aca="false">IF(AND(AD$4=$G88,AD$6=$F88),$B88,"")</f>
        <v/>
      </c>
      <c r="AE88" s="2" t="str">
        <f aca="false">IF(AND(AE$4=$G88,AE$6=$F88),$B88,"")</f>
        <v/>
      </c>
      <c r="AF88" s="2" t="str">
        <f aca="false">IF(AND(AF$4=$G88,AF$6=$F88),$B88,"")</f>
        <v/>
      </c>
      <c r="AG88" s="2" t="str">
        <f aca="false">IF(AND(AG$4=$G88,AG$6=$F88),$B88,"")</f>
        <v/>
      </c>
      <c r="AI88" s="366"/>
      <c r="AL88" s="367"/>
      <c r="AO88" s="367"/>
      <c r="AP88" s="2" t="str">
        <f aca="false">IF(AT88&gt;0,RANK(AT88,AT$7:AT$423),"")</f>
        <v/>
      </c>
      <c r="AQ88" s="2" t="n">
        <f aca="false">'O_MN, PE_UTA_UGM 2024'!C84</f>
        <v>147</v>
      </c>
      <c r="AR88" s="1421" t="n">
        <v>1400</v>
      </c>
      <c r="AS88" s="2" t="str">
        <f aca="false">IF(AY88&lt;&gt;"",AY88,"")</f>
        <v/>
      </c>
      <c r="AT88" s="1422" t="n">
        <f aca="false">IF(ISNUMBER($AR88),SUMIF(B$7:B$505,AR88,D$7:D$505),"")</f>
        <v>0</v>
      </c>
      <c r="AU88" s="1411" t="n">
        <f aca="false">IF(ISNUMBER($AR88),SUMIF(AD$7:AD$503,$AR88,J$7:J$503),"")</f>
        <v>0</v>
      </c>
      <c r="AV88" s="1411" t="n">
        <f aca="false">IF(ISNUMBER($AR88),SUMIF(AF$7:AF$503,$AR88,L$7:L$503),"")</f>
        <v>0</v>
      </c>
      <c r="AW88" s="1423" t="n">
        <f aca="false">IF(ISNUMBER($AR88),SUMIF(AE$7:AE$503,$AR88,K$7:K$503),"")</f>
        <v>0</v>
      </c>
      <c r="AX88" s="1423" t="n">
        <f aca="false">IF(ISNUMBER($AR88),SUMIF(AG$7:AG$503,$AR88,M$7:M$503),"")</f>
        <v>0</v>
      </c>
      <c r="AY88" s="2" t="str">
        <f aca="false">IF($AT88&gt;0,VLOOKUP($AR88,'O_MN, PE_UTA_UGM 2024'!E84:O500,2),"")</f>
        <v/>
      </c>
      <c r="AZ88" s="1507"/>
      <c r="BA88" s="1507"/>
      <c r="BB88" s="1507" t="str">
        <f aca="false">IF($AT88&gt;0,VLOOKUP($AR88,'O_MN, PE_UTA_UGM 2024'!$E$3:$O$419,BB$6),"")</f>
        <v/>
      </c>
      <c r="BC88" s="1507" t="str">
        <f aca="false">IF($AT88&gt;0,VLOOKUP($AR88,'O_MN, PE_UTA_UGM 2024'!$E$3:$O$419,BC$6),"")</f>
        <v/>
      </c>
      <c r="BD88" s="1507" t="str">
        <f aca="false">IF($AT88&gt;0,VLOOKUP($AR88,'O_MN, PE_UTA_UGM 2024'!$E$3:$O$419,BD$6),"")</f>
        <v/>
      </c>
      <c r="BE88" s="1507" t="str">
        <f aca="false">IF($AT88&gt;0,VLOOKUP($AR88,'O_MN, PE_UTA_UGM 2024'!$E$3:$O$419,BE$6),"")</f>
        <v/>
      </c>
      <c r="BF88" s="1507" t="str">
        <f aca="false">IF($AT88&gt;0,VLOOKUP($AR88,'O_MN, PE_UTA_UGM 2024'!$E$3:$O$419,BF$6),"")</f>
        <v/>
      </c>
      <c r="BG88" s="1507" t="str">
        <f aca="false">IF($AT88&gt;0,VLOOKUP($AR88,'O_MN, PE_UTA_UGM 2024'!$E$3:$O$419,BG$6),"")</f>
        <v/>
      </c>
      <c r="BH88" s="1504"/>
      <c r="BI88" s="1504"/>
      <c r="BJ88" s="1504"/>
      <c r="BK88" s="1504"/>
      <c r="BM88" s="1411"/>
      <c r="BN88" s="1411"/>
      <c r="BO88" s="1425" t="str">
        <f aca="false">IF(ISNUMBER($AU88*BB88*1),$AU88*BB88*1,"")</f>
        <v/>
      </c>
      <c r="BP88" s="1425" t="str">
        <f aca="false">IF(ISNUMBER($AV88*BC88*1),$AV88*BC88*1,"")</f>
        <v/>
      </c>
      <c r="BQ88" s="1425" t="str">
        <f aca="false">IF(ISNUMBER($AU88*BD88*1),$AU88*BD88*1,"")</f>
        <v/>
      </c>
      <c r="BR88" s="1425" t="str">
        <f aca="false">IF(ISNUMBER($AV88*BE88*1),$AV88*BE88*1,"")</f>
        <v/>
      </c>
      <c r="BS88" s="1411" t="str">
        <f aca="false">IF(ISNUMBER($AU88*BF88),$AU88*BF88,"")</f>
        <v/>
      </c>
      <c r="BT88" s="1411" t="str">
        <f aca="false">IF(ISNUMBER($AV88*BG88),$AV88*BG88,"")</f>
        <v/>
      </c>
      <c r="BU88" s="1411"/>
      <c r="BV88" s="1411"/>
      <c r="BW88" s="1411"/>
      <c r="BX88" s="1411"/>
      <c r="BZ88" s="1372"/>
      <c r="CA88" s="1372"/>
      <c r="CB88" s="1426" t="str">
        <f aca="false">IF(ISNUMBER($AW88*BB88),$AW88*BB88,"")</f>
        <v/>
      </c>
      <c r="CC88" s="1426" t="str">
        <f aca="false">IF(ISNUMBER($AX88*BC88),$AX88*BC88,"")</f>
        <v/>
      </c>
      <c r="CD88" s="1426" t="str">
        <f aca="false">IF(ISNUMBER($AW88*BD88),$AW88*BD88,"")</f>
        <v/>
      </c>
      <c r="CE88" s="1426" t="str">
        <f aca="false">IF(ISNUMBER($AX88*BE88),$AX88*BE88,"")</f>
        <v/>
      </c>
      <c r="CF88" s="1372" t="str">
        <f aca="false">IF(ISNUMBER($AW88*BF88),$AW88*BF88,"")</f>
        <v/>
      </c>
      <c r="CG88" s="1372" t="str">
        <f aca="false">IF(ISNUMBER($AX88*BG88),$AX88*BG88,"")</f>
        <v/>
      </c>
      <c r="CH88" s="1438"/>
      <c r="CI88" s="1438"/>
      <c r="CJ88" s="1438"/>
      <c r="CK88" s="1438"/>
      <c r="CU88" s="1411"/>
      <c r="CV88" s="1411"/>
      <c r="CW88" s="1425"/>
      <c r="CX88" s="1425"/>
      <c r="CY88" s="1425"/>
      <c r="CZ88" s="1425"/>
      <c r="DA88" s="1411"/>
      <c r="DB88" s="1411"/>
      <c r="DC88" s="1411"/>
      <c r="DD88" s="1411"/>
      <c r="DE88" s="1411"/>
      <c r="DF88" s="1411"/>
      <c r="DH88" s="1432"/>
      <c r="DI88" s="1432"/>
      <c r="DJ88" s="1437"/>
      <c r="DK88" s="1437"/>
      <c r="DL88" s="1437"/>
      <c r="DM88" s="1437"/>
      <c r="DN88" s="1432"/>
      <c r="DO88" s="1432"/>
      <c r="DP88" s="1432"/>
      <c r="DQ88" s="1432"/>
      <c r="DR88" s="1432"/>
      <c r="DS88" s="1432"/>
      <c r="DT88" s="1316"/>
      <c r="DU88" s="1433"/>
      <c r="DV88" s="1433"/>
      <c r="DW88" s="1433"/>
      <c r="DX88" s="1433"/>
      <c r="DY88" s="1433"/>
      <c r="DZ88" s="1433"/>
      <c r="EA88" s="1433"/>
      <c r="EB88" s="1433"/>
    </row>
    <row r="89" customFormat="false" ht="14.25" hidden="false" customHeight="false" outlineLevel="0" collapsed="false">
      <c r="A89" s="2" t="n">
        <f aca="false">'V_DATOS PAC_SGA'!CC84</f>
        <v>0</v>
      </c>
      <c r="B89" s="2" t="n">
        <f aca="false">IF(OR(A89=0,A89=""),0,IF(I89="IV",CONCATENATE('V_DATOS PAC_SGA'!CC84,"4")+0,CONCATENATE('V_DATOS PAC_SGA'!CC84,"0")+0))</f>
        <v>0</v>
      </c>
      <c r="C89" s="2" t="n">
        <f aca="false">'V_DATOS PAC_SGA'!CD84</f>
        <v>0</v>
      </c>
      <c r="D89" s="1409" t="n">
        <f aca="false">'V_DATOS PAC_SGA'!Y84</f>
        <v>0</v>
      </c>
      <c r="E89" s="1410" t="str">
        <f aca="false">IF('V_DATOS PAC_SGA'!AV84="","Regadio",'V_DATOS PAC_SGA'!AV84)</f>
        <v>Regadio</v>
      </c>
      <c r="F89" s="1411" t="n">
        <f aca="false">'V_DATOS PAC_SGA'!BK84</f>
        <v>0</v>
      </c>
      <c r="G89" s="1412" t="n">
        <f aca="false">'V_DATOS PAC_SGA'!AN84</f>
        <v>0</v>
      </c>
      <c r="H89" s="1413" t="str">
        <f aca="false">IF(B89&gt;0,VLOOKUP(B89,'O_MN, PE_UTA_UGM 2024'!E$3:O$419,10),"")</f>
        <v/>
      </c>
      <c r="I89" s="1359" t="str">
        <f aca="false">IF('V_DATOS PAC_SGA'!BV84="IV",'V_DATOS PAC_SGA'!BV84,"")</f>
        <v/>
      </c>
      <c r="J89" s="2" t="str">
        <f aca="false">IF($A89&gt;0,IF(AND(J$4=$G89,J$6=$F89),$D89*J$5,""),"")</f>
        <v/>
      </c>
      <c r="K89" s="2" t="str">
        <f aca="false">IF($A89&gt;0,IF(AND(K$4=$G89,K$6=$F89),$D89*K$5,""),"")</f>
        <v/>
      </c>
      <c r="L89" s="2" t="str">
        <f aca="false">IF($A89&gt;0,IF(AND(L$4=$G89,L$6=$F89),$D89*L$5,""),"")</f>
        <v/>
      </c>
      <c r="M89" s="2" t="str">
        <f aca="false">IF($A89&gt;0,IF(AND(M$4=$G89,M$6=$F89),$D89*M$5,""),"")</f>
        <v/>
      </c>
      <c r="N89" s="1506" t="n">
        <f aca="false">VLOOKUP(B89,'O_MN, PE_UTA_UGM 2024'!$E$2:$K$419,IF(G89&gt;1,6,7))</f>
        <v>0</v>
      </c>
      <c r="O89" s="1434" t="str">
        <f aca="false">IF($H89=O$4,$D89*$N89,"")</f>
        <v/>
      </c>
      <c r="P89" s="1435" t="str">
        <f aca="false">IF($H89=P$4,$D89*$N89,"")</f>
        <v/>
      </c>
      <c r="Q89" s="1435" t="str">
        <f aca="false">IF($H89=Q$4,$D89*$N89,"")</f>
        <v/>
      </c>
      <c r="R89" s="1435" t="str">
        <f aca="false">IF($H89=R$4,$D89*$N89,"")</f>
        <v/>
      </c>
      <c r="S89" s="1435" t="str">
        <f aca="false">IF($H89=S$4,$D89*$N89,"")</f>
        <v/>
      </c>
      <c r="T89" s="1435" t="str">
        <f aca="false">IF($H89=T$4,$D89*$N89,"")</f>
        <v/>
      </c>
      <c r="U89" s="1436" t="str">
        <f aca="false">IF($H89=U$4,$D89*$N89,"")</f>
        <v/>
      </c>
      <c r="V89" s="1418"/>
      <c r="W89" s="1419"/>
      <c r="X89" s="1419"/>
      <c r="Y89" s="1419"/>
      <c r="Z89" s="1419"/>
      <c r="AA89" s="1419"/>
      <c r="AB89" s="1420"/>
      <c r="AC89" s="1319"/>
      <c r="AD89" s="2" t="str">
        <f aca="false">IF(AND(AD$4=$G89,AD$6=$F89),$B89,"")</f>
        <v/>
      </c>
      <c r="AE89" s="2" t="str">
        <f aca="false">IF(AND(AE$4=$G89,AE$6=$F89),$B89,"")</f>
        <v/>
      </c>
      <c r="AF89" s="2" t="str">
        <f aca="false">IF(AND(AF$4=$G89,AF$6=$F89),$B89,"")</f>
        <v/>
      </c>
      <c r="AG89" s="2" t="str">
        <f aca="false">IF(AND(AG$4=$G89,AG$6=$F89),$B89,"")</f>
        <v/>
      </c>
      <c r="AI89" s="366"/>
      <c r="AL89" s="367"/>
      <c r="AO89" s="367"/>
      <c r="AP89" s="2" t="str">
        <f aca="false">IF(AT89&gt;0,RANK(AT89,AT$7:AT$423),"")</f>
        <v/>
      </c>
      <c r="AQ89" s="2" t="n">
        <f aca="false">'O_MN, PE_UTA_UGM 2024'!C85</f>
        <v>151</v>
      </c>
      <c r="AR89" s="1421" t="n">
        <v>1410</v>
      </c>
      <c r="AS89" s="2" t="str">
        <f aca="false">IF(AY89&lt;&gt;"",AY89,"")</f>
        <v/>
      </c>
      <c r="AT89" s="1422" t="n">
        <f aca="false">IF(ISNUMBER($AR89),SUMIF(B$7:B$505,AR89,D$7:D$505),"")</f>
        <v>0</v>
      </c>
      <c r="AU89" s="1411" t="n">
        <f aca="false">IF(ISNUMBER($AR89),SUMIF(AD$7:AD$503,$AR89,J$7:J$503),"")</f>
        <v>0</v>
      </c>
      <c r="AV89" s="1411" t="n">
        <f aca="false">IF(ISNUMBER($AR89),SUMIF(AF$7:AF$503,$AR89,L$7:L$503),"")</f>
        <v>0</v>
      </c>
      <c r="AW89" s="1423" t="n">
        <f aca="false">IF(ISNUMBER($AR89),SUMIF(AE$7:AE$503,$AR89,K$7:K$503),"")</f>
        <v>0</v>
      </c>
      <c r="AX89" s="1423" t="n">
        <f aca="false">IF(ISNUMBER($AR89),SUMIF(AG$7:AG$503,$AR89,M$7:M$503),"")</f>
        <v>0</v>
      </c>
      <c r="AY89" s="2" t="str">
        <f aca="false">IF($AT89&gt;0,VLOOKUP($AR89,'O_MN, PE_UTA_UGM 2024'!E85:O501,2),"")</f>
        <v/>
      </c>
      <c r="AZ89" s="1507"/>
      <c r="BA89" s="1507"/>
      <c r="BB89" s="1507" t="str">
        <f aca="false">IF($AT89&gt;0,VLOOKUP($AR89,'O_MN, PE_UTA_UGM 2024'!$E$3:$O$419,BB$6),"")</f>
        <v/>
      </c>
      <c r="BC89" s="1507" t="str">
        <f aca="false">IF($AT89&gt;0,VLOOKUP($AR89,'O_MN, PE_UTA_UGM 2024'!$E$3:$O$419,BC$6),"")</f>
        <v/>
      </c>
      <c r="BD89" s="1507" t="str">
        <f aca="false">IF($AT89&gt;0,VLOOKUP($AR89,'O_MN, PE_UTA_UGM 2024'!$E$3:$O$419,BD$6),"")</f>
        <v/>
      </c>
      <c r="BE89" s="1507" t="str">
        <f aca="false">IF($AT89&gt;0,VLOOKUP($AR89,'O_MN, PE_UTA_UGM 2024'!$E$3:$O$419,BE$6),"")</f>
        <v/>
      </c>
      <c r="BF89" s="1507" t="str">
        <f aca="false">IF($AT89&gt;0,VLOOKUP($AR89,'O_MN, PE_UTA_UGM 2024'!$E$3:$O$419,BF$6),"")</f>
        <v/>
      </c>
      <c r="BG89" s="1507" t="str">
        <f aca="false">IF($AT89&gt;0,VLOOKUP($AR89,'O_MN, PE_UTA_UGM 2024'!$E$3:$O$419,BG$6),"")</f>
        <v/>
      </c>
      <c r="BH89" s="1504"/>
      <c r="BI89" s="1504"/>
      <c r="BJ89" s="1504"/>
      <c r="BK89" s="1504"/>
      <c r="BM89" s="1411"/>
      <c r="BN89" s="1411"/>
      <c r="BO89" s="1425" t="str">
        <f aca="false">IF(ISNUMBER($AU89*BB89*1),$AU89*BB89*1,"")</f>
        <v/>
      </c>
      <c r="BP89" s="1425" t="str">
        <f aca="false">IF(ISNUMBER($AV89*BC89*1),$AV89*BC89*1,"")</f>
        <v/>
      </c>
      <c r="BQ89" s="1425" t="str">
        <f aca="false">IF(ISNUMBER($AU89*BD89*1),$AU89*BD89*1,"")</f>
        <v/>
      </c>
      <c r="BR89" s="1425" t="str">
        <f aca="false">IF(ISNUMBER($AV89*BE89*1),$AV89*BE89*1,"")</f>
        <v/>
      </c>
      <c r="BS89" s="1411" t="str">
        <f aca="false">IF(ISNUMBER($AU89*BF89),$AU89*BF89,"")</f>
        <v/>
      </c>
      <c r="BT89" s="1411" t="str">
        <f aca="false">IF(ISNUMBER($AV89*BG89),$AV89*BG89,"")</f>
        <v/>
      </c>
      <c r="BU89" s="1411"/>
      <c r="BV89" s="1411"/>
      <c r="BW89" s="1411"/>
      <c r="BX89" s="1411"/>
      <c r="BZ89" s="1372"/>
      <c r="CA89" s="1372"/>
      <c r="CB89" s="1426" t="str">
        <f aca="false">IF(ISNUMBER($AW89*BB89),$AW89*BB89,"")</f>
        <v/>
      </c>
      <c r="CC89" s="1426" t="str">
        <f aca="false">IF(ISNUMBER($AX89*BC89),$AX89*BC89,"")</f>
        <v/>
      </c>
      <c r="CD89" s="1426" t="str">
        <f aca="false">IF(ISNUMBER($AW89*BD89),$AW89*BD89,"")</f>
        <v/>
      </c>
      <c r="CE89" s="1426" t="str">
        <f aca="false">IF(ISNUMBER($AX89*BE89),$AX89*BE89,"")</f>
        <v/>
      </c>
      <c r="CF89" s="1372" t="str">
        <f aca="false">IF(ISNUMBER($AW89*BF89),$AW89*BF89,"")</f>
        <v/>
      </c>
      <c r="CG89" s="1372" t="str">
        <f aca="false">IF(ISNUMBER($AX89*BG89),$AX89*BG89,"")</f>
        <v/>
      </c>
      <c r="CH89" s="1438"/>
      <c r="CI89" s="1438"/>
      <c r="CJ89" s="1438"/>
      <c r="CK89" s="1438"/>
      <c r="CU89" s="1411"/>
      <c r="CV89" s="1411"/>
      <c r="CW89" s="1425"/>
      <c r="CX89" s="1425"/>
      <c r="CY89" s="1425"/>
      <c r="CZ89" s="1425"/>
      <c r="DA89" s="1411"/>
      <c r="DB89" s="1411"/>
      <c r="DC89" s="1411"/>
      <c r="DD89" s="1411"/>
      <c r="DE89" s="1411"/>
      <c r="DF89" s="1411"/>
      <c r="DH89" s="1432"/>
      <c r="DI89" s="1432"/>
      <c r="DJ89" s="1437"/>
      <c r="DK89" s="1437"/>
      <c r="DL89" s="1437"/>
      <c r="DM89" s="1437"/>
      <c r="DN89" s="1432"/>
      <c r="DO89" s="1432"/>
      <c r="DP89" s="1432"/>
      <c r="DQ89" s="1432"/>
      <c r="DR89" s="1432"/>
      <c r="DS89" s="1432"/>
      <c r="DT89" s="1316"/>
      <c r="DU89" s="1433"/>
      <c r="DV89" s="1433"/>
      <c r="DW89" s="1433"/>
      <c r="DX89" s="1433"/>
      <c r="DY89" s="1433"/>
      <c r="DZ89" s="1433"/>
      <c r="EA89" s="1433"/>
      <c r="EB89" s="1433"/>
    </row>
    <row r="90" customFormat="false" ht="14.25" hidden="false" customHeight="false" outlineLevel="0" collapsed="false">
      <c r="A90" s="2" t="n">
        <f aca="false">'V_DATOS PAC_SGA'!CC85</f>
        <v>0</v>
      </c>
      <c r="B90" s="2" t="n">
        <f aca="false">IF(OR(A90=0,A90=""),0,IF(I90="IV",CONCATENATE('V_DATOS PAC_SGA'!CC85,"4")+0,CONCATENATE('V_DATOS PAC_SGA'!CC85,"0")+0))</f>
        <v>0</v>
      </c>
      <c r="C90" s="2" t="n">
        <f aca="false">'V_DATOS PAC_SGA'!CD85</f>
        <v>0</v>
      </c>
      <c r="D90" s="1409" t="n">
        <f aca="false">'V_DATOS PAC_SGA'!Y85</f>
        <v>0</v>
      </c>
      <c r="E90" s="1410" t="str">
        <f aca="false">IF('V_DATOS PAC_SGA'!AV85="","Regadio",'V_DATOS PAC_SGA'!AV85)</f>
        <v>Regadio</v>
      </c>
      <c r="F90" s="1411" t="n">
        <f aca="false">'V_DATOS PAC_SGA'!BK85</f>
        <v>0</v>
      </c>
      <c r="G90" s="1412" t="n">
        <f aca="false">'V_DATOS PAC_SGA'!AN85</f>
        <v>0</v>
      </c>
      <c r="H90" s="1413" t="str">
        <f aca="false">IF(B90&gt;0,VLOOKUP(B90,'O_MN, PE_UTA_UGM 2024'!E$3:O$419,10),"")</f>
        <v/>
      </c>
      <c r="I90" s="1359" t="str">
        <f aca="false">IF('V_DATOS PAC_SGA'!BV85="IV",'V_DATOS PAC_SGA'!BV85,"")</f>
        <v/>
      </c>
      <c r="J90" s="2" t="str">
        <f aca="false">IF($A90&gt;0,IF(AND(J$4=$G90,J$6=$F90),$D90*J$5,""),"")</f>
        <v/>
      </c>
      <c r="K90" s="2" t="str">
        <f aca="false">IF($A90&gt;0,IF(AND(K$4=$G90,K$6=$F90),$D90*K$5,""),"")</f>
        <v/>
      </c>
      <c r="L90" s="2" t="str">
        <f aca="false">IF($A90&gt;0,IF(AND(L$4=$G90,L$6=$F90),$D90*L$5,""),"")</f>
        <v/>
      </c>
      <c r="M90" s="2" t="str">
        <f aca="false">IF($A90&gt;0,IF(AND(M$4=$G90,M$6=$F90),$D90*M$5,""),"")</f>
        <v/>
      </c>
      <c r="N90" s="1506" t="n">
        <f aca="false">VLOOKUP(B90,'O_MN, PE_UTA_UGM 2024'!$E$2:$K$419,IF(G90&gt;1,6,7))</f>
        <v>0</v>
      </c>
      <c r="O90" s="1434" t="str">
        <f aca="false">IF($H90=O$4,$D90*$N90,"")</f>
        <v/>
      </c>
      <c r="P90" s="1435" t="str">
        <f aca="false">IF($H90=P$4,$D90*$N90,"")</f>
        <v/>
      </c>
      <c r="Q90" s="1435" t="str">
        <f aca="false">IF($H90=Q$4,$D90*$N90,"")</f>
        <v/>
      </c>
      <c r="R90" s="1435" t="str">
        <f aca="false">IF($H90=R$4,$D90*$N90,"")</f>
        <v/>
      </c>
      <c r="S90" s="1435" t="str">
        <f aca="false">IF($H90=S$4,$D90*$N90,"")</f>
        <v/>
      </c>
      <c r="T90" s="1435" t="str">
        <f aca="false">IF($H90=T$4,$D90*$N90,"")</f>
        <v/>
      </c>
      <c r="U90" s="1436" t="str">
        <f aca="false">IF($H90=U$4,$D90*$N90,"")</f>
        <v/>
      </c>
      <c r="V90" s="1418"/>
      <c r="W90" s="1419"/>
      <c r="X90" s="1419"/>
      <c r="Y90" s="1419"/>
      <c r="Z90" s="1419"/>
      <c r="AA90" s="1419"/>
      <c r="AB90" s="1420"/>
      <c r="AC90" s="1319"/>
      <c r="AD90" s="2" t="str">
        <f aca="false">IF(AND(AD$4=$G90,AD$6=$F90),$B90,"")</f>
        <v/>
      </c>
      <c r="AE90" s="2" t="str">
        <f aca="false">IF(AND(AE$4=$G90,AE$6=$F90),$B90,"")</f>
        <v/>
      </c>
      <c r="AF90" s="2" t="str">
        <f aca="false">IF(AND(AF$4=$G90,AF$6=$F90),$B90,"")</f>
        <v/>
      </c>
      <c r="AG90" s="2" t="str">
        <f aca="false">IF(AND(AG$4=$G90,AG$6=$F90),$B90,"")</f>
        <v/>
      </c>
      <c r="AI90" s="366"/>
      <c r="AL90" s="367"/>
      <c r="AO90" s="367"/>
      <c r="AP90" s="2" t="str">
        <f aca="false">IF(AT90&gt;0,RANK(AT90,AT$7:AT$423),"")</f>
        <v/>
      </c>
      <c r="AQ90" s="2" t="n">
        <f aca="false">'O_MN, PE_UTA_UGM 2024'!C86</f>
        <v>151</v>
      </c>
      <c r="AR90" s="1421" t="n">
        <v>1420</v>
      </c>
      <c r="AS90" s="2" t="str">
        <f aca="false">IF(AY90&lt;&gt;"",AY90,"")</f>
        <v/>
      </c>
      <c r="AT90" s="1422" t="n">
        <f aca="false">IF(ISNUMBER($AR90),SUMIF(B$7:B$505,AR90,D$7:D$505),"")</f>
        <v>0</v>
      </c>
      <c r="AU90" s="1411" t="n">
        <f aca="false">IF(ISNUMBER($AR90),SUMIF(AD$7:AD$503,$AR90,J$7:J$503),"")</f>
        <v>0</v>
      </c>
      <c r="AV90" s="1411" t="n">
        <f aca="false">IF(ISNUMBER($AR90),SUMIF(AF$7:AF$503,$AR90,L$7:L$503),"")</f>
        <v>0</v>
      </c>
      <c r="AW90" s="1423" t="n">
        <f aca="false">IF(ISNUMBER($AR90),SUMIF(AE$7:AE$503,$AR90,K$7:K$503),"")</f>
        <v>0</v>
      </c>
      <c r="AX90" s="1423" t="n">
        <f aca="false">IF(ISNUMBER($AR90),SUMIF(AG$7:AG$503,$AR90,M$7:M$503),"")</f>
        <v>0</v>
      </c>
      <c r="AY90" s="2" t="str">
        <f aca="false">IF($AT90&gt;0,VLOOKUP($AR90,'O_MN, PE_UTA_UGM 2024'!E86:O502,2),"")</f>
        <v/>
      </c>
      <c r="AZ90" s="1507"/>
      <c r="BA90" s="1507"/>
      <c r="BB90" s="1507" t="str">
        <f aca="false">IF($AT90&gt;0,VLOOKUP($AR90,'O_MN, PE_UTA_UGM 2024'!$E$3:$O$419,BB$6),"")</f>
        <v/>
      </c>
      <c r="BC90" s="1507" t="str">
        <f aca="false">IF($AT90&gt;0,VLOOKUP($AR90,'O_MN, PE_UTA_UGM 2024'!$E$3:$O$419,BC$6),"")</f>
        <v/>
      </c>
      <c r="BD90" s="1507" t="str">
        <f aca="false">IF($AT90&gt;0,VLOOKUP($AR90,'O_MN, PE_UTA_UGM 2024'!$E$3:$O$419,BD$6),"")</f>
        <v/>
      </c>
      <c r="BE90" s="1507" t="str">
        <f aca="false">IF($AT90&gt;0,VLOOKUP($AR90,'O_MN, PE_UTA_UGM 2024'!$E$3:$O$419,BE$6),"")</f>
        <v/>
      </c>
      <c r="BF90" s="1507" t="str">
        <f aca="false">IF($AT90&gt;0,VLOOKUP($AR90,'O_MN, PE_UTA_UGM 2024'!$E$3:$O$419,BF$6),"")</f>
        <v/>
      </c>
      <c r="BG90" s="1507" t="str">
        <f aca="false">IF($AT90&gt;0,VLOOKUP($AR90,'O_MN, PE_UTA_UGM 2024'!$E$3:$O$419,BG$6),"")</f>
        <v/>
      </c>
      <c r="BH90" s="1504"/>
      <c r="BI90" s="1504"/>
      <c r="BJ90" s="1504"/>
      <c r="BK90" s="1504"/>
      <c r="BM90" s="1411"/>
      <c r="BN90" s="1411"/>
      <c r="BO90" s="1425" t="str">
        <f aca="false">IF(ISNUMBER($AU90*BB90*1),$AU90*BB90*1,"")</f>
        <v/>
      </c>
      <c r="BP90" s="1425" t="str">
        <f aca="false">IF(ISNUMBER($AV90*BC90*1),$AV90*BC90*1,"")</f>
        <v/>
      </c>
      <c r="BQ90" s="1425" t="str">
        <f aca="false">IF(ISNUMBER($AU90*BD90*1),$AU90*BD90*1,"")</f>
        <v/>
      </c>
      <c r="BR90" s="1425" t="str">
        <f aca="false">IF(ISNUMBER($AV90*BE90*1),$AV90*BE90*1,"")</f>
        <v/>
      </c>
      <c r="BS90" s="1411" t="str">
        <f aca="false">IF(ISNUMBER($AU90*BF90),$AU90*BF90,"")</f>
        <v/>
      </c>
      <c r="BT90" s="1411" t="str">
        <f aca="false">IF(ISNUMBER($AV90*BG90),$AV90*BG90,"")</f>
        <v/>
      </c>
      <c r="BU90" s="1411"/>
      <c r="BV90" s="1411"/>
      <c r="BW90" s="1411"/>
      <c r="BX90" s="1411"/>
      <c r="BZ90" s="1372"/>
      <c r="CA90" s="1372"/>
      <c r="CB90" s="1426" t="str">
        <f aca="false">IF(ISNUMBER($AW90*BB90),$AW90*BB90,"")</f>
        <v/>
      </c>
      <c r="CC90" s="1426" t="str">
        <f aca="false">IF(ISNUMBER($AX90*BC90),$AX90*BC90,"")</f>
        <v/>
      </c>
      <c r="CD90" s="1426" t="str">
        <f aca="false">IF(ISNUMBER($AW90*BD90),$AW90*BD90,"")</f>
        <v/>
      </c>
      <c r="CE90" s="1426" t="str">
        <f aca="false">IF(ISNUMBER($AX90*BE90),$AX90*BE90,"")</f>
        <v/>
      </c>
      <c r="CF90" s="1372" t="str">
        <f aca="false">IF(ISNUMBER($AW90*BF90),$AW90*BF90,"")</f>
        <v/>
      </c>
      <c r="CG90" s="1372" t="str">
        <f aca="false">IF(ISNUMBER($AX90*BG90),$AX90*BG90,"")</f>
        <v/>
      </c>
      <c r="CH90" s="1438"/>
      <c r="CI90" s="1438"/>
      <c r="CJ90" s="1438"/>
      <c r="CK90" s="1438"/>
      <c r="CU90" s="1411"/>
      <c r="CV90" s="1411"/>
      <c r="CW90" s="1425"/>
      <c r="CX90" s="1425"/>
      <c r="CY90" s="1425"/>
      <c r="CZ90" s="1425"/>
      <c r="DA90" s="1411"/>
      <c r="DB90" s="1411"/>
      <c r="DC90" s="1411"/>
      <c r="DD90" s="1411"/>
      <c r="DE90" s="1411"/>
      <c r="DF90" s="1411"/>
      <c r="DH90" s="1432"/>
      <c r="DI90" s="1432"/>
      <c r="DJ90" s="1437"/>
      <c r="DK90" s="1437"/>
      <c r="DL90" s="1437"/>
      <c r="DM90" s="1437"/>
      <c r="DN90" s="1432"/>
      <c r="DO90" s="1432"/>
      <c r="DP90" s="1432"/>
      <c r="DQ90" s="1432"/>
      <c r="DR90" s="1432"/>
      <c r="DS90" s="1432"/>
      <c r="DT90" s="1316"/>
      <c r="DU90" s="1433"/>
      <c r="DV90" s="1433"/>
      <c r="DW90" s="1433"/>
      <c r="DX90" s="1433"/>
      <c r="DY90" s="1433"/>
      <c r="DZ90" s="1433"/>
      <c r="EA90" s="1433"/>
      <c r="EB90" s="1433"/>
    </row>
    <row r="91" customFormat="false" ht="14.25" hidden="false" customHeight="false" outlineLevel="0" collapsed="false">
      <c r="A91" s="2" t="n">
        <f aca="false">'V_DATOS PAC_SGA'!CC86</f>
        <v>0</v>
      </c>
      <c r="B91" s="2" t="n">
        <f aca="false">IF(OR(A91=0,A91=""),0,IF(I91="IV",CONCATENATE('V_DATOS PAC_SGA'!CC86,"4")+0,CONCATENATE('V_DATOS PAC_SGA'!CC86,"0")+0))</f>
        <v>0</v>
      </c>
      <c r="C91" s="2" t="n">
        <f aca="false">'V_DATOS PAC_SGA'!CD86</f>
        <v>0</v>
      </c>
      <c r="D91" s="1409" t="n">
        <f aca="false">'V_DATOS PAC_SGA'!Y86</f>
        <v>0</v>
      </c>
      <c r="E91" s="1410" t="str">
        <f aca="false">IF('V_DATOS PAC_SGA'!AV86="","Regadio",'V_DATOS PAC_SGA'!AV86)</f>
        <v>Regadio</v>
      </c>
      <c r="F91" s="1411" t="n">
        <f aca="false">'V_DATOS PAC_SGA'!BK86</f>
        <v>0</v>
      </c>
      <c r="G91" s="1412" t="n">
        <f aca="false">'V_DATOS PAC_SGA'!AN86</f>
        <v>0</v>
      </c>
      <c r="H91" s="1413" t="str">
        <f aca="false">IF(B91&gt;0,VLOOKUP(B91,'O_MN, PE_UTA_UGM 2024'!E$3:O$419,10),"")</f>
        <v/>
      </c>
      <c r="I91" s="1359" t="str">
        <f aca="false">IF('V_DATOS PAC_SGA'!BV86="IV",'V_DATOS PAC_SGA'!BV86,"")</f>
        <v/>
      </c>
      <c r="J91" s="2" t="str">
        <f aca="false">IF($A91&gt;0,IF(AND(J$4=$G91,J$6=$F91),$D91*J$5,""),"")</f>
        <v/>
      </c>
      <c r="K91" s="2" t="str">
        <f aca="false">IF($A91&gt;0,IF(AND(K$4=$G91,K$6=$F91),$D91*K$5,""),"")</f>
        <v/>
      </c>
      <c r="L91" s="2" t="str">
        <f aca="false">IF($A91&gt;0,IF(AND(L$4=$G91,L$6=$F91),$D91*L$5,""),"")</f>
        <v/>
      </c>
      <c r="M91" s="2" t="str">
        <f aca="false">IF($A91&gt;0,IF(AND(M$4=$G91,M$6=$F91),$D91*M$5,""),"")</f>
        <v/>
      </c>
      <c r="N91" s="1506" t="n">
        <f aca="false">VLOOKUP(B91,'O_MN, PE_UTA_UGM 2024'!$E$2:$K$419,IF(G91&gt;1,6,7))</f>
        <v>0</v>
      </c>
      <c r="O91" s="1434" t="str">
        <f aca="false">IF($H91=O$4,$D91*$N91,"")</f>
        <v/>
      </c>
      <c r="P91" s="1435" t="str">
        <f aca="false">IF($H91=P$4,$D91*$N91,"")</f>
        <v/>
      </c>
      <c r="Q91" s="1435" t="str">
        <f aca="false">IF($H91=Q$4,$D91*$N91,"")</f>
        <v/>
      </c>
      <c r="R91" s="1435" t="str">
        <f aca="false">IF($H91=R$4,$D91*$N91,"")</f>
        <v/>
      </c>
      <c r="S91" s="1435" t="str">
        <f aca="false">IF($H91=S$4,$D91*$N91,"")</f>
        <v/>
      </c>
      <c r="T91" s="1435" t="str">
        <f aca="false">IF($H91=T$4,$D91*$N91,"")</f>
        <v/>
      </c>
      <c r="U91" s="1436" t="str">
        <f aca="false">IF($H91=U$4,$D91*$N91,"")</f>
        <v/>
      </c>
      <c r="V91" s="1418"/>
      <c r="W91" s="1419"/>
      <c r="X91" s="1419"/>
      <c r="Y91" s="1419"/>
      <c r="Z91" s="1419"/>
      <c r="AA91" s="1419"/>
      <c r="AB91" s="1420"/>
      <c r="AC91" s="1319"/>
      <c r="AD91" s="2" t="str">
        <f aca="false">IF(AND(AD$4=$G91,AD$6=$F91),$B91,"")</f>
        <v/>
      </c>
      <c r="AE91" s="2" t="str">
        <f aca="false">IF(AND(AE$4=$G91,AE$6=$F91),$B91,"")</f>
        <v/>
      </c>
      <c r="AF91" s="2" t="str">
        <f aca="false">IF(AND(AF$4=$G91,AF$6=$F91),$B91,"")</f>
        <v/>
      </c>
      <c r="AG91" s="2" t="str">
        <f aca="false">IF(AND(AG$4=$G91,AG$6=$F91),$B91,"")</f>
        <v/>
      </c>
      <c r="AI91" s="366"/>
      <c r="AL91" s="367"/>
      <c r="AO91" s="367"/>
      <c r="AP91" s="2" t="str">
        <f aca="false">IF(AT91&gt;0,RANK(AT91,AT$7:AT$423),"")</f>
        <v/>
      </c>
      <c r="AQ91" s="2" t="n">
        <f aca="false">'O_MN, PE_UTA_UGM 2024'!C87</f>
        <v>151</v>
      </c>
      <c r="AR91" s="1421" t="n">
        <v>1430</v>
      </c>
      <c r="AS91" s="2" t="str">
        <f aca="false">IF(AY91&lt;&gt;"",AY91,"")</f>
        <v/>
      </c>
      <c r="AT91" s="1422" t="n">
        <f aca="false">IF(ISNUMBER($AR91),SUMIF(B$7:B$505,AR91,D$7:D$505),"")</f>
        <v>0</v>
      </c>
      <c r="AU91" s="1411" t="n">
        <f aca="false">IF(ISNUMBER($AR91),SUMIF(AD$7:AD$503,$AR91,J$7:J$503),"")</f>
        <v>0</v>
      </c>
      <c r="AV91" s="1411" t="n">
        <f aca="false">IF(ISNUMBER($AR91),SUMIF(AF$7:AF$503,$AR91,L$7:L$503),"")</f>
        <v>0</v>
      </c>
      <c r="AW91" s="1423" t="n">
        <f aca="false">IF(ISNUMBER($AR91),SUMIF(AE$7:AE$503,$AR91,K$7:K$503),"")</f>
        <v>0</v>
      </c>
      <c r="AX91" s="1423" t="n">
        <f aca="false">IF(ISNUMBER($AR91),SUMIF(AG$7:AG$503,$AR91,M$7:M$503),"")</f>
        <v>0</v>
      </c>
      <c r="AY91" s="2" t="str">
        <f aca="false">IF($AT91&gt;0,VLOOKUP($AR91,'O_MN, PE_UTA_UGM 2024'!E87:O503,2),"")</f>
        <v/>
      </c>
      <c r="AZ91" s="1507"/>
      <c r="BA91" s="1507"/>
      <c r="BB91" s="1507" t="str">
        <f aca="false">IF($AT91&gt;0,VLOOKUP($AR91,'O_MN, PE_UTA_UGM 2024'!$E$3:$O$419,BB$6),"")</f>
        <v/>
      </c>
      <c r="BC91" s="1507" t="str">
        <f aca="false">IF($AT91&gt;0,VLOOKUP($AR91,'O_MN, PE_UTA_UGM 2024'!$E$3:$O$419,BC$6),"")</f>
        <v/>
      </c>
      <c r="BD91" s="1507" t="str">
        <f aca="false">IF($AT91&gt;0,VLOOKUP($AR91,'O_MN, PE_UTA_UGM 2024'!$E$3:$O$419,BD$6),"")</f>
        <v/>
      </c>
      <c r="BE91" s="1507" t="str">
        <f aca="false">IF($AT91&gt;0,VLOOKUP($AR91,'O_MN, PE_UTA_UGM 2024'!$E$3:$O$419,BE$6),"")</f>
        <v/>
      </c>
      <c r="BF91" s="1507" t="str">
        <f aca="false">IF($AT91&gt;0,VLOOKUP($AR91,'O_MN, PE_UTA_UGM 2024'!$E$3:$O$419,BF$6),"")</f>
        <v/>
      </c>
      <c r="BG91" s="1507" t="str">
        <f aca="false">IF($AT91&gt;0,VLOOKUP($AR91,'O_MN, PE_UTA_UGM 2024'!$E$3:$O$419,BG$6),"")</f>
        <v/>
      </c>
      <c r="BH91" s="1504"/>
      <c r="BI91" s="1504"/>
      <c r="BJ91" s="1504"/>
      <c r="BK91" s="1504"/>
      <c r="BM91" s="1411"/>
      <c r="BN91" s="1411"/>
      <c r="BO91" s="1425" t="str">
        <f aca="false">IF(ISNUMBER($AU91*BB91*1),$AU91*BB91*1,"")</f>
        <v/>
      </c>
      <c r="BP91" s="1425" t="str">
        <f aca="false">IF(ISNUMBER($AV91*BC91*1),$AV91*BC91*1,"")</f>
        <v/>
      </c>
      <c r="BQ91" s="1425" t="str">
        <f aca="false">IF(ISNUMBER($AU91*BD91*1),$AU91*BD91*1,"")</f>
        <v/>
      </c>
      <c r="BR91" s="1425" t="str">
        <f aca="false">IF(ISNUMBER($AV91*BE91*1),$AV91*BE91*1,"")</f>
        <v/>
      </c>
      <c r="BS91" s="1411" t="str">
        <f aca="false">IF(ISNUMBER($AU91*BF91),$AU91*BF91,"")</f>
        <v/>
      </c>
      <c r="BT91" s="1411" t="str">
        <f aca="false">IF(ISNUMBER($AV91*BG91),$AV91*BG91,"")</f>
        <v/>
      </c>
      <c r="BU91" s="1411"/>
      <c r="BV91" s="1411"/>
      <c r="BW91" s="1411"/>
      <c r="BX91" s="1411"/>
      <c r="BZ91" s="1372"/>
      <c r="CA91" s="1372"/>
      <c r="CB91" s="1426" t="str">
        <f aca="false">IF(ISNUMBER($AW91*BB91),$AW91*BB91,"")</f>
        <v/>
      </c>
      <c r="CC91" s="1426" t="str">
        <f aca="false">IF(ISNUMBER($AX91*BC91),$AX91*BC91,"")</f>
        <v/>
      </c>
      <c r="CD91" s="1426" t="str">
        <f aca="false">IF(ISNUMBER($AW91*BD91),$AW91*BD91,"")</f>
        <v/>
      </c>
      <c r="CE91" s="1426" t="str">
        <f aca="false">IF(ISNUMBER($AX91*BE91),$AX91*BE91,"")</f>
        <v/>
      </c>
      <c r="CF91" s="1372" t="str">
        <f aca="false">IF(ISNUMBER($AW91*BF91),$AW91*BF91,"")</f>
        <v/>
      </c>
      <c r="CG91" s="1372" t="str">
        <f aca="false">IF(ISNUMBER($AX91*BG91),$AX91*BG91,"")</f>
        <v/>
      </c>
      <c r="CH91" s="1438"/>
      <c r="CI91" s="1438"/>
      <c r="CJ91" s="1438"/>
      <c r="CK91" s="1438"/>
      <c r="CU91" s="1411"/>
      <c r="CV91" s="1411"/>
      <c r="CW91" s="1425"/>
      <c r="CX91" s="1425"/>
      <c r="CY91" s="1425"/>
      <c r="CZ91" s="1425"/>
      <c r="DA91" s="1411"/>
      <c r="DB91" s="1411"/>
      <c r="DC91" s="1411"/>
      <c r="DD91" s="1411"/>
      <c r="DE91" s="1411"/>
      <c r="DF91" s="1411"/>
      <c r="DH91" s="1432"/>
      <c r="DI91" s="1432"/>
      <c r="DJ91" s="1437"/>
      <c r="DK91" s="1437"/>
      <c r="DL91" s="1437"/>
      <c r="DM91" s="1437"/>
      <c r="DN91" s="1432"/>
      <c r="DO91" s="1432"/>
      <c r="DP91" s="1432"/>
      <c r="DQ91" s="1432"/>
      <c r="DR91" s="1432"/>
      <c r="DS91" s="1432"/>
      <c r="DT91" s="1316"/>
      <c r="DU91" s="1433"/>
      <c r="DV91" s="1433"/>
      <c r="DW91" s="1433"/>
      <c r="DX91" s="1433"/>
      <c r="DY91" s="1433"/>
      <c r="DZ91" s="1433"/>
      <c r="EA91" s="1433"/>
      <c r="EB91" s="1433"/>
    </row>
    <row r="92" customFormat="false" ht="14.25" hidden="false" customHeight="false" outlineLevel="0" collapsed="false">
      <c r="A92" s="2" t="n">
        <f aca="false">'V_DATOS PAC_SGA'!CC87</f>
        <v>0</v>
      </c>
      <c r="B92" s="2" t="n">
        <f aca="false">IF(OR(A92=0,A92=""),0,IF(I92="IV",CONCATENATE('V_DATOS PAC_SGA'!CC87,"4")+0,CONCATENATE('V_DATOS PAC_SGA'!CC87,"0")+0))</f>
        <v>0</v>
      </c>
      <c r="C92" s="2" t="n">
        <f aca="false">'V_DATOS PAC_SGA'!CD87</f>
        <v>0</v>
      </c>
      <c r="D92" s="1409" t="n">
        <f aca="false">'V_DATOS PAC_SGA'!Y87</f>
        <v>0</v>
      </c>
      <c r="E92" s="1410" t="str">
        <f aca="false">IF('V_DATOS PAC_SGA'!AV87="","Regadio",'V_DATOS PAC_SGA'!AV87)</f>
        <v>Regadio</v>
      </c>
      <c r="F92" s="1411" t="n">
        <f aca="false">'V_DATOS PAC_SGA'!BK87</f>
        <v>0</v>
      </c>
      <c r="G92" s="1412" t="n">
        <f aca="false">'V_DATOS PAC_SGA'!AN87</f>
        <v>0</v>
      </c>
      <c r="H92" s="1413" t="str">
        <f aca="false">IF(B92&gt;0,VLOOKUP(B92,'O_MN, PE_UTA_UGM 2024'!E$3:O$419,10),"")</f>
        <v/>
      </c>
      <c r="I92" s="1359" t="str">
        <f aca="false">IF('V_DATOS PAC_SGA'!BV87="IV",'V_DATOS PAC_SGA'!BV87,"")</f>
        <v/>
      </c>
      <c r="J92" s="2" t="str">
        <f aca="false">IF($A92&gt;0,IF(AND(J$4=$G92,J$6=$F92),$D92*J$5,""),"")</f>
        <v/>
      </c>
      <c r="K92" s="2" t="str">
        <f aca="false">IF($A92&gt;0,IF(AND(K$4=$G92,K$6=$F92),$D92*K$5,""),"")</f>
        <v/>
      </c>
      <c r="L92" s="2" t="str">
        <f aca="false">IF($A92&gt;0,IF(AND(L$4=$G92,L$6=$F92),$D92*L$5,""),"")</f>
        <v/>
      </c>
      <c r="M92" s="2" t="str">
        <f aca="false">IF($A92&gt;0,IF(AND(M$4=$G92,M$6=$F92),$D92*M$5,""),"")</f>
        <v/>
      </c>
      <c r="N92" s="1506" t="n">
        <f aca="false">VLOOKUP(B92,'O_MN, PE_UTA_UGM 2024'!$E$2:$K$419,IF(G92&gt;1,6,7))</f>
        <v>0</v>
      </c>
      <c r="O92" s="1434" t="str">
        <f aca="false">IF($H92=O$4,$D92*$N92,"")</f>
        <v/>
      </c>
      <c r="P92" s="1435" t="str">
        <f aca="false">IF($H92=P$4,$D92*$N92,"")</f>
        <v/>
      </c>
      <c r="Q92" s="1435" t="str">
        <f aca="false">IF($H92=Q$4,$D92*$N92,"")</f>
        <v/>
      </c>
      <c r="R92" s="1435" t="str">
        <f aca="false">IF($H92=R$4,$D92*$N92,"")</f>
        <v/>
      </c>
      <c r="S92" s="1435" t="str">
        <f aca="false">IF($H92=S$4,$D92*$N92,"")</f>
        <v/>
      </c>
      <c r="T92" s="1435" t="str">
        <f aca="false">IF($H92=T$4,$D92*$N92,"")</f>
        <v/>
      </c>
      <c r="U92" s="1436" t="str">
        <f aca="false">IF($H92=U$4,$D92*$N92,"")</f>
        <v/>
      </c>
      <c r="V92" s="1418"/>
      <c r="W92" s="1419"/>
      <c r="X92" s="1419"/>
      <c r="Y92" s="1419"/>
      <c r="Z92" s="1419"/>
      <c r="AA92" s="1419"/>
      <c r="AB92" s="1420"/>
      <c r="AC92" s="1319"/>
      <c r="AD92" s="2" t="str">
        <f aca="false">IF(AND(AD$4=$G92,AD$6=$F92),$B92,"")</f>
        <v/>
      </c>
      <c r="AE92" s="2" t="str">
        <f aca="false">IF(AND(AE$4=$G92,AE$6=$F92),$B92,"")</f>
        <v/>
      </c>
      <c r="AF92" s="2" t="str">
        <f aca="false">IF(AND(AF$4=$G92,AF$6=$F92),$B92,"")</f>
        <v/>
      </c>
      <c r="AG92" s="2" t="str">
        <f aca="false">IF(AND(AG$4=$G92,AG$6=$F92),$B92,"")</f>
        <v/>
      </c>
      <c r="AI92" s="366"/>
      <c r="AL92" s="367"/>
      <c r="AO92" s="367"/>
      <c r="AP92" s="2" t="str">
        <f aca="false">IF(AT92&gt;0,RANK(AT92,AT$7:AT$423),"")</f>
        <v/>
      </c>
      <c r="AQ92" s="2" t="n">
        <f aca="false">'O_MN, PE_UTA_UGM 2024'!C88</f>
        <v>152</v>
      </c>
      <c r="AR92" s="1421" t="n">
        <v>1476</v>
      </c>
      <c r="AS92" s="2" t="str">
        <f aca="false">IF(AY92&lt;&gt;"",AY92,"")</f>
        <v/>
      </c>
      <c r="AT92" s="1422" t="n">
        <f aca="false">IF(ISNUMBER($AR92),SUMIF(B$7:B$505,AR92,D$7:D$505),"")</f>
        <v>0</v>
      </c>
      <c r="AU92" s="1411" t="n">
        <f aca="false">IF(ISNUMBER($AR92),SUMIF(AD$7:AD$503,$AR92,J$7:J$503),"")</f>
        <v>0</v>
      </c>
      <c r="AV92" s="1411" t="n">
        <f aca="false">IF(ISNUMBER($AR92),SUMIF(AF$7:AF$503,$AR92,L$7:L$503),"")</f>
        <v>0</v>
      </c>
      <c r="AW92" s="1423" t="n">
        <f aca="false">IF(ISNUMBER($AR92),SUMIF(AE$7:AE$503,$AR92,K$7:K$503),"")</f>
        <v>0</v>
      </c>
      <c r="AX92" s="1423" t="n">
        <f aca="false">IF(ISNUMBER($AR92),SUMIF(AG$7:AG$503,$AR92,M$7:M$503),"")</f>
        <v>0</v>
      </c>
      <c r="AY92" s="2" t="str">
        <f aca="false">IF($AT92&gt;0,VLOOKUP($AR92,'O_MN, PE_UTA_UGM 2024'!E88:O504,2),"")</f>
        <v/>
      </c>
      <c r="AZ92" s="1507"/>
      <c r="BA92" s="1507"/>
      <c r="BB92" s="1507" t="str">
        <f aca="false">IF($AT92&gt;0,VLOOKUP($AR92,'O_MN, PE_UTA_UGM 2024'!$E$3:$O$419,BB$6),"")</f>
        <v/>
      </c>
      <c r="BC92" s="1507" t="str">
        <f aca="false">IF($AT92&gt;0,VLOOKUP($AR92,'O_MN, PE_UTA_UGM 2024'!$E$3:$O$419,BC$6),"")</f>
        <v/>
      </c>
      <c r="BD92" s="1507" t="str">
        <f aca="false">IF($AT92&gt;0,VLOOKUP($AR92,'O_MN, PE_UTA_UGM 2024'!$E$3:$O$419,BD$6),"")</f>
        <v/>
      </c>
      <c r="BE92" s="1507" t="str">
        <f aca="false">IF($AT92&gt;0,VLOOKUP($AR92,'O_MN, PE_UTA_UGM 2024'!$E$3:$O$419,BE$6),"")</f>
        <v/>
      </c>
      <c r="BF92" s="1507" t="str">
        <f aca="false">IF($AT92&gt;0,VLOOKUP($AR92,'O_MN, PE_UTA_UGM 2024'!$E$3:$O$419,BF$6),"")</f>
        <v/>
      </c>
      <c r="BG92" s="1507" t="str">
        <f aca="false">IF($AT92&gt;0,VLOOKUP($AR92,'O_MN, PE_UTA_UGM 2024'!$E$3:$O$419,BG$6),"")</f>
        <v/>
      </c>
      <c r="BH92" s="1504"/>
      <c r="BI92" s="1504"/>
      <c r="BJ92" s="1504"/>
      <c r="BK92" s="1504"/>
      <c r="BM92" s="1411"/>
      <c r="BN92" s="1411"/>
      <c r="BO92" s="1425" t="str">
        <f aca="false">IF(ISNUMBER($AU92*BB92*1),$AU92*BB92*1,"")</f>
        <v/>
      </c>
      <c r="BP92" s="1425" t="str">
        <f aca="false">IF(ISNUMBER($AV92*BC92*1),$AV92*BC92*1,"")</f>
        <v/>
      </c>
      <c r="BQ92" s="1425" t="str">
        <f aca="false">IF(ISNUMBER($AU92*BD92*1),$AU92*BD92*1,"")</f>
        <v/>
      </c>
      <c r="BR92" s="1425" t="str">
        <f aca="false">IF(ISNUMBER($AV92*BE92*1),$AV92*BE92*1,"")</f>
        <v/>
      </c>
      <c r="BS92" s="1411" t="str">
        <f aca="false">IF(ISNUMBER($AU92*BF92),$AU92*BF92,"")</f>
        <v/>
      </c>
      <c r="BT92" s="1411" t="str">
        <f aca="false">IF(ISNUMBER($AV92*BG92),$AV92*BG92,"")</f>
        <v/>
      </c>
      <c r="BU92" s="1411"/>
      <c r="BV92" s="1411"/>
      <c r="BW92" s="1411"/>
      <c r="BX92" s="1411"/>
      <c r="BZ92" s="1372"/>
      <c r="CA92" s="1372"/>
      <c r="CB92" s="1426" t="str">
        <f aca="false">IF(ISNUMBER($AW92*BB92),$AW92*BB92,"")</f>
        <v/>
      </c>
      <c r="CC92" s="1426" t="str">
        <f aca="false">IF(ISNUMBER($AX92*BC92),$AX92*BC92,"")</f>
        <v/>
      </c>
      <c r="CD92" s="1426" t="str">
        <f aca="false">IF(ISNUMBER($AW92*BD92),$AW92*BD92,"")</f>
        <v/>
      </c>
      <c r="CE92" s="1426" t="str">
        <f aca="false">IF(ISNUMBER($AX92*BE92),$AX92*BE92,"")</f>
        <v/>
      </c>
      <c r="CF92" s="1372" t="str">
        <f aca="false">IF(ISNUMBER($AW92*BF92),$AW92*BF92,"")</f>
        <v/>
      </c>
      <c r="CG92" s="1372" t="str">
        <f aca="false">IF(ISNUMBER($AX92*BG92),$AX92*BG92,"")</f>
        <v/>
      </c>
      <c r="CH92" s="1438"/>
      <c r="CI92" s="1438"/>
      <c r="CJ92" s="1438"/>
      <c r="CK92" s="1438"/>
      <c r="CU92" s="1411"/>
      <c r="CV92" s="1411"/>
      <c r="CW92" s="1425"/>
      <c r="CX92" s="1425"/>
      <c r="CY92" s="1425"/>
      <c r="CZ92" s="1425"/>
      <c r="DA92" s="1411"/>
      <c r="DB92" s="1411"/>
      <c r="DC92" s="1411"/>
      <c r="DD92" s="1411"/>
      <c r="DE92" s="1411"/>
      <c r="DF92" s="1411"/>
      <c r="DH92" s="1432"/>
      <c r="DI92" s="1432"/>
      <c r="DJ92" s="1437"/>
      <c r="DK92" s="1437"/>
      <c r="DL92" s="1437"/>
      <c r="DM92" s="1437"/>
      <c r="DN92" s="1432"/>
      <c r="DO92" s="1432"/>
      <c r="DP92" s="1432"/>
      <c r="DQ92" s="1432"/>
      <c r="DR92" s="1432"/>
      <c r="DS92" s="1432"/>
      <c r="DT92" s="1316"/>
      <c r="DU92" s="1433"/>
      <c r="DV92" s="1433"/>
      <c r="DW92" s="1433"/>
      <c r="DX92" s="1433"/>
      <c r="DY92" s="1433"/>
      <c r="DZ92" s="1433"/>
      <c r="EA92" s="1433"/>
      <c r="EB92" s="1433"/>
    </row>
    <row r="93" customFormat="false" ht="14.25" hidden="false" customHeight="false" outlineLevel="0" collapsed="false">
      <c r="A93" s="2" t="n">
        <f aca="false">'V_DATOS PAC_SGA'!CC88</f>
        <v>0</v>
      </c>
      <c r="B93" s="2" t="n">
        <f aca="false">IF(OR(A93=0,A93=""),0,IF(I93="IV",CONCATENATE('V_DATOS PAC_SGA'!CC88,"4")+0,CONCATENATE('V_DATOS PAC_SGA'!CC88,"0")+0))</f>
        <v>0</v>
      </c>
      <c r="C93" s="2" t="n">
        <f aca="false">'V_DATOS PAC_SGA'!CD88</f>
        <v>0</v>
      </c>
      <c r="D93" s="1409" t="n">
        <f aca="false">'V_DATOS PAC_SGA'!Y88</f>
        <v>0</v>
      </c>
      <c r="E93" s="1410" t="str">
        <f aca="false">IF('V_DATOS PAC_SGA'!AV88="","Regadio",'V_DATOS PAC_SGA'!AV88)</f>
        <v>Regadio</v>
      </c>
      <c r="F93" s="1411" t="n">
        <f aca="false">'V_DATOS PAC_SGA'!BK88</f>
        <v>0</v>
      </c>
      <c r="G93" s="1412" t="n">
        <f aca="false">'V_DATOS PAC_SGA'!AN88</f>
        <v>0</v>
      </c>
      <c r="H93" s="1413" t="str">
        <f aca="false">IF(B93&gt;0,VLOOKUP(B93,'O_MN, PE_UTA_UGM 2024'!E$3:O$419,10),"")</f>
        <v/>
      </c>
      <c r="I93" s="1359" t="str">
        <f aca="false">IF('V_DATOS PAC_SGA'!BV88="IV",'V_DATOS PAC_SGA'!BV88,"")</f>
        <v/>
      </c>
      <c r="J93" s="2" t="str">
        <f aca="false">IF($A93&gt;0,IF(AND(J$4=$G93,J$6=$F93),$D93*J$5,""),"")</f>
        <v/>
      </c>
      <c r="K93" s="2" t="str">
        <f aca="false">IF($A93&gt;0,IF(AND(K$4=$G93,K$6=$F93),$D93*K$5,""),"")</f>
        <v/>
      </c>
      <c r="L93" s="2" t="str">
        <f aca="false">IF($A93&gt;0,IF(AND(L$4=$G93,L$6=$F93),$D93*L$5,""),"")</f>
        <v/>
      </c>
      <c r="M93" s="2" t="str">
        <f aca="false">IF($A93&gt;0,IF(AND(M$4=$G93,M$6=$F93),$D93*M$5,""),"")</f>
        <v/>
      </c>
      <c r="N93" s="1506" t="n">
        <f aca="false">VLOOKUP(B93,'O_MN, PE_UTA_UGM 2024'!$E$2:$K$419,IF(G93&gt;1,6,7))</f>
        <v>0</v>
      </c>
      <c r="O93" s="1434" t="str">
        <f aca="false">IF($H93=O$4,$D93*$N93,"")</f>
        <v/>
      </c>
      <c r="P93" s="1435" t="str">
        <f aca="false">IF($H93=P$4,$D93*$N93,"")</f>
        <v/>
      </c>
      <c r="Q93" s="1435" t="str">
        <f aca="false">IF($H93=Q$4,$D93*$N93,"")</f>
        <v/>
      </c>
      <c r="R93" s="1435" t="str">
        <f aca="false">IF($H93=R$4,$D93*$N93,"")</f>
        <v/>
      </c>
      <c r="S93" s="1435" t="str">
        <f aca="false">IF($H93=S$4,$D93*$N93,"")</f>
        <v/>
      </c>
      <c r="T93" s="1435" t="str">
        <f aca="false">IF($H93=T$4,$D93*$N93,"")</f>
        <v/>
      </c>
      <c r="U93" s="1436" t="str">
        <f aca="false">IF($H93=U$4,$D93*$N93,"")</f>
        <v/>
      </c>
      <c r="V93" s="1418"/>
      <c r="W93" s="1419"/>
      <c r="X93" s="1419"/>
      <c r="Y93" s="1419"/>
      <c r="Z93" s="1419"/>
      <c r="AA93" s="1419"/>
      <c r="AB93" s="1420"/>
      <c r="AC93" s="1319"/>
      <c r="AD93" s="2" t="str">
        <f aca="false">IF(AND(AD$4=$G93,AD$6=$F93),$B93,"")</f>
        <v/>
      </c>
      <c r="AE93" s="2" t="str">
        <f aca="false">IF(AND(AE$4=$G93,AE$6=$F93),$B93,"")</f>
        <v/>
      </c>
      <c r="AF93" s="2" t="str">
        <f aca="false">IF(AND(AF$4=$G93,AF$6=$F93),$B93,"")</f>
        <v/>
      </c>
      <c r="AG93" s="2" t="str">
        <f aca="false">IF(AND(AG$4=$G93,AG$6=$F93),$B93,"")</f>
        <v/>
      </c>
      <c r="AI93" s="366"/>
      <c r="AL93" s="367"/>
      <c r="AO93" s="367"/>
      <c r="AP93" s="2" t="str">
        <f aca="false">IF(AT93&gt;0,RANK(AT93,AT$7:AT$423),"")</f>
        <v/>
      </c>
      <c r="AQ93" s="2" t="n">
        <f aca="false">'O_MN, PE_UTA_UGM 2024'!C89</f>
        <v>152</v>
      </c>
      <c r="AR93" s="1421" t="n">
        <v>1510</v>
      </c>
      <c r="AS93" s="2" t="str">
        <f aca="false">IF(AY93&lt;&gt;"",AY93,"")</f>
        <v/>
      </c>
      <c r="AT93" s="1422" t="n">
        <f aca="false">IF(ISNUMBER($AR93),SUMIF(B$7:B$505,AR93,D$7:D$505),"")</f>
        <v>0</v>
      </c>
      <c r="AU93" s="1411" t="n">
        <f aca="false">IF(ISNUMBER($AR93),SUMIF(AD$7:AD$503,$AR93,J$7:J$503),"")</f>
        <v>0</v>
      </c>
      <c r="AV93" s="1411" t="n">
        <f aca="false">IF(ISNUMBER($AR93),SUMIF(AF$7:AF$503,$AR93,L$7:L$503),"")</f>
        <v>0</v>
      </c>
      <c r="AW93" s="1423" t="n">
        <f aca="false">IF(ISNUMBER($AR93),SUMIF(AE$7:AE$503,$AR93,K$7:K$503),"")</f>
        <v>0</v>
      </c>
      <c r="AX93" s="1423" t="n">
        <f aca="false">IF(ISNUMBER($AR93),SUMIF(AG$7:AG$503,$AR93,M$7:M$503),"")</f>
        <v>0</v>
      </c>
      <c r="AY93" s="2" t="str">
        <f aca="false">IF($AT93&gt;0,VLOOKUP($AR93,'O_MN, PE_UTA_UGM 2024'!E89:O505,2),"")</f>
        <v/>
      </c>
      <c r="AZ93" s="1507"/>
      <c r="BA93" s="1507"/>
      <c r="BB93" s="1507" t="str">
        <f aca="false">IF($AT93&gt;0,VLOOKUP($AR93,'O_MN, PE_UTA_UGM 2024'!$E$3:$O$419,BB$6),"")</f>
        <v/>
      </c>
      <c r="BC93" s="1507" t="str">
        <f aca="false">IF($AT93&gt;0,VLOOKUP($AR93,'O_MN, PE_UTA_UGM 2024'!$E$3:$O$419,BC$6),"")</f>
        <v/>
      </c>
      <c r="BD93" s="1507" t="str">
        <f aca="false">IF($AT93&gt;0,VLOOKUP($AR93,'O_MN, PE_UTA_UGM 2024'!$E$3:$O$419,BD$6),"")</f>
        <v/>
      </c>
      <c r="BE93" s="1507" t="str">
        <f aca="false">IF($AT93&gt;0,VLOOKUP($AR93,'O_MN, PE_UTA_UGM 2024'!$E$3:$O$419,BE$6),"")</f>
        <v/>
      </c>
      <c r="BF93" s="1507" t="str">
        <f aca="false">IF($AT93&gt;0,VLOOKUP($AR93,'O_MN, PE_UTA_UGM 2024'!$E$3:$O$419,BF$6),"")</f>
        <v/>
      </c>
      <c r="BG93" s="1507" t="str">
        <f aca="false">IF($AT93&gt;0,VLOOKUP($AR93,'O_MN, PE_UTA_UGM 2024'!$E$3:$O$419,BG$6),"")</f>
        <v/>
      </c>
      <c r="BH93" s="1504"/>
      <c r="BI93" s="1504"/>
      <c r="BJ93" s="1504"/>
      <c r="BK93" s="1504"/>
      <c r="BM93" s="1411"/>
      <c r="BN93" s="1411"/>
      <c r="BO93" s="1425" t="str">
        <f aca="false">IF(ISNUMBER($AU93*BB93*1),$AU93*BB93*1,"")</f>
        <v/>
      </c>
      <c r="BP93" s="1425" t="str">
        <f aca="false">IF(ISNUMBER($AV93*BC93*1),$AV93*BC93*1,"")</f>
        <v/>
      </c>
      <c r="BQ93" s="1425" t="str">
        <f aca="false">IF(ISNUMBER($AU93*BD93*1),$AU93*BD93*1,"")</f>
        <v/>
      </c>
      <c r="BR93" s="1425" t="str">
        <f aca="false">IF(ISNUMBER($AV93*BE93*1),$AV93*BE93*1,"")</f>
        <v/>
      </c>
      <c r="BS93" s="1411" t="str">
        <f aca="false">IF(ISNUMBER($AU93*BF93),$AU93*BF93,"")</f>
        <v/>
      </c>
      <c r="BT93" s="1411" t="str">
        <f aca="false">IF(ISNUMBER($AV93*BG93),$AV93*BG93,"")</f>
        <v/>
      </c>
      <c r="BU93" s="1411"/>
      <c r="BV93" s="1411"/>
      <c r="BW93" s="1411"/>
      <c r="BX93" s="1411"/>
      <c r="BZ93" s="1372"/>
      <c r="CA93" s="1372"/>
      <c r="CB93" s="1426" t="str">
        <f aca="false">IF(ISNUMBER($AW93*BB93),$AW93*BB93,"")</f>
        <v/>
      </c>
      <c r="CC93" s="1426" t="str">
        <f aca="false">IF(ISNUMBER($AX93*BC93),$AX93*BC93,"")</f>
        <v/>
      </c>
      <c r="CD93" s="1426" t="str">
        <f aca="false">IF(ISNUMBER($AW93*BD93),$AW93*BD93,"")</f>
        <v/>
      </c>
      <c r="CE93" s="1426" t="str">
        <f aca="false">IF(ISNUMBER($AX93*BE93),$AX93*BE93,"")</f>
        <v/>
      </c>
      <c r="CF93" s="1372" t="str">
        <f aca="false">IF(ISNUMBER($AW93*BF93),$AW93*BF93,"")</f>
        <v/>
      </c>
      <c r="CG93" s="1372" t="str">
        <f aca="false">IF(ISNUMBER($AX93*BG93),$AX93*BG93,"")</f>
        <v/>
      </c>
      <c r="CH93" s="1438"/>
      <c r="CI93" s="1438"/>
      <c r="CJ93" s="1438"/>
      <c r="CK93" s="1438"/>
      <c r="CU93" s="1411"/>
      <c r="CV93" s="1411"/>
      <c r="CW93" s="1425"/>
      <c r="CX93" s="1425"/>
      <c r="CY93" s="1425"/>
      <c r="CZ93" s="1425"/>
      <c r="DA93" s="1411"/>
      <c r="DB93" s="1411"/>
      <c r="DC93" s="1411"/>
      <c r="DD93" s="1411"/>
      <c r="DE93" s="1411"/>
      <c r="DF93" s="1411"/>
      <c r="DH93" s="1432"/>
      <c r="DI93" s="1432"/>
      <c r="DJ93" s="1437"/>
      <c r="DK93" s="1437"/>
      <c r="DL93" s="1437"/>
      <c r="DM93" s="1437"/>
      <c r="DN93" s="1432"/>
      <c r="DO93" s="1432"/>
      <c r="DP93" s="1432"/>
      <c r="DQ93" s="1432"/>
      <c r="DR93" s="1432"/>
      <c r="DS93" s="1432"/>
      <c r="DT93" s="1316"/>
      <c r="DU93" s="1433"/>
      <c r="DV93" s="1433"/>
      <c r="DW93" s="1433"/>
      <c r="DX93" s="1433"/>
      <c r="DY93" s="1433"/>
      <c r="DZ93" s="1433"/>
      <c r="EA93" s="1433"/>
      <c r="EB93" s="1433"/>
    </row>
    <row r="94" customFormat="false" ht="14.25" hidden="false" customHeight="false" outlineLevel="0" collapsed="false">
      <c r="A94" s="2" t="n">
        <f aca="false">'V_DATOS PAC_SGA'!CC89</f>
        <v>0</v>
      </c>
      <c r="B94" s="2" t="n">
        <f aca="false">IF(OR(A94=0,A94=""),0,IF(I94="IV",CONCATENATE('V_DATOS PAC_SGA'!CC89,"4")+0,CONCATENATE('V_DATOS PAC_SGA'!CC89,"0")+0))</f>
        <v>0</v>
      </c>
      <c r="C94" s="2" t="n">
        <f aca="false">'V_DATOS PAC_SGA'!CD89</f>
        <v>0</v>
      </c>
      <c r="D94" s="1409" t="n">
        <f aca="false">'V_DATOS PAC_SGA'!Y89</f>
        <v>0</v>
      </c>
      <c r="E94" s="1410" t="str">
        <f aca="false">IF('V_DATOS PAC_SGA'!AV89="","Regadio",'V_DATOS PAC_SGA'!AV89)</f>
        <v>Regadio</v>
      </c>
      <c r="F94" s="1411" t="n">
        <f aca="false">'V_DATOS PAC_SGA'!BK89</f>
        <v>0</v>
      </c>
      <c r="G94" s="1412" t="n">
        <f aca="false">'V_DATOS PAC_SGA'!AN89</f>
        <v>0</v>
      </c>
      <c r="H94" s="1413" t="str">
        <f aca="false">IF(B94&gt;0,VLOOKUP(B94,'O_MN, PE_UTA_UGM 2024'!E$3:O$419,10),"")</f>
        <v/>
      </c>
      <c r="I94" s="1359" t="str">
        <f aca="false">IF('V_DATOS PAC_SGA'!BV89="IV",'V_DATOS PAC_SGA'!BV89,"")</f>
        <v/>
      </c>
      <c r="J94" s="2" t="str">
        <f aca="false">IF($A94&gt;0,IF(AND(J$4=$G94,J$6=$F94),$D94*J$5,""),"")</f>
        <v/>
      </c>
      <c r="K94" s="2" t="str">
        <f aca="false">IF($A94&gt;0,IF(AND(K$4=$G94,K$6=$F94),$D94*K$5,""),"")</f>
        <v/>
      </c>
      <c r="L94" s="2" t="str">
        <f aca="false">IF($A94&gt;0,IF(AND(L$4=$G94,L$6=$F94),$D94*L$5,""),"")</f>
        <v/>
      </c>
      <c r="M94" s="2" t="str">
        <f aca="false">IF($A94&gt;0,IF(AND(M$4=$G94,M$6=$F94),$D94*M$5,""),"")</f>
        <v/>
      </c>
      <c r="N94" s="1506" t="n">
        <f aca="false">VLOOKUP(B94,'O_MN, PE_UTA_UGM 2024'!$E$2:$K$419,IF(G94&gt;1,6,7))</f>
        <v>0</v>
      </c>
      <c r="O94" s="1434" t="str">
        <f aca="false">IF($H94=O$4,$D94*$N94,"")</f>
        <v/>
      </c>
      <c r="P94" s="1435" t="str">
        <f aca="false">IF($H94=P$4,$D94*$N94,"")</f>
        <v/>
      </c>
      <c r="Q94" s="1435" t="str">
        <f aca="false">IF($H94=Q$4,$D94*$N94,"")</f>
        <v/>
      </c>
      <c r="R94" s="1435" t="str">
        <f aca="false">IF($H94=R$4,$D94*$N94,"")</f>
        <v/>
      </c>
      <c r="S94" s="1435" t="str">
        <f aca="false">IF($H94=S$4,$D94*$N94,"")</f>
        <v/>
      </c>
      <c r="T94" s="1435" t="str">
        <f aca="false">IF($H94=T$4,$D94*$N94,"")</f>
        <v/>
      </c>
      <c r="U94" s="1436" t="str">
        <f aca="false">IF($H94=U$4,$D94*$N94,"")</f>
        <v/>
      </c>
      <c r="V94" s="1418"/>
      <c r="W94" s="1419"/>
      <c r="X94" s="1419"/>
      <c r="Y94" s="1419"/>
      <c r="Z94" s="1419"/>
      <c r="AA94" s="1419"/>
      <c r="AB94" s="1420"/>
      <c r="AC94" s="1319"/>
      <c r="AD94" s="2" t="str">
        <f aca="false">IF(AND(AD$4=$G94,AD$6=$F94),$B94,"")</f>
        <v/>
      </c>
      <c r="AE94" s="2" t="str">
        <f aca="false">IF(AND(AE$4=$G94,AE$6=$F94),$B94,"")</f>
        <v/>
      </c>
      <c r="AF94" s="2" t="str">
        <f aca="false">IF(AND(AF$4=$G94,AF$6=$F94),$B94,"")</f>
        <v/>
      </c>
      <c r="AG94" s="2" t="str">
        <f aca="false">IF(AND(AG$4=$G94,AG$6=$F94),$B94,"")</f>
        <v/>
      </c>
      <c r="AI94" s="366"/>
      <c r="AL94" s="367"/>
      <c r="AO94" s="367"/>
      <c r="AP94" s="2" t="str">
        <f aca="false">IF(AT94&gt;0,RANK(AT94,AT$7:AT$423),"")</f>
        <v/>
      </c>
      <c r="AQ94" s="2" t="n">
        <f aca="false">'O_MN, PE_UTA_UGM 2024'!C90</f>
        <v>152</v>
      </c>
      <c r="AR94" s="1421" t="n">
        <v>1514</v>
      </c>
      <c r="AS94" s="2" t="str">
        <f aca="false">IF(AY94&lt;&gt;"",AY94,"")</f>
        <v/>
      </c>
      <c r="AT94" s="1422" t="n">
        <f aca="false">IF(ISNUMBER($AR94),SUMIF(B$7:B$505,AR94,D$7:D$505),"")</f>
        <v>0</v>
      </c>
      <c r="AU94" s="1411" t="n">
        <f aca="false">IF(ISNUMBER($AR94),SUMIF(AD$7:AD$503,$AR94,J$7:J$503),"")</f>
        <v>0</v>
      </c>
      <c r="AV94" s="1411" t="n">
        <f aca="false">IF(ISNUMBER($AR94),SUMIF(AF$7:AF$503,$AR94,L$7:L$503),"")</f>
        <v>0</v>
      </c>
      <c r="AW94" s="1423" t="n">
        <f aca="false">IF(ISNUMBER($AR94),SUMIF(AE$7:AE$503,$AR94,K$7:K$503),"")</f>
        <v>0</v>
      </c>
      <c r="AX94" s="1423" t="n">
        <f aca="false">IF(ISNUMBER($AR94),SUMIF(AG$7:AG$503,$AR94,M$7:M$503),"")</f>
        <v>0</v>
      </c>
      <c r="AY94" s="2" t="str">
        <f aca="false">IF($AT94&gt;0,VLOOKUP($AR94,'O_MN, PE_UTA_UGM 2024'!E90:O506,2),"")</f>
        <v/>
      </c>
      <c r="AZ94" s="1507"/>
      <c r="BA94" s="1507"/>
      <c r="BB94" s="1507" t="str">
        <f aca="false">IF($AT94&gt;0,VLOOKUP($AR94,'O_MN, PE_UTA_UGM 2024'!$E$3:$O$419,BB$6),"")</f>
        <v/>
      </c>
      <c r="BC94" s="1507" t="str">
        <f aca="false">IF($AT94&gt;0,VLOOKUP($AR94,'O_MN, PE_UTA_UGM 2024'!$E$3:$O$419,BC$6),"")</f>
        <v/>
      </c>
      <c r="BD94" s="1507" t="str">
        <f aca="false">IF($AT94&gt;0,VLOOKUP($AR94,'O_MN, PE_UTA_UGM 2024'!$E$3:$O$419,BD$6),"")</f>
        <v/>
      </c>
      <c r="BE94" s="1507" t="str">
        <f aca="false">IF($AT94&gt;0,VLOOKUP($AR94,'O_MN, PE_UTA_UGM 2024'!$E$3:$O$419,BE$6),"")</f>
        <v/>
      </c>
      <c r="BF94" s="1507" t="str">
        <f aca="false">IF($AT94&gt;0,VLOOKUP($AR94,'O_MN, PE_UTA_UGM 2024'!$E$3:$O$419,BF$6),"")</f>
        <v/>
      </c>
      <c r="BG94" s="1507" t="str">
        <f aca="false">IF($AT94&gt;0,VLOOKUP($AR94,'O_MN, PE_UTA_UGM 2024'!$E$3:$O$419,BG$6),"")</f>
        <v/>
      </c>
      <c r="BH94" s="1504"/>
      <c r="BI94" s="1504"/>
      <c r="BJ94" s="1504"/>
      <c r="BK94" s="1504"/>
      <c r="BM94" s="1411"/>
      <c r="BN94" s="1411"/>
      <c r="BO94" s="1425" t="str">
        <f aca="false">IF(ISNUMBER($AU94*BB94*1),$AU94*BB94*1,"")</f>
        <v/>
      </c>
      <c r="BP94" s="1425" t="str">
        <f aca="false">IF(ISNUMBER($AV94*BC94*1),$AV94*BC94*1,"")</f>
        <v/>
      </c>
      <c r="BQ94" s="1425" t="str">
        <f aca="false">IF(ISNUMBER($AU94*BD94*1),$AU94*BD94*1,"")</f>
        <v/>
      </c>
      <c r="BR94" s="1425" t="str">
        <f aca="false">IF(ISNUMBER($AV94*BE94*1),$AV94*BE94*1,"")</f>
        <v/>
      </c>
      <c r="BS94" s="1411" t="str">
        <f aca="false">IF(ISNUMBER($AU94*BF94),$AU94*BF94,"")</f>
        <v/>
      </c>
      <c r="BT94" s="1411" t="str">
        <f aca="false">IF(ISNUMBER($AV94*BG94),$AV94*BG94,"")</f>
        <v/>
      </c>
      <c r="BU94" s="1411"/>
      <c r="BV94" s="1411"/>
      <c r="BW94" s="1411"/>
      <c r="BX94" s="1411"/>
      <c r="BZ94" s="1372"/>
      <c r="CA94" s="1372"/>
      <c r="CB94" s="1426" t="str">
        <f aca="false">IF(ISNUMBER($AW94*BB94),$AW94*BB94,"")</f>
        <v/>
      </c>
      <c r="CC94" s="1426" t="str">
        <f aca="false">IF(ISNUMBER($AX94*BC94),$AX94*BC94,"")</f>
        <v/>
      </c>
      <c r="CD94" s="1426" t="str">
        <f aca="false">IF(ISNUMBER($AW94*BD94),$AW94*BD94,"")</f>
        <v/>
      </c>
      <c r="CE94" s="1426" t="str">
        <f aca="false">IF(ISNUMBER($AX94*BE94),$AX94*BE94,"")</f>
        <v/>
      </c>
      <c r="CF94" s="1372" t="str">
        <f aca="false">IF(ISNUMBER($AW94*BF94),$AW94*BF94,"")</f>
        <v/>
      </c>
      <c r="CG94" s="1372" t="str">
        <f aca="false">IF(ISNUMBER($AX94*BG94),$AX94*BG94,"")</f>
        <v/>
      </c>
      <c r="CH94" s="1438"/>
      <c r="CI94" s="1438"/>
      <c r="CJ94" s="1438"/>
      <c r="CK94" s="1438"/>
      <c r="CU94" s="1411"/>
      <c r="CV94" s="1411"/>
      <c r="CW94" s="1425"/>
      <c r="CX94" s="1425"/>
      <c r="CY94" s="1425"/>
      <c r="CZ94" s="1425"/>
      <c r="DA94" s="1411"/>
      <c r="DB94" s="1411"/>
      <c r="DC94" s="1411"/>
      <c r="DD94" s="1411"/>
      <c r="DE94" s="1411"/>
      <c r="DF94" s="1411"/>
      <c r="DH94" s="1432"/>
      <c r="DI94" s="1432"/>
      <c r="DJ94" s="1437"/>
      <c r="DK94" s="1437"/>
      <c r="DL94" s="1437"/>
      <c r="DM94" s="1437"/>
      <c r="DN94" s="1432"/>
      <c r="DO94" s="1432"/>
      <c r="DP94" s="1432"/>
      <c r="DQ94" s="1432"/>
      <c r="DR94" s="1432"/>
      <c r="DS94" s="1432"/>
      <c r="DT94" s="1316"/>
      <c r="DU94" s="1433"/>
      <c r="DV94" s="1433"/>
      <c r="DW94" s="1433"/>
      <c r="DX94" s="1433"/>
      <c r="DY94" s="1433"/>
      <c r="DZ94" s="1433"/>
      <c r="EA94" s="1433"/>
      <c r="EB94" s="1433"/>
    </row>
    <row r="95" customFormat="false" ht="14.25" hidden="false" customHeight="false" outlineLevel="0" collapsed="false">
      <c r="A95" s="2" t="n">
        <f aca="false">'V_DATOS PAC_SGA'!CC90</f>
        <v>0</v>
      </c>
      <c r="B95" s="2" t="n">
        <f aca="false">IF(OR(A95=0,A95=""),0,IF(I95="IV",CONCATENATE('V_DATOS PAC_SGA'!CC90,"4")+0,CONCATENATE('V_DATOS PAC_SGA'!CC90,"0")+0))</f>
        <v>0</v>
      </c>
      <c r="C95" s="2" t="n">
        <f aca="false">'V_DATOS PAC_SGA'!CD90</f>
        <v>0</v>
      </c>
      <c r="D95" s="1409" t="n">
        <f aca="false">'V_DATOS PAC_SGA'!Y90</f>
        <v>0</v>
      </c>
      <c r="E95" s="1410" t="str">
        <f aca="false">IF('V_DATOS PAC_SGA'!AV90="","Regadio",'V_DATOS PAC_SGA'!AV90)</f>
        <v>Regadio</v>
      </c>
      <c r="F95" s="1411" t="n">
        <f aca="false">'V_DATOS PAC_SGA'!BK90</f>
        <v>0</v>
      </c>
      <c r="G95" s="1412" t="n">
        <f aca="false">'V_DATOS PAC_SGA'!AN90</f>
        <v>0</v>
      </c>
      <c r="H95" s="1413" t="str">
        <f aca="false">IF(B95&gt;0,VLOOKUP(B95,'O_MN, PE_UTA_UGM 2024'!E$3:O$419,10),"")</f>
        <v/>
      </c>
      <c r="I95" s="1359" t="str">
        <f aca="false">IF('V_DATOS PAC_SGA'!BV90="IV",'V_DATOS PAC_SGA'!BV90,"")</f>
        <v/>
      </c>
      <c r="J95" s="2" t="str">
        <f aca="false">IF($A95&gt;0,IF(AND(J$4=$G95,J$6=$F95),$D95*J$5,""),"")</f>
        <v/>
      </c>
      <c r="K95" s="2" t="str">
        <f aca="false">IF($A95&gt;0,IF(AND(K$4=$G95,K$6=$F95),$D95*K$5,""),"")</f>
        <v/>
      </c>
      <c r="L95" s="2" t="str">
        <f aca="false">IF($A95&gt;0,IF(AND(L$4=$G95,L$6=$F95),$D95*L$5,""),"")</f>
        <v/>
      </c>
      <c r="M95" s="2" t="str">
        <f aca="false">IF($A95&gt;0,IF(AND(M$4=$G95,M$6=$F95),$D95*M$5,""),"")</f>
        <v/>
      </c>
      <c r="N95" s="1506" t="n">
        <f aca="false">VLOOKUP(B95,'O_MN, PE_UTA_UGM 2024'!$E$2:$K$419,IF(G95&gt;1,6,7))</f>
        <v>0</v>
      </c>
      <c r="O95" s="1434" t="str">
        <f aca="false">IF($H95=O$4,$D95*$N95,"")</f>
        <v/>
      </c>
      <c r="P95" s="1435" t="str">
        <f aca="false">IF($H95=P$4,$D95*$N95,"")</f>
        <v/>
      </c>
      <c r="Q95" s="1435" t="str">
        <f aca="false">IF($H95=Q$4,$D95*$N95,"")</f>
        <v/>
      </c>
      <c r="R95" s="1435" t="str">
        <f aca="false">IF($H95=R$4,$D95*$N95,"")</f>
        <v/>
      </c>
      <c r="S95" s="1435" t="str">
        <f aca="false">IF($H95=S$4,$D95*$N95,"")</f>
        <v/>
      </c>
      <c r="T95" s="1435" t="str">
        <f aca="false">IF($H95=T$4,$D95*$N95,"")</f>
        <v/>
      </c>
      <c r="U95" s="1436" t="str">
        <f aca="false">IF($H95=U$4,$D95*$N95,"")</f>
        <v/>
      </c>
      <c r="V95" s="1418"/>
      <c r="W95" s="1419"/>
      <c r="X95" s="1419"/>
      <c r="Y95" s="1419"/>
      <c r="Z95" s="1419"/>
      <c r="AA95" s="1419"/>
      <c r="AB95" s="1420"/>
      <c r="AC95" s="1319"/>
      <c r="AD95" s="2" t="str">
        <f aca="false">IF(AND(AD$4=$G95,AD$6=$F95),$B95,"")</f>
        <v/>
      </c>
      <c r="AE95" s="2" t="str">
        <f aca="false">IF(AND(AE$4=$G95,AE$6=$F95),$B95,"")</f>
        <v/>
      </c>
      <c r="AF95" s="2" t="str">
        <f aca="false">IF(AND(AF$4=$G95,AF$6=$F95),$B95,"")</f>
        <v/>
      </c>
      <c r="AG95" s="2" t="str">
        <f aca="false">IF(AND(AG$4=$G95,AG$6=$F95),$B95,"")</f>
        <v/>
      </c>
      <c r="AI95" s="366"/>
      <c r="AL95" s="367"/>
      <c r="AO95" s="367"/>
      <c r="AP95" s="2" t="str">
        <f aca="false">IF(AT95&gt;0,RANK(AT95,AT$7:AT$423),"")</f>
        <v/>
      </c>
      <c r="AQ95" s="2" t="n">
        <f aca="false">'O_MN, PE_UTA_UGM 2024'!C91</f>
        <v>153</v>
      </c>
      <c r="AR95" s="1421" t="n">
        <v>1519</v>
      </c>
      <c r="AS95" s="2" t="str">
        <f aca="false">IF(AY95&lt;&gt;"",AY95,"")</f>
        <v/>
      </c>
      <c r="AT95" s="1422" t="n">
        <f aca="false">IF(ISNUMBER($AR95),SUMIF(B$7:B$505,AR95,D$7:D$505),"")</f>
        <v>0</v>
      </c>
      <c r="AU95" s="1411" t="n">
        <f aca="false">IF(ISNUMBER($AR95),SUMIF(AD$7:AD$503,$AR95,J$7:J$503),"")</f>
        <v>0</v>
      </c>
      <c r="AV95" s="1411" t="n">
        <f aca="false">IF(ISNUMBER($AR95),SUMIF(AF$7:AF$503,$AR95,L$7:L$503),"")</f>
        <v>0</v>
      </c>
      <c r="AW95" s="1423" t="n">
        <f aca="false">IF(ISNUMBER($AR95),SUMIF(AE$7:AE$503,$AR95,K$7:K$503),"")</f>
        <v>0</v>
      </c>
      <c r="AX95" s="1423" t="n">
        <f aca="false">IF(ISNUMBER($AR95),SUMIF(AG$7:AG$503,$AR95,M$7:M$503),"")</f>
        <v>0</v>
      </c>
      <c r="AY95" s="2" t="str">
        <f aca="false">IF($AT95&gt;0,VLOOKUP($AR95,'O_MN, PE_UTA_UGM 2024'!E91:O507,2),"")</f>
        <v/>
      </c>
      <c r="AZ95" s="1507"/>
      <c r="BA95" s="1507"/>
      <c r="BB95" s="1507" t="str">
        <f aca="false">IF($AT95&gt;0,VLOOKUP($AR95,'O_MN, PE_UTA_UGM 2024'!$E$3:$O$419,BB$6),"")</f>
        <v/>
      </c>
      <c r="BC95" s="1507" t="str">
        <f aca="false">IF($AT95&gt;0,VLOOKUP($AR95,'O_MN, PE_UTA_UGM 2024'!$E$3:$O$419,BC$6),"")</f>
        <v/>
      </c>
      <c r="BD95" s="1507" t="str">
        <f aca="false">IF($AT95&gt;0,VLOOKUP($AR95,'O_MN, PE_UTA_UGM 2024'!$E$3:$O$419,BD$6),"")</f>
        <v/>
      </c>
      <c r="BE95" s="1507" t="str">
        <f aca="false">IF($AT95&gt;0,VLOOKUP($AR95,'O_MN, PE_UTA_UGM 2024'!$E$3:$O$419,BE$6),"")</f>
        <v/>
      </c>
      <c r="BF95" s="1507" t="str">
        <f aca="false">IF($AT95&gt;0,VLOOKUP($AR95,'O_MN, PE_UTA_UGM 2024'!$E$3:$O$419,BF$6),"")</f>
        <v/>
      </c>
      <c r="BG95" s="1507" t="str">
        <f aca="false">IF($AT95&gt;0,VLOOKUP($AR95,'O_MN, PE_UTA_UGM 2024'!$E$3:$O$419,BG$6),"")</f>
        <v/>
      </c>
      <c r="BH95" s="1504"/>
      <c r="BI95" s="1504"/>
      <c r="BJ95" s="1504"/>
      <c r="BK95" s="1504"/>
      <c r="BM95" s="1411"/>
      <c r="BN95" s="1411"/>
      <c r="BO95" s="1425" t="str">
        <f aca="false">IF(ISNUMBER($AU95*BB95*1),$AU95*BB95*1,"")</f>
        <v/>
      </c>
      <c r="BP95" s="1425" t="str">
        <f aca="false">IF(ISNUMBER($AV95*BC95*1),$AV95*BC95*1,"")</f>
        <v/>
      </c>
      <c r="BQ95" s="1425" t="str">
        <f aca="false">IF(ISNUMBER($AU95*BD95*1),$AU95*BD95*1,"")</f>
        <v/>
      </c>
      <c r="BR95" s="1425" t="str">
        <f aca="false">IF(ISNUMBER($AV95*BE95*1),$AV95*BE95*1,"")</f>
        <v/>
      </c>
      <c r="BS95" s="1411" t="str">
        <f aca="false">IF(ISNUMBER($AU95*BF95),$AU95*BF95,"")</f>
        <v/>
      </c>
      <c r="BT95" s="1411" t="str">
        <f aca="false">IF(ISNUMBER($AV95*BG95),$AV95*BG95,"")</f>
        <v/>
      </c>
      <c r="BU95" s="1411"/>
      <c r="BV95" s="1411"/>
      <c r="BW95" s="1411"/>
      <c r="BX95" s="1411"/>
      <c r="BZ95" s="1372"/>
      <c r="CA95" s="1372"/>
      <c r="CB95" s="1426" t="str">
        <f aca="false">IF(ISNUMBER($AW95*BB95),$AW95*BB95,"")</f>
        <v/>
      </c>
      <c r="CC95" s="1426" t="str">
        <f aca="false">IF(ISNUMBER($AX95*BC95),$AX95*BC95,"")</f>
        <v/>
      </c>
      <c r="CD95" s="1426" t="str">
        <f aca="false">IF(ISNUMBER($AW95*BD95),$AW95*BD95,"")</f>
        <v/>
      </c>
      <c r="CE95" s="1426" t="str">
        <f aca="false">IF(ISNUMBER($AX95*BE95),$AX95*BE95,"")</f>
        <v/>
      </c>
      <c r="CF95" s="1372" t="str">
        <f aca="false">IF(ISNUMBER($AW95*BF95),$AW95*BF95,"")</f>
        <v/>
      </c>
      <c r="CG95" s="1372" t="str">
        <f aca="false">IF(ISNUMBER($AX95*BG95),$AX95*BG95,"")</f>
        <v/>
      </c>
      <c r="CH95" s="1438"/>
      <c r="CI95" s="1438"/>
      <c r="CJ95" s="1438"/>
      <c r="CK95" s="1438"/>
      <c r="CU95" s="1411"/>
      <c r="CV95" s="1411"/>
      <c r="CW95" s="1425"/>
      <c r="CX95" s="1425"/>
      <c r="CY95" s="1425"/>
      <c r="CZ95" s="1425"/>
      <c r="DA95" s="1411"/>
      <c r="DB95" s="1411"/>
      <c r="DC95" s="1411"/>
      <c r="DD95" s="1411"/>
      <c r="DE95" s="1411"/>
      <c r="DF95" s="1411"/>
      <c r="DH95" s="1432"/>
      <c r="DI95" s="1432"/>
      <c r="DJ95" s="1437"/>
      <c r="DK95" s="1437"/>
      <c r="DL95" s="1437"/>
      <c r="DM95" s="1437"/>
      <c r="DN95" s="1432"/>
      <c r="DO95" s="1432"/>
      <c r="DP95" s="1432"/>
      <c r="DQ95" s="1432"/>
      <c r="DR95" s="1432"/>
      <c r="DS95" s="1432"/>
      <c r="DT95" s="1316"/>
      <c r="DU95" s="1433"/>
      <c r="DV95" s="1433"/>
      <c r="DW95" s="1433"/>
      <c r="DX95" s="1433"/>
      <c r="DY95" s="1433"/>
      <c r="DZ95" s="1433"/>
      <c r="EA95" s="1433"/>
      <c r="EB95" s="1433"/>
    </row>
    <row r="96" customFormat="false" ht="14.25" hidden="false" customHeight="false" outlineLevel="0" collapsed="false">
      <c r="A96" s="2" t="n">
        <f aca="false">'V_DATOS PAC_SGA'!CC91</f>
        <v>0</v>
      </c>
      <c r="B96" s="2" t="n">
        <f aca="false">IF(OR(A96=0,A96=""),0,IF(I96="IV",CONCATENATE('V_DATOS PAC_SGA'!CC91,"4")+0,CONCATENATE('V_DATOS PAC_SGA'!CC91,"0")+0))</f>
        <v>0</v>
      </c>
      <c r="C96" s="2" t="n">
        <f aca="false">'V_DATOS PAC_SGA'!CD91</f>
        <v>0</v>
      </c>
      <c r="D96" s="1409" t="n">
        <f aca="false">'V_DATOS PAC_SGA'!Y91</f>
        <v>0</v>
      </c>
      <c r="E96" s="1410" t="str">
        <f aca="false">IF('V_DATOS PAC_SGA'!AV91="","Regadio",'V_DATOS PAC_SGA'!AV91)</f>
        <v>Regadio</v>
      </c>
      <c r="F96" s="1411" t="n">
        <f aca="false">'V_DATOS PAC_SGA'!BK91</f>
        <v>0</v>
      </c>
      <c r="G96" s="1412" t="n">
        <f aca="false">'V_DATOS PAC_SGA'!AN91</f>
        <v>0</v>
      </c>
      <c r="H96" s="1413" t="str">
        <f aca="false">IF(B96&gt;0,VLOOKUP(B96,'O_MN, PE_UTA_UGM 2024'!E$3:O$419,10),"")</f>
        <v/>
      </c>
      <c r="I96" s="1359" t="str">
        <f aca="false">IF('V_DATOS PAC_SGA'!BV91="IV",'V_DATOS PAC_SGA'!BV91,"")</f>
        <v/>
      </c>
      <c r="J96" s="2" t="str">
        <f aca="false">IF($A96&gt;0,IF(AND(J$4=$G96,J$6=$F96),$D96*J$5,""),"")</f>
        <v/>
      </c>
      <c r="K96" s="2" t="str">
        <f aca="false">IF($A96&gt;0,IF(AND(K$4=$G96,K$6=$F96),$D96*K$5,""),"")</f>
        <v/>
      </c>
      <c r="L96" s="2" t="str">
        <f aca="false">IF($A96&gt;0,IF(AND(L$4=$G96,L$6=$F96),$D96*L$5,""),"")</f>
        <v/>
      </c>
      <c r="M96" s="2" t="str">
        <f aca="false">IF($A96&gt;0,IF(AND(M$4=$G96,M$6=$F96),$D96*M$5,""),"")</f>
        <v/>
      </c>
      <c r="N96" s="1506" t="n">
        <f aca="false">VLOOKUP(B96,'O_MN, PE_UTA_UGM 2024'!$E$2:$K$419,IF(G96&gt;1,6,7))</f>
        <v>0</v>
      </c>
      <c r="O96" s="1434" t="str">
        <f aca="false">IF($H96=O$4,$D96*$N96,"")</f>
        <v/>
      </c>
      <c r="P96" s="1435" t="str">
        <f aca="false">IF($H96=P$4,$D96*$N96,"")</f>
        <v/>
      </c>
      <c r="Q96" s="1435" t="str">
        <f aca="false">IF($H96=Q$4,$D96*$N96,"")</f>
        <v/>
      </c>
      <c r="R96" s="1435" t="str">
        <f aca="false">IF($H96=R$4,$D96*$N96,"")</f>
        <v/>
      </c>
      <c r="S96" s="1435" t="str">
        <f aca="false">IF($H96=S$4,$D96*$N96,"")</f>
        <v/>
      </c>
      <c r="T96" s="1435" t="str">
        <f aca="false">IF($H96=T$4,$D96*$N96,"")</f>
        <v/>
      </c>
      <c r="U96" s="1436" t="str">
        <f aca="false">IF($H96=U$4,$D96*$N96,"")</f>
        <v/>
      </c>
      <c r="V96" s="1418"/>
      <c r="W96" s="1419"/>
      <c r="X96" s="1419"/>
      <c r="Y96" s="1419"/>
      <c r="Z96" s="1419"/>
      <c r="AA96" s="1419"/>
      <c r="AB96" s="1420"/>
      <c r="AC96" s="1319"/>
      <c r="AD96" s="2" t="str">
        <f aca="false">IF(AND(AD$4=$G96,AD$6=$F96),$B96,"")</f>
        <v/>
      </c>
      <c r="AE96" s="2" t="str">
        <f aca="false">IF(AND(AE$4=$G96,AE$6=$F96),$B96,"")</f>
        <v/>
      </c>
      <c r="AF96" s="2" t="str">
        <f aca="false">IF(AND(AF$4=$G96,AF$6=$F96),$B96,"")</f>
        <v/>
      </c>
      <c r="AG96" s="2" t="str">
        <f aca="false">IF(AND(AG$4=$G96,AG$6=$F96),$B96,"")</f>
        <v/>
      </c>
      <c r="AI96" s="366"/>
      <c r="AL96" s="367"/>
      <c r="AO96" s="367"/>
      <c r="AP96" s="2" t="str">
        <f aca="false">IF(AT96&gt;0,RANK(AT96,AT$7:AT$423),"")</f>
        <v/>
      </c>
      <c r="AQ96" s="2" t="n">
        <f aca="false">'O_MN, PE_UTA_UGM 2024'!C92</f>
        <v>153</v>
      </c>
      <c r="AR96" s="1421" t="n">
        <v>1520</v>
      </c>
      <c r="AS96" s="2" t="str">
        <f aca="false">IF(AY96&lt;&gt;"",AY96,"")</f>
        <v/>
      </c>
      <c r="AT96" s="1422" t="n">
        <f aca="false">IF(ISNUMBER($AR96),SUMIF(B$7:B$505,AR96,D$7:D$505),"")</f>
        <v>0</v>
      </c>
      <c r="AU96" s="1411" t="n">
        <f aca="false">IF(ISNUMBER($AR96),SUMIF(AD$7:AD$503,$AR96,J$7:J$503),"")</f>
        <v>0</v>
      </c>
      <c r="AV96" s="1411" t="n">
        <f aca="false">IF(ISNUMBER($AR96),SUMIF(AF$7:AF$503,$AR96,L$7:L$503),"")</f>
        <v>0</v>
      </c>
      <c r="AW96" s="1423" t="n">
        <f aca="false">IF(ISNUMBER($AR96),SUMIF(AE$7:AE$503,$AR96,K$7:K$503),"")</f>
        <v>0</v>
      </c>
      <c r="AX96" s="1423" t="n">
        <f aca="false">IF(ISNUMBER($AR96),SUMIF(AG$7:AG$503,$AR96,M$7:M$503),"")</f>
        <v>0</v>
      </c>
      <c r="AY96" s="2" t="str">
        <f aca="false">IF($AT96&gt;0,VLOOKUP($AR96,'O_MN, PE_UTA_UGM 2024'!E92:O508,2),"")</f>
        <v/>
      </c>
      <c r="AZ96" s="1507"/>
      <c r="BA96" s="1507"/>
      <c r="BB96" s="1507" t="str">
        <f aca="false">IF($AT96&gt;0,VLOOKUP($AR96,'O_MN, PE_UTA_UGM 2024'!$E$3:$O$419,BB$6),"")</f>
        <v/>
      </c>
      <c r="BC96" s="1507" t="str">
        <f aca="false">IF($AT96&gt;0,VLOOKUP($AR96,'O_MN, PE_UTA_UGM 2024'!$E$3:$O$419,BC$6),"")</f>
        <v/>
      </c>
      <c r="BD96" s="1507" t="str">
        <f aca="false">IF($AT96&gt;0,VLOOKUP($AR96,'O_MN, PE_UTA_UGM 2024'!$E$3:$O$419,BD$6),"")</f>
        <v/>
      </c>
      <c r="BE96" s="1507" t="str">
        <f aca="false">IF($AT96&gt;0,VLOOKUP($AR96,'O_MN, PE_UTA_UGM 2024'!$E$3:$O$419,BE$6),"")</f>
        <v/>
      </c>
      <c r="BF96" s="1507" t="str">
        <f aca="false">IF($AT96&gt;0,VLOOKUP($AR96,'O_MN, PE_UTA_UGM 2024'!$E$3:$O$419,BF$6),"")</f>
        <v/>
      </c>
      <c r="BG96" s="1507" t="str">
        <f aca="false">IF($AT96&gt;0,VLOOKUP($AR96,'O_MN, PE_UTA_UGM 2024'!$E$3:$O$419,BG$6),"")</f>
        <v/>
      </c>
      <c r="BH96" s="1504"/>
      <c r="BI96" s="1504"/>
      <c r="BJ96" s="1504"/>
      <c r="BK96" s="1504"/>
      <c r="BM96" s="1411"/>
      <c r="BN96" s="1411"/>
      <c r="BO96" s="1425" t="str">
        <f aca="false">IF(ISNUMBER($AU96*BB96*1),$AU96*BB96*1,"")</f>
        <v/>
      </c>
      <c r="BP96" s="1425" t="str">
        <f aca="false">IF(ISNUMBER($AV96*BC96*1),$AV96*BC96*1,"")</f>
        <v/>
      </c>
      <c r="BQ96" s="1425" t="str">
        <f aca="false">IF(ISNUMBER($AU96*BD96*1),$AU96*BD96*1,"")</f>
        <v/>
      </c>
      <c r="BR96" s="1425" t="str">
        <f aca="false">IF(ISNUMBER($AV96*BE96*1),$AV96*BE96*1,"")</f>
        <v/>
      </c>
      <c r="BS96" s="1411" t="str">
        <f aca="false">IF(ISNUMBER($AU96*BF96),$AU96*BF96,"")</f>
        <v/>
      </c>
      <c r="BT96" s="1411" t="str">
        <f aca="false">IF(ISNUMBER($AV96*BG96),$AV96*BG96,"")</f>
        <v/>
      </c>
      <c r="BU96" s="1411"/>
      <c r="BV96" s="1411"/>
      <c r="BW96" s="1411"/>
      <c r="BX96" s="1411"/>
      <c r="BZ96" s="1372"/>
      <c r="CA96" s="1372"/>
      <c r="CB96" s="1426" t="str">
        <f aca="false">IF(ISNUMBER($AW96*BB96),$AW96*BB96,"")</f>
        <v/>
      </c>
      <c r="CC96" s="1426" t="str">
        <f aca="false">IF(ISNUMBER($AX96*BC96),$AX96*BC96,"")</f>
        <v/>
      </c>
      <c r="CD96" s="1426" t="str">
        <f aca="false">IF(ISNUMBER($AW96*BD96),$AW96*BD96,"")</f>
        <v/>
      </c>
      <c r="CE96" s="1426" t="str">
        <f aca="false">IF(ISNUMBER($AX96*BE96),$AX96*BE96,"")</f>
        <v/>
      </c>
      <c r="CF96" s="1372" t="str">
        <f aca="false">IF(ISNUMBER($AW96*BF96),$AW96*BF96,"")</f>
        <v/>
      </c>
      <c r="CG96" s="1372" t="str">
        <f aca="false">IF(ISNUMBER($AX96*BG96),$AX96*BG96,"")</f>
        <v/>
      </c>
      <c r="CH96" s="1438"/>
      <c r="CI96" s="1438"/>
      <c r="CJ96" s="1438"/>
      <c r="CK96" s="1438"/>
      <c r="CU96" s="1411"/>
      <c r="CV96" s="1411"/>
      <c r="CW96" s="1425"/>
      <c r="CX96" s="1425"/>
      <c r="CY96" s="1425"/>
      <c r="CZ96" s="1425"/>
      <c r="DA96" s="1411"/>
      <c r="DB96" s="1411"/>
      <c r="DC96" s="1411"/>
      <c r="DD96" s="1411"/>
      <c r="DE96" s="1411"/>
      <c r="DF96" s="1411"/>
      <c r="DH96" s="1432"/>
      <c r="DI96" s="1432"/>
      <c r="DJ96" s="1437"/>
      <c r="DK96" s="1437"/>
      <c r="DL96" s="1437"/>
      <c r="DM96" s="1437"/>
      <c r="DN96" s="1432"/>
      <c r="DO96" s="1432"/>
      <c r="DP96" s="1432"/>
      <c r="DQ96" s="1432"/>
      <c r="DR96" s="1432"/>
      <c r="DS96" s="1432"/>
      <c r="DT96" s="1316"/>
      <c r="DU96" s="1433"/>
      <c r="DV96" s="1433"/>
      <c r="DW96" s="1433"/>
      <c r="DX96" s="1433"/>
      <c r="DY96" s="1433"/>
      <c r="DZ96" s="1433"/>
      <c r="EA96" s="1433"/>
      <c r="EB96" s="1433"/>
    </row>
    <row r="97" customFormat="false" ht="14.25" hidden="false" customHeight="false" outlineLevel="0" collapsed="false">
      <c r="A97" s="2" t="n">
        <f aca="false">'V_DATOS PAC_SGA'!CC92</f>
        <v>0</v>
      </c>
      <c r="B97" s="2" t="n">
        <f aca="false">IF(OR(A97=0,A97=""),0,IF(I97="IV",CONCATENATE('V_DATOS PAC_SGA'!CC92,"4")+0,CONCATENATE('V_DATOS PAC_SGA'!CC92,"0")+0))</f>
        <v>0</v>
      </c>
      <c r="C97" s="2" t="n">
        <f aca="false">'V_DATOS PAC_SGA'!CD92</f>
        <v>0</v>
      </c>
      <c r="D97" s="1409" t="n">
        <f aca="false">'V_DATOS PAC_SGA'!Y92</f>
        <v>0</v>
      </c>
      <c r="E97" s="1410" t="str">
        <f aca="false">IF('V_DATOS PAC_SGA'!AV92="","Regadio",'V_DATOS PAC_SGA'!AV92)</f>
        <v>Regadio</v>
      </c>
      <c r="F97" s="1411" t="n">
        <f aca="false">'V_DATOS PAC_SGA'!BK92</f>
        <v>0</v>
      </c>
      <c r="G97" s="1412" t="n">
        <f aca="false">'V_DATOS PAC_SGA'!AN92</f>
        <v>0</v>
      </c>
      <c r="H97" s="1413" t="str">
        <f aca="false">IF(B97&gt;0,VLOOKUP(B97,'O_MN, PE_UTA_UGM 2024'!E$3:O$419,10),"")</f>
        <v/>
      </c>
      <c r="I97" s="1359" t="str">
        <f aca="false">IF('V_DATOS PAC_SGA'!BV92="IV",'V_DATOS PAC_SGA'!BV92,"")</f>
        <v/>
      </c>
      <c r="J97" s="2" t="str">
        <f aca="false">IF($A97&gt;0,IF(AND(J$4=$G97,J$6=$F97),$D97*J$5,""),"")</f>
        <v/>
      </c>
      <c r="K97" s="2" t="str">
        <f aca="false">IF($A97&gt;0,IF(AND(K$4=$G97,K$6=$F97),$D97*K$5,""),"")</f>
        <v/>
      </c>
      <c r="L97" s="2" t="str">
        <f aca="false">IF($A97&gt;0,IF(AND(L$4=$G97,L$6=$F97),$D97*L$5,""),"")</f>
        <v/>
      </c>
      <c r="M97" s="2" t="str">
        <f aca="false">IF($A97&gt;0,IF(AND(M$4=$G97,M$6=$F97),$D97*M$5,""),"")</f>
        <v/>
      </c>
      <c r="N97" s="1506" t="n">
        <f aca="false">VLOOKUP(B97,'O_MN, PE_UTA_UGM 2024'!$E$2:$K$419,IF(G97&gt;1,6,7))</f>
        <v>0</v>
      </c>
      <c r="O97" s="1434" t="str">
        <f aca="false">IF($H97=O$4,$D97*$N97,"")</f>
        <v/>
      </c>
      <c r="P97" s="1435" t="str">
        <f aca="false">IF($H97=P$4,$D97*$N97,"")</f>
        <v/>
      </c>
      <c r="Q97" s="1435" t="str">
        <f aca="false">IF($H97=Q$4,$D97*$N97,"")</f>
        <v/>
      </c>
      <c r="R97" s="1435" t="str">
        <f aca="false">IF($H97=R$4,$D97*$N97,"")</f>
        <v/>
      </c>
      <c r="S97" s="1435" t="str">
        <f aca="false">IF($H97=S$4,$D97*$N97,"")</f>
        <v/>
      </c>
      <c r="T97" s="1435" t="str">
        <f aca="false">IF($H97=T$4,$D97*$N97,"")</f>
        <v/>
      </c>
      <c r="U97" s="1436" t="str">
        <f aca="false">IF($H97=U$4,$D97*$N97,"")</f>
        <v/>
      </c>
      <c r="V97" s="1418"/>
      <c r="W97" s="1419"/>
      <c r="X97" s="1419"/>
      <c r="Y97" s="1419"/>
      <c r="Z97" s="1419"/>
      <c r="AA97" s="1419"/>
      <c r="AB97" s="1420"/>
      <c r="AC97" s="1319"/>
      <c r="AD97" s="2" t="str">
        <f aca="false">IF(AND(AD$4=$G97,AD$6=$F97),$B97,"")</f>
        <v/>
      </c>
      <c r="AE97" s="2" t="str">
        <f aca="false">IF(AND(AE$4=$G97,AE$6=$F97),$B97,"")</f>
        <v/>
      </c>
      <c r="AF97" s="2" t="str">
        <f aca="false">IF(AND(AF$4=$G97,AF$6=$F97),$B97,"")</f>
        <v/>
      </c>
      <c r="AG97" s="2" t="str">
        <f aca="false">IF(AND(AG$4=$G97,AG$6=$F97),$B97,"")</f>
        <v/>
      </c>
      <c r="AI97" s="366"/>
      <c r="AL97" s="367"/>
      <c r="AO97" s="367"/>
      <c r="AP97" s="2" t="str">
        <f aca="false">IF(AT97&gt;0,RANK(AT97,AT$7:AT$423),"")</f>
        <v/>
      </c>
      <c r="AQ97" s="2" t="n">
        <f aca="false">'O_MN, PE_UTA_UGM 2024'!C93</f>
        <v>153</v>
      </c>
      <c r="AR97" s="1421" t="n">
        <v>1524</v>
      </c>
      <c r="AS97" s="2" t="str">
        <f aca="false">IF(AY97&lt;&gt;"",AY97,"")</f>
        <v/>
      </c>
      <c r="AT97" s="1422" t="n">
        <f aca="false">IF(ISNUMBER($AR97),SUMIF(B$7:B$505,AR97,D$7:D$505),"")</f>
        <v>0</v>
      </c>
      <c r="AU97" s="1411" t="n">
        <f aca="false">IF(ISNUMBER($AR97),SUMIF(AD$7:AD$503,$AR97,J$7:J$503),"")</f>
        <v>0</v>
      </c>
      <c r="AV97" s="1411" t="n">
        <f aca="false">IF(ISNUMBER($AR97),SUMIF(AF$7:AF$503,$AR97,L$7:L$503),"")</f>
        <v>0</v>
      </c>
      <c r="AW97" s="1423" t="n">
        <f aca="false">IF(ISNUMBER($AR97),SUMIF(AE$7:AE$503,$AR97,K$7:K$503),"")</f>
        <v>0</v>
      </c>
      <c r="AX97" s="1423" t="n">
        <f aca="false">IF(ISNUMBER($AR97),SUMIF(AG$7:AG$503,$AR97,M$7:M$503),"")</f>
        <v>0</v>
      </c>
      <c r="AY97" s="2" t="str">
        <f aca="false">IF($AT97&gt;0,VLOOKUP($AR97,'O_MN, PE_UTA_UGM 2024'!E93:O509,2),"")</f>
        <v/>
      </c>
      <c r="AZ97" s="1507"/>
      <c r="BA97" s="1507"/>
      <c r="BB97" s="1507" t="str">
        <f aca="false">IF($AT97&gt;0,VLOOKUP($AR97,'O_MN, PE_UTA_UGM 2024'!$E$3:$O$419,BB$6),"")</f>
        <v/>
      </c>
      <c r="BC97" s="1507" t="str">
        <f aca="false">IF($AT97&gt;0,VLOOKUP($AR97,'O_MN, PE_UTA_UGM 2024'!$E$3:$O$419,BC$6),"")</f>
        <v/>
      </c>
      <c r="BD97" s="1507" t="str">
        <f aca="false">IF($AT97&gt;0,VLOOKUP($AR97,'O_MN, PE_UTA_UGM 2024'!$E$3:$O$419,BD$6),"")</f>
        <v/>
      </c>
      <c r="BE97" s="1507" t="str">
        <f aca="false">IF($AT97&gt;0,VLOOKUP($AR97,'O_MN, PE_UTA_UGM 2024'!$E$3:$O$419,BE$6),"")</f>
        <v/>
      </c>
      <c r="BF97" s="1507" t="str">
        <f aca="false">IF($AT97&gt;0,VLOOKUP($AR97,'O_MN, PE_UTA_UGM 2024'!$E$3:$O$419,BF$6),"")</f>
        <v/>
      </c>
      <c r="BG97" s="1507" t="str">
        <f aca="false">IF($AT97&gt;0,VLOOKUP($AR97,'O_MN, PE_UTA_UGM 2024'!$E$3:$O$419,BG$6),"")</f>
        <v/>
      </c>
      <c r="BH97" s="1504"/>
      <c r="BI97" s="1504"/>
      <c r="BJ97" s="1504"/>
      <c r="BK97" s="1504"/>
      <c r="BM97" s="1411"/>
      <c r="BN97" s="1411"/>
      <c r="BO97" s="1425" t="str">
        <f aca="false">IF(ISNUMBER($AU97*BB97*1),$AU97*BB97*1,"")</f>
        <v/>
      </c>
      <c r="BP97" s="1425" t="str">
        <f aca="false">IF(ISNUMBER($AV97*BC97*1),$AV97*BC97*1,"")</f>
        <v/>
      </c>
      <c r="BQ97" s="1425" t="str">
        <f aca="false">IF(ISNUMBER($AU97*BD97*1),$AU97*BD97*1,"")</f>
        <v/>
      </c>
      <c r="BR97" s="1425" t="str">
        <f aca="false">IF(ISNUMBER($AV97*BE97*1),$AV97*BE97*1,"")</f>
        <v/>
      </c>
      <c r="BS97" s="1411" t="str">
        <f aca="false">IF(ISNUMBER($AU97*BF97),$AU97*BF97,"")</f>
        <v/>
      </c>
      <c r="BT97" s="1411" t="str">
        <f aca="false">IF(ISNUMBER($AV97*BG97),$AV97*BG97,"")</f>
        <v/>
      </c>
      <c r="BU97" s="1411"/>
      <c r="BV97" s="1411"/>
      <c r="BW97" s="1411"/>
      <c r="BX97" s="1411"/>
      <c r="BZ97" s="1372"/>
      <c r="CA97" s="1372"/>
      <c r="CB97" s="1426" t="str">
        <f aca="false">IF(ISNUMBER($AW97*BB97),$AW97*BB97,"")</f>
        <v/>
      </c>
      <c r="CC97" s="1426" t="str">
        <f aca="false">IF(ISNUMBER($AX97*BC97),$AX97*BC97,"")</f>
        <v/>
      </c>
      <c r="CD97" s="1426" t="str">
        <f aca="false">IF(ISNUMBER($AW97*BD97),$AW97*BD97,"")</f>
        <v/>
      </c>
      <c r="CE97" s="1426" t="str">
        <f aca="false">IF(ISNUMBER($AX97*BE97),$AX97*BE97,"")</f>
        <v/>
      </c>
      <c r="CF97" s="1372" t="str">
        <f aca="false">IF(ISNUMBER($AW97*BF97),$AW97*BF97,"")</f>
        <v/>
      </c>
      <c r="CG97" s="1372" t="str">
        <f aca="false">IF(ISNUMBER($AX97*BG97),$AX97*BG97,"")</f>
        <v/>
      </c>
      <c r="CH97" s="1438"/>
      <c r="CI97" s="1438"/>
      <c r="CJ97" s="1438"/>
      <c r="CK97" s="1438"/>
      <c r="CU97" s="1411"/>
      <c r="CV97" s="1411"/>
      <c r="CW97" s="1425"/>
      <c r="CX97" s="1425"/>
      <c r="CY97" s="1425"/>
      <c r="CZ97" s="1425"/>
      <c r="DA97" s="1411"/>
      <c r="DB97" s="1411"/>
      <c r="DC97" s="1411"/>
      <c r="DD97" s="1411"/>
      <c r="DE97" s="1411"/>
      <c r="DF97" s="1411"/>
      <c r="DH97" s="1432"/>
      <c r="DI97" s="1432"/>
      <c r="DJ97" s="1437"/>
      <c r="DK97" s="1437"/>
      <c r="DL97" s="1437"/>
      <c r="DM97" s="1437"/>
      <c r="DN97" s="1432"/>
      <c r="DO97" s="1432"/>
      <c r="DP97" s="1432"/>
      <c r="DQ97" s="1432"/>
      <c r="DR97" s="1432"/>
      <c r="DS97" s="1432"/>
      <c r="DT97" s="1316"/>
      <c r="DU97" s="1433"/>
      <c r="DV97" s="1433"/>
      <c r="DW97" s="1433"/>
      <c r="DX97" s="1433"/>
      <c r="DY97" s="1433"/>
      <c r="DZ97" s="1433"/>
      <c r="EA97" s="1433"/>
      <c r="EB97" s="1433"/>
    </row>
    <row r="98" customFormat="false" ht="14.25" hidden="false" customHeight="false" outlineLevel="0" collapsed="false">
      <c r="A98" s="2" t="n">
        <f aca="false">'V_DATOS PAC_SGA'!CC93</f>
        <v>0</v>
      </c>
      <c r="B98" s="2" t="n">
        <f aca="false">IF(OR(A98=0,A98=""),0,IF(I98="IV",CONCATENATE('V_DATOS PAC_SGA'!CC93,"4")+0,CONCATENATE('V_DATOS PAC_SGA'!CC93,"0")+0))</f>
        <v>0</v>
      </c>
      <c r="C98" s="2" t="n">
        <f aca="false">'V_DATOS PAC_SGA'!CD93</f>
        <v>0</v>
      </c>
      <c r="D98" s="1409" t="n">
        <f aca="false">'V_DATOS PAC_SGA'!Y93</f>
        <v>0</v>
      </c>
      <c r="E98" s="1410" t="str">
        <f aca="false">IF('V_DATOS PAC_SGA'!AV93="","Regadio",'V_DATOS PAC_SGA'!AV93)</f>
        <v>Regadio</v>
      </c>
      <c r="F98" s="1411" t="n">
        <f aca="false">'V_DATOS PAC_SGA'!BK93</f>
        <v>0</v>
      </c>
      <c r="G98" s="1412" t="n">
        <f aca="false">'V_DATOS PAC_SGA'!AN93</f>
        <v>0</v>
      </c>
      <c r="H98" s="1413" t="str">
        <f aca="false">IF(B98&gt;0,VLOOKUP(B98,'O_MN, PE_UTA_UGM 2024'!E$3:O$419,10),"")</f>
        <v/>
      </c>
      <c r="I98" s="1359" t="str">
        <f aca="false">IF('V_DATOS PAC_SGA'!BV93="IV",'V_DATOS PAC_SGA'!BV93,"")</f>
        <v/>
      </c>
      <c r="J98" s="2" t="str">
        <f aca="false">IF($A98&gt;0,IF(AND(J$4=$G98,J$6=$F98),$D98*J$5,""),"")</f>
        <v/>
      </c>
      <c r="K98" s="2" t="str">
        <f aca="false">IF($A98&gt;0,IF(AND(K$4=$G98,K$6=$F98),$D98*K$5,""),"")</f>
        <v/>
      </c>
      <c r="L98" s="2" t="str">
        <f aca="false">IF($A98&gt;0,IF(AND(L$4=$G98,L$6=$F98),$D98*L$5,""),"")</f>
        <v/>
      </c>
      <c r="M98" s="2" t="str">
        <f aca="false">IF($A98&gt;0,IF(AND(M$4=$G98,M$6=$F98),$D98*M$5,""),"")</f>
        <v/>
      </c>
      <c r="N98" s="1506" t="n">
        <f aca="false">VLOOKUP(B98,'O_MN, PE_UTA_UGM 2024'!$E$2:$K$419,IF(G98&gt;1,6,7))</f>
        <v>0</v>
      </c>
      <c r="O98" s="1434" t="str">
        <f aca="false">IF($H98=O$4,$D98*$N98,"")</f>
        <v/>
      </c>
      <c r="P98" s="1435" t="str">
        <f aca="false">IF($H98=P$4,$D98*$N98,"")</f>
        <v/>
      </c>
      <c r="Q98" s="1435" t="str">
        <f aca="false">IF($H98=Q$4,$D98*$N98,"")</f>
        <v/>
      </c>
      <c r="R98" s="1435" t="str">
        <f aca="false">IF($H98=R$4,$D98*$N98,"")</f>
        <v/>
      </c>
      <c r="S98" s="1435" t="str">
        <f aca="false">IF($H98=S$4,$D98*$N98,"")</f>
        <v/>
      </c>
      <c r="T98" s="1435" t="str">
        <f aca="false">IF($H98=T$4,$D98*$N98,"")</f>
        <v/>
      </c>
      <c r="U98" s="1436" t="str">
        <f aca="false">IF($H98=U$4,$D98*$N98,"")</f>
        <v/>
      </c>
      <c r="V98" s="1418"/>
      <c r="W98" s="1419"/>
      <c r="X98" s="1419"/>
      <c r="Y98" s="1419"/>
      <c r="Z98" s="1419"/>
      <c r="AA98" s="1419"/>
      <c r="AB98" s="1420"/>
      <c r="AC98" s="1319"/>
      <c r="AD98" s="2" t="str">
        <f aca="false">IF(AND(AD$4=$G98,AD$6=$F98),$B98,"")</f>
        <v/>
      </c>
      <c r="AE98" s="2" t="str">
        <f aca="false">IF(AND(AE$4=$G98,AE$6=$F98),$B98,"")</f>
        <v/>
      </c>
      <c r="AF98" s="2" t="str">
        <f aca="false">IF(AND(AF$4=$G98,AF$6=$F98),$B98,"")</f>
        <v/>
      </c>
      <c r="AG98" s="2" t="str">
        <f aca="false">IF(AND(AG$4=$G98,AG$6=$F98),$B98,"")</f>
        <v/>
      </c>
      <c r="AI98" s="366"/>
      <c r="AL98" s="367"/>
      <c r="AO98" s="367"/>
      <c r="AP98" s="2" t="str">
        <f aca="false">IF(AT98&gt;0,RANK(AT98,AT$7:AT$423),"")</f>
        <v/>
      </c>
      <c r="AQ98" s="2" t="n">
        <f aca="false">'O_MN, PE_UTA_UGM 2024'!C94</f>
        <v>154</v>
      </c>
      <c r="AR98" s="1421" t="n">
        <v>1529</v>
      </c>
      <c r="AS98" s="2" t="str">
        <f aca="false">IF(AY98&lt;&gt;"",AY98,"")</f>
        <v/>
      </c>
      <c r="AT98" s="1422" t="n">
        <f aca="false">IF(ISNUMBER($AR98),SUMIF(B$7:B$505,AR98,D$7:D$505),"")</f>
        <v>0</v>
      </c>
      <c r="AU98" s="1411" t="n">
        <f aca="false">IF(ISNUMBER($AR98),SUMIF(AD$7:AD$503,$AR98,J$7:J$503),"")</f>
        <v>0</v>
      </c>
      <c r="AV98" s="1411" t="n">
        <f aca="false">IF(ISNUMBER($AR98),SUMIF(AF$7:AF$503,$AR98,L$7:L$503),"")</f>
        <v>0</v>
      </c>
      <c r="AW98" s="1423" t="n">
        <f aca="false">IF(ISNUMBER($AR98),SUMIF(AE$7:AE$503,$AR98,K$7:K$503),"")</f>
        <v>0</v>
      </c>
      <c r="AX98" s="1423" t="n">
        <f aca="false">IF(ISNUMBER($AR98),SUMIF(AG$7:AG$503,$AR98,M$7:M$503),"")</f>
        <v>0</v>
      </c>
      <c r="AY98" s="2" t="str">
        <f aca="false">IF($AT98&gt;0,VLOOKUP($AR98,'O_MN, PE_UTA_UGM 2024'!E94:O510,2),"")</f>
        <v/>
      </c>
      <c r="AZ98" s="1507"/>
      <c r="BA98" s="1507"/>
      <c r="BB98" s="1507" t="str">
        <f aca="false">IF($AT98&gt;0,VLOOKUP($AR98,'O_MN, PE_UTA_UGM 2024'!$E$3:$O$419,BB$6),"")</f>
        <v/>
      </c>
      <c r="BC98" s="1507" t="str">
        <f aca="false">IF($AT98&gt;0,VLOOKUP($AR98,'O_MN, PE_UTA_UGM 2024'!$E$3:$O$419,BC$6),"")</f>
        <v/>
      </c>
      <c r="BD98" s="1507" t="str">
        <f aca="false">IF($AT98&gt;0,VLOOKUP($AR98,'O_MN, PE_UTA_UGM 2024'!$E$3:$O$419,BD$6),"")</f>
        <v/>
      </c>
      <c r="BE98" s="1507" t="str">
        <f aca="false">IF($AT98&gt;0,VLOOKUP($AR98,'O_MN, PE_UTA_UGM 2024'!$E$3:$O$419,BE$6),"")</f>
        <v/>
      </c>
      <c r="BF98" s="1507" t="str">
        <f aca="false">IF($AT98&gt;0,VLOOKUP($AR98,'O_MN, PE_UTA_UGM 2024'!$E$3:$O$419,BF$6),"")</f>
        <v/>
      </c>
      <c r="BG98" s="1507" t="str">
        <f aca="false">IF($AT98&gt;0,VLOOKUP($AR98,'O_MN, PE_UTA_UGM 2024'!$E$3:$O$419,BG$6),"")</f>
        <v/>
      </c>
      <c r="BH98" s="1504"/>
      <c r="BI98" s="1504"/>
      <c r="BJ98" s="1504"/>
      <c r="BK98" s="1504"/>
      <c r="BM98" s="1411"/>
      <c r="BN98" s="1411"/>
      <c r="BO98" s="1425" t="str">
        <f aca="false">IF(ISNUMBER($AU98*BB98*1),$AU98*BB98*1,"")</f>
        <v/>
      </c>
      <c r="BP98" s="1425" t="str">
        <f aca="false">IF(ISNUMBER($AV98*BC98*1),$AV98*BC98*1,"")</f>
        <v/>
      </c>
      <c r="BQ98" s="1425" t="str">
        <f aca="false">IF(ISNUMBER($AU98*BD98*1),$AU98*BD98*1,"")</f>
        <v/>
      </c>
      <c r="BR98" s="1425" t="str">
        <f aca="false">IF(ISNUMBER($AV98*BE98*1),$AV98*BE98*1,"")</f>
        <v/>
      </c>
      <c r="BS98" s="1411" t="str">
        <f aca="false">IF(ISNUMBER($AU98*BF98),$AU98*BF98,"")</f>
        <v/>
      </c>
      <c r="BT98" s="1411" t="str">
        <f aca="false">IF(ISNUMBER($AV98*BG98),$AV98*BG98,"")</f>
        <v/>
      </c>
      <c r="BU98" s="1411"/>
      <c r="BV98" s="1411"/>
      <c r="BW98" s="1411"/>
      <c r="BX98" s="1411"/>
      <c r="BZ98" s="1372"/>
      <c r="CA98" s="1372"/>
      <c r="CB98" s="1426" t="str">
        <f aca="false">IF(ISNUMBER($AW98*BB98),$AW98*BB98,"")</f>
        <v/>
      </c>
      <c r="CC98" s="1426" t="str">
        <f aca="false">IF(ISNUMBER($AX98*BC98),$AX98*BC98,"")</f>
        <v/>
      </c>
      <c r="CD98" s="1426" t="str">
        <f aca="false">IF(ISNUMBER($AW98*BD98),$AW98*BD98,"")</f>
        <v/>
      </c>
      <c r="CE98" s="1426" t="str">
        <f aca="false">IF(ISNUMBER($AX98*BE98),$AX98*BE98,"")</f>
        <v/>
      </c>
      <c r="CF98" s="1372" t="str">
        <f aca="false">IF(ISNUMBER($AW98*BF98),$AW98*BF98,"")</f>
        <v/>
      </c>
      <c r="CG98" s="1372" t="str">
        <f aca="false">IF(ISNUMBER($AX98*BG98),$AX98*BG98,"")</f>
        <v/>
      </c>
      <c r="CH98" s="1438"/>
      <c r="CI98" s="1438"/>
      <c r="CJ98" s="1438"/>
      <c r="CK98" s="1438"/>
      <c r="CU98" s="1411"/>
      <c r="CV98" s="1411"/>
      <c r="CW98" s="1425"/>
      <c r="CX98" s="1425"/>
      <c r="CY98" s="1425"/>
      <c r="CZ98" s="1425"/>
      <c r="DA98" s="1411"/>
      <c r="DB98" s="1411"/>
      <c r="DC98" s="1411"/>
      <c r="DD98" s="1411"/>
      <c r="DE98" s="1411"/>
      <c r="DF98" s="1411"/>
      <c r="DH98" s="1432"/>
      <c r="DI98" s="1432"/>
      <c r="DJ98" s="1437"/>
      <c r="DK98" s="1437"/>
      <c r="DL98" s="1437"/>
      <c r="DM98" s="1437"/>
      <c r="DN98" s="1432"/>
      <c r="DO98" s="1432"/>
      <c r="DP98" s="1432"/>
      <c r="DQ98" s="1432"/>
      <c r="DR98" s="1432"/>
      <c r="DS98" s="1432"/>
      <c r="DT98" s="1316"/>
      <c r="DU98" s="1433"/>
      <c r="DV98" s="1433"/>
      <c r="DW98" s="1433"/>
      <c r="DX98" s="1433"/>
      <c r="DY98" s="1433"/>
      <c r="DZ98" s="1433"/>
      <c r="EA98" s="1433"/>
      <c r="EB98" s="1433"/>
    </row>
    <row r="99" customFormat="false" ht="14.25" hidden="false" customHeight="false" outlineLevel="0" collapsed="false">
      <c r="A99" s="2" t="n">
        <f aca="false">'V_DATOS PAC_SGA'!CC94</f>
        <v>0</v>
      </c>
      <c r="B99" s="2" t="n">
        <f aca="false">IF(OR(A99=0,A99=""),0,IF(I99="IV",CONCATENATE('V_DATOS PAC_SGA'!CC94,"4")+0,CONCATENATE('V_DATOS PAC_SGA'!CC94,"0")+0))</f>
        <v>0</v>
      </c>
      <c r="C99" s="2" t="n">
        <f aca="false">'V_DATOS PAC_SGA'!CD94</f>
        <v>0</v>
      </c>
      <c r="D99" s="1409" t="n">
        <f aca="false">'V_DATOS PAC_SGA'!Y94</f>
        <v>0</v>
      </c>
      <c r="E99" s="1410" t="str">
        <f aca="false">IF('V_DATOS PAC_SGA'!AV94="","Regadio",'V_DATOS PAC_SGA'!AV94)</f>
        <v>Regadio</v>
      </c>
      <c r="F99" s="1411" t="n">
        <f aca="false">'V_DATOS PAC_SGA'!BK94</f>
        <v>0</v>
      </c>
      <c r="G99" s="1412" t="n">
        <f aca="false">'V_DATOS PAC_SGA'!AN94</f>
        <v>0</v>
      </c>
      <c r="H99" s="1413" t="str">
        <f aca="false">IF(B99&gt;0,VLOOKUP(B99,'O_MN, PE_UTA_UGM 2024'!E$3:O$419,10),"")</f>
        <v/>
      </c>
      <c r="I99" s="1359" t="str">
        <f aca="false">IF('V_DATOS PAC_SGA'!BV94="IV",'V_DATOS PAC_SGA'!BV94,"")</f>
        <v/>
      </c>
      <c r="J99" s="2" t="str">
        <f aca="false">IF($A99&gt;0,IF(AND(J$4=$G99,J$6=$F99),$D99*J$5,""),"")</f>
        <v/>
      </c>
      <c r="K99" s="2" t="str">
        <f aca="false">IF($A99&gt;0,IF(AND(K$4=$G99,K$6=$F99),$D99*K$5,""),"")</f>
        <v/>
      </c>
      <c r="L99" s="2" t="str">
        <f aca="false">IF($A99&gt;0,IF(AND(L$4=$G99,L$6=$F99),$D99*L$5,""),"")</f>
        <v/>
      </c>
      <c r="M99" s="2" t="str">
        <f aca="false">IF($A99&gt;0,IF(AND(M$4=$G99,M$6=$F99),$D99*M$5,""),"")</f>
        <v/>
      </c>
      <c r="N99" s="1506" t="n">
        <f aca="false">VLOOKUP(B99,'O_MN, PE_UTA_UGM 2024'!$E$2:$K$419,IF(G99&gt;1,6,7))</f>
        <v>0</v>
      </c>
      <c r="O99" s="1434" t="str">
        <f aca="false">IF($H99=O$4,$D99*$N99,"")</f>
        <v/>
      </c>
      <c r="P99" s="1435" t="str">
        <f aca="false">IF($H99=P$4,$D99*$N99,"")</f>
        <v/>
      </c>
      <c r="Q99" s="1435" t="str">
        <f aca="false">IF($H99=Q$4,$D99*$N99,"")</f>
        <v/>
      </c>
      <c r="R99" s="1435" t="str">
        <f aca="false">IF($H99=R$4,$D99*$N99,"")</f>
        <v/>
      </c>
      <c r="S99" s="1435" t="str">
        <f aca="false">IF($H99=S$4,$D99*$N99,"")</f>
        <v/>
      </c>
      <c r="T99" s="1435" t="str">
        <f aca="false">IF($H99=T$4,$D99*$N99,"")</f>
        <v/>
      </c>
      <c r="U99" s="1436" t="str">
        <f aca="false">IF($H99=U$4,$D99*$N99,"")</f>
        <v/>
      </c>
      <c r="V99" s="1418"/>
      <c r="W99" s="1419"/>
      <c r="X99" s="1419"/>
      <c r="Y99" s="1419"/>
      <c r="Z99" s="1419"/>
      <c r="AA99" s="1419"/>
      <c r="AB99" s="1420"/>
      <c r="AC99" s="1319"/>
      <c r="AD99" s="2" t="str">
        <f aca="false">IF(AND(AD$4=$G99,AD$6=$F99),$B99,"")</f>
        <v/>
      </c>
      <c r="AE99" s="2" t="str">
        <f aca="false">IF(AND(AE$4=$G99,AE$6=$F99),$B99,"")</f>
        <v/>
      </c>
      <c r="AF99" s="2" t="str">
        <f aca="false">IF(AND(AF$4=$G99,AF$6=$F99),$B99,"")</f>
        <v/>
      </c>
      <c r="AG99" s="2" t="str">
        <f aca="false">IF(AND(AG$4=$G99,AG$6=$F99),$B99,"")</f>
        <v/>
      </c>
      <c r="AI99" s="366"/>
      <c r="AL99" s="367"/>
      <c r="AO99" s="367"/>
      <c r="AP99" s="2" t="str">
        <f aca="false">IF(AT99&gt;0,RANK(AT99,AT$7:AT$423),"")</f>
        <v/>
      </c>
      <c r="AQ99" s="2" t="n">
        <f aca="false">'O_MN, PE_UTA_UGM 2024'!C95</f>
        <v>154</v>
      </c>
      <c r="AR99" s="1421" t="n">
        <v>1530</v>
      </c>
      <c r="AS99" s="2" t="str">
        <f aca="false">IF(AY99&lt;&gt;"",AY99,"")</f>
        <v/>
      </c>
      <c r="AT99" s="1422" t="n">
        <f aca="false">IF(ISNUMBER($AR99),SUMIF(B$7:B$505,AR99,D$7:D$505),"")</f>
        <v>0</v>
      </c>
      <c r="AU99" s="1411" t="n">
        <f aca="false">IF(ISNUMBER($AR99),SUMIF(AD$7:AD$503,$AR99,J$7:J$503),"")</f>
        <v>0</v>
      </c>
      <c r="AV99" s="1411" t="n">
        <f aca="false">IF(ISNUMBER($AR99),SUMIF(AF$7:AF$503,$AR99,L$7:L$503),"")</f>
        <v>0</v>
      </c>
      <c r="AW99" s="1423" t="n">
        <f aca="false">IF(ISNUMBER($AR99),SUMIF(AE$7:AE$503,$AR99,K$7:K$503),"")</f>
        <v>0</v>
      </c>
      <c r="AX99" s="1423" t="n">
        <f aca="false">IF(ISNUMBER($AR99),SUMIF(AG$7:AG$503,$AR99,M$7:M$503),"")</f>
        <v>0</v>
      </c>
      <c r="AY99" s="2" t="str">
        <f aca="false">IF($AT99&gt;0,VLOOKUP($AR99,'O_MN, PE_UTA_UGM 2024'!E95:O511,2),"")</f>
        <v/>
      </c>
      <c r="AZ99" s="1507"/>
      <c r="BA99" s="1507"/>
      <c r="BB99" s="1507" t="str">
        <f aca="false">IF($AT99&gt;0,VLOOKUP($AR99,'O_MN, PE_UTA_UGM 2024'!$E$3:$O$419,BB$6),"")</f>
        <v/>
      </c>
      <c r="BC99" s="1507" t="str">
        <f aca="false">IF($AT99&gt;0,VLOOKUP($AR99,'O_MN, PE_UTA_UGM 2024'!$E$3:$O$419,BC$6),"")</f>
        <v/>
      </c>
      <c r="BD99" s="1507" t="str">
        <f aca="false">IF($AT99&gt;0,VLOOKUP($AR99,'O_MN, PE_UTA_UGM 2024'!$E$3:$O$419,BD$6),"")</f>
        <v/>
      </c>
      <c r="BE99" s="1507" t="str">
        <f aca="false">IF($AT99&gt;0,VLOOKUP($AR99,'O_MN, PE_UTA_UGM 2024'!$E$3:$O$419,BE$6),"")</f>
        <v/>
      </c>
      <c r="BF99" s="1507" t="str">
        <f aca="false">IF($AT99&gt;0,VLOOKUP($AR99,'O_MN, PE_UTA_UGM 2024'!$E$3:$O$419,BF$6),"")</f>
        <v/>
      </c>
      <c r="BG99" s="1507" t="str">
        <f aca="false">IF($AT99&gt;0,VLOOKUP($AR99,'O_MN, PE_UTA_UGM 2024'!$E$3:$O$419,BG$6),"")</f>
        <v/>
      </c>
      <c r="BH99" s="1504"/>
      <c r="BI99" s="1504"/>
      <c r="BJ99" s="1504"/>
      <c r="BK99" s="1504"/>
      <c r="BM99" s="1411"/>
      <c r="BN99" s="1411"/>
      <c r="BO99" s="1425" t="str">
        <f aca="false">IF(ISNUMBER($AU99*BB99*1),$AU99*BB99*1,"")</f>
        <v/>
      </c>
      <c r="BP99" s="1425" t="str">
        <f aca="false">IF(ISNUMBER($AV99*BC99*1),$AV99*BC99*1,"")</f>
        <v/>
      </c>
      <c r="BQ99" s="1425" t="str">
        <f aca="false">IF(ISNUMBER($AU99*BD99*1),$AU99*BD99*1,"")</f>
        <v/>
      </c>
      <c r="BR99" s="1425" t="str">
        <f aca="false">IF(ISNUMBER($AV99*BE99*1),$AV99*BE99*1,"")</f>
        <v/>
      </c>
      <c r="BS99" s="1411" t="str">
        <f aca="false">IF(ISNUMBER($AU99*BF99),$AU99*BF99,"")</f>
        <v/>
      </c>
      <c r="BT99" s="1411" t="str">
        <f aca="false">IF(ISNUMBER($AV99*BG99),$AV99*BG99,"")</f>
        <v/>
      </c>
      <c r="BU99" s="1411"/>
      <c r="BV99" s="1411"/>
      <c r="BW99" s="1411"/>
      <c r="BX99" s="1411"/>
      <c r="BZ99" s="1372"/>
      <c r="CA99" s="1372"/>
      <c r="CB99" s="1426" t="str">
        <f aca="false">IF(ISNUMBER($AW99*BB99),$AW99*BB99,"")</f>
        <v/>
      </c>
      <c r="CC99" s="1426" t="str">
        <f aca="false">IF(ISNUMBER($AX99*BC99),$AX99*BC99,"")</f>
        <v/>
      </c>
      <c r="CD99" s="1426" t="str">
        <f aca="false">IF(ISNUMBER($AW99*BD99),$AW99*BD99,"")</f>
        <v/>
      </c>
      <c r="CE99" s="1426" t="str">
        <f aca="false">IF(ISNUMBER($AX99*BE99),$AX99*BE99,"")</f>
        <v/>
      </c>
      <c r="CF99" s="1372" t="str">
        <f aca="false">IF(ISNUMBER($AW99*BF99),$AW99*BF99,"")</f>
        <v/>
      </c>
      <c r="CG99" s="1372" t="str">
        <f aca="false">IF(ISNUMBER($AX99*BG99),$AX99*BG99,"")</f>
        <v/>
      </c>
      <c r="CH99" s="1438"/>
      <c r="CI99" s="1438"/>
      <c r="CJ99" s="1438"/>
      <c r="CK99" s="1438"/>
      <c r="CU99" s="1411"/>
      <c r="CV99" s="1411"/>
      <c r="CW99" s="1425"/>
      <c r="CX99" s="1425"/>
      <c r="CY99" s="1425"/>
      <c r="CZ99" s="1425"/>
      <c r="DA99" s="1411"/>
      <c r="DB99" s="1411"/>
      <c r="DC99" s="1411"/>
      <c r="DD99" s="1411"/>
      <c r="DE99" s="1411"/>
      <c r="DF99" s="1411"/>
      <c r="DH99" s="1432"/>
      <c r="DI99" s="1432"/>
      <c r="DJ99" s="1437"/>
      <c r="DK99" s="1437"/>
      <c r="DL99" s="1437"/>
      <c r="DM99" s="1437"/>
      <c r="DN99" s="1432"/>
      <c r="DO99" s="1432"/>
      <c r="DP99" s="1432"/>
      <c r="DQ99" s="1432"/>
      <c r="DR99" s="1432"/>
      <c r="DS99" s="1432"/>
      <c r="DT99" s="1316"/>
      <c r="DU99" s="1433"/>
      <c r="DV99" s="1433"/>
      <c r="DW99" s="1433"/>
      <c r="DX99" s="1433"/>
      <c r="DY99" s="1433"/>
      <c r="DZ99" s="1433"/>
      <c r="EA99" s="1433"/>
      <c r="EB99" s="1433"/>
    </row>
    <row r="100" customFormat="false" ht="14.25" hidden="false" customHeight="false" outlineLevel="0" collapsed="false">
      <c r="A100" s="2" t="n">
        <f aca="false">'V_DATOS PAC_SGA'!CC95</f>
        <v>0</v>
      </c>
      <c r="B100" s="2" t="n">
        <f aca="false">IF(OR(A100=0,A100=""),0,IF(I100="IV",CONCATENATE('V_DATOS PAC_SGA'!CC95,"4")+0,CONCATENATE('V_DATOS PAC_SGA'!CC95,"0")+0))</f>
        <v>0</v>
      </c>
      <c r="C100" s="2" t="n">
        <f aca="false">'V_DATOS PAC_SGA'!CD95</f>
        <v>0</v>
      </c>
      <c r="D100" s="1409" t="n">
        <f aca="false">'V_DATOS PAC_SGA'!Y95</f>
        <v>0</v>
      </c>
      <c r="E100" s="1410" t="str">
        <f aca="false">IF('V_DATOS PAC_SGA'!AV95="","Regadio",'V_DATOS PAC_SGA'!AV95)</f>
        <v>Regadio</v>
      </c>
      <c r="F100" s="1411" t="n">
        <f aca="false">'V_DATOS PAC_SGA'!BK95</f>
        <v>0</v>
      </c>
      <c r="G100" s="1412" t="n">
        <f aca="false">'V_DATOS PAC_SGA'!AN95</f>
        <v>0</v>
      </c>
      <c r="H100" s="1413" t="str">
        <f aca="false">IF(B100&gt;0,VLOOKUP(B100,'O_MN, PE_UTA_UGM 2024'!E$3:O$419,10),"")</f>
        <v/>
      </c>
      <c r="I100" s="1359" t="str">
        <f aca="false">IF('V_DATOS PAC_SGA'!BV95="IV",'V_DATOS PAC_SGA'!BV95,"")</f>
        <v/>
      </c>
      <c r="J100" s="2" t="str">
        <f aca="false">IF($A100&gt;0,IF(AND(J$4=$G100,J$6=$F100),$D100*J$5,""),"")</f>
        <v/>
      </c>
      <c r="K100" s="2" t="str">
        <f aca="false">IF($A100&gt;0,IF(AND(K$4=$G100,K$6=$F100),$D100*K$5,""),"")</f>
        <v/>
      </c>
      <c r="L100" s="2" t="str">
        <f aca="false">IF($A100&gt;0,IF(AND(L$4=$G100,L$6=$F100),$D100*L$5,""),"")</f>
        <v/>
      </c>
      <c r="M100" s="2" t="str">
        <f aca="false">IF($A100&gt;0,IF(AND(M$4=$G100,M$6=$F100),$D100*M$5,""),"")</f>
        <v/>
      </c>
      <c r="N100" s="1506" t="n">
        <f aca="false">VLOOKUP(B100,'O_MN, PE_UTA_UGM 2024'!$E$2:$K$419,IF(G100&gt;1,6,7))</f>
        <v>0</v>
      </c>
      <c r="O100" s="1434" t="str">
        <f aca="false">IF($H100=O$4,$D100*$N100,"")</f>
        <v/>
      </c>
      <c r="P100" s="1435" t="str">
        <f aca="false">IF($H100=P$4,$D100*$N100,"")</f>
        <v/>
      </c>
      <c r="Q100" s="1435" t="str">
        <f aca="false">IF($H100=Q$4,$D100*$N100,"")</f>
        <v/>
      </c>
      <c r="R100" s="1435" t="str">
        <f aca="false">IF($H100=R$4,$D100*$N100,"")</f>
        <v/>
      </c>
      <c r="S100" s="1435" t="str">
        <f aca="false">IF($H100=S$4,$D100*$N100,"")</f>
        <v/>
      </c>
      <c r="T100" s="1435" t="str">
        <f aca="false">IF($H100=T$4,$D100*$N100,"")</f>
        <v/>
      </c>
      <c r="U100" s="1436" t="str">
        <f aca="false">IF($H100=U$4,$D100*$N100,"")</f>
        <v/>
      </c>
      <c r="V100" s="1418"/>
      <c r="W100" s="1419"/>
      <c r="X100" s="1419"/>
      <c r="Y100" s="1419"/>
      <c r="Z100" s="1419"/>
      <c r="AA100" s="1419"/>
      <c r="AB100" s="1420"/>
      <c r="AC100" s="1319"/>
      <c r="AD100" s="2" t="str">
        <f aca="false">IF(AND(AD$4=$G100,AD$6=$F100),$B100,"")</f>
        <v/>
      </c>
      <c r="AE100" s="2" t="str">
        <f aca="false">IF(AND(AE$4=$G100,AE$6=$F100),$B100,"")</f>
        <v/>
      </c>
      <c r="AF100" s="2" t="str">
        <f aca="false">IF(AND(AF$4=$G100,AF$6=$F100),$B100,"")</f>
        <v/>
      </c>
      <c r="AG100" s="2" t="str">
        <f aca="false">IF(AND(AG$4=$G100,AG$6=$F100),$B100,"")</f>
        <v/>
      </c>
      <c r="AI100" s="366"/>
      <c r="AL100" s="367"/>
      <c r="AO100" s="367"/>
      <c r="AP100" s="2" t="str">
        <f aca="false">IF(AT100&gt;0,RANK(AT100,AT$7:AT$423),"")</f>
        <v/>
      </c>
      <c r="AQ100" s="2" t="n">
        <f aca="false">'O_MN, PE_UTA_UGM 2024'!C96</f>
        <v>154</v>
      </c>
      <c r="AR100" s="1421" t="n">
        <v>1534</v>
      </c>
      <c r="AS100" s="2" t="str">
        <f aca="false">IF(AY100&lt;&gt;"",AY100,"")</f>
        <v/>
      </c>
      <c r="AT100" s="1422" t="n">
        <f aca="false">IF(ISNUMBER($AR100),SUMIF(B$7:B$505,AR100,D$7:D$505),"")</f>
        <v>0</v>
      </c>
      <c r="AU100" s="1411" t="n">
        <f aca="false">IF(ISNUMBER($AR100),SUMIF(AD$7:AD$503,$AR100,J$7:J$503),"")</f>
        <v>0</v>
      </c>
      <c r="AV100" s="1411" t="n">
        <f aca="false">IF(ISNUMBER($AR100),SUMIF(AF$7:AF$503,$AR100,L$7:L$503),"")</f>
        <v>0</v>
      </c>
      <c r="AW100" s="1423" t="n">
        <f aca="false">IF(ISNUMBER($AR100),SUMIF(AE$7:AE$503,$AR100,K$7:K$503),"")</f>
        <v>0</v>
      </c>
      <c r="AX100" s="1423" t="n">
        <f aca="false">IF(ISNUMBER($AR100),SUMIF(AG$7:AG$503,$AR100,M$7:M$503),"")</f>
        <v>0</v>
      </c>
      <c r="AY100" s="2" t="str">
        <f aca="false">IF($AT100&gt;0,VLOOKUP($AR100,'O_MN, PE_UTA_UGM 2024'!E96:O512,2),"")</f>
        <v/>
      </c>
      <c r="AZ100" s="1507"/>
      <c r="BA100" s="1507"/>
      <c r="BB100" s="1507" t="str">
        <f aca="false">IF($AT100&gt;0,VLOOKUP($AR100,'O_MN, PE_UTA_UGM 2024'!$E$3:$O$419,BB$6),"")</f>
        <v/>
      </c>
      <c r="BC100" s="1507" t="str">
        <f aca="false">IF($AT100&gt;0,VLOOKUP($AR100,'O_MN, PE_UTA_UGM 2024'!$E$3:$O$419,BC$6),"")</f>
        <v/>
      </c>
      <c r="BD100" s="1507" t="str">
        <f aca="false">IF($AT100&gt;0,VLOOKUP($AR100,'O_MN, PE_UTA_UGM 2024'!$E$3:$O$419,BD$6),"")</f>
        <v/>
      </c>
      <c r="BE100" s="1507" t="str">
        <f aca="false">IF($AT100&gt;0,VLOOKUP($AR100,'O_MN, PE_UTA_UGM 2024'!$E$3:$O$419,BE$6),"")</f>
        <v/>
      </c>
      <c r="BF100" s="1507" t="str">
        <f aca="false">IF($AT100&gt;0,VLOOKUP($AR100,'O_MN, PE_UTA_UGM 2024'!$E$3:$O$419,BF$6),"")</f>
        <v/>
      </c>
      <c r="BG100" s="1507" t="str">
        <f aca="false">IF($AT100&gt;0,VLOOKUP($AR100,'O_MN, PE_UTA_UGM 2024'!$E$3:$O$419,BG$6),"")</f>
        <v/>
      </c>
      <c r="BH100" s="1504"/>
      <c r="BI100" s="1504"/>
      <c r="BJ100" s="1504"/>
      <c r="BK100" s="1504"/>
      <c r="BM100" s="1411"/>
      <c r="BN100" s="1411"/>
      <c r="BO100" s="1425" t="str">
        <f aca="false">IF(ISNUMBER($AU100*BB100*1),$AU100*BB100*1,"")</f>
        <v/>
      </c>
      <c r="BP100" s="1425" t="str">
        <f aca="false">IF(ISNUMBER($AV100*BC100*1),$AV100*BC100*1,"")</f>
        <v/>
      </c>
      <c r="BQ100" s="1425" t="str">
        <f aca="false">IF(ISNUMBER($AU100*BD100*1),$AU100*BD100*1,"")</f>
        <v/>
      </c>
      <c r="BR100" s="1425" t="str">
        <f aca="false">IF(ISNUMBER($AV100*BE100*1),$AV100*BE100*1,"")</f>
        <v/>
      </c>
      <c r="BS100" s="1411" t="str">
        <f aca="false">IF(ISNUMBER($AU100*BF100),$AU100*BF100,"")</f>
        <v/>
      </c>
      <c r="BT100" s="1411" t="str">
        <f aca="false">IF(ISNUMBER($AV100*BG100),$AV100*BG100,"")</f>
        <v/>
      </c>
      <c r="BU100" s="1411"/>
      <c r="BV100" s="1411"/>
      <c r="BW100" s="1411"/>
      <c r="BX100" s="1411"/>
      <c r="BZ100" s="1372"/>
      <c r="CA100" s="1372"/>
      <c r="CB100" s="1426" t="str">
        <f aca="false">IF(ISNUMBER($AW100*BB100),$AW100*BB100,"")</f>
        <v/>
      </c>
      <c r="CC100" s="1426" t="str">
        <f aca="false">IF(ISNUMBER($AX100*BC100),$AX100*BC100,"")</f>
        <v/>
      </c>
      <c r="CD100" s="1426" t="str">
        <f aca="false">IF(ISNUMBER($AW100*BD100),$AW100*BD100,"")</f>
        <v/>
      </c>
      <c r="CE100" s="1426" t="str">
        <f aca="false">IF(ISNUMBER($AX100*BE100),$AX100*BE100,"")</f>
        <v/>
      </c>
      <c r="CF100" s="1372" t="str">
        <f aca="false">IF(ISNUMBER($AW100*BF100),$AW100*BF100,"")</f>
        <v/>
      </c>
      <c r="CG100" s="1372" t="str">
        <f aca="false">IF(ISNUMBER($AX100*BG100),$AX100*BG100,"")</f>
        <v/>
      </c>
      <c r="CH100" s="1438"/>
      <c r="CI100" s="1438"/>
      <c r="CJ100" s="1438"/>
      <c r="CK100" s="1438"/>
      <c r="CU100" s="1411"/>
      <c r="CV100" s="1411"/>
      <c r="CW100" s="1425"/>
      <c r="CX100" s="1425"/>
      <c r="CY100" s="1425"/>
      <c r="CZ100" s="1425"/>
      <c r="DA100" s="1411"/>
      <c r="DB100" s="1411"/>
      <c r="DC100" s="1411"/>
      <c r="DD100" s="1411"/>
      <c r="DE100" s="1411"/>
      <c r="DF100" s="1411"/>
      <c r="DH100" s="1432"/>
      <c r="DI100" s="1432"/>
      <c r="DJ100" s="1437"/>
      <c r="DK100" s="1437"/>
      <c r="DL100" s="1437"/>
      <c r="DM100" s="1437"/>
      <c r="DN100" s="1432"/>
      <c r="DO100" s="1432"/>
      <c r="DP100" s="1432"/>
      <c r="DQ100" s="1432"/>
      <c r="DR100" s="1432"/>
      <c r="DS100" s="1432"/>
      <c r="DT100" s="1316"/>
      <c r="DU100" s="1433"/>
      <c r="DV100" s="1433"/>
      <c r="DW100" s="1433"/>
      <c r="DX100" s="1433"/>
      <c r="DY100" s="1433"/>
      <c r="DZ100" s="1433"/>
      <c r="EA100" s="1433"/>
      <c r="EB100" s="1433"/>
    </row>
    <row r="101" customFormat="false" ht="14.25" hidden="false" customHeight="false" outlineLevel="0" collapsed="false">
      <c r="A101" s="2" t="n">
        <f aca="false">'V_DATOS PAC_SGA'!CC96</f>
        <v>0</v>
      </c>
      <c r="B101" s="2" t="n">
        <f aca="false">IF(OR(A101=0,A101=""),0,IF(I101="IV",CONCATENATE('V_DATOS PAC_SGA'!CC96,"4")+0,CONCATENATE('V_DATOS PAC_SGA'!CC96,"0")+0))</f>
        <v>0</v>
      </c>
      <c r="C101" s="2" t="n">
        <f aca="false">'V_DATOS PAC_SGA'!CD96</f>
        <v>0</v>
      </c>
      <c r="D101" s="1409" t="n">
        <f aca="false">'V_DATOS PAC_SGA'!Y96</f>
        <v>0</v>
      </c>
      <c r="E101" s="1410" t="str">
        <f aca="false">IF('V_DATOS PAC_SGA'!AV96="","Regadio",'V_DATOS PAC_SGA'!AV96)</f>
        <v>Regadio</v>
      </c>
      <c r="F101" s="1411" t="n">
        <f aca="false">'V_DATOS PAC_SGA'!BK96</f>
        <v>0</v>
      </c>
      <c r="G101" s="1412" t="n">
        <f aca="false">'V_DATOS PAC_SGA'!AN96</f>
        <v>0</v>
      </c>
      <c r="H101" s="1413" t="str">
        <f aca="false">IF(B101&gt;0,VLOOKUP(B101,'O_MN, PE_UTA_UGM 2024'!E$3:O$419,10),"")</f>
        <v/>
      </c>
      <c r="I101" s="1359" t="str">
        <f aca="false">IF('V_DATOS PAC_SGA'!BV96="IV",'V_DATOS PAC_SGA'!BV96,"")</f>
        <v/>
      </c>
      <c r="J101" s="2" t="str">
        <f aca="false">IF($A101&gt;0,IF(AND(J$4=$G101,J$6=$F101),$D101*J$5,""),"")</f>
        <v/>
      </c>
      <c r="K101" s="2" t="str">
        <f aca="false">IF($A101&gt;0,IF(AND(K$4=$G101,K$6=$F101),$D101*K$5,""),"")</f>
        <v/>
      </c>
      <c r="L101" s="2" t="str">
        <f aca="false">IF($A101&gt;0,IF(AND(L$4=$G101,L$6=$F101),$D101*L$5,""),"")</f>
        <v/>
      </c>
      <c r="M101" s="2" t="str">
        <f aca="false">IF($A101&gt;0,IF(AND(M$4=$G101,M$6=$F101),$D101*M$5,""),"")</f>
        <v/>
      </c>
      <c r="N101" s="1506" t="n">
        <f aca="false">VLOOKUP(B101,'O_MN, PE_UTA_UGM 2024'!$E$2:$K$419,IF(G101&gt;1,6,7))</f>
        <v>0</v>
      </c>
      <c r="O101" s="1434" t="str">
        <f aca="false">IF($H101=O$4,$D101*$N101,"")</f>
        <v/>
      </c>
      <c r="P101" s="1435" t="str">
        <f aca="false">IF($H101=P$4,$D101*$N101,"")</f>
        <v/>
      </c>
      <c r="Q101" s="1435" t="str">
        <f aca="false">IF($H101=Q$4,$D101*$N101,"")</f>
        <v/>
      </c>
      <c r="R101" s="1435" t="str">
        <f aca="false">IF($H101=R$4,$D101*$N101,"")</f>
        <v/>
      </c>
      <c r="S101" s="1435" t="str">
        <f aca="false">IF($H101=S$4,$D101*$N101,"")</f>
        <v/>
      </c>
      <c r="T101" s="1435" t="str">
        <f aca="false">IF($H101=T$4,$D101*$N101,"")</f>
        <v/>
      </c>
      <c r="U101" s="1436" t="str">
        <f aca="false">IF($H101=U$4,$D101*$N101,"")</f>
        <v/>
      </c>
      <c r="V101" s="1418"/>
      <c r="W101" s="1419"/>
      <c r="X101" s="1419"/>
      <c r="Y101" s="1419"/>
      <c r="Z101" s="1419"/>
      <c r="AA101" s="1419"/>
      <c r="AB101" s="1420"/>
      <c r="AC101" s="1319"/>
      <c r="AD101" s="2" t="str">
        <f aca="false">IF(AND(AD$4=$G101,AD$6=$F101),$B101,"")</f>
        <v/>
      </c>
      <c r="AE101" s="2" t="str">
        <f aca="false">IF(AND(AE$4=$G101,AE$6=$F101),$B101,"")</f>
        <v/>
      </c>
      <c r="AF101" s="2" t="str">
        <f aca="false">IF(AND(AF$4=$G101,AF$6=$F101),$B101,"")</f>
        <v/>
      </c>
      <c r="AG101" s="2" t="str">
        <f aca="false">IF(AND(AG$4=$G101,AG$6=$F101),$B101,"")</f>
        <v/>
      </c>
      <c r="AI101" s="366"/>
      <c r="AL101" s="367"/>
      <c r="AO101" s="367"/>
      <c r="AP101" s="2" t="str">
        <f aca="false">IF(AT101&gt;0,RANK(AT101,AT$7:AT$423),"")</f>
        <v/>
      </c>
      <c r="AQ101" s="2" t="n">
        <f aca="false">'O_MN, PE_UTA_UGM 2024'!C97</f>
        <v>155</v>
      </c>
      <c r="AR101" s="1421" t="n">
        <v>1539</v>
      </c>
      <c r="AS101" s="2" t="str">
        <f aca="false">IF(AY101&lt;&gt;"",AY101,"")</f>
        <v/>
      </c>
      <c r="AT101" s="1422" t="n">
        <f aca="false">IF(ISNUMBER($AR101),SUMIF(B$7:B$505,AR101,D$7:D$505),"")</f>
        <v>0</v>
      </c>
      <c r="AU101" s="1411" t="n">
        <f aca="false">IF(ISNUMBER($AR101),SUMIF(AD$7:AD$503,$AR101,J$7:J$503),"")</f>
        <v>0</v>
      </c>
      <c r="AV101" s="1411" t="n">
        <f aca="false">IF(ISNUMBER($AR101),SUMIF(AF$7:AF$503,$AR101,L$7:L$503),"")</f>
        <v>0</v>
      </c>
      <c r="AW101" s="1423" t="n">
        <f aca="false">IF(ISNUMBER($AR101),SUMIF(AE$7:AE$503,$AR101,K$7:K$503),"")</f>
        <v>0</v>
      </c>
      <c r="AX101" s="1423" t="n">
        <f aca="false">IF(ISNUMBER($AR101),SUMIF(AG$7:AG$503,$AR101,M$7:M$503),"")</f>
        <v>0</v>
      </c>
      <c r="AY101" s="2" t="str">
        <f aca="false">IF($AT101&gt;0,VLOOKUP($AR101,'O_MN, PE_UTA_UGM 2024'!E97:O513,2),"")</f>
        <v/>
      </c>
      <c r="AZ101" s="1507"/>
      <c r="BA101" s="1507"/>
      <c r="BB101" s="1507" t="str">
        <f aca="false">IF($AT101&gt;0,VLOOKUP($AR101,'O_MN, PE_UTA_UGM 2024'!$E$3:$O$419,BB$6),"")</f>
        <v/>
      </c>
      <c r="BC101" s="1507" t="str">
        <f aca="false">IF($AT101&gt;0,VLOOKUP($AR101,'O_MN, PE_UTA_UGM 2024'!$E$3:$O$419,BC$6),"")</f>
        <v/>
      </c>
      <c r="BD101" s="1507" t="str">
        <f aca="false">IF($AT101&gt;0,VLOOKUP($AR101,'O_MN, PE_UTA_UGM 2024'!$E$3:$O$419,BD$6),"")</f>
        <v/>
      </c>
      <c r="BE101" s="1507" t="str">
        <f aca="false">IF($AT101&gt;0,VLOOKUP($AR101,'O_MN, PE_UTA_UGM 2024'!$E$3:$O$419,BE$6),"")</f>
        <v/>
      </c>
      <c r="BF101" s="1507" t="str">
        <f aca="false">IF($AT101&gt;0,VLOOKUP($AR101,'O_MN, PE_UTA_UGM 2024'!$E$3:$O$419,BF$6),"")</f>
        <v/>
      </c>
      <c r="BG101" s="1507" t="str">
        <f aca="false">IF($AT101&gt;0,VLOOKUP($AR101,'O_MN, PE_UTA_UGM 2024'!$E$3:$O$419,BG$6),"")</f>
        <v/>
      </c>
      <c r="BH101" s="1504"/>
      <c r="BI101" s="1504"/>
      <c r="BJ101" s="1504"/>
      <c r="BK101" s="1504"/>
      <c r="BM101" s="1411"/>
      <c r="BN101" s="1411"/>
      <c r="BO101" s="1425" t="str">
        <f aca="false">IF(ISNUMBER($AU101*BB101*1),$AU101*BB101*1,"")</f>
        <v/>
      </c>
      <c r="BP101" s="1425" t="str">
        <f aca="false">IF(ISNUMBER($AV101*BC101*1),$AV101*BC101*1,"")</f>
        <v/>
      </c>
      <c r="BQ101" s="1425" t="str">
        <f aca="false">IF(ISNUMBER($AU101*BD101*1),$AU101*BD101*1,"")</f>
        <v/>
      </c>
      <c r="BR101" s="1425" t="str">
        <f aca="false">IF(ISNUMBER($AV101*BE101*1),$AV101*BE101*1,"")</f>
        <v/>
      </c>
      <c r="BS101" s="1411" t="str">
        <f aca="false">IF(ISNUMBER($AU101*BF101),$AU101*BF101,"")</f>
        <v/>
      </c>
      <c r="BT101" s="1411" t="str">
        <f aca="false">IF(ISNUMBER($AV101*BG101),$AV101*BG101,"")</f>
        <v/>
      </c>
      <c r="BU101" s="1411"/>
      <c r="BV101" s="1411"/>
      <c r="BW101" s="1411"/>
      <c r="BX101" s="1411"/>
      <c r="BZ101" s="1372"/>
      <c r="CA101" s="1372"/>
      <c r="CB101" s="1426" t="str">
        <f aca="false">IF(ISNUMBER($AW101*BB101),$AW101*BB101,"")</f>
        <v/>
      </c>
      <c r="CC101" s="1426" t="str">
        <f aca="false">IF(ISNUMBER($AX101*BC101),$AX101*BC101,"")</f>
        <v/>
      </c>
      <c r="CD101" s="1426" t="str">
        <f aca="false">IF(ISNUMBER($AW101*BD101),$AW101*BD101,"")</f>
        <v/>
      </c>
      <c r="CE101" s="1426" t="str">
        <f aca="false">IF(ISNUMBER($AX101*BE101),$AX101*BE101,"")</f>
        <v/>
      </c>
      <c r="CF101" s="1372" t="str">
        <f aca="false">IF(ISNUMBER($AW101*BF101),$AW101*BF101,"")</f>
        <v/>
      </c>
      <c r="CG101" s="1372" t="str">
        <f aca="false">IF(ISNUMBER($AX101*BG101),$AX101*BG101,"")</f>
        <v/>
      </c>
      <c r="CH101" s="1438"/>
      <c r="CI101" s="1438"/>
      <c r="CJ101" s="1438"/>
      <c r="CK101" s="1438"/>
      <c r="CU101" s="1411"/>
      <c r="CV101" s="1411"/>
      <c r="CW101" s="1425"/>
      <c r="CX101" s="1425"/>
      <c r="CY101" s="1425"/>
      <c r="CZ101" s="1425"/>
      <c r="DA101" s="1411"/>
      <c r="DB101" s="1411"/>
      <c r="DC101" s="1411"/>
      <c r="DD101" s="1411"/>
      <c r="DE101" s="1411"/>
      <c r="DF101" s="1411"/>
      <c r="DH101" s="1432"/>
      <c r="DI101" s="1432"/>
      <c r="DJ101" s="1437"/>
      <c r="DK101" s="1437"/>
      <c r="DL101" s="1437"/>
      <c r="DM101" s="1437"/>
      <c r="DN101" s="1432"/>
      <c r="DO101" s="1432"/>
      <c r="DP101" s="1432"/>
      <c r="DQ101" s="1432"/>
      <c r="DR101" s="1432"/>
      <c r="DS101" s="1432"/>
      <c r="DT101" s="1316"/>
      <c r="DU101" s="1433"/>
      <c r="DV101" s="1433"/>
      <c r="DW101" s="1433"/>
      <c r="DX101" s="1433"/>
      <c r="DY101" s="1433"/>
      <c r="DZ101" s="1433"/>
      <c r="EA101" s="1433"/>
      <c r="EB101" s="1433"/>
    </row>
    <row r="102" customFormat="false" ht="14.25" hidden="false" customHeight="false" outlineLevel="0" collapsed="false">
      <c r="A102" s="2" t="n">
        <f aca="false">'V_DATOS PAC_SGA'!CC97</f>
        <v>0</v>
      </c>
      <c r="B102" s="2" t="n">
        <f aca="false">IF(OR(A102=0,A102=""),0,IF(I102="IV",CONCATENATE('V_DATOS PAC_SGA'!CC97,"4")+0,CONCATENATE('V_DATOS PAC_SGA'!CC97,"0")+0))</f>
        <v>0</v>
      </c>
      <c r="C102" s="2" t="n">
        <f aca="false">'V_DATOS PAC_SGA'!CD97</f>
        <v>0</v>
      </c>
      <c r="D102" s="1409" t="n">
        <f aca="false">'V_DATOS PAC_SGA'!Y97</f>
        <v>0</v>
      </c>
      <c r="E102" s="1410" t="str">
        <f aca="false">IF('V_DATOS PAC_SGA'!AV97="","Regadio",'V_DATOS PAC_SGA'!AV97)</f>
        <v>Regadio</v>
      </c>
      <c r="F102" s="1411" t="n">
        <f aca="false">'V_DATOS PAC_SGA'!BK97</f>
        <v>0</v>
      </c>
      <c r="G102" s="1412" t="n">
        <f aca="false">'V_DATOS PAC_SGA'!AN97</f>
        <v>0</v>
      </c>
      <c r="H102" s="1413" t="str">
        <f aca="false">IF(B102&gt;0,VLOOKUP(B102,'O_MN, PE_UTA_UGM 2024'!E$3:O$419,10),"")</f>
        <v/>
      </c>
      <c r="I102" s="1359" t="str">
        <f aca="false">IF('V_DATOS PAC_SGA'!BV97="IV",'V_DATOS PAC_SGA'!BV97,"")</f>
        <v/>
      </c>
      <c r="J102" s="2" t="str">
        <f aca="false">IF($A102&gt;0,IF(AND(J$4=$G102,J$6=$F102),$D102*J$5,""),"")</f>
        <v/>
      </c>
      <c r="K102" s="2" t="str">
        <f aca="false">IF($A102&gt;0,IF(AND(K$4=$G102,K$6=$F102),$D102*K$5,""),"")</f>
        <v/>
      </c>
      <c r="L102" s="2" t="str">
        <f aca="false">IF($A102&gt;0,IF(AND(L$4=$G102,L$6=$F102),$D102*L$5,""),"")</f>
        <v/>
      </c>
      <c r="M102" s="2" t="str">
        <f aca="false">IF($A102&gt;0,IF(AND(M$4=$G102,M$6=$F102),$D102*M$5,""),"")</f>
        <v/>
      </c>
      <c r="N102" s="1506" t="n">
        <f aca="false">VLOOKUP(B102,'O_MN, PE_UTA_UGM 2024'!$E$2:$K$419,IF(G102&gt;1,6,7))</f>
        <v>0</v>
      </c>
      <c r="O102" s="1434" t="str">
        <f aca="false">IF($H102=O$4,$D102*$N102,"")</f>
        <v/>
      </c>
      <c r="P102" s="1435" t="str">
        <f aca="false">IF($H102=P$4,$D102*$N102,"")</f>
        <v/>
      </c>
      <c r="Q102" s="1435" t="str">
        <f aca="false">IF($H102=Q$4,$D102*$N102,"")</f>
        <v/>
      </c>
      <c r="R102" s="1435" t="str">
        <f aca="false">IF($H102=R$4,$D102*$N102,"")</f>
        <v/>
      </c>
      <c r="S102" s="1435" t="str">
        <f aca="false">IF($H102=S$4,$D102*$N102,"")</f>
        <v/>
      </c>
      <c r="T102" s="1435" t="str">
        <f aca="false">IF($H102=T$4,$D102*$N102,"")</f>
        <v/>
      </c>
      <c r="U102" s="1436" t="str">
        <f aca="false">IF($H102=U$4,$D102*$N102,"")</f>
        <v/>
      </c>
      <c r="V102" s="1418"/>
      <c r="W102" s="1419"/>
      <c r="X102" s="1419"/>
      <c r="Y102" s="1419"/>
      <c r="Z102" s="1419"/>
      <c r="AA102" s="1419"/>
      <c r="AB102" s="1420"/>
      <c r="AC102" s="1319"/>
      <c r="AD102" s="2" t="str">
        <f aca="false">IF(AND(AD$4=$G102,AD$6=$F102),$B102,"")</f>
        <v/>
      </c>
      <c r="AE102" s="2" t="str">
        <f aca="false">IF(AND(AE$4=$G102,AE$6=$F102),$B102,"")</f>
        <v/>
      </c>
      <c r="AF102" s="2" t="str">
        <f aca="false">IF(AND(AF$4=$G102,AF$6=$F102),$B102,"")</f>
        <v/>
      </c>
      <c r="AG102" s="2" t="str">
        <f aca="false">IF(AND(AG$4=$G102,AG$6=$F102),$B102,"")</f>
        <v/>
      </c>
      <c r="AI102" s="366"/>
      <c r="AL102" s="367"/>
      <c r="AO102" s="367"/>
      <c r="AP102" s="2" t="str">
        <f aca="false">IF(AT102&gt;0,RANK(AT102,AT$7:AT$423),"")</f>
        <v/>
      </c>
      <c r="AQ102" s="2" t="n">
        <f aca="false">'O_MN, PE_UTA_UGM 2024'!C98</f>
        <v>155</v>
      </c>
      <c r="AR102" s="1421" t="n">
        <v>1540</v>
      </c>
      <c r="AS102" s="2" t="str">
        <f aca="false">IF(AY102&lt;&gt;"",AY102,"")</f>
        <v/>
      </c>
      <c r="AT102" s="1422" t="n">
        <f aca="false">IF(ISNUMBER($AR102),SUMIF(B$7:B$505,AR102,D$7:D$505),"")</f>
        <v>0</v>
      </c>
      <c r="AU102" s="1411" t="n">
        <f aca="false">IF(ISNUMBER($AR102),SUMIF(AD$7:AD$503,$AR102,J$7:J$503),"")</f>
        <v>0</v>
      </c>
      <c r="AV102" s="1411" t="n">
        <f aca="false">IF(ISNUMBER($AR102),SUMIF(AF$7:AF$503,$AR102,L$7:L$503),"")</f>
        <v>0</v>
      </c>
      <c r="AW102" s="1423" t="n">
        <f aca="false">IF(ISNUMBER($AR102),SUMIF(AE$7:AE$503,$AR102,K$7:K$503),"")</f>
        <v>0</v>
      </c>
      <c r="AX102" s="1423" t="n">
        <f aca="false">IF(ISNUMBER($AR102),SUMIF(AG$7:AG$503,$AR102,M$7:M$503),"")</f>
        <v>0</v>
      </c>
      <c r="AY102" s="2" t="str">
        <f aca="false">IF($AT102&gt;0,VLOOKUP($AR102,'O_MN, PE_UTA_UGM 2024'!E98:O514,2),"")</f>
        <v/>
      </c>
      <c r="AZ102" s="1507"/>
      <c r="BA102" s="1507"/>
      <c r="BB102" s="1507" t="str">
        <f aca="false">IF($AT102&gt;0,VLOOKUP($AR102,'O_MN, PE_UTA_UGM 2024'!$E$3:$O$419,BB$6),"")</f>
        <v/>
      </c>
      <c r="BC102" s="1507" t="str">
        <f aca="false">IF($AT102&gt;0,VLOOKUP($AR102,'O_MN, PE_UTA_UGM 2024'!$E$3:$O$419,BC$6),"")</f>
        <v/>
      </c>
      <c r="BD102" s="1507" t="str">
        <f aca="false">IF($AT102&gt;0,VLOOKUP($AR102,'O_MN, PE_UTA_UGM 2024'!$E$3:$O$419,BD$6),"")</f>
        <v/>
      </c>
      <c r="BE102" s="1507" t="str">
        <f aca="false">IF($AT102&gt;0,VLOOKUP($AR102,'O_MN, PE_UTA_UGM 2024'!$E$3:$O$419,BE$6),"")</f>
        <v/>
      </c>
      <c r="BF102" s="1507" t="str">
        <f aca="false">IF($AT102&gt;0,VLOOKUP($AR102,'O_MN, PE_UTA_UGM 2024'!$E$3:$O$419,BF$6),"")</f>
        <v/>
      </c>
      <c r="BG102" s="1507" t="str">
        <f aca="false">IF($AT102&gt;0,VLOOKUP($AR102,'O_MN, PE_UTA_UGM 2024'!$E$3:$O$419,BG$6),"")</f>
        <v/>
      </c>
      <c r="BH102" s="1504"/>
      <c r="BI102" s="1504"/>
      <c r="BJ102" s="1504"/>
      <c r="BK102" s="1504"/>
      <c r="BM102" s="1411"/>
      <c r="BN102" s="1411"/>
      <c r="BO102" s="1425" t="str">
        <f aca="false">IF(ISNUMBER($AU102*BB102*1),$AU102*BB102*1,"")</f>
        <v/>
      </c>
      <c r="BP102" s="1425" t="str">
        <f aca="false">IF(ISNUMBER($AV102*BC102*1),$AV102*BC102*1,"")</f>
        <v/>
      </c>
      <c r="BQ102" s="1425" t="str">
        <f aca="false">IF(ISNUMBER($AU102*BD102*1),$AU102*BD102*1,"")</f>
        <v/>
      </c>
      <c r="BR102" s="1425" t="str">
        <f aca="false">IF(ISNUMBER($AV102*BE102*1),$AV102*BE102*1,"")</f>
        <v/>
      </c>
      <c r="BS102" s="1411" t="str">
        <f aca="false">IF(ISNUMBER($AU102*BF102),$AU102*BF102,"")</f>
        <v/>
      </c>
      <c r="BT102" s="1411" t="str">
        <f aca="false">IF(ISNUMBER($AV102*BG102),$AV102*BG102,"")</f>
        <v/>
      </c>
      <c r="BU102" s="1411"/>
      <c r="BV102" s="1411"/>
      <c r="BW102" s="1411"/>
      <c r="BX102" s="1411"/>
      <c r="BZ102" s="1372"/>
      <c r="CA102" s="1372"/>
      <c r="CB102" s="1426" t="str">
        <f aca="false">IF(ISNUMBER($AW102*BB102),$AW102*BB102,"")</f>
        <v/>
      </c>
      <c r="CC102" s="1426" t="str">
        <f aca="false">IF(ISNUMBER($AX102*BC102),$AX102*BC102,"")</f>
        <v/>
      </c>
      <c r="CD102" s="1426" t="str">
        <f aca="false">IF(ISNUMBER($AW102*BD102),$AW102*BD102,"")</f>
        <v/>
      </c>
      <c r="CE102" s="1426" t="str">
        <f aca="false">IF(ISNUMBER($AX102*BE102),$AX102*BE102,"")</f>
        <v/>
      </c>
      <c r="CF102" s="1372" t="str">
        <f aca="false">IF(ISNUMBER($AW102*BF102),$AW102*BF102,"")</f>
        <v/>
      </c>
      <c r="CG102" s="1372" t="str">
        <f aca="false">IF(ISNUMBER($AX102*BG102),$AX102*BG102,"")</f>
        <v/>
      </c>
      <c r="CH102" s="1438"/>
      <c r="CI102" s="1438"/>
      <c r="CJ102" s="1438"/>
      <c r="CK102" s="1438"/>
      <c r="CU102" s="1411"/>
      <c r="CV102" s="1411"/>
      <c r="CW102" s="1425"/>
      <c r="CX102" s="1425"/>
      <c r="CY102" s="1425"/>
      <c r="CZ102" s="1425"/>
      <c r="DA102" s="1411"/>
      <c r="DB102" s="1411"/>
      <c r="DC102" s="1411"/>
      <c r="DD102" s="1411"/>
      <c r="DE102" s="1411"/>
      <c r="DF102" s="1411"/>
      <c r="DH102" s="1432"/>
      <c r="DI102" s="1432"/>
      <c r="DJ102" s="1437"/>
      <c r="DK102" s="1437"/>
      <c r="DL102" s="1437"/>
      <c r="DM102" s="1437"/>
      <c r="DN102" s="1432"/>
      <c r="DO102" s="1432"/>
      <c r="DP102" s="1432"/>
      <c r="DQ102" s="1432"/>
      <c r="DR102" s="1432"/>
      <c r="DS102" s="1432"/>
      <c r="DT102" s="1316"/>
      <c r="DU102" s="1433"/>
      <c r="DV102" s="1433"/>
      <c r="DW102" s="1433"/>
      <c r="DX102" s="1433"/>
      <c r="DY102" s="1433"/>
      <c r="DZ102" s="1433"/>
      <c r="EA102" s="1433"/>
      <c r="EB102" s="1433"/>
    </row>
    <row r="103" customFormat="false" ht="14.25" hidden="false" customHeight="false" outlineLevel="0" collapsed="false">
      <c r="A103" s="2" t="n">
        <f aca="false">'V_DATOS PAC_SGA'!CC98</f>
        <v>0</v>
      </c>
      <c r="B103" s="2" t="n">
        <f aca="false">IF(OR(A103=0,A103=""),0,IF(I103="IV",CONCATENATE('V_DATOS PAC_SGA'!CC98,"4")+0,CONCATENATE('V_DATOS PAC_SGA'!CC98,"0")+0))</f>
        <v>0</v>
      </c>
      <c r="C103" s="2" t="n">
        <f aca="false">'V_DATOS PAC_SGA'!CD98</f>
        <v>0</v>
      </c>
      <c r="D103" s="1409" t="n">
        <f aca="false">'V_DATOS PAC_SGA'!Y98</f>
        <v>0</v>
      </c>
      <c r="E103" s="1410" t="str">
        <f aca="false">IF('V_DATOS PAC_SGA'!AV98="","Regadio",'V_DATOS PAC_SGA'!AV98)</f>
        <v>Regadio</v>
      </c>
      <c r="F103" s="1411" t="n">
        <f aca="false">'V_DATOS PAC_SGA'!BK98</f>
        <v>0</v>
      </c>
      <c r="G103" s="1412" t="n">
        <f aca="false">'V_DATOS PAC_SGA'!AN98</f>
        <v>0</v>
      </c>
      <c r="H103" s="1413" t="str">
        <f aca="false">IF(B103&gt;0,VLOOKUP(B103,'O_MN, PE_UTA_UGM 2024'!E$3:O$419,10),"")</f>
        <v/>
      </c>
      <c r="I103" s="1359" t="str">
        <f aca="false">IF('V_DATOS PAC_SGA'!BV98="IV",'V_DATOS PAC_SGA'!BV98,"")</f>
        <v/>
      </c>
      <c r="J103" s="2" t="str">
        <f aca="false">IF($A103&gt;0,IF(AND(J$4=$G103,J$6=$F103),$D103*J$5,""),"")</f>
        <v/>
      </c>
      <c r="K103" s="2" t="str">
        <f aca="false">IF($A103&gt;0,IF(AND(K$4=$G103,K$6=$F103),$D103*K$5,""),"")</f>
        <v/>
      </c>
      <c r="L103" s="2" t="str">
        <f aca="false">IF($A103&gt;0,IF(AND(L$4=$G103,L$6=$F103),$D103*L$5,""),"")</f>
        <v/>
      </c>
      <c r="M103" s="2" t="str">
        <f aca="false">IF($A103&gt;0,IF(AND(M$4=$G103,M$6=$F103),$D103*M$5,""),"")</f>
        <v/>
      </c>
      <c r="N103" s="1506" t="n">
        <f aca="false">VLOOKUP(B103,'O_MN, PE_UTA_UGM 2024'!$E$2:$K$419,IF(G103&gt;1,6,7))</f>
        <v>0</v>
      </c>
      <c r="O103" s="1434" t="str">
        <f aca="false">IF($H103=O$4,$D103*$N103,"")</f>
        <v/>
      </c>
      <c r="P103" s="1435" t="str">
        <f aca="false">IF($H103=P$4,$D103*$N103,"")</f>
        <v/>
      </c>
      <c r="Q103" s="1435" t="str">
        <f aca="false">IF($H103=Q$4,$D103*$N103,"")</f>
        <v/>
      </c>
      <c r="R103" s="1435" t="str">
        <f aca="false">IF($H103=R$4,$D103*$N103,"")</f>
        <v/>
      </c>
      <c r="S103" s="1435" t="str">
        <f aca="false">IF($H103=S$4,$D103*$N103,"")</f>
        <v/>
      </c>
      <c r="T103" s="1435" t="str">
        <f aca="false">IF($H103=T$4,$D103*$N103,"")</f>
        <v/>
      </c>
      <c r="U103" s="1436" t="str">
        <f aca="false">IF($H103=U$4,$D103*$N103,"")</f>
        <v/>
      </c>
      <c r="V103" s="1418"/>
      <c r="W103" s="1419"/>
      <c r="X103" s="1419"/>
      <c r="Y103" s="1419"/>
      <c r="Z103" s="1419"/>
      <c r="AA103" s="1419"/>
      <c r="AB103" s="1420"/>
      <c r="AC103" s="1319"/>
      <c r="AD103" s="2" t="str">
        <f aca="false">IF(AND(AD$4=$G103,AD$6=$F103),$B103,"")</f>
        <v/>
      </c>
      <c r="AE103" s="2" t="str">
        <f aca="false">IF(AND(AE$4=$G103,AE$6=$F103),$B103,"")</f>
        <v/>
      </c>
      <c r="AF103" s="2" t="str">
        <f aca="false">IF(AND(AF$4=$G103,AF$6=$F103),$B103,"")</f>
        <v/>
      </c>
      <c r="AG103" s="2" t="str">
        <f aca="false">IF(AND(AG$4=$G103,AG$6=$F103),$B103,"")</f>
        <v/>
      </c>
      <c r="AI103" s="366"/>
      <c r="AL103" s="367"/>
      <c r="AO103" s="367"/>
      <c r="AP103" s="2" t="str">
        <f aca="false">IF(AT103&gt;0,RANK(AT103,AT$7:AT$423),"")</f>
        <v/>
      </c>
      <c r="AQ103" s="2" t="n">
        <f aca="false">'O_MN, PE_UTA_UGM 2024'!C99</f>
        <v>155</v>
      </c>
      <c r="AR103" s="1421" t="n">
        <v>1544</v>
      </c>
      <c r="AS103" s="2" t="str">
        <f aca="false">IF(AY103&lt;&gt;"",AY103,"")</f>
        <v/>
      </c>
      <c r="AT103" s="1422" t="n">
        <f aca="false">IF(ISNUMBER($AR103),SUMIF(B$7:B$505,AR103,D$7:D$505),"")</f>
        <v>0</v>
      </c>
      <c r="AU103" s="1411" t="n">
        <f aca="false">IF(ISNUMBER($AR103),SUMIF(AD$7:AD$503,$AR103,J$7:J$503),"")</f>
        <v>0</v>
      </c>
      <c r="AV103" s="1411" t="n">
        <f aca="false">IF(ISNUMBER($AR103),SUMIF(AF$7:AF$503,$AR103,L$7:L$503),"")</f>
        <v>0</v>
      </c>
      <c r="AW103" s="1423" t="n">
        <f aca="false">IF(ISNUMBER($AR103),SUMIF(AE$7:AE$503,$AR103,K$7:K$503),"")</f>
        <v>0</v>
      </c>
      <c r="AX103" s="1423" t="n">
        <f aca="false">IF(ISNUMBER($AR103),SUMIF(AG$7:AG$503,$AR103,M$7:M$503),"")</f>
        <v>0</v>
      </c>
      <c r="AY103" s="2" t="str">
        <f aca="false">IF($AT103&gt;0,VLOOKUP($AR103,'O_MN, PE_UTA_UGM 2024'!E99:O515,2),"")</f>
        <v/>
      </c>
      <c r="AZ103" s="1507"/>
      <c r="BA103" s="1507"/>
      <c r="BB103" s="1507" t="str">
        <f aca="false">IF($AT103&gt;0,VLOOKUP($AR103,'O_MN, PE_UTA_UGM 2024'!$E$3:$O$419,BB$6),"")</f>
        <v/>
      </c>
      <c r="BC103" s="1507" t="str">
        <f aca="false">IF($AT103&gt;0,VLOOKUP($AR103,'O_MN, PE_UTA_UGM 2024'!$E$3:$O$419,BC$6),"")</f>
        <v/>
      </c>
      <c r="BD103" s="1507" t="str">
        <f aca="false">IF($AT103&gt;0,VLOOKUP($AR103,'O_MN, PE_UTA_UGM 2024'!$E$3:$O$419,BD$6),"")</f>
        <v/>
      </c>
      <c r="BE103" s="1507" t="str">
        <f aca="false">IF($AT103&gt;0,VLOOKUP($AR103,'O_MN, PE_UTA_UGM 2024'!$E$3:$O$419,BE$6),"")</f>
        <v/>
      </c>
      <c r="BF103" s="1507" t="str">
        <f aca="false">IF($AT103&gt;0,VLOOKUP($AR103,'O_MN, PE_UTA_UGM 2024'!$E$3:$O$419,BF$6),"")</f>
        <v/>
      </c>
      <c r="BG103" s="1507" t="str">
        <f aca="false">IF($AT103&gt;0,VLOOKUP($AR103,'O_MN, PE_UTA_UGM 2024'!$E$3:$O$419,BG$6),"")</f>
        <v/>
      </c>
      <c r="BH103" s="1504"/>
      <c r="BI103" s="1504"/>
      <c r="BJ103" s="1504"/>
      <c r="BK103" s="1504"/>
      <c r="BM103" s="1411"/>
      <c r="BN103" s="1411"/>
      <c r="BO103" s="1425" t="str">
        <f aca="false">IF(ISNUMBER($AU103*BB103*1),$AU103*BB103*1,"")</f>
        <v/>
      </c>
      <c r="BP103" s="1425" t="str">
        <f aca="false">IF(ISNUMBER($AV103*BC103*1),$AV103*BC103*1,"")</f>
        <v/>
      </c>
      <c r="BQ103" s="1425" t="str">
        <f aca="false">IF(ISNUMBER($AU103*BD103*1),$AU103*BD103*1,"")</f>
        <v/>
      </c>
      <c r="BR103" s="1425" t="str">
        <f aca="false">IF(ISNUMBER($AV103*BE103*1),$AV103*BE103*1,"")</f>
        <v/>
      </c>
      <c r="BS103" s="1411" t="str">
        <f aca="false">IF(ISNUMBER($AU103*BF103),$AU103*BF103,"")</f>
        <v/>
      </c>
      <c r="BT103" s="1411" t="str">
        <f aca="false">IF(ISNUMBER($AV103*BG103),$AV103*BG103,"")</f>
        <v/>
      </c>
      <c r="BU103" s="1411"/>
      <c r="BV103" s="1411"/>
      <c r="BW103" s="1411"/>
      <c r="BX103" s="1411"/>
      <c r="BZ103" s="1372"/>
      <c r="CA103" s="1372"/>
      <c r="CB103" s="1426" t="str">
        <f aca="false">IF(ISNUMBER($AW103*BB103),$AW103*BB103,"")</f>
        <v/>
      </c>
      <c r="CC103" s="1426" t="str">
        <f aca="false">IF(ISNUMBER($AX103*BC103),$AX103*BC103,"")</f>
        <v/>
      </c>
      <c r="CD103" s="1426" t="str">
        <f aca="false">IF(ISNUMBER($AW103*BD103),$AW103*BD103,"")</f>
        <v/>
      </c>
      <c r="CE103" s="1426" t="str">
        <f aca="false">IF(ISNUMBER($AX103*BE103),$AX103*BE103,"")</f>
        <v/>
      </c>
      <c r="CF103" s="1372" t="str">
        <f aca="false">IF(ISNUMBER($AW103*BF103),$AW103*BF103,"")</f>
        <v/>
      </c>
      <c r="CG103" s="1372" t="str">
        <f aca="false">IF(ISNUMBER($AX103*BG103),$AX103*BG103,"")</f>
        <v/>
      </c>
      <c r="CH103" s="1438"/>
      <c r="CI103" s="1438"/>
      <c r="CJ103" s="1438"/>
      <c r="CK103" s="1438"/>
      <c r="CU103" s="1411"/>
      <c r="CV103" s="1411"/>
      <c r="CW103" s="1425"/>
      <c r="CX103" s="1425"/>
      <c r="CY103" s="1425"/>
      <c r="CZ103" s="1425"/>
      <c r="DA103" s="1411"/>
      <c r="DB103" s="1411"/>
      <c r="DC103" s="1411"/>
      <c r="DD103" s="1411"/>
      <c r="DE103" s="1411"/>
      <c r="DF103" s="1411"/>
      <c r="DH103" s="1432"/>
      <c r="DI103" s="1432"/>
      <c r="DJ103" s="1437"/>
      <c r="DK103" s="1437"/>
      <c r="DL103" s="1437"/>
      <c r="DM103" s="1437"/>
      <c r="DN103" s="1432"/>
      <c r="DO103" s="1432"/>
      <c r="DP103" s="1432"/>
      <c r="DQ103" s="1432"/>
      <c r="DR103" s="1432"/>
      <c r="DS103" s="1432"/>
      <c r="DT103" s="1316"/>
      <c r="DU103" s="1433"/>
      <c r="DV103" s="1433"/>
      <c r="DW103" s="1433"/>
      <c r="DX103" s="1433"/>
      <c r="DY103" s="1433"/>
      <c r="DZ103" s="1433"/>
      <c r="EA103" s="1433"/>
      <c r="EB103" s="1433"/>
    </row>
    <row r="104" customFormat="false" ht="14.25" hidden="false" customHeight="false" outlineLevel="0" collapsed="false">
      <c r="A104" s="2" t="n">
        <f aca="false">'V_DATOS PAC_SGA'!CC99</f>
        <v>0</v>
      </c>
      <c r="B104" s="2" t="n">
        <f aca="false">IF(OR(A104=0,A104=""),0,IF(I104="IV",CONCATENATE('V_DATOS PAC_SGA'!CC99,"4")+0,CONCATENATE('V_DATOS PAC_SGA'!CC99,"0")+0))</f>
        <v>0</v>
      </c>
      <c r="C104" s="2" t="n">
        <f aca="false">'V_DATOS PAC_SGA'!CD99</f>
        <v>0</v>
      </c>
      <c r="D104" s="1409" t="n">
        <f aca="false">'V_DATOS PAC_SGA'!Y99</f>
        <v>0</v>
      </c>
      <c r="E104" s="1410" t="str">
        <f aca="false">IF('V_DATOS PAC_SGA'!AV99="","Regadio",'V_DATOS PAC_SGA'!AV99)</f>
        <v>Regadio</v>
      </c>
      <c r="F104" s="1411" t="n">
        <f aca="false">'V_DATOS PAC_SGA'!BK99</f>
        <v>0</v>
      </c>
      <c r="G104" s="1412" t="n">
        <f aca="false">'V_DATOS PAC_SGA'!AN99</f>
        <v>0</v>
      </c>
      <c r="H104" s="1413" t="str">
        <f aca="false">IF(B104&gt;0,VLOOKUP(B104,'O_MN, PE_UTA_UGM 2024'!E$3:O$419,10),"")</f>
        <v/>
      </c>
      <c r="I104" s="1359" t="str">
        <f aca="false">IF('V_DATOS PAC_SGA'!BV99="IV",'V_DATOS PAC_SGA'!BV99,"")</f>
        <v/>
      </c>
      <c r="J104" s="2" t="str">
        <f aca="false">IF($A104&gt;0,IF(AND(J$4=$G104,J$6=$F104),$D104*J$5,""),"")</f>
        <v/>
      </c>
      <c r="K104" s="2" t="str">
        <f aca="false">IF($A104&gt;0,IF(AND(K$4=$G104,K$6=$F104),$D104*K$5,""),"")</f>
        <v/>
      </c>
      <c r="L104" s="2" t="str">
        <f aca="false">IF($A104&gt;0,IF(AND(L$4=$G104,L$6=$F104),$D104*L$5,""),"")</f>
        <v/>
      </c>
      <c r="M104" s="2" t="str">
        <f aca="false">IF($A104&gt;0,IF(AND(M$4=$G104,M$6=$F104),$D104*M$5,""),"")</f>
        <v/>
      </c>
      <c r="N104" s="1506" t="n">
        <f aca="false">VLOOKUP(B104,'O_MN, PE_UTA_UGM 2024'!$E$2:$K$419,IF(G104&gt;1,6,7))</f>
        <v>0</v>
      </c>
      <c r="O104" s="1434" t="str">
        <f aca="false">IF($H104=O$4,$D104*$N104,"")</f>
        <v/>
      </c>
      <c r="P104" s="1435" t="str">
        <f aca="false">IF($H104=P$4,$D104*$N104,"")</f>
        <v/>
      </c>
      <c r="Q104" s="1435" t="str">
        <f aca="false">IF($H104=Q$4,$D104*$N104,"")</f>
        <v/>
      </c>
      <c r="R104" s="1435" t="str">
        <f aca="false">IF($H104=R$4,$D104*$N104,"")</f>
        <v/>
      </c>
      <c r="S104" s="1435" t="str">
        <f aca="false">IF($H104=S$4,$D104*$N104,"")</f>
        <v/>
      </c>
      <c r="T104" s="1435" t="str">
        <f aca="false">IF($H104=T$4,$D104*$N104,"")</f>
        <v/>
      </c>
      <c r="U104" s="1436" t="str">
        <f aca="false">IF($H104=U$4,$D104*$N104,"")</f>
        <v/>
      </c>
      <c r="V104" s="1418"/>
      <c r="W104" s="1419"/>
      <c r="X104" s="1419"/>
      <c r="Y104" s="1419"/>
      <c r="Z104" s="1419"/>
      <c r="AA104" s="1419"/>
      <c r="AB104" s="1420"/>
      <c r="AC104" s="1319"/>
      <c r="AD104" s="2" t="str">
        <f aca="false">IF(AND(AD$4=$G104,AD$6=$F104),$B104,"")</f>
        <v/>
      </c>
      <c r="AE104" s="2" t="str">
        <f aca="false">IF(AND(AE$4=$G104,AE$6=$F104),$B104,"")</f>
        <v/>
      </c>
      <c r="AF104" s="2" t="str">
        <f aca="false">IF(AND(AF$4=$G104,AF$6=$F104),$B104,"")</f>
        <v/>
      </c>
      <c r="AG104" s="2" t="str">
        <f aca="false">IF(AND(AG$4=$G104,AG$6=$F104),$B104,"")</f>
        <v/>
      </c>
      <c r="AI104" s="366"/>
      <c r="AL104" s="367"/>
      <c r="AO104" s="367"/>
      <c r="AP104" s="2" t="str">
        <f aca="false">IF(AT104&gt;0,RANK(AT104,AT$7:AT$423),"")</f>
        <v/>
      </c>
      <c r="AQ104" s="2" t="n">
        <f aca="false">'O_MN, PE_UTA_UGM 2024'!C100</f>
        <v>156</v>
      </c>
      <c r="AR104" s="1421" t="n">
        <v>1549</v>
      </c>
      <c r="AS104" s="2" t="str">
        <f aca="false">IF(AY104&lt;&gt;"",AY104,"")</f>
        <v/>
      </c>
      <c r="AT104" s="1422" t="n">
        <f aca="false">IF(ISNUMBER($AR104),SUMIF(B$7:B$505,AR104,D$7:D$505),"")</f>
        <v>0</v>
      </c>
      <c r="AU104" s="1411" t="n">
        <f aca="false">IF(ISNUMBER($AR104),SUMIF(AD$7:AD$503,$AR104,J$7:J$503),"")</f>
        <v>0</v>
      </c>
      <c r="AV104" s="1411" t="n">
        <f aca="false">IF(ISNUMBER($AR104),SUMIF(AF$7:AF$503,$AR104,L$7:L$503),"")</f>
        <v>0</v>
      </c>
      <c r="AW104" s="1423" t="n">
        <f aca="false">IF(ISNUMBER($AR104),SUMIF(AE$7:AE$503,$AR104,K$7:K$503),"")</f>
        <v>0</v>
      </c>
      <c r="AX104" s="1423" t="n">
        <f aca="false">IF(ISNUMBER($AR104),SUMIF(AG$7:AG$503,$AR104,M$7:M$503),"")</f>
        <v>0</v>
      </c>
      <c r="AY104" s="2" t="str">
        <f aca="false">IF($AT104&gt;0,VLOOKUP($AR104,'O_MN, PE_UTA_UGM 2024'!E100:O516,2),"")</f>
        <v/>
      </c>
      <c r="AZ104" s="1507"/>
      <c r="BA104" s="1507"/>
      <c r="BB104" s="1507" t="str">
        <f aca="false">IF($AT104&gt;0,VLOOKUP($AR104,'O_MN, PE_UTA_UGM 2024'!$E$3:$O$419,BB$6),"")</f>
        <v/>
      </c>
      <c r="BC104" s="1507" t="str">
        <f aca="false">IF($AT104&gt;0,VLOOKUP($AR104,'O_MN, PE_UTA_UGM 2024'!$E$3:$O$419,BC$6),"")</f>
        <v/>
      </c>
      <c r="BD104" s="1507" t="str">
        <f aca="false">IF($AT104&gt;0,VLOOKUP($AR104,'O_MN, PE_UTA_UGM 2024'!$E$3:$O$419,BD$6),"")</f>
        <v/>
      </c>
      <c r="BE104" s="1507" t="str">
        <f aca="false">IF($AT104&gt;0,VLOOKUP($AR104,'O_MN, PE_UTA_UGM 2024'!$E$3:$O$419,BE$6),"")</f>
        <v/>
      </c>
      <c r="BF104" s="1507" t="str">
        <f aca="false">IF($AT104&gt;0,VLOOKUP($AR104,'O_MN, PE_UTA_UGM 2024'!$E$3:$O$419,BF$6),"")</f>
        <v/>
      </c>
      <c r="BG104" s="1507" t="str">
        <f aca="false">IF($AT104&gt;0,VLOOKUP($AR104,'O_MN, PE_UTA_UGM 2024'!$E$3:$O$419,BG$6),"")</f>
        <v/>
      </c>
      <c r="BH104" s="1504"/>
      <c r="BI104" s="1504"/>
      <c r="BJ104" s="1504"/>
      <c r="BK104" s="1504"/>
      <c r="BM104" s="1411"/>
      <c r="BN104" s="1411"/>
      <c r="BO104" s="1425" t="str">
        <f aca="false">IF(ISNUMBER($AU104*BB104*1),$AU104*BB104*1,"")</f>
        <v/>
      </c>
      <c r="BP104" s="1425" t="str">
        <f aca="false">IF(ISNUMBER($AV104*BC104*1),$AV104*BC104*1,"")</f>
        <v/>
      </c>
      <c r="BQ104" s="1425" t="str">
        <f aca="false">IF(ISNUMBER($AU104*BD104*1),$AU104*BD104*1,"")</f>
        <v/>
      </c>
      <c r="BR104" s="1425" t="str">
        <f aca="false">IF(ISNUMBER($AV104*BE104*1),$AV104*BE104*1,"")</f>
        <v/>
      </c>
      <c r="BS104" s="1411" t="str">
        <f aca="false">IF(ISNUMBER($AU104*BF104),$AU104*BF104,"")</f>
        <v/>
      </c>
      <c r="BT104" s="1411" t="str">
        <f aca="false">IF(ISNUMBER($AV104*BG104),$AV104*BG104,"")</f>
        <v/>
      </c>
      <c r="BU104" s="1411"/>
      <c r="BV104" s="1411"/>
      <c r="BW104" s="1411"/>
      <c r="BX104" s="1411"/>
      <c r="BZ104" s="1372"/>
      <c r="CA104" s="1372"/>
      <c r="CB104" s="1426" t="str">
        <f aca="false">IF(ISNUMBER($AW104*BB104),$AW104*BB104,"")</f>
        <v/>
      </c>
      <c r="CC104" s="1426" t="str">
        <f aca="false">IF(ISNUMBER($AX104*BC104),$AX104*BC104,"")</f>
        <v/>
      </c>
      <c r="CD104" s="1426" t="str">
        <f aca="false">IF(ISNUMBER($AW104*BD104),$AW104*BD104,"")</f>
        <v/>
      </c>
      <c r="CE104" s="1426" t="str">
        <f aca="false">IF(ISNUMBER($AX104*BE104),$AX104*BE104,"")</f>
        <v/>
      </c>
      <c r="CF104" s="1372" t="str">
        <f aca="false">IF(ISNUMBER($AW104*BF104),$AW104*BF104,"")</f>
        <v/>
      </c>
      <c r="CG104" s="1372" t="str">
        <f aca="false">IF(ISNUMBER($AX104*BG104),$AX104*BG104,"")</f>
        <v/>
      </c>
      <c r="CH104" s="1438"/>
      <c r="CI104" s="1438"/>
      <c r="CJ104" s="1438"/>
      <c r="CK104" s="1438"/>
      <c r="CU104" s="1411"/>
      <c r="CV104" s="1411"/>
      <c r="CW104" s="1425"/>
      <c r="CX104" s="1425"/>
      <c r="CY104" s="1425"/>
      <c r="CZ104" s="1425"/>
      <c r="DA104" s="1411"/>
      <c r="DB104" s="1411"/>
      <c r="DC104" s="1411"/>
      <c r="DD104" s="1411"/>
      <c r="DE104" s="1411"/>
      <c r="DF104" s="1411"/>
      <c r="DH104" s="1432"/>
      <c r="DI104" s="1432"/>
      <c r="DJ104" s="1437"/>
      <c r="DK104" s="1437"/>
      <c r="DL104" s="1437"/>
      <c r="DM104" s="1437"/>
      <c r="DN104" s="1432"/>
      <c r="DO104" s="1432"/>
      <c r="DP104" s="1432"/>
      <c r="DQ104" s="1432"/>
      <c r="DR104" s="1432"/>
      <c r="DS104" s="1432"/>
      <c r="DT104" s="1316"/>
      <c r="DU104" s="1433"/>
      <c r="DV104" s="1433"/>
      <c r="DW104" s="1433"/>
      <c r="DX104" s="1433"/>
      <c r="DY104" s="1433"/>
      <c r="DZ104" s="1433"/>
      <c r="EA104" s="1433"/>
      <c r="EB104" s="1433"/>
    </row>
    <row r="105" customFormat="false" ht="14.25" hidden="false" customHeight="false" outlineLevel="0" collapsed="false">
      <c r="A105" s="2" t="n">
        <f aca="false">'V_DATOS PAC_SGA'!CC100</f>
        <v>0</v>
      </c>
      <c r="B105" s="2" t="n">
        <f aca="false">IF(OR(A105=0,A105=""),0,IF(I105="IV",CONCATENATE('V_DATOS PAC_SGA'!CC100,"4")+0,CONCATENATE('V_DATOS PAC_SGA'!CC100,"0")+0))</f>
        <v>0</v>
      </c>
      <c r="C105" s="2" t="n">
        <f aca="false">'V_DATOS PAC_SGA'!CD100</f>
        <v>0</v>
      </c>
      <c r="D105" s="1409" t="n">
        <f aca="false">'V_DATOS PAC_SGA'!Y100</f>
        <v>0</v>
      </c>
      <c r="E105" s="1410" t="str">
        <f aca="false">IF('V_DATOS PAC_SGA'!AV100="","Regadio",'V_DATOS PAC_SGA'!AV100)</f>
        <v>Regadio</v>
      </c>
      <c r="F105" s="1411" t="n">
        <f aca="false">'V_DATOS PAC_SGA'!BK100</f>
        <v>0</v>
      </c>
      <c r="G105" s="1412" t="n">
        <f aca="false">'V_DATOS PAC_SGA'!AN100</f>
        <v>0</v>
      </c>
      <c r="H105" s="1413" t="str">
        <f aca="false">IF(B105&gt;0,VLOOKUP(B105,'O_MN, PE_UTA_UGM 2024'!E$3:O$419,10),"")</f>
        <v/>
      </c>
      <c r="I105" s="1359" t="str">
        <f aca="false">IF('V_DATOS PAC_SGA'!BV100="IV",'V_DATOS PAC_SGA'!BV100,"")</f>
        <v/>
      </c>
      <c r="J105" s="2" t="str">
        <f aca="false">IF($A105&gt;0,IF(AND(J$4=$G105,J$6=$F105),$D105*J$5,""),"")</f>
        <v/>
      </c>
      <c r="K105" s="2" t="str">
        <f aca="false">IF($A105&gt;0,IF(AND(K$4=$G105,K$6=$F105),$D105*K$5,""),"")</f>
        <v/>
      </c>
      <c r="L105" s="2" t="str">
        <f aca="false">IF($A105&gt;0,IF(AND(L$4=$G105,L$6=$F105),$D105*L$5,""),"")</f>
        <v/>
      </c>
      <c r="M105" s="2" t="str">
        <f aca="false">IF($A105&gt;0,IF(AND(M$4=$G105,M$6=$F105),$D105*M$5,""),"")</f>
        <v/>
      </c>
      <c r="N105" s="1506" t="n">
        <f aca="false">VLOOKUP(B105,'O_MN, PE_UTA_UGM 2024'!$E$2:$K$419,IF(G105&gt;1,6,7))</f>
        <v>0</v>
      </c>
      <c r="O105" s="1434" t="str">
        <f aca="false">IF($H105=O$4,$D105*$N105,"")</f>
        <v/>
      </c>
      <c r="P105" s="1435" t="str">
        <f aca="false">IF($H105=P$4,$D105*$N105,"")</f>
        <v/>
      </c>
      <c r="Q105" s="1435" t="str">
        <f aca="false">IF($H105=Q$4,$D105*$N105,"")</f>
        <v/>
      </c>
      <c r="R105" s="1435" t="str">
        <f aca="false">IF($H105=R$4,$D105*$N105,"")</f>
        <v/>
      </c>
      <c r="S105" s="1435" t="str">
        <f aca="false">IF($H105=S$4,$D105*$N105,"")</f>
        <v/>
      </c>
      <c r="T105" s="1435" t="str">
        <f aca="false">IF($H105=T$4,$D105*$N105,"")</f>
        <v/>
      </c>
      <c r="U105" s="1436" t="str">
        <f aca="false">IF($H105=U$4,$D105*$N105,"")</f>
        <v/>
      </c>
      <c r="V105" s="1418"/>
      <c r="W105" s="1419"/>
      <c r="X105" s="1419"/>
      <c r="Y105" s="1419"/>
      <c r="Z105" s="1419"/>
      <c r="AA105" s="1419"/>
      <c r="AB105" s="1420"/>
      <c r="AC105" s="1319"/>
      <c r="AD105" s="2" t="str">
        <f aca="false">IF(AND(AD$4=$G105,AD$6=$F105),$B105,"")</f>
        <v/>
      </c>
      <c r="AE105" s="2" t="str">
        <f aca="false">IF(AND(AE$4=$G105,AE$6=$F105),$B105,"")</f>
        <v/>
      </c>
      <c r="AF105" s="2" t="str">
        <f aca="false">IF(AND(AF$4=$G105,AF$6=$F105),$B105,"")</f>
        <v/>
      </c>
      <c r="AG105" s="2" t="str">
        <f aca="false">IF(AND(AG$4=$G105,AG$6=$F105),$B105,"")</f>
        <v/>
      </c>
      <c r="AI105" s="366"/>
      <c r="AL105" s="367"/>
      <c r="AO105" s="367"/>
      <c r="AP105" s="2" t="str">
        <f aca="false">IF(AT105&gt;0,RANK(AT105,AT$7:AT$423),"")</f>
        <v/>
      </c>
      <c r="AQ105" s="2" t="n">
        <f aca="false">'O_MN, PE_UTA_UGM 2024'!C101</f>
        <v>156</v>
      </c>
      <c r="AR105" s="1421" t="n">
        <v>1550</v>
      </c>
      <c r="AS105" s="2" t="str">
        <f aca="false">IF(AY105&lt;&gt;"",AY105,"")</f>
        <v/>
      </c>
      <c r="AT105" s="1422" t="n">
        <f aca="false">IF(ISNUMBER($AR105),SUMIF(B$7:B$505,AR105,D$7:D$505),"")</f>
        <v>0</v>
      </c>
      <c r="AU105" s="1411" t="n">
        <f aca="false">IF(ISNUMBER($AR105),SUMIF(AD$7:AD$503,$AR105,J$7:J$503),"")</f>
        <v>0</v>
      </c>
      <c r="AV105" s="1411" t="n">
        <f aca="false">IF(ISNUMBER($AR105),SUMIF(AF$7:AF$503,$AR105,L$7:L$503),"")</f>
        <v>0</v>
      </c>
      <c r="AW105" s="1423" t="n">
        <f aca="false">IF(ISNUMBER($AR105),SUMIF(AE$7:AE$503,$AR105,K$7:K$503),"")</f>
        <v>0</v>
      </c>
      <c r="AX105" s="1423" t="n">
        <f aca="false">IF(ISNUMBER($AR105),SUMIF(AG$7:AG$503,$AR105,M$7:M$503),"")</f>
        <v>0</v>
      </c>
      <c r="AY105" s="2" t="str">
        <f aca="false">IF($AT105&gt;0,VLOOKUP($AR105,'O_MN, PE_UTA_UGM 2024'!E101:O517,2),"")</f>
        <v/>
      </c>
      <c r="AZ105" s="1507"/>
      <c r="BA105" s="1507"/>
      <c r="BB105" s="1507" t="str">
        <f aca="false">IF($AT105&gt;0,VLOOKUP($AR105,'O_MN, PE_UTA_UGM 2024'!$E$3:$O$419,BB$6),"")</f>
        <v/>
      </c>
      <c r="BC105" s="1507" t="str">
        <f aca="false">IF($AT105&gt;0,VLOOKUP($AR105,'O_MN, PE_UTA_UGM 2024'!$E$3:$O$419,BC$6),"")</f>
        <v/>
      </c>
      <c r="BD105" s="1507" t="str">
        <f aca="false">IF($AT105&gt;0,VLOOKUP($AR105,'O_MN, PE_UTA_UGM 2024'!$E$3:$O$419,BD$6),"")</f>
        <v/>
      </c>
      <c r="BE105" s="1507" t="str">
        <f aca="false">IF($AT105&gt;0,VLOOKUP($AR105,'O_MN, PE_UTA_UGM 2024'!$E$3:$O$419,BE$6),"")</f>
        <v/>
      </c>
      <c r="BF105" s="1507" t="str">
        <f aca="false">IF($AT105&gt;0,VLOOKUP($AR105,'O_MN, PE_UTA_UGM 2024'!$E$3:$O$419,BF$6),"")</f>
        <v/>
      </c>
      <c r="BG105" s="1507" t="str">
        <f aca="false">IF($AT105&gt;0,VLOOKUP($AR105,'O_MN, PE_UTA_UGM 2024'!$E$3:$O$419,BG$6),"")</f>
        <v/>
      </c>
      <c r="BH105" s="1504"/>
      <c r="BI105" s="1504"/>
      <c r="BJ105" s="1504"/>
      <c r="BK105" s="1504"/>
      <c r="BM105" s="1411"/>
      <c r="BN105" s="1411"/>
      <c r="BO105" s="1425" t="str">
        <f aca="false">IF(ISNUMBER($AU105*BB105*1),$AU105*BB105*1,"")</f>
        <v/>
      </c>
      <c r="BP105" s="1425" t="str">
        <f aca="false">IF(ISNUMBER($AV105*BC105*1),$AV105*BC105*1,"")</f>
        <v/>
      </c>
      <c r="BQ105" s="1425" t="str">
        <f aca="false">IF(ISNUMBER($AU105*BD105*1),$AU105*BD105*1,"")</f>
        <v/>
      </c>
      <c r="BR105" s="1425" t="str">
        <f aca="false">IF(ISNUMBER($AV105*BE105*1),$AV105*BE105*1,"")</f>
        <v/>
      </c>
      <c r="BS105" s="1411" t="str">
        <f aca="false">IF(ISNUMBER($AU105*BF105),$AU105*BF105,"")</f>
        <v/>
      </c>
      <c r="BT105" s="1411" t="str">
        <f aca="false">IF(ISNUMBER($AV105*BG105),$AV105*BG105,"")</f>
        <v/>
      </c>
      <c r="BU105" s="1411"/>
      <c r="BV105" s="1411"/>
      <c r="BW105" s="1411"/>
      <c r="BX105" s="1411"/>
      <c r="BZ105" s="1372"/>
      <c r="CA105" s="1372"/>
      <c r="CB105" s="1426" t="str">
        <f aca="false">IF(ISNUMBER($AW105*BB105),$AW105*BB105,"")</f>
        <v/>
      </c>
      <c r="CC105" s="1426" t="str">
        <f aca="false">IF(ISNUMBER($AX105*BC105),$AX105*BC105,"")</f>
        <v/>
      </c>
      <c r="CD105" s="1426" t="str">
        <f aca="false">IF(ISNUMBER($AW105*BD105),$AW105*BD105,"")</f>
        <v/>
      </c>
      <c r="CE105" s="1426" t="str">
        <f aca="false">IF(ISNUMBER($AX105*BE105),$AX105*BE105,"")</f>
        <v/>
      </c>
      <c r="CF105" s="1372" t="str">
        <f aca="false">IF(ISNUMBER($AW105*BF105),$AW105*BF105,"")</f>
        <v/>
      </c>
      <c r="CG105" s="1372" t="str">
        <f aca="false">IF(ISNUMBER($AX105*BG105),$AX105*BG105,"")</f>
        <v/>
      </c>
      <c r="CH105" s="1438"/>
      <c r="CI105" s="1438"/>
      <c r="CJ105" s="1438"/>
      <c r="CK105" s="1438"/>
      <c r="CU105" s="1411"/>
      <c r="CV105" s="1411"/>
      <c r="CW105" s="1425"/>
      <c r="CX105" s="1425"/>
      <c r="CY105" s="1425"/>
      <c r="CZ105" s="1425"/>
      <c r="DA105" s="1411"/>
      <c r="DB105" s="1411"/>
      <c r="DC105" s="1411"/>
      <c r="DD105" s="1411"/>
      <c r="DE105" s="1411"/>
      <c r="DF105" s="1411"/>
      <c r="DH105" s="1432"/>
      <c r="DI105" s="1432"/>
      <c r="DJ105" s="1437"/>
      <c r="DK105" s="1437"/>
      <c r="DL105" s="1437"/>
      <c r="DM105" s="1437"/>
      <c r="DN105" s="1432"/>
      <c r="DO105" s="1432"/>
      <c r="DP105" s="1432"/>
      <c r="DQ105" s="1432"/>
      <c r="DR105" s="1432"/>
      <c r="DS105" s="1432"/>
      <c r="DT105" s="1316"/>
      <c r="DU105" s="1433"/>
      <c r="DV105" s="1433"/>
      <c r="DW105" s="1433"/>
      <c r="DX105" s="1433"/>
      <c r="DY105" s="1433"/>
      <c r="DZ105" s="1433"/>
      <c r="EA105" s="1433"/>
      <c r="EB105" s="1433"/>
    </row>
    <row r="106" customFormat="false" ht="14.25" hidden="false" customHeight="false" outlineLevel="0" collapsed="false">
      <c r="A106" s="2" t="n">
        <f aca="false">'V_DATOS PAC_SGA'!CC101</f>
        <v>0</v>
      </c>
      <c r="B106" s="2" t="n">
        <f aca="false">IF(OR(A106=0,A106=""),0,IF(I106="IV",CONCATENATE('V_DATOS PAC_SGA'!CC101,"4")+0,CONCATENATE('V_DATOS PAC_SGA'!CC101,"0")+0))</f>
        <v>0</v>
      </c>
      <c r="C106" s="2" t="n">
        <f aca="false">'V_DATOS PAC_SGA'!CD101</f>
        <v>0</v>
      </c>
      <c r="D106" s="1409" t="n">
        <f aca="false">'V_DATOS PAC_SGA'!Y101</f>
        <v>0</v>
      </c>
      <c r="E106" s="1410" t="str">
        <f aca="false">IF('V_DATOS PAC_SGA'!AV101="","Regadio",'V_DATOS PAC_SGA'!AV101)</f>
        <v>Regadio</v>
      </c>
      <c r="F106" s="1411" t="n">
        <f aca="false">'V_DATOS PAC_SGA'!BK101</f>
        <v>0</v>
      </c>
      <c r="G106" s="1412" t="n">
        <f aca="false">'V_DATOS PAC_SGA'!AN101</f>
        <v>0</v>
      </c>
      <c r="H106" s="1413" t="str">
        <f aca="false">IF(B106&gt;0,VLOOKUP(B106,'O_MN, PE_UTA_UGM 2024'!E$3:O$419,10),"")</f>
        <v/>
      </c>
      <c r="I106" s="1359" t="str">
        <f aca="false">IF('V_DATOS PAC_SGA'!BV101="IV",'V_DATOS PAC_SGA'!BV101,"")</f>
        <v/>
      </c>
      <c r="J106" s="2" t="str">
        <f aca="false">IF($A106&gt;0,IF(AND(J$4=$G106,J$6=$F106),$D106*J$5,""),"")</f>
        <v/>
      </c>
      <c r="K106" s="2" t="str">
        <f aca="false">IF($A106&gt;0,IF(AND(K$4=$G106,K$6=$F106),$D106*K$5,""),"")</f>
        <v/>
      </c>
      <c r="L106" s="2" t="str">
        <f aca="false">IF($A106&gt;0,IF(AND(L$4=$G106,L$6=$F106),$D106*L$5,""),"")</f>
        <v/>
      </c>
      <c r="M106" s="2" t="str">
        <f aca="false">IF($A106&gt;0,IF(AND(M$4=$G106,M$6=$F106),$D106*M$5,""),"")</f>
        <v/>
      </c>
      <c r="N106" s="1506" t="n">
        <f aca="false">VLOOKUP(B106,'O_MN, PE_UTA_UGM 2024'!$E$2:$K$419,IF(G106&gt;1,6,7))</f>
        <v>0</v>
      </c>
      <c r="O106" s="1434" t="str">
        <f aca="false">IF($H106=O$4,$D106*$N106,"")</f>
        <v/>
      </c>
      <c r="P106" s="1435" t="str">
        <f aca="false">IF($H106=P$4,$D106*$N106,"")</f>
        <v/>
      </c>
      <c r="Q106" s="1435" t="str">
        <f aca="false">IF($H106=Q$4,$D106*$N106,"")</f>
        <v/>
      </c>
      <c r="R106" s="1435" t="str">
        <f aca="false">IF($H106=R$4,$D106*$N106,"")</f>
        <v/>
      </c>
      <c r="S106" s="1435" t="str">
        <f aca="false">IF($H106=S$4,$D106*$N106,"")</f>
        <v/>
      </c>
      <c r="T106" s="1435" t="str">
        <f aca="false">IF($H106=T$4,$D106*$N106,"")</f>
        <v/>
      </c>
      <c r="U106" s="1436" t="str">
        <f aca="false">IF($H106=U$4,$D106*$N106,"")</f>
        <v/>
      </c>
      <c r="V106" s="1418"/>
      <c r="W106" s="1419"/>
      <c r="X106" s="1419"/>
      <c r="Y106" s="1419"/>
      <c r="Z106" s="1419"/>
      <c r="AA106" s="1419"/>
      <c r="AB106" s="1420"/>
      <c r="AC106" s="1319"/>
      <c r="AD106" s="2" t="str">
        <f aca="false">IF(AND(AD$4=$G106,AD$6=$F106),$B106,"")</f>
        <v/>
      </c>
      <c r="AE106" s="2" t="str">
        <f aca="false">IF(AND(AE$4=$G106,AE$6=$F106),$B106,"")</f>
        <v/>
      </c>
      <c r="AF106" s="2" t="str">
        <f aca="false">IF(AND(AF$4=$G106,AF$6=$F106),$B106,"")</f>
        <v/>
      </c>
      <c r="AG106" s="2" t="str">
        <f aca="false">IF(AND(AG$4=$G106,AG$6=$F106),$B106,"")</f>
        <v/>
      </c>
      <c r="AI106" s="366"/>
      <c r="AL106" s="367"/>
      <c r="AO106" s="367"/>
      <c r="AP106" s="2" t="str">
        <f aca="false">IF(AT106&gt;0,RANK(AT106,AT$7:AT$423),"")</f>
        <v/>
      </c>
      <c r="AQ106" s="2" t="n">
        <f aca="false">'O_MN, PE_UTA_UGM 2024'!C102</f>
        <v>156</v>
      </c>
      <c r="AR106" s="1421" t="n">
        <v>1554</v>
      </c>
      <c r="AS106" s="2" t="str">
        <f aca="false">IF(AY106&lt;&gt;"",AY106,"")</f>
        <v/>
      </c>
      <c r="AT106" s="1422" t="n">
        <f aca="false">IF(ISNUMBER($AR106),SUMIF(B$7:B$505,AR106,D$7:D$505),"")</f>
        <v>0</v>
      </c>
      <c r="AU106" s="1411" t="n">
        <f aca="false">IF(ISNUMBER($AR106),SUMIF(AD$7:AD$503,$AR106,J$7:J$503),"")</f>
        <v>0</v>
      </c>
      <c r="AV106" s="1411" t="n">
        <f aca="false">IF(ISNUMBER($AR106),SUMIF(AF$7:AF$503,$AR106,L$7:L$503),"")</f>
        <v>0</v>
      </c>
      <c r="AW106" s="1423" t="n">
        <f aca="false">IF(ISNUMBER($AR106),SUMIF(AE$7:AE$503,$AR106,K$7:K$503),"")</f>
        <v>0</v>
      </c>
      <c r="AX106" s="1423" t="n">
        <f aca="false">IF(ISNUMBER($AR106),SUMIF(AG$7:AG$503,$AR106,M$7:M$503),"")</f>
        <v>0</v>
      </c>
      <c r="AY106" s="2" t="str">
        <f aca="false">IF($AT106&gt;0,VLOOKUP($AR106,'O_MN, PE_UTA_UGM 2024'!E102:O518,2),"")</f>
        <v/>
      </c>
      <c r="AZ106" s="1507"/>
      <c r="BA106" s="1507"/>
      <c r="BB106" s="1507" t="str">
        <f aca="false">IF($AT106&gt;0,VLOOKUP($AR106,'O_MN, PE_UTA_UGM 2024'!$E$3:$O$419,BB$6),"")</f>
        <v/>
      </c>
      <c r="BC106" s="1507" t="str">
        <f aca="false">IF($AT106&gt;0,VLOOKUP($AR106,'O_MN, PE_UTA_UGM 2024'!$E$3:$O$419,BC$6),"")</f>
        <v/>
      </c>
      <c r="BD106" s="1507" t="str">
        <f aca="false">IF($AT106&gt;0,VLOOKUP($AR106,'O_MN, PE_UTA_UGM 2024'!$E$3:$O$419,BD$6),"")</f>
        <v/>
      </c>
      <c r="BE106" s="1507" t="str">
        <f aca="false">IF($AT106&gt;0,VLOOKUP($AR106,'O_MN, PE_UTA_UGM 2024'!$E$3:$O$419,BE$6),"")</f>
        <v/>
      </c>
      <c r="BF106" s="1507" t="str">
        <f aca="false">IF($AT106&gt;0,VLOOKUP($AR106,'O_MN, PE_UTA_UGM 2024'!$E$3:$O$419,BF$6),"")</f>
        <v/>
      </c>
      <c r="BG106" s="1507" t="str">
        <f aca="false">IF($AT106&gt;0,VLOOKUP($AR106,'O_MN, PE_UTA_UGM 2024'!$E$3:$O$419,BG$6),"")</f>
        <v/>
      </c>
      <c r="BH106" s="1504"/>
      <c r="BI106" s="1504"/>
      <c r="BJ106" s="1504"/>
      <c r="BK106" s="1504"/>
      <c r="BM106" s="1411"/>
      <c r="BN106" s="1411"/>
      <c r="BO106" s="1425" t="str">
        <f aca="false">IF(ISNUMBER($AU106*BB106*1),$AU106*BB106*1,"")</f>
        <v/>
      </c>
      <c r="BP106" s="1425" t="str">
        <f aca="false">IF(ISNUMBER($AV106*BC106*1),$AV106*BC106*1,"")</f>
        <v/>
      </c>
      <c r="BQ106" s="1425" t="str">
        <f aca="false">IF(ISNUMBER($AU106*BD106*1),$AU106*BD106*1,"")</f>
        <v/>
      </c>
      <c r="BR106" s="1425" t="str">
        <f aca="false">IF(ISNUMBER($AV106*BE106*1),$AV106*BE106*1,"")</f>
        <v/>
      </c>
      <c r="BS106" s="1411" t="str">
        <f aca="false">IF(ISNUMBER($AU106*BF106),$AU106*BF106,"")</f>
        <v/>
      </c>
      <c r="BT106" s="1411" t="str">
        <f aca="false">IF(ISNUMBER($AV106*BG106),$AV106*BG106,"")</f>
        <v/>
      </c>
      <c r="BU106" s="1411"/>
      <c r="BV106" s="1411"/>
      <c r="BW106" s="1411"/>
      <c r="BX106" s="1411"/>
      <c r="BZ106" s="1372"/>
      <c r="CA106" s="1372"/>
      <c r="CB106" s="1426" t="str">
        <f aca="false">IF(ISNUMBER($AW106*BB106),$AW106*BB106,"")</f>
        <v/>
      </c>
      <c r="CC106" s="1426" t="str">
        <f aca="false">IF(ISNUMBER($AX106*BC106),$AX106*BC106,"")</f>
        <v/>
      </c>
      <c r="CD106" s="1426" t="str">
        <f aca="false">IF(ISNUMBER($AW106*BD106),$AW106*BD106,"")</f>
        <v/>
      </c>
      <c r="CE106" s="1426" t="str">
        <f aca="false">IF(ISNUMBER($AX106*BE106),$AX106*BE106,"")</f>
        <v/>
      </c>
      <c r="CF106" s="1372" t="str">
        <f aca="false">IF(ISNUMBER($AW106*BF106),$AW106*BF106,"")</f>
        <v/>
      </c>
      <c r="CG106" s="1372" t="str">
        <f aca="false">IF(ISNUMBER($AX106*BG106),$AX106*BG106,"")</f>
        <v/>
      </c>
      <c r="CH106" s="1438"/>
      <c r="CI106" s="1438"/>
      <c r="CJ106" s="1438"/>
      <c r="CK106" s="1438"/>
      <c r="CU106" s="1411"/>
      <c r="CV106" s="1411"/>
      <c r="CW106" s="1425"/>
      <c r="CX106" s="1425"/>
      <c r="CY106" s="1425"/>
      <c r="CZ106" s="1425"/>
      <c r="DA106" s="1411"/>
      <c r="DB106" s="1411"/>
      <c r="DC106" s="1411"/>
      <c r="DD106" s="1411"/>
      <c r="DE106" s="1411"/>
      <c r="DF106" s="1411"/>
      <c r="DH106" s="1432"/>
      <c r="DI106" s="1432"/>
      <c r="DJ106" s="1437"/>
      <c r="DK106" s="1437"/>
      <c r="DL106" s="1437"/>
      <c r="DM106" s="1437"/>
      <c r="DN106" s="1432"/>
      <c r="DO106" s="1432"/>
      <c r="DP106" s="1432"/>
      <c r="DQ106" s="1432"/>
      <c r="DR106" s="1432"/>
      <c r="DS106" s="1432"/>
      <c r="DT106" s="1316"/>
      <c r="DU106" s="1433"/>
      <c r="DV106" s="1433"/>
      <c r="DW106" s="1433"/>
      <c r="DX106" s="1433"/>
      <c r="DY106" s="1433"/>
      <c r="DZ106" s="1433"/>
      <c r="EA106" s="1433"/>
      <c r="EB106" s="1433"/>
    </row>
    <row r="107" customFormat="false" ht="14.25" hidden="false" customHeight="false" outlineLevel="0" collapsed="false">
      <c r="A107" s="2" t="n">
        <f aca="false">'V_DATOS PAC_SGA'!CC102</f>
        <v>0</v>
      </c>
      <c r="B107" s="2" t="n">
        <f aca="false">IF(OR(A107=0,A107=""),0,IF(I107="IV",CONCATENATE('V_DATOS PAC_SGA'!CC102,"4")+0,CONCATENATE('V_DATOS PAC_SGA'!CC102,"0")+0))</f>
        <v>0</v>
      </c>
      <c r="C107" s="2" t="n">
        <f aca="false">'V_DATOS PAC_SGA'!CD102</f>
        <v>0</v>
      </c>
      <c r="D107" s="1409" t="n">
        <f aca="false">'V_DATOS PAC_SGA'!Y102</f>
        <v>0</v>
      </c>
      <c r="E107" s="1410" t="str">
        <f aca="false">IF('V_DATOS PAC_SGA'!AV102="","Regadio",'V_DATOS PAC_SGA'!AV102)</f>
        <v>Regadio</v>
      </c>
      <c r="F107" s="1411" t="n">
        <f aca="false">'V_DATOS PAC_SGA'!BK102</f>
        <v>0</v>
      </c>
      <c r="G107" s="1412" t="n">
        <f aca="false">'V_DATOS PAC_SGA'!AN102</f>
        <v>0</v>
      </c>
      <c r="H107" s="1413" t="str">
        <f aca="false">IF(B107&gt;0,VLOOKUP(B107,'O_MN, PE_UTA_UGM 2024'!E$3:O$419,10),"")</f>
        <v/>
      </c>
      <c r="I107" s="1359" t="str">
        <f aca="false">IF('V_DATOS PAC_SGA'!BV102="IV",'V_DATOS PAC_SGA'!BV102,"")</f>
        <v/>
      </c>
      <c r="J107" s="2" t="str">
        <f aca="false">IF($A107&gt;0,IF(AND(J$4=$G107,J$6=$F107),$D107*J$5,""),"")</f>
        <v/>
      </c>
      <c r="K107" s="2" t="str">
        <f aca="false">IF($A107&gt;0,IF(AND(K$4=$G107,K$6=$F107),$D107*K$5,""),"")</f>
        <v/>
      </c>
      <c r="L107" s="2" t="str">
        <f aca="false">IF($A107&gt;0,IF(AND(L$4=$G107,L$6=$F107),$D107*L$5,""),"")</f>
        <v/>
      </c>
      <c r="M107" s="2" t="str">
        <f aca="false">IF($A107&gt;0,IF(AND(M$4=$G107,M$6=$F107),$D107*M$5,""),"")</f>
        <v/>
      </c>
      <c r="N107" s="1506" t="n">
        <f aca="false">VLOOKUP(B107,'O_MN, PE_UTA_UGM 2024'!$E$2:$K$419,IF(G107&gt;1,6,7))</f>
        <v>0</v>
      </c>
      <c r="O107" s="1434" t="str">
        <f aca="false">IF($H107=O$4,$D107*$N107,"")</f>
        <v/>
      </c>
      <c r="P107" s="1435" t="str">
        <f aca="false">IF($H107=P$4,$D107*$N107,"")</f>
        <v/>
      </c>
      <c r="Q107" s="1435" t="str">
        <f aca="false">IF($H107=Q$4,$D107*$N107,"")</f>
        <v/>
      </c>
      <c r="R107" s="1435" t="str">
        <f aca="false">IF($H107=R$4,$D107*$N107,"")</f>
        <v/>
      </c>
      <c r="S107" s="1435" t="str">
        <f aca="false">IF($H107=S$4,$D107*$N107,"")</f>
        <v/>
      </c>
      <c r="T107" s="1435" t="str">
        <f aca="false">IF($H107=T$4,$D107*$N107,"")</f>
        <v/>
      </c>
      <c r="U107" s="1436" t="str">
        <f aca="false">IF($H107=U$4,$D107*$N107,"")</f>
        <v/>
      </c>
      <c r="V107" s="1418"/>
      <c r="W107" s="1419"/>
      <c r="X107" s="1419"/>
      <c r="Y107" s="1419"/>
      <c r="Z107" s="1419"/>
      <c r="AA107" s="1419"/>
      <c r="AB107" s="1420"/>
      <c r="AC107" s="1319"/>
      <c r="AD107" s="2" t="str">
        <f aca="false">IF(AND(AD$4=$G107,AD$6=$F107),$B107,"")</f>
        <v/>
      </c>
      <c r="AE107" s="2" t="str">
        <f aca="false">IF(AND(AE$4=$G107,AE$6=$F107),$B107,"")</f>
        <v/>
      </c>
      <c r="AF107" s="2" t="str">
        <f aca="false">IF(AND(AF$4=$G107,AF$6=$F107),$B107,"")</f>
        <v/>
      </c>
      <c r="AG107" s="2" t="str">
        <f aca="false">IF(AND(AG$4=$G107,AG$6=$F107),$B107,"")</f>
        <v/>
      </c>
      <c r="AI107" s="366"/>
      <c r="AL107" s="367"/>
      <c r="AO107" s="367"/>
      <c r="AP107" s="2" t="str">
        <f aca="false">IF(AT107&gt;0,RANK(AT107,AT$7:AT$423),"")</f>
        <v/>
      </c>
      <c r="AQ107" s="2" t="n">
        <f aca="false">'O_MN, PE_UTA_UGM 2024'!C103</f>
        <v>157</v>
      </c>
      <c r="AR107" s="1421" t="n">
        <v>1559</v>
      </c>
      <c r="AS107" s="2" t="str">
        <f aca="false">IF(AY107&lt;&gt;"",AY107,"")</f>
        <v/>
      </c>
      <c r="AT107" s="1422" t="n">
        <f aca="false">IF(ISNUMBER($AR107),SUMIF(B$7:B$505,AR107,D$7:D$505),"")</f>
        <v>0</v>
      </c>
      <c r="AU107" s="1411" t="n">
        <f aca="false">IF(ISNUMBER($AR107),SUMIF(AD$7:AD$503,$AR107,J$7:J$503),"")</f>
        <v>0</v>
      </c>
      <c r="AV107" s="1411" t="n">
        <f aca="false">IF(ISNUMBER($AR107),SUMIF(AF$7:AF$503,$AR107,L$7:L$503),"")</f>
        <v>0</v>
      </c>
      <c r="AW107" s="1423" t="n">
        <f aca="false">IF(ISNUMBER($AR107),SUMIF(AE$7:AE$503,$AR107,K$7:K$503),"")</f>
        <v>0</v>
      </c>
      <c r="AX107" s="1423" t="n">
        <f aca="false">IF(ISNUMBER($AR107),SUMIF(AG$7:AG$503,$AR107,M$7:M$503),"")</f>
        <v>0</v>
      </c>
      <c r="AY107" s="2" t="str">
        <f aca="false">IF($AT107&gt;0,VLOOKUP($AR107,'O_MN, PE_UTA_UGM 2024'!E103:O519,2),"")</f>
        <v/>
      </c>
      <c r="AZ107" s="1507"/>
      <c r="BA107" s="1507"/>
      <c r="BB107" s="1507" t="str">
        <f aca="false">IF($AT107&gt;0,VLOOKUP($AR107,'O_MN, PE_UTA_UGM 2024'!$E$3:$O$419,BB$6),"")</f>
        <v/>
      </c>
      <c r="BC107" s="1507" t="str">
        <f aca="false">IF($AT107&gt;0,VLOOKUP($AR107,'O_MN, PE_UTA_UGM 2024'!$E$3:$O$419,BC$6),"")</f>
        <v/>
      </c>
      <c r="BD107" s="1507" t="str">
        <f aca="false">IF($AT107&gt;0,VLOOKUP($AR107,'O_MN, PE_UTA_UGM 2024'!$E$3:$O$419,BD$6),"")</f>
        <v/>
      </c>
      <c r="BE107" s="1507" t="str">
        <f aca="false">IF($AT107&gt;0,VLOOKUP($AR107,'O_MN, PE_UTA_UGM 2024'!$E$3:$O$419,BE$6),"")</f>
        <v/>
      </c>
      <c r="BF107" s="1507" t="str">
        <f aca="false">IF($AT107&gt;0,VLOOKUP($AR107,'O_MN, PE_UTA_UGM 2024'!$E$3:$O$419,BF$6),"")</f>
        <v/>
      </c>
      <c r="BG107" s="1507" t="str">
        <f aca="false">IF($AT107&gt;0,VLOOKUP($AR107,'O_MN, PE_UTA_UGM 2024'!$E$3:$O$419,BG$6),"")</f>
        <v/>
      </c>
      <c r="BH107" s="1504"/>
      <c r="BI107" s="1504"/>
      <c r="BJ107" s="1504"/>
      <c r="BK107" s="1504"/>
      <c r="BM107" s="1411"/>
      <c r="BN107" s="1411"/>
      <c r="BO107" s="1425" t="str">
        <f aca="false">IF(ISNUMBER($AU107*BB107*1),$AU107*BB107*1,"")</f>
        <v/>
      </c>
      <c r="BP107" s="1425" t="str">
        <f aca="false">IF(ISNUMBER($AV107*BC107*1),$AV107*BC107*1,"")</f>
        <v/>
      </c>
      <c r="BQ107" s="1425" t="str">
        <f aca="false">IF(ISNUMBER($AU107*BD107*1),$AU107*BD107*1,"")</f>
        <v/>
      </c>
      <c r="BR107" s="1425" t="str">
        <f aca="false">IF(ISNUMBER($AV107*BE107*1),$AV107*BE107*1,"")</f>
        <v/>
      </c>
      <c r="BS107" s="1411" t="str">
        <f aca="false">IF(ISNUMBER($AU107*BF107),$AU107*BF107,"")</f>
        <v/>
      </c>
      <c r="BT107" s="1411" t="str">
        <f aca="false">IF(ISNUMBER($AV107*BG107),$AV107*BG107,"")</f>
        <v/>
      </c>
      <c r="BU107" s="1411"/>
      <c r="BV107" s="1411"/>
      <c r="BW107" s="1411"/>
      <c r="BX107" s="1411"/>
      <c r="BZ107" s="1372"/>
      <c r="CA107" s="1372"/>
      <c r="CB107" s="1426" t="str">
        <f aca="false">IF(ISNUMBER($AW107*BB107),$AW107*BB107,"")</f>
        <v/>
      </c>
      <c r="CC107" s="1426" t="str">
        <f aca="false">IF(ISNUMBER($AX107*BC107),$AX107*BC107,"")</f>
        <v/>
      </c>
      <c r="CD107" s="1426" t="str">
        <f aca="false">IF(ISNUMBER($AW107*BD107),$AW107*BD107,"")</f>
        <v/>
      </c>
      <c r="CE107" s="1426" t="str">
        <f aca="false">IF(ISNUMBER($AX107*BE107),$AX107*BE107,"")</f>
        <v/>
      </c>
      <c r="CF107" s="1372" t="str">
        <f aca="false">IF(ISNUMBER($AW107*BF107),$AW107*BF107,"")</f>
        <v/>
      </c>
      <c r="CG107" s="1372" t="str">
        <f aca="false">IF(ISNUMBER($AX107*BG107),$AX107*BG107,"")</f>
        <v/>
      </c>
      <c r="CH107" s="1438"/>
      <c r="CI107" s="1438"/>
      <c r="CJ107" s="1438"/>
      <c r="CK107" s="1438"/>
      <c r="CU107" s="1411"/>
      <c r="CV107" s="1411"/>
      <c r="CW107" s="1425"/>
      <c r="CX107" s="1425"/>
      <c r="CY107" s="1425"/>
      <c r="CZ107" s="1425"/>
      <c r="DA107" s="1411"/>
      <c r="DB107" s="1411"/>
      <c r="DC107" s="1411"/>
      <c r="DD107" s="1411"/>
      <c r="DE107" s="1411"/>
      <c r="DF107" s="1411"/>
      <c r="DH107" s="1432"/>
      <c r="DI107" s="1432"/>
      <c r="DJ107" s="1437"/>
      <c r="DK107" s="1437"/>
      <c r="DL107" s="1437"/>
      <c r="DM107" s="1437"/>
      <c r="DN107" s="1432"/>
      <c r="DO107" s="1432"/>
      <c r="DP107" s="1432"/>
      <c r="DQ107" s="1432"/>
      <c r="DR107" s="1432"/>
      <c r="DS107" s="1432"/>
      <c r="DT107" s="1316"/>
      <c r="DU107" s="1433"/>
      <c r="DV107" s="1433"/>
      <c r="DW107" s="1433"/>
      <c r="DX107" s="1433"/>
      <c r="DY107" s="1433"/>
      <c r="DZ107" s="1433"/>
      <c r="EA107" s="1433"/>
      <c r="EB107" s="1433"/>
    </row>
    <row r="108" customFormat="false" ht="14.25" hidden="false" customHeight="false" outlineLevel="0" collapsed="false">
      <c r="A108" s="2" t="n">
        <f aca="false">'V_DATOS PAC_SGA'!CC103</f>
        <v>0</v>
      </c>
      <c r="B108" s="2" t="n">
        <f aca="false">IF(OR(A108=0,A108=""),0,IF(I108="IV",CONCATENATE('V_DATOS PAC_SGA'!CC103,"4")+0,CONCATENATE('V_DATOS PAC_SGA'!CC103,"0")+0))</f>
        <v>0</v>
      </c>
      <c r="C108" s="2" t="n">
        <f aca="false">'V_DATOS PAC_SGA'!CD103</f>
        <v>0</v>
      </c>
      <c r="D108" s="1409" t="n">
        <f aca="false">'V_DATOS PAC_SGA'!Y103</f>
        <v>0</v>
      </c>
      <c r="E108" s="1410" t="str">
        <f aca="false">IF('V_DATOS PAC_SGA'!AV103="","Regadio",'V_DATOS PAC_SGA'!AV103)</f>
        <v>Regadio</v>
      </c>
      <c r="F108" s="1411" t="n">
        <f aca="false">'V_DATOS PAC_SGA'!BK103</f>
        <v>0</v>
      </c>
      <c r="G108" s="1412" t="n">
        <f aca="false">'V_DATOS PAC_SGA'!AN103</f>
        <v>0</v>
      </c>
      <c r="H108" s="1413" t="str">
        <f aca="false">IF(B108&gt;0,VLOOKUP(B108,'O_MN, PE_UTA_UGM 2024'!E$3:O$419,10),"")</f>
        <v/>
      </c>
      <c r="I108" s="1359" t="str">
        <f aca="false">IF('V_DATOS PAC_SGA'!BV103="IV",'V_DATOS PAC_SGA'!BV103,"")</f>
        <v/>
      </c>
      <c r="J108" s="2" t="str">
        <f aca="false">IF($A108&gt;0,IF(AND(J$4=$G108,J$6=$F108),$D108*J$5,""),"")</f>
        <v/>
      </c>
      <c r="K108" s="2" t="str">
        <f aca="false">IF($A108&gt;0,IF(AND(K$4=$G108,K$6=$F108),$D108*K$5,""),"")</f>
        <v/>
      </c>
      <c r="L108" s="2" t="str">
        <f aca="false">IF($A108&gt;0,IF(AND(L$4=$G108,L$6=$F108),$D108*L$5,""),"")</f>
        <v/>
      </c>
      <c r="M108" s="2" t="str">
        <f aca="false">IF($A108&gt;0,IF(AND(M$4=$G108,M$6=$F108),$D108*M$5,""),"")</f>
        <v/>
      </c>
      <c r="N108" s="1506" t="n">
        <f aca="false">VLOOKUP(B108,'O_MN, PE_UTA_UGM 2024'!$E$2:$K$419,IF(G108&gt;1,6,7))</f>
        <v>0</v>
      </c>
      <c r="O108" s="1434" t="str">
        <f aca="false">IF($H108=O$4,$D108*$N108,"")</f>
        <v/>
      </c>
      <c r="P108" s="1435" t="str">
        <f aca="false">IF($H108=P$4,$D108*$N108,"")</f>
        <v/>
      </c>
      <c r="Q108" s="1435" t="str">
        <f aca="false">IF($H108=Q$4,$D108*$N108,"")</f>
        <v/>
      </c>
      <c r="R108" s="1435" t="str">
        <f aca="false">IF($H108=R$4,$D108*$N108,"")</f>
        <v/>
      </c>
      <c r="S108" s="1435" t="str">
        <f aca="false">IF($H108=S$4,$D108*$N108,"")</f>
        <v/>
      </c>
      <c r="T108" s="1435" t="str">
        <f aca="false">IF($H108=T$4,$D108*$N108,"")</f>
        <v/>
      </c>
      <c r="U108" s="1436" t="str">
        <f aca="false">IF($H108=U$4,$D108*$N108,"")</f>
        <v/>
      </c>
      <c r="V108" s="1418"/>
      <c r="W108" s="1419"/>
      <c r="X108" s="1419"/>
      <c r="Y108" s="1419"/>
      <c r="Z108" s="1419"/>
      <c r="AA108" s="1419"/>
      <c r="AB108" s="1420"/>
      <c r="AC108" s="1319"/>
      <c r="AD108" s="2" t="str">
        <f aca="false">IF(AND(AD$4=$G108,AD$6=$F108),$B108,"")</f>
        <v/>
      </c>
      <c r="AE108" s="2" t="str">
        <f aca="false">IF(AND(AE$4=$G108,AE$6=$F108),$B108,"")</f>
        <v/>
      </c>
      <c r="AF108" s="2" t="str">
        <f aca="false">IF(AND(AF$4=$G108,AF$6=$F108),$B108,"")</f>
        <v/>
      </c>
      <c r="AG108" s="2" t="str">
        <f aca="false">IF(AND(AG$4=$G108,AG$6=$F108),$B108,"")</f>
        <v/>
      </c>
      <c r="AI108" s="366"/>
      <c r="AL108" s="367"/>
      <c r="AO108" s="367"/>
      <c r="AP108" s="2" t="str">
        <f aca="false">IF(AT108&gt;0,RANK(AT108,AT$7:AT$423),"")</f>
        <v/>
      </c>
      <c r="AQ108" s="2" t="n">
        <f aca="false">'O_MN, PE_UTA_UGM 2024'!C104</f>
        <v>157</v>
      </c>
      <c r="AR108" s="1421" t="n">
        <v>1560</v>
      </c>
      <c r="AS108" s="2" t="str">
        <f aca="false">IF(AY108&lt;&gt;"",AY108,"")</f>
        <v/>
      </c>
      <c r="AT108" s="1422" t="n">
        <f aca="false">IF(ISNUMBER($AR108),SUMIF(B$7:B$505,AR108,D$7:D$505),"")</f>
        <v>0</v>
      </c>
      <c r="AU108" s="1411" t="n">
        <f aca="false">IF(ISNUMBER($AR108),SUMIF(AD$7:AD$503,$AR108,J$7:J$503),"")</f>
        <v>0</v>
      </c>
      <c r="AV108" s="1411" t="n">
        <f aca="false">IF(ISNUMBER($AR108),SUMIF(AF$7:AF$503,$AR108,L$7:L$503),"")</f>
        <v>0</v>
      </c>
      <c r="AW108" s="1423" t="n">
        <f aca="false">IF(ISNUMBER($AR108),SUMIF(AE$7:AE$503,$AR108,K$7:K$503),"")</f>
        <v>0</v>
      </c>
      <c r="AX108" s="1423" t="n">
        <f aca="false">IF(ISNUMBER($AR108),SUMIF(AG$7:AG$503,$AR108,M$7:M$503),"")</f>
        <v>0</v>
      </c>
      <c r="AY108" s="2" t="str">
        <f aca="false">IF($AT108&gt;0,VLOOKUP($AR108,'O_MN, PE_UTA_UGM 2024'!E104:O520,2),"")</f>
        <v/>
      </c>
      <c r="AZ108" s="1507"/>
      <c r="BA108" s="1507"/>
      <c r="BB108" s="1507" t="str">
        <f aca="false">IF($AT108&gt;0,VLOOKUP($AR108,'O_MN, PE_UTA_UGM 2024'!$E$3:$O$419,BB$6),"")</f>
        <v/>
      </c>
      <c r="BC108" s="1507" t="str">
        <f aca="false">IF($AT108&gt;0,VLOOKUP($AR108,'O_MN, PE_UTA_UGM 2024'!$E$3:$O$419,BC$6),"")</f>
        <v/>
      </c>
      <c r="BD108" s="1507" t="str">
        <f aca="false">IF($AT108&gt;0,VLOOKUP($AR108,'O_MN, PE_UTA_UGM 2024'!$E$3:$O$419,BD$6),"")</f>
        <v/>
      </c>
      <c r="BE108" s="1507" t="str">
        <f aca="false">IF($AT108&gt;0,VLOOKUP($AR108,'O_MN, PE_UTA_UGM 2024'!$E$3:$O$419,BE$6),"")</f>
        <v/>
      </c>
      <c r="BF108" s="1507" t="str">
        <f aca="false">IF($AT108&gt;0,VLOOKUP($AR108,'O_MN, PE_UTA_UGM 2024'!$E$3:$O$419,BF$6),"")</f>
        <v/>
      </c>
      <c r="BG108" s="1507" t="str">
        <f aca="false">IF($AT108&gt;0,VLOOKUP($AR108,'O_MN, PE_UTA_UGM 2024'!$E$3:$O$419,BG$6),"")</f>
        <v/>
      </c>
      <c r="BH108" s="1504"/>
      <c r="BI108" s="1504"/>
      <c r="BJ108" s="1504"/>
      <c r="BK108" s="1504"/>
      <c r="BM108" s="1411"/>
      <c r="BN108" s="1411"/>
      <c r="BO108" s="1425" t="str">
        <f aca="false">IF(ISNUMBER($AU108*BB108*1),$AU108*BB108*1,"")</f>
        <v/>
      </c>
      <c r="BP108" s="1425" t="str">
        <f aca="false">IF(ISNUMBER($AV108*BC108*1),$AV108*BC108*1,"")</f>
        <v/>
      </c>
      <c r="BQ108" s="1425" t="str">
        <f aca="false">IF(ISNUMBER($AU108*BD108*1),$AU108*BD108*1,"")</f>
        <v/>
      </c>
      <c r="BR108" s="1425" t="str">
        <f aca="false">IF(ISNUMBER($AV108*BE108*1),$AV108*BE108*1,"")</f>
        <v/>
      </c>
      <c r="BS108" s="1411" t="str">
        <f aca="false">IF(ISNUMBER($AU108*BF108),$AU108*BF108,"")</f>
        <v/>
      </c>
      <c r="BT108" s="1411" t="str">
        <f aca="false">IF(ISNUMBER($AV108*BG108),$AV108*BG108,"")</f>
        <v/>
      </c>
      <c r="BU108" s="1411"/>
      <c r="BV108" s="1411"/>
      <c r="BW108" s="1411"/>
      <c r="BX108" s="1411"/>
      <c r="BZ108" s="1372"/>
      <c r="CA108" s="1372"/>
      <c r="CB108" s="1426" t="str">
        <f aca="false">IF(ISNUMBER($AW108*BB108),$AW108*BB108,"")</f>
        <v/>
      </c>
      <c r="CC108" s="1426" t="str">
        <f aca="false">IF(ISNUMBER($AX108*BC108),$AX108*BC108,"")</f>
        <v/>
      </c>
      <c r="CD108" s="1426" t="str">
        <f aca="false">IF(ISNUMBER($AW108*BD108),$AW108*BD108,"")</f>
        <v/>
      </c>
      <c r="CE108" s="1426" t="str">
        <f aca="false">IF(ISNUMBER($AX108*BE108),$AX108*BE108,"")</f>
        <v/>
      </c>
      <c r="CF108" s="1372" t="str">
        <f aca="false">IF(ISNUMBER($AW108*BF108),$AW108*BF108,"")</f>
        <v/>
      </c>
      <c r="CG108" s="1372" t="str">
        <f aca="false">IF(ISNUMBER($AX108*BG108),$AX108*BG108,"")</f>
        <v/>
      </c>
      <c r="CH108" s="1438"/>
      <c r="CI108" s="1438"/>
      <c r="CJ108" s="1438"/>
      <c r="CK108" s="1438"/>
      <c r="CU108" s="1411"/>
      <c r="CV108" s="1411"/>
      <c r="CW108" s="1425"/>
      <c r="CX108" s="1425"/>
      <c r="CY108" s="1425"/>
      <c r="CZ108" s="1425"/>
      <c r="DA108" s="1411"/>
      <c r="DB108" s="1411"/>
      <c r="DC108" s="1411"/>
      <c r="DD108" s="1411"/>
      <c r="DE108" s="1411"/>
      <c r="DF108" s="1411"/>
      <c r="DH108" s="1432"/>
      <c r="DI108" s="1432"/>
      <c r="DJ108" s="1437"/>
      <c r="DK108" s="1437"/>
      <c r="DL108" s="1437"/>
      <c r="DM108" s="1437"/>
      <c r="DN108" s="1432"/>
      <c r="DO108" s="1432"/>
      <c r="DP108" s="1432"/>
      <c r="DQ108" s="1432"/>
      <c r="DR108" s="1432"/>
      <c r="DS108" s="1432"/>
      <c r="DT108" s="1316"/>
      <c r="DU108" s="1433"/>
      <c r="DV108" s="1433"/>
      <c r="DW108" s="1433"/>
      <c r="DX108" s="1433"/>
      <c r="DY108" s="1433"/>
      <c r="DZ108" s="1433"/>
      <c r="EA108" s="1433"/>
      <c r="EB108" s="1433"/>
    </row>
    <row r="109" customFormat="false" ht="14.25" hidden="false" customHeight="false" outlineLevel="0" collapsed="false">
      <c r="A109" s="2" t="n">
        <f aca="false">'V_DATOS PAC_SGA'!CC104</f>
        <v>0</v>
      </c>
      <c r="B109" s="2" t="n">
        <f aca="false">IF(OR(A109=0,A109=""),0,IF(I109="IV",CONCATENATE('V_DATOS PAC_SGA'!CC104,"4")+0,CONCATENATE('V_DATOS PAC_SGA'!CC104,"0")+0))</f>
        <v>0</v>
      </c>
      <c r="C109" s="2" t="n">
        <f aca="false">'V_DATOS PAC_SGA'!CD104</f>
        <v>0</v>
      </c>
      <c r="D109" s="1409" t="n">
        <f aca="false">'V_DATOS PAC_SGA'!Y104</f>
        <v>0</v>
      </c>
      <c r="E109" s="1410" t="str">
        <f aca="false">IF('V_DATOS PAC_SGA'!AV104="","Regadio",'V_DATOS PAC_SGA'!AV104)</f>
        <v>Regadio</v>
      </c>
      <c r="F109" s="1411" t="n">
        <f aca="false">'V_DATOS PAC_SGA'!BK104</f>
        <v>0</v>
      </c>
      <c r="G109" s="1412" t="n">
        <f aca="false">'V_DATOS PAC_SGA'!AN104</f>
        <v>0</v>
      </c>
      <c r="H109" s="1413" t="str">
        <f aca="false">IF(B109&gt;0,VLOOKUP(B109,'O_MN, PE_UTA_UGM 2024'!E$3:O$419,10),"")</f>
        <v/>
      </c>
      <c r="I109" s="1359" t="str">
        <f aca="false">IF('V_DATOS PAC_SGA'!BV104="IV",'V_DATOS PAC_SGA'!BV104,"")</f>
        <v/>
      </c>
      <c r="J109" s="2" t="str">
        <f aca="false">IF($A109&gt;0,IF(AND(J$4=$G109,J$6=$F109),$D109*J$5,""),"")</f>
        <v/>
      </c>
      <c r="K109" s="2" t="str">
        <f aca="false">IF($A109&gt;0,IF(AND(K$4=$G109,K$6=$F109),$D109*K$5,""),"")</f>
        <v/>
      </c>
      <c r="L109" s="2" t="str">
        <f aca="false">IF($A109&gt;0,IF(AND(L$4=$G109,L$6=$F109),$D109*L$5,""),"")</f>
        <v/>
      </c>
      <c r="M109" s="2" t="str">
        <f aca="false">IF($A109&gt;0,IF(AND(M$4=$G109,M$6=$F109),$D109*M$5,""),"")</f>
        <v/>
      </c>
      <c r="N109" s="1506" t="n">
        <f aca="false">VLOOKUP(B109,'O_MN, PE_UTA_UGM 2024'!$E$2:$K$419,IF(G109&gt;1,6,7))</f>
        <v>0</v>
      </c>
      <c r="O109" s="1434" t="str">
        <f aca="false">IF($H109=O$4,$D109*$N109,"")</f>
        <v/>
      </c>
      <c r="P109" s="1435" t="str">
        <f aca="false">IF($H109=P$4,$D109*$N109,"")</f>
        <v/>
      </c>
      <c r="Q109" s="1435" t="str">
        <f aca="false">IF($H109=Q$4,$D109*$N109,"")</f>
        <v/>
      </c>
      <c r="R109" s="1435" t="str">
        <f aca="false">IF($H109=R$4,$D109*$N109,"")</f>
        <v/>
      </c>
      <c r="S109" s="1435" t="str">
        <f aca="false">IF($H109=S$4,$D109*$N109,"")</f>
        <v/>
      </c>
      <c r="T109" s="1435" t="str">
        <f aca="false">IF($H109=T$4,$D109*$N109,"")</f>
        <v/>
      </c>
      <c r="U109" s="1436" t="str">
        <f aca="false">IF($H109=U$4,$D109*$N109,"")</f>
        <v/>
      </c>
      <c r="V109" s="1418"/>
      <c r="W109" s="1419"/>
      <c r="X109" s="1419"/>
      <c r="Y109" s="1419"/>
      <c r="Z109" s="1419"/>
      <c r="AA109" s="1419"/>
      <c r="AB109" s="1420"/>
      <c r="AC109" s="1319"/>
      <c r="AD109" s="2" t="str">
        <f aca="false">IF(AND(AD$4=$G109,AD$6=$F109),$B109,"")</f>
        <v/>
      </c>
      <c r="AE109" s="2" t="str">
        <f aca="false">IF(AND(AE$4=$G109,AE$6=$F109),$B109,"")</f>
        <v/>
      </c>
      <c r="AF109" s="2" t="str">
        <f aca="false">IF(AND(AF$4=$G109,AF$6=$F109),$B109,"")</f>
        <v/>
      </c>
      <c r="AG109" s="2" t="str">
        <f aca="false">IF(AND(AG$4=$G109,AG$6=$F109),$B109,"")</f>
        <v/>
      </c>
      <c r="AI109" s="366"/>
      <c r="AL109" s="367"/>
      <c r="AO109" s="367"/>
      <c r="AP109" s="2" t="str">
        <f aca="false">IF(AT109&gt;0,RANK(AT109,AT$7:AT$423),"")</f>
        <v/>
      </c>
      <c r="AQ109" s="2" t="n">
        <f aca="false">'O_MN, PE_UTA_UGM 2024'!C105</f>
        <v>157</v>
      </c>
      <c r="AR109" s="1421" t="n">
        <v>1564</v>
      </c>
      <c r="AS109" s="2" t="str">
        <f aca="false">IF(AY109&lt;&gt;"",AY109,"")</f>
        <v/>
      </c>
      <c r="AT109" s="1422" t="n">
        <f aca="false">IF(ISNUMBER($AR109),SUMIF(B$7:B$505,AR109,D$7:D$505),"")</f>
        <v>0</v>
      </c>
      <c r="AU109" s="1411" t="n">
        <f aca="false">IF(ISNUMBER($AR109),SUMIF(AD$7:AD$503,$AR109,J$7:J$503),"")</f>
        <v>0</v>
      </c>
      <c r="AV109" s="1411" t="n">
        <f aca="false">IF(ISNUMBER($AR109),SUMIF(AF$7:AF$503,$AR109,L$7:L$503),"")</f>
        <v>0</v>
      </c>
      <c r="AW109" s="1423" t="n">
        <f aca="false">IF(ISNUMBER($AR109),SUMIF(AE$7:AE$503,$AR109,K$7:K$503),"")</f>
        <v>0</v>
      </c>
      <c r="AX109" s="1423" t="n">
        <f aca="false">IF(ISNUMBER($AR109),SUMIF(AG$7:AG$503,$AR109,M$7:M$503),"")</f>
        <v>0</v>
      </c>
      <c r="AY109" s="2" t="str">
        <f aca="false">IF($AT109&gt;0,VLOOKUP($AR109,'O_MN, PE_UTA_UGM 2024'!E105:O521,2),"")</f>
        <v/>
      </c>
      <c r="AZ109" s="1507"/>
      <c r="BA109" s="1507"/>
      <c r="BB109" s="1507" t="str">
        <f aca="false">IF($AT109&gt;0,VLOOKUP($AR109,'O_MN, PE_UTA_UGM 2024'!$E$3:$O$419,BB$6),"")</f>
        <v/>
      </c>
      <c r="BC109" s="1507" t="str">
        <f aca="false">IF($AT109&gt;0,VLOOKUP($AR109,'O_MN, PE_UTA_UGM 2024'!$E$3:$O$419,BC$6),"")</f>
        <v/>
      </c>
      <c r="BD109" s="1507" t="str">
        <f aca="false">IF($AT109&gt;0,VLOOKUP($AR109,'O_MN, PE_UTA_UGM 2024'!$E$3:$O$419,BD$6),"")</f>
        <v/>
      </c>
      <c r="BE109" s="1507" t="str">
        <f aca="false">IF($AT109&gt;0,VLOOKUP($AR109,'O_MN, PE_UTA_UGM 2024'!$E$3:$O$419,BE$6),"")</f>
        <v/>
      </c>
      <c r="BF109" s="1507" t="str">
        <f aca="false">IF($AT109&gt;0,VLOOKUP($AR109,'O_MN, PE_UTA_UGM 2024'!$E$3:$O$419,BF$6),"")</f>
        <v/>
      </c>
      <c r="BG109" s="1507" t="str">
        <f aca="false">IF($AT109&gt;0,VLOOKUP($AR109,'O_MN, PE_UTA_UGM 2024'!$E$3:$O$419,BG$6),"")</f>
        <v/>
      </c>
      <c r="BH109" s="1504"/>
      <c r="BI109" s="1504"/>
      <c r="BJ109" s="1504"/>
      <c r="BK109" s="1504"/>
      <c r="BM109" s="1411"/>
      <c r="BN109" s="1411"/>
      <c r="BO109" s="1425" t="str">
        <f aca="false">IF(ISNUMBER($AU109*BB109*1),$AU109*BB109*1,"")</f>
        <v/>
      </c>
      <c r="BP109" s="1425" t="str">
        <f aca="false">IF(ISNUMBER($AV109*BC109*1),$AV109*BC109*1,"")</f>
        <v/>
      </c>
      <c r="BQ109" s="1425" t="str">
        <f aca="false">IF(ISNUMBER($AU109*BD109*1),$AU109*BD109*1,"")</f>
        <v/>
      </c>
      <c r="BR109" s="1425" t="str">
        <f aca="false">IF(ISNUMBER($AV109*BE109*1),$AV109*BE109*1,"")</f>
        <v/>
      </c>
      <c r="BS109" s="1411" t="str">
        <f aca="false">IF(ISNUMBER($AU109*BF109),$AU109*BF109,"")</f>
        <v/>
      </c>
      <c r="BT109" s="1411" t="str">
        <f aca="false">IF(ISNUMBER($AV109*BG109),$AV109*BG109,"")</f>
        <v/>
      </c>
      <c r="BU109" s="1411"/>
      <c r="BV109" s="1411"/>
      <c r="BW109" s="1411"/>
      <c r="BX109" s="1411"/>
      <c r="BZ109" s="1372"/>
      <c r="CA109" s="1372"/>
      <c r="CB109" s="1426" t="str">
        <f aca="false">IF(ISNUMBER($AW109*BB109),$AW109*BB109,"")</f>
        <v/>
      </c>
      <c r="CC109" s="1426" t="str">
        <f aca="false">IF(ISNUMBER($AX109*BC109),$AX109*BC109,"")</f>
        <v/>
      </c>
      <c r="CD109" s="1426" t="str">
        <f aca="false">IF(ISNUMBER($AW109*BD109),$AW109*BD109,"")</f>
        <v/>
      </c>
      <c r="CE109" s="1426" t="str">
        <f aca="false">IF(ISNUMBER($AX109*BE109),$AX109*BE109,"")</f>
        <v/>
      </c>
      <c r="CF109" s="1372" t="str">
        <f aca="false">IF(ISNUMBER($AW109*BF109),$AW109*BF109,"")</f>
        <v/>
      </c>
      <c r="CG109" s="1372" t="str">
        <f aca="false">IF(ISNUMBER($AX109*BG109),$AX109*BG109,"")</f>
        <v/>
      </c>
      <c r="CH109" s="1438"/>
      <c r="CI109" s="1438"/>
      <c r="CJ109" s="1438"/>
      <c r="CK109" s="1438"/>
      <c r="CU109" s="1411"/>
      <c r="CV109" s="1411"/>
      <c r="CW109" s="1425"/>
      <c r="CX109" s="1425"/>
      <c r="CY109" s="1425"/>
      <c r="CZ109" s="1425"/>
      <c r="DA109" s="1411"/>
      <c r="DB109" s="1411"/>
      <c r="DC109" s="1411"/>
      <c r="DD109" s="1411"/>
      <c r="DE109" s="1411"/>
      <c r="DF109" s="1411"/>
      <c r="DH109" s="1432"/>
      <c r="DI109" s="1432"/>
      <c r="DJ109" s="1437"/>
      <c r="DK109" s="1437"/>
      <c r="DL109" s="1437"/>
      <c r="DM109" s="1437"/>
      <c r="DN109" s="1432"/>
      <c r="DO109" s="1432"/>
      <c r="DP109" s="1432"/>
      <c r="DQ109" s="1432"/>
      <c r="DR109" s="1432"/>
      <c r="DS109" s="1432"/>
      <c r="DT109" s="1316"/>
      <c r="DU109" s="1433"/>
      <c r="DV109" s="1433"/>
      <c r="DW109" s="1433"/>
      <c r="DX109" s="1433"/>
      <c r="DY109" s="1433"/>
      <c r="DZ109" s="1433"/>
      <c r="EA109" s="1433"/>
      <c r="EB109" s="1433"/>
    </row>
    <row r="110" customFormat="false" ht="14.25" hidden="false" customHeight="false" outlineLevel="0" collapsed="false">
      <c r="A110" s="2" t="n">
        <f aca="false">'V_DATOS PAC_SGA'!CC105</f>
        <v>0</v>
      </c>
      <c r="B110" s="2" t="n">
        <f aca="false">IF(OR(A110=0,A110=""),0,IF(I110="IV",CONCATENATE('V_DATOS PAC_SGA'!CC105,"4")+0,CONCATENATE('V_DATOS PAC_SGA'!CC105,"0")+0))</f>
        <v>0</v>
      </c>
      <c r="C110" s="2" t="n">
        <f aca="false">'V_DATOS PAC_SGA'!CD105</f>
        <v>0</v>
      </c>
      <c r="D110" s="1409" t="n">
        <f aca="false">'V_DATOS PAC_SGA'!Y105</f>
        <v>0</v>
      </c>
      <c r="E110" s="1410" t="str">
        <f aca="false">IF('V_DATOS PAC_SGA'!AV105="","Regadio",'V_DATOS PAC_SGA'!AV105)</f>
        <v>Regadio</v>
      </c>
      <c r="F110" s="1411" t="n">
        <f aca="false">'V_DATOS PAC_SGA'!BK105</f>
        <v>0</v>
      </c>
      <c r="G110" s="1412" t="n">
        <f aca="false">'V_DATOS PAC_SGA'!AN105</f>
        <v>0</v>
      </c>
      <c r="H110" s="1413" t="str">
        <f aca="false">IF(B110&gt;0,VLOOKUP(B110,'O_MN, PE_UTA_UGM 2024'!E$3:O$419,10),"")</f>
        <v/>
      </c>
      <c r="I110" s="1359" t="str">
        <f aca="false">IF('V_DATOS PAC_SGA'!BV105="IV",'V_DATOS PAC_SGA'!BV105,"")</f>
        <v/>
      </c>
      <c r="J110" s="2" t="str">
        <f aca="false">IF($A110&gt;0,IF(AND(J$4=$G110,J$6=$F110),$D110*J$5,""),"")</f>
        <v/>
      </c>
      <c r="K110" s="2" t="str">
        <f aca="false">IF($A110&gt;0,IF(AND(K$4=$G110,K$6=$F110),$D110*K$5,""),"")</f>
        <v/>
      </c>
      <c r="L110" s="2" t="str">
        <f aca="false">IF($A110&gt;0,IF(AND(L$4=$G110,L$6=$F110),$D110*L$5,""),"")</f>
        <v/>
      </c>
      <c r="M110" s="2" t="str">
        <f aca="false">IF($A110&gt;0,IF(AND(M$4=$G110,M$6=$F110),$D110*M$5,""),"")</f>
        <v/>
      </c>
      <c r="N110" s="1506" t="n">
        <f aca="false">VLOOKUP(B110,'O_MN, PE_UTA_UGM 2024'!$E$2:$K$419,IF(G110&gt;1,6,7))</f>
        <v>0</v>
      </c>
      <c r="O110" s="1434" t="str">
        <f aca="false">IF($H110=O$4,$D110*$N110,"")</f>
        <v/>
      </c>
      <c r="P110" s="1435" t="str">
        <f aca="false">IF($H110=P$4,$D110*$N110,"")</f>
        <v/>
      </c>
      <c r="Q110" s="1435" t="str">
        <f aca="false">IF($H110=Q$4,$D110*$N110,"")</f>
        <v/>
      </c>
      <c r="R110" s="1435" t="str">
        <f aca="false">IF($H110=R$4,$D110*$N110,"")</f>
        <v/>
      </c>
      <c r="S110" s="1435" t="str">
        <f aca="false">IF($H110=S$4,$D110*$N110,"")</f>
        <v/>
      </c>
      <c r="T110" s="1435" t="str">
        <f aca="false">IF($H110=T$4,$D110*$N110,"")</f>
        <v/>
      </c>
      <c r="U110" s="1436" t="str">
        <f aca="false">IF($H110=U$4,$D110*$N110,"")</f>
        <v/>
      </c>
      <c r="V110" s="1418"/>
      <c r="W110" s="1419"/>
      <c r="X110" s="1419"/>
      <c r="Y110" s="1419"/>
      <c r="Z110" s="1419"/>
      <c r="AA110" s="1419"/>
      <c r="AB110" s="1420"/>
      <c r="AC110" s="1319"/>
      <c r="AD110" s="2" t="str">
        <f aca="false">IF(AND(AD$4=$G110,AD$6=$F110),$B110,"")</f>
        <v/>
      </c>
      <c r="AE110" s="2" t="str">
        <f aca="false">IF(AND(AE$4=$G110,AE$6=$F110),$B110,"")</f>
        <v/>
      </c>
      <c r="AF110" s="2" t="str">
        <f aca="false">IF(AND(AF$4=$G110,AF$6=$F110),$B110,"")</f>
        <v/>
      </c>
      <c r="AG110" s="2" t="str">
        <f aca="false">IF(AND(AG$4=$G110,AG$6=$F110),$B110,"")</f>
        <v/>
      </c>
      <c r="AI110" s="366"/>
      <c r="AL110" s="367"/>
      <c r="AO110" s="367"/>
      <c r="AP110" s="2" t="str">
        <f aca="false">IF(AT110&gt;0,RANK(AT110,AT$7:AT$423),"")</f>
        <v/>
      </c>
      <c r="AQ110" s="2" t="n">
        <f aca="false">'O_MN, PE_UTA_UGM 2024'!C106</f>
        <v>158</v>
      </c>
      <c r="AR110" s="1421" t="n">
        <v>1569</v>
      </c>
      <c r="AS110" s="2" t="str">
        <f aca="false">IF(AY110&lt;&gt;"",AY110,"")</f>
        <v/>
      </c>
      <c r="AT110" s="1422" t="n">
        <f aca="false">IF(ISNUMBER($AR110),SUMIF(B$7:B$505,AR110,D$7:D$505),"")</f>
        <v>0</v>
      </c>
      <c r="AU110" s="1411" t="n">
        <f aca="false">IF(ISNUMBER($AR110),SUMIF(AD$7:AD$503,$AR110,J$7:J$503),"")</f>
        <v>0</v>
      </c>
      <c r="AV110" s="1411" t="n">
        <f aca="false">IF(ISNUMBER($AR110),SUMIF(AF$7:AF$503,$AR110,L$7:L$503),"")</f>
        <v>0</v>
      </c>
      <c r="AW110" s="1423" t="n">
        <f aca="false">IF(ISNUMBER($AR110),SUMIF(AE$7:AE$503,$AR110,K$7:K$503),"")</f>
        <v>0</v>
      </c>
      <c r="AX110" s="1423" t="n">
        <f aca="false">IF(ISNUMBER($AR110),SUMIF(AG$7:AG$503,$AR110,M$7:M$503),"")</f>
        <v>0</v>
      </c>
      <c r="AY110" s="2" t="str">
        <f aca="false">IF($AT110&gt;0,VLOOKUP($AR110,'O_MN, PE_UTA_UGM 2024'!E106:O522,2),"")</f>
        <v/>
      </c>
      <c r="AZ110" s="1507"/>
      <c r="BA110" s="1507"/>
      <c r="BB110" s="1507" t="str">
        <f aca="false">IF($AT110&gt;0,VLOOKUP($AR110,'O_MN, PE_UTA_UGM 2024'!$E$3:$O$419,BB$6),"")</f>
        <v/>
      </c>
      <c r="BC110" s="1507" t="str">
        <f aca="false">IF($AT110&gt;0,VLOOKUP($AR110,'O_MN, PE_UTA_UGM 2024'!$E$3:$O$419,BC$6),"")</f>
        <v/>
      </c>
      <c r="BD110" s="1507" t="str">
        <f aca="false">IF($AT110&gt;0,VLOOKUP($AR110,'O_MN, PE_UTA_UGM 2024'!$E$3:$O$419,BD$6),"")</f>
        <v/>
      </c>
      <c r="BE110" s="1507" t="str">
        <f aca="false">IF($AT110&gt;0,VLOOKUP($AR110,'O_MN, PE_UTA_UGM 2024'!$E$3:$O$419,BE$6),"")</f>
        <v/>
      </c>
      <c r="BF110" s="1507" t="str">
        <f aca="false">IF($AT110&gt;0,VLOOKUP($AR110,'O_MN, PE_UTA_UGM 2024'!$E$3:$O$419,BF$6),"")</f>
        <v/>
      </c>
      <c r="BG110" s="1507" t="str">
        <f aca="false">IF($AT110&gt;0,VLOOKUP($AR110,'O_MN, PE_UTA_UGM 2024'!$E$3:$O$419,BG$6),"")</f>
        <v/>
      </c>
      <c r="BH110" s="1504"/>
      <c r="BI110" s="1504"/>
      <c r="BJ110" s="1504"/>
      <c r="BK110" s="1504"/>
      <c r="BM110" s="1411"/>
      <c r="BN110" s="1411"/>
      <c r="BO110" s="1425" t="str">
        <f aca="false">IF(ISNUMBER($AU110*BB110*1),$AU110*BB110*1,"")</f>
        <v/>
      </c>
      <c r="BP110" s="1425" t="str">
        <f aca="false">IF(ISNUMBER($AV110*BC110*1),$AV110*BC110*1,"")</f>
        <v/>
      </c>
      <c r="BQ110" s="1425" t="str">
        <f aca="false">IF(ISNUMBER($AU110*BD110*1),$AU110*BD110*1,"")</f>
        <v/>
      </c>
      <c r="BR110" s="1425" t="str">
        <f aca="false">IF(ISNUMBER($AV110*BE110*1),$AV110*BE110*1,"")</f>
        <v/>
      </c>
      <c r="BS110" s="1411" t="str">
        <f aca="false">IF(ISNUMBER($AU110*BF110),$AU110*BF110,"")</f>
        <v/>
      </c>
      <c r="BT110" s="1411" t="str">
        <f aca="false">IF(ISNUMBER($AV110*BG110),$AV110*BG110,"")</f>
        <v/>
      </c>
      <c r="BU110" s="1411"/>
      <c r="BV110" s="1411"/>
      <c r="BW110" s="1411"/>
      <c r="BX110" s="1411"/>
      <c r="BZ110" s="1372"/>
      <c r="CA110" s="1372"/>
      <c r="CB110" s="1426" t="str">
        <f aca="false">IF(ISNUMBER($AW110*BB110),$AW110*BB110,"")</f>
        <v/>
      </c>
      <c r="CC110" s="1426" t="str">
        <f aca="false">IF(ISNUMBER($AX110*BC110),$AX110*BC110,"")</f>
        <v/>
      </c>
      <c r="CD110" s="1426" t="str">
        <f aca="false">IF(ISNUMBER($AW110*BD110),$AW110*BD110,"")</f>
        <v/>
      </c>
      <c r="CE110" s="1426" t="str">
        <f aca="false">IF(ISNUMBER($AX110*BE110),$AX110*BE110,"")</f>
        <v/>
      </c>
      <c r="CF110" s="1372" t="str">
        <f aca="false">IF(ISNUMBER($AW110*BF110),$AW110*BF110,"")</f>
        <v/>
      </c>
      <c r="CG110" s="1372" t="str">
        <f aca="false">IF(ISNUMBER($AX110*BG110),$AX110*BG110,"")</f>
        <v/>
      </c>
      <c r="CH110" s="1438"/>
      <c r="CI110" s="1438"/>
      <c r="CJ110" s="1438"/>
      <c r="CK110" s="1438"/>
      <c r="CU110" s="1411"/>
      <c r="CV110" s="1411"/>
      <c r="CW110" s="1425"/>
      <c r="CX110" s="1425"/>
      <c r="CY110" s="1425"/>
      <c r="CZ110" s="1425"/>
      <c r="DA110" s="1411"/>
      <c r="DB110" s="1411"/>
      <c r="DC110" s="1411"/>
      <c r="DD110" s="1411"/>
      <c r="DE110" s="1411"/>
      <c r="DF110" s="1411"/>
      <c r="DH110" s="1432"/>
      <c r="DI110" s="1432"/>
      <c r="DJ110" s="1437"/>
      <c r="DK110" s="1437"/>
      <c r="DL110" s="1437"/>
      <c r="DM110" s="1437"/>
      <c r="DN110" s="1432"/>
      <c r="DO110" s="1432"/>
      <c r="DP110" s="1432"/>
      <c r="DQ110" s="1432"/>
      <c r="DR110" s="1432"/>
      <c r="DS110" s="1432"/>
      <c r="DT110" s="1316"/>
      <c r="DU110" s="1433"/>
      <c r="DV110" s="1433"/>
      <c r="DW110" s="1433"/>
      <c r="DX110" s="1433"/>
      <c r="DY110" s="1433"/>
      <c r="DZ110" s="1433"/>
      <c r="EA110" s="1433"/>
      <c r="EB110" s="1433"/>
    </row>
    <row r="111" customFormat="false" ht="14.25" hidden="false" customHeight="false" outlineLevel="0" collapsed="false">
      <c r="A111" s="2" t="n">
        <f aca="false">'V_DATOS PAC_SGA'!CC106</f>
        <v>0</v>
      </c>
      <c r="B111" s="2" t="n">
        <f aca="false">IF(OR(A111=0,A111=""),0,IF(I111="IV",CONCATENATE('V_DATOS PAC_SGA'!CC106,"4")+0,CONCATENATE('V_DATOS PAC_SGA'!CC106,"0")+0))</f>
        <v>0</v>
      </c>
      <c r="C111" s="2" t="n">
        <f aca="false">'V_DATOS PAC_SGA'!CD106</f>
        <v>0</v>
      </c>
      <c r="D111" s="1409" t="n">
        <f aca="false">'V_DATOS PAC_SGA'!Y106</f>
        <v>0</v>
      </c>
      <c r="E111" s="1410" t="str">
        <f aca="false">IF('V_DATOS PAC_SGA'!AV106="","Regadio",'V_DATOS PAC_SGA'!AV106)</f>
        <v>Regadio</v>
      </c>
      <c r="F111" s="1411" t="n">
        <f aca="false">'V_DATOS PAC_SGA'!BK106</f>
        <v>0</v>
      </c>
      <c r="G111" s="1412" t="n">
        <f aca="false">'V_DATOS PAC_SGA'!AN106</f>
        <v>0</v>
      </c>
      <c r="H111" s="1413" t="str">
        <f aca="false">IF(B111&gt;0,VLOOKUP(B111,'O_MN, PE_UTA_UGM 2024'!E$3:O$419,10),"")</f>
        <v/>
      </c>
      <c r="I111" s="1359" t="str">
        <f aca="false">IF('V_DATOS PAC_SGA'!BV106="IV",'V_DATOS PAC_SGA'!BV106,"")</f>
        <v/>
      </c>
      <c r="J111" s="2" t="str">
        <f aca="false">IF($A111&gt;0,IF(AND(J$4=$G111,J$6=$F111),$D111*J$5,""),"")</f>
        <v/>
      </c>
      <c r="K111" s="2" t="str">
        <f aca="false">IF($A111&gt;0,IF(AND(K$4=$G111,K$6=$F111),$D111*K$5,""),"")</f>
        <v/>
      </c>
      <c r="L111" s="2" t="str">
        <f aca="false">IF($A111&gt;0,IF(AND(L$4=$G111,L$6=$F111),$D111*L$5,""),"")</f>
        <v/>
      </c>
      <c r="M111" s="2" t="str">
        <f aca="false">IF($A111&gt;0,IF(AND(M$4=$G111,M$6=$F111),$D111*M$5,""),"")</f>
        <v/>
      </c>
      <c r="N111" s="1506" t="n">
        <f aca="false">VLOOKUP(B111,'O_MN, PE_UTA_UGM 2024'!$E$2:$K$419,IF(G111&gt;1,6,7))</f>
        <v>0</v>
      </c>
      <c r="O111" s="1434" t="str">
        <f aca="false">IF($H111=O$4,$D111*$N111,"")</f>
        <v/>
      </c>
      <c r="P111" s="1435" t="str">
        <f aca="false">IF($H111=P$4,$D111*$N111,"")</f>
        <v/>
      </c>
      <c r="Q111" s="1435" t="str">
        <f aca="false">IF($H111=Q$4,$D111*$N111,"")</f>
        <v/>
      </c>
      <c r="R111" s="1435" t="str">
        <f aca="false">IF($H111=R$4,$D111*$N111,"")</f>
        <v/>
      </c>
      <c r="S111" s="1435" t="str">
        <f aca="false">IF($H111=S$4,$D111*$N111,"")</f>
        <v/>
      </c>
      <c r="T111" s="1435" t="str">
        <f aca="false">IF($H111=T$4,$D111*$N111,"")</f>
        <v/>
      </c>
      <c r="U111" s="1436" t="str">
        <f aca="false">IF($H111=U$4,$D111*$N111,"")</f>
        <v/>
      </c>
      <c r="V111" s="1418"/>
      <c r="W111" s="1419"/>
      <c r="X111" s="1419"/>
      <c r="Y111" s="1419"/>
      <c r="Z111" s="1419"/>
      <c r="AA111" s="1419"/>
      <c r="AB111" s="1420"/>
      <c r="AC111" s="1319"/>
      <c r="AD111" s="2" t="str">
        <f aca="false">IF(AND(AD$4=$G111,AD$6=$F111),$B111,"")</f>
        <v/>
      </c>
      <c r="AE111" s="2" t="str">
        <f aca="false">IF(AND(AE$4=$G111,AE$6=$F111),$B111,"")</f>
        <v/>
      </c>
      <c r="AF111" s="2" t="str">
        <f aca="false">IF(AND(AF$4=$G111,AF$6=$F111),$B111,"")</f>
        <v/>
      </c>
      <c r="AG111" s="2" t="str">
        <f aca="false">IF(AND(AG$4=$G111,AG$6=$F111),$B111,"")</f>
        <v/>
      </c>
      <c r="AI111" s="366"/>
      <c r="AL111" s="367"/>
      <c r="AO111" s="367"/>
      <c r="AP111" s="2" t="str">
        <f aca="false">IF(AT111&gt;0,RANK(AT111,AT$7:AT$423),"")</f>
        <v/>
      </c>
      <c r="AQ111" s="2" t="n">
        <f aca="false">'O_MN, PE_UTA_UGM 2024'!C107</f>
        <v>158</v>
      </c>
      <c r="AR111" s="1421" t="n">
        <v>1570</v>
      </c>
      <c r="AS111" s="2" t="str">
        <f aca="false">IF(AY111&lt;&gt;"",AY111,"")</f>
        <v/>
      </c>
      <c r="AT111" s="1422" t="n">
        <f aca="false">IF(ISNUMBER($AR111),SUMIF(B$7:B$505,AR111,D$7:D$505),"")</f>
        <v>0</v>
      </c>
      <c r="AU111" s="1411" t="n">
        <f aca="false">IF(ISNUMBER($AR111),SUMIF(AD$7:AD$503,$AR111,J$7:J$503),"")</f>
        <v>0</v>
      </c>
      <c r="AV111" s="1411" t="n">
        <f aca="false">IF(ISNUMBER($AR111),SUMIF(AF$7:AF$503,$AR111,L$7:L$503),"")</f>
        <v>0</v>
      </c>
      <c r="AW111" s="1423" t="n">
        <f aca="false">IF(ISNUMBER($AR111),SUMIF(AE$7:AE$503,$AR111,K$7:K$503),"")</f>
        <v>0</v>
      </c>
      <c r="AX111" s="1423" t="n">
        <f aca="false">IF(ISNUMBER($AR111),SUMIF(AG$7:AG$503,$AR111,M$7:M$503),"")</f>
        <v>0</v>
      </c>
      <c r="AY111" s="2" t="str">
        <f aca="false">IF($AT111&gt;0,VLOOKUP($AR111,'O_MN, PE_UTA_UGM 2024'!E107:O523,2),"")</f>
        <v/>
      </c>
      <c r="AZ111" s="1507"/>
      <c r="BA111" s="1507"/>
      <c r="BB111" s="1507" t="str">
        <f aca="false">IF($AT111&gt;0,VLOOKUP($AR111,'O_MN, PE_UTA_UGM 2024'!$E$3:$O$419,BB$6),"")</f>
        <v/>
      </c>
      <c r="BC111" s="1507" t="str">
        <f aca="false">IF($AT111&gt;0,VLOOKUP($AR111,'O_MN, PE_UTA_UGM 2024'!$E$3:$O$419,BC$6),"")</f>
        <v/>
      </c>
      <c r="BD111" s="1507" t="str">
        <f aca="false">IF($AT111&gt;0,VLOOKUP($AR111,'O_MN, PE_UTA_UGM 2024'!$E$3:$O$419,BD$6),"")</f>
        <v/>
      </c>
      <c r="BE111" s="1507" t="str">
        <f aca="false">IF($AT111&gt;0,VLOOKUP($AR111,'O_MN, PE_UTA_UGM 2024'!$E$3:$O$419,BE$6),"")</f>
        <v/>
      </c>
      <c r="BF111" s="1507" t="str">
        <f aca="false">IF($AT111&gt;0,VLOOKUP($AR111,'O_MN, PE_UTA_UGM 2024'!$E$3:$O$419,BF$6),"")</f>
        <v/>
      </c>
      <c r="BG111" s="1507" t="str">
        <f aca="false">IF($AT111&gt;0,VLOOKUP($AR111,'O_MN, PE_UTA_UGM 2024'!$E$3:$O$419,BG$6),"")</f>
        <v/>
      </c>
      <c r="BH111" s="1504"/>
      <c r="BI111" s="1504"/>
      <c r="BJ111" s="1504"/>
      <c r="BK111" s="1504"/>
      <c r="BM111" s="1411"/>
      <c r="BN111" s="1411"/>
      <c r="BO111" s="1425" t="str">
        <f aca="false">IF(ISNUMBER($AU111*BB111*1),$AU111*BB111*1,"")</f>
        <v/>
      </c>
      <c r="BP111" s="1425" t="str">
        <f aca="false">IF(ISNUMBER($AV111*BC111*1),$AV111*BC111*1,"")</f>
        <v/>
      </c>
      <c r="BQ111" s="1425" t="str">
        <f aca="false">IF(ISNUMBER($AU111*BD111*1),$AU111*BD111*1,"")</f>
        <v/>
      </c>
      <c r="BR111" s="1425" t="str">
        <f aca="false">IF(ISNUMBER($AV111*BE111*1),$AV111*BE111*1,"")</f>
        <v/>
      </c>
      <c r="BS111" s="1411" t="str">
        <f aca="false">IF(ISNUMBER($AU111*BF111),$AU111*BF111,"")</f>
        <v/>
      </c>
      <c r="BT111" s="1411" t="str">
        <f aca="false">IF(ISNUMBER($AV111*BG111),$AV111*BG111,"")</f>
        <v/>
      </c>
      <c r="BU111" s="1411"/>
      <c r="BV111" s="1411"/>
      <c r="BW111" s="1411"/>
      <c r="BX111" s="1411"/>
      <c r="BZ111" s="1372"/>
      <c r="CA111" s="1372"/>
      <c r="CB111" s="1426" t="str">
        <f aca="false">IF(ISNUMBER($AW111*BB111),$AW111*BB111,"")</f>
        <v/>
      </c>
      <c r="CC111" s="1426" t="str">
        <f aca="false">IF(ISNUMBER($AX111*BC111),$AX111*BC111,"")</f>
        <v/>
      </c>
      <c r="CD111" s="1426" t="str">
        <f aca="false">IF(ISNUMBER($AW111*BD111),$AW111*BD111,"")</f>
        <v/>
      </c>
      <c r="CE111" s="1426" t="str">
        <f aca="false">IF(ISNUMBER($AX111*BE111),$AX111*BE111,"")</f>
        <v/>
      </c>
      <c r="CF111" s="1372" t="str">
        <f aca="false">IF(ISNUMBER($AW111*BF111),$AW111*BF111,"")</f>
        <v/>
      </c>
      <c r="CG111" s="1372" t="str">
        <f aca="false">IF(ISNUMBER($AX111*BG111),$AX111*BG111,"")</f>
        <v/>
      </c>
      <c r="CH111" s="1438"/>
      <c r="CI111" s="1438"/>
      <c r="CJ111" s="1438"/>
      <c r="CK111" s="1438"/>
      <c r="CU111" s="1411"/>
      <c r="CV111" s="1411"/>
      <c r="CW111" s="1425"/>
      <c r="CX111" s="1425"/>
      <c r="CY111" s="1425"/>
      <c r="CZ111" s="1425"/>
      <c r="DA111" s="1411"/>
      <c r="DB111" s="1411"/>
      <c r="DC111" s="1411"/>
      <c r="DD111" s="1411"/>
      <c r="DE111" s="1411"/>
      <c r="DF111" s="1411"/>
      <c r="DH111" s="1432"/>
      <c r="DI111" s="1432"/>
      <c r="DJ111" s="1437"/>
      <c r="DK111" s="1437"/>
      <c r="DL111" s="1437"/>
      <c r="DM111" s="1437"/>
      <c r="DN111" s="1432"/>
      <c r="DO111" s="1432"/>
      <c r="DP111" s="1432"/>
      <c r="DQ111" s="1432"/>
      <c r="DR111" s="1432"/>
      <c r="DS111" s="1432"/>
      <c r="DT111" s="1316"/>
      <c r="DU111" s="1433"/>
      <c r="DV111" s="1433"/>
      <c r="DW111" s="1433"/>
      <c r="DX111" s="1433"/>
      <c r="DY111" s="1433"/>
      <c r="DZ111" s="1433"/>
      <c r="EA111" s="1433"/>
      <c r="EB111" s="1433"/>
    </row>
    <row r="112" customFormat="false" ht="14.25" hidden="false" customHeight="false" outlineLevel="0" collapsed="false">
      <c r="A112" s="2" t="n">
        <f aca="false">'V_DATOS PAC_SGA'!CC107</f>
        <v>0</v>
      </c>
      <c r="B112" s="2" t="n">
        <f aca="false">IF(OR(A112=0,A112=""),0,IF(I112="IV",CONCATENATE('V_DATOS PAC_SGA'!CC107,"4")+0,CONCATENATE('V_DATOS PAC_SGA'!CC107,"0")+0))</f>
        <v>0</v>
      </c>
      <c r="C112" s="2" t="n">
        <f aca="false">'V_DATOS PAC_SGA'!CD107</f>
        <v>0</v>
      </c>
      <c r="D112" s="1409" t="n">
        <f aca="false">'V_DATOS PAC_SGA'!Y107</f>
        <v>0</v>
      </c>
      <c r="E112" s="1410" t="str">
        <f aca="false">IF('V_DATOS PAC_SGA'!AV107="","Regadio",'V_DATOS PAC_SGA'!AV107)</f>
        <v>Regadio</v>
      </c>
      <c r="F112" s="1411" t="n">
        <f aca="false">'V_DATOS PAC_SGA'!BK107</f>
        <v>0</v>
      </c>
      <c r="G112" s="1412" t="n">
        <f aca="false">'V_DATOS PAC_SGA'!AN107</f>
        <v>0</v>
      </c>
      <c r="H112" s="1413" t="str">
        <f aca="false">IF(B112&gt;0,VLOOKUP(B112,'O_MN, PE_UTA_UGM 2024'!E$3:O$419,10),"")</f>
        <v/>
      </c>
      <c r="I112" s="1359" t="str">
        <f aca="false">IF('V_DATOS PAC_SGA'!BV107="IV",'V_DATOS PAC_SGA'!BV107,"")</f>
        <v/>
      </c>
      <c r="J112" s="2" t="str">
        <f aca="false">IF($A112&gt;0,IF(AND(J$4=$G112,J$6=$F112),$D112*J$5,""),"")</f>
        <v/>
      </c>
      <c r="K112" s="2" t="str">
        <f aca="false">IF($A112&gt;0,IF(AND(K$4=$G112,K$6=$F112),$D112*K$5,""),"")</f>
        <v/>
      </c>
      <c r="L112" s="2" t="str">
        <f aca="false">IF($A112&gt;0,IF(AND(L$4=$G112,L$6=$F112),$D112*L$5,""),"")</f>
        <v/>
      </c>
      <c r="M112" s="2" t="str">
        <f aca="false">IF($A112&gt;0,IF(AND(M$4=$G112,M$6=$F112),$D112*M$5,""),"")</f>
        <v/>
      </c>
      <c r="N112" s="1506" t="n">
        <f aca="false">VLOOKUP(B112,'O_MN, PE_UTA_UGM 2024'!$E$2:$K$419,IF(G112&gt;1,6,7))</f>
        <v>0</v>
      </c>
      <c r="O112" s="1434" t="str">
        <f aca="false">IF($H112=O$4,$D112*$N112,"")</f>
        <v/>
      </c>
      <c r="P112" s="1435" t="str">
        <f aca="false">IF($H112=P$4,$D112*$N112,"")</f>
        <v/>
      </c>
      <c r="Q112" s="1435" t="str">
        <f aca="false">IF($H112=Q$4,$D112*$N112,"")</f>
        <v/>
      </c>
      <c r="R112" s="1435" t="str">
        <f aca="false">IF($H112=R$4,$D112*$N112,"")</f>
        <v/>
      </c>
      <c r="S112" s="1435" t="str">
        <f aca="false">IF($H112=S$4,$D112*$N112,"")</f>
        <v/>
      </c>
      <c r="T112" s="1435" t="str">
        <f aca="false">IF($H112=T$4,$D112*$N112,"")</f>
        <v/>
      </c>
      <c r="U112" s="1436" t="str">
        <f aca="false">IF($H112=U$4,$D112*$N112,"")</f>
        <v/>
      </c>
      <c r="V112" s="1418"/>
      <c r="W112" s="1419"/>
      <c r="X112" s="1419"/>
      <c r="Y112" s="1419"/>
      <c r="Z112" s="1419"/>
      <c r="AA112" s="1419"/>
      <c r="AB112" s="1420"/>
      <c r="AC112" s="1319"/>
      <c r="AD112" s="2" t="str">
        <f aca="false">IF(AND(AD$4=$G112,AD$6=$F112),$B112,"")</f>
        <v/>
      </c>
      <c r="AE112" s="2" t="str">
        <f aca="false">IF(AND(AE$4=$G112,AE$6=$F112),$B112,"")</f>
        <v/>
      </c>
      <c r="AF112" s="2" t="str">
        <f aca="false">IF(AND(AF$4=$G112,AF$6=$F112),$B112,"")</f>
        <v/>
      </c>
      <c r="AG112" s="2" t="str">
        <f aca="false">IF(AND(AG$4=$G112,AG$6=$F112),$B112,"")</f>
        <v/>
      </c>
      <c r="AI112" s="366"/>
      <c r="AL112" s="367"/>
      <c r="AO112" s="367"/>
      <c r="AP112" s="2" t="str">
        <f aca="false">IF(AT112&gt;0,RANK(AT112,AT$7:AT$423),"")</f>
        <v/>
      </c>
      <c r="AQ112" s="2" t="n">
        <f aca="false">'O_MN, PE_UTA_UGM 2024'!C108</f>
        <v>158</v>
      </c>
      <c r="AR112" s="1421" t="n">
        <v>1574</v>
      </c>
      <c r="AS112" s="2" t="str">
        <f aca="false">IF(AY112&lt;&gt;"",AY112,"")</f>
        <v/>
      </c>
      <c r="AT112" s="1422" t="n">
        <f aca="false">IF(ISNUMBER($AR112),SUMIF(B$7:B$505,AR112,D$7:D$505),"")</f>
        <v>0</v>
      </c>
      <c r="AU112" s="1411" t="n">
        <f aca="false">IF(ISNUMBER($AR112),SUMIF(AD$7:AD$503,$AR112,J$7:J$503),"")</f>
        <v>0</v>
      </c>
      <c r="AV112" s="1411" t="n">
        <f aca="false">IF(ISNUMBER($AR112),SUMIF(AF$7:AF$503,$AR112,L$7:L$503),"")</f>
        <v>0</v>
      </c>
      <c r="AW112" s="1423" t="n">
        <f aca="false">IF(ISNUMBER($AR112),SUMIF(AE$7:AE$503,$AR112,K$7:K$503),"")</f>
        <v>0</v>
      </c>
      <c r="AX112" s="1423" t="n">
        <f aca="false">IF(ISNUMBER($AR112),SUMIF(AG$7:AG$503,$AR112,M$7:M$503),"")</f>
        <v>0</v>
      </c>
      <c r="AY112" s="2" t="str">
        <f aca="false">IF($AT112&gt;0,VLOOKUP($AR112,'O_MN, PE_UTA_UGM 2024'!E108:O524,2),"")</f>
        <v/>
      </c>
      <c r="AZ112" s="1507"/>
      <c r="BA112" s="1507"/>
      <c r="BB112" s="1507" t="str">
        <f aca="false">IF($AT112&gt;0,VLOOKUP($AR112,'O_MN, PE_UTA_UGM 2024'!$E$3:$O$419,BB$6),"")</f>
        <v/>
      </c>
      <c r="BC112" s="1507" t="str">
        <f aca="false">IF($AT112&gt;0,VLOOKUP($AR112,'O_MN, PE_UTA_UGM 2024'!$E$3:$O$419,BC$6),"")</f>
        <v/>
      </c>
      <c r="BD112" s="1507" t="str">
        <f aca="false">IF($AT112&gt;0,VLOOKUP($AR112,'O_MN, PE_UTA_UGM 2024'!$E$3:$O$419,BD$6),"")</f>
        <v/>
      </c>
      <c r="BE112" s="1507" t="str">
        <f aca="false">IF($AT112&gt;0,VLOOKUP($AR112,'O_MN, PE_UTA_UGM 2024'!$E$3:$O$419,BE$6),"")</f>
        <v/>
      </c>
      <c r="BF112" s="1507" t="str">
        <f aca="false">IF($AT112&gt;0,VLOOKUP($AR112,'O_MN, PE_UTA_UGM 2024'!$E$3:$O$419,BF$6),"")</f>
        <v/>
      </c>
      <c r="BG112" s="1507" t="str">
        <f aca="false">IF($AT112&gt;0,VLOOKUP($AR112,'O_MN, PE_UTA_UGM 2024'!$E$3:$O$419,BG$6),"")</f>
        <v/>
      </c>
      <c r="BH112" s="1504"/>
      <c r="BI112" s="1504"/>
      <c r="BJ112" s="1504"/>
      <c r="BK112" s="1504"/>
      <c r="BM112" s="1411"/>
      <c r="BN112" s="1411"/>
      <c r="BO112" s="1425" t="str">
        <f aca="false">IF(ISNUMBER($AU112*BB112*1),$AU112*BB112*1,"")</f>
        <v/>
      </c>
      <c r="BP112" s="1425" t="str">
        <f aca="false">IF(ISNUMBER($AV112*BC112*1),$AV112*BC112*1,"")</f>
        <v/>
      </c>
      <c r="BQ112" s="1425" t="str">
        <f aca="false">IF(ISNUMBER($AU112*BD112*1),$AU112*BD112*1,"")</f>
        <v/>
      </c>
      <c r="BR112" s="1425" t="str">
        <f aca="false">IF(ISNUMBER($AV112*BE112*1),$AV112*BE112*1,"")</f>
        <v/>
      </c>
      <c r="BS112" s="1411" t="str">
        <f aca="false">IF(ISNUMBER($AU112*BF112),$AU112*BF112,"")</f>
        <v/>
      </c>
      <c r="BT112" s="1411" t="str">
        <f aca="false">IF(ISNUMBER($AV112*BG112),$AV112*BG112,"")</f>
        <v/>
      </c>
      <c r="BU112" s="1411"/>
      <c r="BV112" s="1411"/>
      <c r="BW112" s="1411"/>
      <c r="BX112" s="1411"/>
      <c r="BZ112" s="1372"/>
      <c r="CA112" s="1372"/>
      <c r="CB112" s="1426" t="str">
        <f aca="false">IF(ISNUMBER($AW112*BB112),$AW112*BB112,"")</f>
        <v/>
      </c>
      <c r="CC112" s="1426" t="str">
        <f aca="false">IF(ISNUMBER($AX112*BC112),$AX112*BC112,"")</f>
        <v/>
      </c>
      <c r="CD112" s="1426" t="str">
        <f aca="false">IF(ISNUMBER($AW112*BD112),$AW112*BD112,"")</f>
        <v/>
      </c>
      <c r="CE112" s="1426" t="str">
        <f aca="false">IF(ISNUMBER($AX112*BE112),$AX112*BE112,"")</f>
        <v/>
      </c>
      <c r="CF112" s="1372" t="str">
        <f aca="false">IF(ISNUMBER($AW112*BF112),$AW112*BF112,"")</f>
        <v/>
      </c>
      <c r="CG112" s="1372" t="str">
        <f aca="false">IF(ISNUMBER($AX112*BG112),$AX112*BG112,"")</f>
        <v/>
      </c>
      <c r="CH112" s="1438"/>
      <c r="CI112" s="1438"/>
      <c r="CJ112" s="1438"/>
      <c r="CK112" s="1438"/>
      <c r="CU112" s="1411"/>
      <c r="CV112" s="1411"/>
      <c r="CW112" s="1425"/>
      <c r="CX112" s="1425"/>
      <c r="CY112" s="1425"/>
      <c r="CZ112" s="1425"/>
      <c r="DA112" s="1411"/>
      <c r="DB112" s="1411"/>
      <c r="DC112" s="1411"/>
      <c r="DD112" s="1411"/>
      <c r="DE112" s="1411"/>
      <c r="DF112" s="1411"/>
      <c r="DH112" s="1432"/>
      <c r="DI112" s="1432"/>
      <c r="DJ112" s="1437"/>
      <c r="DK112" s="1437"/>
      <c r="DL112" s="1437"/>
      <c r="DM112" s="1437"/>
      <c r="DN112" s="1432"/>
      <c r="DO112" s="1432"/>
      <c r="DP112" s="1432"/>
      <c r="DQ112" s="1432"/>
      <c r="DR112" s="1432"/>
      <c r="DS112" s="1432"/>
      <c r="DT112" s="1316"/>
      <c r="DU112" s="1433"/>
      <c r="DV112" s="1433"/>
      <c r="DW112" s="1433"/>
      <c r="DX112" s="1433"/>
      <c r="DY112" s="1433"/>
      <c r="DZ112" s="1433"/>
      <c r="EA112" s="1433"/>
      <c r="EB112" s="1433"/>
    </row>
    <row r="113" customFormat="false" ht="14.25" hidden="false" customHeight="false" outlineLevel="0" collapsed="false">
      <c r="A113" s="2" t="n">
        <f aca="false">'V_DATOS PAC_SGA'!CC108</f>
        <v>0</v>
      </c>
      <c r="B113" s="2" t="n">
        <f aca="false">IF(OR(A113=0,A113=""),0,IF(I113="IV",CONCATENATE('V_DATOS PAC_SGA'!CC108,"4")+0,CONCATENATE('V_DATOS PAC_SGA'!CC108,"0")+0))</f>
        <v>0</v>
      </c>
      <c r="C113" s="2" t="n">
        <f aca="false">'V_DATOS PAC_SGA'!CD108</f>
        <v>0</v>
      </c>
      <c r="D113" s="1409" t="n">
        <f aca="false">'V_DATOS PAC_SGA'!Y108</f>
        <v>0</v>
      </c>
      <c r="E113" s="1410" t="str">
        <f aca="false">IF('V_DATOS PAC_SGA'!AV108="","Regadio",'V_DATOS PAC_SGA'!AV108)</f>
        <v>Regadio</v>
      </c>
      <c r="F113" s="1411" t="n">
        <f aca="false">'V_DATOS PAC_SGA'!BK108</f>
        <v>0</v>
      </c>
      <c r="G113" s="1412" t="n">
        <f aca="false">'V_DATOS PAC_SGA'!AN108</f>
        <v>0</v>
      </c>
      <c r="H113" s="1413" t="str">
        <f aca="false">IF(B113&gt;0,VLOOKUP(B113,'O_MN, PE_UTA_UGM 2024'!E$3:O$419,10),"")</f>
        <v/>
      </c>
      <c r="I113" s="1359" t="str">
        <f aca="false">IF('V_DATOS PAC_SGA'!BV108="IV",'V_DATOS PAC_SGA'!BV108,"")</f>
        <v/>
      </c>
      <c r="J113" s="2" t="str">
        <f aca="false">IF($A113&gt;0,IF(AND(J$4=$G113,J$6=$F113),$D113*J$5,""),"")</f>
        <v/>
      </c>
      <c r="K113" s="2" t="str">
        <f aca="false">IF($A113&gt;0,IF(AND(K$4=$G113,K$6=$F113),$D113*K$5,""),"")</f>
        <v/>
      </c>
      <c r="L113" s="2" t="str">
        <f aca="false">IF($A113&gt;0,IF(AND(L$4=$G113,L$6=$F113),$D113*L$5,""),"")</f>
        <v/>
      </c>
      <c r="M113" s="2" t="str">
        <f aca="false">IF($A113&gt;0,IF(AND(M$4=$G113,M$6=$F113),$D113*M$5,""),"")</f>
        <v/>
      </c>
      <c r="N113" s="1506" t="n">
        <f aca="false">VLOOKUP(B113,'O_MN, PE_UTA_UGM 2024'!$E$2:$K$419,IF(G113&gt;1,6,7))</f>
        <v>0</v>
      </c>
      <c r="O113" s="1434" t="str">
        <f aca="false">IF($H113=O$4,$D113*$N113,"")</f>
        <v/>
      </c>
      <c r="P113" s="1435" t="str">
        <f aca="false">IF($H113=P$4,$D113*$N113,"")</f>
        <v/>
      </c>
      <c r="Q113" s="1435" t="str">
        <f aca="false">IF($H113=Q$4,$D113*$N113,"")</f>
        <v/>
      </c>
      <c r="R113" s="1435" t="str">
        <f aca="false">IF($H113=R$4,$D113*$N113,"")</f>
        <v/>
      </c>
      <c r="S113" s="1435" t="str">
        <f aca="false">IF($H113=S$4,$D113*$N113,"")</f>
        <v/>
      </c>
      <c r="T113" s="1435" t="str">
        <f aca="false">IF($H113=T$4,$D113*$N113,"")</f>
        <v/>
      </c>
      <c r="U113" s="1436" t="str">
        <f aca="false">IF($H113=U$4,$D113*$N113,"")</f>
        <v/>
      </c>
      <c r="V113" s="1418"/>
      <c r="W113" s="1419"/>
      <c r="X113" s="1419"/>
      <c r="Y113" s="1419"/>
      <c r="Z113" s="1419"/>
      <c r="AA113" s="1419"/>
      <c r="AB113" s="1420"/>
      <c r="AC113" s="1319"/>
      <c r="AD113" s="2" t="str">
        <f aca="false">IF(AND(AD$4=$G113,AD$6=$F113),$B113,"")</f>
        <v/>
      </c>
      <c r="AE113" s="2" t="str">
        <f aca="false">IF(AND(AE$4=$G113,AE$6=$F113),$B113,"")</f>
        <v/>
      </c>
      <c r="AF113" s="2" t="str">
        <f aca="false">IF(AND(AF$4=$G113,AF$6=$F113),$B113,"")</f>
        <v/>
      </c>
      <c r="AG113" s="2" t="str">
        <f aca="false">IF(AND(AG$4=$G113,AG$6=$F113),$B113,"")</f>
        <v/>
      </c>
      <c r="AI113" s="366"/>
      <c r="AL113" s="367"/>
      <c r="AO113" s="367"/>
      <c r="AP113" s="2" t="str">
        <f aca="false">IF(AT113&gt;0,RANK(AT113,AT$7:AT$423),"")</f>
        <v/>
      </c>
      <c r="AQ113" s="2" t="n">
        <f aca="false">'O_MN, PE_UTA_UGM 2024'!C109</f>
        <v>159</v>
      </c>
      <c r="AR113" s="1421" t="n">
        <v>1579</v>
      </c>
      <c r="AS113" s="2" t="str">
        <f aca="false">IF(AY113&lt;&gt;"",AY113,"")</f>
        <v/>
      </c>
      <c r="AT113" s="1422" t="n">
        <f aca="false">IF(ISNUMBER($AR113),SUMIF(B$7:B$505,AR113,D$7:D$505),"")</f>
        <v>0</v>
      </c>
      <c r="AU113" s="1411" t="n">
        <f aca="false">IF(ISNUMBER($AR113),SUMIF(AD$7:AD$503,$AR113,J$7:J$503),"")</f>
        <v>0</v>
      </c>
      <c r="AV113" s="1411" t="n">
        <f aca="false">IF(ISNUMBER($AR113),SUMIF(AF$7:AF$503,$AR113,L$7:L$503),"")</f>
        <v>0</v>
      </c>
      <c r="AW113" s="1423" t="n">
        <f aca="false">IF(ISNUMBER($AR113),SUMIF(AE$7:AE$503,$AR113,K$7:K$503),"")</f>
        <v>0</v>
      </c>
      <c r="AX113" s="1423" t="n">
        <f aca="false">IF(ISNUMBER($AR113),SUMIF(AG$7:AG$503,$AR113,M$7:M$503),"")</f>
        <v>0</v>
      </c>
      <c r="AY113" s="2" t="str">
        <f aca="false">IF($AT113&gt;0,VLOOKUP($AR113,'O_MN, PE_UTA_UGM 2024'!E109:O525,2),"")</f>
        <v/>
      </c>
      <c r="AZ113" s="1507"/>
      <c r="BA113" s="1507"/>
      <c r="BB113" s="1507" t="str">
        <f aca="false">IF($AT113&gt;0,VLOOKUP($AR113,'O_MN, PE_UTA_UGM 2024'!$E$3:$O$419,BB$6),"")</f>
        <v/>
      </c>
      <c r="BC113" s="1507" t="str">
        <f aca="false">IF($AT113&gt;0,VLOOKUP($AR113,'O_MN, PE_UTA_UGM 2024'!$E$3:$O$419,BC$6),"")</f>
        <v/>
      </c>
      <c r="BD113" s="1507" t="str">
        <f aca="false">IF($AT113&gt;0,VLOOKUP($AR113,'O_MN, PE_UTA_UGM 2024'!$E$3:$O$419,BD$6),"")</f>
        <v/>
      </c>
      <c r="BE113" s="1507" t="str">
        <f aca="false">IF($AT113&gt;0,VLOOKUP($AR113,'O_MN, PE_UTA_UGM 2024'!$E$3:$O$419,BE$6),"")</f>
        <v/>
      </c>
      <c r="BF113" s="1507" t="str">
        <f aca="false">IF($AT113&gt;0,VLOOKUP($AR113,'O_MN, PE_UTA_UGM 2024'!$E$3:$O$419,BF$6),"")</f>
        <v/>
      </c>
      <c r="BG113" s="1507" t="str">
        <f aca="false">IF($AT113&gt;0,VLOOKUP($AR113,'O_MN, PE_UTA_UGM 2024'!$E$3:$O$419,BG$6),"")</f>
        <v/>
      </c>
      <c r="BH113" s="1504"/>
      <c r="BI113" s="1504"/>
      <c r="BJ113" s="1504"/>
      <c r="BK113" s="1504"/>
      <c r="BM113" s="1411"/>
      <c r="BN113" s="1411"/>
      <c r="BO113" s="1425" t="str">
        <f aca="false">IF(ISNUMBER($AU113*BB113*1),$AU113*BB113*1,"")</f>
        <v/>
      </c>
      <c r="BP113" s="1425" t="str">
        <f aca="false">IF(ISNUMBER($AV113*BC113*1),$AV113*BC113*1,"")</f>
        <v/>
      </c>
      <c r="BQ113" s="1425" t="str">
        <f aca="false">IF(ISNUMBER($AU113*BD113*1),$AU113*BD113*1,"")</f>
        <v/>
      </c>
      <c r="BR113" s="1425" t="str">
        <f aca="false">IF(ISNUMBER($AV113*BE113*1),$AV113*BE113*1,"")</f>
        <v/>
      </c>
      <c r="BS113" s="1411" t="str">
        <f aca="false">IF(ISNUMBER($AU113*BF113),$AU113*BF113,"")</f>
        <v/>
      </c>
      <c r="BT113" s="1411" t="str">
        <f aca="false">IF(ISNUMBER($AV113*BG113),$AV113*BG113,"")</f>
        <v/>
      </c>
      <c r="BU113" s="1411"/>
      <c r="BV113" s="1411"/>
      <c r="BW113" s="1411"/>
      <c r="BX113" s="1411"/>
      <c r="BZ113" s="1372"/>
      <c r="CA113" s="1372"/>
      <c r="CB113" s="1426" t="str">
        <f aca="false">IF(ISNUMBER($AW113*BB113),$AW113*BB113,"")</f>
        <v/>
      </c>
      <c r="CC113" s="1426" t="str">
        <f aca="false">IF(ISNUMBER($AX113*BC113),$AX113*BC113,"")</f>
        <v/>
      </c>
      <c r="CD113" s="1426" t="str">
        <f aca="false">IF(ISNUMBER($AW113*BD113),$AW113*BD113,"")</f>
        <v/>
      </c>
      <c r="CE113" s="1426" t="str">
        <f aca="false">IF(ISNUMBER($AX113*BE113),$AX113*BE113,"")</f>
        <v/>
      </c>
      <c r="CF113" s="1372" t="str">
        <f aca="false">IF(ISNUMBER($AW113*BF113),$AW113*BF113,"")</f>
        <v/>
      </c>
      <c r="CG113" s="1372" t="str">
        <f aca="false">IF(ISNUMBER($AX113*BG113),$AX113*BG113,"")</f>
        <v/>
      </c>
      <c r="CH113" s="1438"/>
      <c r="CI113" s="1438"/>
      <c r="CJ113" s="1438"/>
      <c r="CK113" s="1438"/>
      <c r="CU113" s="1411"/>
      <c r="CV113" s="1411"/>
      <c r="CW113" s="1425"/>
      <c r="CX113" s="1425"/>
      <c r="CY113" s="1425"/>
      <c r="CZ113" s="1425"/>
      <c r="DA113" s="1411"/>
      <c r="DB113" s="1411"/>
      <c r="DC113" s="1411"/>
      <c r="DD113" s="1411"/>
      <c r="DE113" s="1411"/>
      <c r="DF113" s="1411"/>
      <c r="DH113" s="1432"/>
      <c r="DI113" s="1432"/>
      <c r="DJ113" s="1437"/>
      <c r="DK113" s="1437"/>
      <c r="DL113" s="1437"/>
      <c r="DM113" s="1437"/>
      <c r="DN113" s="1432"/>
      <c r="DO113" s="1432"/>
      <c r="DP113" s="1432"/>
      <c r="DQ113" s="1432"/>
      <c r="DR113" s="1432"/>
      <c r="DS113" s="1432"/>
      <c r="DT113" s="1316"/>
      <c r="DU113" s="1433"/>
      <c r="DV113" s="1433"/>
      <c r="DW113" s="1433"/>
      <c r="DX113" s="1433"/>
      <c r="DY113" s="1433"/>
      <c r="DZ113" s="1433"/>
      <c r="EA113" s="1433"/>
      <c r="EB113" s="1433"/>
    </row>
    <row r="114" customFormat="false" ht="14.25" hidden="false" customHeight="false" outlineLevel="0" collapsed="false">
      <c r="A114" s="2" t="n">
        <f aca="false">'V_DATOS PAC_SGA'!CC109</f>
        <v>0</v>
      </c>
      <c r="B114" s="2" t="n">
        <f aca="false">IF(OR(A114=0,A114=""),0,IF(I114="IV",CONCATENATE('V_DATOS PAC_SGA'!CC109,"4")+0,CONCATENATE('V_DATOS PAC_SGA'!CC109,"0")+0))</f>
        <v>0</v>
      </c>
      <c r="C114" s="2" t="n">
        <f aca="false">'V_DATOS PAC_SGA'!CD109</f>
        <v>0</v>
      </c>
      <c r="D114" s="1409" t="n">
        <f aca="false">'V_DATOS PAC_SGA'!Y109</f>
        <v>0</v>
      </c>
      <c r="E114" s="1410" t="str">
        <f aca="false">IF('V_DATOS PAC_SGA'!AV109="","Regadio",'V_DATOS PAC_SGA'!AV109)</f>
        <v>Regadio</v>
      </c>
      <c r="F114" s="1411" t="n">
        <f aca="false">'V_DATOS PAC_SGA'!BK109</f>
        <v>0</v>
      </c>
      <c r="G114" s="1412" t="n">
        <f aca="false">'V_DATOS PAC_SGA'!AN109</f>
        <v>0</v>
      </c>
      <c r="H114" s="1413" t="str">
        <f aca="false">IF(B114&gt;0,VLOOKUP(B114,'O_MN, PE_UTA_UGM 2024'!E$3:O$419,10),"")</f>
        <v/>
      </c>
      <c r="I114" s="1359" t="str">
        <f aca="false">IF('V_DATOS PAC_SGA'!BV109="IV",'V_DATOS PAC_SGA'!BV109,"")</f>
        <v/>
      </c>
      <c r="J114" s="2" t="str">
        <f aca="false">IF($A114&gt;0,IF(AND(J$4=$G114,J$6=$F114),$D114*J$5,""),"")</f>
        <v/>
      </c>
      <c r="K114" s="2" t="str">
        <f aca="false">IF($A114&gt;0,IF(AND(K$4=$G114,K$6=$F114),$D114*K$5,""),"")</f>
        <v/>
      </c>
      <c r="L114" s="2" t="str">
        <f aca="false">IF($A114&gt;0,IF(AND(L$4=$G114,L$6=$F114),$D114*L$5,""),"")</f>
        <v/>
      </c>
      <c r="M114" s="2" t="str">
        <f aca="false">IF($A114&gt;0,IF(AND(M$4=$G114,M$6=$F114),$D114*M$5,""),"")</f>
        <v/>
      </c>
      <c r="N114" s="1506" t="n">
        <f aca="false">VLOOKUP(B114,'O_MN, PE_UTA_UGM 2024'!$E$2:$K$419,IF(G114&gt;1,6,7))</f>
        <v>0</v>
      </c>
      <c r="O114" s="1434" t="str">
        <f aca="false">IF($H114=O$4,$D114*$N114,"")</f>
        <v/>
      </c>
      <c r="P114" s="1435" t="str">
        <f aca="false">IF($H114=P$4,$D114*$N114,"")</f>
        <v/>
      </c>
      <c r="Q114" s="1435" t="str">
        <f aca="false">IF($H114=Q$4,$D114*$N114,"")</f>
        <v/>
      </c>
      <c r="R114" s="1435" t="str">
        <f aca="false">IF($H114=R$4,$D114*$N114,"")</f>
        <v/>
      </c>
      <c r="S114" s="1435" t="str">
        <f aca="false">IF($H114=S$4,$D114*$N114,"")</f>
        <v/>
      </c>
      <c r="T114" s="1435" t="str">
        <f aca="false">IF($H114=T$4,$D114*$N114,"")</f>
        <v/>
      </c>
      <c r="U114" s="1436" t="str">
        <f aca="false">IF($H114=U$4,$D114*$N114,"")</f>
        <v/>
      </c>
      <c r="V114" s="1418"/>
      <c r="W114" s="1419"/>
      <c r="X114" s="1419"/>
      <c r="Y114" s="1419"/>
      <c r="Z114" s="1419"/>
      <c r="AA114" s="1419"/>
      <c r="AB114" s="1420"/>
      <c r="AC114" s="1319"/>
      <c r="AD114" s="2" t="str">
        <f aca="false">IF(AND(AD$4=$G114,AD$6=$F114),$B114,"")</f>
        <v/>
      </c>
      <c r="AE114" s="2" t="str">
        <f aca="false">IF(AND(AE$4=$G114,AE$6=$F114),$B114,"")</f>
        <v/>
      </c>
      <c r="AF114" s="2" t="str">
        <f aca="false">IF(AND(AF$4=$G114,AF$6=$F114),$B114,"")</f>
        <v/>
      </c>
      <c r="AG114" s="2" t="str">
        <f aca="false">IF(AND(AG$4=$G114,AG$6=$F114),$B114,"")</f>
        <v/>
      </c>
      <c r="AI114" s="366"/>
      <c r="AL114" s="367"/>
      <c r="AO114" s="367"/>
      <c r="AP114" s="2" t="str">
        <f aca="false">IF(AT114&gt;0,RANK(AT114,AT$7:AT$423),"")</f>
        <v/>
      </c>
      <c r="AQ114" s="2" t="n">
        <f aca="false">'O_MN, PE_UTA_UGM 2024'!C110</f>
        <v>159</v>
      </c>
      <c r="AR114" s="1421" t="n">
        <v>1580</v>
      </c>
      <c r="AS114" s="2" t="str">
        <f aca="false">IF(AY114&lt;&gt;"",AY114,"")</f>
        <v/>
      </c>
      <c r="AT114" s="1422" t="n">
        <f aca="false">IF(ISNUMBER($AR114),SUMIF(B$7:B$505,AR114,D$7:D$505),"")</f>
        <v>0</v>
      </c>
      <c r="AU114" s="1411" t="n">
        <f aca="false">IF(ISNUMBER($AR114),SUMIF(AD$7:AD$503,$AR114,J$7:J$503),"")</f>
        <v>0</v>
      </c>
      <c r="AV114" s="1411" t="n">
        <f aca="false">IF(ISNUMBER($AR114),SUMIF(AF$7:AF$503,$AR114,L$7:L$503),"")</f>
        <v>0</v>
      </c>
      <c r="AW114" s="1423" t="n">
        <f aca="false">IF(ISNUMBER($AR114),SUMIF(AE$7:AE$503,$AR114,K$7:K$503),"")</f>
        <v>0</v>
      </c>
      <c r="AX114" s="1423" t="n">
        <f aca="false">IF(ISNUMBER($AR114),SUMIF(AG$7:AG$503,$AR114,M$7:M$503),"")</f>
        <v>0</v>
      </c>
      <c r="AY114" s="2" t="str">
        <f aca="false">IF($AT114&gt;0,VLOOKUP($AR114,'O_MN, PE_UTA_UGM 2024'!E110:O526,2),"")</f>
        <v/>
      </c>
      <c r="AZ114" s="1507"/>
      <c r="BA114" s="1507"/>
      <c r="BB114" s="1507" t="str">
        <f aca="false">IF($AT114&gt;0,VLOOKUP($AR114,'O_MN, PE_UTA_UGM 2024'!$E$3:$O$419,BB$6),"")</f>
        <v/>
      </c>
      <c r="BC114" s="1507" t="str">
        <f aca="false">IF($AT114&gt;0,VLOOKUP($AR114,'O_MN, PE_UTA_UGM 2024'!$E$3:$O$419,BC$6),"")</f>
        <v/>
      </c>
      <c r="BD114" s="1507" t="str">
        <f aca="false">IF($AT114&gt;0,VLOOKUP($AR114,'O_MN, PE_UTA_UGM 2024'!$E$3:$O$419,BD$6),"")</f>
        <v/>
      </c>
      <c r="BE114" s="1507" t="str">
        <f aca="false">IF($AT114&gt;0,VLOOKUP($AR114,'O_MN, PE_UTA_UGM 2024'!$E$3:$O$419,BE$6),"")</f>
        <v/>
      </c>
      <c r="BF114" s="1507" t="str">
        <f aca="false">IF($AT114&gt;0,VLOOKUP($AR114,'O_MN, PE_UTA_UGM 2024'!$E$3:$O$419,BF$6),"")</f>
        <v/>
      </c>
      <c r="BG114" s="1507" t="str">
        <f aca="false">IF($AT114&gt;0,VLOOKUP($AR114,'O_MN, PE_UTA_UGM 2024'!$E$3:$O$419,BG$6),"")</f>
        <v/>
      </c>
      <c r="BH114" s="1504"/>
      <c r="BI114" s="1504"/>
      <c r="BJ114" s="1504"/>
      <c r="BK114" s="1504"/>
      <c r="BM114" s="1411"/>
      <c r="BN114" s="1411"/>
      <c r="BO114" s="1425" t="str">
        <f aca="false">IF(ISNUMBER($AU114*BB114*1),$AU114*BB114*1,"")</f>
        <v/>
      </c>
      <c r="BP114" s="1425" t="str">
        <f aca="false">IF(ISNUMBER($AV114*BC114*1),$AV114*BC114*1,"")</f>
        <v/>
      </c>
      <c r="BQ114" s="1425" t="str">
        <f aca="false">IF(ISNUMBER($AU114*BD114*1),$AU114*BD114*1,"")</f>
        <v/>
      </c>
      <c r="BR114" s="1425" t="str">
        <f aca="false">IF(ISNUMBER($AV114*BE114*1),$AV114*BE114*1,"")</f>
        <v/>
      </c>
      <c r="BS114" s="1411" t="str">
        <f aca="false">IF(ISNUMBER($AU114*BF114),$AU114*BF114,"")</f>
        <v/>
      </c>
      <c r="BT114" s="1411" t="str">
        <f aca="false">IF(ISNUMBER($AV114*BG114),$AV114*BG114,"")</f>
        <v/>
      </c>
      <c r="BU114" s="1411"/>
      <c r="BV114" s="1411"/>
      <c r="BW114" s="1411"/>
      <c r="BX114" s="1411"/>
      <c r="BZ114" s="1372"/>
      <c r="CA114" s="1372"/>
      <c r="CB114" s="1426" t="str">
        <f aca="false">IF(ISNUMBER($AW114*BB114),$AW114*BB114,"")</f>
        <v/>
      </c>
      <c r="CC114" s="1426" t="str">
        <f aca="false">IF(ISNUMBER($AX114*BC114),$AX114*BC114,"")</f>
        <v/>
      </c>
      <c r="CD114" s="1426" t="str">
        <f aca="false">IF(ISNUMBER($AW114*BD114),$AW114*BD114,"")</f>
        <v/>
      </c>
      <c r="CE114" s="1426" t="str">
        <f aca="false">IF(ISNUMBER($AX114*BE114),$AX114*BE114,"")</f>
        <v/>
      </c>
      <c r="CF114" s="1372" t="str">
        <f aca="false">IF(ISNUMBER($AW114*BF114),$AW114*BF114,"")</f>
        <v/>
      </c>
      <c r="CG114" s="1372" t="str">
        <f aca="false">IF(ISNUMBER($AX114*BG114),$AX114*BG114,"")</f>
        <v/>
      </c>
      <c r="CH114" s="1438"/>
      <c r="CI114" s="1438"/>
      <c r="CJ114" s="1438"/>
      <c r="CK114" s="1438"/>
      <c r="CU114" s="1411"/>
      <c r="CV114" s="1411"/>
      <c r="CW114" s="1425"/>
      <c r="CX114" s="1425"/>
      <c r="CY114" s="1425"/>
      <c r="CZ114" s="1425"/>
      <c r="DA114" s="1411"/>
      <c r="DB114" s="1411"/>
      <c r="DC114" s="1411"/>
      <c r="DD114" s="1411"/>
      <c r="DE114" s="1411"/>
      <c r="DF114" s="1411"/>
      <c r="DH114" s="1432"/>
      <c r="DI114" s="1432"/>
      <c r="DJ114" s="1437"/>
      <c r="DK114" s="1437"/>
      <c r="DL114" s="1437"/>
      <c r="DM114" s="1437"/>
      <c r="DN114" s="1432"/>
      <c r="DO114" s="1432"/>
      <c r="DP114" s="1432"/>
      <c r="DQ114" s="1432"/>
      <c r="DR114" s="1432"/>
      <c r="DS114" s="1432"/>
      <c r="DT114" s="1316"/>
      <c r="DU114" s="1433"/>
      <c r="DV114" s="1433"/>
      <c r="DW114" s="1433"/>
      <c r="DX114" s="1433"/>
      <c r="DY114" s="1433"/>
      <c r="DZ114" s="1433"/>
      <c r="EA114" s="1433"/>
      <c r="EB114" s="1433"/>
    </row>
    <row r="115" customFormat="false" ht="14.25" hidden="false" customHeight="false" outlineLevel="0" collapsed="false">
      <c r="A115" s="2" t="n">
        <f aca="false">'V_DATOS PAC_SGA'!CC110</f>
        <v>0</v>
      </c>
      <c r="B115" s="2" t="n">
        <f aca="false">IF(OR(A115=0,A115=""),0,IF(I115="IV",CONCATENATE('V_DATOS PAC_SGA'!CC110,"4")+0,CONCATENATE('V_DATOS PAC_SGA'!CC110,"0")+0))</f>
        <v>0</v>
      </c>
      <c r="C115" s="2" t="n">
        <f aca="false">'V_DATOS PAC_SGA'!CD110</f>
        <v>0</v>
      </c>
      <c r="D115" s="1409" t="n">
        <f aca="false">'V_DATOS PAC_SGA'!Y110</f>
        <v>0</v>
      </c>
      <c r="E115" s="1410" t="str">
        <f aca="false">IF('V_DATOS PAC_SGA'!AV110="","Regadio",'V_DATOS PAC_SGA'!AV110)</f>
        <v>Regadio</v>
      </c>
      <c r="F115" s="1411" t="n">
        <f aca="false">'V_DATOS PAC_SGA'!BK110</f>
        <v>0</v>
      </c>
      <c r="G115" s="1412" t="n">
        <f aca="false">'V_DATOS PAC_SGA'!AN110</f>
        <v>0</v>
      </c>
      <c r="H115" s="1413" t="str">
        <f aca="false">IF(B115&gt;0,VLOOKUP(B115,'O_MN, PE_UTA_UGM 2024'!E$3:O$419,10),"")</f>
        <v/>
      </c>
      <c r="I115" s="1359" t="str">
        <f aca="false">IF('V_DATOS PAC_SGA'!BV110="IV",'V_DATOS PAC_SGA'!BV110,"")</f>
        <v/>
      </c>
      <c r="J115" s="2" t="str">
        <f aca="false">IF($A115&gt;0,IF(AND(J$4=$G115,J$6=$F115),$D115*J$5,""),"")</f>
        <v/>
      </c>
      <c r="K115" s="2" t="str">
        <f aca="false">IF($A115&gt;0,IF(AND(K$4=$G115,K$6=$F115),$D115*K$5,""),"")</f>
        <v/>
      </c>
      <c r="L115" s="2" t="str">
        <f aca="false">IF($A115&gt;0,IF(AND(L$4=$G115,L$6=$F115),$D115*L$5,""),"")</f>
        <v/>
      </c>
      <c r="M115" s="2" t="str">
        <f aca="false">IF($A115&gt;0,IF(AND(M$4=$G115,M$6=$F115),$D115*M$5,""),"")</f>
        <v/>
      </c>
      <c r="N115" s="1506" t="n">
        <f aca="false">VLOOKUP(B115,'O_MN, PE_UTA_UGM 2024'!$E$2:$K$419,IF(G115&gt;1,6,7))</f>
        <v>0</v>
      </c>
      <c r="O115" s="1434" t="str">
        <f aca="false">IF($H115=O$4,$D115*$N115,"")</f>
        <v/>
      </c>
      <c r="P115" s="1435" t="str">
        <f aca="false">IF($H115=P$4,$D115*$N115,"")</f>
        <v/>
      </c>
      <c r="Q115" s="1435" t="str">
        <f aca="false">IF($H115=Q$4,$D115*$N115,"")</f>
        <v/>
      </c>
      <c r="R115" s="1435" t="str">
        <f aca="false">IF($H115=R$4,$D115*$N115,"")</f>
        <v/>
      </c>
      <c r="S115" s="1435" t="str">
        <f aca="false">IF($H115=S$4,$D115*$N115,"")</f>
        <v/>
      </c>
      <c r="T115" s="1435" t="str">
        <f aca="false">IF($H115=T$4,$D115*$N115,"")</f>
        <v/>
      </c>
      <c r="U115" s="1436" t="str">
        <f aca="false">IF($H115=U$4,$D115*$N115,"")</f>
        <v/>
      </c>
      <c r="V115" s="1418"/>
      <c r="W115" s="1419"/>
      <c r="X115" s="1419"/>
      <c r="Y115" s="1419"/>
      <c r="Z115" s="1419"/>
      <c r="AA115" s="1419"/>
      <c r="AB115" s="1420"/>
      <c r="AC115" s="1319"/>
      <c r="AD115" s="2" t="str">
        <f aca="false">IF(AND(AD$4=$G115,AD$6=$F115),$B115,"")</f>
        <v/>
      </c>
      <c r="AE115" s="2" t="str">
        <f aca="false">IF(AND(AE$4=$G115,AE$6=$F115),$B115,"")</f>
        <v/>
      </c>
      <c r="AF115" s="2" t="str">
        <f aca="false">IF(AND(AF$4=$G115,AF$6=$F115),$B115,"")</f>
        <v/>
      </c>
      <c r="AG115" s="2" t="str">
        <f aca="false">IF(AND(AG$4=$G115,AG$6=$F115),$B115,"")</f>
        <v/>
      </c>
      <c r="AI115" s="366"/>
      <c r="AL115" s="367"/>
      <c r="AO115" s="367"/>
      <c r="AP115" s="2" t="str">
        <f aca="false">IF(AT115&gt;0,RANK(AT115,AT$7:AT$423),"")</f>
        <v/>
      </c>
      <c r="AQ115" s="2" t="n">
        <f aca="false">'O_MN, PE_UTA_UGM 2024'!C111</f>
        <v>159</v>
      </c>
      <c r="AR115" s="1421" t="n">
        <v>1584</v>
      </c>
      <c r="AS115" s="2" t="str">
        <f aca="false">IF(AY115&lt;&gt;"",AY115,"")</f>
        <v/>
      </c>
      <c r="AT115" s="1422" t="n">
        <f aca="false">IF(ISNUMBER($AR115),SUMIF(B$7:B$505,AR115,D$7:D$505),"")</f>
        <v>0</v>
      </c>
      <c r="AU115" s="1411" t="n">
        <f aca="false">IF(ISNUMBER($AR115),SUMIF(AD$7:AD$503,$AR115,J$7:J$503),"")</f>
        <v>0</v>
      </c>
      <c r="AV115" s="1411" t="n">
        <f aca="false">IF(ISNUMBER($AR115),SUMIF(AF$7:AF$503,$AR115,L$7:L$503),"")</f>
        <v>0</v>
      </c>
      <c r="AW115" s="1423" t="n">
        <f aca="false">IF(ISNUMBER($AR115),SUMIF(AE$7:AE$503,$AR115,K$7:K$503),"")</f>
        <v>0</v>
      </c>
      <c r="AX115" s="1423" t="n">
        <f aca="false">IF(ISNUMBER($AR115),SUMIF(AG$7:AG$503,$AR115,M$7:M$503),"")</f>
        <v>0</v>
      </c>
      <c r="AY115" s="2" t="str">
        <f aca="false">IF($AT115&gt;0,VLOOKUP($AR115,'O_MN, PE_UTA_UGM 2024'!E111:O527,2),"")</f>
        <v/>
      </c>
      <c r="AZ115" s="1507"/>
      <c r="BA115" s="1507"/>
      <c r="BB115" s="1507" t="str">
        <f aca="false">IF($AT115&gt;0,VLOOKUP($AR115,'O_MN, PE_UTA_UGM 2024'!$E$3:$O$419,BB$6),"")</f>
        <v/>
      </c>
      <c r="BC115" s="1507" t="str">
        <f aca="false">IF($AT115&gt;0,VLOOKUP($AR115,'O_MN, PE_UTA_UGM 2024'!$E$3:$O$419,BC$6),"")</f>
        <v/>
      </c>
      <c r="BD115" s="1507" t="str">
        <f aca="false">IF($AT115&gt;0,VLOOKUP($AR115,'O_MN, PE_UTA_UGM 2024'!$E$3:$O$419,BD$6),"")</f>
        <v/>
      </c>
      <c r="BE115" s="1507" t="str">
        <f aca="false">IF($AT115&gt;0,VLOOKUP($AR115,'O_MN, PE_UTA_UGM 2024'!$E$3:$O$419,BE$6),"")</f>
        <v/>
      </c>
      <c r="BF115" s="1507" t="str">
        <f aca="false">IF($AT115&gt;0,VLOOKUP($AR115,'O_MN, PE_UTA_UGM 2024'!$E$3:$O$419,BF$6),"")</f>
        <v/>
      </c>
      <c r="BG115" s="1507" t="str">
        <f aca="false">IF($AT115&gt;0,VLOOKUP($AR115,'O_MN, PE_UTA_UGM 2024'!$E$3:$O$419,BG$6),"")</f>
        <v/>
      </c>
      <c r="BH115" s="1504"/>
      <c r="BI115" s="1504"/>
      <c r="BJ115" s="1504"/>
      <c r="BK115" s="1504"/>
      <c r="BM115" s="1411"/>
      <c r="BN115" s="1411"/>
      <c r="BO115" s="1425" t="str">
        <f aca="false">IF(ISNUMBER($AU115*BB115*1),$AU115*BB115*1,"")</f>
        <v/>
      </c>
      <c r="BP115" s="1425" t="str">
        <f aca="false">IF(ISNUMBER($AV115*BC115*1),$AV115*BC115*1,"")</f>
        <v/>
      </c>
      <c r="BQ115" s="1425" t="str">
        <f aca="false">IF(ISNUMBER($AU115*BD115*1),$AU115*BD115*1,"")</f>
        <v/>
      </c>
      <c r="BR115" s="1425" t="str">
        <f aca="false">IF(ISNUMBER($AV115*BE115*1),$AV115*BE115*1,"")</f>
        <v/>
      </c>
      <c r="BS115" s="1411" t="str">
        <f aca="false">IF(ISNUMBER($AU115*BF115),$AU115*BF115,"")</f>
        <v/>
      </c>
      <c r="BT115" s="1411" t="str">
        <f aca="false">IF(ISNUMBER($AV115*BG115),$AV115*BG115,"")</f>
        <v/>
      </c>
      <c r="BU115" s="1411"/>
      <c r="BV115" s="1411"/>
      <c r="BW115" s="1411"/>
      <c r="BX115" s="1411"/>
      <c r="BZ115" s="1372"/>
      <c r="CA115" s="1372"/>
      <c r="CB115" s="1426" t="str">
        <f aca="false">IF(ISNUMBER($AW115*BB115),$AW115*BB115,"")</f>
        <v/>
      </c>
      <c r="CC115" s="1426" t="str">
        <f aca="false">IF(ISNUMBER($AX115*BC115),$AX115*BC115,"")</f>
        <v/>
      </c>
      <c r="CD115" s="1426" t="str">
        <f aca="false">IF(ISNUMBER($AW115*BD115),$AW115*BD115,"")</f>
        <v/>
      </c>
      <c r="CE115" s="1426" t="str">
        <f aca="false">IF(ISNUMBER($AX115*BE115),$AX115*BE115,"")</f>
        <v/>
      </c>
      <c r="CF115" s="1372" t="str">
        <f aca="false">IF(ISNUMBER($AW115*BF115),$AW115*BF115,"")</f>
        <v/>
      </c>
      <c r="CG115" s="1372" t="str">
        <f aca="false">IF(ISNUMBER($AX115*BG115),$AX115*BG115,"")</f>
        <v/>
      </c>
      <c r="CH115" s="1438"/>
      <c r="CI115" s="1438"/>
      <c r="CJ115" s="1438"/>
      <c r="CK115" s="1438"/>
      <c r="CU115" s="1411"/>
      <c r="CV115" s="1411"/>
      <c r="CW115" s="1425"/>
      <c r="CX115" s="1425"/>
      <c r="CY115" s="1425"/>
      <c r="CZ115" s="1425"/>
      <c r="DA115" s="1411"/>
      <c r="DB115" s="1411"/>
      <c r="DC115" s="1411"/>
      <c r="DD115" s="1411"/>
      <c r="DE115" s="1411"/>
      <c r="DF115" s="1411"/>
      <c r="DH115" s="1432"/>
      <c r="DI115" s="1432"/>
      <c r="DJ115" s="1437"/>
      <c r="DK115" s="1437"/>
      <c r="DL115" s="1437"/>
      <c r="DM115" s="1437"/>
      <c r="DN115" s="1432"/>
      <c r="DO115" s="1432"/>
      <c r="DP115" s="1432"/>
      <c r="DQ115" s="1432"/>
      <c r="DR115" s="1432"/>
      <c r="DS115" s="1432"/>
      <c r="DT115" s="1316"/>
      <c r="DU115" s="1433"/>
      <c r="DV115" s="1433"/>
      <c r="DW115" s="1433"/>
      <c r="DX115" s="1433"/>
      <c r="DY115" s="1433"/>
      <c r="DZ115" s="1433"/>
      <c r="EA115" s="1433"/>
      <c r="EB115" s="1433"/>
    </row>
    <row r="116" customFormat="false" ht="14.25" hidden="false" customHeight="false" outlineLevel="0" collapsed="false">
      <c r="A116" s="2" t="n">
        <f aca="false">'V_DATOS PAC_SGA'!CC111</f>
        <v>0</v>
      </c>
      <c r="B116" s="2" t="n">
        <f aca="false">IF(OR(A116=0,A116=""),0,IF(I116="IV",CONCATENATE('V_DATOS PAC_SGA'!CC111,"4")+0,CONCATENATE('V_DATOS PAC_SGA'!CC111,"0")+0))</f>
        <v>0</v>
      </c>
      <c r="C116" s="2" t="n">
        <f aca="false">'V_DATOS PAC_SGA'!CD111</f>
        <v>0</v>
      </c>
      <c r="D116" s="1409" t="n">
        <f aca="false">'V_DATOS PAC_SGA'!Y111</f>
        <v>0</v>
      </c>
      <c r="E116" s="1410" t="str">
        <f aca="false">IF('V_DATOS PAC_SGA'!AV111="","Regadio",'V_DATOS PAC_SGA'!AV111)</f>
        <v>Regadio</v>
      </c>
      <c r="F116" s="1411" t="n">
        <f aca="false">'V_DATOS PAC_SGA'!BK111</f>
        <v>0</v>
      </c>
      <c r="G116" s="1412" t="n">
        <f aca="false">'V_DATOS PAC_SGA'!AN111</f>
        <v>0</v>
      </c>
      <c r="H116" s="1413" t="str">
        <f aca="false">IF(B116&gt;0,VLOOKUP(B116,'O_MN, PE_UTA_UGM 2024'!E$3:O$419,10),"")</f>
        <v/>
      </c>
      <c r="I116" s="1359" t="str">
        <f aca="false">IF('V_DATOS PAC_SGA'!BV111="IV",'V_DATOS PAC_SGA'!BV111,"")</f>
        <v/>
      </c>
      <c r="J116" s="2" t="str">
        <f aca="false">IF($A116&gt;0,IF(AND(J$4=$G116,J$6=$F116),$D116*J$5,""),"")</f>
        <v/>
      </c>
      <c r="K116" s="2" t="str">
        <f aca="false">IF($A116&gt;0,IF(AND(K$4=$G116,K$6=$F116),$D116*K$5,""),"")</f>
        <v/>
      </c>
      <c r="L116" s="2" t="str">
        <f aca="false">IF($A116&gt;0,IF(AND(L$4=$G116,L$6=$F116),$D116*L$5,""),"")</f>
        <v/>
      </c>
      <c r="M116" s="2" t="str">
        <f aca="false">IF($A116&gt;0,IF(AND(M$4=$G116,M$6=$F116),$D116*M$5,""),"")</f>
        <v/>
      </c>
      <c r="N116" s="1506" t="n">
        <f aca="false">VLOOKUP(B116,'O_MN, PE_UTA_UGM 2024'!$E$2:$K$419,IF(G116&gt;1,6,7))</f>
        <v>0</v>
      </c>
      <c r="O116" s="1434" t="str">
        <f aca="false">IF($H116=O$4,$D116*$N116,"")</f>
        <v/>
      </c>
      <c r="P116" s="1435" t="str">
        <f aca="false">IF($H116=P$4,$D116*$N116,"")</f>
        <v/>
      </c>
      <c r="Q116" s="1435" t="str">
        <f aca="false">IF($H116=Q$4,$D116*$N116,"")</f>
        <v/>
      </c>
      <c r="R116" s="1435" t="str">
        <f aca="false">IF($H116=R$4,$D116*$N116,"")</f>
        <v/>
      </c>
      <c r="S116" s="1435" t="str">
        <f aca="false">IF($H116=S$4,$D116*$N116,"")</f>
        <v/>
      </c>
      <c r="T116" s="1435" t="str">
        <f aca="false">IF($H116=T$4,$D116*$N116,"")</f>
        <v/>
      </c>
      <c r="U116" s="1436" t="str">
        <f aca="false">IF($H116=U$4,$D116*$N116,"")</f>
        <v/>
      </c>
      <c r="V116" s="1418"/>
      <c r="W116" s="1419"/>
      <c r="X116" s="1419"/>
      <c r="Y116" s="1419"/>
      <c r="Z116" s="1419"/>
      <c r="AA116" s="1419"/>
      <c r="AB116" s="1420"/>
      <c r="AC116" s="1319"/>
      <c r="AD116" s="2" t="str">
        <f aca="false">IF(AND(AD$4=$G116,AD$6=$F116),$B116,"")</f>
        <v/>
      </c>
      <c r="AE116" s="2" t="str">
        <f aca="false">IF(AND(AE$4=$G116,AE$6=$F116),$B116,"")</f>
        <v/>
      </c>
      <c r="AF116" s="2" t="str">
        <f aca="false">IF(AND(AF$4=$G116,AF$6=$F116),$B116,"")</f>
        <v/>
      </c>
      <c r="AG116" s="2" t="str">
        <f aca="false">IF(AND(AG$4=$G116,AG$6=$F116),$B116,"")</f>
        <v/>
      </c>
      <c r="AI116" s="366"/>
      <c r="AL116" s="367"/>
      <c r="AO116" s="367"/>
      <c r="AP116" s="2" t="str">
        <f aca="false">IF(AT116&gt;0,RANK(AT116,AT$7:AT$423),"")</f>
        <v/>
      </c>
      <c r="AQ116" s="2" t="n">
        <f aca="false">'O_MN, PE_UTA_UGM 2024'!C112</f>
        <v>160</v>
      </c>
      <c r="AR116" s="1421" t="n">
        <v>1589</v>
      </c>
      <c r="AS116" s="2" t="str">
        <f aca="false">IF(AY116&lt;&gt;"",AY116,"")</f>
        <v/>
      </c>
      <c r="AT116" s="1422" t="n">
        <f aca="false">IF(ISNUMBER($AR116),SUMIF(B$7:B$505,AR116,D$7:D$505),"")</f>
        <v>0</v>
      </c>
      <c r="AU116" s="1411" t="n">
        <f aca="false">IF(ISNUMBER($AR116),SUMIF(AD$7:AD$503,$AR116,J$7:J$503),"")</f>
        <v>0</v>
      </c>
      <c r="AV116" s="1411" t="n">
        <f aca="false">IF(ISNUMBER($AR116),SUMIF(AF$7:AF$503,$AR116,L$7:L$503),"")</f>
        <v>0</v>
      </c>
      <c r="AW116" s="1423" t="n">
        <f aca="false">IF(ISNUMBER($AR116),SUMIF(AE$7:AE$503,$AR116,K$7:K$503),"")</f>
        <v>0</v>
      </c>
      <c r="AX116" s="1423" t="n">
        <f aca="false">IF(ISNUMBER($AR116),SUMIF(AG$7:AG$503,$AR116,M$7:M$503),"")</f>
        <v>0</v>
      </c>
      <c r="AY116" s="2" t="str">
        <f aca="false">IF($AT116&gt;0,VLOOKUP($AR116,'O_MN, PE_UTA_UGM 2024'!E112:O528,2),"")</f>
        <v/>
      </c>
      <c r="AZ116" s="1507"/>
      <c r="BA116" s="1507"/>
      <c r="BB116" s="1507" t="str">
        <f aca="false">IF($AT116&gt;0,VLOOKUP($AR116,'O_MN, PE_UTA_UGM 2024'!$E$3:$O$419,BB$6),"")</f>
        <v/>
      </c>
      <c r="BC116" s="1507" t="str">
        <f aca="false">IF($AT116&gt;0,VLOOKUP($AR116,'O_MN, PE_UTA_UGM 2024'!$E$3:$O$419,BC$6),"")</f>
        <v/>
      </c>
      <c r="BD116" s="1507" t="str">
        <f aca="false">IF($AT116&gt;0,VLOOKUP($AR116,'O_MN, PE_UTA_UGM 2024'!$E$3:$O$419,BD$6),"")</f>
        <v/>
      </c>
      <c r="BE116" s="1507" t="str">
        <f aca="false">IF($AT116&gt;0,VLOOKUP($AR116,'O_MN, PE_UTA_UGM 2024'!$E$3:$O$419,BE$6),"")</f>
        <v/>
      </c>
      <c r="BF116" s="1507" t="str">
        <f aca="false">IF($AT116&gt;0,VLOOKUP($AR116,'O_MN, PE_UTA_UGM 2024'!$E$3:$O$419,BF$6),"")</f>
        <v/>
      </c>
      <c r="BG116" s="1507" t="str">
        <f aca="false">IF($AT116&gt;0,VLOOKUP($AR116,'O_MN, PE_UTA_UGM 2024'!$E$3:$O$419,BG$6),"")</f>
        <v/>
      </c>
      <c r="BH116" s="1504"/>
      <c r="BI116" s="1504"/>
      <c r="BJ116" s="1504"/>
      <c r="BK116" s="1504"/>
      <c r="BM116" s="1411"/>
      <c r="BN116" s="1411"/>
      <c r="BO116" s="1425" t="str">
        <f aca="false">IF(ISNUMBER($AU116*BB116*1),$AU116*BB116*1,"")</f>
        <v/>
      </c>
      <c r="BP116" s="1425" t="str">
        <f aca="false">IF(ISNUMBER($AV116*BC116*1),$AV116*BC116*1,"")</f>
        <v/>
      </c>
      <c r="BQ116" s="1425" t="str">
        <f aca="false">IF(ISNUMBER($AU116*BD116*1),$AU116*BD116*1,"")</f>
        <v/>
      </c>
      <c r="BR116" s="1425" t="str">
        <f aca="false">IF(ISNUMBER($AV116*BE116*1),$AV116*BE116*1,"")</f>
        <v/>
      </c>
      <c r="BS116" s="1411" t="str">
        <f aca="false">IF(ISNUMBER($AU116*BF116),$AU116*BF116,"")</f>
        <v/>
      </c>
      <c r="BT116" s="1411" t="str">
        <f aca="false">IF(ISNUMBER($AV116*BG116),$AV116*BG116,"")</f>
        <v/>
      </c>
      <c r="BU116" s="1411"/>
      <c r="BV116" s="1411"/>
      <c r="BW116" s="1411"/>
      <c r="BX116" s="1411"/>
      <c r="BZ116" s="1372"/>
      <c r="CA116" s="1372"/>
      <c r="CB116" s="1426" t="str">
        <f aca="false">IF(ISNUMBER($AW116*BB116),$AW116*BB116,"")</f>
        <v/>
      </c>
      <c r="CC116" s="1426" t="str">
        <f aca="false">IF(ISNUMBER($AX116*BC116),$AX116*BC116,"")</f>
        <v/>
      </c>
      <c r="CD116" s="1426" t="str">
        <f aca="false">IF(ISNUMBER($AW116*BD116),$AW116*BD116,"")</f>
        <v/>
      </c>
      <c r="CE116" s="1426" t="str">
        <f aca="false">IF(ISNUMBER($AX116*BE116),$AX116*BE116,"")</f>
        <v/>
      </c>
      <c r="CF116" s="1372" t="str">
        <f aca="false">IF(ISNUMBER($AW116*BF116),$AW116*BF116,"")</f>
        <v/>
      </c>
      <c r="CG116" s="1372" t="str">
        <f aca="false">IF(ISNUMBER($AX116*BG116),$AX116*BG116,"")</f>
        <v/>
      </c>
      <c r="CH116" s="1438"/>
      <c r="CI116" s="1438"/>
      <c r="CJ116" s="1438"/>
      <c r="CK116" s="1438"/>
      <c r="CU116" s="1411"/>
      <c r="CV116" s="1411"/>
      <c r="CW116" s="1425"/>
      <c r="CX116" s="1425"/>
      <c r="CY116" s="1425"/>
      <c r="CZ116" s="1425"/>
      <c r="DA116" s="1411"/>
      <c r="DB116" s="1411"/>
      <c r="DC116" s="1411"/>
      <c r="DD116" s="1411"/>
      <c r="DE116" s="1411"/>
      <c r="DF116" s="1411"/>
      <c r="DH116" s="1432"/>
      <c r="DI116" s="1432"/>
      <c r="DJ116" s="1437"/>
      <c r="DK116" s="1437"/>
      <c r="DL116" s="1437"/>
      <c r="DM116" s="1437"/>
      <c r="DN116" s="1432"/>
      <c r="DO116" s="1432"/>
      <c r="DP116" s="1432"/>
      <c r="DQ116" s="1432"/>
      <c r="DR116" s="1432"/>
      <c r="DS116" s="1432"/>
      <c r="DT116" s="1316"/>
      <c r="DU116" s="1433"/>
      <c r="DV116" s="1433"/>
      <c r="DW116" s="1433"/>
      <c r="DX116" s="1433"/>
      <c r="DY116" s="1433"/>
      <c r="DZ116" s="1433"/>
      <c r="EA116" s="1433"/>
      <c r="EB116" s="1433"/>
    </row>
    <row r="117" customFormat="false" ht="14.25" hidden="false" customHeight="false" outlineLevel="0" collapsed="false">
      <c r="A117" s="2" t="n">
        <f aca="false">'V_DATOS PAC_SGA'!CC112</f>
        <v>0</v>
      </c>
      <c r="B117" s="2" t="n">
        <f aca="false">IF(OR(A117=0,A117=""),0,IF(I117="IV",CONCATENATE('V_DATOS PAC_SGA'!CC112,"4")+0,CONCATENATE('V_DATOS PAC_SGA'!CC112,"0")+0))</f>
        <v>0</v>
      </c>
      <c r="C117" s="2" t="n">
        <f aca="false">'V_DATOS PAC_SGA'!CD112</f>
        <v>0</v>
      </c>
      <c r="D117" s="1409" t="n">
        <f aca="false">'V_DATOS PAC_SGA'!Y112</f>
        <v>0</v>
      </c>
      <c r="E117" s="1410" t="str">
        <f aca="false">IF('V_DATOS PAC_SGA'!AV112="","Regadio",'V_DATOS PAC_SGA'!AV112)</f>
        <v>Regadio</v>
      </c>
      <c r="F117" s="1411" t="n">
        <f aca="false">'V_DATOS PAC_SGA'!BK112</f>
        <v>0</v>
      </c>
      <c r="G117" s="1412" t="n">
        <f aca="false">'V_DATOS PAC_SGA'!AN112</f>
        <v>0</v>
      </c>
      <c r="H117" s="1413" t="str">
        <f aca="false">IF(B117&gt;0,VLOOKUP(B117,'O_MN, PE_UTA_UGM 2024'!E$3:O$419,10),"")</f>
        <v/>
      </c>
      <c r="I117" s="1359" t="str">
        <f aca="false">IF('V_DATOS PAC_SGA'!BV112="IV",'V_DATOS PAC_SGA'!BV112,"")</f>
        <v/>
      </c>
      <c r="J117" s="2" t="str">
        <f aca="false">IF($A117&gt;0,IF(AND(J$4=$G117,J$6=$F117),$D117*J$5,""),"")</f>
        <v/>
      </c>
      <c r="K117" s="2" t="str">
        <f aca="false">IF($A117&gt;0,IF(AND(K$4=$G117,K$6=$F117),$D117*K$5,""),"")</f>
        <v/>
      </c>
      <c r="L117" s="2" t="str">
        <f aca="false">IF($A117&gt;0,IF(AND(L$4=$G117,L$6=$F117),$D117*L$5,""),"")</f>
        <v/>
      </c>
      <c r="M117" s="2" t="str">
        <f aca="false">IF($A117&gt;0,IF(AND(M$4=$G117,M$6=$F117),$D117*M$5,""),"")</f>
        <v/>
      </c>
      <c r="N117" s="1506" t="n">
        <f aca="false">VLOOKUP(B117,'O_MN, PE_UTA_UGM 2024'!$E$2:$K$419,IF(G117&gt;1,6,7))</f>
        <v>0</v>
      </c>
      <c r="O117" s="1434" t="str">
        <f aca="false">IF($H117=O$4,$D117*$N117,"")</f>
        <v/>
      </c>
      <c r="P117" s="1435" t="str">
        <f aca="false">IF($H117=P$4,$D117*$N117,"")</f>
        <v/>
      </c>
      <c r="Q117" s="1435" t="str">
        <f aca="false">IF($H117=Q$4,$D117*$N117,"")</f>
        <v/>
      </c>
      <c r="R117" s="1435" t="str">
        <f aca="false">IF($H117=R$4,$D117*$N117,"")</f>
        <v/>
      </c>
      <c r="S117" s="1435" t="str">
        <f aca="false">IF($H117=S$4,$D117*$N117,"")</f>
        <v/>
      </c>
      <c r="T117" s="1435" t="str">
        <f aca="false">IF($H117=T$4,$D117*$N117,"")</f>
        <v/>
      </c>
      <c r="U117" s="1436" t="str">
        <f aca="false">IF($H117=U$4,$D117*$N117,"")</f>
        <v/>
      </c>
      <c r="V117" s="1418"/>
      <c r="W117" s="1419"/>
      <c r="X117" s="1419"/>
      <c r="Y117" s="1419"/>
      <c r="Z117" s="1419"/>
      <c r="AA117" s="1419"/>
      <c r="AB117" s="1420"/>
      <c r="AC117" s="1319"/>
      <c r="AD117" s="2" t="str">
        <f aca="false">IF(AND(AD$4=$G117,AD$6=$F117),$B117,"")</f>
        <v/>
      </c>
      <c r="AE117" s="2" t="str">
        <f aca="false">IF(AND(AE$4=$G117,AE$6=$F117),$B117,"")</f>
        <v/>
      </c>
      <c r="AF117" s="2" t="str">
        <f aca="false">IF(AND(AF$4=$G117,AF$6=$F117),$B117,"")</f>
        <v/>
      </c>
      <c r="AG117" s="2" t="str">
        <f aca="false">IF(AND(AG$4=$G117,AG$6=$F117),$B117,"")</f>
        <v/>
      </c>
      <c r="AI117" s="366"/>
      <c r="AL117" s="367"/>
      <c r="AO117" s="367"/>
      <c r="AP117" s="2" t="str">
        <f aca="false">IF(AT117&gt;0,RANK(AT117,AT$7:AT$423),"")</f>
        <v/>
      </c>
      <c r="AQ117" s="2" t="n">
        <f aca="false">'O_MN, PE_UTA_UGM 2024'!C113</f>
        <v>160</v>
      </c>
      <c r="AR117" s="1421" t="n">
        <v>1590</v>
      </c>
      <c r="AS117" s="2" t="str">
        <f aca="false">IF(AY117&lt;&gt;"",AY117,"")</f>
        <v/>
      </c>
      <c r="AT117" s="1422" t="n">
        <f aca="false">IF(ISNUMBER($AR117),SUMIF(B$7:B$505,AR117,D$7:D$505),"")</f>
        <v>0</v>
      </c>
      <c r="AU117" s="1411" t="n">
        <f aca="false">IF(ISNUMBER($AR117),SUMIF(AD$7:AD$503,$AR117,J$7:J$503),"")</f>
        <v>0</v>
      </c>
      <c r="AV117" s="1411" t="n">
        <f aca="false">IF(ISNUMBER($AR117),SUMIF(AF$7:AF$503,$AR117,L$7:L$503),"")</f>
        <v>0</v>
      </c>
      <c r="AW117" s="1423" t="n">
        <f aca="false">IF(ISNUMBER($AR117),SUMIF(AE$7:AE$503,$AR117,K$7:K$503),"")</f>
        <v>0</v>
      </c>
      <c r="AX117" s="1423" t="n">
        <f aca="false">IF(ISNUMBER($AR117),SUMIF(AG$7:AG$503,$AR117,M$7:M$503),"")</f>
        <v>0</v>
      </c>
      <c r="AY117" s="2" t="str">
        <f aca="false">IF($AT117&gt;0,VLOOKUP($AR117,'O_MN, PE_UTA_UGM 2024'!E113:O529,2),"")</f>
        <v/>
      </c>
      <c r="AZ117" s="1507"/>
      <c r="BA117" s="1507"/>
      <c r="BB117" s="1507" t="str">
        <f aca="false">IF($AT117&gt;0,VLOOKUP($AR117,'O_MN, PE_UTA_UGM 2024'!$E$3:$O$419,BB$6),"")</f>
        <v/>
      </c>
      <c r="BC117" s="1507" t="str">
        <f aca="false">IF($AT117&gt;0,VLOOKUP($AR117,'O_MN, PE_UTA_UGM 2024'!$E$3:$O$419,BC$6),"")</f>
        <v/>
      </c>
      <c r="BD117" s="1507" t="str">
        <f aca="false">IF($AT117&gt;0,VLOOKUP($AR117,'O_MN, PE_UTA_UGM 2024'!$E$3:$O$419,BD$6),"")</f>
        <v/>
      </c>
      <c r="BE117" s="1507" t="str">
        <f aca="false">IF($AT117&gt;0,VLOOKUP($AR117,'O_MN, PE_UTA_UGM 2024'!$E$3:$O$419,BE$6),"")</f>
        <v/>
      </c>
      <c r="BF117" s="1507" t="str">
        <f aca="false">IF($AT117&gt;0,VLOOKUP($AR117,'O_MN, PE_UTA_UGM 2024'!$E$3:$O$419,BF$6),"")</f>
        <v/>
      </c>
      <c r="BG117" s="1507" t="str">
        <f aca="false">IF($AT117&gt;0,VLOOKUP($AR117,'O_MN, PE_UTA_UGM 2024'!$E$3:$O$419,BG$6),"")</f>
        <v/>
      </c>
      <c r="BH117" s="1504"/>
      <c r="BI117" s="1504"/>
      <c r="BJ117" s="1504"/>
      <c r="BK117" s="1504"/>
      <c r="BM117" s="1411"/>
      <c r="BN117" s="1411"/>
      <c r="BO117" s="1425" t="str">
        <f aca="false">IF(ISNUMBER($AU117*BB117*1),$AU117*BB117*1,"")</f>
        <v/>
      </c>
      <c r="BP117" s="1425" t="str">
        <f aca="false">IF(ISNUMBER($AV117*BC117*1),$AV117*BC117*1,"")</f>
        <v/>
      </c>
      <c r="BQ117" s="1425" t="str">
        <f aca="false">IF(ISNUMBER($AU117*BD117*1),$AU117*BD117*1,"")</f>
        <v/>
      </c>
      <c r="BR117" s="1425" t="str">
        <f aca="false">IF(ISNUMBER($AV117*BE117*1),$AV117*BE117*1,"")</f>
        <v/>
      </c>
      <c r="BS117" s="1411" t="str">
        <f aca="false">IF(ISNUMBER($AU117*BF117),$AU117*BF117,"")</f>
        <v/>
      </c>
      <c r="BT117" s="1411" t="str">
        <f aca="false">IF(ISNUMBER($AV117*BG117),$AV117*BG117,"")</f>
        <v/>
      </c>
      <c r="BU117" s="1411"/>
      <c r="BV117" s="1411"/>
      <c r="BW117" s="1411"/>
      <c r="BX117" s="1411"/>
      <c r="BZ117" s="1372"/>
      <c r="CA117" s="1372"/>
      <c r="CB117" s="1426" t="str">
        <f aca="false">IF(ISNUMBER($AW117*BB117),$AW117*BB117,"")</f>
        <v/>
      </c>
      <c r="CC117" s="1426" t="str">
        <f aca="false">IF(ISNUMBER($AX117*BC117),$AX117*BC117,"")</f>
        <v/>
      </c>
      <c r="CD117" s="1426" t="str">
        <f aca="false">IF(ISNUMBER($AW117*BD117),$AW117*BD117,"")</f>
        <v/>
      </c>
      <c r="CE117" s="1426" t="str">
        <f aca="false">IF(ISNUMBER($AX117*BE117),$AX117*BE117,"")</f>
        <v/>
      </c>
      <c r="CF117" s="1372" t="str">
        <f aca="false">IF(ISNUMBER($AW117*BF117),$AW117*BF117,"")</f>
        <v/>
      </c>
      <c r="CG117" s="1372" t="str">
        <f aca="false">IF(ISNUMBER($AX117*BG117),$AX117*BG117,"")</f>
        <v/>
      </c>
      <c r="CH117" s="1438"/>
      <c r="CI117" s="1438"/>
      <c r="CJ117" s="1438"/>
      <c r="CK117" s="1438"/>
      <c r="CU117" s="1411"/>
      <c r="CV117" s="1411"/>
      <c r="CW117" s="1425"/>
      <c r="CX117" s="1425"/>
      <c r="CY117" s="1425"/>
      <c r="CZ117" s="1425"/>
      <c r="DA117" s="1411"/>
      <c r="DB117" s="1411"/>
      <c r="DC117" s="1411"/>
      <c r="DD117" s="1411"/>
      <c r="DE117" s="1411"/>
      <c r="DF117" s="1411"/>
      <c r="DH117" s="1432"/>
      <c r="DI117" s="1432"/>
      <c r="DJ117" s="1437"/>
      <c r="DK117" s="1437"/>
      <c r="DL117" s="1437"/>
      <c r="DM117" s="1437"/>
      <c r="DN117" s="1432"/>
      <c r="DO117" s="1432"/>
      <c r="DP117" s="1432"/>
      <c r="DQ117" s="1432"/>
      <c r="DR117" s="1432"/>
      <c r="DS117" s="1432"/>
      <c r="DT117" s="1316"/>
      <c r="DU117" s="1433"/>
      <c r="DV117" s="1433"/>
      <c r="DW117" s="1433"/>
      <c r="DX117" s="1433"/>
      <c r="DY117" s="1433"/>
      <c r="DZ117" s="1433"/>
      <c r="EA117" s="1433"/>
      <c r="EB117" s="1433"/>
    </row>
    <row r="118" customFormat="false" ht="14.25" hidden="false" customHeight="false" outlineLevel="0" collapsed="false">
      <c r="A118" s="2" t="n">
        <f aca="false">'V_DATOS PAC_SGA'!CC113</f>
        <v>0</v>
      </c>
      <c r="B118" s="2" t="n">
        <f aca="false">IF(OR(A118=0,A118=""),0,IF(I118="IV",CONCATENATE('V_DATOS PAC_SGA'!CC113,"4")+0,CONCATENATE('V_DATOS PAC_SGA'!CC113,"0")+0))</f>
        <v>0</v>
      </c>
      <c r="C118" s="2" t="n">
        <f aca="false">'V_DATOS PAC_SGA'!CD113</f>
        <v>0</v>
      </c>
      <c r="D118" s="1409" t="n">
        <f aca="false">'V_DATOS PAC_SGA'!Y113</f>
        <v>0</v>
      </c>
      <c r="E118" s="1410" t="str">
        <f aca="false">IF('V_DATOS PAC_SGA'!AV113="","Regadio",'V_DATOS PAC_SGA'!AV113)</f>
        <v>Regadio</v>
      </c>
      <c r="F118" s="1411" t="n">
        <f aca="false">'V_DATOS PAC_SGA'!BK113</f>
        <v>0</v>
      </c>
      <c r="G118" s="1412" t="n">
        <f aca="false">'V_DATOS PAC_SGA'!AN113</f>
        <v>0</v>
      </c>
      <c r="H118" s="1413" t="str">
        <f aca="false">IF(B118&gt;0,VLOOKUP(B118,'O_MN, PE_UTA_UGM 2024'!E$3:O$419,10),"")</f>
        <v/>
      </c>
      <c r="I118" s="1359" t="str">
        <f aca="false">IF('V_DATOS PAC_SGA'!BV113="IV",'V_DATOS PAC_SGA'!BV113,"")</f>
        <v/>
      </c>
      <c r="J118" s="2" t="str">
        <f aca="false">IF($A118&gt;0,IF(AND(J$4=$G118,J$6=$F118),$D118*J$5,""),"")</f>
        <v/>
      </c>
      <c r="K118" s="2" t="str">
        <f aca="false">IF($A118&gt;0,IF(AND(K$4=$G118,K$6=$F118),$D118*K$5,""),"")</f>
        <v/>
      </c>
      <c r="L118" s="2" t="str">
        <f aca="false">IF($A118&gt;0,IF(AND(L$4=$G118,L$6=$F118),$D118*L$5,""),"")</f>
        <v/>
      </c>
      <c r="M118" s="2" t="str">
        <f aca="false">IF($A118&gt;0,IF(AND(M$4=$G118,M$6=$F118),$D118*M$5,""),"")</f>
        <v/>
      </c>
      <c r="N118" s="1506" t="n">
        <f aca="false">VLOOKUP(B118,'O_MN, PE_UTA_UGM 2024'!$E$2:$K$419,IF(G118&gt;1,6,7))</f>
        <v>0</v>
      </c>
      <c r="O118" s="1434" t="str">
        <f aca="false">IF($H118=O$4,$D118*$N118,"")</f>
        <v/>
      </c>
      <c r="P118" s="1435" t="str">
        <f aca="false">IF($H118=P$4,$D118*$N118,"")</f>
        <v/>
      </c>
      <c r="Q118" s="1435" t="str">
        <f aca="false">IF($H118=Q$4,$D118*$N118,"")</f>
        <v/>
      </c>
      <c r="R118" s="1435" t="str">
        <f aca="false">IF($H118=R$4,$D118*$N118,"")</f>
        <v/>
      </c>
      <c r="S118" s="1435" t="str">
        <f aca="false">IF($H118=S$4,$D118*$N118,"")</f>
        <v/>
      </c>
      <c r="T118" s="1435" t="str">
        <f aca="false">IF($H118=T$4,$D118*$N118,"")</f>
        <v/>
      </c>
      <c r="U118" s="1436" t="str">
        <f aca="false">IF($H118=U$4,$D118*$N118,"")</f>
        <v/>
      </c>
      <c r="V118" s="1418"/>
      <c r="W118" s="1419"/>
      <c r="X118" s="1419"/>
      <c r="Y118" s="1419"/>
      <c r="Z118" s="1419"/>
      <c r="AA118" s="1419"/>
      <c r="AB118" s="1420"/>
      <c r="AC118" s="1319"/>
      <c r="AD118" s="2" t="str">
        <f aca="false">IF(AND(AD$4=$G118,AD$6=$F118),$B118,"")</f>
        <v/>
      </c>
      <c r="AE118" s="2" t="str">
        <f aca="false">IF(AND(AE$4=$G118,AE$6=$F118),$B118,"")</f>
        <v/>
      </c>
      <c r="AF118" s="2" t="str">
        <f aca="false">IF(AND(AF$4=$G118,AF$6=$F118),$B118,"")</f>
        <v/>
      </c>
      <c r="AG118" s="2" t="str">
        <f aca="false">IF(AND(AG$4=$G118,AG$6=$F118),$B118,"")</f>
        <v/>
      </c>
      <c r="AI118" s="366"/>
      <c r="AL118" s="367"/>
      <c r="AO118" s="367"/>
      <c r="AP118" s="2" t="str">
        <f aca="false">IF(AT118&gt;0,RANK(AT118,AT$7:AT$423),"")</f>
        <v/>
      </c>
      <c r="AQ118" s="2" t="n">
        <f aca="false">'O_MN, PE_UTA_UGM 2024'!C114</f>
        <v>160</v>
      </c>
      <c r="AR118" s="1421" t="n">
        <v>1594</v>
      </c>
      <c r="AS118" s="2" t="str">
        <f aca="false">IF(AY118&lt;&gt;"",AY118,"")</f>
        <v/>
      </c>
      <c r="AT118" s="1422" t="n">
        <f aca="false">IF(ISNUMBER($AR118),SUMIF(B$7:B$505,AR118,D$7:D$505),"")</f>
        <v>0</v>
      </c>
      <c r="AU118" s="1411" t="n">
        <f aca="false">IF(ISNUMBER($AR118),SUMIF(AD$7:AD$503,$AR118,J$7:J$503),"")</f>
        <v>0</v>
      </c>
      <c r="AV118" s="1411" t="n">
        <f aca="false">IF(ISNUMBER($AR118),SUMIF(AF$7:AF$503,$AR118,L$7:L$503),"")</f>
        <v>0</v>
      </c>
      <c r="AW118" s="1423" t="n">
        <f aca="false">IF(ISNUMBER($AR118),SUMIF(AE$7:AE$503,$AR118,K$7:K$503),"")</f>
        <v>0</v>
      </c>
      <c r="AX118" s="1423" t="n">
        <f aca="false">IF(ISNUMBER($AR118),SUMIF(AG$7:AG$503,$AR118,M$7:M$503),"")</f>
        <v>0</v>
      </c>
      <c r="AY118" s="2" t="str">
        <f aca="false">IF($AT118&gt;0,VLOOKUP($AR118,'O_MN, PE_UTA_UGM 2024'!E114:O530,2),"")</f>
        <v/>
      </c>
      <c r="AZ118" s="1507"/>
      <c r="BA118" s="1507"/>
      <c r="BB118" s="1507" t="str">
        <f aca="false">IF($AT118&gt;0,VLOOKUP($AR118,'O_MN, PE_UTA_UGM 2024'!$E$3:$O$419,BB$6),"")</f>
        <v/>
      </c>
      <c r="BC118" s="1507" t="str">
        <f aca="false">IF($AT118&gt;0,VLOOKUP($AR118,'O_MN, PE_UTA_UGM 2024'!$E$3:$O$419,BC$6),"")</f>
        <v/>
      </c>
      <c r="BD118" s="1507" t="str">
        <f aca="false">IF($AT118&gt;0,VLOOKUP($AR118,'O_MN, PE_UTA_UGM 2024'!$E$3:$O$419,BD$6),"")</f>
        <v/>
      </c>
      <c r="BE118" s="1507" t="str">
        <f aca="false">IF($AT118&gt;0,VLOOKUP($AR118,'O_MN, PE_UTA_UGM 2024'!$E$3:$O$419,BE$6),"")</f>
        <v/>
      </c>
      <c r="BF118" s="1507" t="str">
        <f aca="false">IF($AT118&gt;0,VLOOKUP($AR118,'O_MN, PE_UTA_UGM 2024'!$E$3:$O$419,BF$6),"")</f>
        <v/>
      </c>
      <c r="BG118" s="1507" t="str">
        <f aca="false">IF($AT118&gt;0,VLOOKUP($AR118,'O_MN, PE_UTA_UGM 2024'!$E$3:$O$419,BG$6),"")</f>
        <v/>
      </c>
      <c r="BH118" s="1504"/>
      <c r="BI118" s="1504"/>
      <c r="BJ118" s="1504"/>
      <c r="BK118" s="1504"/>
      <c r="BM118" s="1411"/>
      <c r="BN118" s="1411"/>
      <c r="BO118" s="1425" t="str">
        <f aca="false">IF(ISNUMBER($AU118*BB118*1),$AU118*BB118*1,"")</f>
        <v/>
      </c>
      <c r="BP118" s="1425" t="str">
        <f aca="false">IF(ISNUMBER($AV118*BC118*1),$AV118*BC118*1,"")</f>
        <v/>
      </c>
      <c r="BQ118" s="1425" t="str">
        <f aca="false">IF(ISNUMBER($AU118*BD118*1),$AU118*BD118*1,"")</f>
        <v/>
      </c>
      <c r="BR118" s="1425" t="str">
        <f aca="false">IF(ISNUMBER($AV118*BE118*1),$AV118*BE118*1,"")</f>
        <v/>
      </c>
      <c r="BS118" s="1411" t="str">
        <f aca="false">IF(ISNUMBER($AU118*BF118),$AU118*BF118,"")</f>
        <v/>
      </c>
      <c r="BT118" s="1411" t="str">
        <f aca="false">IF(ISNUMBER($AV118*BG118),$AV118*BG118,"")</f>
        <v/>
      </c>
      <c r="BU118" s="1411"/>
      <c r="BV118" s="1411"/>
      <c r="BW118" s="1411"/>
      <c r="BX118" s="1411"/>
      <c r="BZ118" s="1372"/>
      <c r="CA118" s="1372"/>
      <c r="CB118" s="1426" t="str">
        <f aca="false">IF(ISNUMBER($AW118*BB118),$AW118*BB118,"")</f>
        <v/>
      </c>
      <c r="CC118" s="1426" t="str">
        <f aca="false">IF(ISNUMBER($AX118*BC118),$AX118*BC118,"")</f>
        <v/>
      </c>
      <c r="CD118" s="1426" t="str">
        <f aca="false">IF(ISNUMBER($AW118*BD118),$AW118*BD118,"")</f>
        <v/>
      </c>
      <c r="CE118" s="1426" t="str">
        <f aca="false">IF(ISNUMBER($AX118*BE118),$AX118*BE118,"")</f>
        <v/>
      </c>
      <c r="CF118" s="1372" t="str">
        <f aca="false">IF(ISNUMBER($AW118*BF118),$AW118*BF118,"")</f>
        <v/>
      </c>
      <c r="CG118" s="1372" t="str">
        <f aca="false">IF(ISNUMBER($AX118*BG118),$AX118*BG118,"")</f>
        <v/>
      </c>
      <c r="CH118" s="1438"/>
      <c r="CI118" s="1438"/>
      <c r="CJ118" s="1438"/>
      <c r="CK118" s="1438"/>
      <c r="CU118" s="1411"/>
      <c r="CV118" s="1411"/>
      <c r="CW118" s="1425"/>
      <c r="CX118" s="1425"/>
      <c r="CY118" s="1425"/>
      <c r="CZ118" s="1425"/>
      <c r="DA118" s="1411"/>
      <c r="DB118" s="1411"/>
      <c r="DC118" s="1411"/>
      <c r="DD118" s="1411"/>
      <c r="DE118" s="1411"/>
      <c r="DF118" s="1411"/>
      <c r="DH118" s="1432"/>
      <c r="DI118" s="1432"/>
      <c r="DJ118" s="1437"/>
      <c r="DK118" s="1437"/>
      <c r="DL118" s="1437"/>
      <c r="DM118" s="1437"/>
      <c r="DN118" s="1432"/>
      <c r="DO118" s="1432"/>
      <c r="DP118" s="1432"/>
      <c r="DQ118" s="1432"/>
      <c r="DR118" s="1432"/>
      <c r="DS118" s="1432"/>
      <c r="DT118" s="1316"/>
      <c r="DU118" s="1433"/>
      <c r="DV118" s="1433"/>
      <c r="DW118" s="1433"/>
      <c r="DX118" s="1433"/>
      <c r="DY118" s="1433"/>
      <c r="DZ118" s="1433"/>
      <c r="EA118" s="1433"/>
      <c r="EB118" s="1433"/>
    </row>
    <row r="119" customFormat="false" ht="14.25" hidden="false" customHeight="false" outlineLevel="0" collapsed="false">
      <c r="A119" s="2" t="n">
        <f aca="false">'V_DATOS PAC_SGA'!CC114</f>
        <v>0</v>
      </c>
      <c r="B119" s="2" t="n">
        <f aca="false">IF(OR(A119=0,A119=""),0,IF(I119="IV",CONCATENATE('V_DATOS PAC_SGA'!CC114,"4")+0,CONCATENATE('V_DATOS PAC_SGA'!CC114,"0")+0))</f>
        <v>0</v>
      </c>
      <c r="C119" s="2" t="n">
        <f aca="false">'V_DATOS PAC_SGA'!CD114</f>
        <v>0</v>
      </c>
      <c r="D119" s="1409" t="n">
        <f aca="false">'V_DATOS PAC_SGA'!Y114</f>
        <v>0</v>
      </c>
      <c r="E119" s="1410" t="str">
        <f aca="false">IF('V_DATOS PAC_SGA'!AV114="","Regadio",'V_DATOS PAC_SGA'!AV114)</f>
        <v>Regadio</v>
      </c>
      <c r="F119" s="1411" t="n">
        <f aca="false">'V_DATOS PAC_SGA'!BK114</f>
        <v>0</v>
      </c>
      <c r="G119" s="1412" t="n">
        <f aca="false">'V_DATOS PAC_SGA'!AN114</f>
        <v>0</v>
      </c>
      <c r="H119" s="1413" t="str">
        <f aca="false">IF(B119&gt;0,VLOOKUP(B119,'O_MN, PE_UTA_UGM 2024'!E$3:O$419,10),"")</f>
        <v/>
      </c>
      <c r="I119" s="1359" t="str">
        <f aca="false">IF('V_DATOS PAC_SGA'!BV114="IV",'V_DATOS PAC_SGA'!BV114,"")</f>
        <v/>
      </c>
      <c r="J119" s="2" t="str">
        <f aca="false">IF($A119&gt;0,IF(AND(J$4=$G119,J$6=$F119),$D119*J$5,""),"")</f>
        <v/>
      </c>
      <c r="K119" s="2" t="str">
        <f aca="false">IF($A119&gt;0,IF(AND(K$4=$G119,K$6=$F119),$D119*K$5,""),"")</f>
        <v/>
      </c>
      <c r="L119" s="2" t="str">
        <f aca="false">IF($A119&gt;0,IF(AND(L$4=$G119,L$6=$F119),$D119*L$5,""),"")</f>
        <v/>
      </c>
      <c r="M119" s="2" t="str">
        <f aca="false">IF($A119&gt;0,IF(AND(M$4=$G119,M$6=$F119),$D119*M$5,""),"")</f>
        <v/>
      </c>
      <c r="N119" s="1506" t="n">
        <f aca="false">VLOOKUP(B119,'O_MN, PE_UTA_UGM 2024'!$E$2:$K$419,IF(G119&gt;1,6,7))</f>
        <v>0</v>
      </c>
      <c r="O119" s="1434" t="str">
        <f aca="false">IF($H119=O$4,$D119*$N119,"")</f>
        <v/>
      </c>
      <c r="P119" s="1435" t="str">
        <f aca="false">IF($H119=P$4,$D119*$N119,"")</f>
        <v/>
      </c>
      <c r="Q119" s="1435" t="str">
        <f aca="false">IF($H119=Q$4,$D119*$N119,"")</f>
        <v/>
      </c>
      <c r="R119" s="1435" t="str">
        <f aca="false">IF($H119=R$4,$D119*$N119,"")</f>
        <v/>
      </c>
      <c r="S119" s="1435" t="str">
        <f aca="false">IF($H119=S$4,$D119*$N119,"")</f>
        <v/>
      </c>
      <c r="T119" s="1435" t="str">
        <f aca="false">IF($H119=T$4,$D119*$N119,"")</f>
        <v/>
      </c>
      <c r="U119" s="1436" t="str">
        <f aca="false">IF($H119=U$4,$D119*$N119,"")</f>
        <v/>
      </c>
      <c r="V119" s="1418"/>
      <c r="W119" s="1419"/>
      <c r="X119" s="1419"/>
      <c r="Y119" s="1419"/>
      <c r="Z119" s="1419"/>
      <c r="AA119" s="1419"/>
      <c r="AB119" s="1420"/>
      <c r="AC119" s="1319"/>
      <c r="AD119" s="2" t="str">
        <f aca="false">IF(AND(AD$4=$G119,AD$6=$F119),$B119,"")</f>
        <v/>
      </c>
      <c r="AE119" s="2" t="str">
        <f aca="false">IF(AND(AE$4=$G119,AE$6=$F119),$B119,"")</f>
        <v/>
      </c>
      <c r="AF119" s="2" t="str">
        <f aca="false">IF(AND(AF$4=$G119,AF$6=$F119),$B119,"")</f>
        <v/>
      </c>
      <c r="AG119" s="2" t="str">
        <f aca="false">IF(AND(AG$4=$G119,AG$6=$F119),$B119,"")</f>
        <v/>
      </c>
      <c r="AI119" s="366"/>
      <c r="AL119" s="367"/>
      <c r="AO119" s="367"/>
      <c r="AP119" s="2" t="str">
        <f aca="false">IF(AT119&gt;0,RANK(AT119,AT$7:AT$423),"")</f>
        <v/>
      </c>
      <c r="AQ119" s="2" t="n">
        <f aca="false">'O_MN, PE_UTA_UGM 2024'!C115</f>
        <v>162</v>
      </c>
      <c r="AR119" s="1421" t="n">
        <v>1599</v>
      </c>
      <c r="AS119" s="2" t="str">
        <f aca="false">IF(AY119&lt;&gt;"",AY119,"")</f>
        <v/>
      </c>
      <c r="AT119" s="1422" t="n">
        <f aca="false">IF(ISNUMBER($AR119),SUMIF(B$7:B$505,AR119,D$7:D$505),"")</f>
        <v>0</v>
      </c>
      <c r="AU119" s="1411" t="n">
        <f aca="false">IF(ISNUMBER($AR119),SUMIF(AD$7:AD$503,$AR119,J$7:J$503),"")</f>
        <v>0</v>
      </c>
      <c r="AV119" s="1411" t="n">
        <f aca="false">IF(ISNUMBER($AR119),SUMIF(AF$7:AF$503,$AR119,L$7:L$503),"")</f>
        <v>0</v>
      </c>
      <c r="AW119" s="1423" t="n">
        <f aca="false">IF(ISNUMBER($AR119),SUMIF(AE$7:AE$503,$AR119,K$7:K$503),"")</f>
        <v>0</v>
      </c>
      <c r="AX119" s="1423" t="n">
        <f aca="false">IF(ISNUMBER($AR119),SUMIF(AG$7:AG$503,$AR119,M$7:M$503),"")</f>
        <v>0</v>
      </c>
      <c r="AY119" s="2" t="str">
        <f aca="false">IF($AT119&gt;0,VLOOKUP($AR119,'O_MN, PE_UTA_UGM 2024'!E115:O531,2),"")</f>
        <v/>
      </c>
      <c r="AZ119" s="1507"/>
      <c r="BA119" s="1507"/>
      <c r="BB119" s="1507" t="str">
        <f aca="false">IF($AT119&gt;0,VLOOKUP($AR119,'O_MN, PE_UTA_UGM 2024'!$E$3:$O$419,BB$6),"")</f>
        <v/>
      </c>
      <c r="BC119" s="1507" t="str">
        <f aca="false">IF($AT119&gt;0,VLOOKUP($AR119,'O_MN, PE_UTA_UGM 2024'!$E$3:$O$419,BC$6),"")</f>
        <v/>
      </c>
      <c r="BD119" s="1507" t="str">
        <f aca="false">IF($AT119&gt;0,VLOOKUP($AR119,'O_MN, PE_UTA_UGM 2024'!$E$3:$O$419,BD$6),"")</f>
        <v/>
      </c>
      <c r="BE119" s="1507" t="str">
        <f aca="false">IF($AT119&gt;0,VLOOKUP($AR119,'O_MN, PE_UTA_UGM 2024'!$E$3:$O$419,BE$6),"")</f>
        <v/>
      </c>
      <c r="BF119" s="1507" t="str">
        <f aca="false">IF($AT119&gt;0,VLOOKUP($AR119,'O_MN, PE_UTA_UGM 2024'!$E$3:$O$419,BF$6),"")</f>
        <v/>
      </c>
      <c r="BG119" s="1507" t="str">
        <f aca="false">IF($AT119&gt;0,VLOOKUP($AR119,'O_MN, PE_UTA_UGM 2024'!$E$3:$O$419,BG$6),"")</f>
        <v/>
      </c>
      <c r="BH119" s="1504"/>
      <c r="BI119" s="1504"/>
      <c r="BJ119" s="1504"/>
      <c r="BK119" s="1504"/>
      <c r="BM119" s="1411"/>
      <c r="BN119" s="1411"/>
      <c r="BO119" s="1425" t="str">
        <f aca="false">IF(ISNUMBER($AU119*BB119*1),$AU119*BB119*1,"")</f>
        <v/>
      </c>
      <c r="BP119" s="1425" t="str">
        <f aca="false">IF(ISNUMBER($AV119*BC119*1),$AV119*BC119*1,"")</f>
        <v/>
      </c>
      <c r="BQ119" s="1425" t="str">
        <f aca="false">IF(ISNUMBER($AU119*BD119*1),$AU119*BD119*1,"")</f>
        <v/>
      </c>
      <c r="BR119" s="1425" t="str">
        <f aca="false">IF(ISNUMBER($AV119*BE119*1),$AV119*BE119*1,"")</f>
        <v/>
      </c>
      <c r="BS119" s="1411" t="str">
        <f aca="false">IF(ISNUMBER($AU119*BF119),$AU119*BF119,"")</f>
        <v/>
      </c>
      <c r="BT119" s="1411" t="str">
        <f aca="false">IF(ISNUMBER($AV119*BG119),$AV119*BG119,"")</f>
        <v/>
      </c>
      <c r="BU119" s="1411"/>
      <c r="BV119" s="1411"/>
      <c r="BW119" s="1411"/>
      <c r="BX119" s="1411"/>
      <c r="BZ119" s="1372"/>
      <c r="CA119" s="1372"/>
      <c r="CB119" s="1426" t="str">
        <f aca="false">IF(ISNUMBER($AW119*BB119),$AW119*BB119,"")</f>
        <v/>
      </c>
      <c r="CC119" s="1426" t="str">
        <f aca="false">IF(ISNUMBER($AX119*BC119),$AX119*BC119,"")</f>
        <v/>
      </c>
      <c r="CD119" s="1426" t="str">
        <f aca="false">IF(ISNUMBER($AW119*BD119),$AW119*BD119,"")</f>
        <v/>
      </c>
      <c r="CE119" s="1426" t="str">
        <f aca="false">IF(ISNUMBER($AX119*BE119),$AX119*BE119,"")</f>
        <v/>
      </c>
      <c r="CF119" s="1372" t="str">
        <f aca="false">IF(ISNUMBER($AW119*BF119),$AW119*BF119,"")</f>
        <v/>
      </c>
      <c r="CG119" s="1372" t="str">
        <f aca="false">IF(ISNUMBER($AX119*BG119),$AX119*BG119,"")</f>
        <v/>
      </c>
      <c r="CH119" s="1438"/>
      <c r="CI119" s="1438"/>
      <c r="CJ119" s="1438"/>
      <c r="CK119" s="1438"/>
      <c r="CU119" s="1411"/>
      <c r="CV119" s="1411"/>
      <c r="CW119" s="1425"/>
      <c r="CX119" s="1425"/>
      <c r="CY119" s="1425"/>
      <c r="CZ119" s="1425"/>
      <c r="DA119" s="1411"/>
      <c r="DB119" s="1411"/>
      <c r="DC119" s="1411"/>
      <c r="DD119" s="1411"/>
      <c r="DE119" s="1411"/>
      <c r="DF119" s="1411"/>
      <c r="DH119" s="1432"/>
      <c r="DI119" s="1432"/>
      <c r="DJ119" s="1437"/>
      <c r="DK119" s="1437"/>
      <c r="DL119" s="1437"/>
      <c r="DM119" s="1437"/>
      <c r="DN119" s="1432"/>
      <c r="DO119" s="1432"/>
      <c r="DP119" s="1432"/>
      <c r="DQ119" s="1432"/>
      <c r="DR119" s="1432"/>
      <c r="DS119" s="1432"/>
      <c r="DT119" s="1316"/>
      <c r="DU119" s="1433"/>
      <c r="DV119" s="1433"/>
      <c r="DW119" s="1433"/>
      <c r="DX119" s="1433"/>
      <c r="DY119" s="1433"/>
      <c r="DZ119" s="1433"/>
      <c r="EA119" s="1433"/>
      <c r="EB119" s="1433"/>
    </row>
    <row r="120" customFormat="false" ht="14.25" hidden="false" customHeight="false" outlineLevel="0" collapsed="false">
      <c r="A120" s="2" t="n">
        <f aca="false">'V_DATOS PAC_SGA'!CC115</f>
        <v>0</v>
      </c>
      <c r="B120" s="2" t="n">
        <f aca="false">IF(OR(A120=0,A120=""),0,IF(I120="IV",CONCATENATE('V_DATOS PAC_SGA'!CC115,"4")+0,CONCATENATE('V_DATOS PAC_SGA'!CC115,"0")+0))</f>
        <v>0</v>
      </c>
      <c r="C120" s="2" t="n">
        <f aca="false">'V_DATOS PAC_SGA'!CD115</f>
        <v>0</v>
      </c>
      <c r="D120" s="1409" t="n">
        <f aca="false">'V_DATOS PAC_SGA'!Y115</f>
        <v>0</v>
      </c>
      <c r="E120" s="1410" t="str">
        <f aca="false">IF('V_DATOS PAC_SGA'!AV115="","Regadio",'V_DATOS PAC_SGA'!AV115)</f>
        <v>Regadio</v>
      </c>
      <c r="F120" s="1411" t="n">
        <f aca="false">'V_DATOS PAC_SGA'!BK115</f>
        <v>0</v>
      </c>
      <c r="G120" s="1412" t="n">
        <f aca="false">'V_DATOS PAC_SGA'!AN115</f>
        <v>0</v>
      </c>
      <c r="H120" s="1413" t="str">
        <f aca="false">IF(B120&gt;0,VLOOKUP(B120,'O_MN, PE_UTA_UGM 2024'!E$3:O$419,10),"")</f>
        <v/>
      </c>
      <c r="I120" s="1359" t="str">
        <f aca="false">IF('V_DATOS PAC_SGA'!BV115="IV",'V_DATOS PAC_SGA'!BV115,"")</f>
        <v/>
      </c>
      <c r="J120" s="2" t="str">
        <f aca="false">IF($A120&gt;0,IF(AND(J$4=$G120,J$6=$F120),$D120*J$5,""),"")</f>
        <v/>
      </c>
      <c r="K120" s="2" t="str">
        <f aca="false">IF($A120&gt;0,IF(AND(K$4=$G120,K$6=$F120),$D120*K$5,""),"")</f>
        <v/>
      </c>
      <c r="L120" s="2" t="str">
        <f aca="false">IF($A120&gt;0,IF(AND(L$4=$G120,L$6=$F120),$D120*L$5,""),"")</f>
        <v/>
      </c>
      <c r="M120" s="2" t="str">
        <f aca="false">IF($A120&gt;0,IF(AND(M$4=$G120,M$6=$F120),$D120*M$5,""),"")</f>
        <v/>
      </c>
      <c r="N120" s="1506" t="n">
        <f aca="false">VLOOKUP(B120,'O_MN, PE_UTA_UGM 2024'!$E$2:$K$419,IF(G120&gt;1,6,7))</f>
        <v>0</v>
      </c>
      <c r="O120" s="1434" t="str">
        <f aca="false">IF($H120=O$4,$D120*$N120,"")</f>
        <v/>
      </c>
      <c r="P120" s="1435" t="str">
        <f aca="false">IF($H120=P$4,$D120*$N120,"")</f>
        <v/>
      </c>
      <c r="Q120" s="1435" t="str">
        <f aca="false">IF($H120=Q$4,$D120*$N120,"")</f>
        <v/>
      </c>
      <c r="R120" s="1435" t="str">
        <f aca="false">IF($H120=R$4,$D120*$N120,"")</f>
        <v/>
      </c>
      <c r="S120" s="1435" t="str">
        <f aca="false">IF($H120=S$4,$D120*$N120,"")</f>
        <v/>
      </c>
      <c r="T120" s="1435" t="str">
        <f aca="false">IF($H120=T$4,$D120*$N120,"")</f>
        <v/>
      </c>
      <c r="U120" s="1436" t="str">
        <f aca="false">IF($H120=U$4,$D120*$N120,"")</f>
        <v/>
      </c>
      <c r="V120" s="1418"/>
      <c r="W120" s="1419"/>
      <c r="X120" s="1419"/>
      <c r="Y120" s="1419"/>
      <c r="Z120" s="1419"/>
      <c r="AA120" s="1419"/>
      <c r="AB120" s="1420"/>
      <c r="AC120" s="1319"/>
      <c r="AD120" s="2" t="str">
        <f aca="false">IF(AND(AD$4=$G120,AD$6=$F120),$B120,"")</f>
        <v/>
      </c>
      <c r="AE120" s="2" t="str">
        <f aca="false">IF(AND(AE$4=$G120,AE$6=$F120),$B120,"")</f>
        <v/>
      </c>
      <c r="AF120" s="2" t="str">
        <f aca="false">IF(AND(AF$4=$G120,AF$6=$F120),$B120,"")</f>
        <v/>
      </c>
      <c r="AG120" s="2" t="str">
        <f aca="false">IF(AND(AG$4=$G120,AG$6=$F120),$B120,"")</f>
        <v/>
      </c>
      <c r="AI120" s="366"/>
      <c r="AL120" s="367"/>
      <c r="AO120" s="367"/>
      <c r="AP120" s="2" t="str">
        <f aca="false">IF(AT120&gt;0,RANK(AT120,AT$7:AT$423),"")</f>
        <v/>
      </c>
      <c r="AQ120" s="2" t="n">
        <f aca="false">'O_MN, PE_UTA_UGM 2024'!C116</f>
        <v>162</v>
      </c>
      <c r="AR120" s="1421" t="n">
        <v>1600</v>
      </c>
      <c r="AS120" s="2" t="str">
        <f aca="false">IF(AY120&lt;&gt;"",AY120,"")</f>
        <v/>
      </c>
      <c r="AT120" s="1422" t="n">
        <f aca="false">IF(ISNUMBER($AR120),SUMIF(B$7:B$505,AR120,D$7:D$505),"")</f>
        <v>0</v>
      </c>
      <c r="AU120" s="1411" t="n">
        <f aca="false">IF(ISNUMBER($AR120),SUMIF(AD$7:AD$503,$AR120,J$7:J$503),"")</f>
        <v>0</v>
      </c>
      <c r="AV120" s="1411" t="n">
        <f aca="false">IF(ISNUMBER($AR120),SUMIF(AF$7:AF$503,$AR120,L$7:L$503),"")</f>
        <v>0</v>
      </c>
      <c r="AW120" s="1423" t="n">
        <f aca="false">IF(ISNUMBER($AR120),SUMIF(AE$7:AE$503,$AR120,K$7:K$503),"")</f>
        <v>0</v>
      </c>
      <c r="AX120" s="1423" t="n">
        <f aca="false">IF(ISNUMBER($AR120),SUMIF(AG$7:AG$503,$AR120,M$7:M$503),"")</f>
        <v>0</v>
      </c>
      <c r="AY120" s="2" t="str">
        <f aca="false">IF($AT120&gt;0,VLOOKUP($AR120,'O_MN, PE_UTA_UGM 2024'!E116:O532,2),"")</f>
        <v/>
      </c>
      <c r="AZ120" s="1507"/>
      <c r="BA120" s="1507"/>
      <c r="BB120" s="1507" t="str">
        <f aca="false">IF($AT120&gt;0,VLOOKUP($AR120,'O_MN, PE_UTA_UGM 2024'!$E$3:$O$419,BB$6),"")</f>
        <v/>
      </c>
      <c r="BC120" s="1507" t="str">
        <f aca="false">IF($AT120&gt;0,VLOOKUP($AR120,'O_MN, PE_UTA_UGM 2024'!$E$3:$O$419,BC$6),"")</f>
        <v/>
      </c>
      <c r="BD120" s="1507" t="str">
        <f aca="false">IF($AT120&gt;0,VLOOKUP($AR120,'O_MN, PE_UTA_UGM 2024'!$E$3:$O$419,BD$6),"")</f>
        <v/>
      </c>
      <c r="BE120" s="1507" t="str">
        <f aca="false">IF($AT120&gt;0,VLOOKUP($AR120,'O_MN, PE_UTA_UGM 2024'!$E$3:$O$419,BE$6),"")</f>
        <v/>
      </c>
      <c r="BF120" s="1507" t="str">
        <f aca="false">IF($AT120&gt;0,VLOOKUP($AR120,'O_MN, PE_UTA_UGM 2024'!$E$3:$O$419,BF$6),"")</f>
        <v/>
      </c>
      <c r="BG120" s="1507" t="str">
        <f aca="false">IF($AT120&gt;0,VLOOKUP($AR120,'O_MN, PE_UTA_UGM 2024'!$E$3:$O$419,BG$6),"")</f>
        <v/>
      </c>
      <c r="BH120" s="1504"/>
      <c r="BI120" s="1504"/>
      <c r="BJ120" s="1504"/>
      <c r="BK120" s="1504"/>
      <c r="BM120" s="1411"/>
      <c r="BN120" s="1411"/>
      <c r="BO120" s="1425" t="str">
        <f aca="false">IF(ISNUMBER($AU120*BB120*1),$AU120*BB120*1,"")</f>
        <v/>
      </c>
      <c r="BP120" s="1425" t="str">
        <f aca="false">IF(ISNUMBER($AV120*BC120*1),$AV120*BC120*1,"")</f>
        <v/>
      </c>
      <c r="BQ120" s="1425" t="str">
        <f aca="false">IF(ISNUMBER($AU120*BD120*1),$AU120*BD120*1,"")</f>
        <v/>
      </c>
      <c r="BR120" s="1425" t="str">
        <f aca="false">IF(ISNUMBER($AV120*BE120*1),$AV120*BE120*1,"")</f>
        <v/>
      </c>
      <c r="BS120" s="1411" t="str">
        <f aca="false">IF(ISNUMBER($AU120*BF120),$AU120*BF120,"")</f>
        <v/>
      </c>
      <c r="BT120" s="1411" t="str">
        <f aca="false">IF(ISNUMBER($AV120*BG120),$AV120*BG120,"")</f>
        <v/>
      </c>
      <c r="BU120" s="1411"/>
      <c r="BV120" s="1411"/>
      <c r="BW120" s="1411"/>
      <c r="BX120" s="1411"/>
      <c r="BZ120" s="1372"/>
      <c r="CA120" s="1372"/>
      <c r="CB120" s="1426" t="str">
        <f aca="false">IF(ISNUMBER($AW120*BB120),$AW120*BB120,"")</f>
        <v/>
      </c>
      <c r="CC120" s="1426" t="str">
        <f aca="false">IF(ISNUMBER($AX120*BC120),$AX120*BC120,"")</f>
        <v/>
      </c>
      <c r="CD120" s="1426" t="str">
        <f aca="false">IF(ISNUMBER($AW120*BD120),$AW120*BD120,"")</f>
        <v/>
      </c>
      <c r="CE120" s="1426" t="str">
        <f aca="false">IF(ISNUMBER($AX120*BE120),$AX120*BE120,"")</f>
        <v/>
      </c>
      <c r="CF120" s="1372" t="str">
        <f aca="false">IF(ISNUMBER($AW120*BF120),$AW120*BF120,"")</f>
        <v/>
      </c>
      <c r="CG120" s="1372" t="str">
        <f aca="false">IF(ISNUMBER($AX120*BG120),$AX120*BG120,"")</f>
        <v/>
      </c>
      <c r="CH120" s="1438"/>
      <c r="CI120" s="1438"/>
      <c r="CJ120" s="1438"/>
      <c r="CK120" s="1438"/>
      <c r="CU120" s="1411"/>
      <c r="CV120" s="1411"/>
      <c r="CW120" s="1425"/>
      <c r="CX120" s="1425"/>
      <c r="CY120" s="1425"/>
      <c r="CZ120" s="1425"/>
      <c r="DA120" s="1411"/>
      <c r="DB120" s="1411"/>
      <c r="DC120" s="1411"/>
      <c r="DD120" s="1411"/>
      <c r="DE120" s="1411"/>
      <c r="DF120" s="1411"/>
      <c r="DH120" s="1432"/>
      <c r="DI120" s="1432"/>
      <c r="DJ120" s="1437"/>
      <c r="DK120" s="1437"/>
      <c r="DL120" s="1437"/>
      <c r="DM120" s="1437"/>
      <c r="DN120" s="1432"/>
      <c r="DO120" s="1432"/>
      <c r="DP120" s="1432"/>
      <c r="DQ120" s="1432"/>
      <c r="DR120" s="1432"/>
      <c r="DS120" s="1432"/>
      <c r="DT120" s="1316"/>
      <c r="DU120" s="1433"/>
      <c r="DV120" s="1433"/>
      <c r="DW120" s="1433"/>
      <c r="DX120" s="1433"/>
      <c r="DY120" s="1433"/>
      <c r="DZ120" s="1433"/>
      <c r="EA120" s="1433"/>
      <c r="EB120" s="1433"/>
    </row>
    <row r="121" customFormat="false" ht="14.25" hidden="false" customHeight="false" outlineLevel="0" collapsed="false">
      <c r="A121" s="2" t="n">
        <f aca="false">'V_DATOS PAC_SGA'!CC116</f>
        <v>0</v>
      </c>
      <c r="B121" s="2" t="n">
        <f aca="false">IF(OR(A121=0,A121=""),0,IF(I121="IV",CONCATENATE('V_DATOS PAC_SGA'!CC116,"4")+0,CONCATENATE('V_DATOS PAC_SGA'!CC116,"0")+0))</f>
        <v>0</v>
      </c>
      <c r="C121" s="2" t="n">
        <f aca="false">'V_DATOS PAC_SGA'!CD116</f>
        <v>0</v>
      </c>
      <c r="D121" s="1409" t="n">
        <f aca="false">'V_DATOS PAC_SGA'!Y116</f>
        <v>0</v>
      </c>
      <c r="E121" s="1410" t="str">
        <f aca="false">IF('V_DATOS PAC_SGA'!AV116="","Regadio",'V_DATOS PAC_SGA'!AV116)</f>
        <v>Regadio</v>
      </c>
      <c r="F121" s="1411" t="n">
        <f aca="false">'V_DATOS PAC_SGA'!BK116</f>
        <v>0</v>
      </c>
      <c r="G121" s="1412" t="n">
        <f aca="false">'V_DATOS PAC_SGA'!AN116</f>
        <v>0</v>
      </c>
      <c r="H121" s="1413" t="str">
        <f aca="false">IF(B121&gt;0,VLOOKUP(B121,'O_MN, PE_UTA_UGM 2024'!E$3:O$419,10),"")</f>
        <v/>
      </c>
      <c r="I121" s="1359" t="str">
        <f aca="false">IF('V_DATOS PAC_SGA'!BV116="IV",'V_DATOS PAC_SGA'!BV116,"")</f>
        <v/>
      </c>
      <c r="J121" s="2" t="str">
        <f aca="false">IF($A121&gt;0,IF(AND(J$4=$G121,J$6=$F121),$D121*J$5,""),"")</f>
        <v/>
      </c>
      <c r="K121" s="2" t="str">
        <f aca="false">IF($A121&gt;0,IF(AND(K$4=$G121,K$6=$F121),$D121*K$5,""),"")</f>
        <v/>
      </c>
      <c r="L121" s="2" t="str">
        <f aca="false">IF($A121&gt;0,IF(AND(L$4=$G121,L$6=$F121),$D121*L$5,""),"")</f>
        <v/>
      </c>
      <c r="M121" s="2" t="str">
        <f aca="false">IF($A121&gt;0,IF(AND(M$4=$G121,M$6=$F121),$D121*M$5,""),"")</f>
        <v/>
      </c>
      <c r="N121" s="1506" t="n">
        <f aca="false">VLOOKUP(B121,'O_MN, PE_UTA_UGM 2024'!$E$2:$K$419,IF(G121&gt;1,6,7))</f>
        <v>0</v>
      </c>
      <c r="O121" s="1434" t="str">
        <f aca="false">IF($H121=O$4,$D121*$N121,"")</f>
        <v/>
      </c>
      <c r="P121" s="1435" t="str">
        <f aca="false">IF($H121=P$4,$D121*$N121,"")</f>
        <v/>
      </c>
      <c r="Q121" s="1435" t="str">
        <f aca="false">IF($H121=Q$4,$D121*$N121,"")</f>
        <v/>
      </c>
      <c r="R121" s="1435" t="str">
        <f aca="false">IF($H121=R$4,$D121*$N121,"")</f>
        <v/>
      </c>
      <c r="S121" s="1435" t="str">
        <f aca="false">IF($H121=S$4,$D121*$N121,"")</f>
        <v/>
      </c>
      <c r="T121" s="1435" t="str">
        <f aca="false">IF($H121=T$4,$D121*$N121,"")</f>
        <v/>
      </c>
      <c r="U121" s="1436" t="str">
        <f aca="false">IF($H121=U$4,$D121*$N121,"")</f>
        <v/>
      </c>
      <c r="V121" s="1418"/>
      <c r="W121" s="1419"/>
      <c r="X121" s="1419"/>
      <c r="Y121" s="1419"/>
      <c r="Z121" s="1419"/>
      <c r="AA121" s="1419"/>
      <c r="AB121" s="1420"/>
      <c r="AC121" s="1319"/>
      <c r="AD121" s="2" t="str">
        <f aca="false">IF(AND(AD$4=$G121,AD$6=$F121),$B121,"")</f>
        <v/>
      </c>
      <c r="AE121" s="2" t="str">
        <f aca="false">IF(AND(AE$4=$G121,AE$6=$F121),$B121,"")</f>
        <v/>
      </c>
      <c r="AF121" s="2" t="str">
        <f aca="false">IF(AND(AF$4=$G121,AF$6=$F121),$B121,"")</f>
        <v/>
      </c>
      <c r="AG121" s="2" t="str">
        <f aca="false">IF(AND(AG$4=$G121,AG$6=$F121),$B121,"")</f>
        <v/>
      </c>
      <c r="AI121" s="366"/>
      <c r="AL121" s="367"/>
      <c r="AO121" s="367"/>
      <c r="AP121" s="2" t="str">
        <f aca="false">IF(AT121&gt;0,RANK(AT121,AT$7:AT$423),"")</f>
        <v/>
      </c>
      <c r="AQ121" s="2" t="n">
        <f aca="false">'O_MN, PE_UTA_UGM 2024'!C117</f>
        <v>162</v>
      </c>
      <c r="AR121" s="1421" t="n">
        <v>1604</v>
      </c>
      <c r="AS121" s="2" t="str">
        <f aca="false">IF(AY121&lt;&gt;"",AY121,"")</f>
        <v/>
      </c>
      <c r="AT121" s="1422" t="n">
        <f aca="false">IF(ISNUMBER($AR121),SUMIF(B$7:B$505,AR121,D$7:D$505),"")</f>
        <v>0</v>
      </c>
      <c r="AU121" s="1411" t="n">
        <f aca="false">IF(ISNUMBER($AR121),SUMIF(AD$7:AD$503,$AR121,J$7:J$503),"")</f>
        <v>0</v>
      </c>
      <c r="AV121" s="1411" t="n">
        <f aca="false">IF(ISNUMBER($AR121),SUMIF(AF$7:AF$503,$AR121,L$7:L$503),"")</f>
        <v>0</v>
      </c>
      <c r="AW121" s="1423" t="n">
        <f aca="false">IF(ISNUMBER($AR121),SUMIF(AE$7:AE$503,$AR121,K$7:K$503),"")</f>
        <v>0</v>
      </c>
      <c r="AX121" s="1423" t="n">
        <f aca="false">IF(ISNUMBER($AR121),SUMIF(AG$7:AG$503,$AR121,M$7:M$503),"")</f>
        <v>0</v>
      </c>
      <c r="AY121" s="2" t="str">
        <f aca="false">IF($AT121&gt;0,VLOOKUP($AR121,'O_MN, PE_UTA_UGM 2024'!E117:O533,2),"")</f>
        <v/>
      </c>
      <c r="AZ121" s="1507"/>
      <c r="BA121" s="1507"/>
      <c r="BB121" s="1507" t="str">
        <f aca="false">IF($AT121&gt;0,VLOOKUP($AR121,'O_MN, PE_UTA_UGM 2024'!$E$3:$O$419,BB$6),"")</f>
        <v/>
      </c>
      <c r="BC121" s="1507" t="str">
        <f aca="false">IF($AT121&gt;0,VLOOKUP($AR121,'O_MN, PE_UTA_UGM 2024'!$E$3:$O$419,BC$6),"")</f>
        <v/>
      </c>
      <c r="BD121" s="1507" t="str">
        <f aca="false">IF($AT121&gt;0,VLOOKUP($AR121,'O_MN, PE_UTA_UGM 2024'!$E$3:$O$419,BD$6),"")</f>
        <v/>
      </c>
      <c r="BE121" s="1507" t="str">
        <f aca="false">IF($AT121&gt;0,VLOOKUP($AR121,'O_MN, PE_UTA_UGM 2024'!$E$3:$O$419,BE$6),"")</f>
        <v/>
      </c>
      <c r="BF121" s="1507" t="str">
        <f aca="false">IF($AT121&gt;0,VLOOKUP($AR121,'O_MN, PE_UTA_UGM 2024'!$E$3:$O$419,BF$6),"")</f>
        <v/>
      </c>
      <c r="BG121" s="1507" t="str">
        <f aca="false">IF($AT121&gt;0,VLOOKUP($AR121,'O_MN, PE_UTA_UGM 2024'!$E$3:$O$419,BG$6),"")</f>
        <v/>
      </c>
      <c r="BH121" s="1504"/>
      <c r="BI121" s="1504"/>
      <c r="BJ121" s="1504"/>
      <c r="BK121" s="1504"/>
      <c r="BM121" s="1411"/>
      <c r="BN121" s="1411"/>
      <c r="BO121" s="1425" t="str">
        <f aca="false">IF(ISNUMBER($AU121*BB121*1),$AU121*BB121*1,"")</f>
        <v/>
      </c>
      <c r="BP121" s="1425" t="str">
        <f aca="false">IF(ISNUMBER($AV121*BC121*1),$AV121*BC121*1,"")</f>
        <v/>
      </c>
      <c r="BQ121" s="1425" t="str">
        <f aca="false">IF(ISNUMBER($AU121*BD121*1),$AU121*BD121*1,"")</f>
        <v/>
      </c>
      <c r="BR121" s="1425" t="str">
        <f aca="false">IF(ISNUMBER($AV121*BE121*1),$AV121*BE121*1,"")</f>
        <v/>
      </c>
      <c r="BS121" s="1411" t="str">
        <f aca="false">IF(ISNUMBER($AU121*BF121),$AU121*BF121,"")</f>
        <v/>
      </c>
      <c r="BT121" s="1411" t="str">
        <f aca="false">IF(ISNUMBER($AV121*BG121),$AV121*BG121,"")</f>
        <v/>
      </c>
      <c r="BU121" s="1411"/>
      <c r="BV121" s="1411"/>
      <c r="BW121" s="1411"/>
      <c r="BX121" s="1411"/>
      <c r="BZ121" s="1372"/>
      <c r="CA121" s="1372"/>
      <c r="CB121" s="1426" t="str">
        <f aca="false">IF(ISNUMBER($AW121*BB121),$AW121*BB121,"")</f>
        <v/>
      </c>
      <c r="CC121" s="1426" t="str">
        <f aca="false">IF(ISNUMBER($AX121*BC121),$AX121*BC121,"")</f>
        <v/>
      </c>
      <c r="CD121" s="1426" t="str">
        <f aca="false">IF(ISNUMBER($AW121*BD121),$AW121*BD121,"")</f>
        <v/>
      </c>
      <c r="CE121" s="1426" t="str">
        <f aca="false">IF(ISNUMBER($AX121*BE121),$AX121*BE121,"")</f>
        <v/>
      </c>
      <c r="CF121" s="1372" t="str">
        <f aca="false">IF(ISNUMBER($AW121*BF121),$AW121*BF121,"")</f>
        <v/>
      </c>
      <c r="CG121" s="1372" t="str">
        <f aca="false">IF(ISNUMBER($AX121*BG121),$AX121*BG121,"")</f>
        <v/>
      </c>
      <c r="CH121" s="1438"/>
      <c r="CI121" s="1438"/>
      <c r="CJ121" s="1438"/>
      <c r="CK121" s="1438"/>
      <c r="CU121" s="1411"/>
      <c r="CV121" s="1411"/>
      <c r="CW121" s="1425"/>
      <c r="CX121" s="1425"/>
      <c r="CY121" s="1425"/>
      <c r="CZ121" s="1425"/>
      <c r="DA121" s="1411"/>
      <c r="DB121" s="1411"/>
      <c r="DC121" s="1411"/>
      <c r="DD121" s="1411"/>
      <c r="DE121" s="1411"/>
      <c r="DF121" s="1411"/>
      <c r="DH121" s="1432"/>
      <c r="DI121" s="1432"/>
      <c r="DJ121" s="1437"/>
      <c r="DK121" s="1437"/>
      <c r="DL121" s="1437"/>
      <c r="DM121" s="1437"/>
      <c r="DN121" s="1432"/>
      <c r="DO121" s="1432"/>
      <c r="DP121" s="1432"/>
      <c r="DQ121" s="1432"/>
      <c r="DR121" s="1432"/>
      <c r="DS121" s="1432"/>
      <c r="DT121" s="1316"/>
      <c r="DU121" s="1433"/>
      <c r="DV121" s="1433"/>
      <c r="DW121" s="1433"/>
      <c r="DX121" s="1433"/>
      <c r="DY121" s="1433"/>
      <c r="DZ121" s="1433"/>
      <c r="EA121" s="1433"/>
      <c r="EB121" s="1433"/>
    </row>
    <row r="122" customFormat="false" ht="20.25" hidden="false" customHeight="true" outlineLevel="0" collapsed="false">
      <c r="A122" s="2" t="n">
        <f aca="false">'V_DATOS PAC_SGA'!CC117</f>
        <v>0</v>
      </c>
      <c r="B122" s="2" t="n">
        <f aca="false">IF(OR(A122=0,A122=""),0,IF(I122="IV",CONCATENATE('V_DATOS PAC_SGA'!CC117,"4")+0,CONCATENATE('V_DATOS PAC_SGA'!CC117,"0")+0))</f>
        <v>0</v>
      </c>
      <c r="C122" s="2" t="n">
        <f aca="false">'V_DATOS PAC_SGA'!CD117</f>
        <v>0</v>
      </c>
      <c r="D122" s="1409" t="n">
        <f aca="false">'V_DATOS PAC_SGA'!Y117</f>
        <v>0</v>
      </c>
      <c r="E122" s="1410" t="str">
        <f aca="false">IF('V_DATOS PAC_SGA'!AV117="","Regadio",'V_DATOS PAC_SGA'!AV117)</f>
        <v>Regadio</v>
      </c>
      <c r="F122" s="1411" t="n">
        <f aca="false">'V_DATOS PAC_SGA'!BK117</f>
        <v>0</v>
      </c>
      <c r="G122" s="1412" t="n">
        <f aca="false">'V_DATOS PAC_SGA'!AN117</f>
        <v>0</v>
      </c>
      <c r="H122" s="1413" t="str">
        <f aca="false">IF(B122&gt;0,VLOOKUP(B122,'O_MN, PE_UTA_UGM 2024'!E$3:O$419,10),"")</f>
        <v/>
      </c>
      <c r="I122" s="1359" t="str">
        <f aca="false">IF('V_DATOS PAC_SGA'!BV117="IV",'V_DATOS PAC_SGA'!BV117,"")</f>
        <v/>
      </c>
      <c r="J122" s="2" t="str">
        <f aca="false">IF($A122&gt;0,IF(AND(J$4=$G122,J$6=$F122),$D122*J$5,""),"")</f>
        <v/>
      </c>
      <c r="K122" s="2" t="str">
        <f aca="false">IF($A122&gt;0,IF(AND(K$4=$G122,K$6=$F122),$D122*K$5,""),"")</f>
        <v/>
      </c>
      <c r="L122" s="2" t="str">
        <f aca="false">IF($A122&gt;0,IF(AND(L$4=$G122,L$6=$F122),$D122*L$5,""),"")</f>
        <v/>
      </c>
      <c r="M122" s="2" t="str">
        <f aca="false">IF($A122&gt;0,IF(AND(M$4=$G122,M$6=$F122),$D122*M$5,""),"")</f>
        <v/>
      </c>
      <c r="N122" s="1506" t="n">
        <f aca="false">VLOOKUP(B122,'O_MN, PE_UTA_UGM 2024'!$E$2:$K$419,IF(G122&gt;1,6,7))</f>
        <v>0</v>
      </c>
      <c r="O122" s="1434" t="str">
        <f aca="false">IF($H122=O$4,$D122*$N122,"")</f>
        <v/>
      </c>
      <c r="P122" s="1435" t="str">
        <f aca="false">IF($H122=P$4,$D122*$N122,"")</f>
        <v/>
      </c>
      <c r="Q122" s="1435" t="str">
        <f aca="false">IF($H122=Q$4,$D122*$N122,"")</f>
        <v/>
      </c>
      <c r="R122" s="1435" t="str">
        <f aca="false">IF($H122=R$4,$D122*$N122,"")</f>
        <v/>
      </c>
      <c r="S122" s="1435" t="str">
        <f aca="false">IF($H122=S$4,$D122*$N122,"")</f>
        <v/>
      </c>
      <c r="T122" s="1435" t="str">
        <f aca="false">IF($H122=T$4,$D122*$N122,"")</f>
        <v/>
      </c>
      <c r="U122" s="1436" t="str">
        <f aca="false">IF($H122=U$4,$D122*$N122,"")</f>
        <v/>
      </c>
      <c r="V122" s="1418"/>
      <c r="W122" s="1419"/>
      <c r="X122" s="1419"/>
      <c r="Y122" s="1419"/>
      <c r="Z122" s="1419"/>
      <c r="AA122" s="1419"/>
      <c r="AB122" s="1420"/>
      <c r="AC122" s="1319"/>
      <c r="AD122" s="2" t="str">
        <f aca="false">IF(AND(AD$4=$G122,AD$6=$F122),$B122,"")</f>
        <v/>
      </c>
      <c r="AE122" s="2" t="str">
        <f aca="false">IF(AND(AE$4=$G122,AE$6=$F122),$B122,"")</f>
        <v/>
      </c>
      <c r="AF122" s="2" t="str">
        <f aca="false">IF(AND(AF$4=$G122,AF$6=$F122),$B122,"")</f>
        <v/>
      </c>
      <c r="AG122" s="2" t="str">
        <f aca="false">IF(AND(AG$4=$G122,AG$6=$F122),$B122,"")</f>
        <v/>
      </c>
      <c r="AI122" s="366"/>
      <c r="AL122" s="367"/>
      <c r="AO122" s="367"/>
      <c r="AP122" s="2" t="str">
        <f aca="false">IF(AT122&gt;0,RANK(AT122,AT$7:AT$423),"")</f>
        <v/>
      </c>
      <c r="AQ122" s="2" t="n">
        <f aca="false">'O_MN, PE_UTA_UGM 2024'!C118</f>
        <v>163</v>
      </c>
      <c r="AR122" s="1421" t="n">
        <v>1609</v>
      </c>
      <c r="AS122" s="2" t="str">
        <f aca="false">IF(AY122&lt;&gt;"",AY122,"")</f>
        <v/>
      </c>
      <c r="AT122" s="1422" t="n">
        <f aca="false">IF(ISNUMBER($AR122),SUMIF(B$7:B$505,AR122,D$7:D$505),"")</f>
        <v>0</v>
      </c>
      <c r="AU122" s="1411" t="n">
        <f aca="false">IF(ISNUMBER($AR122),SUMIF(AD$7:AD$503,$AR122,J$7:J$503),"")</f>
        <v>0</v>
      </c>
      <c r="AV122" s="1411" t="n">
        <f aca="false">IF(ISNUMBER($AR122),SUMIF(AF$7:AF$503,$AR122,L$7:L$503),"")</f>
        <v>0</v>
      </c>
      <c r="AW122" s="1423" t="n">
        <f aca="false">IF(ISNUMBER($AR122),SUMIF(AE$7:AE$503,$AR122,K$7:K$503),"")</f>
        <v>0</v>
      </c>
      <c r="AX122" s="1423" t="n">
        <f aca="false">IF(ISNUMBER($AR122),SUMIF(AG$7:AG$503,$AR122,M$7:M$503),"")</f>
        <v>0</v>
      </c>
      <c r="AY122" s="2" t="str">
        <f aca="false">IF($AT122&gt;0,VLOOKUP($AR122,'O_MN, PE_UTA_UGM 2024'!E118:O534,2),"")</f>
        <v/>
      </c>
      <c r="AZ122" s="1507"/>
      <c r="BA122" s="1507"/>
      <c r="BB122" s="1507" t="str">
        <f aca="false">IF($AT122&gt;0,VLOOKUP($AR122,'O_MN, PE_UTA_UGM 2024'!$E$3:$O$419,BB$6),"")</f>
        <v/>
      </c>
      <c r="BC122" s="1507" t="str">
        <f aca="false">IF($AT122&gt;0,VLOOKUP($AR122,'O_MN, PE_UTA_UGM 2024'!$E$3:$O$419,BC$6),"")</f>
        <v/>
      </c>
      <c r="BD122" s="1507" t="str">
        <f aca="false">IF($AT122&gt;0,VLOOKUP($AR122,'O_MN, PE_UTA_UGM 2024'!$E$3:$O$419,BD$6),"")</f>
        <v/>
      </c>
      <c r="BE122" s="1507" t="str">
        <f aca="false">IF($AT122&gt;0,VLOOKUP($AR122,'O_MN, PE_UTA_UGM 2024'!$E$3:$O$419,BE$6),"")</f>
        <v/>
      </c>
      <c r="BF122" s="1507" t="str">
        <f aca="false">IF($AT122&gt;0,VLOOKUP($AR122,'O_MN, PE_UTA_UGM 2024'!$E$3:$O$419,BF$6),"")</f>
        <v/>
      </c>
      <c r="BG122" s="1507" t="str">
        <f aca="false">IF($AT122&gt;0,VLOOKUP($AR122,'O_MN, PE_UTA_UGM 2024'!$E$3:$O$419,BG$6),"")</f>
        <v/>
      </c>
      <c r="BH122" s="1504"/>
      <c r="BI122" s="1504"/>
      <c r="BJ122" s="1504"/>
      <c r="BK122" s="1504"/>
      <c r="BM122" s="1411"/>
      <c r="BN122" s="1411"/>
      <c r="BO122" s="1425" t="str">
        <f aca="false">IF(ISNUMBER($AU122*BB122*1),$AU122*BB122*1,"")</f>
        <v/>
      </c>
      <c r="BP122" s="1425" t="str">
        <f aca="false">IF(ISNUMBER($AV122*BC122*1),$AV122*BC122*1,"")</f>
        <v/>
      </c>
      <c r="BQ122" s="1425" t="str">
        <f aca="false">IF(ISNUMBER($AU122*BD122*1),$AU122*BD122*1,"")</f>
        <v/>
      </c>
      <c r="BR122" s="1425" t="str">
        <f aca="false">IF(ISNUMBER($AV122*BE122*1),$AV122*BE122*1,"")</f>
        <v/>
      </c>
      <c r="BS122" s="1411" t="str">
        <f aca="false">IF(ISNUMBER($AU122*BF122),$AU122*BF122,"")</f>
        <v/>
      </c>
      <c r="BT122" s="1411" t="str">
        <f aca="false">IF(ISNUMBER($AV122*BG122),$AV122*BG122,"")</f>
        <v/>
      </c>
      <c r="BU122" s="1411"/>
      <c r="BV122" s="1411"/>
      <c r="BW122" s="1411"/>
      <c r="BX122" s="1411"/>
      <c r="BZ122" s="1372"/>
      <c r="CA122" s="1372"/>
      <c r="CB122" s="1426" t="str">
        <f aca="false">IF(ISNUMBER($AW122*BB122),$AW122*BB122,"")</f>
        <v/>
      </c>
      <c r="CC122" s="1426" t="str">
        <f aca="false">IF(ISNUMBER($AX122*BC122),$AX122*BC122,"")</f>
        <v/>
      </c>
      <c r="CD122" s="1426" t="str">
        <f aca="false">IF(ISNUMBER($AW122*BD122),$AW122*BD122,"")</f>
        <v/>
      </c>
      <c r="CE122" s="1426" t="str">
        <f aca="false">IF(ISNUMBER($AX122*BE122),$AX122*BE122,"")</f>
        <v/>
      </c>
      <c r="CF122" s="1372" t="str">
        <f aca="false">IF(ISNUMBER($AW122*BF122),$AW122*BF122,"")</f>
        <v/>
      </c>
      <c r="CG122" s="1372" t="str">
        <f aca="false">IF(ISNUMBER($AX122*BG122),$AX122*BG122,"")</f>
        <v/>
      </c>
      <c r="CH122" s="1438"/>
      <c r="CI122" s="1438"/>
      <c r="CJ122" s="1438"/>
      <c r="CK122" s="1438"/>
      <c r="CU122" s="1411"/>
      <c r="CV122" s="1411"/>
      <c r="CW122" s="1425"/>
      <c r="CX122" s="1425"/>
      <c r="CY122" s="1425"/>
      <c r="CZ122" s="1425"/>
      <c r="DA122" s="1411"/>
      <c r="DB122" s="1411"/>
      <c r="DC122" s="1411"/>
      <c r="DD122" s="1411"/>
      <c r="DE122" s="1411"/>
      <c r="DF122" s="1411"/>
      <c r="DH122" s="1432"/>
      <c r="DI122" s="1432"/>
      <c r="DJ122" s="1437"/>
      <c r="DK122" s="1437"/>
      <c r="DL122" s="1437"/>
      <c r="DM122" s="1437"/>
      <c r="DN122" s="1432"/>
      <c r="DO122" s="1432"/>
      <c r="DP122" s="1432"/>
      <c r="DQ122" s="1432"/>
      <c r="DR122" s="1432"/>
      <c r="DS122" s="1432"/>
      <c r="DT122" s="1316"/>
      <c r="DU122" s="1433"/>
      <c r="DV122" s="1433"/>
      <c r="DW122" s="1433"/>
      <c r="DX122" s="1433"/>
      <c r="DY122" s="1433"/>
      <c r="DZ122" s="1433"/>
      <c r="EA122" s="1433"/>
      <c r="EB122" s="1433"/>
    </row>
    <row r="123" customFormat="false" ht="14.25" hidden="false" customHeight="false" outlineLevel="0" collapsed="false">
      <c r="A123" s="2" t="n">
        <f aca="false">'V_DATOS PAC_SGA'!CC118</f>
        <v>0</v>
      </c>
      <c r="B123" s="2" t="n">
        <f aca="false">IF(OR(A123=0,A123=""),0,IF(I123="IV",CONCATENATE('V_DATOS PAC_SGA'!CC118,"4")+0,CONCATENATE('V_DATOS PAC_SGA'!CC118,"0")+0))</f>
        <v>0</v>
      </c>
      <c r="C123" s="2" t="n">
        <f aca="false">'V_DATOS PAC_SGA'!CD118</f>
        <v>0</v>
      </c>
      <c r="D123" s="1409" t="n">
        <f aca="false">'V_DATOS PAC_SGA'!Y118</f>
        <v>0</v>
      </c>
      <c r="E123" s="1410" t="str">
        <f aca="false">IF('V_DATOS PAC_SGA'!AV118="","Regadio",'V_DATOS PAC_SGA'!AV118)</f>
        <v>Regadio</v>
      </c>
      <c r="F123" s="1411" t="n">
        <f aca="false">'V_DATOS PAC_SGA'!BK118</f>
        <v>0</v>
      </c>
      <c r="G123" s="1412" t="n">
        <f aca="false">'V_DATOS PAC_SGA'!AN118</f>
        <v>0</v>
      </c>
      <c r="H123" s="1413" t="str">
        <f aca="false">IF(B123&gt;0,VLOOKUP(B123,'O_MN, PE_UTA_UGM 2024'!E$3:O$419,10),"")</f>
        <v/>
      </c>
      <c r="I123" s="1359" t="str">
        <f aca="false">IF('V_DATOS PAC_SGA'!BV118="IV",'V_DATOS PAC_SGA'!BV118,"")</f>
        <v/>
      </c>
      <c r="J123" s="2" t="str">
        <f aca="false">IF($A123&gt;0,IF(AND(J$4=$G123,J$6=$F123),$D123*J$5,""),"")</f>
        <v/>
      </c>
      <c r="K123" s="2" t="str">
        <f aca="false">IF($A123&gt;0,IF(AND(K$4=$G123,K$6=$F123),$D123*K$5,""),"")</f>
        <v/>
      </c>
      <c r="L123" s="2" t="str">
        <f aca="false">IF($A123&gt;0,IF(AND(L$4=$G123,L$6=$F123),$D123*L$5,""),"")</f>
        <v/>
      </c>
      <c r="M123" s="2" t="str">
        <f aca="false">IF($A123&gt;0,IF(AND(M$4=$G123,M$6=$F123),$D123*M$5,""),"")</f>
        <v/>
      </c>
      <c r="N123" s="1506" t="n">
        <f aca="false">VLOOKUP(B123,'O_MN, PE_UTA_UGM 2024'!$E$2:$K$419,IF(G123&gt;1,6,7))</f>
        <v>0</v>
      </c>
      <c r="O123" s="1434" t="str">
        <f aca="false">IF($H123=O$4,$D123*$N123,"")</f>
        <v/>
      </c>
      <c r="P123" s="1435" t="str">
        <f aca="false">IF($H123=P$4,$D123*$N123,"")</f>
        <v/>
      </c>
      <c r="Q123" s="1435" t="str">
        <f aca="false">IF($H123=Q$4,$D123*$N123,"")</f>
        <v/>
      </c>
      <c r="R123" s="1435" t="str">
        <f aca="false">IF($H123=R$4,$D123*$N123,"")</f>
        <v/>
      </c>
      <c r="S123" s="1435" t="str">
        <f aca="false">IF($H123=S$4,$D123*$N123,"")</f>
        <v/>
      </c>
      <c r="T123" s="1435" t="str">
        <f aca="false">IF($H123=T$4,$D123*$N123,"")</f>
        <v/>
      </c>
      <c r="U123" s="1436" t="str">
        <f aca="false">IF($H123=U$4,$D123*$N123,"")</f>
        <v/>
      </c>
      <c r="V123" s="1418"/>
      <c r="W123" s="1419"/>
      <c r="X123" s="1419"/>
      <c r="Y123" s="1419"/>
      <c r="Z123" s="1419"/>
      <c r="AA123" s="1419"/>
      <c r="AB123" s="1420"/>
      <c r="AC123" s="1319"/>
      <c r="AD123" s="2" t="str">
        <f aca="false">IF(AND(AD$4=$G123,AD$6=$F123),$B123,"")</f>
        <v/>
      </c>
      <c r="AE123" s="2" t="str">
        <f aca="false">IF(AND(AE$4=$G123,AE$6=$F123),$B123,"")</f>
        <v/>
      </c>
      <c r="AF123" s="2" t="str">
        <f aca="false">IF(AND(AF$4=$G123,AF$6=$F123),$B123,"")</f>
        <v/>
      </c>
      <c r="AG123" s="2" t="str">
        <f aca="false">IF(AND(AG$4=$G123,AG$6=$F123),$B123,"")</f>
        <v/>
      </c>
      <c r="AI123" s="366"/>
      <c r="AL123" s="367"/>
      <c r="AO123" s="367"/>
      <c r="AP123" s="2" t="str">
        <f aca="false">IF(AT123&gt;0,RANK(AT123,AT$7:AT$423),"")</f>
        <v/>
      </c>
      <c r="AQ123" s="2" t="n">
        <f aca="false">'O_MN, PE_UTA_UGM 2024'!C119</f>
        <v>163</v>
      </c>
      <c r="AR123" s="1421" t="n">
        <v>1620</v>
      </c>
      <c r="AS123" s="2" t="str">
        <f aca="false">IF(AY123&lt;&gt;"",AY123,"")</f>
        <v/>
      </c>
      <c r="AT123" s="1422" t="n">
        <f aca="false">IF(ISNUMBER($AR123),SUMIF(B$7:B$505,AR123,D$7:D$505),"")</f>
        <v>0</v>
      </c>
      <c r="AU123" s="1411" t="n">
        <f aca="false">IF(ISNUMBER($AR123),SUMIF(AD$7:AD$503,$AR123,J$7:J$503),"")</f>
        <v>0</v>
      </c>
      <c r="AV123" s="1411" t="n">
        <f aca="false">IF(ISNUMBER($AR123),SUMIF(AF$7:AF$503,$AR123,L$7:L$503),"")</f>
        <v>0</v>
      </c>
      <c r="AW123" s="1423" t="n">
        <f aca="false">IF(ISNUMBER($AR123),SUMIF(AE$7:AE$503,$AR123,K$7:K$503),"")</f>
        <v>0</v>
      </c>
      <c r="AX123" s="1423" t="n">
        <f aca="false">IF(ISNUMBER($AR123),SUMIF(AG$7:AG$503,$AR123,M$7:M$503),"")</f>
        <v>0</v>
      </c>
      <c r="AY123" s="2" t="str">
        <f aca="false">IF($AT123&gt;0,VLOOKUP($AR123,'O_MN, PE_UTA_UGM 2024'!E119:O535,2),"")</f>
        <v/>
      </c>
      <c r="AZ123" s="1507"/>
      <c r="BA123" s="1507"/>
      <c r="BB123" s="1507" t="str">
        <f aca="false">IF($AT123&gt;0,VLOOKUP($AR123,'O_MN, PE_UTA_UGM 2024'!$E$3:$O$419,BB$6),"")</f>
        <v/>
      </c>
      <c r="BC123" s="1507" t="str">
        <f aca="false">IF($AT123&gt;0,VLOOKUP($AR123,'O_MN, PE_UTA_UGM 2024'!$E$3:$O$419,BC$6),"")</f>
        <v/>
      </c>
      <c r="BD123" s="1507" t="str">
        <f aca="false">IF($AT123&gt;0,VLOOKUP($AR123,'O_MN, PE_UTA_UGM 2024'!$E$3:$O$419,BD$6),"")</f>
        <v/>
      </c>
      <c r="BE123" s="1507" t="str">
        <f aca="false">IF($AT123&gt;0,VLOOKUP($AR123,'O_MN, PE_UTA_UGM 2024'!$E$3:$O$419,BE$6),"")</f>
        <v/>
      </c>
      <c r="BF123" s="1507" t="str">
        <f aca="false">IF($AT123&gt;0,VLOOKUP($AR123,'O_MN, PE_UTA_UGM 2024'!$E$3:$O$419,BF$6),"")</f>
        <v/>
      </c>
      <c r="BG123" s="1507" t="str">
        <f aca="false">IF($AT123&gt;0,VLOOKUP($AR123,'O_MN, PE_UTA_UGM 2024'!$E$3:$O$419,BG$6),"")</f>
        <v/>
      </c>
      <c r="BH123" s="1504"/>
      <c r="BI123" s="1504"/>
      <c r="BJ123" s="1504"/>
      <c r="BK123" s="1504"/>
      <c r="BM123" s="1411"/>
      <c r="BN123" s="1411"/>
      <c r="BO123" s="1425" t="str">
        <f aca="false">IF(ISNUMBER($AU123*BB123*1),$AU123*BB123*1,"")</f>
        <v/>
      </c>
      <c r="BP123" s="1425" t="str">
        <f aca="false">IF(ISNUMBER($AV123*BC123*1),$AV123*BC123*1,"")</f>
        <v/>
      </c>
      <c r="BQ123" s="1425" t="str">
        <f aca="false">IF(ISNUMBER($AU123*BD123*1),$AU123*BD123*1,"")</f>
        <v/>
      </c>
      <c r="BR123" s="1425" t="str">
        <f aca="false">IF(ISNUMBER($AV123*BE123*1),$AV123*BE123*1,"")</f>
        <v/>
      </c>
      <c r="BS123" s="1411" t="str">
        <f aca="false">IF(ISNUMBER($AU123*BF123),$AU123*BF123,"")</f>
        <v/>
      </c>
      <c r="BT123" s="1411" t="str">
        <f aca="false">IF(ISNUMBER($AV123*BG123),$AV123*BG123,"")</f>
        <v/>
      </c>
      <c r="BU123" s="1411"/>
      <c r="BV123" s="1411"/>
      <c r="BW123" s="1411"/>
      <c r="BX123" s="1411"/>
      <c r="BZ123" s="1372"/>
      <c r="CA123" s="1372"/>
      <c r="CB123" s="1426" t="str">
        <f aca="false">IF(ISNUMBER($AW123*BB123),$AW123*BB123,"")</f>
        <v/>
      </c>
      <c r="CC123" s="1426" t="str">
        <f aca="false">IF(ISNUMBER($AX123*BC123),$AX123*BC123,"")</f>
        <v/>
      </c>
      <c r="CD123" s="1426" t="str">
        <f aca="false">IF(ISNUMBER($AW123*BD123),$AW123*BD123,"")</f>
        <v/>
      </c>
      <c r="CE123" s="1426" t="str">
        <f aca="false">IF(ISNUMBER($AX123*BE123),$AX123*BE123,"")</f>
        <v/>
      </c>
      <c r="CF123" s="1372" t="str">
        <f aca="false">IF(ISNUMBER($AW123*BF123),$AW123*BF123,"")</f>
        <v/>
      </c>
      <c r="CG123" s="1372" t="str">
        <f aca="false">IF(ISNUMBER($AX123*BG123),$AX123*BG123,"")</f>
        <v/>
      </c>
      <c r="CH123" s="1438"/>
      <c r="CI123" s="1438"/>
      <c r="CJ123" s="1438"/>
      <c r="CK123" s="1438"/>
      <c r="CU123" s="1411"/>
      <c r="CV123" s="1411"/>
      <c r="CW123" s="1425"/>
      <c r="CX123" s="1425"/>
      <c r="CY123" s="1425"/>
      <c r="CZ123" s="1425"/>
      <c r="DA123" s="1411"/>
      <c r="DB123" s="1411"/>
      <c r="DC123" s="1411"/>
      <c r="DD123" s="1411"/>
      <c r="DE123" s="1411"/>
      <c r="DF123" s="1411"/>
      <c r="DH123" s="1432"/>
      <c r="DI123" s="1432"/>
      <c r="DJ123" s="1437"/>
      <c r="DK123" s="1437"/>
      <c r="DL123" s="1437"/>
      <c r="DM123" s="1437"/>
      <c r="DN123" s="1432"/>
      <c r="DO123" s="1432"/>
      <c r="DP123" s="1432"/>
      <c r="DQ123" s="1432"/>
      <c r="DR123" s="1432"/>
      <c r="DS123" s="1432"/>
      <c r="DT123" s="1316"/>
      <c r="DU123" s="1433"/>
      <c r="DV123" s="1433"/>
      <c r="DW123" s="1433"/>
      <c r="DX123" s="1433"/>
      <c r="DY123" s="1433"/>
      <c r="DZ123" s="1433"/>
      <c r="EA123" s="1433"/>
      <c r="EB123" s="1433"/>
    </row>
    <row r="124" customFormat="false" ht="14.25" hidden="false" customHeight="false" outlineLevel="0" collapsed="false">
      <c r="A124" s="2" t="n">
        <f aca="false">'V_DATOS PAC_SGA'!CC119</f>
        <v>0</v>
      </c>
      <c r="B124" s="2" t="n">
        <f aca="false">IF(OR(A124=0,A124=""),0,IF(I124="IV",CONCATENATE('V_DATOS PAC_SGA'!CC119,"4")+0,CONCATENATE('V_DATOS PAC_SGA'!CC119,"0")+0))</f>
        <v>0</v>
      </c>
      <c r="C124" s="2" t="n">
        <f aca="false">'V_DATOS PAC_SGA'!CD119</f>
        <v>0</v>
      </c>
      <c r="D124" s="1409" t="n">
        <f aca="false">'V_DATOS PAC_SGA'!Y119</f>
        <v>0</v>
      </c>
      <c r="E124" s="1410" t="str">
        <f aca="false">IF('V_DATOS PAC_SGA'!AV119="","Regadio",'V_DATOS PAC_SGA'!AV119)</f>
        <v>Regadio</v>
      </c>
      <c r="F124" s="1411" t="n">
        <f aca="false">'V_DATOS PAC_SGA'!BK119</f>
        <v>0</v>
      </c>
      <c r="G124" s="1412" t="n">
        <f aca="false">'V_DATOS PAC_SGA'!AN119</f>
        <v>0</v>
      </c>
      <c r="H124" s="1413" t="str">
        <f aca="false">IF(B124&gt;0,VLOOKUP(B124,'O_MN, PE_UTA_UGM 2024'!E$3:O$419,10),"")</f>
        <v/>
      </c>
      <c r="I124" s="1359" t="str">
        <f aca="false">IF('V_DATOS PAC_SGA'!BV119="IV",'V_DATOS PAC_SGA'!BV119,"")</f>
        <v/>
      </c>
      <c r="J124" s="2" t="str">
        <f aca="false">IF($A124&gt;0,IF(AND(J$4=$G124,J$6=$F124),$D124*J$5,""),"")</f>
        <v/>
      </c>
      <c r="K124" s="2" t="str">
        <f aca="false">IF($A124&gt;0,IF(AND(K$4=$G124,K$6=$F124),$D124*K$5,""),"")</f>
        <v/>
      </c>
      <c r="L124" s="2" t="str">
        <f aca="false">IF($A124&gt;0,IF(AND(L$4=$G124,L$6=$F124),$D124*L$5,""),"")</f>
        <v/>
      </c>
      <c r="M124" s="2" t="str">
        <f aca="false">IF($A124&gt;0,IF(AND(M$4=$G124,M$6=$F124),$D124*M$5,""),"")</f>
        <v/>
      </c>
      <c r="N124" s="1506" t="n">
        <f aca="false">VLOOKUP(B124,'O_MN, PE_UTA_UGM 2024'!$E$2:$K$419,IF(G124&gt;1,6,7))</f>
        <v>0</v>
      </c>
      <c r="O124" s="1434" t="str">
        <f aca="false">IF($H124=O$4,$D124*$N124,"")</f>
        <v/>
      </c>
      <c r="P124" s="1435" t="str">
        <f aca="false">IF($H124=P$4,$D124*$N124,"")</f>
        <v/>
      </c>
      <c r="Q124" s="1435" t="str">
        <f aca="false">IF($H124=Q$4,$D124*$N124,"")</f>
        <v/>
      </c>
      <c r="R124" s="1435" t="str">
        <f aca="false">IF($H124=R$4,$D124*$N124,"")</f>
        <v/>
      </c>
      <c r="S124" s="1435" t="str">
        <f aca="false">IF($H124=S$4,$D124*$N124,"")</f>
        <v/>
      </c>
      <c r="T124" s="1435" t="str">
        <f aca="false">IF($H124=T$4,$D124*$N124,"")</f>
        <v/>
      </c>
      <c r="U124" s="1436" t="str">
        <f aca="false">IF($H124=U$4,$D124*$N124,"")</f>
        <v/>
      </c>
      <c r="V124" s="1418"/>
      <c r="W124" s="1419"/>
      <c r="X124" s="1419"/>
      <c r="Y124" s="1419"/>
      <c r="Z124" s="1419"/>
      <c r="AA124" s="1419"/>
      <c r="AB124" s="1420"/>
      <c r="AC124" s="1319"/>
      <c r="AD124" s="2" t="str">
        <f aca="false">IF(AND(AD$4=$G124,AD$6=$F124),$B124,"")</f>
        <v/>
      </c>
      <c r="AE124" s="2" t="str">
        <f aca="false">IF(AND(AE$4=$G124,AE$6=$F124),$B124,"")</f>
        <v/>
      </c>
      <c r="AF124" s="2" t="str">
        <f aca="false">IF(AND(AF$4=$G124,AF$6=$F124),$B124,"")</f>
        <v/>
      </c>
      <c r="AG124" s="2" t="str">
        <f aca="false">IF(AND(AG$4=$G124,AG$6=$F124),$B124,"")</f>
        <v/>
      </c>
      <c r="AI124" s="366"/>
      <c r="AL124" s="367"/>
      <c r="AO124" s="367"/>
      <c r="AP124" s="2" t="str">
        <f aca="false">IF(AT124&gt;0,RANK(AT124,AT$7:AT$423),"")</f>
        <v/>
      </c>
      <c r="AQ124" s="2" t="n">
        <f aca="false">'O_MN, PE_UTA_UGM 2024'!C120</f>
        <v>163</v>
      </c>
      <c r="AR124" s="1421" t="n">
        <v>1624</v>
      </c>
      <c r="AS124" s="2" t="str">
        <f aca="false">IF(AY124&lt;&gt;"",AY124,"")</f>
        <v/>
      </c>
      <c r="AT124" s="1422" t="n">
        <f aca="false">IF(ISNUMBER($AR124),SUMIF(B$7:B$505,AR124,D$7:D$505),"")</f>
        <v>0</v>
      </c>
      <c r="AU124" s="1411" t="n">
        <f aca="false">IF(ISNUMBER($AR124),SUMIF(AD$7:AD$503,$AR124,J$7:J$503),"")</f>
        <v>0</v>
      </c>
      <c r="AV124" s="1411" t="n">
        <f aca="false">IF(ISNUMBER($AR124),SUMIF(AF$7:AF$503,$AR124,L$7:L$503),"")</f>
        <v>0</v>
      </c>
      <c r="AW124" s="1423" t="n">
        <f aca="false">IF(ISNUMBER($AR124),SUMIF(AE$7:AE$503,$AR124,K$7:K$503),"")</f>
        <v>0</v>
      </c>
      <c r="AX124" s="1423" t="n">
        <f aca="false">IF(ISNUMBER($AR124),SUMIF(AG$7:AG$503,$AR124,M$7:M$503),"")</f>
        <v>0</v>
      </c>
      <c r="AY124" s="2" t="str">
        <f aca="false">IF($AT124&gt;0,VLOOKUP($AR124,'O_MN, PE_UTA_UGM 2024'!E120:O536,2),"")</f>
        <v/>
      </c>
      <c r="AZ124" s="1507"/>
      <c r="BA124" s="1507"/>
      <c r="BB124" s="1507" t="str">
        <f aca="false">IF($AT124&gt;0,VLOOKUP($AR124,'O_MN, PE_UTA_UGM 2024'!$E$3:$O$419,BB$6),"")</f>
        <v/>
      </c>
      <c r="BC124" s="1507" t="str">
        <f aca="false">IF($AT124&gt;0,VLOOKUP($AR124,'O_MN, PE_UTA_UGM 2024'!$E$3:$O$419,BC$6),"")</f>
        <v/>
      </c>
      <c r="BD124" s="1507" t="str">
        <f aca="false">IF($AT124&gt;0,VLOOKUP($AR124,'O_MN, PE_UTA_UGM 2024'!$E$3:$O$419,BD$6),"")</f>
        <v/>
      </c>
      <c r="BE124" s="1507" t="str">
        <f aca="false">IF($AT124&gt;0,VLOOKUP($AR124,'O_MN, PE_UTA_UGM 2024'!$E$3:$O$419,BE$6),"")</f>
        <v/>
      </c>
      <c r="BF124" s="1507" t="str">
        <f aca="false">IF($AT124&gt;0,VLOOKUP($AR124,'O_MN, PE_UTA_UGM 2024'!$E$3:$O$419,BF$6),"")</f>
        <v/>
      </c>
      <c r="BG124" s="1507" t="str">
        <f aca="false">IF($AT124&gt;0,VLOOKUP($AR124,'O_MN, PE_UTA_UGM 2024'!$E$3:$O$419,BG$6),"")</f>
        <v/>
      </c>
      <c r="BH124" s="1504"/>
      <c r="BI124" s="1504"/>
      <c r="BJ124" s="1504"/>
      <c r="BK124" s="1504"/>
      <c r="BM124" s="1411"/>
      <c r="BN124" s="1411"/>
      <c r="BO124" s="1425" t="str">
        <f aca="false">IF(ISNUMBER($AU124*BB124*1),$AU124*BB124*1,"")</f>
        <v/>
      </c>
      <c r="BP124" s="1425" t="str">
        <f aca="false">IF(ISNUMBER($AV124*BC124*1),$AV124*BC124*1,"")</f>
        <v/>
      </c>
      <c r="BQ124" s="1425" t="str">
        <f aca="false">IF(ISNUMBER($AU124*BD124*1),$AU124*BD124*1,"")</f>
        <v/>
      </c>
      <c r="BR124" s="1425" t="str">
        <f aca="false">IF(ISNUMBER($AV124*BE124*1),$AV124*BE124*1,"")</f>
        <v/>
      </c>
      <c r="BS124" s="1411" t="str">
        <f aca="false">IF(ISNUMBER($AU124*BF124),$AU124*BF124,"")</f>
        <v/>
      </c>
      <c r="BT124" s="1411" t="str">
        <f aca="false">IF(ISNUMBER($AV124*BG124),$AV124*BG124,"")</f>
        <v/>
      </c>
      <c r="BU124" s="1411"/>
      <c r="BV124" s="1411"/>
      <c r="BW124" s="1411"/>
      <c r="BX124" s="1411"/>
      <c r="BZ124" s="1372"/>
      <c r="CA124" s="1372"/>
      <c r="CB124" s="1426" t="str">
        <f aca="false">IF(ISNUMBER($AW124*BB124),$AW124*BB124,"")</f>
        <v/>
      </c>
      <c r="CC124" s="1426" t="str">
        <f aca="false">IF(ISNUMBER($AX124*BC124),$AX124*BC124,"")</f>
        <v/>
      </c>
      <c r="CD124" s="1426" t="str">
        <f aca="false">IF(ISNUMBER($AW124*BD124),$AW124*BD124,"")</f>
        <v/>
      </c>
      <c r="CE124" s="1426" t="str">
        <f aca="false">IF(ISNUMBER($AX124*BE124),$AX124*BE124,"")</f>
        <v/>
      </c>
      <c r="CF124" s="1372" t="str">
        <f aca="false">IF(ISNUMBER($AW124*BF124),$AW124*BF124,"")</f>
        <v/>
      </c>
      <c r="CG124" s="1372" t="str">
        <f aca="false">IF(ISNUMBER($AX124*BG124),$AX124*BG124,"")</f>
        <v/>
      </c>
      <c r="CH124" s="1438"/>
      <c r="CI124" s="1438"/>
      <c r="CJ124" s="1438"/>
      <c r="CK124" s="1438"/>
      <c r="CU124" s="1411"/>
      <c r="CV124" s="1411"/>
      <c r="CW124" s="1425"/>
      <c r="CX124" s="1425"/>
      <c r="CY124" s="1425"/>
      <c r="CZ124" s="1425"/>
      <c r="DA124" s="1411"/>
      <c r="DB124" s="1411"/>
      <c r="DC124" s="1411"/>
      <c r="DD124" s="1411"/>
      <c r="DE124" s="1411"/>
      <c r="DF124" s="1411"/>
      <c r="DH124" s="1432"/>
      <c r="DI124" s="1432"/>
      <c r="DJ124" s="1437"/>
      <c r="DK124" s="1437"/>
      <c r="DL124" s="1437"/>
      <c r="DM124" s="1437"/>
      <c r="DN124" s="1432"/>
      <c r="DO124" s="1432"/>
      <c r="DP124" s="1432"/>
      <c r="DQ124" s="1432"/>
      <c r="DR124" s="1432"/>
      <c r="DS124" s="1432"/>
      <c r="DT124" s="1316"/>
      <c r="DU124" s="1433"/>
      <c r="DV124" s="1433"/>
      <c r="DW124" s="1433"/>
      <c r="DX124" s="1433"/>
      <c r="DY124" s="1433"/>
      <c r="DZ124" s="1433"/>
      <c r="EA124" s="1433"/>
      <c r="EB124" s="1433"/>
    </row>
    <row r="125" customFormat="false" ht="14.25" hidden="false" customHeight="false" outlineLevel="0" collapsed="false">
      <c r="A125" s="2" t="n">
        <f aca="false">'V_DATOS PAC_SGA'!CC120</f>
        <v>0</v>
      </c>
      <c r="B125" s="2" t="n">
        <f aca="false">IF(OR(A125=0,A125=""),0,IF(I125="IV",CONCATENATE('V_DATOS PAC_SGA'!CC120,"4")+0,CONCATENATE('V_DATOS PAC_SGA'!CC120,"0")+0))</f>
        <v>0</v>
      </c>
      <c r="C125" s="2" t="n">
        <f aca="false">'V_DATOS PAC_SGA'!CD120</f>
        <v>0</v>
      </c>
      <c r="D125" s="1409" t="n">
        <f aca="false">'V_DATOS PAC_SGA'!Y120</f>
        <v>0</v>
      </c>
      <c r="E125" s="1410" t="str">
        <f aca="false">IF('V_DATOS PAC_SGA'!AV120="","Regadio",'V_DATOS PAC_SGA'!AV120)</f>
        <v>Regadio</v>
      </c>
      <c r="F125" s="1411" t="n">
        <f aca="false">'V_DATOS PAC_SGA'!BK120</f>
        <v>0</v>
      </c>
      <c r="G125" s="1412" t="n">
        <f aca="false">'V_DATOS PAC_SGA'!AN120</f>
        <v>0</v>
      </c>
      <c r="H125" s="1413" t="str">
        <f aca="false">IF(B125&gt;0,VLOOKUP(B125,'O_MN, PE_UTA_UGM 2024'!E$3:O$419,10),"")</f>
        <v/>
      </c>
      <c r="I125" s="1359" t="str">
        <f aca="false">IF('V_DATOS PAC_SGA'!BV120="IV",'V_DATOS PAC_SGA'!BV120,"")</f>
        <v/>
      </c>
      <c r="J125" s="2" t="str">
        <f aca="false">IF($A125&gt;0,IF(AND(J$4=$G125,J$6=$F125),$D125*J$5,""),"")</f>
        <v/>
      </c>
      <c r="K125" s="2" t="str">
        <f aca="false">IF($A125&gt;0,IF(AND(K$4=$G125,K$6=$F125),$D125*K$5,""),"")</f>
        <v/>
      </c>
      <c r="L125" s="2" t="str">
        <f aca="false">IF($A125&gt;0,IF(AND(L$4=$G125,L$6=$F125),$D125*L$5,""),"")</f>
        <v/>
      </c>
      <c r="M125" s="2" t="str">
        <f aca="false">IF($A125&gt;0,IF(AND(M$4=$G125,M$6=$F125),$D125*M$5,""),"")</f>
        <v/>
      </c>
      <c r="N125" s="1506" t="n">
        <f aca="false">VLOOKUP(B125,'O_MN, PE_UTA_UGM 2024'!$E$2:$K$419,IF(G125&gt;1,6,7))</f>
        <v>0</v>
      </c>
      <c r="O125" s="1434" t="str">
        <f aca="false">IF($H125=O$4,$D125*$N125,"")</f>
        <v/>
      </c>
      <c r="P125" s="1435" t="str">
        <f aca="false">IF($H125=P$4,$D125*$N125,"")</f>
        <v/>
      </c>
      <c r="Q125" s="1435" t="str">
        <f aca="false">IF($H125=Q$4,$D125*$N125,"")</f>
        <v/>
      </c>
      <c r="R125" s="1435" t="str">
        <f aca="false">IF($H125=R$4,$D125*$N125,"")</f>
        <v/>
      </c>
      <c r="S125" s="1435" t="str">
        <f aca="false">IF($H125=S$4,$D125*$N125,"")</f>
        <v/>
      </c>
      <c r="T125" s="1435" t="str">
        <f aca="false">IF($H125=T$4,$D125*$N125,"")</f>
        <v/>
      </c>
      <c r="U125" s="1436" t="str">
        <f aca="false">IF($H125=U$4,$D125*$N125,"")</f>
        <v/>
      </c>
      <c r="V125" s="1418"/>
      <c r="W125" s="1419"/>
      <c r="X125" s="1419"/>
      <c r="Y125" s="1419"/>
      <c r="Z125" s="1419"/>
      <c r="AA125" s="1419"/>
      <c r="AB125" s="1420"/>
      <c r="AC125" s="1319"/>
      <c r="AD125" s="2" t="str">
        <f aca="false">IF(AND(AD$4=$G125,AD$6=$F125),$B125,"")</f>
        <v/>
      </c>
      <c r="AE125" s="2" t="str">
        <f aca="false">IF(AND(AE$4=$G125,AE$6=$F125),$B125,"")</f>
        <v/>
      </c>
      <c r="AF125" s="2" t="str">
        <f aca="false">IF(AND(AF$4=$G125,AF$6=$F125),$B125,"")</f>
        <v/>
      </c>
      <c r="AG125" s="2" t="str">
        <f aca="false">IF(AND(AG$4=$G125,AG$6=$F125),$B125,"")</f>
        <v/>
      </c>
      <c r="AI125" s="366"/>
      <c r="AL125" s="367"/>
      <c r="AO125" s="367"/>
      <c r="AP125" s="2" t="str">
        <f aca="false">IF(AT125&gt;0,RANK(AT125,AT$7:AT$423),"")</f>
        <v/>
      </c>
      <c r="AQ125" s="2" t="n">
        <f aca="false">'O_MN, PE_UTA_UGM 2024'!C121</f>
        <v>164</v>
      </c>
      <c r="AR125" s="1421" t="n">
        <v>1629</v>
      </c>
      <c r="AS125" s="2" t="str">
        <f aca="false">IF(AY125&lt;&gt;"",AY125,"")</f>
        <v/>
      </c>
      <c r="AT125" s="1422" t="n">
        <f aca="false">IF(ISNUMBER($AR125),SUMIF(B$7:B$505,AR125,D$7:D$505),"")</f>
        <v>0</v>
      </c>
      <c r="AU125" s="1411" t="n">
        <f aca="false">IF(ISNUMBER($AR125),SUMIF(AD$7:AD$503,$AR125,J$7:J$503),"")</f>
        <v>0</v>
      </c>
      <c r="AV125" s="1411" t="n">
        <f aca="false">IF(ISNUMBER($AR125),SUMIF(AF$7:AF$503,$AR125,L$7:L$503),"")</f>
        <v>0</v>
      </c>
      <c r="AW125" s="1423" t="n">
        <f aca="false">IF(ISNUMBER($AR125),SUMIF(AE$7:AE$503,$AR125,K$7:K$503),"")</f>
        <v>0</v>
      </c>
      <c r="AX125" s="1423" t="n">
        <f aca="false">IF(ISNUMBER($AR125),SUMIF(AG$7:AG$503,$AR125,M$7:M$503),"")</f>
        <v>0</v>
      </c>
      <c r="AY125" s="2" t="str">
        <f aca="false">IF($AT125&gt;0,VLOOKUP($AR125,'O_MN, PE_UTA_UGM 2024'!E121:O537,2),"")</f>
        <v/>
      </c>
      <c r="AZ125" s="1507"/>
      <c r="BA125" s="1507"/>
      <c r="BB125" s="1507" t="str">
        <f aca="false">IF($AT125&gt;0,VLOOKUP($AR125,'O_MN, PE_UTA_UGM 2024'!$E$3:$O$419,BB$6),"")</f>
        <v/>
      </c>
      <c r="BC125" s="1507" t="str">
        <f aca="false">IF($AT125&gt;0,VLOOKUP($AR125,'O_MN, PE_UTA_UGM 2024'!$E$3:$O$419,BC$6),"")</f>
        <v/>
      </c>
      <c r="BD125" s="1507" t="str">
        <f aca="false">IF($AT125&gt;0,VLOOKUP($AR125,'O_MN, PE_UTA_UGM 2024'!$E$3:$O$419,BD$6),"")</f>
        <v/>
      </c>
      <c r="BE125" s="1507" t="str">
        <f aca="false">IF($AT125&gt;0,VLOOKUP($AR125,'O_MN, PE_UTA_UGM 2024'!$E$3:$O$419,BE$6),"")</f>
        <v/>
      </c>
      <c r="BF125" s="1507" t="str">
        <f aca="false">IF($AT125&gt;0,VLOOKUP($AR125,'O_MN, PE_UTA_UGM 2024'!$E$3:$O$419,BF$6),"")</f>
        <v/>
      </c>
      <c r="BG125" s="1507" t="str">
        <f aca="false">IF($AT125&gt;0,VLOOKUP($AR125,'O_MN, PE_UTA_UGM 2024'!$E$3:$O$419,BG$6),"")</f>
        <v/>
      </c>
      <c r="BH125" s="1504"/>
      <c r="BI125" s="1504"/>
      <c r="BJ125" s="1504"/>
      <c r="BK125" s="1504"/>
      <c r="BM125" s="1411"/>
      <c r="BN125" s="1411"/>
      <c r="BO125" s="1425" t="str">
        <f aca="false">IF(ISNUMBER($AU125*BB125*1),$AU125*BB125*1,"")</f>
        <v/>
      </c>
      <c r="BP125" s="1425" t="str">
        <f aca="false">IF(ISNUMBER($AV125*BC125*1),$AV125*BC125*1,"")</f>
        <v/>
      </c>
      <c r="BQ125" s="1425" t="str">
        <f aca="false">IF(ISNUMBER($AU125*BD125*1),$AU125*BD125*1,"")</f>
        <v/>
      </c>
      <c r="BR125" s="1425" t="str">
        <f aca="false">IF(ISNUMBER($AV125*BE125*1),$AV125*BE125*1,"")</f>
        <v/>
      </c>
      <c r="BS125" s="1411" t="str">
        <f aca="false">IF(ISNUMBER($AU125*BF125),$AU125*BF125,"")</f>
        <v/>
      </c>
      <c r="BT125" s="1411" t="str">
        <f aca="false">IF(ISNUMBER($AV125*BG125),$AV125*BG125,"")</f>
        <v/>
      </c>
      <c r="BU125" s="1411"/>
      <c r="BV125" s="1411"/>
      <c r="BW125" s="1411"/>
      <c r="BX125" s="1411"/>
      <c r="BZ125" s="1372"/>
      <c r="CA125" s="1372"/>
      <c r="CB125" s="1426" t="str">
        <f aca="false">IF(ISNUMBER($AW125*BB125),$AW125*BB125,"")</f>
        <v/>
      </c>
      <c r="CC125" s="1426" t="str">
        <f aca="false">IF(ISNUMBER($AX125*BC125),$AX125*BC125,"")</f>
        <v/>
      </c>
      <c r="CD125" s="1426" t="str">
        <f aca="false">IF(ISNUMBER($AW125*BD125),$AW125*BD125,"")</f>
        <v/>
      </c>
      <c r="CE125" s="1426" t="str">
        <f aca="false">IF(ISNUMBER($AX125*BE125),$AX125*BE125,"")</f>
        <v/>
      </c>
      <c r="CF125" s="1372" t="str">
        <f aca="false">IF(ISNUMBER($AW125*BF125),$AW125*BF125,"")</f>
        <v/>
      </c>
      <c r="CG125" s="1372" t="str">
        <f aca="false">IF(ISNUMBER($AX125*BG125),$AX125*BG125,"")</f>
        <v/>
      </c>
      <c r="CH125" s="1438"/>
      <c r="CI125" s="1438"/>
      <c r="CJ125" s="1438"/>
      <c r="CK125" s="1438"/>
      <c r="CU125" s="1411"/>
      <c r="CV125" s="1411"/>
      <c r="CW125" s="1425"/>
      <c r="CX125" s="1425"/>
      <c r="CY125" s="1425"/>
      <c r="CZ125" s="1425"/>
      <c r="DA125" s="1411"/>
      <c r="DB125" s="1411"/>
      <c r="DC125" s="1411"/>
      <c r="DD125" s="1411"/>
      <c r="DE125" s="1411"/>
      <c r="DF125" s="1411"/>
      <c r="DH125" s="1432"/>
      <c r="DI125" s="1432"/>
      <c r="DJ125" s="1437"/>
      <c r="DK125" s="1437"/>
      <c r="DL125" s="1437"/>
      <c r="DM125" s="1437"/>
      <c r="DN125" s="1432"/>
      <c r="DO125" s="1432"/>
      <c r="DP125" s="1432"/>
      <c r="DQ125" s="1432"/>
      <c r="DR125" s="1432"/>
      <c r="DS125" s="1432"/>
      <c r="DT125" s="1316"/>
      <c r="DU125" s="1433"/>
      <c r="DV125" s="1433"/>
      <c r="DW125" s="1433"/>
      <c r="DX125" s="1433"/>
      <c r="DY125" s="1433"/>
      <c r="DZ125" s="1433"/>
      <c r="EA125" s="1433"/>
      <c r="EB125" s="1433"/>
    </row>
    <row r="126" customFormat="false" ht="14.25" hidden="false" customHeight="false" outlineLevel="0" collapsed="false">
      <c r="A126" s="2" t="n">
        <f aca="false">'V_DATOS PAC_SGA'!CC121</f>
        <v>0</v>
      </c>
      <c r="B126" s="2" t="n">
        <f aca="false">IF(OR(A126=0,A126=""),0,IF(I126="IV",CONCATENATE('V_DATOS PAC_SGA'!CC121,"4")+0,CONCATENATE('V_DATOS PAC_SGA'!CC121,"0")+0))</f>
        <v>0</v>
      </c>
      <c r="C126" s="2" t="n">
        <f aca="false">'V_DATOS PAC_SGA'!CD121</f>
        <v>0</v>
      </c>
      <c r="D126" s="1409" t="n">
        <f aca="false">'V_DATOS PAC_SGA'!Y121</f>
        <v>0</v>
      </c>
      <c r="E126" s="1410" t="str">
        <f aca="false">IF('V_DATOS PAC_SGA'!AV121="","Regadio",'V_DATOS PAC_SGA'!AV121)</f>
        <v>Regadio</v>
      </c>
      <c r="F126" s="1411" t="n">
        <f aca="false">'V_DATOS PAC_SGA'!BK121</f>
        <v>0</v>
      </c>
      <c r="G126" s="1412" t="n">
        <f aca="false">'V_DATOS PAC_SGA'!AN121</f>
        <v>0</v>
      </c>
      <c r="H126" s="1413" t="str">
        <f aca="false">IF(B126&gt;0,VLOOKUP(B126,'O_MN, PE_UTA_UGM 2024'!E$3:O$419,10),"")</f>
        <v/>
      </c>
      <c r="I126" s="1359" t="str">
        <f aca="false">IF('V_DATOS PAC_SGA'!BV121="IV",'V_DATOS PAC_SGA'!BV121,"")</f>
        <v/>
      </c>
      <c r="J126" s="2" t="str">
        <f aca="false">IF($A126&gt;0,IF(AND(J$4=$G126,J$6=$F126),$D126*J$5,""),"")</f>
        <v/>
      </c>
      <c r="K126" s="2" t="str">
        <f aca="false">IF($A126&gt;0,IF(AND(K$4=$G126,K$6=$F126),$D126*K$5,""),"")</f>
        <v/>
      </c>
      <c r="L126" s="2" t="str">
        <f aca="false">IF($A126&gt;0,IF(AND(L$4=$G126,L$6=$F126),$D126*L$5,""),"")</f>
        <v/>
      </c>
      <c r="M126" s="2" t="str">
        <f aca="false">IF($A126&gt;0,IF(AND(M$4=$G126,M$6=$F126),$D126*M$5,""),"")</f>
        <v/>
      </c>
      <c r="N126" s="1506" t="n">
        <f aca="false">VLOOKUP(B126,'O_MN, PE_UTA_UGM 2024'!$E$2:$K$419,IF(G126&gt;1,6,7))</f>
        <v>0</v>
      </c>
      <c r="O126" s="1434" t="str">
        <f aca="false">IF($H126=O$4,$D126*$N126,"")</f>
        <v/>
      </c>
      <c r="P126" s="1435" t="str">
        <f aca="false">IF($H126=P$4,$D126*$N126,"")</f>
        <v/>
      </c>
      <c r="Q126" s="1435" t="str">
        <f aca="false">IF($H126=Q$4,$D126*$N126,"")</f>
        <v/>
      </c>
      <c r="R126" s="1435" t="str">
        <f aca="false">IF($H126=R$4,$D126*$N126,"")</f>
        <v/>
      </c>
      <c r="S126" s="1435" t="str">
        <f aca="false">IF($H126=S$4,$D126*$N126,"")</f>
        <v/>
      </c>
      <c r="T126" s="1435" t="str">
        <f aca="false">IF($H126=T$4,$D126*$N126,"")</f>
        <v/>
      </c>
      <c r="U126" s="1436" t="str">
        <f aca="false">IF($H126=U$4,$D126*$N126,"")</f>
        <v/>
      </c>
      <c r="V126" s="1418"/>
      <c r="W126" s="1419"/>
      <c r="X126" s="1419"/>
      <c r="Y126" s="1419"/>
      <c r="Z126" s="1419"/>
      <c r="AA126" s="1419"/>
      <c r="AB126" s="1420"/>
      <c r="AC126" s="1319"/>
      <c r="AD126" s="2" t="str">
        <f aca="false">IF(AND(AD$4=$G126,AD$6=$F126),$B126,"")</f>
        <v/>
      </c>
      <c r="AE126" s="2" t="str">
        <f aca="false">IF(AND(AE$4=$G126,AE$6=$F126),$B126,"")</f>
        <v/>
      </c>
      <c r="AF126" s="2" t="str">
        <f aca="false">IF(AND(AF$4=$G126,AF$6=$F126),$B126,"")</f>
        <v/>
      </c>
      <c r="AG126" s="2" t="str">
        <f aca="false">IF(AND(AG$4=$G126,AG$6=$F126),$B126,"")</f>
        <v/>
      </c>
      <c r="AI126" s="366"/>
      <c r="AL126" s="367"/>
      <c r="AO126" s="367"/>
      <c r="AP126" s="2" t="str">
        <f aca="false">IF(AT126&gt;0,RANK(AT126,AT$7:AT$423),"")</f>
        <v/>
      </c>
      <c r="AQ126" s="2" t="n">
        <f aca="false">'O_MN, PE_UTA_UGM 2024'!C122</f>
        <v>164</v>
      </c>
      <c r="AR126" s="1421" t="n">
        <v>1630</v>
      </c>
      <c r="AS126" s="2" t="str">
        <f aca="false">IF(AY126&lt;&gt;"",AY126,"")</f>
        <v/>
      </c>
      <c r="AT126" s="1422" t="n">
        <f aca="false">IF(ISNUMBER($AR126),SUMIF(B$7:B$505,AR126,D$7:D$505),"")</f>
        <v>0</v>
      </c>
      <c r="AU126" s="1411" t="n">
        <f aca="false">IF(ISNUMBER($AR126),SUMIF(AD$7:AD$503,$AR126,J$7:J$503),"")</f>
        <v>0</v>
      </c>
      <c r="AV126" s="1411" t="n">
        <f aca="false">IF(ISNUMBER($AR126),SUMIF(AF$7:AF$503,$AR126,L$7:L$503),"")</f>
        <v>0</v>
      </c>
      <c r="AW126" s="1423" t="n">
        <f aca="false">IF(ISNUMBER($AR126),SUMIF(AE$7:AE$503,$AR126,K$7:K$503),"")</f>
        <v>0</v>
      </c>
      <c r="AX126" s="1423" t="n">
        <f aca="false">IF(ISNUMBER($AR126),SUMIF(AG$7:AG$503,$AR126,M$7:M$503),"")</f>
        <v>0</v>
      </c>
      <c r="AY126" s="2" t="str">
        <f aca="false">IF($AT126&gt;0,VLOOKUP($AR126,'O_MN, PE_UTA_UGM 2024'!E122:O538,2),"")</f>
        <v/>
      </c>
      <c r="AZ126" s="1507"/>
      <c r="BA126" s="1507"/>
      <c r="BB126" s="1507" t="str">
        <f aca="false">IF($AT126&gt;0,VLOOKUP($AR126,'O_MN, PE_UTA_UGM 2024'!$E$3:$O$419,BB$6),"")</f>
        <v/>
      </c>
      <c r="BC126" s="1507" t="str">
        <f aca="false">IF($AT126&gt;0,VLOOKUP($AR126,'O_MN, PE_UTA_UGM 2024'!$E$3:$O$419,BC$6),"")</f>
        <v/>
      </c>
      <c r="BD126" s="1507" t="str">
        <f aca="false">IF($AT126&gt;0,VLOOKUP($AR126,'O_MN, PE_UTA_UGM 2024'!$E$3:$O$419,BD$6),"")</f>
        <v/>
      </c>
      <c r="BE126" s="1507" t="str">
        <f aca="false">IF($AT126&gt;0,VLOOKUP($AR126,'O_MN, PE_UTA_UGM 2024'!$E$3:$O$419,BE$6),"")</f>
        <v/>
      </c>
      <c r="BF126" s="1507" t="str">
        <f aca="false">IF($AT126&gt;0,VLOOKUP($AR126,'O_MN, PE_UTA_UGM 2024'!$E$3:$O$419,BF$6),"")</f>
        <v/>
      </c>
      <c r="BG126" s="1507" t="str">
        <f aca="false">IF($AT126&gt;0,VLOOKUP($AR126,'O_MN, PE_UTA_UGM 2024'!$E$3:$O$419,BG$6),"")</f>
        <v/>
      </c>
      <c r="BH126" s="1504"/>
      <c r="BI126" s="1504"/>
      <c r="BJ126" s="1504"/>
      <c r="BK126" s="1504"/>
      <c r="BM126" s="1411"/>
      <c r="BN126" s="1411"/>
      <c r="BO126" s="1425" t="str">
        <f aca="false">IF(ISNUMBER($AU126*BB126*1),$AU126*BB126*1,"")</f>
        <v/>
      </c>
      <c r="BP126" s="1425" t="str">
        <f aca="false">IF(ISNUMBER($AV126*BC126*1),$AV126*BC126*1,"")</f>
        <v/>
      </c>
      <c r="BQ126" s="1425" t="str">
        <f aca="false">IF(ISNUMBER($AU126*BD126*1),$AU126*BD126*1,"")</f>
        <v/>
      </c>
      <c r="BR126" s="1425" t="str">
        <f aca="false">IF(ISNUMBER($AV126*BE126*1),$AV126*BE126*1,"")</f>
        <v/>
      </c>
      <c r="BS126" s="1411" t="str">
        <f aca="false">IF(ISNUMBER($AU126*BF126),$AU126*BF126,"")</f>
        <v/>
      </c>
      <c r="BT126" s="1411" t="str">
        <f aca="false">IF(ISNUMBER($AV126*BG126),$AV126*BG126,"")</f>
        <v/>
      </c>
      <c r="BU126" s="1411"/>
      <c r="BV126" s="1411"/>
      <c r="BW126" s="1411"/>
      <c r="BX126" s="1411"/>
      <c r="BZ126" s="1372"/>
      <c r="CA126" s="1372"/>
      <c r="CB126" s="1426" t="str">
        <f aca="false">IF(ISNUMBER($AW126*BB126),$AW126*BB126,"")</f>
        <v/>
      </c>
      <c r="CC126" s="1426" t="str">
        <f aca="false">IF(ISNUMBER($AX126*BC126),$AX126*BC126,"")</f>
        <v/>
      </c>
      <c r="CD126" s="1426" t="str">
        <f aca="false">IF(ISNUMBER($AW126*BD126),$AW126*BD126,"")</f>
        <v/>
      </c>
      <c r="CE126" s="1426" t="str">
        <f aca="false">IF(ISNUMBER($AX126*BE126),$AX126*BE126,"")</f>
        <v/>
      </c>
      <c r="CF126" s="1372" t="str">
        <f aca="false">IF(ISNUMBER($AW126*BF126),$AW126*BF126,"")</f>
        <v/>
      </c>
      <c r="CG126" s="1372" t="str">
        <f aca="false">IF(ISNUMBER($AX126*BG126),$AX126*BG126,"")</f>
        <v/>
      </c>
      <c r="CH126" s="1438"/>
      <c r="CI126" s="1438"/>
      <c r="CJ126" s="1438"/>
      <c r="CK126" s="1438"/>
      <c r="CU126" s="1411"/>
      <c r="CV126" s="1411"/>
      <c r="CW126" s="1425"/>
      <c r="CX126" s="1425"/>
      <c r="CY126" s="1425"/>
      <c r="CZ126" s="1425"/>
      <c r="DA126" s="1411"/>
      <c r="DB126" s="1411"/>
      <c r="DC126" s="1411"/>
      <c r="DD126" s="1411"/>
      <c r="DE126" s="1411"/>
      <c r="DF126" s="1411"/>
      <c r="DH126" s="1432"/>
      <c r="DI126" s="1432"/>
      <c r="DJ126" s="1437"/>
      <c r="DK126" s="1437"/>
      <c r="DL126" s="1437"/>
      <c r="DM126" s="1437"/>
      <c r="DN126" s="1432"/>
      <c r="DO126" s="1432"/>
      <c r="DP126" s="1432"/>
      <c r="DQ126" s="1432"/>
      <c r="DR126" s="1432"/>
      <c r="DS126" s="1432"/>
      <c r="DT126" s="1316"/>
      <c r="DU126" s="1433"/>
      <c r="DV126" s="1433"/>
      <c r="DW126" s="1433"/>
      <c r="DX126" s="1433"/>
      <c r="DY126" s="1433"/>
      <c r="DZ126" s="1433"/>
      <c r="EA126" s="1433"/>
      <c r="EB126" s="1433"/>
    </row>
    <row r="127" customFormat="false" ht="14.25" hidden="false" customHeight="false" outlineLevel="0" collapsed="false">
      <c r="A127" s="2" t="n">
        <f aca="false">'V_DATOS PAC_SGA'!CC122</f>
        <v>0</v>
      </c>
      <c r="B127" s="2" t="n">
        <f aca="false">IF(OR(A127=0,A127=""),0,IF(I127="IV",CONCATENATE('V_DATOS PAC_SGA'!CC122,"4")+0,CONCATENATE('V_DATOS PAC_SGA'!CC122,"0")+0))</f>
        <v>0</v>
      </c>
      <c r="C127" s="2" t="n">
        <f aca="false">'V_DATOS PAC_SGA'!CD122</f>
        <v>0</v>
      </c>
      <c r="D127" s="1409" t="n">
        <f aca="false">'V_DATOS PAC_SGA'!Y122</f>
        <v>0</v>
      </c>
      <c r="E127" s="1410" t="str">
        <f aca="false">IF('V_DATOS PAC_SGA'!AV122="","Regadio",'V_DATOS PAC_SGA'!AV122)</f>
        <v>Regadio</v>
      </c>
      <c r="F127" s="1411" t="n">
        <f aca="false">'V_DATOS PAC_SGA'!BK122</f>
        <v>0</v>
      </c>
      <c r="G127" s="1412" t="n">
        <f aca="false">'V_DATOS PAC_SGA'!AN122</f>
        <v>0</v>
      </c>
      <c r="H127" s="1413" t="str">
        <f aca="false">IF(B127&gt;0,VLOOKUP(B127,'O_MN, PE_UTA_UGM 2024'!E$3:O$419,10),"")</f>
        <v/>
      </c>
      <c r="I127" s="1359" t="str">
        <f aca="false">IF('V_DATOS PAC_SGA'!BV122="IV",'V_DATOS PAC_SGA'!BV122,"")</f>
        <v/>
      </c>
      <c r="J127" s="2" t="str">
        <f aca="false">IF($A127&gt;0,IF(AND(J$4=$G127,J$6=$F127),$D127*J$5,""),"")</f>
        <v/>
      </c>
      <c r="K127" s="2" t="str">
        <f aca="false">IF($A127&gt;0,IF(AND(K$4=$G127,K$6=$F127),$D127*K$5,""),"")</f>
        <v/>
      </c>
      <c r="L127" s="2" t="str">
        <f aca="false">IF($A127&gt;0,IF(AND(L$4=$G127,L$6=$F127),$D127*L$5,""),"")</f>
        <v/>
      </c>
      <c r="M127" s="2" t="str">
        <f aca="false">IF($A127&gt;0,IF(AND(M$4=$G127,M$6=$F127),$D127*M$5,""),"")</f>
        <v/>
      </c>
      <c r="N127" s="1506" t="n">
        <f aca="false">VLOOKUP(B127,'O_MN, PE_UTA_UGM 2024'!$E$2:$K$419,IF(G127&gt;1,6,7))</f>
        <v>0</v>
      </c>
      <c r="O127" s="1434" t="str">
        <f aca="false">IF($H127=O$4,$D127*$N127,"")</f>
        <v/>
      </c>
      <c r="P127" s="1435" t="str">
        <f aca="false">IF($H127=P$4,$D127*$N127,"")</f>
        <v/>
      </c>
      <c r="Q127" s="1435" t="str">
        <f aca="false">IF($H127=Q$4,$D127*$N127,"")</f>
        <v/>
      </c>
      <c r="R127" s="1435" t="str">
        <f aca="false">IF($H127=R$4,$D127*$N127,"")</f>
        <v/>
      </c>
      <c r="S127" s="1435" t="str">
        <f aca="false">IF($H127=S$4,$D127*$N127,"")</f>
        <v/>
      </c>
      <c r="T127" s="1435" t="str">
        <f aca="false">IF($H127=T$4,$D127*$N127,"")</f>
        <v/>
      </c>
      <c r="U127" s="1436" t="str">
        <f aca="false">IF($H127=U$4,$D127*$N127,"")</f>
        <v/>
      </c>
      <c r="V127" s="1418"/>
      <c r="W127" s="1419"/>
      <c r="X127" s="1419"/>
      <c r="Y127" s="1419"/>
      <c r="Z127" s="1419"/>
      <c r="AA127" s="1419"/>
      <c r="AB127" s="1420"/>
      <c r="AC127" s="1319"/>
      <c r="AD127" s="2" t="str">
        <f aca="false">IF(AND(AD$4=$G127,AD$6=$F127),$B127,"")</f>
        <v/>
      </c>
      <c r="AE127" s="2" t="str">
        <f aca="false">IF(AND(AE$4=$G127,AE$6=$F127),$B127,"")</f>
        <v/>
      </c>
      <c r="AF127" s="2" t="str">
        <f aca="false">IF(AND(AF$4=$G127,AF$6=$F127),$B127,"")</f>
        <v/>
      </c>
      <c r="AG127" s="2" t="str">
        <f aca="false">IF(AND(AG$4=$G127,AG$6=$F127),$B127,"")</f>
        <v/>
      </c>
      <c r="AI127" s="366"/>
      <c r="AL127" s="367"/>
      <c r="AO127" s="367"/>
      <c r="AP127" s="2" t="str">
        <f aca="false">IF(AT127&gt;0,RANK(AT127,AT$7:AT$423),"")</f>
        <v/>
      </c>
      <c r="AQ127" s="2" t="n">
        <f aca="false">'O_MN, PE_UTA_UGM 2024'!C123</f>
        <v>164</v>
      </c>
      <c r="AR127" s="1421" t="n">
        <v>1634</v>
      </c>
      <c r="AS127" s="2" t="str">
        <f aca="false">IF(AY127&lt;&gt;"",AY127,"")</f>
        <v/>
      </c>
      <c r="AT127" s="1422" t="n">
        <f aca="false">IF(ISNUMBER($AR127),SUMIF(B$7:B$505,AR127,D$7:D$505),"")</f>
        <v>0</v>
      </c>
      <c r="AU127" s="1411" t="n">
        <f aca="false">IF(ISNUMBER($AR127),SUMIF(AD$7:AD$503,$AR127,J$7:J$503),"")</f>
        <v>0</v>
      </c>
      <c r="AV127" s="1411" t="n">
        <f aca="false">IF(ISNUMBER($AR127),SUMIF(AF$7:AF$503,$AR127,L$7:L$503),"")</f>
        <v>0</v>
      </c>
      <c r="AW127" s="1423" t="n">
        <f aca="false">IF(ISNUMBER($AR127),SUMIF(AE$7:AE$503,$AR127,K$7:K$503),"")</f>
        <v>0</v>
      </c>
      <c r="AX127" s="1423" t="n">
        <f aca="false">IF(ISNUMBER($AR127),SUMIF(AG$7:AG$503,$AR127,M$7:M$503),"")</f>
        <v>0</v>
      </c>
      <c r="AY127" s="2" t="str">
        <f aca="false">IF($AT127&gt;0,VLOOKUP($AR127,'O_MN, PE_UTA_UGM 2024'!E123:O539,2),"")</f>
        <v/>
      </c>
      <c r="AZ127" s="1507"/>
      <c r="BA127" s="1507"/>
      <c r="BB127" s="1507" t="str">
        <f aca="false">IF($AT127&gt;0,VLOOKUP($AR127,'O_MN, PE_UTA_UGM 2024'!$E$3:$O$419,BB$6),"")</f>
        <v/>
      </c>
      <c r="BC127" s="1507" t="str">
        <f aca="false">IF($AT127&gt;0,VLOOKUP($AR127,'O_MN, PE_UTA_UGM 2024'!$E$3:$O$419,BC$6),"")</f>
        <v/>
      </c>
      <c r="BD127" s="1507" t="str">
        <f aca="false">IF($AT127&gt;0,VLOOKUP($AR127,'O_MN, PE_UTA_UGM 2024'!$E$3:$O$419,BD$6),"")</f>
        <v/>
      </c>
      <c r="BE127" s="1507" t="str">
        <f aca="false">IF($AT127&gt;0,VLOOKUP($AR127,'O_MN, PE_UTA_UGM 2024'!$E$3:$O$419,BE$6),"")</f>
        <v/>
      </c>
      <c r="BF127" s="1507" t="str">
        <f aca="false">IF($AT127&gt;0,VLOOKUP($AR127,'O_MN, PE_UTA_UGM 2024'!$E$3:$O$419,BF$6),"")</f>
        <v/>
      </c>
      <c r="BG127" s="1507" t="str">
        <f aca="false">IF($AT127&gt;0,VLOOKUP($AR127,'O_MN, PE_UTA_UGM 2024'!$E$3:$O$419,BG$6),"")</f>
        <v/>
      </c>
      <c r="BH127" s="1504"/>
      <c r="BI127" s="1504"/>
      <c r="BJ127" s="1504"/>
      <c r="BK127" s="1504"/>
      <c r="BM127" s="1411"/>
      <c r="BN127" s="1411"/>
      <c r="BO127" s="1425" t="str">
        <f aca="false">IF(ISNUMBER($AU127*BB127*1),$AU127*BB127*1,"")</f>
        <v/>
      </c>
      <c r="BP127" s="1425" t="str">
        <f aca="false">IF(ISNUMBER($AV127*BC127*1),$AV127*BC127*1,"")</f>
        <v/>
      </c>
      <c r="BQ127" s="1425" t="str">
        <f aca="false">IF(ISNUMBER($AU127*BD127*1),$AU127*BD127*1,"")</f>
        <v/>
      </c>
      <c r="BR127" s="1425" t="str">
        <f aca="false">IF(ISNUMBER($AV127*BE127*1),$AV127*BE127*1,"")</f>
        <v/>
      </c>
      <c r="BS127" s="1411" t="str">
        <f aca="false">IF(ISNUMBER($AU127*BF127),$AU127*BF127,"")</f>
        <v/>
      </c>
      <c r="BT127" s="1411" t="str">
        <f aca="false">IF(ISNUMBER($AV127*BG127),$AV127*BG127,"")</f>
        <v/>
      </c>
      <c r="BU127" s="1411"/>
      <c r="BV127" s="1411"/>
      <c r="BW127" s="1411"/>
      <c r="BX127" s="1411"/>
      <c r="BZ127" s="1372"/>
      <c r="CA127" s="1372"/>
      <c r="CB127" s="1426" t="str">
        <f aca="false">IF(ISNUMBER($AW127*BB127),$AW127*BB127,"")</f>
        <v/>
      </c>
      <c r="CC127" s="1426" t="str">
        <f aca="false">IF(ISNUMBER($AX127*BC127),$AX127*BC127,"")</f>
        <v/>
      </c>
      <c r="CD127" s="1426" t="str">
        <f aca="false">IF(ISNUMBER($AW127*BD127),$AW127*BD127,"")</f>
        <v/>
      </c>
      <c r="CE127" s="1426" t="str">
        <f aca="false">IF(ISNUMBER($AX127*BE127),$AX127*BE127,"")</f>
        <v/>
      </c>
      <c r="CF127" s="1372" t="str">
        <f aca="false">IF(ISNUMBER($AW127*BF127),$AW127*BF127,"")</f>
        <v/>
      </c>
      <c r="CG127" s="1372" t="str">
        <f aca="false">IF(ISNUMBER($AX127*BG127),$AX127*BG127,"")</f>
        <v/>
      </c>
      <c r="CH127" s="1438"/>
      <c r="CI127" s="1438"/>
      <c r="CJ127" s="1438"/>
      <c r="CK127" s="1438"/>
      <c r="CU127" s="1411"/>
      <c r="CV127" s="1411"/>
      <c r="CW127" s="1425"/>
      <c r="CX127" s="1425"/>
      <c r="CY127" s="1425"/>
      <c r="CZ127" s="1425"/>
      <c r="DA127" s="1411"/>
      <c r="DB127" s="1411"/>
      <c r="DC127" s="1411"/>
      <c r="DD127" s="1411"/>
      <c r="DE127" s="1411"/>
      <c r="DF127" s="1411"/>
      <c r="DH127" s="1432"/>
      <c r="DI127" s="1432"/>
      <c r="DJ127" s="1437"/>
      <c r="DK127" s="1437"/>
      <c r="DL127" s="1437"/>
      <c r="DM127" s="1437"/>
      <c r="DN127" s="1432"/>
      <c r="DO127" s="1432"/>
      <c r="DP127" s="1432"/>
      <c r="DQ127" s="1432"/>
      <c r="DR127" s="1432"/>
      <c r="DS127" s="1432"/>
      <c r="DT127" s="1316"/>
      <c r="DU127" s="1433"/>
      <c r="DV127" s="1433"/>
      <c r="DW127" s="1433"/>
      <c r="DX127" s="1433"/>
      <c r="DY127" s="1433"/>
      <c r="DZ127" s="1433"/>
      <c r="EA127" s="1433"/>
      <c r="EB127" s="1433"/>
    </row>
    <row r="128" customFormat="false" ht="14.25" hidden="false" customHeight="false" outlineLevel="0" collapsed="false">
      <c r="A128" s="2" t="n">
        <f aca="false">'V_DATOS PAC_SGA'!CC123</f>
        <v>0</v>
      </c>
      <c r="B128" s="2" t="n">
        <f aca="false">IF(OR(A128=0,A128=""),0,IF(I128="IV",CONCATENATE('V_DATOS PAC_SGA'!CC123,"4")+0,CONCATENATE('V_DATOS PAC_SGA'!CC123,"0")+0))</f>
        <v>0</v>
      </c>
      <c r="C128" s="2" t="n">
        <f aca="false">'V_DATOS PAC_SGA'!CD123</f>
        <v>0</v>
      </c>
      <c r="D128" s="1409" t="n">
        <f aca="false">'V_DATOS PAC_SGA'!Y123</f>
        <v>0</v>
      </c>
      <c r="E128" s="1410" t="str">
        <f aca="false">IF('V_DATOS PAC_SGA'!AV123="","Regadio",'V_DATOS PAC_SGA'!AV123)</f>
        <v>Regadio</v>
      </c>
      <c r="F128" s="1411" t="n">
        <f aca="false">'V_DATOS PAC_SGA'!BK123</f>
        <v>0</v>
      </c>
      <c r="G128" s="1412" t="n">
        <f aca="false">'V_DATOS PAC_SGA'!AN123</f>
        <v>0</v>
      </c>
      <c r="H128" s="1413" t="str">
        <f aca="false">IF(B128&gt;0,VLOOKUP(B128,'O_MN, PE_UTA_UGM 2024'!E$3:O$419,10),"")</f>
        <v/>
      </c>
      <c r="I128" s="1359" t="str">
        <f aca="false">IF('V_DATOS PAC_SGA'!BV123="IV",'V_DATOS PAC_SGA'!BV123,"")</f>
        <v/>
      </c>
      <c r="J128" s="2" t="str">
        <f aca="false">IF($A128&gt;0,IF(AND(J$4=$G128,J$6=$F128),$D128*J$5,""),"")</f>
        <v/>
      </c>
      <c r="K128" s="2" t="str">
        <f aca="false">IF($A128&gt;0,IF(AND(K$4=$G128,K$6=$F128),$D128*K$5,""),"")</f>
        <v/>
      </c>
      <c r="L128" s="2" t="str">
        <f aca="false">IF($A128&gt;0,IF(AND(L$4=$G128,L$6=$F128),$D128*L$5,""),"")</f>
        <v/>
      </c>
      <c r="M128" s="2" t="str">
        <f aca="false">IF($A128&gt;0,IF(AND(M$4=$G128,M$6=$F128),$D128*M$5,""),"")</f>
        <v/>
      </c>
      <c r="N128" s="1506" t="n">
        <f aca="false">VLOOKUP(B128,'O_MN, PE_UTA_UGM 2024'!$E$2:$K$419,IF(G128&gt;1,6,7))</f>
        <v>0</v>
      </c>
      <c r="O128" s="1434" t="str">
        <f aca="false">IF($H128=O$4,$D128*$N128,"")</f>
        <v/>
      </c>
      <c r="P128" s="1435" t="str">
        <f aca="false">IF($H128=P$4,$D128*$N128,"")</f>
        <v/>
      </c>
      <c r="Q128" s="1435" t="str">
        <f aca="false">IF($H128=Q$4,$D128*$N128,"")</f>
        <v/>
      </c>
      <c r="R128" s="1435" t="str">
        <f aca="false">IF($H128=R$4,$D128*$N128,"")</f>
        <v/>
      </c>
      <c r="S128" s="1435" t="str">
        <f aca="false">IF($H128=S$4,$D128*$N128,"")</f>
        <v/>
      </c>
      <c r="T128" s="1435" t="str">
        <f aca="false">IF($H128=T$4,$D128*$N128,"")</f>
        <v/>
      </c>
      <c r="U128" s="1436" t="str">
        <f aca="false">IF($H128=U$4,$D128*$N128,"")</f>
        <v/>
      </c>
      <c r="V128" s="1418"/>
      <c r="W128" s="1419"/>
      <c r="X128" s="1419"/>
      <c r="Y128" s="1419"/>
      <c r="Z128" s="1419"/>
      <c r="AA128" s="1419"/>
      <c r="AB128" s="1420"/>
      <c r="AC128" s="1319"/>
      <c r="AD128" s="2" t="str">
        <f aca="false">IF(AND(AD$4=$G128,AD$6=$F128),$B128,"")</f>
        <v/>
      </c>
      <c r="AE128" s="2" t="str">
        <f aca="false">IF(AND(AE$4=$G128,AE$6=$F128),$B128,"")</f>
        <v/>
      </c>
      <c r="AF128" s="2" t="str">
        <f aca="false">IF(AND(AF$4=$G128,AF$6=$F128),$B128,"")</f>
        <v/>
      </c>
      <c r="AG128" s="2" t="str">
        <f aca="false">IF(AND(AG$4=$G128,AG$6=$F128),$B128,"")</f>
        <v/>
      </c>
      <c r="AI128" s="366"/>
      <c r="AL128" s="367"/>
      <c r="AO128" s="367"/>
      <c r="AP128" s="2" t="str">
        <f aca="false">IF(AT128&gt;0,RANK(AT128,AT$7:AT$423),"")</f>
        <v/>
      </c>
      <c r="AQ128" s="2" t="n">
        <f aca="false">'O_MN, PE_UTA_UGM 2024'!C124</f>
        <v>165</v>
      </c>
      <c r="AR128" s="1421" t="n">
        <v>1639</v>
      </c>
      <c r="AS128" s="2" t="str">
        <f aca="false">IF(AY128&lt;&gt;"",AY128,"")</f>
        <v/>
      </c>
      <c r="AT128" s="1422" t="n">
        <f aca="false">IF(ISNUMBER($AR128),SUMIF(B$7:B$505,AR128,D$7:D$505),"")</f>
        <v>0</v>
      </c>
      <c r="AU128" s="1411" t="n">
        <f aca="false">IF(ISNUMBER($AR128),SUMIF(AD$7:AD$503,$AR128,J$7:J$503),"")</f>
        <v>0</v>
      </c>
      <c r="AV128" s="1411" t="n">
        <f aca="false">IF(ISNUMBER($AR128),SUMIF(AF$7:AF$503,$AR128,L$7:L$503),"")</f>
        <v>0</v>
      </c>
      <c r="AW128" s="1423" t="n">
        <f aca="false">IF(ISNUMBER($AR128),SUMIF(AE$7:AE$503,$AR128,K$7:K$503),"")</f>
        <v>0</v>
      </c>
      <c r="AX128" s="1423" t="n">
        <f aca="false">IF(ISNUMBER($AR128),SUMIF(AG$7:AG$503,$AR128,M$7:M$503),"")</f>
        <v>0</v>
      </c>
      <c r="AY128" s="2" t="str">
        <f aca="false">IF($AT128&gt;0,VLOOKUP($AR128,'O_MN, PE_UTA_UGM 2024'!E124:O540,2),"")</f>
        <v/>
      </c>
      <c r="AZ128" s="1507"/>
      <c r="BA128" s="1507"/>
      <c r="BB128" s="1507" t="str">
        <f aca="false">IF($AT128&gt;0,VLOOKUP($AR128,'O_MN, PE_UTA_UGM 2024'!$E$3:$O$419,BB$6),"")</f>
        <v/>
      </c>
      <c r="BC128" s="1507" t="str">
        <f aca="false">IF($AT128&gt;0,VLOOKUP($AR128,'O_MN, PE_UTA_UGM 2024'!$E$3:$O$419,BC$6),"")</f>
        <v/>
      </c>
      <c r="BD128" s="1507" t="str">
        <f aca="false">IF($AT128&gt;0,VLOOKUP($AR128,'O_MN, PE_UTA_UGM 2024'!$E$3:$O$419,BD$6),"")</f>
        <v/>
      </c>
      <c r="BE128" s="1507" t="str">
        <f aca="false">IF($AT128&gt;0,VLOOKUP($AR128,'O_MN, PE_UTA_UGM 2024'!$E$3:$O$419,BE$6),"")</f>
        <v/>
      </c>
      <c r="BF128" s="1507" t="str">
        <f aca="false">IF($AT128&gt;0,VLOOKUP($AR128,'O_MN, PE_UTA_UGM 2024'!$E$3:$O$419,BF$6),"")</f>
        <v/>
      </c>
      <c r="BG128" s="1507" t="str">
        <f aca="false">IF($AT128&gt;0,VLOOKUP($AR128,'O_MN, PE_UTA_UGM 2024'!$E$3:$O$419,BG$6),"")</f>
        <v/>
      </c>
      <c r="BH128" s="1504"/>
      <c r="BI128" s="1504"/>
      <c r="BJ128" s="1504"/>
      <c r="BK128" s="1504"/>
      <c r="BM128" s="1411"/>
      <c r="BN128" s="1411"/>
      <c r="BO128" s="1425" t="str">
        <f aca="false">IF(ISNUMBER($AU128*BB128*1),$AU128*BB128*1,"")</f>
        <v/>
      </c>
      <c r="BP128" s="1425" t="str">
        <f aca="false">IF(ISNUMBER($AV128*BC128*1),$AV128*BC128*1,"")</f>
        <v/>
      </c>
      <c r="BQ128" s="1425" t="str">
        <f aca="false">IF(ISNUMBER($AU128*BD128*1),$AU128*BD128*1,"")</f>
        <v/>
      </c>
      <c r="BR128" s="1425" t="str">
        <f aca="false">IF(ISNUMBER($AV128*BE128*1),$AV128*BE128*1,"")</f>
        <v/>
      </c>
      <c r="BS128" s="1411" t="str">
        <f aca="false">IF(ISNUMBER($AU128*BF128),$AU128*BF128,"")</f>
        <v/>
      </c>
      <c r="BT128" s="1411" t="str">
        <f aca="false">IF(ISNUMBER($AV128*BG128),$AV128*BG128,"")</f>
        <v/>
      </c>
      <c r="BU128" s="1411"/>
      <c r="BV128" s="1411"/>
      <c r="BW128" s="1411"/>
      <c r="BX128" s="1411"/>
      <c r="BZ128" s="1372"/>
      <c r="CA128" s="1372"/>
      <c r="CB128" s="1426" t="str">
        <f aca="false">IF(ISNUMBER($AW128*BB128),$AW128*BB128,"")</f>
        <v/>
      </c>
      <c r="CC128" s="1426" t="str">
        <f aca="false">IF(ISNUMBER($AX128*BC128),$AX128*BC128,"")</f>
        <v/>
      </c>
      <c r="CD128" s="1426" t="str">
        <f aca="false">IF(ISNUMBER($AW128*BD128),$AW128*BD128,"")</f>
        <v/>
      </c>
      <c r="CE128" s="1426" t="str">
        <f aca="false">IF(ISNUMBER($AX128*BE128),$AX128*BE128,"")</f>
        <v/>
      </c>
      <c r="CF128" s="1372" t="str">
        <f aca="false">IF(ISNUMBER($AW128*BF128),$AW128*BF128,"")</f>
        <v/>
      </c>
      <c r="CG128" s="1372" t="str">
        <f aca="false">IF(ISNUMBER($AX128*BG128),$AX128*BG128,"")</f>
        <v/>
      </c>
      <c r="CH128" s="1438"/>
      <c r="CI128" s="1438"/>
      <c r="CJ128" s="1438"/>
      <c r="CK128" s="1438"/>
      <c r="CU128" s="1411"/>
      <c r="CV128" s="1411"/>
      <c r="CW128" s="1425"/>
      <c r="CX128" s="1425"/>
      <c r="CY128" s="1425"/>
      <c r="CZ128" s="1425"/>
      <c r="DA128" s="1411"/>
      <c r="DB128" s="1411"/>
      <c r="DC128" s="1411"/>
      <c r="DD128" s="1411"/>
      <c r="DE128" s="1411"/>
      <c r="DF128" s="1411"/>
      <c r="DH128" s="1432"/>
      <c r="DI128" s="1432"/>
      <c r="DJ128" s="1437"/>
      <c r="DK128" s="1437"/>
      <c r="DL128" s="1437"/>
      <c r="DM128" s="1437"/>
      <c r="DN128" s="1432"/>
      <c r="DO128" s="1432"/>
      <c r="DP128" s="1432"/>
      <c r="DQ128" s="1432"/>
      <c r="DR128" s="1432"/>
      <c r="DS128" s="1432"/>
      <c r="DT128" s="1316"/>
      <c r="DU128" s="1433"/>
      <c r="DV128" s="1433"/>
      <c r="DW128" s="1433"/>
      <c r="DX128" s="1433"/>
      <c r="DY128" s="1433"/>
      <c r="DZ128" s="1433"/>
      <c r="EA128" s="1433"/>
      <c r="EB128" s="1433"/>
    </row>
    <row r="129" customFormat="false" ht="14.25" hidden="false" customHeight="false" outlineLevel="0" collapsed="false">
      <c r="A129" s="2" t="n">
        <f aca="false">'V_DATOS PAC_SGA'!CC124</f>
        <v>0</v>
      </c>
      <c r="B129" s="2" t="n">
        <f aca="false">IF(OR(A129=0,A129=""),0,IF(I129="IV",CONCATENATE('V_DATOS PAC_SGA'!CC124,"4")+0,CONCATENATE('V_DATOS PAC_SGA'!CC124,"0")+0))</f>
        <v>0</v>
      </c>
      <c r="C129" s="2" t="n">
        <f aca="false">'V_DATOS PAC_SGA'!CD124</f>
        <v>0</v>
      </c>
      <c r="D129" s="1409" t="n">
        <f aca="false">'V_DATOS PAC_SGA'!Y124</f>
        <v>0</v>
      </c>
      <c r="E129" s="1410" t="str">
        <f aca="false">IF('V_DATOS PAC_SGA'!AV124="","Regadio",'V_DATOS PAC_SGA'!AV124)</f>
        <v>Regadio</v>
      </c>
      <c r="F129" s="1411" t="n">
        <f aca="false">'V_DATOS PAC_SGA'!BK124</f>
        <v>0</v>
      </c>
      <c r="G129" s="1412" t="n">
        <f aca="false">'V_DATOS PAC_SGA'!AN124</f>
        <v>0</v>
      </c>
      <c r="H129" s="1413" t="str">
        <f aca="false">IF(B129&gt;0,VLOOKUP(B129,'O_MN, PE_UTA_UGM 2024'!E$3:O$419,10),"")</f>
        <v/>
      </c>
      <c r="I129" s="1359" t="str">
        <f aca="false">IF('V_DATOS PAC_SGA'!BV124="IV",'V_DATOS PAC_SGA'!BV124,"")</f>
        <v/>
      </c>
      <c r="J129" s="2" t="str">
        <f aca="false">IF($A129&gt;0,IF(AND(J$4=$G129,J$6=$F129),$D129*J$5,""),"")</f>
        <v/>
      </c>
      <c r="K129" s="2" t="str">
        <f aca="false">IF($A129&gt;0,IF(AND(K$4=$G129,K$6=$F129),$D129*K$5,""),"")</f>
        <v/>
      </c>
      <c r="L129" s="2" t="str">
        <f aca="false">IF($A129&gt;0,IF(AND(L$4=$G129,L$6=$F129),$D129*L$5,""),"")</f>
        <v/>
      </c>
      <c r="M129" s="2" t="str">
        <f aca="false">IF($A129&gt;0,IF(AND(M$4=$G129,M$6=$F129),$D129*M$5,""),"")</f>
        <v/>
      </c>
      <c r="N129" s="1506" t="n">
        <f aca="false">VLOOKUP(B129,'O_MN, PE_UTA_UGM 2024'!$E$2:$K$419,IF(G129&gt;1,6,7))</f>
        <v>0</v>
      </c>
      <c r="O129" s="1434" t="str">
        <f aca="false">IF($H129=O$4,$D129*$N129,"")</f>
        <v/>
      </c>
      <c r="P129" s="1435" t="str">
        <f aca="false">IF($H129=P$4,$D129*$N129,"")</f>
        <v/>
      </c>
      <c r="Q129" s="1435" t="str">
        <f aca="false">IF($H129=Q$4,$D129*$N129,"")</f>
        <v/>
      </c>
      <c r="R129" s="1435" t="str">
        <f aca="false">IF($H129=R$4,$D129*$N129,"")</f>
        <v/>
      </c>
      <c r="S129" s="1435" t="str">
        <f aca="false">IF($H129=S$4,$D129*$N129,"")</f>
        <v/>
      </c>
      <c r="T129" s="1435" t="str">
        <f aca="false">IF($H129=T$4,$D129*$N129,"")</f>
        <v/>
      </c>
      <c r="U129" s="1436" t="str">
        <f aca="false">IF($H129=U$4,$D129*$N129,"")</f>
        <v/>
      </c>
      <c r="V129" s="1418"/>
      <c r="W129" s="1419"/>
      <c r="X129" s="1419"/>
      <c r="Y129" s="1419"/>
      <c r="Z129" s="1419"/>
      <c r="AA129" s="1419"/>
      <c r="AB129" s="1420"/>
      <c r="AC129" s="1319"/>
      <c r="AD129" s="2" t="str">
        <f aca="false">IF(AND(AD$4=$G129,AD$6=$F129),$B129,"")</f>
        <v/>
      </c>
      <c r="AE129" s="2" t="str">
        <f aca="false">IF(AND(AE$4=$G129,AE$6=$F129),$B129,"")</f>
        <v/>
      </c>
      <c r="AF129" s="2" t="str">
        <f aca="false">IF(AND(AF$4=$G129,AF$6=$F129),$B129,"")</f>
        <v/>
      </c>
      <c r="AG129" s="2" t="str">
        <f aca="false">IF(AND(AG$4=$G129,AG$6=$F129),$B129,"")</f>
        <v/>
      </c>
      <c r="AI129" s="366"/>
      <c r="AL129" s="367"/>
      <c r="AO129" s="367"/>
      <c r="AP129" s="2" t="str">
        <f aca="false">IF(AT129&gt;0,RANK(AT129,AT$7:AT$423),"")</f>
        <v/>
      </c>
      <c r="AQ129" s="2" t="n">
        <f aca="false">'O_MN, PE_UTA_UGM 2024'!C125</f>
        <v>165</v>
      </c>
      <c r="AR129" s="1421" t="n">
        <v>1640</v>
      </c>
      <c r="AS129" s="2" t="str">
        <f aca="false">IF(AY129&lt;&gt;"",AY129,"")</f>
        <v/>
      </c>
      <c r="AT129" s="1422" t="n">
        <f aca="false">IF(ISNUMBER($AR129),SUMIF(B$7:B$505,AR129,D$7:D$505),"")</f>
        <v>0</v>
      </c>
      <c r="AU129" s="1411" t="n">
        <f aca="false">IF(ISNUMBER($AR129),SUMIF(AD$7:AD$503,$AR129,J$7:J$503),"")</f>
        <v>0</v>
      </c>
      <c r="AV129" s="1411" t="n">
        <f aca="false">IF(ISNUMBER($AR129),SUMIF(AF$7:AF$503,$AR129,L$7:L$503),"")</f>
        <v>0</v>
      </c>
      <c r="AW129" s="1423" t="n">
        <f aca="false">IF(ISNUMBER($AR129),SUMIF(AE$7:AE$503,$AR129,K$7:K$503),"")</f>
        <v>0</v>
      </c>
      <c r="AX129" s="1423" t="n">
        <f aca="false">IF(ISNUMBER($AR129),SUMIF(AG$7:AG$503,$AR129,M$7:M$503),"")</f>
        <v>0</v>
      </c>
      <c r="AY129" s="2" t="str">
        <f aca="false">IF($AT129&gt;0,VLOOKUP($AR129,'O_MN, PE_UTA_UGM 2024'!E125:O541,2),"")</f>
        <v/>
      </c>
      <c r="AZ129" s="1507"/>
      <c r="BA129" s="1507"/>
      <c r="BB129" s="1507" t="str">
        <f aca="false">IF($AT129&gt;0,VLOOKUP($AR129,'O_MN, PE_UTA_UGM 2024'!$E$3:$O$419,BB$6),"")</f>
        <v/>
      </c>
      <c r="BC129" s="1507" t="str">
        <f aca="false">IF($AT129&gt;0,VLOOKUP($AR129,'O_MN, PE_UTA_UGM 2024'!$E$3:$O$419,BC$6),"")</f>
        <v/>
      </c>
      <c r="BD129" s="1507" t="str">
        <f aca="false">IF($AT129&gt;0,VLOOKUP($AR129,'O_MN, PE_UTA_UGM 2024'!$E$3:$O$419,BD$6),"")</f>
        <v/>
      </c>
      <c r="BE129" s="1507" t="str">
        <f aca="false">IF($AT129&gt;0,VLOOKUP($AR129,'O_MN, PE_UTA_UGM 2024'!$E$3:$O$419,BE$6),"")</f>
        <v/>
      </c>
      <c r="BF129" s="1507" t="str">
        <f aca="false">IF($AT129&gt;0,VLOOKUP($AR129,'O_MN, PE_UTA_UGM 2024'!$E$3:$O$419,BF$6),"")</f>
        <v/>
      </c>
      <c r="BG129" s="1507" t="str">
        <f aca="false">IF($AT129&gt;0,VLOOKUP($AR129,'O_MN, PE_UTA_UGM 2024'!$E$3:$O$419,BG$6),"")</f>
        <v/>
      </c>
      <c r="BH129" s="1504"/>
      <c r="BI129" s="1504"/>
      <c r="BJ129" s="1504"/>
      <c r="BK129" s="1504"/>
      <c r="BM129" s="1411"/>
      <c r="BN129" s="1411"/>
      <c r="BO129" s="1425" t="str">
        <f aca="false">IF(ISNUMBER($AU129*BB129*1),$AU129*BB129*1,"")</f>
        <v/>
      </c>
      <c r="BP129" s="1425" t="str">
        <f aca="false">IF(ISNUMBER($AV129*BC129*1),$AV129*BC129*1,"")</f>
        <v/>
      </c>
      <c r="BQ129" s="1425" t="str">
        <f aca="false">IF(ISNUMBER($AU129*BD129*1),$AU129*BD129*1,"")</f>
        <v/>
      </c>
      <c r="BR129" s="1425" t="str">
        <f aca="false">IF(ISNUMBER($AV129*BE129*1),$AV129*BE129*1,"")</f>
        <v/>
      </c>
      <c r="BS129" s="1411" t="str">
        <f aca="false">IF(ISNUMBER($AU129*BF129),$AU129*BF129,"")</f>
        <v/>
      </c>
      <c r="BT129" s="1411" t="str">
        <f aca="false">IF(ISNUMBER($AV129*BG129),$AV129*BG129,"")</f>
        <v/>
      </c>
      <c r="BU129" s="1411"/>
      <c r="BV129" s="1411"/>
      <c r="BW129" s="1411"/>
      <c r="BX129" s="1411"/>
      <c r="BZ129" s="1372"/>
      <c r="CA129" s="1372"/>
      <c r="CB129" s="1426" t="str">
        <f aca="false">IF(ISNUMBER($AW129*BB129),$AW129*BB129,"")</f>
        <v/>
      </c>
      <c r="CC129" s="1426" t="str">
        <f aca="false">IF(ISNUMBER($AX129*BC129),$AX129*BC129,"")</f>
        <v/>
      </c>
      <c r="CD129" s="1426" t="str">
        <f aca="false">IF(ISNUMBER($AW129*BD129),$AW129*BD129,"")</f>
        <v/>
      </c>
      <c r="CE129" s="1426" t="str">
        <f aca="false">IF(ISNUMBER($AX129*BE129),$AX129*BE129,"")</f>
        <v/>
      </c>
      <c r="CF129" s="1372" t="str">
        <f aca="false">IF(ISNUMBER($AW129*BF129),$AW129*BF129,"")</f>
        <v/>
      </c>
      <c r="CG129" s="1372" t="str">
        <f aca="false">IF(ISNUMBER($AX129*BG129),$AX129*BG129,"")</f>
        <v/>
      </c>
      <c r="CH129" s="1438"/>
      <c r="CI129" s="1438"/>
      <c r="CJ129" s="1438"/>
      <c r="CK129" s="1438"/>
      <c r="CU129" s="1411"/>
      <c r="CV129" s="1411"/>
      <c r="CW129" s="1425"/>
      <c r="CX129" s="1425"/>
      <c r="CY129" s="1425"/>
      <c r="CZ129" s="1425"/>
      <c r="DA129" s="1411"/>
      <c r="DB129" s="1411"/>
      <c r="DC129" s="1411"/>
      <c r="DD129" s="1411"/>
      <c r="DE129" s="1411"/>
      <c r="DF129" s="1411"/>
      <c r="DH129" s="1432"/>
      <c r="DI129" s="1432"/>
      <c r="DJ129" s="1437"/>
      <c r="DK129" s="1437"/>
      <c r="DL129" s="1437"/>
      <c r="DM129" s="1437"/>
      <c r="DN129" s="1432"/>
      <c r="DO129" s="1432"/>
      <c r="DP129" s="1432"/>
      <c r="DQ129" s="1432"/>
      <c r="DR129" s="1432"/>
      <c r="DS129" s="1432"/>
      <c r="DT129" s="1316"/>
      <c r="DU129" s="1433"/>
      <c r="DV129" s="1433"/>
      <c r="DW129" s="1433"/>
      <c r="DX129" s="1433"/>
      <c r="DY129" s="1433"/>
      <c r="DZ129" s="1433"/>
      <c r="EA129" s="1433"/>
      <c r="EB129" s="1433"/>
    </row>
    <row r="130" customFormat="false" ht="14.25" hidden="false" customHeight="false" outlineLevel="0" collapsed="false">
      <c r="A130" s="2" t="n">
        <f aca="false">'V_DATOS PAC_SGA'!CC125</f>
        <v>0</v>
      </c>
      <c r="B130" s="2" t="n">
        <f aca="false">IF(OR(A130=0,A130=""),0,IF(I130="IV",CONCATENATE('V_DATOS PAC_SGA'!CC125,"4")+0,CONCATENATE('V_DATOS PAC_SGA'!CC125,"0")+0))</f>
        <v>0</v>
      </c>
      <c r="C130" s="2" t="n">
        <f aca="false">'V_DATOS PAC_SGA'!CD125</f>
        <v>0</v>
      </c>
      <c r="D130" s="1409" t="n">
        <f aca="false">'V_DATOS PAC_SGA'!Y125</f>
        <v>0</v>
      </c>
      <c r="E130" s="1410" t="str">
        <f aca="false">IF('V_DATOS PAC_SGA'!AV125="","Regadio",'V_DATOS PAC_SGA'!AV125)</f>
        <v>Regadio</v>
      </c>
      <c r="F130" s="1411" t="n">
        <f aca="false">'V_DATOS PAC_SGA'!BK125</f>
        <v>0</v>
      </c>
      <c r="G130" s="1412" t="n">
        <f aca="false">'V_DATOS PAC_SGA'!AN125</f>
        <v>0</v>
      </c>
      <c r="H130" s="1413" t="str">
        <f aca="false">IF(B130&gt;0,VLOOKUP(B130,'O_MN, PE_UTA_UGM 2024'!E$3:O$419,10),"")</f>
        <v/>
      </c>
      <c r="I130" s="1359" t="str">
        <f aca="false">IF('V_DATOS PAC_SGA'!BV125="IV",'V_DATOS PAC_SGA'!BV125,"")</f>
        <v/>
      </c>
      <c r="J130" s="2" t="str">
        <f aca="false">IF($A130&gt;0,IF(AND(J$4=$G130,J$6=$F130),$D130*J$5,""),"")</f>
        <v/>
      </c>
      <c r="K130" s="2" t="str">
        <f aca="false">IF($A130&gt;0,IF(AND(K$4=$G130,K$6=$F130),$D130*K$5,""),"")</f>
        <v/>
      </c>
      <c r="L130" s="2" t="str">
        <f aca="false">IF($A130&gt;0,IF(AND(L$4=$G130,L$6=$F130),$D130*L$5,""),"")</f>
        <v/>
      </c>
      <c r="M130" s="2" t="str">
        <f aca="false">IF($A130&gt;0,IF(AND(M$4=$G130,M$6=$F130),$D130*M$5,""),"")</f>
        <v/>
      </c>
      <c r="N130" s="1506" t="n">
        <f aca="false">VLOOKUP(B130,'O_MN, PE_UTA_UGM 2024'!$E$2:$K$419,IF(G130&gt;1,6,7))</f>
        <v>0</v>
      </c>
      <c r="O130" s="1434" t="str">
        <f aca="false">IF($H130=O$4,$D130*$N130,"")</f>
        <v/>
      </c>
      <c r="P130" s="1435" t="str">
        <f aca="false">IF($H130=P$4,$D130*$N130,"")</f>
        <v/>
      </c>
      <c r="Q130" s="1435" t="str">
        <f aca="false">IF($H130=Q$4,$D130*$N130,"")</f>
        <v/>
      </c>
      <c r="R130" s="1435" t="str">
        <f aca="false">IF($H130=R$4,$D130*$N130,"")</f>
        <v/>
      </c>
      <c r="S130" s="1435" t="str">
        <f aca="false">IF($H130=S$4,$D130*$N130,"")</f>
        <v/>
      </c>
      <c r="T130" s="1435" t="str">
        <f aca="false">IF($H130=T$4,$D130*$N130,"")</f>
        <v/>
      </c>
      <c r="U130" s="1436" t="str">
        <f aca="false">IF($H130=U$4,$D130*$N130,"")</f>
        <v/>
      </c>
      <c r="V130" s="1418"/>
      <c r="W130" s="1419"/>
      <c r="X130" s="1419"/>
      <c r="Y130" s="1419"/>
      <c r="Z130" s="1419"/>
      <c r="AA130" s="1419"/>
      <c r="AB130" s="1420"/>
      <c r="AC130" s="1319"/>
      <c r="AD130" s="2" t="str">
        <f aca="false">IF(AND(AD$4=$G130,AD$6=$F130),$B130,"")</f>
        <v/>
      </c>
      <c r="AE130" s="2" t="str">
        <f aca="false">IF(AND(AE$4=$G130,AE$6=$F130),$B130,"")</f>
        <v/>
      </c>
      <c r="AF130" s="2" t="str">
        <f aca="false">IF(AND(AF$4=$G130,AF$6=$F130),$B130,"")</f>
        <v/>
      </c>
      <c r="AG130" s="2" t="str">
        <f aca="false">IF(AND(AG$4=$G130,AG$6=$F130),$B130,"")</f>
        <v/>
      </c>
      <c r="AI130" s="366"/>
      <c r="AL130" s="367"/>
      <c r="AO130" s="367"/>
      <c r="AP130" s="2" t="str">
        <f aca="false">IF(AT130&gt;0,RANK(AT130,AT$7:AT$423),"")</f>
        <v/>
      </c>
      <c r="AQ130" s="2" t="n">
        <f aca="false">'O_MN, PE_UTA_UGM 2024'!C126</f>
        <v>165</v>
      </c>
      <c r="AR130" s="1421" t="n">
        <v>1644</v>
      </c>
      <c r="AS130" s="2" t="str">
        <f aca="false">IF(AY130&lt;&gt;"",AY130,"")</f>
        <v/>
      </c>
      <c r="AT130" s="1422" t="n">
        <f aca="false">IF(ISNUMBER($AR130),SUMIF(B$7:B$505,AR130,D$7:D$505),"")</f>
        <v>0</v>
      </c>
      <c r="AU130" s="1411" t="n">
        <f aca="false">IF(ISNUMBER($AR130),SUMIF(AD$7:AD$503,$AR130,J$7:J$503),"")</f>
        <v>0</v>
      </c>
      <c r="AV130" s="1411" t="n">
        <f aca="false">IF(ISNUMBER($AR130),SUMIF(AF$7:AF$503,$AR130,L$7:L$503),"")</f>
        <v>0</v>
      </c>
      <c r="AW130" s="1423" t="n">
        <f aca="false">IF(ISNUMBER($AR130),SUMIF(AE$7:AE$503,$AR130,K$7:K$503),"")</f>
        <v>0</v>
      </c>
      <c r="AX130" s="1423" t="n">
        <f aca="false">IF(ISNUMBER($AR130),SUMIF(AG$7:AG$503,$AR130,M$7:M$503),"")</f>
        <v>0</v>
      </c>
      <c r="AY130" s="2" t="str">
        <f aca="false">IF($AT130&gt;0,VLOOKUP($AR130,'O_MN, PE_UTA_UGM 2024'!E126:O542,2),"")</f>
        <v/>
      </c>
      <c r="AZ130" s="1507"/>
      <c r="BA130" s="1507"/>
      <c r="BB130" s="1507" t="str">
        <f aca="false">IF($AT130&gt;0,VLOOKUP($AR130,'O_MN, PE_UTA_UGM 2024'!$E$3:$O$419,BB$6),"")</f>
        <v/>
      </c>
      <c r="BC130" s="1507" t="str">
        <f aca="false">IF($AT130&gt;0,VLOOKUP($AR130,'O_MN, PE_UTA_UGM 2024'!$E$3:$O$419,BC$6),"")</f>
        <v/>
      </c>
      <c r="BD130" s="1507" t="str">
        <f aca="false">IF($AT130&gt;0,VLOOKUP($AR130,'O_MN, PE_UTA_UGM 2024'!$E$3:$O$419,BD$6),"")</f>
        <v/>
      </c>
      <c r="BE130" s="1507" t="str">
        <f aca="false">IF($AT130&gt;0,VLOOKUP($AR130,'O_MN, PE_UTA_UGM 2024'!$E$3:$O$419,BE$6),"")</f>
        <v/>
      </c>
      <c r="BF130" s="1507" t="str">
        <f aca="false">IF($AT130&gt;0,VLOOKUP($AR130,'O_MN, PE_UTA_UGM 2024'!$E$3:$O$419,BF$6),"")</f>
        <v/>
      </c>
      <c r="BG130" s="1507" t="str">
        <f aca="false">IF($AT130&gt;0,VLOOKUP($AR130,'O_MN, PE_UTA_UGM 2024'!$E$3:$O$419,BG$6),"")</f>
        <v/>
      </c>
      <c r="BH130" s="1504"/>
      <c r="BI130" s="1504"/>
      <c r="BJ130" s="1504"/>
      <c r="BK130" s="1504"/>
      <c r="BM130" s="1411"/>
      <c r="BN130" s="1411"/>
      <c r="BO130" s="1425" t="str">
        <f aca="false">IF(ISNUMBER($AU130*BB130*1),$AU130*BB130*1,"")</f>
        <v/>
      </c>
      <c r="BP130" s="1425" t="str">
        <f aca="false">IF(ISNUMBER($AV130*BC130*1),$AV130*BC130*1,"")</f>
        <v/>
      </c>
      <c r="BQ130" s="1425" t="str">
        <f aca="false">IF(ISNUMBER($AU130*BD130*1),$AU130*BD130*1,"")</f>
        <v/>
      </c>
      <c r="BR130" s="1425" t="str">
        <f aca="false">IF(ISNUMBER($AV130*BE130*1),$AV130*BE130*1,"")</f>
        <v/>
      </c>
      <c r="BS130" s="1411" t="str">
        <f aca="false">IF(ISNUMBER($AU130*BF130),$AU130*BF130,"")</f>
        <v/>
      </c>
      <c r="BT130" s="1411" t="str">
        <f aca="false">IF(ISNUMBER($AV130*BG130),$AV130*BG130,"")</f>
        <v/>
      </c>
      <c r="BU130" s="1411"/>
      <c r="BV130" s="1411"/>
      <c r="BW130" s="1411"/>
      <c r="BX130" s="1411"/>
      <c r="BZ130" s="1372"/>
      <c r="CA130" s="1372"/>
      <c r="CB130" s="1426" t="str">
        <f aca="false">IF(ISNUMBER($AW130*BB130),$AW130*BB130,"")</f>
        <v/>
      </c>
      <c r="CC130" s="1426" t="str">
        <f aca="false">IF(ISNUMBER($AX130*BC130),$AX130*BC130,"")</f>
        <v/>
      </c>
      <c r="CD130" s="1426" t="str">
        <f aca="false">IF(ISNUMBER($AW130*BD130),$AW130*BD130,"")</f>
        <v/>
      </c>
      <c r="CE130" s="1426" t="str">
        <f aca="false">IF(ISNUMBER($AX130*BE130),$AX130*BE130,"")</f>
        <v/>
      </c>
      <c r="CF130" s="1372" t="str">
        <f aca="false">IF(ISNUMBER($AW130*BF130),$AW130*BF130,"")</f>
        <v/>
      </c>
      <c r="CG130" s="1372" t="str">
        <f aca="false">IF(ISNUMBER($AX130*BG130),$AX130*BG130,"")</f>
        <v/>
      </c>
      <c r="CH130" s="1438"/>
      <c r="CI130" s="1438"/>
      <c r="CJ130" s="1438"/>
      <c r="CK130" s="1438"/>
      <c r="CU130" s="1411"/>
      <c r="CV130" s="1411"/>
      <c r="CW130" s="1425"/>
      <c r="CX130" s="1425"/>
      <c r="CY130" s="1425"/>
      <c r="CZ130" s="1425"/>
      <c r="DA130" s="1411"/>
      <c r="DB130" s="1411"/>
      <c r="DC130" s="1411"/>
      <c r="DD130" s="1411"/>
      <c r="DE130" s="1411"/>
      <c r="DF130" s="1411"/>
      <c r="DH130" s="1432"/>
      <c r="DI130" s="1432"/>
      <c r="DJ130" s="1437"/>
      <c r="DK130" s="1437"/>
      <c r="DL130" s="1437"/>
      <c r="DM130" s="1437"/>
      <c r="DN130" s="1432"/>
      <c r="DO130" s="1432"/>
      <c r="DP130" s="1432"/>
      <c r="DQ130" s="1432"/>
      <c r="DR130" s="1432"/>
      <c r="DS130" s="1432"/>
      <c r="DT130" s="1316"/>
      <c r="DU130" s="1433"/>
      <c r="DV130" s="1433"/>
      <c r="DW130" s="1433"/>
      <c r="DX130" s="1433"/>
      <c r="DY130" s="1433"/>
      <c r="DZ130" s="1433"/>
      <c r="EA130" s="1433"/>
      <c r="EB130" s="1433"/>
    </row>
    <row r="131" customFormat="false" ht="14.25" hidden="false" customHeight="false" outlineLevel="0" collapsed="false">
      <c r="A131" s="2" t="n">
        <f aca="false">'V_DATOS PAC_SGA'!CC126</f>
        <v>0</v>
      </c>
      <c r="B131" s="2" t="n">
        <f aca="false">IF(OR(A131=0,A131=""),0,IF(I131="IV",CONCATENATE('V_DATOS PAC_SGA'!CC126,"4")+0,CONCATENATE('V_DATOS PAC_SGA'!CC126,"0")+0))</f>
        <v>0</v>
      </c>
      <c r="C131" s="2" t="n">
        <f aca="false">'V_DATOS PAC_SGA'!CD126</f>
        <v>0</v>
      </c>
      <c r="D131" s="1409" t="n">
        <f aca="false">'V_DATOS PAC_SGA'!Y126</f>
        <v>0</v>
      </c>
      <c r="E131" s="1410" t="str">
        <f aca="false">IF('V_DATOS PAC_SGA'!AV126="","Regadio",'V_DATOS PAC_SGA'!AV126)</f>
        <v>Regadio</v>
      </c>
      <c r="F131" s="1411" t="n">
        <f aca="false">'V_DATOS PAC_SGA'!BK126</f>
        <v>0</v>
      </c>
      <c r="G131" s="1412" t="n">
        <f aca="false">'V_DATOS PAC_SGA'!AN126</f>
        <v>0</v>
      </c>
      <c r="H131" s="1413" t="str">
        <f aca="false">IF(B131&gt;0,VLOOKUP(B131,'O_MN, PE_UTA_UGM 2024'!E$3:O$419,10),"")</f>
        <v/>
      </c>
      <c r="I131" s="1359" t="str">
        <f aca="false">IF('V_DATOS PAC_SGA'!BV126="IV",'V_DATOS PAC_SGA'!BV126,"")</f>
        <v/>
      </c>
      <c r="J131" s="2" t="str">
        <f aca="false">IF($A131&gt;0,IF(AND(J$4=$G131,J$6=$F131),$D131*J$5,""),"")</f>
        <v/>
      </c>
      <c r="K131" s="2" t="str">
        <f aca="false">IF($A131&gt;0,IF(AND(K$4=$G131,K$6=$F131),$D131*K$5,""),"")</f>
        <v/>
      </c>
      <c r="L131" s="2" t="str">
        <f aca="false">IF($A131&gt;0,IF(AND(L$4=$G131,L$6=$F131),$D131*L$5,""),"")</f>
        <v/>
      </c>
      <c r="M131" s="2" t="str">
        <f aca="false">IF($A131&gt;0,IF(AND(M$4=$G131,M$6=$F131),$D131*M$5,""),"")</f>
        <v/>
      </c>
      <c r="N131" s="1506" t="n">
        <f aca="false">VLOOKUP(B131,'O_MN, PE_UTA_UGM 2024'!$E$2:$K$419,IF(G131&gt;1,6,7))</f>
        <v>0</v>
      </c>
      <c r="O131" s="1434" t="str">
        <f aca="false">IF($H131=O$4,$D131*$N131,"")</f>
        <v/>
      </c>
      <c r="P131" s="1435" t="str">
        <f aca="false">IF($H131=P$4,$D131*$N131,"")</f>
        <v/>
      </c>
      <c r="Q131" s="1435" t="str">
        <f aca="false">IF($H131=Q$4,$D131*$N131,"")</f>
        <v/>
      </c>
      <c r="R131" s="1435" t="str">
        <f aca="false">IF($H131=R$4,$D131*$N131,"")</f>
        <v/>
      </c>
      <c r="S131" s="1435" t="str">
        <f aca="false">IF($H131=S$4,$D131*$N131,"")</f>
        <v/>
      </c>
      <c r="T131" s="1435" t="str">
        <f aca="false">IF($H131=T$4,$D131*$N131,"")</f>
        <v/>
      </c>
      <c r="U131" s="1436" t="str">
        <f aca="false">IF($H131=U$4,$D131*$N131,"")</f>
        <v/>
      </c>
      <c r="V131" s="1418"/>
      <c r="W131" s="1419"/>
      <c r="X131" s="1419"/>
      <c r="Y131" s="1419"/>
      <c r="Z131" s="1419"/>
      <c r="AA131" s="1419"/>
      <c r="AB131" s="1420"/>
      <c r="AC131" s="1319"/>
      <c r="AD131" s="2" t="str">
        <f aca="false">IF(AND(AD$4=$G131,AD$6=$F131),$B131,"")</f>
        <v/>
      </c>
      <c r="AE131" s="2" t="str">
        <f aca="false">IF(AND(AE$4=$G131,AE$6=$F131),$B131,"")</f>
        <v/>
      </c>
      <c r="AF131" s="2" t="str">
        <f aca="false">IF(AND(AF$4=$G131,AF$6=$F131),$B131,"")</f>
        <v/>
      </c>
      <c r="AG131" s="2" t="str">
        <f aca="false">IF(AND(AG$4=$G131,AG$6=$F131),$B131,"")</f>
        <v/>
      </c>
      <c r="AI131" s="366"/>
      <c r="AL131" s="367"/>
      <c r="AO131" s="367"/>
      <c r="AP131" s="2" t="str">
        <f aca="false">IF(AT131&gt;0,RANK(AT131,AT$7:AT$423),"")</f>
        <v/>
      </c>
      <c r="AQ131" s="2" t="n">
        <f aca="false">'O_MN, PE_UTA_UGM 2024'!C127</f>
        <v>166</v>
      </c>
      <c r="AR131" s="1421" t="n">
        <v>1649</v>
      </c>
      <c r="AS131" s="2" t="str">
        <f aca="false">IF(AY131&lt;&gt;"",AY131,"")</f>
        <v/>
      </c>
      <c r="AT131" s="1422" t="n">
        <f aca="false">IF(ISNUMBER($AR131),SUMIF(B$7:B$505,AR131,D$7:D$505),"")</f>
        <v>0</v>
      </c>
      <c r="AU131" s="1411" t="n">
        <f aca="false">IF(ISNUMBER($AR131),SUMIF(AD$7:AD$503,$AR131,J$7:J$503),"")</f>
        <v>0</v>
      </c>
      <c r="AV131" s="1411" t="n">
        <f aca="false">IF(ISNUMBER($AR131),SUMIF(AF$7:AF$503,$AR131,L$7:L$503),"")</f>
        <v>0</v>
      </c>
      <c r="AW131" s="1423" t="n">
        <f aca="false">IF(ISNUMBER($AR131),SUMIF(AE$7:AE$503,$AR131,K$7:K$503),"")</f>
        <v>0</v>
      </c>
      <c r="AX131" s="1423" t="n">
        <f aca="false">IF(ISNUMBER($AR131),SUMIF(AG$7:AG$503,$AR131,M$7:M$503),"")</f>
        <v>0</v>
      </c>
      <c r="AY131" s="2" t="str">
        <f aca="false">IF($AT131&gt;0,VLOOKUP($AR131,'O_MN, PE_UTA_UGM 2024'!E127:O543,2),"")</f>
        <v/>
      </c>
      <c r="AZ131" s="1507"/>
      <c r="BA131" s="1507"/>
      <c r="BB131" s="1507" t="str">
        <f aca="false">IF($AT131&gt;0,VLOOKUP($AR131,'O_MN, PE_UTA_UGM 2024'!$E$3:$O$419,BB$6),"")</f>
        <v/>
      </c>
      <c r="BC131" s="1507" t="str">
        <f aca="false">IF($AT131&gt;0,VLOOKUP($AR131,'O_MN, PE_UTA_UGM 2024'!$E$3:$O$419,BC$6),"")</f>
        <v/>
      </c>
      <c r="BD131" s="1507" t="str">
        <f aca="false">IF($AT131&gt;0,VLOOKUP($AR131,'O_MN, PE_UTA_UGM 2024'!$E$3:$O$419,BD$6),"")</f>
        <v/>
      </c>
      <c r="BE131" s="1507" t="str">
        <f aca="false">IF($AT131&gt;0,VLOOKUP($AR131,'O_MN, PE_UTA_UGM 2024'!$E$3:$O$419,BE$6),"")</f>
        <v/>
      </c>
      <c r="BF131" s="1507" t="str">
        <f aca="false">IF($AT131&gt;0,VLOOKUP($AR131,'O_MN, PE_UTA_UGM 2024'!$E$3:$O$419,BF$6),"")</f>
        <v/>
      </c>
      <c r="BG131" s="1507" t="str">
        <f aca="false">IF($AT131&gt;0,VLOOKUP($AR131,'O_MN, PE_UTA_UGM 2024'!$E$3:$O$419,BG$6),"")</f>
        <v/>
      </c>
      <c r="BH131" s="1504"/>
      <c r="BI131" s="1504"/>
      <c r="BJ131" s="1504"/>
      <c r="BK131" s="1504"/>
      <c r="BM131" s="1411"/>
      <c r="BN131" s="1411"/>
      <c r="BO131" s="1425" t="str">
        <f aca="false">IF(ISNUMBER($AU131*BB131*1),$AU131*BB131*1,"")</f>
        <v/>
      </c>
      <c r="BP131" s="1425" t="str">
        <f aca="false">IF(ISNUMBER($AV131*BC131*1),$AV131*BC131*1,"")</f>
        <v/>
      </c>
      <c r="BQ131" s="1425" t="str">
        <f aca="false">IF(ISNUMBER($AU131*BD131*1),$AU131*BD131*1,"")</f>
        <v/>
      </c>
      <c r="BR131" s="1425" t="str">
        <f aca="false">IF(ISNUMBER($AV131*BE131*1),$AV131*BE131*1,"")</f>
        <v/>
      </c>
      <c r="BS131" s="1411" t="str">
        <f aca="false">IF(ISNUMBER($AU131*BF131),$AU131*BF131,"")</f>
        <v/>
      </c>
      <c r="BT131" s="1411" t="str">
        <f aca="false">IF(ISNUMBER($AV131*BG131),$AV131*BG131,"")</f>
        <v/>
      </c>
      <c r="BU131" s="1411"/>
      <c r="BV131" s="1411"/>
      <c r="BW131" s="1411"/>
      <c r="BX131" s="1411"/>
      <c r="BZ131" s="1372"/>
      <c r="CA131" s="1372"/>
      <c r="CB131" s="1426" t="str">
        <f aca="false">IF(ISNUMBER($AW131*BB131),$AW131*BB131,"")</f>
        <v/>
      </c>
      <c r="CC131" s="1426" t="str">
        <f aca="false">IF(ISNUMBER($AX131*BC131),$AX131*BC131,"")</f>
        <v/>
      </c>
      <c r="CD131" s="1426" t="str">
        <f aca="false">IF(ISNUMBER($AW131*BD131),$AW131*BD131,"")</f>
        <v/>
      </c>
      <c r="CE131" s="1426" t="str">
        <f aca="false">IF(ISNUMBER($AX131*BE131),$AX131*BE131,"")</f>
        <v/>
      </c>
      <c r="CF131" s="1372" t="str">
        <f aca="false">IF(ISNUMBER($AW131*BF131),$AW131*BF131,"")</f>
        <v/>
      </c>
      <c r="CG131" s="1372" t="str">
        <f aca="false">IF(ISNUMBER($AX131*BG131),$AX131*BG131,"")</f>
        <v/>
      </c>
      <c r="CH131" s="1438"/>
      <c r="CI131" s="1438"/>
      <c r="CJ131" s="1438"/>
      <c r="CK131" s="1438"/>
      <c r="CU131" s="1411"/>
      <c r="CV131" s="1411"/>
      <c r="CW131" s="1425"/>
      <c r="CX131" s="1425"/>
      <c r="CY131" s="1425"/>
      <c r="CZ131" s="1425"/>
      <c r="DA131" s="1411"/>
      <c r="DB131" s="1411"/>
      <c r="DC131" s="1411"/>
      <c r="DD131" s="1411"/>
      <c r="DE131" s="1411"/>
      <c r="DF131" s="1411"/>
      <c r="DH131" s="1432"/>
      <c r="DI131" s="1432"/>
      <c r="DJ131" s="1437"/>
      <c r="DK131" s="1437"/>
      <c r="DL131" s="1437"/>
      <c r="DM131" s="1437"/>
      <c r="DN131" s="1432"/>
      <c r="DO131" s="1432"/>
      <c r="DP131" s="1432"/>
      <c r="DQ131" s="1432"/>
      <c r="DR131" s="1432"/>
      <c r="DS131" s="1432"/>
      <c r="DT131" s="1316"/>
      <c r="DU131" s="1433"/>
      <c r="DV131" s="1433"/>
      <c r="DW131" s="1433"/>
      <c r="DX131" s="1433"/>
      <c r="DY131" s="1433"/>
      <c r="DZ131" s="1433"/>
      <c r="EA131" s="1433"/>
      <c r="EB131" s="1433"/>
    </row>
    <row r="132" customFormat="false" ht="14.25" hidden="false" customHeight="false" outlineLevel="0" collapsed="false">
      <c r="A132" s="2" t="n">
        <f aca="false">'V_DATOS PAC_SGA'!CC127</f>
        <v>0</v>
      </c>
      <c r="B132" s="2" t="n">
        <f aca="false">IF(OR(A132=0,A132=""),0,IF(I132="IV",CONCATENATE('V_DATOS PAC_SGA'!CC127,"4")+0,CONCATENATE('V_DATOS PAC_SGA'!CC127,"0")+0))</f>
        <v>0</v>
      </c>
      <c r="C132" s="2" t="n">
        <f aca="false">'V_DATOS PAC_SGA'!CD127</f>
        <v>0</v>
      </c>
      <c r="D132" s="1409" t="n">
        <f aca="false">'V_DATOS PAC_SGA'!Y127</f>
        <v>0</v>
      </c>
      <c r="E132" s="1410" t="str">
        <f aca="false">IF('V_DATOS PAC_SGA'!AV127="","Regadio",'V_DATOS PAC_SGA'!AV127)</f>
        <v>Regadio</v>
      </c>
      <c r="F132" s="1411" t="n">
        <f aca="false">'V_DATOS PAC_SGA'!BK127</f>
        <v>0</v>
      </c>
      <c r="G132" s="1412" t="n">
        <f aca="false">'V_DATOS PAC_SGA'!AN127</f>
        <v>0</v>
      </c>
      <c r="H132" s="1413" t="str">
        <f aca="false">IF(B132&gt;0,VLOOKUP(B132,'O_MN, PE_UTA_UGM 2024'!E$3:O$419,10),"")</f>
        <v/>
      </c>
      <c r="I132" s="1359" t="str">
        <f aca="false">IF('V_DATOS PAC_SGA'!BV127="IV",'V_DATOS PAC_SGA'!BV127,"")</f>
        <v/>
      </c>
      <c r="J132" s="2" t="str">
        <f aca="false">IF($A132&gt;0,IF(AND(J$4=$G132,J$6=$F132),$D132*J$5,""),"")</f>
        <v/>
      </c>
      <c r="K132" s="2" t="str">
        <f aca="false">IF($A132&gt;0,IF(AND(K$4=$G132,K$6=$F132),$D132*K$5,""),"")</f>
        <v/>
      </c>
      <c r="L132" s="2" t="str">
        <f aca="false">IF($A132&gt;0,IF(AND(L$4=$G132,L$6=$F132),$D132*L$5,""),"")</f>
        <v/>
      </c>
      <c r="M132" s="2" t="str">
        <f aca="false">IF($A132&gt;0,IF(AND(M$4=$G132,M$6=$F132),$D132*M$5,""),"")</f>
        <v/>
      </c>
      <c r="N132" s="1506" t="n">
        <f aca="false">VLOOKUP(B132,'O_MN, PE_UTA_UGM 2024'!$E$2:$K$419,IF(G132&gt;1,6,7))</f>
        <v>0</v>
      </c>
      <c r="O132" s="1434" t="str">
        <f aca="false">IF($H132=O$4,$D132*$N132,"")</f>
        <v/>
      </c>
      <c r="P132" s="1435" t="str">
        <f aca="false">IF($H132=P$4,$D132*$N132,"")</f>
        <v/>
      </c>
      <c r="Q132" s="1435" t="str">
        <f aca="false">IF($H132=Q$4,$D132*$N132,"")</f>
        <v/>
      </c>
      <c r="R132" s="1435" t="str">
        <f aca="false">IF($H132=R$4,$D132*$N132,"")</f>
        <v/>
      </c>
      <c r="S132" s="1435" t="str">
        <f aca="false">IF($H132=S$4,$D132*$N132,"")</f>
        <v/>
      </c>
      <c r="T132" s="1435" t="str">
        <f aca="false">IF($H132=T$4,$D132*$N132,"")</f>
        <v/>
      </c>
      <c r="U132" s="1436" t="str">
        <f aca="false">IF($H132=U$4,$D132*$N132,"")</f>
        <v/>
      </c>
      <c r="V132" s="1418"/>
      <c r="W132" s="1419"/>
      <c r="X132" s="1419"/>
      <c r="Y132" s="1419"/>
      <c r="Z132" s="1419"/>
      <c r="AA132" s="1419"/>
      <c r="AB132" s="1420"/>
      <c r="AC132" s="1319"/>
      <c r="AD132" s="2" t="str">
        <f aca="false">IF(AND(AD$4=$G132,AD$6=$F132),$B132,"")</f>
        <v/>
      </c>
      <c r="AE132" s="2" t="str">
        <f aca="false">IF(AND(AE$4=$G132,AE$6=$F132),$B132,"")</f>
        <v/>
      </c>
      <c r="AF132" s="2" t="str">
        <f aca="false">IF(AND(AF$4=$G132,AF$6=$F132),$B132,"")</f>
        <v/>
      </c>
      <c r="AG132" s="2" t="str">
        <f aca="false">IF(AND(AG$4=$G132,AG$6=$F132),$B132,"")</f>
        <v/>
      </c>
      <c r="AI132" s="366"/>
      <c r="AL132" s="367"/>
      <c r="AO132" s="367"/>
      <c r="AP132" s="2" t="str">
        <f aca="false">IF(AT132&gt;0,RANK(AT132,AT$7:AT$423),"")</f>
        <v/>
      </c>
      <c r="AQ132" s="2" t="n">
        <f aca="false">'O_MN, PE_UTA_UGM 2024'!C128</f>
        <v>166</v>
      </c>
      <c r="AR132" s="1421" t="n">
        <v>1650</v>
      </c>
      <c r="AS132" s="2" t="str">
        <f aca="false">IF(AY132&lt;&gt;"",AY132,"")</f>
        <v/>
      </c>
      <c r="AT132" s="1422" t="n">
        <f aca="false">IF(ISNUMBER($AR132),SUMIF(B$7:B$505,AR132,D$7:D$505),"")</f>
        <v>0</v>
      </c>
      <c r="AU132" s="1411" t="n">
        <f aca="false">IF(ISNUMBER($AR132),SUMIF(AD$7:AD$503,$AR132,J$7:J$503),"")</f>
        <v>0</v>
      </c>
      <c r="AV132" s="1411" t="n">
        <f aca="false">IF(ISNUMBER($AR132),SUMIF(AF$7:AF$503,$AR132,L$7:L$503),"")</f>
        <v>0</v>
      </c>
      <c r="AW132" s="1423" t="n">
        <f aca="false">IF(ISNUMBER($AR132),SUMIF(AE$7:AE$503,$AR132,K$7:K$503),"")</f>
        <v>0</v>
      </c>
      <c r="AX132" s="1423" t="n">
        <f aca="false">IF(ISNUMBER($AR132),SUMIF(AG$7:AG$503,$AR132,M$7:M$503),"")</f>
        <v>0</v>
      </c>
      <c r="AY132" s="2" t="str">
        <f aca="false">IF($AT132&gt;0,VLOOKUP($AR132,'O_MN, PE_UTA_UGM 2024'!E128:O544,2),"")</f>
        <v/>
      </c>
      <c r="AZ132" s="1507"/>
      <c r="BA132" s="1507"/>
      <c r="BB132" s="1507" t="str">
        <f aca="false">IF($AT132&gt;0,VLOOKUP($AR132,'O_MN, PE_UTA_UGM 2024'!$E$3:$O$419,BB$6),"")</f>
        <v/>
      </c>
      <c r="BC132" s="1507" t="str">
        <f aca="false">IF($AT132&gt;0,VLOOKUP($AR132,'O_MN, PE_UTA_UGM 2024'!$E$3:$O$419,BC$6),"")</f>
        <v/>
      </c>
      <c r="BD132" s="1507" t="str">
        <f aca="false">IF($AT132&gt;0,VLOOKUP($AR132,'O_MN, PE_UTA_UGM 2024'!$E$3:$O$419,BD$6),"")</f>
        <v/>
      </c>
      <c r="BE132" s="1507" t="str">
        <f aca="false">IF($AT132&gt;0,VLOOKUP($AR132,'O_MN, PE_UTA_UGM 2024'!$E$3:$O$419,BE$6),"")</f>
        <v/>
      </c>
      <c r="BF132" s="1507" t="str">
        <f aca="false">IF($AT132&gt;0,VLOOKUP($AR132,'O_MN, PE_UTA_UGM 2024'!$E$3:$O$419,BF$6),"")</f>
        <v/>
      </c>
      <c r="BG132" s="1507" t="str">
        <f aca="false">IF($AT132&gt;0,VLOOKUP($AR132,'O_MN, PE_UTA_UGM 2024'!$E$3:$O$419,BG$6),"")</f>
        <v/>
      </c>
      <c r="BH132" s="1504"/>
      <c r="BI132" s="1504"/>
      <c r="BJ132" s="1504"/>
      <c r="BK132" s="1504"/>
      <c r="BM132" s="1411"/>
      <c r="BN132" s="1411"/>
      <c r="BO132" s="1425" t="str">
        <f aca="false">IF(ISNUMBER($AU132*BB132*1),$AU132*BB132*1,"")</f>
        <v/>
      </c>
      <c r="BP132" s="1425" t="str">
        <f aca="false">IF(ISNUMBER($AV132*BC132*1),$AV132*BC132*1,"")</f>
        <v/>
      </c>
      <c r="BQ132" s="1425" t="str">
        <f aca="false">IF(ISNUMBER($AU132*BD132*1),$AU132*BD132*1,"")</f>
        <v/>
      </c>
      <c r="BR132" s="1425" t="str">
        <f aca="false">IF(ISNUMBER($AV132*BE132*1),$AV132*BE132*1,"")</f>
        <v/>
      </c>
      <c r="BS132" s="1411" t="str">
        <f aca="false">IF(ISNUMBER($AU132*BF132),$AU132*BF132,"")</f>
        <v/>
      </c>
      <c r="BT132" s="1411" t="str">
        <f aca="false">IF(ISNUMBER($AV132*BG132),$AV132*BG132,"")</f>
        <v/>
      </c>
      <c r="BU132" s="1411"/>
      <c r="BV132" s="1411"/>
      <c r="BW132" s="1411"/>
      <c r="BX132" s="1411"/>
      <c r="BZ132" s="1372"/>
      <c r="CA132" s="1372"/>
      <c r="CB132" s="1426" t="str">
        <f aca="false">IF(ISNUMBER($AW132*BB132),$AW132*BB132,"")</f>
        <v/>
      </c>
      <c r="CC132" s="1426" t="str">
        <f aca="false">IF(ISNUMBER($AX132*BC132),$AX132*BC132,"")</f>
        <v/>
      </c>
      <c r="CD132" s="1426" t="str">
        <f aca="false">IF(ISNUMBER($AW132*BD132),$AW132*BD132,"")</f>
        <v/>
      </c>
      <c r="CE132" s="1426" t="str">
        <f aca="false">IF(ISNUMBER($AX132*BE132),$AX132*BE132,"")</f>
        <v/>
      </c>
      <c r="CF132" s="1372" t="str">
        <f aca="false">IF(ISNUMBER($AW132*BF132),$AW132*BF132,"")</f>
        <v/>
      </c>
      <c r="CG132" s="1372" t="str">
        <f aca="false">IF(ISNUMBER($AX132*BG132),$AX132*BG132,"")</f>
        <v/>
      </c>
      <c r="CH132" s="1438"/>
      <c r="CI132" s="1438"/>
      <c r="CJ132" s="1438"/>
      <c r="CK132" s="1438"/>
      <c r="CU132" s="1411"/>
      <c r="CV132" s="1411"/>
      <c r="CW132" s="1425"/>
      <c r="CX132" s="1425"/>
      <c r="CY132" s="1425"/>
      <c r="CZ132" s="1425"/>
      <c r="DA132" s="1411"/>
      <c r="DB132" s="1411"/>
      <c r="DC132" s="1411"/>
      <c r="DD132" s="1411"/>
      <c r="DE132" s="1411"/>
      <c r="DF132" s="1411"/>
      <c r="DH132" s="1432"/>
      <c r="DI132" s="1432"/>
      <c r="DJ132" s="1437"/>
      <c r="DK132" s="1437"/>
      <c r="DL132" s="1437"/>
      <c r="DM132" s="1437"/>
      <c r="DN132" s="1432"/>
      <c r="DO132" s="1432"/>
      <c r="DP132" s="1432"/>
      <c r="DQ132" s="1432"/>
      <c r="DR132" s="1432"/>
      <c r="DS132" s="1432"/>
      <c r="DT132" s="1316"/>
      <c r="DU132" s="1433"/>
      <c r="DV132" s="1433"/>
      <c r="DW132" s="1433"/>
      <c r="DX132" s="1433"/>
      <c r="DY132" s="1433"/>
      <c r="DZ132" s="1433"/>
      <c r="EA132" s="1433"/>
      <c r="EB132" s="1433"/>
    </row>
    <row r="133" customFormat="false" ht="14.25" hidden="false" customHeight="false" outlineLevel="0" collapsed="false">
      <c r="A133" s="2" t="n">
        <f aca="false">'V_DATOS PAC_SGA'!CC128</f>
        <v>0</v>
      </c>
      <c r="B133" s="2" t="n">
        <f aca="false">IF(OR(A133=0,A133=""),0,IF(I133="IV",CONCATENATE('V_DATOS PAC_SGA'!CC128,"4")+0,CONCATENATE('V_DATOS PAC_SGA'!CC128,"0")+0))</f>
        <v>0</v>
      </c>
      <c r="C133" s="2" t="n">
        <f aca="false">'V_DATOS PAC_SGA'!CD128</f>
        <v>0</v>
      </c>
      <c r="D133" s="1409" t="n">
        <f aca="false">'V_DATOS PAC_SGA'!Y128</f>
        <v>0</v>
      </c>
      <c r="E133" s="1410" t="str">
        <f aca="false">IF('V_DATOS PAC_SGA'!AV128="","Regadio",'V_DATOS PAC_SGA'!AV128)</f>
        <v>Regadio</v>
      </c>
      <c r="F133" s="1411" t="n">
        <f aca="false">'V_DATOS PAC_SGA'!BK128</f>
        <v>0</v>
      </c>
      <c r="G133" s="1412" t="n">
        <f aca="false">'V_DATOS PAC_SGA'!AN128</f>
        <v>0</v>
      </c>
      <c r="H133" s="1413" t="str">
        <f aca="false">IF(B133&gt;0,VLOOKUP(B133,'O_MN, PE_UTA_UGM 2024'!E$3:O$419,10),"")</f>
        <v/>
      </c>
      <c r="I133" s="1359" t="str">
        <f aca="false">IF('V_DATOS PAC_SGA'!BV128="IV",'V_DATOS PAC_SGA'!BV128,"")</f>
        <v/>
      </c>
      <c r="J133" s="2" t="str">
        <f aca="false">IF($A133&gt;0,IF(AND(J$4=$G133,J$6=$F133),$D133*J$5,""),"")</f>
        <v/>
      </c>
      <c r="K133" s="2" t="str">
        <f aca="false">IF($A133&gt;0,IF(AND(K$4=$G133,K$6=$F133),$D133*K$5,""),"")</f>
        <v/>
      </c>
      <c r="L133" s="2" t="str">
        <f aca="false">IF($A133&gt;0,IF(AND(L$4=$G133,L$6=$F133),$D133*L$5,""),"")</f>
        <v/>
      </c>
      <c r="M133" s="2" t="str">
        <f aca="false">IF($A133&gt;0,IF(AND(M$4=$G133,M$6=$F133),$D133*M$5,""),"")</f>
        <v/>
      </c>
      <c r="N133" s="1506" t="n">
        <f aca="false">VLOOKUP(B133,'O_MN, PE_UTA_UGM 2024'!$E$2:$K$419,IF(G133&gt;1,6,7))</f>
        <v>0</v>
      </c>
      <c r="O133" s="1434" t="str">
        <f aca="false">IF($H133=O$4,$D133*$N133,"")</f>
        <v/>
      </c>
      <c r="P133" s="1435" t="str">
        <f aca="false">IF($H133=P$4,$D133*$N133,"")</f>
        <v/>
      </c>
      <c r="Q133" s="1435" t="str">
        <f aca="false">IF($H133=Q$4,$D133*$N133,"")</f>
        <v/>
      </c>
      <c r="R133" s="1435" t="str">
        <f aca="false">IF($H133=R$4,$D133*$N133,"")</f>
        <v/>
      </c>
      <c r="S133" s="1435" t="str">
        <f aca="false">IF($H133=S$4,$D133*$N133,"")</f>
        <v/>
      </c>
      <c r="T133" s="1435" t="str">
        <f aca="false">IF($H133=T$4,$D133*$N133,"")</f>
        <v/>
      </c>
      <c r="U133" s="1436" t="str">
        <f aca="false">IF($H133=U$4,$D133*$N133,"")</f>
        <v/>
      </c>
      <c r="V133" s="1418"/>
      <c r="W133" s="1419"/>
      <c r="X133" s="1419"/>
      <c r="Y133" s="1419"/>
      <c r="Z133" s="1419"/>
      <c r="AA133" s="1419"/>
      <c r="AB133" s="1420"/>
      <c r="AC133" s="1319"/>
      <c r="AD133" s="2" t="str">
        <f aca="false">IF(AND(AD$4=$G133,AD$6=$F133),$B133,"")</f>
        <v/>
      </c>
      <c r="AE133" s="2" t="str">
        <f aca="false">IF(AND(AE$4=$G133,AE$6=$F133),$B133,"")</f>
        <v/>
      </c>
      <c r="AF133" s="2" t="str">
        <f aca="false">IF(AND(AF$4=$G133,AF$6=$F133),$B133,"")</f>
        <v/>
      </c>
      <c r="AG133" s="2" t="str">
        <f aca="false">IF(AND(AG$4=$G133,AG$6=$F133),$B133,"")</f>
        <v/>
      </c>
      <c r="AI133" s="366"/>
      <c r="AL133" s="367"/>
      <c r="AO133" s="367"/>
      <c r="AP133" s="2" t="str">
        <f aca="false">IF(AT133&gt;0,RANK(AT133,AT$7:AT$423),"")</f>
        <v/>
      </c>
      <c r="AQ133" s="2" t="n">
        <f aca="false">'O_MN, PE_UTA_UGM 2024'!C129</f>
        <v>166</v>
      </c>
      <c r="AR133" s="1421" t="n">
        <v>1654</v>
      </c>
      <c r="AS133" s="2" t="str">
        <f aca="false">IF(AY133&lt;&gt;"",AY133,"")</f>
        <v/>
      </c>
      <c r="AT133" s="1422" t="n">
        <f aca="false">IF(ISNUMBER($AR133),SUMIF(B$7:B$505,AR133,D$7:D$505),"")</f>
        <v>0</v>
      </c>
      <c r="AU133" s="1411" t="n">
        <f aca="false">IF(ISNUMBER($AR133),SUMIF(AD$7:AD$503,$AR133,J$7:J$503),"")</f>
        <v>0</v>
      </c>
      <c r="AV133" s="1411" t="n">
        <f aca="false">IF(ISNUMBER($AR133),SUMIF(AF$7:AF$503,$AR133,L$7:L$503),"")</f>
        <v>0</v>
      </c>
      <c r="AW133" s="1423" t="n">
        <f aca="false">IF(ISNUMBER($AR133),SUMIF(AE$7:AE$503,$AR133,K$7:K$503),"")</f>
        <v>0</v>
      </c>
      <c r="AX133" s="1423" t="n">
        <f aca="false">IF(ISNUMBER($AR133),SUMIF(AG$7:AG$503,$AR133,M$7:M$503),"")</f>
        <v>0</v>
      </c>
      <c r="AY133" s="2" t="str">
        <f aca="false">IF($AT133&gt;0,VLOOKUP($AR133,'O_MN, PE_UTA_UGM 2024'!E129:O545,2),"")</f>
        <v/>
      </c>
      <c r="AZ133" s="1507"/>
      <c r="BA133" s="1507"/>
      <c r="BB133" s="1507" t="str">
        <f aca="false">IF($AT133&gt;0,VLOOKUP($AR133,'O_MN, PE_UTA_UGM 2024'!$E$3:$O$419,BB$6),"")</f>
        <v/>
      </c>
      <c r="BC133" s="1507" t="str">
        <f aca="false">IF($AT133&gt;0,VLOOKUP($AR133,'O_MN, PE_UTA_UGM 2024'!$E$3:$O$419,BC$6),"")</f>
        <v/>
      </c>
      <c r="BD133" s="1507" t="str">
        <f aca="false">IF($AT133&gt;0,VLOOKUP($AR133,'O_MN, PE_UTA_UGM 2024'!$E$3:$O$419,BD$6),"")</f>
        <v/>
      </c>
      <c r="BE133" s="1507" t="str">
        <f aca="false">IF($AT133&gt;0,VLOOKUP($AR133,'O_MN, PE_UTA_UGM 2024'!$E$3:$O$419,BE$6),"")</f>
        <v/>
      </c>
      <c r="BF133" s="1507" t="str">
        <f aca="false">IF($AT133&gt;0,VLOOKUP($AR133,'O_MN, PE_UTA_UGM 2024'!$E$3:$O$419,BF$6),"")</f>
        <v/>
      </c>
      <c r="BG133" s="1507" t="str">
        <f aca="false">IF($AT133&gt;0,VLOOKUP($AR133,'O_MN, PE_UTA_UGM 2024'!$E$3:$O$419,BG$6),"")</f>
        <v/>
      </c>
      <c r="BH133" s="1504"/>
      <c r="BI133" s="1504"/>
      <c r="BJ133" s="1504"/>
      <c r="BK133" s="1504"/>
      <c r="BM133" s="1411"/>
      <c r="BN133" s="1411"/>
      <c r="BO133" s="1425" t="str">
        <f aca="false">IF(ISNUMBER($AU133*BB133*1),$AU133*BB133*1,"")</f>
        <v/>
      </c>
      <c r="BP133" s="1425" t="str">
        <f aca="false">IF(ISNUMBER($AV133*BC133*1),$AV133*BC133*1,"")</f>
        <v/>
      </c>
      <c r="BQ133" s="1425" t="str">
        <f aca="false">IF(ISNUMBER($AU133*BD133*1),$AU133*BD133*1,"")</f>
        <v/>
      </c>
      <c r="BR133" s="1425" t="str">
        <f aca="false">IF(ISNUMBER($AV133*BE133*1),$AV133*BE133*1,"")</f>
        <v/>
      </c>
      <c r="BS133" s="1411" t="str">
        <f aca="false">IF(ISNUMBER($AU133*BF133),$AU133*BF133,"")</f>
        <v/>
      </c>
      <c r="BT133" s="1411" t="str">
        <f aca="false">IF(ISNUMBER($AV133*BG133),$AV133*BG133,"")</f>
        <v/>
      </c>
      <c r="BU133" s="1411"/>
      <c r="BV133" s="1411"/>
      <c r="BW133" s="1411"/>
      <c r="BX133" s="1411"/>
      <c r="BZ133" s="1372"/>
      <c r="CA133" s="1372"/>
      <c r="CB133" s="1426" t="str">
        <f aca="false">IF(ISNUMBER($AW133*BB133),$AW133*BB133,"")</f>
        <v/>
      </c>
      <c r="CC133" s="1426" t="str">
        <f aca="false">IF(ISNUMBER($AX133*BC133),$AX133*BC133,"")</f>
        <v/>
      </c>
      <c r="CD133" s="1426" t="str">
        <f aca="false">IF(ISNUMBER($AW133*BD133),$AW133*BD133,"")</f>
        <v/>
      </c>
      <c r="CE133" s="1426" t="str">
        <f aca="false">IF(ISNUMBER($AX133*BE133),$AX133*BE133,"")</f>
        <v/>
      </c>
      <c r="CF133" s="1372" t="str">
        <f aca="false">IF(ISNUMBER($AW133*BF133),$AW133*BF133,"")</f>
        <v/>
      </c>
      <c r="CG133" s="1372" t="str">
        <f aca="false">IF(ISNUMBER($AX133*BG133),$AX133*BG133,"")</f>
        <v/>
      </c>
      <c r="CH133" s="1438"/>
      <c r="CI133" s="1438"/>
      <c r="CJ133" s="1438"/>
      <c r="CK133" s="1438"/>
      <c r="CU133" s="1411"/>
      <c r="CV133" s="1411"/>
      <c r="CW133" s="1425"/>
      <c r="CX133" s="1425"/>
      <c r="CY133" s="1425"/>
      <c r="CZ133" s="1425"/>
      <c r="DA133" s="1411"/>
      <c r="DB133" s="1411"/>
      <c r="DC133" s="1411"/>
      <c r="DD133" s="1411"/>
      <c r="DE133" s="1411"/>
      <c r="DF133" s="1411"/>
      <c r="DH133" s="1432"/>
      <c r="DI133" s="1432"/>
      <c r="DJ133" s="1437"/>
      <c r="DK133" s="1437"/>
      <c r="DL133" s="1437"/>
      <c r="DM133" s="1437"/>
      <c r="DN133" s="1432"/>
      <c r="DO133" s="1432"/>
      <c r="DP133" s="1432"/>
      <c r="DQ133" s="1432"/>
      <c r="DR133" s="1432"/>
      <c r="DS133" s="1432"/>
      <c r="DT133" s="1316"/>
      <c r="DU133" s="1433"/>
      <c r="DV133" s="1433"/>
      <c r="DW133" s="1433"/>
      <c r="DX133" s="1433"/>
      <c r="DY133" s="1433"/>
      <c r="DZ133" s="1433"/>
      <c r="EA133" s="1433"/>
      <c r="EB133" s="1433"/>
    </row>
    <row r="134" customFormat="false" ht="14.25" hidden="false" customHeight="false" outlineLevel="0" collapsed="false">
      <c r="A134" s="2" t="n">
        <f aca="false">'V_DATOS PAC_SGA'!CC129</f>
        <v>0</v>
      </c>
      <c r="B134" s="2" t="n">
        <f aca="false">IF(OR(A134=0,A134=""),0,IF(I134="IV",CONCATENATE('V_DATOS PAC_SGA'!CC129,"4")+0,CONCATENATE('V_DATOS PAC_SGA'!CC129,"0")+0))</f>
        <v>0</v>
      </c>
      <c r="C134" s="2" t="n">
        <f aca="false">'V_DATOS PAC_SGA'!CD129</f>
        <v>0</v>
      </c>
      <c r="D134" s="1409" t="n">
        <f aca="false">'V_DATOS PAC_SGA'!Y129</f>
        <v>0</v>
      </c>
      <c r="E134" s="1410" t="str">
        <f aca="false">IF('V_DATOS PAC_SGA'!AV129="","Regadio",'V_DATOS PAC_SGA'!AV129)</f>
        <v>Regadio</v>
      </c>
      <c r="F134" s="1411" t="n">
        <f aca="false">'V_DATOS PAC_SGA'!BK129</f>
        <v>0</v>
      </c>
      <c r="G134" s="1412" t="n">
        <f aca="false">'V_DATOS PAC_SGA'!AN129</f>
        <v>0</v>
      </c>
      <c r="H134" s="1413" t="str">
        <f aca="false">IF(B134&gt;0,VLOOKUP(B134,'O_MN, PE_UTA_UGM 2024'!E$3:O$419,10),"")</f>
        <v/>
      </c>
      <c r="I134" s="1359" t="str">
        <f aca="false">IF('V_DATOS PAC_SGA'!BV129="IV",'V_DATOS PAC_SGA'!BV129,"")</f>
        <v/>
      </c>
      <c r="J134" s="2" t="str">
        <f aca="false">IF($A134&gt;0,IF(AND(J$4=$G134,J$6=$F134),$D134*J$5,""),"")</f>
        <v/>
      </c>
      <c r="K134" s="2" t="str">
        <f aca="false">IF($A134&gt;0,IF(AND(K$4=$G134,K$6=$F134),$D134*K$5,""),"")</f>
        <v/>
      </c>
      <c r="L134" s="2" t="str">
        <f aca="false">IF($A134&gt;0,IF(AND(L$4=$G134,L$6=$F134),$D134*L$5,""),"")</f>
        <v/>
      </c>
      <c r="M134" s="2" t="str">
        <f aca="false">IF($A134&gt;0,IF(AND(M$4=$G134,M$6=$F134),$D134*M$5,""),"")</f>
        <v/>
      </c>
      <c r="N134" s="1506" t="n">
        <f aca="false">VLOOKUP(B134,'O_MN, PE_UTA_UGM 2024'!$E$2:$K$419,IF(G134&gt;1,6,7))</f>
        <v>0</v>
      </c>
      <c r="O134" s="1434" t="str">
        <f aca="false">IF($H134=O$4,$D134*$N134,"")</f>
        <v/>
      </c>
      <c r="P134" s="1435" t="str">
        <f aca="false">IF($H134=P$4,$D134*$N134,"")</f>
        <v/>
      </c>
      <c r="Q134" s="1435" t="str">
        <f aca="false">IF($H134=Q$4,$D134*$N134,"")</f>
        <v/>
      </c>
      <c r="R134" s="1435" t="str">
        <f aca="false">IF($H134=R$4,$D134*$N134,"")</f>
        <v/>
      </c>
      <c r="S134" s="1435" t="str">
        <f aca="false">IF($H134=S$4,$D134*$N134,"")</f>
        <v/>
      </c>
      <c r="T134" s="1435" t="str">
        <f aca="false">IF($H134=T$4,$D134*$N134,"")</f>
        <v/>
      </c>
      <c r="U134" s="1436" t="str">
        <f aca="false">IF($H134=U$4,$D134*$N134,"")</f>
        <v/>
      </c>
      <c r="V134" s="1418"/>
      <c r="W134" s="1419"/>
      <c r="X134" s="1419"/>
      <c r="Y134" s="1419"/>
      <c r="Z134" s="1419"/>
      <c r="AA134" s="1419"/>
      <c r="AB134" s="1420"/>
      <c r="AC134" s="1319"/>
      <c r="AD134" s="2" t="str">
        <f aca="false">IF(AND(AD$4=$G134,AD$6=$F134),$B134,"")</f>
        <v/>
      </c>
      <c r="AE134" s="2" t="str">
        <f aca="false">IF(AND(AE$4=$G134,AE$6=$F134),$B134,"")</f>
        <v/>
      </c>
      <c r="AF134" s="2" t="str">
        <f aca="false">IF(AND(AF$4=$G134,AF$6=$F134),$B134,"")</f>
        <v/>
      </c>
      <c r="AG134" s="2" t="str">
        <f aca="false">IF(AND(AG$4=$G134,AG$6=$F134),$B134,"")</f>
        <v/>
      </c>
      <c r="AI134" s="366"/>
      <c r="AL134" s="367"/>
      <c r="AO134" s="367"/>
      <c r="AP134" s="2" t="str">
        <f aca="false">IF(AT134&gt;0,RANK(AT134,AT$7:AT$423),"")</f>
        <v/>
      </c>
      <c r="AQ134" s="2" t="n">
        <f aca="false">'O_MN, PE_UTA_UGM 2024'!C130</f>
        <v>167</v>
      </c>
      <c r="AR134" s="1421" t="n">
        <v>1659</v>
      </c>
      <c r="AS134" s="2" t="str">
        <f aca="false">IF(AY134&lt;&gt;"",AY134,"")</f>
        <v/>
      </c>
      <c r="AT134" s="1422" t="n">
        <f aca="false">IF(ISNUMBER($AR134),SUMIF(B$7:B$505,AR134,D$7:D$505),"")</f>
        <v>0</v>
      </c>
      <c r="AU134" s="1411" t="n">
        <f aca="false">IF(ISNUMBER($AR134),SUMIF(AD$7:AD$503,$AR134,J$7:J$503),"")</f>
        <v>0</v>
      </c>
      <c r="AV134" s="1411" t="n">
        <f aca="false">IF(ISNUMBER($AR134),SUMIF(AF$7:AF$503,$AR134,L$7:L$503),"")</f>
        <v>0</v>
      </c>
      <c r="AW134" s="1423" t="n">
        <f aca="false">IF(ISNUMBER($AR134),SUMIF(AE$7:AE$503,$AR134,K$7:K$503),"")</f>
        <v>0</v>
      </c>
      <c r="AX134" s="1423" t="n">
        <f aca="false">IF(ISNUMBER($AR134),SUMIF(AG$7:AG$503,$AR134,M$7:M$503),"")</f>
        <v>0</v>
      </c>
      <c r="AY134" s="2" t="str">
        <f aca="false">IF($AT134&gt;0,VLOOKUP($AR134,'O_MN, PE_UTA_UGM 2024'!E130:O546,2),"")</f>
        <v/>
      </c>
      <c r="AZ134" s="1507"/>
      <c r="BA134" s="1507"/>
      <c r="BB134" s="1507" t="str">
        <f aca="false">IF($AT134&gt;0,VLOOKUP($AR134,'O_MN, PE_UTA_UGM 2024'!$E$3:$O$419,BB$6),"")</f>
        <v/>
      </c>
      <c r="BC134" s="1507" t="str">
        <f aca="false">IF($AT134&gt;0,VLOOKUP($AR134,'O_MN, PE_UTA_UGM 2024'!$E$3:$O$419,BC$6),"")</f>
        <v/>
      </c>
      <c r="BD134" s="1507" t="str">
        <f aca="false">IF($AT134&gt;0,VLOOKUP($AR134,'O_MN, PE_UTA_UGM 2024'!$E$3:$O$419,BD$6),"")</f>
        <v/>
      </c>
      <c r="BE134" s="1507" t="str">
        <f aca="false">IF($AT134&gt;0,VLOOKUP($AR134,'O_MN, PE_UTA_UGM 2024'!$E$3:$O$419,BE$6),"")</f>
        <v/>
      </c>
      <c r="BF134" s="1507" t="str">
        <f aca="false">IF($AT134&gt;0,VLOOKUP($AR134,'O_MN, PE_UTA_UGM 2024'!$E$3:$O$419,BF$6),"")</f>
        <v/>
      </c>
      <c r="BG134" s="1507" t="str">
        <f aca="false">IF($AT134&gt;0,VLOOKUP($AR134,'O_MN, PE_UTA_UGM 2024'!$E$3:$O$419,BG$6),"")</f>
        <v/>
      </c>
      <c r="BH134" s="1504"/>
      <c r="BI134" s="1504"/>
      <c r="BJ134" s="1504"/>
      <c r="BK134" s="1504"/>
      <c r="BM134" s="1411"/>
      <c r="BN134" s="1411"/>
      <c r="BO134" s="1425" t="str">
        <f aca="false">IF(ISNUMBER($AU134*BB134*1),$AU134*BB134*1,"")</f>
        <v/>
      </c>
      <c r="BP134" s="1425" t="str">
        <f aca="false">IF(ISNUMBER($AV134*BC134*1),$AV134*BC134*1,"")</f>
        <v/>
      </c>
      <c r="BQ134" s="1425" t="str">
        <f aca="false">IF(ISNUMBER($AU134*BD134*1),$AU134*BD134*1,"")</f>
        <v/>
      </c>
      <c r="BR134" s="1425" t="str">
        <f aca="false">IF(ISNUMBER($AV134*BE134*1),$AV134*BE134*1,"")</f>
        <v/>
      </c>
      <c r="BS134" s="1411" t="str">
        <f aca="false">IF(ISNUMBER($AU134*BF134),$AU134*BF134,"")</f>
        <v/>
      </c>
      <c r="BT134" s="1411" t="str">
        <f aca="false">IF(ISNUMBER($AV134*BG134),$AV134*BG134,"")</f>
        <v/>
      </c>
      <c r="BU134" s="1411"/>
      <c r="BV134" s="1411"/>
      <c r="BW134" s="1411"/>
      <c r="BX134" s="1411"/>
      <c r="BZ134" s="1372"/>
      <c r="CA134" s="1372"/>
      <c r="CB134" s="1426" t="str">
        <f aca="false">IF(ISNUMBER($AW134*BB134),$AW134*BB134,"")</f>
        <v/>
      </c>
      <c r="CC134" s="1426" t="str">
        <f aca="false">IF(ISNUMBER($AX134*BC134),$AX134*BC134,"")</f>
        <v/>
      </c>
      <c r="CD134" s="1426" t="str">
        <f aca="false">IF(ISNUMBER($AW134*BD134),$AW134*BD134,"")</f>
        <v/>
      </c>
      <c r="CE134" s="1426" t="str">
        <f aca="false">IF(ISNUMBER($AX134*BE134),$AX134*BE134,"")</f>
        <v/>
      </c>
      <c r="CF134" s="1372" t="str">
        <f aca="false">IF(ISNUMBER($AW134*BF134),$AW134*BF134,"")</f>
        <v/>
      </c>
      <c r="CG134" s="1372" t="str">
        <f aca="false">IF(ISNUMBER($AX134*BG134),$AX134*BG134,"")</f>
        <v/>
      </c>
      <c r="CH134" s="1438"/>
      <c r="CI134" s="1438"/>
      <c r="CJ134" s="1438"/>
      <c r="CK134" s="1438"/>
      <c r="CU134" s="1411"/>
      <c r="CV134" s="1411"/>
      <c r="CW134" s="1425"/>
      <c r="CX134" s="1425"/>
      <c r="CY134" s="1425"/>
      <c r="CZ134" s="1425"/>
      <c r="DA134" s="1411"/>
      <c r="DB134" s="1411"/>
      <c r="DC134" s="1411"/>
      <c r="DD134" s="1411"/>
      <c r="DE134" s="1411"/>
      <c r="DF134" s="1411"/>
      <c r="DH134" s="1432"/>
      <c r="DI134" s="1432"/>
      <c r="DJ134" s="1437"/>
      <c r="DK134" s="1437"/>
      <c r="DL134" s="1437"/>
      <c r="DM134" s="1437"/>
      <c r="DN134" s="1432"/>
      <c r="DO134" s="1432"/>
      <c r="DP134" s="1432"/>
      <c r="DQ134" s="1432"/>
      <c r="DR134" s="1432"/>
      <c r="DS134" s="1432"/>
      <c r="DT134" s="1316"/>
      <c r="DU134" s="1433"/>
      <c r="DV134" s="1433"/>
      <c r="DW134" s="1433"/>
      <c r="DX134" s="1433"/>
      <c r="DY134" s="1433"/>
      <c r="DZ134" s="1433"/>
      <c r="EA134" s="1433"/>
      <c r="EB134" s="1433"/>
    </row>
    <row r="135" customFormat="false" ht="14.25" hidden="false" customHeight="false" outlineLevel="0" collapsed="false">
      <c r="A135" s="2" t="n">
        <f aca="false">'V_DATOS PAC_SGA'!CC130</f>
        <v>0</v>
      </c>
      <c r="B135" s="2" t="n">
        <f aca="false">IF(OR(A135=0,A135=""),0,IF(I135="IV",CONCATENATE('V_DATOS PAC_SGA'!CC130,"4")+0,CONCATENATE('V_DATOS PAC_SGA'!CC130,"0")+0))</f>
        <v>0</v>
      </c>
      <c r="C135" s="2" t="n">
        <f aca="false">'V_DATOS PAC_SGA'!CD130</f>
        <v>0</v>
      </c>
      <c r="D135" s="1409" t="n">
        <f aca="false">'V_DATOS PAC_SGA'!Y130</f>
        <v>0</v>
      </c>
      <c r="E135" s="1410" t="str">
        <f aca="false">IF('V_DATOS PAC_SGA'!AV130="","Regadio",'V_DATOS PAC_SGA'!AV130)</f>
        <v>Regadio</v>
      </c>
      <c r="F135" s="1411" t="n">
        <f aca="false">'V_DATOS PAC_SGA'!BK130</f>
        <v>0</v>
      </c>
      <c r="G135" s="1412" t="n">
        <f aca="false">'V_DATOS PAC_SGA'!AN130</f>
        <v>0</v>
      </c>
      <c r="H135" s="1413" t="str">
        <f aca="false">IF(B135&gt;0,VLOOKUP(B135,'O_MN, PE_UTA_UGM 2024'!E$3:O$419,10),"")</f>
        <v/>
      </c>
      <c r="I135" s="1359" t="str">
        <f aca="false">IF('V_DATOS PAC_SGA'!BV130="IV",'V_DATOS PAC_SGA'!BV130,"")</f>
        <v/>
      </c>
      <c r="J135" s="2" t="str">
        <f aca="false">IF($A135&gt;0,IF(AND(J$4=$G135,J$6=$F135),$D135*J$5,""),"")</f>
        <v/>
      </c>
      <c r="K135" s="2" t="str">
        <f aca="false">IF($A135&gt;0,IF(AND(K$4=$G135,K$6=$F135),$D135*K$5,""),"")</f>
        <v/>
      </c>
      <c r="L135" s="2" t="str">
        <f aca="false">IF($A135&gt;0,IF(AND(L$4=$G135,L$6=$F135),$D135*L$5,""),"")</f>
        <v/>
      </c>
      <c r="M135" s="2" t="str">
        <f aca="false">IF($A135&gt;0,IF(AND(M$4=$G135,M$6=$F135),$D135*M$5,""),"")</f>
        <v/>
      </c>
      <c r="N135" s="1506" t="n">
        <f aca="false">VLOOKUP(B135,'O_MN, PE_UTA_UGM 2024'!$E$2:$K$419,IF(G135&gt;1,6,7))</f>
        <v>0</v>
      </c>
      <c r="O135" s="1434" t="str">
        <f aca="false">IF($H135=O$4,$D135*$N135,"")</f>
        <v/>
      </c>
      <c r="P135" s="1435" t="str">
        <f aca="false">IF($H135=P$4,$D135*$N135,"")</f>
        <v/>
      </c>
      <c r="Q135" s="1435" t="str">
        <f aca="false">IF($H135=Q$4,$D135*$N135,"")</f>
        <v/>
      </c>
      <c r="R135" s="1435" t="str">
        <f aca="false">IF($H135=R$4,$D135*$N135,"")</f>
        <v/>
      </c>
      <c r="S135" s="1435" t="str">
        <f aca="false">IF($H135=S$4,$D135*$N135,"")</f>
        <v/>
      </c>
      <c r="T135" s="1435" t="str">
        <f aca="false">IF($H135=T$4,$D135*$N135,"")</f>
        <v/>
      </c>
      <c r="U135" s="1436" t="str">
        <f aca="false">IF($H135=U$4,$D135*$N135,"")</f>
        <v/>
      </c>
      <c r="V135" s="1418"/>
      <c r="W135" s="1419"/>
      <c r="X135" s="1419"/>
      <c r="Y135" s="1419"/>
      <c r="Z135" s="1419"/>
      <c r="AA135" s="1419"/>
      <c r="AB135" s="1420"/>
      <c r="AC135" s="1319"/>
      <c r="AD135" s="2" t="str">
        <f aca="false">IF(AND(AD$4=$G135,AD$6=$F135),$B135,"")</f>
        <v/>
      </c>
      <c r="AE135" s="2" t="str">
        <f aca="false">IF(AND(AE$4=$G135,AE$6=$F135),$B135,"")</f>
        <v/>
      </c>
      <c r="AF135" s="2" t="str">
        <f aca="false">IF(AND(AF$4=$G135,AF$6=$F135),$B135,"")</f>
        <v/>
      </c>
      <c r="AG135" s="2" t="str">
        <f aca="false">IF(AND(AG$4=$G135,AG$6=$F135),$B135,"")</f>
        <v/>
      </c>
      <c r="AI135" s="366"/>
      <c r="AL135" s="367"/>
      <c r="AO135" s="367"/>
      <c r="AP135" s="2" t="str">
        <f aca="false">IF(AT135&gt;0,RANK(AT135,AT$7:AT$423),"")</f>
        <v/>
      </c>
      <c r="AQ135" s="2" t="n">
        <f aca="false">'O_MN, PE_UTA_UGM 2024'!C131</f>
        <v>167</v>
      </c>
      <c r="AR135" s="1462" t="n">
        <v>1660</v>
      </c>
      <c r="AS135" s="2" t="str">
        <f aca="false">IF(AY135&lt;&gt;"",AY135,"")</f>
        <v/>
      </c>
      <c r="AT135" s="1422" t="n">
        <f aca="false">IF(ISNUMBER($AR135),SUMIF(B$7:B$505,AR135,D$7:D$505),"")</f>
        <v>0</v>
      </c>
      <c r="AU135" s="1411" t="n">
        <f aca="false">IF(ISNUMBER($AR135),SUMIF(AD$7:AD$503,$AR135,J$7:J$503),"")</f>
        <v>0</v>
      </c>
      <c r="AV135" s="1411" t="n">
        <f aca="false">IF(ISNUMBER($AR135),SUMIF(AF$7:AF$503,$AR135,L$7:L$503),"")</f>
        <v>0</v>
      </c>
      <c r="AW135" s="1423" t="n">
        <f aca="false">IF(ISNUMBER($AR135),SUMIF(AE$7:AE$503,$AR135,K$7:K$503),"")</f>
        <v>0</v>
      </c>
      <c r="AX135" s="1423" t="n">
        <f aca="false">IF(ISNUMBER($AR135),SUMIF(AG$7:AG$503,$AR135,M$7:M$503),"")</f>
        <v>0</v>
      </c>
      <c r="AY135" s="2" t="str">
        <f aca="false">IF($AT135&gt;0,VLOOKUP($AR135,'O_MN, PE_UTA_UGM 2024'!E131:O547,2),"")</f>
        <v/>
      </c>
      <c r="AZ135" s="1507"/>
      <c r="BA135" s="1507"/>
      <c r="BB135" s="1507" t="str">
        <f aca="false">IF($AT135&gt;0,VLOOKUP($AR135,'O_MN, PE_UTA_UGM 2024'!$E$3:$O$419,BB$6),"")</f>
        <v/>
      </c>
      <c r="BC135" s="1507" t="str">
        <f aca="false">IF($AT135&gt;0,VLOOKUP($AR135,'O_MN, PE_UTA_UGM 2024'!$E$3:$O$419,BC$6),"")</f>
        <v/>
      </c>
      <c r="BD135" s="1507" t="str">
        <f aca="false">IF($AT135&gt;0,VLOOKUP($AR135,'O_MN, PE_UTA_UGM 2024'!$E$3:$O$419,BD$6),"")</f>
        <v/>
      </c>
      <c r="BE135" s="1507" t="str">
        <f aca="false">IF($AT135&gt;0,VLOOKUP($AR135,'O_MN, PE_UTA_UGM 2024'!$E$3:$O$419,BE$6),"")</f>
        <v/>
      </c>
      <c r="BF135" s="1507" t="str">
        <f aca="false">IF($AT135&gt;0,VLOOKUP($AR135,'O_MN, PE_UTA_UGM 2024'!$E$3:$O$419,BF$6),"")</f>
        <v/>
      </c>
      <c r="BG135" s="1507" t="str">
        <f aca="false">IF($AT135&gt;0,VLOOKUP($AR135,'O_MN, PE_UTA_UGM 2024'!$E$3:$O$419,BG$6),"")</f>
        <v/>
      </c>
      <c r="BH135" s="1504"/>
      <c r="BI135" s="1504"/>
      <c r="BJ135" s="1504"/>
      <c r="BK135" s="1504"/>
      <c r="BM135" s="1411"/>
      <c r="BN135" s="1411"/>
      <c r="BO135" s="1425" t="str">
        <f aca="false">IF(ISNUMBER($AU135*BB135*1),$AU135*BB135*1,"")</f>
        <v/>
      </c>
      <c r="BP135" s="1425" t="str">
        <f aca="false">IF(ISNUMBER($AV135*BC135*1),$AV135*BC135*1,"")</f>
        <v/>
      </c>
      <c r="BQ135" s="1425" t="str">
        <f aca="false">IF(ISNUMBER($AU135*BD135*1),$AU135*BD135*1,"")</f>
        <v/>
      </c>
      <c r="BR135" s="1425" t="str">
        <f aca="false">IF(ISNUMBER($AV135*BE135*1),$AV135*BE135*1,"")</f>
        <v/>
      </c>
      <c r="BS135" s="1411" t="str">
        <f aca="false">IF(ISNUMBER($AU135*BF135),$AU135*BF135,"")</f>
        <v/>
      </c>
      <c r="BT135" s="1411" t="str">
        <f aca="false">IF(ISNUMBER($AV135*BG135),$AV135*BG135,"")</f>
        <v/>
      </c>
      <c r="BU135" s="1411"/>
      <c r="BV135" s="1411"/>
      <c r="BW135" s="1411"/>
      <c r="BX135" s="1411"/>
      <c r="BZ135" s="1372"/>
      <c r="CA135" s="1372"/>
      <c r="CB135" s="1426" t="str">
        <f aca="false">IF(ISNUMBER($AW135*BB135),$AW135*BB135,"")</f>
        <v/>
      </c>
      <c r="CC135" s="1426" t="str">
        <f aca="false">IF(ISNUMBER($AX135*BC135),$AX135*BC135,"")</f>
        <v/>
      </c>
      <c r="CD135" s="1426" t="str">
        <f aca="false">IF(ISNUMBER($AW135*BD135),$AW135*BD135,"")</f>
        <v/>
      </c>
      <c r="CE135" s="1426" t="str">
        <f aca="false">IF(ISNUMBER($AX135*BE135),$AX135*BE135,"")</f>
        <v/>
      </c>
      <c r="CF135" s="1372" t="str">
        <f aca="false">IF(ISNUMBER($AW135*BF135),$AW135*BF135,"")</f>
        <v/>
      </c>
      <c r="CG135" s="1372" t="str">
        <f aca="false">IF(ISNUMBER($AX135*BG135),$AX135*BG135,"")</f>
        <v/>
      </c>
      <c r="CH135" s="1438"/>
      <c r="CI135" s="1438"/>
      <c r="CJ135" s="1438"/>
      <c r="CK135" s="1438"/>
      <c r="CU135" s="1411"/>
      <c r="CV135" s="1411"/>
      <c r="CW135" s="1425"/>
      <c r="CX135" s="1425"/>
      <c r="CY135" s="1425"/>
      <c r="CZ135" s="1425"/>
      <c r="DA135" s="1411"/>
      <c r="DB135" s="1411"/>
      <c r="DC135" s="1411"/>
      <c r="DD135" s="1411"/>
      <c r="DE135" s="1411"/>
      <c r="DF135" s="1411"/>
      <c r="DH135" s="1432"/>
      <c r="DI135" s="1432"/>
      <c r="DJ135" s="1437"/>
      <c r="DK135" s="1437"/>
      <c r="DL135" s="1437"/>
      <c r="DM135" s="1437"/>
      <c r="DN135" s="1432"/>
      <c r="DO135" s="1432"/>
      <c r="DP135" s="1432"/>
      <c r="DQ135" s="1432"/>
      <c r="DR135" s="1432"/>
      <c r="DS135" s="1432"/>
      <c r="DT135" s="1316"/>
      <c r="DU135" s="1433"/>
      <c r="DV135" s="1433"/>
      <c r="DW135" s="1433"/>
      <c r="DX135" s="1433"/>
      <c r="DY135" s="1433"/>
      <c r="DZ135" s="1433"/>
      <c r="EA135" s="1433"/>
      <c r="EB135" s="1433"/>
    </row>
    <row r="136" customFormat="false" ht="14.25" hidden="false" customHeight="false" outlineLevel="0" collapsed="false">
      <c r="A136" s="2" t="n">
        <f aca="false">'V_DATOS PAC_SGA'!CC131</f>
        <v>0</v>
      </c>
      <c r="B136" s="2" t="n">
        <f aca="false">IF(OR(A136=0,A136=""),0,IF(I136="IV",CONCATENATE('V_DATOS PAC_SGA'!CC131,"4")+0,CONCATENATE('V_DATOS PAC_SGA'!CC131,"0")+0))</f>
        <v>0</v>
      </c>
      <c r="C136" s="2" t="n">
        <f aca="false">'V_DATOS PAC_SGA'!CD131</f>
        <v>0</v>
      </c>
      <c r="D136" s="1409" t="n">
        <f aca="false">'V_DATOS PAC_SGA'!Y131</f>
        <v>0</v>
      </c>
      <c r="E136" s="1410" t="str">
        <f aca="false">IF('V_DATOS PAC_SGA'!AV131="","Regadio",'V_DATOS PAC_SGA'!AV131)</f>
        <v>Regadio</v>
      </c>
      <c r="F136" s="1411" t="n">
        <f aca="false">'V_DATOS PAC_SGA'!BK131</f>
        <v>0</v>
      </c>
      <c r="G136" s="1412" t="n">
        <f aca="false">'V_DATOS PAC_SGA'!AN131</f>
        <v>0</v>
      </c>
      <c r="H136" s="1413" t="str">
        <f aca="false">IF(B136&gt;0,VLOOKUP(B136,'O_MN, PE_UTA_UGM 2024'!E$3:O$419,10),"")</f>
        <v/>
      </c>
      <c r="I136" s="1359" t="str">
        <f aca="false">IF('V_DATOS PAC_SGA'!BV131="IV",'V_DATOS PAC_SGA'!BV131,"")</f>
        <v/>
      </c>
      <c r="J136" s="2" t="str">
        <f aca="false">IF($A136&gt;0,IF(AND(J$4=$G136,J$6=$F136),$D136*J$5,""),"")</f>
        <v/>
      </c>
      <c r="K136" s="2" t="str">
        <f aca="false">IF($A136&gt;0,IF(AND(K$4=$G136,K$6=$F136),$D136*K$5,""),"")</f>
        <v/>
      </c>
      <c r="L136" s="2" t="str">
        <f aca="false">IF($A136&gt;0,IF(AND(L$4=$G136,L$6=$F136),$D136*L$5,""),"")</f>
        <v/>
      </c>
      <c r="M136" s="2" t="str">
        <f aca="false">IF($A136&gt;0,IF(AND(M$4=$G136,M$6=$F136),$D136*M$5,""),"")</f>
        <v/>
      </c>
      <c r="N136" s="1506" t="n">
        <f aca="false">VLOOKUP(B136,'O_MN, PE_UTA_UGM 2024'!$E$2:$K$419,IF(G136&gt;1,6,7))</f>
        <v>0</v>
      </c>
      <c r="O136" s="1434" t="str">
        <f aca="false">IF($H136=O$4,$D136*$N136,"")</f>
        <v/>
      </c>
      <c r="P136" s="1435" t="str">
        <f aca="false">IF($H136=P$4,$D136*$N136,"")</f>
        <v/>
      </c>
      <c r="Q136" s="1435" t="str">
        <f aca="false">IF($H136=Q$4,$D136*$N136,"")</f>
        <v/>
      </c>
      <c r="R136" s="1435" t="str">
        <f aca="false">IF($H136=R$4,$D136*$N136,"")</f>
        <v/>
      </c>
      <c r="S136" s="1435" t="str">
        <f aca="false">IF($H136=S$4,$D136*$N136,"")</f>
        <v/>
      </c>
      <c r="T136" s="1435" t="str">
        <f aca="false">IF($H136=T$4,$D136*$N136,"")</f>
        <v/>
      </c>
      <c r="U136" s="1436" t="str">
        <f aca="false">IF($H136=U$4,$D136*$N136,"")</f>
        <v/>
      </c>
      <c r="V136" s="1418"/>
      <c r="W136" s="1419"/>
      <c r="X136" s="1419"/>
      <c r="Y136" s="1419"/>
      <c r="Z136" s="1419"/>
      <c r="AA136" s="1419"/>
      <c r="AB136" s="1420"/>
      <c r="AC136" s="1319"/>
      <c r="AD136" s="2" t="str">
        <f aca="false">IF(AND(AD$4=$G136,AD$6=$F136),$B136,"")</f>
        <v/>
      </c>
      <c r="AE136" s="2" t="str">
        <f aca="false">IF(AND(AE$4=$G136,AE$6=$F136),$B136,"")</f>
        <v/>
      </c>
      <c r="AF136" s="2" t="str">
        <f aca="false">IF(AND(AF$4=$G136,AF$6=$F136),$B136,"")</f>
        <v/>
      </c>
      <c r="AG136" s="2" t="str">
        <f aca="false">IF(AND(AG$4=$G136,AG$6=$F136),$B136,"")</f>
        <v/>
      </c>
      <c r="AI136" s="366"/>
      <c r="AL136" s="367"/>
      <c r="AO136" s="367"/>
      <c r="AP136" s="2" t="str">
        <f aca="false">IF(AT136&gt;0,RANK(AT136,AT$7:AT$423),"")</f>
        <v/>
      </c>
      <c r="AQ136" s="2" t="n">
        <f aca="false">'O_MN, PE_UTA_UGM 2024'!C132</f>
        <v>167</v>
      </c>
      <c r="AR136" s="1421" t="n">
        <v>1664</v>
      </c>
      <c r="AS136" s="2" t="str">
        <f aca="false">IF(AY136&lt;&gt;"",AY136,"")</f>
        <v/>
      </c>
      <c r="AT136" s="1422" t="n">
        <f aca="false">IF(ISNUMBER($AR136),SUMIF(B$7:B$505,AR136,D$7:D$505),"")</f>
        <v>0</v>
      </c>
      <c r="AU136" s="1411" t="n">
        <f aca="false">IF(ISNUMBER($AR136),SUMIF(AD$7:AD$503,$AR136,J$7:J$503),"")</f>
        <v>0</v>
      </c>
      <c r="AV136" s="1411" t="n">
        <f aca="false">IF(ISNUMBER($AR136),SUMIF(AF$7:AF$503,$AR136,L$7:L$503),"")</f>
        <v>0</v>
      </c>
      <c r="AW136" s="1423" t="n">
        <f aca="false">IF(ISNUMBER($AR136),SUMIF(AE$7:AE$503,$AR136,K$7:K$503),"")</f>
        <v>0</v>
      </c>
      <c r="AX136" s="1423" t="n">
        <f aca="false">IF(ISNUMBER($AR136),SUMIF(AG$7:AG$503,$AR136,M$7:M$503),"")</f>
        <v>0</v>
      </c>
      <c r="AY136" s="2" t="str">
        <f aca="false">IF($AT136&gt;0,VLOOKUP($AR136,'O_MN, PE_UTA_UGM 2024'!E132:O548,2),"")</f>
        <v/>
      </c>
      <c r="AZ136" s="1507"/>
      <c r="BA136" s="1507"/>
      <c r="BB136" s="1507" t="str">
        <f aca="false">IF($AT136&gt;0,VLOOKUP($AR136,'O_MN, PE_UTA_UGM 2024'!$E$3:$O$419,BB$6),"")</f>
        <v/>
      </c>
      <c r="BC136" s="1507" t="str">
        <f aca="false">IF($AT136&gt;0,VLOOKUP($AR136,'O_MN, PE_UTA_UGM 2024'!$E$3:$O$419,BC$6),"")</f>
        <v/>
      </c>
      <c r="BD136" s="1507" t="str">
        <f aca="false">IF($AT136&gt;0,VLOOKUP($AR136,'O_MN, PE_UTA_UGM 2024'!$E$3:$O$419,BD$6),"")</f>
        <v/>
      </c>
      <c r="BE136" s="1507" t="str">
        <f aca="false">IF($AT136&gt;0,VLOOKUP($AR136,'O_MN, PE_UTA_UGM 2024'!$E$3:$O$419,BE$6),"")</f>
        <v/>
      </c>
      <c r="BF136" s="1507" t="str">
        <f aca="false">IF($AT136&gt;0,VLOOKUP($AR136,'O_MN, PE_UTA_UGM 2024'!$E$3:$O$419,BF$6),"")</f>
        <v/>
      </c>
      <c r="BG136" s="1507" t="str">
        <f aca="false">IF($AT136&gt;0,VLOOKUP($AR136,'O_MN, PE_UTA_UGM 2024'!$E$3:$O$419,BG$6),"")</f>
        <v/>
      </c>
      <c r="BH136" s="1504"/>
      <c r="BI136" s="1504"/>
      <c r="BJ136" s="1504"/>
      <c r="BK136" s="1504"/>
      <c r="BM136" s="1411"/>
      <c r="BN136" s="1411"/>
      <c r="BO136" s="1425" t="str">
        <f aca="false">IF(ISNUMBER($AU136*BB136*1),$AU136*BB136*1,"")</f>
        <v/>
      </c>
      <c r="BP136" s="1425" t="str">
        <f aca="false">IF(ISNUMBER($AV136*BC136*1),$AV136*BC136*1,"")</f>
        <v/>
      </c>
      <c r="BQ136" s="1425" t="str">
        <f aca="false">IF(ISNUMBER($AU136*BD136*1),$AU136*BD136*1,"")</f>
        <v/>
      </c>
      <c r="BR136" s="1425" t="str">
        <f aca="false">IF(ISNUMBER($AV136*BE136*1),$AV136*BE136*1,"")</f>
        <v/>
      </c>
      <c r="BS136" s="1411" t="str">
        <f aca="false">IF(ISNUMBER($AU136*BF136),$AU136*BF136,"")</f>
        <v/>
      </c>
      <c r="BT136" s="1411" t="str">
        <f aca="false">IF(ISNUMBER($AV136*BG136),$AV136*BG136,"")</f>
        <v/>
      </c>
      <c r="BU136" s="1411"/>
      <c r="BV136" s="1411"/>
      <c r="BW136" s="1411"/>
      <c r="BX136" s="1411"/>
      <c r="BZ136" s="1372"/>
      <c r="CA136" s="1372"/>
      <c r="CB136" s="1426" t="str">
        <f aca="false">IF(ISNUMBER($AW136*BB136),$AW136*BB136,"")</f>
        <v/>
      </c>
      <c r="CC136" s="1426" t="str">
        <f aca="false">IF(ISNUMBER($AX136*BC136),$AX136*BC136,"")</f>
        <v/>
      </c>
      <c r="CD136" s="1426" t="str">
        <f aca="false">IF(ISNUMBER($AW136*BD136),$AW136*BD136,"")</f>
        <v/>
      </c>
      <c r="CE136" s="1426" t="str">
        <f aca="false">IF(ISNUMBER($AX136*BE136),$AX136*BE136,"")</f>
        <v/>
      </c>
      <c r="CF136" s="1372" t="str">
        <f aca="false">IF(ISNUMBER($AW136*BF136),$AW136*BF136,"")</f>
        <v/>
      </c>
      <c r="CG136" s="1372" t="str">
        <f aca="false">IF(ISNUMBER($AX136*BG136),$AX136*BG136,"")</f>
        <v/>
      </c>
      <c r="CH136" s="1438"/>
      <c r="CI136" s="1438"/>
      <c r="CJ136" s="1438"/>
      <c r="CK136" s="1438"/>
      <c r="CU136" s="1411"/>
      <c r="CV136" s="1411"/>
      <c r="CW136" s="1425"/>
      <c r="CX136" s="1425"/>
      <c r="CY136" s="1425"/>
      <c r="CZ136" s="1425"/>
      <c r="DA136" s="1411"/>
      <c r="DB136" s="1411"/>
      <c r="DC136" s="1411"/>
      <c r="DD136" s="1411"/>
      <c r="DE136" s="1411"/>
      <c r="DF136" s="1411"/>
      <c r="DH136" s="1432"/>
      <c r="DI136" s="1432"/>
      <c r="DJ136" s="1437"/>
      <c r="DK136" s="1437"/>
      <c r="DL136" s="1437"/>
      <c r="DM136" s="1437"/>
      <c r="DN136" s="1432"/>
      <c r="DO136" s="1432"/>
      <c r="DP136" s="1432"/>
      <c r="DQ136" s="1432"/>
      <c r="DR136" s="1432"/>
      <c r="DS136" s="1432"/>
      <c r="DT136" s="1316"/>
      <c r="DU136" s="1433"/>
      <c r="DV136" s="1433"/>
      <c r="DW136" s="1433"/>
      <c r="DX136" s="1433"/>
      <c r="DY136" s="1433"/>
      <c r="DZ136" s="1433"/>
      <c r="EA136" s="1433"/>
      <c r="EB136" s="1433"/>
    </row>
    <row r="137" customFormat="false" ht="14.25" hidden="false" customHeight="false" outlineLevel="0" collapsed="false">
      <c r="A137" s="2" t="n">
        <f aca="false">'V_DATOS PAC_SGA'!CC132</f>
        <v>0</v>
      </c>
      <c r="B137" s="2" t="n">
        <f aca="false">IF(OR(A137=0,A137=""),0,IF(I137="IV",CONCATENATE('V_DATOS PAC_SGA'!CC132,"4")+0,CONCATENATE('V_DATOS PAC_SGA'!CC132,"0")+0))</f>
        <v>0</v>
      </c>
      <c r="C137" s="2" t="n">
        <f aca="false">'V_DATOS PAC_SGA'!CD132</f>
        <v>0</v>
      </c>
      <c r="D137" s="1409" t="n">
        <f aca="false">'V_DATOS PAC_SGA'!Y132</f>
        <v>0</v>
      </c>
      <c r="E137" s="1410" t="str">
        <f aca="false">IF('V_DATOS PAC_SGA'!AV132="","Regadio",'V_DATOS PAC_SGA'!AV132)</f>
        <v>Regadio</v>
      </c>
      <c r="F137" s="1411" t="n">
        <f aca="false">'V_DATOS PAC_SGA'!BK132</f>
        <v>0</v>
      </c>
      <c r="G137" s="1412" t="n">
        <f aca="false">'V_DATOS PAC_SGA'!AN132</f>
        <v>0</v>
      </c>
      <c r="H137" s="1413" t="str">
        <f aca="false">IF(B137&gt;0,VLOOKUP(B137,'O_MN, PE_UTA_UGM 2024'!E$3:O$419,10),"")</f>
        <v/>
      </c>
      <c r="I137" s="1359" t="str">
        <f aca="false">IF('V_DATOS PAC_SGA'!BV132="IV",'V_DATOS PAC_SGA'!BV132,"")</f>
        <v/>
      </c>
      <c r="J137" s="2" t="str">
        <f aca="false">IF($A137&gt;0,IF(AND(J$4=$G137,J$6=$F137),$D137*J$5,""),"")</f>
        <v/>
      </c>
      <c r="K137" s="2" t="str">
        <f aca="false">IF($A137&gt;0,IF(AND(K$4=$G137,K$6=$F137),$D137*K$5,""),"")</f>
        <v/>
      </c>
      <c r="L137" s="2" t="str">
        <f aca="false">IF($A137&gt;0,IF(AND(L$4=$G137,L$6=$F137),$D137*L$5,""),"")</f>
        <v/>
      </c>
      <c r="M137" s="2" t="str">
        <f aca="false">IF($A137&gt;0,IF(AND(M$4=$G137,M$6=$F137),$D137*M$5,""),"")</f>
        <v/>
      </c>
      <c r="N137" s="1506" t="n">
        <f aca="false">VLOOKUP(B137,'O_MN, PE_UTA_UGM 2024'!$E$2:$K$419,IF(G137&gt;1,6,7))</f>
        <v>0</v>
      </c>
      <c r="O137" s="1434" t="str">
        <f aca="false">IF($H137=O$4,$D137*$N137,"")</f>
        <v/>
      </c>
      <c r="P137" s="1435" t="str">
        <f aca="false">IF($H137=P$4,$D137*$N137,"")</f>
        <v/>
      </c>
      <c r="Q137" s="1435" t="str">
        <f aca="false">IF($H137=Q$4,$D137*$N137,"")</f>
        <v/>
      </c>
      <c r="R137" s="1435" t="str">
        <f aca="false">IF($H137=R$4,$D137*$N137,"")</f>
        <v/>
      </c>
      <c r="S137" s="1435" t="str">
        <f aca="false">IF($H137=S$4,$D137*$N137,"")</f>
        <v/>
      </c>
      <c r="T137" s="1435" t="str">
        <f aca="false">IF($H137=T$4,$D137*$N137,"")</f>
        <v/>
      </c>
      <c r="U137" s="1436" t="str">
        <f aca="false">IF($H137=U$4,$D137*$N137,"")</f>
        <v/>
      </c>
      <c r="V137" s="1418"/>
      <c r="W137" s="1419"/>
      <c r="X137" s="1419"/>
      <c r="Y137" s="1419"/>
      <c r="Z137" s="1419"/>
      <c r="AA137" s="1419"/>
      <c r="AB137" s="1420"/>
      <c r="AC137" s="1319"/>
      <c r="AD137" s="2" t="str">
        <f aca="false">IF(AND(AD$4=$G137,AD$6=$F137),$B137,"")</f>
        <v/>
      </c>
      <c r="AE137" s="2" t="str">
        <f aca="false">IF(AND(AE$4=$G137,AE$6=$F137),$B137,"")</f>
        <v/>
      </c>
      <c r="AF137" s="2" t="str">
        <f aca="false">IF(AND(AF$4=$G137,AF$6=$F137),$B137,"")</f>
        <v/>
      </c>
      <c r="AG137" s="2" t="str">
        <f aca="false">IF(AND(AG$4=$G137,AG$6=$F137),$B137,"")</f>
        <v/>
      </c>
      <c r="AI137" s="366"/>
      <c r="AL137" s="367"/>
      <c r="AO137" s="367"/>
      <c r="AP137" s="2" t="str">
        <f aca="false">IF(AT137&gt;0,RANK(AT137,AT$7:AT$423),"")</f>
        <v/>
      </c>
      <c r="AQ137" s="2" t="n">
        <f aca="false">'O_MN, PE_UTA_UGM 2024'!C133</f>
        <v>168</v>
      </c>
      <c r="AR137" s="1421" t="n">
        <v>1669</v>
      </c>
      <c r="AS137" s="2" t="str">
        <f aca="false">IF(AY137&lt;&gt;"",AY137,"")</f>
        <v/>
      </c>
      <c r="AT137" s="1422" t="n">
        <f aca="false">IF(ISNUMBER($AR137),SUMIF(B$7:B$505,AR137,D$7:D$505),"")</f>
        <v>0</v>
      </c>
      <c r="AU137" s="1411" t="n">
        <f aca="false">IF(ISNUMBER($AR137),SUMIF(AD$7:AD$503,$AR137,J$7:J$503),"")</f>
        <v>0</v>
      </c>
      <c r="AV137" s="1411" t="n">
        <f aca="false">IF(ISNUMBER($AR137),SUMIF(AF$7:AF$503,$AR137,L$7:L$503),"")</f>
        <v>0</v>
      </c>
      <c r="AW137" s="1423" t="n">
        <f aca="false">IF(ISNUMBER($AR137),SUMIF(AE$7:AE$503,$AR137,K$7:K$503),"")</f>
        <v>0</v>
      </c>
      <c r="AX137" s="1423" t="n">
        <f aca="false">IF(ISNUMBER($AR137),SUMIF(AG$7:AG$503,$AR137,M$7:M$503),"")</f>
        <v>0</v>
      </c>
      <c r="AY137" s="2" t="str">
        <f aca="false">IF($AT137&gt;0,VLOOKUP($AR137,'O_MN, PE_UTA_UGM 2024'!E133:O549,2),"")</f>
        <v/>
      </c>
      <c r="AZ137" s="1507"/>
      <c r="BA137" s="1507"/>
      <c r="BB137" s="1507" t="str">
        <f aca="false">IF($AT137&gt;0,VLOOKUP($AR137,'O_MN, PE_UTA_UGM 2024'!$E$3:$O$419,BB$6),"")</f>
        <v/>
      </c>
      <c r="BC137" s="1507" t="str">
        <f aca="false">IF($AT137&gt;0,VLOOKUP($AR137,'O_MN, PE_UTA_UGM 2024'!$E$3:$O$419,BC$6),"")</f>
        <v/>
      </c>
      <c r="BD137" s="1507" t="str">
        <f aca="false">IF($AT137&gt;0,VLOOKUP($AR137,'O_MN, PE_UTA_UGM 2024'!$E$3:$O$419,BD$6),"")</f>
        <v/>
      </c>
      <c r="BE137" s="1507" t="str">
        <f aca="false">IF($AT137&gt;0,VLOOKUP($AR137,'O_MN, PE_UTA_UGM 2024'!$E$3:$O$419,BE$6),"")</f>
        <v/>
      </c>
      <c r="BF137" s="1507" t="str">
        <f aca="false">IF($AT137&gt;0,VLOOKUP($AR137,'O_MN, PE_UTA_UGM 2024'!$E$3:$O$419,BF$6),"")</f>
        <v/>
      </c>
      <c r="BG137" s="1507" t="str">
        <f aca="false">IF($AT137&gt;0,VLOOKUP($AR137,'O_MN, PE_UTA_UGM 2024'!$E$3:$O$419,BG$6),"")</f>
        <v/>
      </c>
      <c r="BH137" s="1504"/>
      <c r="BI137" s="1504"/>
      <c r="BJ137" s="1504"/>
      <c r="BK137" s="1504"/>
      <c r="BM137" s="1411"/>
      <c r="BN137" s="1411"/>
      <c r="BO137" s="1425" t="str">
        <f aca="false">IF(ISNUMBER($AU137*BB137*1),$AU137*BB137*1,"")</f>
        <v/>
      </c>
      <c r="BP137" s="1425" t="str">
        <f aca="false">IF(ISNUMBER($AV137*BC137*1),$AV137*BC137*1,"")</f>
        <v/>
      </c>
      <c r="BQ137" s="1425" t="str">
        <f aca="false">IF(ISNUMBER($AU137*BD137*1),$AU137*BD137*1,"")</f>
        <v/>
      </c>
      <c r="BR137" s="1425" t="str">
        <f aca="false">IF(ISNUMBER($AV137*BE137*1),$AV137*BE137*1,"")</f>
        <v/>
      </c>
      <c r="BS137" s="1411" t="str">
        <f aca="false">IF(ISNUMBER($AU137*BF137),$AU137*BF137,"")</f>
        <v/>
      </c>
      <c r="BT137" s="1411" t="str">
        <f aca="false">IF(ISNUMBER($AV137*BG137),$AV137*BG137,"")</f>
        <v/>
      </c>
      <c r="BU137" s="1411"/>
      <c r="BV137" s="1411"/>
      <c r="BW137" s="1411"/>
      <c r="BX137" s="1411"/>
      <c r="BZ137" s="1372"/>
      <c r="CA137" s="1372"/>
      <c r="CB137" s="1426" t="str">
        <f aca="false">IF(ISNUMBER($AW137*BB137),$AW137*BB137,"")</f>
        <v/>
      </c>
      <c r="CC137" s="1426" t="str">
        <f aca="false">IF(ISNUMBER($AX137*BC137),$AX137*BC137,"")</f>
        <v/>
      </c>
      <c r="CD137" s="1426" t="str">
        <f aca="false">IF(ISNUMBER($AW137*BD137),$AW137*BD137,"")</f>
        <v/>
      </c>
      <c r="CE137" s="1426" t="str">
        <f aca="false">IF(ISNUMBER($AX137*BE137),$AX137*BE137,"")</f>
        <v/>
      </c>
      <c r="CF137" s="1372" t="str">
        <f aca="false">IF(ISNUMBER($AW137*BF137),$AW137*BF137,"")</f>
        <v/>
      </c>
      <c r="CG137" s="1372" t="str">
        <f aca="false">IF(ISNUMBER($AX137*BG137),$AX137*BG137,"")</f>
        <v/>
      </c>
      <c r="CH137" s="1438"/>
      <c r="CI137" s="1438"/>
      <c r="CJ137" s="1438"/>
      <c r="CK137" s="1438"/>
      <c r="CU137" s="1411"/>
      <c r="CV137" s="1411"/>
      <c r="CW137" s="1425"/>
      <c r="CX137" s="1425"/>
      <c r="CY137" s="1425"/>
      <c r="CZ137" s="1425"/>
      <c r="DA137" s="1411"/>
      <c r="DB137" s="1411"/>
      <c r="DC137" s="1411"/>
      <c r="DD137" s="1411"/>
      <c r="DE137" s="1411"/>
      <c r="DF137" s="1411"/>
      <c r="DH137" s="1432"/>
      <c r="DI137" s="1432"/>
      <c r="DJ137" s="1437"/>
      <c r="DK137" s="1437"/>
      <c r="DL137" s="1437"/>
      <c r="DM137" s="1437"/>
      <c r="DN137" s="1432"/>
      <c r="DO137" s="1432"/>
      <c r="DP137" s="1432"/>
      <c r="DQ137" s="1432"/>
      <c r="DR137" s="1432"/>
      <c r="DS137" s="1432"/>
      <c r="DT137" s="1316"/>
      <c r="DU137" s="1433"/>
      <c r="DV137" s="1433"/>
      <c r="DW137" s="1433"/>
      <c r="DX137" s="1433"/>
      <c r="DY137" s="1433"/>
      <c r="DZ137" s="1433"/>
      <c r="EA137" s="1433"/>
      <c r="EB137" s="1433"/>
    </row>
    <row r="138" customFormat="false" ht="14.25" hidden="false" customHeight="false" outlineLevel="0" collapsed="false">
      <c r="A138" s="2" t="n">
        <f aca="false">'V_DATOS PAC_SGA'!CC133</f>
        <v>0</v>
      </c>
      <c r="B138" s="2" t="n">
        <f aca="false">IF(OR(A138=0,A138=""),0,IF(I138="IV",CONCATENATE('V_DATOS PAC_SGA'!CC133,"4")+0,CONCATENATE('V_DATOS PAC_SGA'!CC133,"0")+0))</f>
        <v>0</v>
      </c>
      <c r="C138" s="2" t="n">
        <f aca="false">'V_DATOS PAC_SGA'!CD133</f>
        <v>0</v>
      </c>
      <c r="D138" s="1409" t="n">
        <f aca="false">'V_DATOS PAC_SGA'!Y133</f>
        <v>0</v>
      </c>
      <c r="E138" s="1410" t="str">
        <f aca="false">IF('V_DATOS PAC_SGA'!AV133="","Regadio",'V_DATOS PAC_SGA'!AV133)</f>
        <v>Regadio</v>
      </c>
      <c r="F138" s="1411" t="n">
        <f aca="false">'V_DATOS PAC_SGA'!BK133</f>
        <v>0</v>
      </c>
      <c r="G138" s="1412" t="n">
        <f aca="false">'V_DATOS PAC_SGA'!AN133</f>
        <v>0</v>
      </c>
      <c r="H138" s="1413" t="str">
        <f aca="false">IF(B138&gt;0,VLOOKUP(B138,'O_MN, PE_UTA_UGM 2024'!E$3:O$419,10),"")</f>
        <v/>
      </c>
      <c r="I138" s="1359" t="str">
        <f aca="false">IF('V_DATOS PAC_SGA'!BV133="IV",'V_DATOS PAC_SGA'!BV133,"")</f>
        <v/>
      </c>
      <c r="J138" s="2" t="str">
        <f aca="false">IF($A138&gt;0,IF(AND(J$4=$G138,J$6=$F138),$D138*J$5,""),"")</f>
        <v/>
      </c>
      <c r="K138" s="2" t="str">
        <f aca="false">IF($A138&gt;0,IF(AND(K$4=$G138,K$6=$F138),$D138*K$5,""),"")</f>
        <v/>
      </c>
      <c r="L138" s="2" t="str">
        <f aca="false">IF($A138&gt;0,IF(AND(L$4=$G138,L$6=$F138),$D138*L$5,""),"")</f>
        <v/>
      </c>
      <c r="M138" s="2" t="str">
        <f aca="false">IF($A138&gt;0,IF(AND(M$4=$G138,M$6=$F138),$D138*M$5,""),"")</f>
        <v/>
      </c>
      <c r="N138" s="1506" t="n">
        <f aca="false">VLOOKUP(B138,'O_MN, PE_UTA_UGM 2024'!$E$2:$K$419,IF(G138&gt;1,6,7))</f>
        <v>0</v>
      </c>
      <c r="O138" s="1434" t="str">
        <f aca="false">IF($H138=O$4,$D138*$N138,"")</f>
        <v/>
      </c>
      <c r="P138" s="1435" t="str">
        <f aca="false">IF($H138=P$4,$D138*$N138,"")</f>
        <v/>
      </c>
      <c r="Q138" s="1435" t="str">
        <f aca="false">IF($H138=Q$4,$D138*$N138,"")</f>
        <v/>
      </c>
      <c r="R138" s="1435" t="str">
        <f aca="false">IF($H138=R$4,$D138*$N138,"")</f>
        <v/>
      </c>
      <c r="S138" s="1435" t="str">
        <f aca="false">IF($H138=S$4,$D138*$N138,"")</f>
        <v/>
      </c>
      <c r="T138" s="1435" t="str">
        <f aca="false">IF($H138=T$4,$D138*$N138,"")</f>
        <v/>
      </c>
      <c r="U138" s="1436" t="str">
        <f aca="false">IF($H138=U$4,$D138*$N138,"")</f>
        <v/>
      </c>
      <c r="V138" s="1418"/>
      <c r="W138" s="1419"/>
      <c r="X138" s="1419"/>
      <c r="Y138" s="1419"/>
      <c r="Z138" s="1419"/>
      <c r="AA138" s="1419"/>
      <c r="AB138" s="1420"/>
      <c r="AC138" s="1319"/>
      <c r="AD138" s="2" t="str">
        <f aca="false">IF(AND(AD$4=$G138,AD$6=$F138),$B138,"")</f>
        <v/>
      </c>
      <c r="AE138" s="2" t="str">
        <f aca="false">IF(AND(AE$4=$G138,AE$6=$F138),$B138,"")</f>
        <v/>
      </c>
      <c r="AF138" s="2" t="str">
        <f aca="false">IF(AND(AF$4=$G138,AF$6=$F138),$B138,"")</f>
        <v/>
      </c>
      <c r="AG138" s="2" t="str">
        <f aca="false">IF(AND(AG$4=$G138,AG$6=$F138),$B138,"")</f>
        <v/>
      </c>
      <c r="AI138" s="366"/>
      <c r="AL138" s="367"/>
      <c r="AO138" s="367"/>
      <c r="AP138" s="2" t="str">
        <f aca="false">IF(AT138&gt;0,RANK(AT138,AT$7:AT$423),"")</f>
        <v/>
      </c>
      <c r="AQ138" s="2" t="n">
        <f aca="false">'O_MN, PE_UTA_UGM 2024'!C134</f>
        <v>168</v>
      </c>
      <c r="AR138" s="1421" t="n">
        <v>1670</v>
      </c>
      <c r="AS138" s="2" t="str">
        <f aca="false">IF(AY138&lt;&gt;"",AY138,"")</f>
        <v/>
      </c>
      <c r="AT138" s="1422" t="n">
        <f aca="false">IF(ISNUMBER($AR138),SUMIF(B$7:B$505,AR138,D$7:D$505),"")</f>
        <v>0</v>
      </c>
      <c r="AU138" s="1411" t="n">
        <f aca="false">IF(ISNUMBER($AR138),SUMIF(AD$7:AD$503,$AR138,J$7:J$503),"")</f>
        <v>0</v>
      </c>
      <c r="AV138" s="1411" t="n">
        <f aca="false">IF(ISNUMBER($AR138),SUMIF(AF$7:AF$503,$AR138,L$7:L$503),"")</f>
        <v>0</v>
      </c>
      <c r="AW138" s="1423" t="n">
        <f aca="false">IF(ISNUMBER($AR138),SUMIF(AE$7:AE$503,$AR138,K$7:K$503),"")</f>
        <v>0</v>
      </c>
      <c r="AX138" s="1423" t="n">
        <f aca="false">IF(ISNUMBER($AR138),SUMIF(AG$7:AG$503,$AR138,M$7:M$503),"")</f>
        <v>0</v>
      </c>
      <c r="AY138" s="2" t="str">
        <f aca="false">IF($AT138&gt;0,VLOOKUP($AR138,'O_MN, PE_UTA_UGM 2024'!E134:O550,2),"")</f>
        <v/>
      </c>
      <c r="AZ138" s="1507"/>
      <c r="BA138" s="1507"/>
      <c r="BB138" s="1507" t="str">
        <f aca="false">IF($AT138&gt;0,VLOOKUP($AR138,'O_MN, PE_UTA_UGM 2024'!$E$3:$O$419,BB$6),"")</f>
        <v/>
      </c>
      <c r="BC138" s="1507" t="str">
        <f aca="false">IF($AT138&gt;0,VLOOKUP($AR138,'O_MN, PE_UTA_UGM 2024'!$E$3:$O$419,BC$6),"")</f>
        <v/>
      </c>
      <c r="BD138" s="1507" t="str">
        <f aca="false">IF($AT138&gt;0,VLOOKUP($AR138,'O_MN, PE_UTA_UGM 2024'!$E$3:$O$419,BD$6),"")</f>
        <v/>
      </c>
      <c r="BE138" s="1507" t="str">
        <f aca="false">IF($AT138&gt;0,VLOOKUP($AR138,'O_MN, PE_UTA_UGM 2024'!$E$3:$O$419,BE$6),"")</f>
        <v/>
      </c>
      <c r="BF138" s="1507" t="str">
        <f aca="false">IF($AT138&gt;0,VLOOKUP($AR138,'O_MN, PE_UTA_UGM 2024'!$E$3:$O$419,BF$6),"")</f>
        <v/>
      </c>
      <c r="BG138" s="1507" t="str">
        <f aca="false">IF($AT138&gt;0,VLOOKUP($AR138,'O_MN, PE_UTA_UGM 2024'!$E$3:$O$419,BG$6),"")</f>
        <v/>
      </c>
      <c r="BH138" s="1504"/>
      <c r="BI138" s="1504"/>
      <c r="BJ138" s="1504"/>
      <c r="BK138" s="1504"/>
      <c r="BM138" s="1411"/>
      <c r="BN138" s="1411"/>
      <c r="BO138" s="1425" t="str">
        <f aca="false">IF(ISNUMBER($AU138*BB138*1),$AU138*BB138*1,"")</f>
        <v/>
      </c>
      <c r="BP138" s="1425" t="str">
        <f aca="false">IF(ISNUMBER($AV138*BC138*1),$AV138*BC138*1,"")</f>
        <v/>
      </c>
      <c r="BQ138" s="1425" t="str">
        <f aca="false">IF(ISNUMBER($AU138*BD138*1),$AU138*BD138*1,"")</f>
        <v/>
      </c>
      <c r="BR138" s="1425" t="str">
        <f aca="false">IF(ISNUMBER($AV138*BE138*1),$AV138*BE138*1,"")</f>
        <v/>
      </c>
      <c r="BS138" s="1411" t="str">
        <f aca="false">IF(ISNUMBER($AU138*BF138),$AU138*BF138,"")</f>
        <v/>
      </c>
      <c r="BT138" s="1411" t="str">
        <f aca="false">IF(ISNUMBER($AV138*BG138),$AV138*BG138,"")</f>
        <v/>
      </c>
      <c r="BU138" s="1411"/>
      <c r="BV138" s="1411"/>
      <c r="BW138" s="1411"/>
      <c r="BX138" s="1411"/>
      <c r="BZ138" s="1372"/>
      <c r="CA138" s="1372"/>
      <c r="CB138" s="1426" t="str">
        <f aca="false">IF(ISNUMBER($AW138*BB138),$AW138*BB138,"")</f>
        <v/>
      </c>
      <c r="CC138" s="1426" t="str">
        <f aca="false">IF(ISNUMBER($AX138*BC138),$AX138*BC138,"")</f>
        <v/>
      </c>
      <c r="CD138" s="1426" t="str">
        <f aca="false">IF(ISNUMBER($AW138*BD138),$AW138*BD138,"")</f>
        <v/>
      </c>
      <c r="CE138" s="1426" t="str">
        <f aca="false">IF(ISNUMBER($AX138*BE138),$AX138*BE138,"")</f>
        <v/>
      </c>
      <c r="CF138" s="1372" t="str">
        <f aca="false">IF(ISNUMBER($AW138*BF138),$AW138*BF138,"")</f>
        <v/>
      </c>
      <c r="CG138" s="1372" t="str">
        <f aca="false">IF(ISNUMBER($AX138*BG138),$AX138*BG138,"")</f>
        <v/>
      </c>
      <c r="CH138" s="1438"/>
      <c r="CI138" s="1438"/>
      <c r="CJ138" s="1438"/>
      <c r="CK138" s="1438"/>
      <c r="CU138" s="1411"/>
      <c r="CV138" s="1411"/>
      <c r="CW138" s="1425"/>
      <c r="CX138" s="1425"/>
      <c r="CY138" s="1425"/>
      <c r="CZ138" s="1425"/>
      <c r="DA138" s="1411"/>
      <c r="DB138" s="1411"/>
      <c r="DC138" s="1411"/>
      <c r="DD138" s="1411"/>
      <c r="DE138" s="1411"/>
      <c r="DF138" s="1411"/>
      <c r="DH138" s="1432"/>
      <c r="DI138" s="1432"/>
      <c r="DJ138" s="1437"/>
      <c r="DK138" s="1437"/>
      <c r="DL138" s="1437"/>
      <c r="DM138" s="1437"/>
      <c r="DN138" s="1432"/>
      <c r="DO138" s="1432"/>
      <c r="DP138" s="1432"/>
      <c r="DQ138" s="1432"/>
      <c r="DR138" s="1432"/>
      <c r="DS138" s="1432"/>
      <c r="DT138" s="1316"/>
      <c r="DU138" s="1433"/>
      <c r="DV138" s="1433"/>
      <c r="DW138" s="1433"/>
      <c r="DX138" s="1433"/>
      <c r="DY138" s="1433"/>
      <c r="DZ138" s="1433"/>
      <c r="EA138" s="1433"/>
      <c r="EB138" s="1433"/>
    </row>
    <row r="139" customFormat="false" ht="14.25" hidden="false" customHeight="false" outlineLevel="0" collapsed="false">
      <c r="A139" s="2" t="n">
        <f aca="false">'V_DATOS PAC_SGA'!CC134</f>
        <v>0</v>
      </c>
      <c r="B139" s="2" t="n">
        <f aca="false">IF(OR(A139=0,A139=""),0,IF(I139="IV",CONCATENATE('V_DATOS PAC_SGA'!CC134,"4")+0,CONCATENATE('V_DATOS PAC_SGA'!CC134,"0")+0))</f>
        <v>0</v>
      </c>
      <c r="C139" s="2" t="n">
        <f aca="false">'V_DATOS PAC_SGA'!CD134</f>
        <v>0</v>
      </c>
      <c r="D139" s="1409" t="n">
        <f aca="false">'V_DATOS PAC_SGA'!Y134</f>
        <v>0</v>
      </c>
      <c r="E139" s="1410" t="str">
        <f aca="false">IF('V_DATOS PAC_SGA'!AV134="","Regadio",'V_DATOS PAC_SGA'!AV134)</f>
        <v>Regadio</v>
      </c>
      <c r="F139" s="1411" t="n">
        <f aca="false">'V_DATOS PAC_SGA'!BK134</f>
        <v>0</v>
      </c>
      <c r="G139" s="1412" t="n">
        <f aca="false">'V_DATOS PAC_SGA'!AN134</f>
        <v>0</v>
      </c>
      <c r="H139" s="1413" t="str">
        <f aca="false">IF(B139&gt;0,VLOOKUP(B139,'O_MN, PE_UTA_UGM 2024'!E$3:O$419,10),"")</f>
        <v/>
      </c>
      <c r="I139" s="1359" t="str">
        <f aca="false">IF('V_DATOS PAC_SGA'!BV134="IV",'V_DATOS PAC_SGA'!BV134,"")</f>
        <v/>
      </c>
      <c r="J139" s="2" t="str">
        <f aca="false">IF($A139&gt;0,IF(AND(J$4=$G139,J$6=$F139),$D139*J$5,""),"")</f>
        <v/>
      </c>
      <c r="K139" s="2" t="str">
        <f aca="false">IF($A139&gt;0,IF(AND(K$4=$G139,K$6=$F139),$D139*K$5,""),"")</f>
        <v/>
      </c>
      <c r="L139" s="2" t="str">
        <f aca="false">IF($A139&gt;0,IF(AND(L$4=$G139,L$6=$F139),$D139*L$5,""),"")</f>
        <v/>
      </c>
      <c r="M139" s="2" t="str">
        <f aca="false">IF($A139&gt;0,IF(AND(M$4=$G139,M$6=$F139),$D139*M$5,""),"")</f>
        <v/>
      </c>
      <c r="N139" s="1506" t="n">
        <f aca="false">VLOOKUP(B139,'O_MN, PE_UTA_UGM 2024'!$E$2:$K$419,IF(G139&gt;1,6,7))</f>
        <v>0</v>
      </c>
      <c r="O139" s="1434" t="str">
        <f aca="false">IF($H139=O$4,$D139*$N139,"")</f>
        <v/>
      </c>
      <c r="P139" s="1435" t="str">
        <f aca="false">IF($H139=P$4,$D139*$N139,"")</f>
        <v/>
      </c>
      <c r="Q139" s="1435" t="str">
        <f aca="false">IF($H139=Q$4,$D139*$N139,"")</f>
        <v/>
      </c>
      <c r="R139" s="1435" t="str">
        <f aca="false">IF($H139=R$4,$D139*$N139,"")</f>
        <v/>
      </c>
      <c r="S139" s="1435" t="str">
        <f aca="false">IF($H139=S$4,$D139*$N139,"")</f>
        <v/>
      </c>
      <c r="T139" s="1435" t="str">
        <f aca="false">IF($H139=T$4,$D139*$N139,"")</f>
        <v/>
      </c>
      <c r="U139" s="1436" t="str">
        <f aca="false">IF($H139=U$4,$D139*$N139,"")</f>
        <v/>
      </c>
      <c r="V139" s="1418"/>
      <c r="W139" s="1419"/>
      <c r="X139" s="1419"/>
      <c r="Y139" s="1419"/>
      <c r="Z139" s="1419"/>
      <c r="AA139" s="1419"/>
      <c r="AB139" s="1420"/>
      <c r="AC139" s="1319"/>
      <c r="AD139" s="2" t="str">
        <f aca="false">IF(AND(AD$4=$G139,AD$6=$F139),$B139,"")</f>
        <v/>
      </c>
      <c r="AE139" s="2" t="str">
        <f aca="false">IF(AND(AE$4=$G139,AE$6=$F139),$B139,"")</f>
        <v/>
      </c>
      <c r="AF139" s="2" t="str">
        <f aca="false">IF(AND(AF$4=$G139,AF$6=$F139),$B139,"")</f>
        <v/>
      </c>
      <c r="AG139" s="2" t="str">
        <f aca="false">IF(AND(AG$4=$G139,AG$6=$F139),$B139,"")</f>
        <v/>
      </c>
      <c r="AI139" s="366"/>
      <c r="AL139" s="367"/>
      <c r="AO139" s="367"/>
      <c r="AP139" s="2" t="str">
        <f aca="false">IF(AT139&gt;0,RANK(AT139,AT$7:AT$423),"")</f>
        <v/>
      </c>
      <c r="AQ139" s="2" t="n">
        <f aca="false">'O_MN, PE_UTA_UGM 2024'!C135</f>
        <v>168</v>
      </c>
      <c r="AR139" s="1421" t="n">
        <v>1674</v>
      </c>
      <c r="AS139" s="2" t="str">
        <f aca="false">IF(AY139&lt;&gt;"",AY139,"")</f>
        <v/>
      </c>
      <c r="AT139" s="1422" t="n">
        <f aca="false">IF(ISNUMBER($AR139),SUMIF(B$7:B$505,AR139,D$7:D$505),"")</f>
        <v>0</v>
      </c>
      <c r="AU139" s="1411" t="n">
        <f aca="false">IF(ISNUMBER($AR139),SUMIF(AD$7:AD$503,$AR139,J$7:J$503),"")</f>
        <v>0</v>
      </c>
      <c r="AV139" s="1411" t="n">
        <f aca="false">IF(ISNUMBER($AR139),SUMIF(AF$7:AF$503,$AR139,L$7:L$503),"")</f>
        <v>0</v>
      </c>
      <c r="AW139" s="1423" t="n">
        <f aca="false">IF(ISNUMBER($AR139),SUMIF(AE$7:AE$503,$AR139,K$7:K$503),"")</f>
        <v>0</v>
      </c>
      <c r="AX139" s="1423" t="n">
        <f aca="false">IF(ISNUMBER($AR139),SUMIF(AG$7:AG$503,$AR139,M$7:M$503),"")</f>
        <v>0</v>
      </c>
      <c r="AY139" s="2" t="str">
        <f aca="false">IF($AT139&gt;0,VLOOKUP($AR139,'O_MN, PE_UTA_UGM 2024'!E135:O551,2),"")</f>
        <v/>
      </c>
      <c r="AZ139" s="1507"/>
      <c r="BA139" s="1507"/>
      <c r="BB139" s="1507" t="str">
        <f aca="false">IF($AT139&gt;0,VLOOKUP($AR139,'O_MN, PE_UTA_UGM 2024'!$E$3:$O$419,BB$6),"")</f>
        <v/>
      </c>
      <c r="BC139" s="1507" t="str">
        <f aca="false">IF($AT139&gt;0,VLOOKUP($AR139,'O_MN, PE_UTA_UGM 2024'!$E$3:$O$419,BC$6),"")</f>
        <v/>
      </c>
      <c r="BD139" s="1507" t="str">
        <f aca="false">IF($AT139&gt;0,VLOOKUP($AR139,'O_MN, PE_UTA_UGM 2024'!$E$3:$O$419,BD$6),"")</f>
        <v/>
      </c>
      <c r="BE139" s="1507" t="str">
        <f aca="false">IF($AT139&gt;0,VLOOKUP($AR139,'O_MN, PE_UTA_UGM 2024'!$E$3:$O$419,BE$6),"")</f>
        <v/>
      </c>
      <c r="BF139" s="1507" t="str">
        <f aca="false">IF($AT139&gt;0,VLOOKUP($AR139,'O_MN, PE_UTA_UGM 2024'!$E$3:$O$419,BF$6),"")</f>
        <v/>
      </c>
      <c r="BG139" s="1507" t="str">
        <f aca="false">IF($AT139&gt;0,VLOOKUP($AR139,'O_MN, PE_UTA_UGM 2024'!$E$3:$O$419,BG$6),"")</f>
        <v/>
      </c>
      <c r="BH139" s="1504"/>
      <c r="BI139" s="1504"/>
      <c r="BJ139" s="1504"/>
      <c r="BK139" s="1504"/>
      <c r="BM139" s="1411"/>
      <c r="BN139" s="1411"/>
      <c r="BO139" s="1425" t="str">
        <f aca="false">IF(ISNUMBER($AU139*BB139*1),$AU139*BB139*1,"")</f>
        <v/>
      </c>
      <c r="BP139" s="1425" t="str">
        <f aca="false">IF(ISNUMBER($AV139*BC139*1),$AV139*BC139*1,"")</f>
        <v/>
      </c>
      <c r="BQ139" s="1425" t="str">
        <f aca="false">IF(ISNUMBER($AU139*BD139*1),$AU139*BD139*1,"")</f>
        <v/>
      </c>
      <c r="BR139" s="1425" t="str">
        <f aca="false">IF(ISNUMBER($AV139*BE139*1),$AV139*BE139*1,"")</f>
        <v/>
      </c>
      <c r="BS139" s="1411" t="str">
        <f aca="false">IF(ISNUMBER($AU139*BF139),$AU139*BF139,"")</f>
        <v/>
      </c>
      <c r="BT139" s="1411" t="str">
        <f aca="false">IF(ISNUMBER($AV139*BG139),$AV139*BG139,"")</f>
        <v/>
      </c>
      <c r="BU139" s="1411"/>
      <c r="BV139" s="1411"/>
      <c r="BW139" s="1411"/>
      <c r="BX139" s="1411"/>
      <c r="BZ139" s="1372"/>
      <c r="CA139" s="1372"/>
      <c r="CB139" s="1426" t="str">
        <f aca="false">IF(ISNUMBER($AW139*BB139),$AW139*BB139,"")</f>
        <v/>
      </c>
      <c r="CC139" s="1426" t="str">
        <f aca="false">IF(ISNUMBER($AX139*BC139),$AX139*BC139,"")</f>
        <v/>
      </c>
      <c r="CD139" s="1426" t="str">
        <f aca="false">IF(ISNUMBER($AW139*BD139),$AW139*BD139,"")</f>
        <v/>
      </c>
      <c r="CE139" s="1426" t="str">
        <f aca="false">IF(ISNUMBER($AX139*BE139),$AX139*BE139,"")</f>
        <v/>
      </c>
      <c r="CF139" s="1372" t="str">
        <f aca="false">IF(ISNUMBER($AW139*BF139),$AW139*BF139,"")</f>
        <v/>
      </c>
      <c r="CG139" s="1372" t="str">
        <f aca="false">IF(ISNUMBER($AX139*BG139),$AX139*BG139,"")</f>
        <v/>
      </c>
      <c r="CH139" s="1438"/>
      <c r="CI139" s="1438"/>
      <c r="CJ139" s="1438"/>
      <c r="CK139" s="1438"/>
      <c r="CU139" s="1411"/>
      <c r="CV139" s="1411"/>
      <c r="CW139" s="1425"/>
      <c r="CX139" s="1425"/>
      <c r="CY139" s="1425"/>
      <c r="CZ139" s="1425"/>
      <c r="DA139" s="1411"/>
      <c r="DB139" s="1411"/>
      <c r="DC139" s="1411"/>
      <c r="DD139" s="1411"/>
      <c r="DE139" s="1411"/>
      <c r="DF139" s="1411"/>
      <c r="DH139" s="1432"/>
      <c r="DI139" s="1432"/>
      <c r="DJ139" s="1437"/>
      <c r="DK139" s="1437"/>
      <c r="DL139" s="1437"/>
      <c r="DM139" s="1437"/>
      <c r="DN139" s="1432"/>
      <c r="DO139" s="1432"/>
      <c r="DP139" s="1432"/>
      <c r="DQ139" s="1432"/>
      <c r="DR139" s="1432"/>
      <c r="DS139" s="1432"/>
      <c r="DT139" s="1316"/>
      <c r="DU139" s="1433"/>
      <c r="DV139" s="1433"/>
      <c r="DW139" s="1433"/>
      <c r="DX139" s="1433"/>
      <c r="DY139" s="1433"/>
      <c r="DZ139" s="1433"/>
      <c r="EA139" s="1433"/>
      <c r="EB139" s="1433"/>
    </row>
    <row r="140" customFormat="false" ht="14.25" hidden="false" customHeight="false" outlineLevel="0" collapsed="false">
      <c r="A140" s="2" t="n">
        <f aca="false">'V_DATOS PAC_SGA'!CC135</f>
        <v>0</v>
      </c>
      <c r="B140" s="2" t="n">
        <f aca="false">IF(OR(A140=0,A140=""),0,IF(I140="IV",CONCATENATE('V_DATOS PAC_SGA'!CC135,"4")+0,CONCATENATE('V_DATOS PAC_SGA'!CC135,"0")+0))</f>
        <v>0</v>
      </c>
      <c r="C140" s="2" t="n">
        <f aca="false">'V_DATOS PAC_SGA'!CD135</f>
        <v>0</v>
      </c>
      <c r="D140" s="1409" t="n">
        <f aca="false">'V_DATOS PAC_SGA'!Y135</f>
        <v>0</v>
      </c>
      <c r="E140" s="1410" t="str">
        <f aca="false">IF('V_DATOS PAC_SGA'!AV135="","Regadio",'V_DATOS PAC_SGA'!AV135)</f>
        <v>Regadio</v>
      </c>
      <c r="F140" s="1411" t="n">
        <f aca="false">'V_DATOS PAC_SGA'!BK135</f>
        <v>0</v>
      </c>
      <c r="G140" s="1412" t="n">
        <f aca="false">'V_DATOS PAC_SGA'!AN135</f>
        <v>0</v>
      </c>
      <c r="H140" s="1413" t="str">
        <f aca="false">IF(B140&gt;0,VLOOKUP(B140,'O_MN, PE_UTA_UGM 2024'!E$3:O$419,10),"")</f>
        <v/>
      </c>
      <c r="I140" s="1359" t="str">
        <f aca="false">IF('V_DATOS PAC_SGA'!BV135="IV",'V_DATOS PAC_SGA'!BV135,"")</f>
        <v/>
      </c>
      <c r="J140" s="2" t="str">
        <f aca="false">IF($A140&gt;0,IF(AND(J$4=$G140,J$6=$F140),$D140*J$5,""),"")</f>
        <v/>
      </c>
      <c r="K140" s="2" t="str">
        <f aca="false">IF($A140&gt;0,IF(AND(K$4=$G140,K$6=$F140),$D140*K$5,""),"")</f>
        <v/>
      </c>
      <c r="L140" s="2" t="str">
        <f aca="false">IF($A140&gt;0,IF(AND(L$4=$G140,L$6=$F140),$D140*L$5,""),"")</f>
        <v/>
      </c>
      <c r="M140" s="2" t="str">
        <f aca="false">IF($A140&gt;0,IF(AND(M$4=$G140,M$6=$F140),$D140*M$5,""),"")</f>
        <v/>
      </c>
      <c r="N140" s="1506" t="n">
        <f aca="false">VLOOKUP(B140,'O_MN, PE_UTA_UGM 2024'!$E$2:$K$419,IF(G140&gt;1,6,7))</f>
        <v>0</v>
      </c>
      <c r="O140" s="1434" t="str">
        <f aca="false">IF($H140=O$4,$D140*$N140,"")</f>
        <v/>
      </c>
      <c r="P140" s="1435" t="str">
        <f aca="false">IF($H140=P$4,$D140*$N140,"")</f>
        <v/>
      </c>
      <c r="Q140" s="1435" t="str">
        <f aca="false">IF($H140=Q$4,$D140*$N140,"")</f>
        <v/>
      </c>
      <c r="R140" s="1435" t="str">
        <f aca="false">IF($H140=R$4,$D140*$N140,"")</f>
        <v/>
      </c>
      <c r="S140" s="1435" t="str">
        <f aca="false">IF($H140=S$4,$D140*$N140,"")</f>
        <v/>
      </c>
      <c r="T140" s="1435" t="str">
        <f aca="false">IF($H140=T$4,$D140*$N140,"")</f>
        <v/>
      </c>
      <c r="U140" s="1436" t="str">
        <f aca="false">IF($H140=U$4,$D140*$N140,"")</f>
        <v/>
      </c>
      <c r="V140" s="1418"/>
      <c r="W140" s="1419"/>
      <c r="X140" s="1419"/>
      <c r="Y140" s="1419"/>
      <c r="Z140" s="1419"/>
      <c r="AA140" s="1419"/>
      <c r="AB140" s="1420"/>
      <c r="AC140" s="1319"/>
      <c r="AD140" s="2" t="str">
        <f aca="false">IF(AND(AD$4=$G140,AD$6=$F140),$B140,"")</f>
        <v/>
      </c>
      <c r="AE140" s="2" t="str">
        <f aca="false">IF(AND(AE$4=$G140,AE$6=$F140),$B140,"")</f>
        <v/>
      </c>
      <c r="AF140" s="2" t="str">
        <f aca="false">IF(AND(AF$4=$G140,AF$6=$F140),$B140,"")</f>
        <v/>
      </c>
      <c r="AG140" s="2" t="str">
        <f aca="false">IF(AND(AG$4=$G140,AG$6=$F140),$B140,"")</f>
        <v/>
      </c>
      <c r="AI140" s="366"/>
      <c r="AL140" s="367"/>
      <c r="AO140" s="367"/>
      <c r="AP140" s="2" t="str">
        <f aca="false">IF(AT140&gt;0,RANK(AT140,AT$7:AT$423),"")</f>
        <v/>
      </c>
      <c r="AQ140" s="2" t="n">
        <f aca="false">'O_MN, PE_UTA_UGM 2024'!C136</f>
        <v>169</v>
      </c>
      <c r="AR140" s="1421" t="n">
        <v>1679</v>
      </c>
      <c r="AS140" s="2" t="str">
        <f aca="false">IF(AY140&lt;&gt;"",AY140,"")</f>
        <v/>
      </c>
      <c r="AT140" s="1422" t="n">
        <f aca="false">IF(ISNUMBER($AR140),SUMIF(B$7:B$505,AR140,D$7:D$505),"")</f>
        <v>0</v>
      </c>
      <c r="AU140" s="1411" t="n">
        <f aca="false">IF(ISNUMBER($AR140),SUMIF(AD$7:AD$503,$AR140,J$7:J$503),"")</f>
        <v>0</v>
      </c>
      <c r="AV140" s="1411" t="n">
        <f aca="false">IF(ISNUMBER($AR140),SUMIF(AF$7:AF$503,$AR140,L$7:L$503),"")</f>
        <v>0</v>
      </c>
      <c r="AW140" s="1423" t="n">
        <f aca="false">IF(ISNUMBER($AR140),SUMIF(AE$7:AE$503,$AR140,K$7:K$503),"")</f>
        <v>0</v>
      </c>
      <c r="AX140" s="1423" t="n">
        <f aca="false">IF(ISNUMBER($AR140),SUMIF(AG$7:AG$503,$AR140,M$7:M$503),"")</f>
        <v>0</v>
      </c>
      <c r="AY140" s="2" t="str">
        <f aca="false">IF($AT140&gt;0,VLOOKUP($AR140,'O_MN, PE_UTA_UGM 2024'!E136:O552,2),"")</f>
        <v/>
      </c>
      <c r="AZ140" s="1507"/>
      <c r="BA140" s="1507"/>
      <c r="BB140" s="1507" t="str">
        <f aca="false">IF($AT140&gt;0,VLOOKUP($AR140,'O_MN, PE_UTA_UGM 2024'!$E$3:$O$419,BB$6),"")</f>
        <v/>
      </c>
      <c r="BC140" s="1507" t="str">
        <f aca="false">IF($AT140&gt;0,VLOOKUP($AR140,'O_MN, PE_UTA_UGM 2024'!$E$3:$O$419,BC$6),"")</f>
        <v/>
      </c>
      <c r="BD140" s="1507" t="str">
        <f aca="false">IF($AT140&gt;0,VLOOKUP($AR140,'O_MN, PE_UTA_UGM 2024'!$E$3:$O$419,BD$6),"")</f>
        <v/>
      </c>
      <c r="BE140" s="1507" t="str">
        <f aca="false">IF($AT140&gt;0,VLOOKUP($AR140,'O_MN, PE_UTA_UGM 2024'!$E$3:$O$419,BE$6),"")</f>
        <v/>
      </c>
      <c r="BF140" s="1507" t="str">
        <f aca="false">IF($AT140&gt;0,VLOOKUP($AR140,'O_MN, PE_UTA_UGM 2024'!$E$3:$O$419,BF$6),"")</f>
        <v/>
      </c>
      <c r="BG140" s="1507" t="str">
        <f aca="false">IF($AT140&gt;0,VLOOKUP($AR140,'O_MN, PE_UTA_UGM 2024'!$E$3:$O$419,BG$6),"")</f>
        <v/>
      </c>
      <c r="BH140" s="1504"/>
      <c r="BI140" s="1504"/>
      <c r="BJ140" s="1504"/>
      <c r="BK140" s="1504"/>
      <c r="BM140" s="1411"/>
      <c r="BN140" s="1411"/>
      <c r="BO140" s="1425" t="str">
        <f aca="false">IF(ISNUMBER($AU140*BB140*1),$AU140*BB140*1,"")</f>
        <v/>
      </c>
      <c r="BP140" s="1425" t="str">
        <f aca="false">IF(ISNUMBER($AV140*BC140*1),$AV140*BC140*1,"")</f>
        <v/>
      </c>
      <c r="BQ140" s="1425" t="str">
        <f aca="false">IF(ISNUMBER($AU140*BD140*1),$AU140*BD140*1,"")</f>
        <v/>
      </c>
      <c r="BR140" s="1425" t="str">
        <f aca="false">IF(ISNUMBER($AV140*BE140*1),$AV140*BE140*1,"")</f>
        <v/>
      </c>
      <c r="BS140" s="1411" t="str">
        <f aca="false">IF(ISNUMBER($AU140*BF140),$AU140*BF140,"")</f>
        <v/>
      </c>
      <c r="BT140" s="1411" t="str">
        <f aca="false">IF(ISNUMBER($AV140*BG140),$AV140*BG140,"")</f>
        <v/>
      </c>
      <c r="BU140" s="1411"/>
      <c r="BV140" s="1411"/>
      <c r="BW140" s="1411"/>
      <c r="BX140" s="1411"/>
      <c r="BZ140" s="1372"/>
      <c r="CA140" s="1372"/>
      <c r="CB140" s="1426" t="str">
        <f aca="false">IF(ISNUMBER($AW140*BB140),$AW140*BB140,"")</f>
        <v/>
      </c>
      <c r="CC140" s="1426" t="str">
        <f aca="false">IF(ISNUMBER($AX140*BC140),$AX140*BC140,"")</f>
        <v/>
      </c>
      <c r="CD140" s="1426" t="str">
        <f aca="false">IF(ISNUMBER($AW140*BD140),$AW140*BD140,"")</f>
        <v/>
      </c>
      <c r="CE140" s="1426" t="str">
        <f aca="false">IF(ISNUMBER($AX140*BE140),$AX140*BE140,"")</f>
        <v/>
      </c>
      <c r="CF140" s="1372" t="str">
        <f aca="false">IF(ISNUMBER($AW140*BF140),$AW140*BF140,"")</f>
        <v/>
      </c>
      <c r="CG140" s="1372" t="str">
        <f aca="false">IF(ISNUMBER($AX140*BG140),$AX140*BG140,"")</f>
        <v/>
      </c>
      <c r="CH140" s="1438"/>
      <c r="CI140" s="1438"/>
      <c r="CJ140" s="1438"/>
      <c r="CK140" s="1438"/>
      <c r="CU140" s="1411"/>
      <c r="CV140" s="1411"/>
      <c r="CW140" s="1425"/>
      <c r="CX140" s="1425"/>
      <c r="CY140" s="1425"/>
      <c r="CZ140" s="1425"/>
      <c r="DA140" s="1411"/>
      <c r="DB140" s="1411"/>
      <c r="DC140" s="1411"/>
      <c r="DD140" s="1411"/>
      <c r="DE140" s="1411"/>
      <c r="DF140" s="1411"/>
      <c r="DH140" s="1432"/>
      <c r="DI140" s="1432"/>
      <c r="DJ140" s="1437"/>
      <c r="DK140" s="1437"/>
      <c r="DL140" s="1437"/>
      <c r="DM140" s="1437"/>
      <c r="DN140" s="1432"/>
      <c r="DO140" s="1432"/>
      <c r="DP140" s="1432"/>
      <c r="DQ140" s="1432"/>
      <c r="DR140" s="1432"/>
      <c r="DS140" s="1432"/>
      <c r="DT140" s="1316"/>
      <c r="DU140" s="1433"/>
      <c r="DV140" s="1433"/>
      <c r="DW140" s="1433"/>
      <c r="DX140" s="1433"/>
      <c r="DY140" s="1433"/>
      <c r="DZ140" s="1433"/>
      <c r="EA140" s="1433"/>
      <c r="EB140" s="1433"/>
    </row>
    <row r="141" customFormat="false" ht="14.25" hidden="false" customHeight="false" outlineLevel="0" collapsed="false">
      <c r="A141" s="2" t="n">
        <f aca="false">'V_DATOS PAC_SGA'!CC136</f>
        <v>0</v>
      </c>
      <c r="B141" s="2" t="n">
        <f aca="false">IF(OR(A141=0,A141=""),0,IF(I141="IV",CONCATENATE('V_DATOS PAC_SGA'!CC136,"4")+0,CONCATENATE('V_DATOS PAC_SGA'!CC136,"0")+0))</f>
        <v>0</v>
      </c>
      <c r="C141" s="2" t="n">
        <f aca="false">'V_DATOS PAC_SGA'!CD136</f>
        <v>0</v>
      </c>
      <c r="D141" s="1409" t="n">
        <f aca="false">'V_DATOS PAC_SGA'!Y136</f>
        <v>0</v>
      </c>
      <c r="E141" s="1410" t="str">
        <f aca="false">IF('V_DATOS PAC_SGA'!AV136="","Regadio",'V_DATOS PAC_SGA'!AV136)</f>
        <v>Regadio</v>
      </c>
      <c r="F141" s="1411" t="n">
        <f aca="false">'V_DATOS PAC_SGA'!BK136</f>
        <v>0</v>
      </c>
      <c r="G141" s="1412" t="n">
        <f aca="false">'V_DATOS PAC_SGA'!AN136</f>
        <v>0</v>
      </c>
      <c r="H141" s="1413" t="str">
        <f aca="false">IF(B141&gt;0,VLOOKUP(B141,'O_MN, PE_UTA_UGM 2024'!E$3:O$419,10),"")</f>
        <v/>
      </c>
      <c r="I141" s="1359" t="str">
        <f aca="false">IF('V_DATOS PAC_SGA'!BV136="IV",'V_DATOS PAC_SGA'!BV136,"")</f>
        <v/>
      </c>
      <c r="J141" s="2" t="str">
        <f aca="false">IF($A141&gt;0,IF(AND(J$4=$G141,J$6=$F141),$D141*J$5,""),"")</f>
        <v/>
      </c>
      <c r="K141" s="2" t="str">
        <f aca="false">IF($A141&gt;0,IF(AND(K$4=$G141,K$6=$F141),$D141*K$5,""),"")</f>
        <v/>
      </c>
      <c r="L141" s="2" t="str">
        <f aca="false">IF($A141&gt;0,IF(AND(L$4=$G141,L$6=$F141),$D141*L$5,""),"")</f>
        <v/>
      </c>
      <c r="M141" s="2" t="str">
        <f aca="false">IF($A141&gt;0,IF(AND(M$4=$G141,M$6=$F141),$D141*M$5,""),"")</f>
        <v/>
      </c>
      <c r="N141" s="1506" t="n">
        <f aca="false">VLOOKUP(B141,'O_MN, PE_UTA_UGM 2024'!$E$2:$K$419,IF(G141&gt;1,6,7))</f>
        <v>0</v>
      </c>
      <c r="O141" s="1434" t="str">
        <f aca="false">IF($H141=O$4,$D141*$N141,"")</f>
        <v/>
      </c>
      <c r="P141" s="1435" t="str">
        <f aca="false">IF($H141=P$4,$D141*$N141,"")</f>
        <v/>
      </c>
      <c r="Q141" s="1435" t="str">
        <f aca="false">IF($H141=Q$4,$D141*$N141,"")</f>
        <v/>
      </c>
      <c r="R141" s="1435" t="str">
        <f aca="false">IF($H141=R$4,$D141*$N141,"")</f>
        <v/>
      </c>
      <c r="S141" s="1435" t="str">
        <f aca="false">IF($H141=S$4,$D141*$N141,"")</f>
        <v/>
      </c>
      <c r="T141" s="1435" t="str">
        <f aca="false">IF($H141=T$4,$D141*$N141,"")</f>
        <v/>
      </c>
      <c r="U141" s="1436" t="str">
        <f aca="false">IF($H141=U$4,$D141*$N141,"")</f>
        <v/>
      </c>
      <c r="V141" s="1418"/>
      <c r="W141" s="1419"/>
      <c r="X141" s="1419"/>
      <c r="Y141" s="1419"/>
      <c r="Z141" s="1419"/>
      <c r="AA141" s="1419"/>
      <c r="AB141" s="1420"/>
      <c r="AC141" s="1319"/>
      <c r="AD141" s="2" t="str">
        <f aca="false">IF(AND(AD$4=$G141,AD$6=$F141),$B141,"")</f>
        <v/>
      </c>
      <c r="AE141" s="2" t="str">
        <f aca="false">IF(AND(AE$4=$G141,AE$6=$F141),$B141,"")</f>
        <v/>
      </c>
      <c r="AF141" s="2" t="str">
        <f aca="false">IF(AND(AF$4=$G141,AF$6=$F141),$B141,"")</f>
        <v/>
      </c>
      <c r="AG141" s="2" t="str">
        <f aca="false">IF(AND(AG$4=$G141,AG$6=$F141),$B141,"")</f>
        <v/>
      </c>
      <c r="AI141" s="366"/>
      <c r="AL141" s="367"/>
      <c r="AO141" s="367"/>
      <c r="AP141" s="2" t="str">
        <f aca="false">IF(AT141&gt;0,RANK(AT141,AT$7:AT$423),"")</f>
        <v/>
      </c>
      <c r="AQ141" s="2" t="n">
        <f aca="false">'O_MN, PE_UTA_UGM 2024'!C137</f>
        <v>169</v>
      </c>
      <c r="AR141" s="1421" t="n">
        <v>1680</v>
      </c>
      <c r="AS141" s="2" t="str">
        <f aca="false">IF(AY141&lt;&gt;"",AY141,"")</f>
        <v/>
      </c>
      <c r="AT141" s="1422" t="n">
        <f aca="false">IF(ISNUMBER($AR141),SUMIF(B$7:B$505,AR141,D$7:D$505),"")</f>
        <v>0</v>
      </c>
      <c r="AU141" s="1411" t="n">
        <f aca="false">IF(ISNUMBER($AR141),SUMIF(AD$7:AD$503,$AR141,J$7:J$503),"")</f>
        <v>0</v>
      </c>
      <c r="AV141" s="1411" t="n">
        <f aca="false">IF(ISNUMBER($AR141),SUMIF(AF$7:AF$503,$AR141,L$7:L$503),"")</f>
        <v>0</v>
      </c>
      <c r="AW141" s="1423" t="n">
        <f aca="false">IF(ISNUMBER($AR141),SUMIF(AE$7:AE$503,$AR141,K$7:K$503),"")</f>
        <v>0</v>
      </c>
      <c r="AX141" s="1423" t="n">
        <f aca="false">IF(ISNUMBER($AR141),SUMIF(AG$7:AG$503,$AR141,M$7:M$503),"")</f>
        <v>0</v>
      </c>
      <c r="AY141" s="2" t="str">
        <f aca="false">IF($AT141&gt;0,VLOOKUP($AR141,'O_MN, PE_UTA_UGM 2024'!E137:O553,2),"")</f>
        <v/>
      </c>
      <c r="AZ141" s="1507"/>
      <c r="BA141" s="1507"/>
      <c r="BB141" s="1507" t="str">
        <f aca="false">IF($AT141&gt;0,VLOOKUP($AR141,'O_MN, PE_UTA_UGM 2024'!$E$3:$O$419,BB$6),"")</f>
        <v/>
      </c>
      <c r="BC141" s="1507" t="str">
        <f aca="false">IF($AT141&gt;0,VLOOKUP($AR141,'O_MN, PE_UTA_UGM 2024'!$E$3:$O$419,BC$6),"")</f>
        <v/>
      </c>
      <c r="BD141" s="1507" t="str">
        <f aca="false">IF($AT141&gt;0,VLOOKUP($AR141,'O_MN, PE_UTA_UGM 2024'!$E$3:$O$419,BD$6),"")</f>
        <v/>
      </c>
      <c r="BE141" s="1507" t="str">
        <f aca="false">IF($AT141&gt;0,VLOOKUP($AR141,'O_MN, PE_UTA_UGM 2024'!$E$3:$O$419,BE$6),"")</f>
        <v/>
      </c>
      <c r="BF141" s="1507" t="str">
        <f aca="false">IF($AT141&gt;0,VLOOKUP($AR141,'O_MN, PE_UTA_UGM 2024'!$E$3:$O$419,BF$6),"")</f>
        <v/>
      </c>
      <c r="BG141" s="1507" t="str">
        <f aca="false">IF($AT141&gt;0,VLOOKUP($AR141,'O_MN, PE_UTA_UGM 2024'!$E$3:$O$419,BG$6),"")</f>
        <v/>
      </c>
      <c r="BH141" s="1504"/>
      <c r="BI141" s="1504"/>
      <c r="BJ141" s="1504"/>
      <c r="BK141" s="1504"/>
      <c r="BM141" s="1411"/>
      <c r="BN141" s="1411"/>
      <c r="BO141" s="1425" t="str">
        <f aca="false">IF(ISNUMBER($AU141*BB141*1),$AU141*BB141*1,"")</f>
        <v/>
      </c>
      <c r="BP141" s="1425" t="str">
        <f aca="false">IF(ISNUMBER($AV141*BC141*1),$AV141*BC141*1,"")</f>
        <v/>
      </c>
      <c r="BQ141" s="1425" t="str">
        <f aca="false">IF(ISNUMBER($AU141*BD141*1),$AU141*BD141*1,"")</f>
        <v/>
      </c>
      <c r="BR141" s="1425" t="str">
        <f aca="false">IF(ISNUMBER($AV141*BE141*1),$AV141*BE141*1,"")</f>
        <v/>
      </c>
      <c r="BS141" s="1411" t="str">
        <f aca="false">IF(ISNUMBER($AU141*BF141),$AU141*BF141,"")</f>
        <v/>
      </c>
      <c r="BT141" s="1411" t="str">
        <f aca="false">IF(ISNUMBER($AV141*BG141),$AV141*BG141,"")</f>
        <v/>
      </c>
      <c r="BU141" s="1411"/>
      <c r="BV141" s="1411"/>
      <c r="BW141" s="1411"/>
      <c r="BX141" s="1411"/>
      <c r="BZ141" s="1372"/>
      <c r="CA141" s="1372"/>
      <c r="CB141" s="1426" t="str">
        <f aca="false">IF(ISNUMBER($AW141*BB141),$AW141*BB141,"")</f>
        <v/>
      </c>
      <c r="CC141" s="1426" t="str">
        <f aca="false">IF(ISNUMBER($AX141*BC141),$AX141*BC141,"")</f>
        <v/>
      </c>
      <c r="CD141" s="1426" t="str">
        <f aca="false">IF(ISNUMBER($AW141*BD141),$AW141*BD141,"")</f>
        <v/>
      </c>
      <c r="CE141" s="1426" t="str">
        <f aca="false">IF(ISNUMBER($AX141*BE141),$AX141*BE141,"")</f>
        <v/>
      </c>
      <c r="CF141" s="1372" t="str">
        <f aca="false">IF(ISNUMBER($AW141*BF141),$AW141*BF141,"")</f>
        <v/>
      </c>
      <c r="CG141" s="1372" t="str">
        <f aca="false">IF(ISNUMBER($AX141*BG141),$AX141*BG141,"")</f>
        <v/>
      </c>
      <c r="CH141" s="1438"/>
      <c r="CI141" s="1438"/>
      <c r="CJ141" s="1438"/>
      <c r="CK141" s="1438"/>
      <c r="CU141" s="1411"/>
      <c r="CV141" s="1411"/>
      <c r="CW141" s="1425"/>
      <c r="CX141" s="1425"/>
      <c r="CY141" s="1425"/>
      <c r="CZ141" s="1425"/>
      <c r="DA141" s="1411"/>
      <c r="DB141" s="1411"/>
      <c r="DC141" s="1411"/>
      <c r="DD141" s="1411"/>
      <c r="DE141" s="1411"/>
      <c r="DF141" s="1411"/>
      <c r="DH141" s="1432"/>
      <c r="DI141" s="1432"/>
      <c r="DJ141" s="1437"/>
      <c r="DK141" s="1437"/>
      <c r="DL141" s="1437"/>
      <c r="DM141" s="1437"/>
      <c r="DN141" s="1432"/>
      <c r="DO141" s="1432"/>
      <c r="DP141" s="1432"/>
      <c r="DQ141" s="1432"/>
      <c r="DR141" s="1432"/>
      <c r="DS141" s="1432"/>
      <c r="DT141" s="1316"/>
      <c r="DU141" s="1433"/>
      <c r="DV141" s="1433"/>
      <c r="DW141" s="1433"/>
      <c r="DX141" s="1433"/>
      <c r="DY141" s="1433"/>
      <c r="DZ141" s="1433"/>
      <c r="EA141" s="1433"/>
      <c r="EB141" s="1433"/>
    </row>
    <row r="142" customFormat="false" ht="14.25" hidden="false" customHeight="false" outlineLevel="0" collapsed="false">
      <c r="A142" s="2" t="n">
        <f aca="false">'V_DATOS PAC_SGA'!CC137</f>
        <v>0</v>
      </c>
      <c r="B142" s="2" t="n">
        <f aca="false">IF(OR(A142=0,A142=""),0,IF(I142="IV",CONCATENATE('V_DATOS PAC_SGA'!CC137,"4")+0,CONCATENATE('V_DATOS PAC_SGA'!CC137,"0")+0))</f>
        <v>0</v>
      </c>
      <c r="C142" s="2" t="n">
        <f aca="false">'V_DATOS PAC_SGA'!CD137</f>
        <v>0</v>
      </c>
      <c r="D142" s="1409" t="n">
        <f aca="false">'V_DATOS PAC_SGA'!Y137</f>
        <v>0</v>
      </c>
      <c r="E142" s="1410" t="str">
        <f aca="false">IF('V_DATOS PAC_SGA'!AV137="","Regadio",'V_DATOS PAC_SGA'!AV137)</f>
        <v>Regadio</v>
      </c>
      <c r="F142" s="1411" t="n">
        <f aca="false">'V_DATOS PAC_SGA'!BK137</f>
        <v>0</v>
      </c>
      <c r="G142" s="1412" t="n">
        <f aca="false">'V_DATOS PAC_SGA'!AN137</f>
        <v>0</v>
      </c>
      <c r="H142" s="1413" t="str">
        <f aca="false">IF(B142&gt;0,VLOOKUP(B142,'O_MN, PE_UTA_UGM 2024'!E$3:O$419,10),"")</f>
        <v/>
      </c>
      <c r="I142" s="1359" t="str">
        <f aca="false">IF('V_DATOS PAC_SGA'!BV137="IV",'V_DATOS PAC_SGA'!BV137,"")</f>
        <v/>
      </c>
      <c r="J142" s="2" t="str">
        <f aca="false">IF($A142&gt;0,IF(AND(J$4=$G142,J$6=$F142),$D142*J$5,""),"")</f>
        <v/>
      </c>
      <c r="K142" s="2" t="str">
        <f aca="false">IF($A142&gt;0,IF(AND(K$4=$G142,K$6=$F142),$D142*K$5,""),"")</f>
        <v/>
      </c>
      <c r="L142" s="2" t="str">
        <f aca="false">IF($A142&gt;0,IF(AND(L$4=$G142,L$6=$F142),$D142*L$5,""),"")</f>
        <v/>
      </c>
      <c r="M142" s="2" t="str">
        <f aca="false">IF($A142&gt;0,IF(AND(M$4=$G142,M$6=$F142),$D142*M$5,""),"")</f>
        <v/>
      </c>
      <c r="N142" s="1506" t="n">
        <f aca="false">VLOOKUP(B142,'O_MN, PE_UTA_UGM 2024'!$E$2:$K$419,IF(G142&gt;1,6,7))</f>
        <v>0</v>
      </c>
      <c r="O142" s="1434" t="str">
        <f aca="false">IF($H142=O$4,$D142*$N142,"")</f>
        <v/>
      </c>
      <c r="P142" s="1435" t="str">
        <f aca="false">IF($H142=P$4,$D142*$N142,"")</f>
        <v/>
      </c>
      <c r="Q142" s="1435" t="str">
        <f aca="false">IF($H142=Q$4,$D142*$N142,"")</f>
        <v/>
      </c>
      <c r="R142" s="1435" t="str">
        <f aca="false">IF($H142=R$4,$D142*$N142,"")</f>
        <v/>
      </c>
      <c r="S142" s="1435" t="str">
        <f aca="false">IF($H142=S$4,$D142*$N142,"")</f>
        <v/>
      </c>
      <c r="T142" s="1435" t="str">
        <f aca="false">IF($H142=T$4,$D142*$N142,"")</f>
        <v/>
      </c>
      <c r="U142" s="1436" t="str">
        <f aca="false">IF($H142=U$4,$D142*$N142,"")</f>
        <v/>
      </c>
      <c r="V142" s="1418"/>
      <c r="W142" s="1419"/>
      <c r="X142" s="1419"/>
      <c r="Y142" s="1419"/>
      <c r="Z142" s="1419"/>
      <c r="AA142" s="1419"/>
      <c r="AB142" s="1420"/>
      <c r="AC142" s="1319"/>
      <c r="AD142" s="2" t="str">
        <f aca="false">IF(AND(AD$4=$G142,AD$6=$F142),$B142,"")</f>
        <v/>
      </c>
      <c r="AE142" s="2" t="str">
        <f aca="false">IF(AND(AE$4=$G142,AE$6=$F142),$B142,"")</f>
        <v/>
      </c>
      <c r="AF142" s="2" t="str">
        <f aca="false">IF(AND(AF$4=$G142,AF$6=$F142),$B142,"")</f>
        <v/>
      </c>
      <c r="AG142" s="2" t="str">
        <f aca="false">IF(AND(AG$4=$G142,AG$6=$F142),$B142,"")</f>
        <v/>
      </c>
      <c r="AI142" s="366"/>
      <c r="AL142" s="367"/>
      <c r="AO142" s="367"/>
      <c r="AP142" s="2" t="str">
        <f aca="false">IF(AT142&gt;0,RANK(AT142,AT$7:AT$423),"")</f>
        <v/>
      </c>
      <c r="AQ142" s="2" t="n">
        <f aca="false">'O_MN, PE_UTA_UGM 2024'!C138</f>
        <v>169</v>
      </c>
      <c r="AR142" s="1421" t="n">
        <v>1684</v>
      </c>
      <c r="AS142" s="2" t="str">
        <f aca="false">IF(AY142&lt;&gt;"",AY142,"")</f>
        <v/>
      </c>
      <c r="AT142" s="1422" t="n">
        <f aca="false">IF(ISNUMBER($AR142),SUMIF(B$7:B$505,AR142,D$7:D$505),"")</f>
        <v>0</v>
      </c>
      <c r="AU142" s="1411" t="n">
        <f aca="false">IF(ISNUMBER($AR142),SUMIF(AD$7:AD$503,$AR142,J$7:J$503),"")</f>
        <v>0</v>
      </c>
      <c r="AV142" s="1411" t="n">
        <f aca="false">IF(ISNUMBER($AR142),SUMIF(AF$7:AF$503,$AR142,L$7:L$503),"")</f>
        <v>0</v>
      </c>
      <c r="AW142" s="1423" t="n">
        <f aca="false">IF(ISNUMBER($AR142),SUMIF(AE$7:AE$503,$AR142,K$7:K$503),"")</f>
        <v>0</v>
      </c>
      <c r="AX142" s="1423" t="n">
        <f aca="false">IF(ISNUMBER($AR142),SUMIF(AG$7:AG$503,$AR142,M$7:M$503),"")</f>
        <v>0</v>
      </c>
      <c r="AY142" s="2" t="str">
        <f aca="false">IF($AT142&gt;0,VLOOKUP($AR142,'O_MN, PE_UTA_UGM 2024'!E138:O554,2),"")</f>
        <v/>
      </c>
      <c r="AZ142" s="1507"/>
      <c r="BA142" s="1507"/>
      <c r="BB142" s="1507" t="str">
        <f aca="false">IF($AT142&gt;0,VLOOKUP($AR142,'O_MN, PE_UTA_UGM 2024'!$E$3:$O$419,BB$6),"")</f>
        <v/>
      </c>
      <c r="BC142" s="1507" t="str">
        <f aca="false">IF($AT142&gt;0,VLOOKUP($AR142,'O_MN, PE_UTA_UGM 2024'!$E$3:$O$419,BC$6),"")</f>
        <v/>
      </c>
      <c r="BD142" s="1507" t="str">
        <f aca="false">IF($AT142&gt;0,VLOOKUP($AR142,'O_MN, PE_UTA_UGM 2024'!$E$3:$O$419,BD$6),"")</f>
        <v/>
      </c>
      <c r="BE142" s="1507" t="str">
        <f aca="false">IF($AT142&gt;0,VLOOKUP($AR142,'O_MN, PE_UTA_UGM 2024'!$E$3:$O$419,BE$6),"")</f>
        <v/>
      </c>
      <c r="BF142" s="1507" t="str">
        <f aca="false">IF($AT142&gt;0,VLOOKUP($AR142,'O_MN, PE_UTA_UGM 2024'!$E$3:$O$419,BF$6),"")</f>
        <v/>
      </c>
      <c r="BG142" s="1507" t="str">
        <f aca="false">IF($AT142&gt;0,VLOOKUP($AR142,'O_MN, PE_UTA_UGM 2024'!$E$3:$O$419,BG$6),"")</f>
        <v/>
      </c>
      <c r="BH142" s="1504"/>
      <c r="BI142" s="1504"/>
      <c r="BJ142" s="1504"/>
      <c r="BK142" s="1504"/>
      <c r="BM142" s="1411"/>
      <c r="BN142" s="1411"/>
      <c r="BO142" s="1425" t="str">
        <f aca="false">IF(ISNUMBER($AU142*BB142*1),$AU142*BB142*1,"")</f>
        <v/>
      </c>
      <c r="BP142" s="1425" t="str">
        <f aca="false">IF(ISNUMBER($AV142*BC142*1),$AV142*BC142*1,"")</f>
        <v/>
      </c>
      <c r="BQ142" s="1425" t="str">
        <f aca="false">IF(ISNUMBER($AU142*BD142*1),$AU142*BD142*1,"")</f>
        <v/>
      </c>
      <c r="BR142" s="1425" t="str">
        <f aca="false">IF(ISNUMBER($AV142*BE142*1),$AV142*BE142*1,"")</f>
        <v/>
      </c>
      <c r="BS142" s="1411" t="str">
        <f aca="false">IF(ISNUMBER($AU142*BF142),$AU142*BF142,"")</f>
        <v/>
      </c>
      <c r="BT142" s="1411" t="str">
        <f aca="false">IF(ISNUMBER($AV142*BG142),$AV142*BG142,"")</f>
        <v/>
      </c>
      <c r="BU142" s="1411"/>
      <c r="BV142" s="1411"/>
      <c r="BW142" s="1411"/>
      <c r="BX142" s="1411"/>
      <c r="BZ142" s="1372"/>
      <c r="CA142" s="1372"/>
      <c r="CB142" s="1426" t="str">
        <f aca="false">IF(ISNUMBER($AW142*BB142),$AW142*BB142,"")</f>
        <v/>
      </c>
      <c r="CC142" s="1426" t="str">
        <f aca="false">IF(ISNUMBER($AX142*BC142),$AX142*BC142,"")</f>
        <v/>
      </c>
      <c r="CD142" s="1426" t="str">
        <f aca="false">IF(ISNUMBER($AW142*BD142),$AW142*BD142,"")</f>
        <v/>
      </c>
      <c r="CE142" s="1426" t="str">
        <f aca="false">IF(ISNUMBER($AX142*BE142),$AX142*BE142,"")</f>
        <v/>
      </c>
      <c r="CF142" s="1372" t="str">
        <f aca="false">IF(ISNUMBER($AW142*BF142),$AW142*BF142,"")</f>
        <v/>
      </c>
      <c r="CG142" s="1372" t="str">
        <f aca="false">IF(ISNUMBER($AX142*BG142),$AX142*BG142,"")</f>
        <v/>
      </c>
      <c r="CH142" s="1438"/>
      <c r="CI142" s="1438"/>
      <c r="CJ142" s="1438"/>
      <c r="CK142" s="1438"/>
      <c r="CU142" s="1411"/>
      <c r="CV142" s="1411"/>
      <c r="CW142" s="1425"/>
      <c r="CX142" s="1425"/>
      <c r="CY142" s="1425"/>
      <c r="CZ142" s="1425"/>
      <c r="DA142" s="1411"/>
      <c r="DB142" s="1411"/>
      <c r="DC142" s="1411"/>
      <c r="DD142" s="1411"/>
      <c r="DE142" s="1411"/>
      <c r="DF142" s="1411"/>
      <c r="DH142" s="1432"/>
      <c r="DI142" s="1432"/>
      <c r="DJ142" s="1437"/>
      <c r="DK142" s="1437"/>
      <c r="DL142" s="1437"/>
      <c r="DM142" s="1437"/>
      <c r="DN142" s="1432"/>
      <c r="DO142" s="1432"/>
      <c r="DP142" s="1432"/>
      <c r="DQ142" s="1432"/>
      <c r="DR142" s="1432"/>
      <c r="DS142" s="1432"/>
      <c r="DT142" s="1316"/>
      <c r="DU142" s="1433"/>
      <c r="DV142" s="1433"/>
      <c r="DW142" s="1433"/>
      <c r="DX142" s="1433"/>
      <c r="DY142" s="1433"/>
      <c r="DZ142" s="1433"/>
      <c r="EA142" s="1433"/>
      <c r="EB142" s="1433"/>
    </row>
    <row r="143" customFormat="false" ht="14.25" hidden="false" customHeight="false" outlineLevel="0" collapsed="false">
      <c r="A143" s="2" t="n">
        <f aca="false">'V_DATOS PAC_SGA'!CC138</f>
        <v>0</v>
      </c>
      <c r="B143" s="2" t="n">
        <f aca="false">IF(OR(A143=0,A143=""),0,IF(I143="IV",CONCATENATE('V_DATOS PAC_SGA'!CC138,"4")+0,CONCATENATE('V_DATOS PAC_SGA'!CC138,"0")+0))</f>
        <v>0</v>
      </c>
      <c r="C143" s="2" t="n">
        <f aca="false">'V_DATOS PAC_SGA'!CD138</f>
        <v>0</v>
      </c>
      <c r="D143" s="1409" t="n">
        <f aca="false">'V_DATOS PAC_SGA'!Y138</f>
        <v>0</v>
      </c>
      <c r="E143" s="1410" t="str">
        <f aca="false">IF('V_DATOS PAC_SGA'!AV138="","Regadio",'V_DATOS PAC_SGA'!AV138)</f>
        <v>Regadio</v>
      </c>
      <c r="F143" s="1411" t="n">
        <f aca="false">'V_DATOS PAC_SGA'!BK138</f>
        <v>0</v>
      </c>
      <c r="G143" s="1412" t="n">
        <f aca="false">'V_DATOS PAC_SGA'!AN138</f>
        <v>0</v>
      </c>
      <c r="H143" s="1413" t="str">
        <f aca="false">IF(B143&gt;0,VLOOKUP(B143,'O_MN, PE_UTA_UGM 2024'!E$3:O$419,10),"")</f>
        <v/>
      </c>
      <c r="I143" s="1359" t="str">
        <f aca="false">IF('V_DATOS PAC_SGA'!BV138="IV",'V_DATOS PAC_SGA'!BV138,"")</f>
        <v/>
      </c>
      <c r="J143" s="2" t="str">
        <f aca="false">IF($A143&gt;0,IF(AND(J$4=$G143,J$6=$F143),$D143*J$5,""),"")</f>
        <v/>
      </c>
      <c r="K143" s="2" t="str">
        <f aca="false">IF($A143&gt;0,IF(AND(K$4=$G143,K$6=$F143),$D143*K$5,""),"")</f>
        <v/>
      </c>
      <c r="L143" s="2" t="str">
        <f aca="false">IF($A143&gt;0,IF(AND(L$4=$G143,L$6=$F143),$D143*L$5,""),"")</f>
        <v/>
      </c>
      <c r="M143" s="2" t="str">
        <f aca="false">IF($A143&gt;0,IF(AND(M$4=$G143,M$6=$F143),$D143*M$5,""),"")</f>
        <v/>
      </c>
      <c r="N143" s="1506" t="n">
        <f aca="false">VLOOKUP(B143,'O_MN, PE_UTA_UGM 2024'!$E$2:$K$419,IF(G143&gt;1,6,7))</f>
        <v>0</v>
      </c>
      <c r="O143" s="1434" t="str">
        <f aca="false">IF($H143=O$4,$D143*$N143,"")</f>
        <v/>
      </c>
      <c r="P143" s="1435" t="str">
        <f aca="false">IF($H143=P$4,$D143*$N143,"")</f>
        <v/>
      </c>
      <c r="Q143" s="1435" t="str">
        <f aca="false">IF($H143=Q$4,$D143*$N143,"")</f>
        <v/>
      </c>
      <c r="R143" s="1435" t="str">
        <f aca="false">IF($H143=R$4,$D143*$N143,"")</f>
        <v/>
      </c>
      <c r="S143" s="1435" t="str">
        <f aca="false">IF($H143=S$4,$D143*$N143,"")</f>
        <v/>
      </c>
      <c r="T143" s="1435" t="str">
        <f aca="false">IF($H143=T$4,$D143*$N143,"")</f>
        <v/>
      </c>
      <c r="U143" s="1436" t="str">
        <f aca="false">IF($H143=U$4,$D143*$N143,"")</f>
        <v/>
      </c>
      <c r="V143" s="1418"/>
      <c r="W143" s="1419"/>
      <c r="X143" s="1419"/>
      <c r="Y143" s="1419"/>
      <c r="Z143" s="1419"/>
      <c r="AA143" s="1419"/>
      <c r="AB143" s="1420"/>
      <c r="AC143" s="1319"/>
      <c r="AD143" s="2" t="str">
        <f aca="false">IF(AND(AD$4=$G143,AD$6=$F143),$B143,"")</f>
        <v/>
      </c>
      <c r="AE143" s="2" t="str">
        <f aca="false">IF(AND(AE$4=$G143,AE$6=$F143),$B143,"")</f>
        <v/>
      </c>
      <c r="AF143" s="2" t="str">
        <f aca="false">IF(AND(AF$4=$G143,AF$6=$F143),$B143,"")</f>
        <v/>
      </c>
      <c r="AG143" s="2" t="str">
        <f aca="false">IF(AND(AG$4=$G143,AG$6=$F143),$B143,"")</f>
        <v/>
      </c>
      <c r="AI143" s="366"/>
      <c r="AL143" s="367"/>
      <c r="AO143" s="367"/>
      <c r="AP143" s="2" t="str">
        <f aca="false">IF(AT143&gt;0,RANK(AT143,AT$7:AT$423),"")</f>
        <v/>
      </c>
      <c r="AQ143" s="2" t="n">
        <f aca="false">'O_MN, PE_UTA_UGM 2024'!C139</f>
        <v>171</v>
      </c>
      <c r="AR143" s="1421" t="n">
        <v>1689</v>
      </c>
      <c r="AS143" s="2" t="str">
        <f aca="false">IF(AY143&lt;&gt;"",AY143,"")</f>
        <v/>
      </c>
      <c r="AT143" s="1422" t="n">
        <f aca="false">IF(ISNUMBER($AR143),SUMIF(B$7:B$505,AR143,D$7:D$505),"")</f>
        <v>0</v>
      </c>
      <c r="AU143" s="1411" t="n">
        <f aca="false">IF(ISNUMBER($AR143),SUMIF(AD$7:AD$503,$AR143,J$7:J$503),"")</f>
        <v>0</v>
      </c>
      <c r="AV143" s="1411" t="n">
        <f aca="false">IF(ISNUMBER($AR143),SUMIF(AF$7:AF$503,$AR143,L$7:L$503),"")</f>
        <v>0</v>
      </c>
      <c r="AW143" s="1423" t="n">
        <f aca="false">IF(ISNUMBER($AR143),SUMIF(AE$7:AE$503,$AR143,K$7:K$503),"")</f>
        <v>0</v>
      </c>
      <c r="AX143" s="1423" t="n">
        <f aca="false">IF(ISNUMBER($AR143),SUMIF(AG$7:AG$503,$AR143,M$7:M$503),"")</f>
        <v>0</v>
      </c>
      <c r="AY143" s="2" t="str">
        <f aca="false">IF($AT143&gt;0,VLOOKUP($AR143,'O_MN, PE_UTA_UGM 2024'!E139:O555,2),"")</f>
        <v/>
      </c>
      <c r="AZ143" s="1507"/>
      <c r="BA143" s="1507"/>
      <c r="BB143" s="1507" t="str">
        <f aca="false">IF($AT143&gt;0,VLOOKUP($AR143,'O_MN, PE_UTA_UGM 2024'!$E$3:$O$419,BB$6),"")</f>
        <v/>
      </c>
      <c r="BC143" s="1507" t="str">
        <f aca="false">IF($AT143&gt;0,VLOOKUP($AR143,'O_MN, PE_UTA_UGM 2024'!$E$3:$O$419,BC$6),"")</f>
        <v/>
      </c>
      <c r="BD143" s="1507" t="str">
        <f aca="false">IF($AT143&gt;0,VLOOKUP($AR143,'O_MN, PE_UTA_UGM 2024'!$E$3:$O$419,BD$6),"")</f>
        <v/>
      </c>
      <c r="BE143" s="1507" t="str">
        <f aca="false">IF($AT143&gt;0,VLOOKUP($AR143,'O_MN, PE_UTA_UGM 2024'!$E$3:$O$419,BE$6),"")</f>
        <v/>
      </c>
      <c r="BF143" s="1507" t="str">
        <f aca="false">IF($AT143&gt;0,VLOOKUP($AR143,'O_MN, PE_UTA_UGM 2024'!$E$3:$O$419,BF$6),"")</f>
        <v/>
      </c>
      <c r="BG143" s="1507" t="str">
        <f aca="false">IF($AT143&gt;0,VLOOKUP($AR143,'O_MN, PE_UTA_UGM 2024'!$E$3:$O$419,BG$6),"")</f>
        <v/>
      </c>
      <c r="BH143" s="1504"/>
      <c r="BI143" s="1504"/>
      <c r="BJ143" s="1504"/>
      <c r="BK143" s="1504"/>
      <c r="BM143" s="1411"/>
      <c r="BN143" s="1411"/>
      <c r="BO143" s="1425" t="str">
        <f aca="false">IF(ISNUMBER($AU143*BB143*1),$AU143*BB143*1,"")</f>
        <v/>
      </c>
      <c r="BP143" s="1425" t="str">
        <f aca="false">IF(ISNUMBER($AV143*BC143*1),$AV143*BC143*1,"")</f>
        <v/>
      </c>
      <c r="BQ143" s="1425" t="str">
        <f aca="false">IF(ISNUMBER($AU143*BD143*1),$AU143*BD143*1,"")</f>
        <v/>
      </c>
      <c r="BR143" s="1425" t="str">
        <f aca="false">IF(ISNUMBER($AV143*BE143*1),$AV143*BE143*1,"")</f>
        <v/>
      </c>
      <c r="BS143" s="1411" t="str">
        <f aca="false">IF(ISNUMBER($AU143*BF143),$AU143*BF143,"")</f>
        <v/>
      </c>
      <c r="BT143" s="1411" t="str">
        <f aca="false">IF(ISNUMBER($AV143*BG143),$AV143*BG143,"")</f>
        <v/>
      </c>
      <c r="BU143" s="1411"/>
      <c r="BV143" s="1411"/>
      <c r="BW143" s="1411"/>
      <c r="BX143" s="1411"/>
      <c r="BZ143" s="1372"/>
      <c r="CA143" s="1372"/>
      <c r="CB143" s="1426" t="str">
        <f aca="false">IF(ISNUMBER($AW143*BB143),$AW143*BB143,"")</f>
        <v/>
      </c>
      <c r="CC143" s="1426" t="str">
        <f aca="false">IF(ISNUMBER($AX143*BC143),$AX143*BC143,"")</f>
        <v/>
      </c>
      <c r="CD143" s="1426" t="str">
        <f aca="false">IF(ISNUMBER($AW143*BD143),$AW143*BD143,"")</f>
        <v/>
      </c>
      <c r="CE143" s="1426" t="str">
        <f aca="false">IF(ISNUMBER($AX143*BE143),$AX143*BE143,"")</f>
        <v/>
      </c>
      <c r="CF143" s="1372" t="str">
        <f aca="false">IF(ISNUMBER($AW143*BF143),$AW143*BF143,"")</f>
        <v/>
      </c>
      <c r="CG143" s="1372" t="str">
        <f aca="false">IF(ISNUMBER($AX143*BG143),$AX143*BG143,"")</f>
        <v/>
      </c>
      <c r="CH143" s="1438"/>
      <c r="CI143" s="1438"/>
      <c r="CJ143" s="1438"/>
      <c r="CK143" s="1438"/>
      <c r="CU143" s="1411"/>
      <c r="CV143" s="1411"/>
      <c r="CW143" s="1425"/>
      <c r="CX143" s="1425"/>
      <c r="CY143" s="1425"/>
      <c r="CZ143" s="1425"/>
      <c r="DA143" s="1411"/>
      <c r="DB143" s="1411"/>
      <c r="DC143" s="1411"/>
      <c r="DD143" s="1411"/>
      <c r="DE143" s="1411"/>
      <c r="DF143" s="1411"/>
      <c r="DH143" s="1432"/>
      <c r="DI143" s="1432"/>
      <c r="DJ143" s="1437"/>
      <c r="DK143" s="1437"/>
      <c r="DL143" s="1437"/>
      <c r="DM143" s="1437"/>
      <c r="DN143" s="1432"/>
      <c r="DO143" s="1432"/>
      <c r="DP143" s="1432"/>
      <c r="DQ143" s="1432"/>
      <c r="DR143" s="1432"/>
      <c r="DS143" s="1432"/>
      <c r="DT143" s="1316"/>
      <c r="DU143" s="1433"/>
      <c r="DV143" s="1433"/>
      <c r="DW143" s="1433"/>
      <c r="DX143" s="1433"/>
      <c r="DY143" s="1433"/>
      <c r="DZ143" s="1433"/>
      <c r="EA143" s="1433"/>
      <c r="EB143" s="1433"/>
    </row>
    <row r="144" customFormat="false" ht="14.25" hidden="false" customHeight="false" outlineLevel="0" collapsed="false">
      <c r="A144" s="2" t="n">
        <f aca="false">'V_DATOS PAC_SGA'!CC139</f>
        <v>0</v>
      </c>
      <c r="B144" s="2" t="n">
        <f aca="false">IF(OR(A144=0,A144=""),0,IF(I144="IV",CONCATENATE('V_DATOS PAC_SGA'!CC139,"4")+0,CONCATENATE('V_DATOS PAC_SGA'!CC139,"0")+0))</f>
        <v>0</v>
      </c>
      <c r="C144" s="2" t="n">
        <f aca="false">'V_DATOS PAC_SGA'!CD139</f>
        <v>0</v>
      </c>
      <c r="D144" s="1409" t="n">
        <f aca="false">'V_DATOS PAC_SGA'!Y139</f>
        <v>0</v>
      </c>
      <c r="E144" s="1410" t="str">
        <f aca="false">IF('V_DATOS PAC_SGA'!AV139="","Regadio",'V_DATOS PAC_SGA'!AV139)</f>
        <v>Regadio</v>
      </c>
      <c r="F144" s="1411" t="n">
        <f aca="false">'V_DATOS PAC_SGA'!BK139</f>
        <v>0</v>
      </c>
      <c r="G144" s="1412" t="n">
        <f aca="false">'V_DATOS PAC_SGA'!AN139</f>
        <v>0</v>
      </c>
      <c r="H144" s="1413" t="str">
        <f aca="false">IF(B144&gt;0,VLOOKUP(B144,'O_MN, PE_UTA_UGM 2024'!E$3:O$419,10),"")</f>
        <v/>
      </c>
      <c r="I144" s="1359" t="str">
        <f aca="false">IF('V_DATOS PAC_SGA'!BV139="IV",'V_DATOS PAC_SGA'!BV139,"")</f>
        <v/>
      </c>
      <c r="J144" s="2" t="str">
        <f aca="false">IF($A144&gt;0,IF(AND(J$4=$G144,J$6=$F144),$D144*J$5,""),"")</f>
        <v/>
      </c>
      <c r="K144" s="2" t="str">
        <f aca="false">IF($A144&gt;0,IF(AND(K$4=$G144,K$6=$F144),$D144*K$5,""),"")</f>
        <v/>
      </c>
      <c r="L144" s="2" t="str">
        <f aca="false">IF($A144&gt;0,IF(AND(L$4=$G144,L$6=$F144),$D144*L$5,""),"")</f>
        <v/>
      </c>
      <c r="M144" s="2" t="str">
        <f aca="false">IF($A144&gt;0,IF(AND(M$4=$G144,M$6=$F144),$D144*M$5,""),"")</f>
        <v/>
      </c>
      <c r="N144" s="1506" t="n">
        <f aca="false">VLOOKUP(B144,'O_MN, PE_UTA_UGM 2024'!$E$2:$K$419,IF(G144&gt;1,6,7))</f>
        <v>0</v>
      </c>
      <c r="O144" s="1434" t="str">
        <f aca="false">IF($H144=O$4,$D144*$N144,"")</f>
        <v/>
      </c>
      <c r="P144" s="1435" t="str">
        <f aca="false">IF($H144=P$4,$D144*$N144,"")</f>
        <v/>
      </c>
      <c r="Q144" s="1435" t="str">
        <f aca="false">IF($H144=Q$4,$D144*$N144,"")</f>
        <v/>
      </c>
      <c r="R144" s="1435" t="str">
        <f aca="false">IF($H144=R$4,$D144*$N144,"")</f>
        <v/>
      </c>
      <c r="S144" s="1435" t="str">
        <f aca="false">IF($H144=S$4,$D144*$N144,"")</f>
        <v/>
      </c>
      <c r="T144" s="1435" t="str">
        <f aca="false">IF($H144=T$4,$D144*$N144,"")</f>
        <v/>
      </c>
      <c r="U144" s="1436" t="str">
        <f aca="false">IF($H144=U$4,$D144*$N144,"")</f>
        <v/>
      </c>
      <c r="V144" s="1418"/>
      <c r="W144" s="1419"/>
      <c r="X144" s="1419"/>
      <c r="Y144" s="1419"/>
      <c r="Z144" s="1419"/>
      <c r="AA144" s="1419"/>
      <c r="AB144" s="1420"/>
      <c r="AC144" s="1319"/>
      <c r="AD144" s="2" t="str">
        <f aca="false">IF(AND(AD$4=$G144,AD$6=$F144),$B144,"")</f>
        <v/>
      </c>
      <c r="AE144" s="2" t="str">
        <f aca="false">IF(AND(AE$4=$G144,AE$6=$F144),$B144,"")</f>
        <v/>
      </c>
      <c r="AF144" s="2" t="str">
        <f aca="false">IF(AND(AF$4=$G144,AF$6=$F144),$B144,"")</f>
        <v/>
      </c>
      <c r="AG144" s="2" t="str">
        <f aca="false">IF(AND(AG$4=$G144,AG$6=$F144),$B144,"")</f>
        <v/>
      </c>
      <c r="AI144" s="366"/>
      <c r="AL144" s="367"/>
      <c r="AO144" s="367"/>
      <c r="AP144" s="2" t="str">
        <f aca="false">IF(AT144&gt;0,RANK(AT144,AT$7:AT$423),"")</f>
        <v/>
      </c>
      <c r="AQ144" s="2" t="n">
        <f aca="false">'O_MN, PE_UTA_UGM 2024'!C140</f>
        <v>171</v>
      </c>
      <c r="AR144" s="1421" t="n">
        <v>1690</v>
      </c>
      <c r="AS144" s="2" t="str">
        <f aca="false">IF(AY144&lt;&gt;"",AY144,"")</f>
        <v/>
      </c>
      <c r="AT144" s="1422" t="n">
        <f aca="false">IF(ISNUMBER($AR144),SUMIF(B$7:B$505,AR144,D$7:D$505),"")</f>
        <v>0</v>
      </c>
      <c r="AU144" s="1411" t="n">
        <f aca="false">IF(ISNUMBER($AR144),SUMIF(AD$7:AD$503,$AR144,J$7:J$503),"")</f>
        <v>0</v>
      </c>
      <c r="AV144" s="1411" t="n">
        <f aca="false">IF(ISNUMBER($AR144),SUMIF(AF$7:AF$503,$AR144,L$7:L$503),"")</f>
        <v>0</v>
      </c>
      <c r="AW144" s="1423" t="n">
        <f aca="false">IF(ISNUMBER($AR144),SUMIF(AE$7:AE$503,$AR144,K$7:K$503),"")</f>
        <v>0</v>
      </c>
      <c r="AX144" s="1423" t="n">
        <f aca="false">IF(ISNUMBER($AR144),SUMIF(AG$7:AG$503,$AR144,M$7:M$503),"")</f>
        <v>0</v>
      </c>
      <c r="AY144" s="2" t="str">
        <f aca="false">IF($AT144&gt;0,VLOOKUP($AR144,'O_MN, PE_UTA_UGM 2024'!E140:O556,2),"")</f>
        <v/>
      </c>
      <c r="AZ144" s="1507"/>
      <c r="BA144" s="1507"/>
      <c r="BB144" s="1507" t="str">
        <f aca="false">IF($AT144&gt;0,VLOOKUP($AR144,'O_MN, PE_UTA_UGM 2024'!$E$3:$O$419,BB$6),"")</f>
        <v/>
      </c>
      <c r="BC144" s="1507" t="str">
        <f aca="false">IF($AT144&gt;0,VLOOKUP($AR144,'O_MN, PE_UTA_UGM 2024'!$E$3:$O$419,BC$6),"")</f>
        <v/>
      </c>
      <c r="BD144" s="1507" t="str">
        <f aca="false">IF($AT144&gt;0,VLOOKUP($AR144,'O_MN, PE_UTA_UGM 2024'!$E$3:$O$419,BD$6),"")</f>
        <v/>
      </c>
      <c r="BE144" s="1507" t="str">
        <f aca="false">IF($AT144&gt;0,VLOOKUP($AR144,'O_MN, PE_UTA_UGM 2024'!$E$3:$O$419,BE$6),"")</f>
        <v/>
      </c>
      <c r="BF144" s="1507" t="str">
        <f aca="false">IF($AT144&gt;0,VLOOKUP($AR144,'O_MN, PE_UTA_UGM 2024'!$E$3:$O$419,BF$6),"")</f>
        <v/>
      </c>
      <c r="BG144" s="1507" t="str">
        <f aca="false">IF($AT144&gt;0,VLOOKUP($AR144,'O_MN, PE_UTA_UGM 2024'!$E$3:$O$419,BG$6),"")</f>
        <v/>
      </c>
      <c r="BH144" s="1504"/>
      <c r="BI144" s="1504"/>
      <c r="BJ144" s="1504"/>
      <c r="BK144" s="1504"/>
      <c r="BM144" s="1411"/>
      <c r="BN144" s="1411"/>
      <c r="BO144" s="1425" t="str">
        <f aca="false">IF(ISNUMBER($AU144*BB144*1),$AU144*BB144*1,"")</f>
        <v/>
      </c>
      <c r="BP144" s="1425" t="str">
        <f aca="false">IF(ISNUMBER($AV144*BC144*1),$AV144*BC144*1,"")</f>
        <v/>
      </c>
      <c r="BQ144" s="1425" t="str">
        <f aca="false">IF(ISNUMBER($AU144*BD144*1),$AU144*BD144*1,"")</f>
        <v/>
      </c>
      <c r="BR144" s="1425" t="str">
        <f aca="false">IF(ISNUMBER($AV144*BE144*1),$AV144*BE144*1,"")</f>
        <v/>
      </c>
      <c r="BS144" s="1411" t="str">
        <f aca="false">IF(ISNUMBER($AU144*BF144),$AU144*BF144,"")</f>
        <v/>
      </c>
      <c r="BT144" s="1411" t="str">
        <f aca="false">IF(ISNUMBER($AV144*BG144),$AV144*BG144,"")</f>
        <v/>
      </c>
      <c r="BU144" s="1411"/>
      <c r="BV144" s="1411"/>
      <c r="BW144" s="1411"/>
      <c r="BX144" s="1411"/>
      <c r="BZ144" s="1372"/>
      <c r="CA144" s="1372"/>
      <c r="CB144" s="1426" t="str">
        <f aca="false">IF(ISNUMBER($AW144*BB144),$AW144*BB144,"")</f>
        <v/>
      </c>
      <c r="CC144" s="1426" t="str">
        <f aca="false">IF(ISNUMBER($AX144*BC144),$AX144*BC144,"")</f>
        <v/>
      </c>
      <c r="CD144" s="1426" t="str">
        <f aca="false">IF(ISNUMBER($AW144*BD144),$AW144*BD144,"")</f>
        <v/>
      </c>
      <c r="CE144" s="1426" t="str">
        <f aca="false">IF(ISNUMBER($AX144*BE144),$AX144*BE144,"")</f>
        <v/>
      </c>
      <c r="CF144" s="1372" t="str">
        <f aca="false">IF(ISNUMBER($AW144*BF144),$AW144*BF144,"")</f>
        <v/>
      </c>
      <c r="CG144" s="1372" t="str">
        <f aca="false">IF(ISNUMBER($AX144*BG144),$AX144*BG144,"")</f>
        <v/>
      </c>
      <c r="CH144" s="1438"/>
      <c r="CI144" s="1438"/>
      <c r="CJ144" s="1438"/>
      <c r="CK144" s="1438"/>
      <c r="CU144" s="1411"/>
      <c r="CV144" s="1411"/>
      <c r="CW144" s="1425"/>
      <c r="CX144" s="1425"/>
      <c r="CY144" s="1425"/>
      <c r="CZ144" s="1425"/>
      <c r="DA144" s="1411"/>
      <c r="DB144" s="1411"/>
      <c r="DC144" s="1411"/>
      <c r="DD144" s="1411"/>
      <c r="DE144" s="1411"/>
      <c r="DF144" s="1411"/>
      <c r="DH144" s="1432"/>
      <c r="DI144" s="1432"/>
      <c r="DJ144" s="1437"/>
      <c r="DK144" s="1437"/>
      <c r="DL144" s="1437"/>
      <c r="DM144" s="1437"/>
      <c r="DN144" s="1432"/>
      <c r="DO144" s="1432"/>
      <c r="DP144" s="1432"/>
      <c r="DQ144" s="1432"/>
      <c r="DR144" s="1432"/>
      <c r="DS144" s="1432"/>
      <c r="DT144" s="1316"/>
      <c r="DU144" s="1433"/>
      <c r="DV144" s="1433"/>
      <c r="DW144" s="1433"/>
      <c r="DX144" s="1433"/>
      <c r="DY144" s="1433"/>
      <c r="DZ144" s="1433"/>
      <c r="EA144" s="1433"/>
      <c r="EB144" s="1433"/>
    </row>
    <row r="145" customFormat="false" ht="14.25" hidden="false" customHeight="false" outlineLevel="0" collapsed="false">
      <c r="A145" s="2" t="n">
        <f aca="false">'V_DATOS PAC_SGA'!CC140</f>
        <v>0</v>
      </c>
      <c r="B145" s="2" t="n">
        <f aca="false">IF(OR(A145=0,A145=""),0,IF(I145="IV",CONCATENATE('V_DATOS PAC_SGA'!CC140,"4")+0,CONCATENATE('V_DATOS PAC_SGA'!CC140,"0")+0))</f>
        <v>0</v>
      </c>
      <c r="C145" s="2" t="n">
        <f aca="false">'V_DATOS PAC_SGA'!CD140</f>
        <v>0</v>
      </c>
      <c r="D145" s="1409" t="n">
        <f aca="false">'V_DATOS PAC_SGA'!Y140</f>
        <v>0</v>
      </c>
      <c r="E145" s="1410" t="str">
        <f aca="false">IF('V_DATOS PAC_SGA'!AV140="","Regadio",'V_DATOS PAC_SGA'!AV140)</f>
        <v>Regadio</v>
      </c>
      <c r="F145" s="1411" t="n">
        <f aca="false">'V_DATOS PAC_SGA'!BK140</f>
        <v>0</v>
      </c>
      <c r="G145" s="1412" t="n">
        <f aca="false">'V_DATOS PAC_SGA'!AN140</f>
        <v>0</v>
      </c>
      <c r="H145" s="1413" t="str">
        <f aca="false">IF(B145&gt;0,VLOOKUP(B145,'O_MN, PE_UTA_UGM 2024'!E$3:O$419,10),"")</f>
        <v/>
      </c>
      <c r="I145" s="1359" t="str">
        <f aca="false">IF('V_DATOS PAC_SGA'!BV140="IV",'V_DATOS PAC_SGA'!BV140,"")</f>
        <v/>
      </c>
      <c r="J145" s="2" t="str">
        <f aca="false">IF($A145&gt;0,IF(AND(J$4=$G145,J$6=$F145),$D145*J$5,""),"")</f>
        <v/>
      </c>
      <c r="K145" s="2" t="str">
        <f aca="false">IF($A145&gt;0,IF(AND(K$4=$G145,K$6=$F145),$D145*K$5,""),"")</f>
        <v/>
      </c>
      <c r="L145" s="2" t="str">
        <f aca="false">IF($A145&gt;0,IF(AND(L$4=$G145,L$6=$F145),$D145*L$5,""),"")</f>
        <v/>
      </c>
      <c r="M145" s="2" t="str">
        <f aca="false">IF($A145&gt;0,IF(AND(M$4=$G145,M$6=$F145),$D145*M$5,""),"")</f>
        <v/>
      </c>
      <c r="N145" s="1506" t="n">
        <f aca="false">VLOOKUP(B145,'O_MN, PE_UTA_UGM 2024'!$E$2:$K$419,IF(G145&gt;1,6,7))</f>
        <v>0</v>
      </c>
      <c r="O145" s="1434" t="str">
        <f aca="false">IF($H145=O$4,$D145*$N145,"")</f>
        <v/>
      </c>
      <c r="P145" s="1435" t="str">
        <f aca="false">IF($H145=P$4,$D145*$N145,"")</f>
        <v/>
      </c>
      <c r="Q145" s="1435" t="str">
        <f aca="false">IF($H145=Q$4,$D145*$N145,"")</f>
        <v/>
      </c>
      <c r="R145" s="1435" t="str">
        <f aca="false">IF($H145=R$4,$D145*$N145,"")</f>
        <v/>
      </c>
      <c r="S145" s="1435" t="str">
        <f aca="false">IF($H145=S$4,$D145*$N145,"")</f>
        <v/>
      </c>
      <c r="T145" s="1435" t="str">
        <f aca="false">IF($H145=T$4,$D145*$N145,"")</f>
        <v/>
      </c>
      <c r="U145" s="1436" t="str">
        <f aca="false">IF($H145=U$4,$D145*$N145,"")</f>
        <v/>
      </c>
      <c r="V145" s="1418"/>
      <c r="W145" s="1419"/>
      <c r="X145" s="1419"/>
      <c r="Y145" s="1419"/>
      <c r="Z145" s="1419"/>
      <c r="AA145" s="1419"/>
      <c r="AB145" s="1420"/>
      <c r="AC145" s="1319"/>
      <c r="AD145" s="2" t="str">
        <f aca="false">IF(AND(AD$4=$G145,AD$6=$F145),$B145,"")</f>
        <v/>
      </c>
      <c r="AE145" s="2" t="str">
        <f aca="false">IF(AND(AE$4=$G145,AE$6=$F145),$B145,"")</f>
        <v/>
      </c>
      <c r="AF145" s="2" t="str">
        <f aca="false">IF(AND(AF$4=$G145,AF$6=$F145),$B145,"")</f>
        <v/>
      </c>
      <c r="AG145" s="2" t="str">
        <f aca="false">IF(AND(AG$4=$G145,AG$6=$F145),$B145,"")</f>
        <v/>
      </c>
      <c r="AI145" s="366"/>
      <c r="AL145" s="367"/>
      <c r="AO145" s="367"/>
      <c r="AP145" s="2" t="str">
        <f aca="false">IF(AT145&gt;0,RANK(AT145,AT$7:AT$423),"")</f>
        <v/>
      </c>
      <c r="AQ145" s="2" t="n">
        <f aca="false">'O_MN, PE_UTA_UGM 2024'!C141</f>
        <v>171</v>
      </c>
      <c r="AR145" s="1421" t="n">
        <v>1694</v>
      </c>
      <c r="AS145" s="2" t="str">
        <f aca="false">IF(AY145&lt;&gt;"",AY145,"")</f>
        <v/>
      </c>
      <c r="AT145" s="1422" t="n">
        <f aca="false">IF(ISNUMBER($AR145),SUMIF(B$7:B$505,AR145,D$7:D$505),"")</f>
        <v>0</v>
      </c>
      <c r="AU145" s="1411" t="n">
        <f aca="false">IF(ISNUMBER($AR145),SUMIF(AD$7:AD$503,$AR145,J$7:J$503),"")</f>
        <v>0</v>
      </c>
      <c r="AV145" s="1411" t="n">
        <f aca="false">IF(ISNUMBER($AR145),SUMIF(AF$7:AF$503,$AR145,L$7:L$503),"")</f>
        <v>0</v>
      </c>
      <c r="AW145" s="1423" t="n">
        <f aca="false">IF(ISNUMBER($AR145),SUMIF(AE$7:AE$503,$AR145,K$7:K$503),"")</f>
        <v>0</v>
      </c>
      <c r="AX145" s="1423" t="n">
        <f aca="false">IF(ISNUMBER($AR145),SUMIF(AG$7:AG$503,$AR145,M$7:M$503),"")</f>
        <v>0</v>
      </c>
      <c r="AY145" s="2" t="str">
        <f aca="false">IF($AT145&gt;0,VLOOKUP($AR145,'O_MN, PE_UTA_UGM 2024'!E141:O557,2),"")</f>
        <v/>
      </c>
      <c r="AZ145" s="1507"/>
      <c r="BA145" s="1507"/>
      <c r="BB145" s="1507" t="str">
        <f aca="false">IF($AT145&gt;0,VLOOKUP($AR145,'O_MN, PE_UTA_UGM 2024'!$E$3:$O$419,BB$6),"")</f>
        <v/>
      </c>
      <c r="BC145" s="1507" t="str">
        <f aca="false">IF($AT145&gt;0,VLOOKUP($AR145,'O_MN, PE_UTA_UGM 2024'!$E$3:$O$419,BC$6),"")</f>
        <v/>
      </c>
      <c r="BD145" s="1507" t="str">
        <f aca="false">IF($AT145&gt;0,VLOOKUP($AR145,'O_MN, PE_UTA_UGM 2024'!$E$3:$O$419,BD$6),"")</f>
        <v/>
      </c>
      <c r="BE145" s="1507" t="str">
        <f aca="false">IF($AT145&gt;0,VLOOKUP($AR145,'O_MN, PE_UTA_UGM 2024'!$E$3:$O$419,BE$6),"")</f>
        <v/>
      </c>
      <c r="BF145" s="1507" t="str">
        <f aca="false">IF($AT145&gt;0,VLOOKUP($AR145,'O_MN, PE_UTA_UGM 2024'!$E$3:$O$419,BF$6),"")</f>
        <v/>
      </c>
      <c r="BG145" s="1507" t="str">
        <f aca="false">IF($AT145&gt;0,VLOOKUP($AR145,'O_MN, PE_UTA_UGM 2024'!$E$3:$O$419,BG$6),"")</f>
        <v/>
      </c>
      <c r="BH145" s="1504"/>
      <c r="BI145" s="1504"/>
      <c r="BJ145" s="1504"/>
      <c r="BK145" s="1504"/>
      <c r="BM145" s="1411"/>
      <c r="BN145" s="1411"/>
      <c r="BO145" s="1425" t="str">
        <f aca="false">IF(ISNUMBER($AU145*BB145*1),$AU145*BB145*1,"")</f>
        <v/>
      </c>
      <c r="BP145" s="1425" t="str">
        <f aca="false">IF(ISNUMBER($AV145*BC145*1),$AV145*BC145*1,"")</f>
        <v/>
      </c>
      <c r="BQ145" s="1425" t="str">
        <f aca="false">IF(ISNUMBER($AU145*BD145*1),$AU145*BD145*1,"")</f>
        <v/>
      </c>
      <c r="BR145" s="1425" t="str">
        <f aca="false">IF(ISNUMBER($AV145*BE145*1),$AV145*BE145*1,"")</f>
        <v/>
      </c>
      <c r="BS145" s="1411" t="str">
        <f aca="false">IF(ISNUMBER($AU145*BF145),$AU145*BF145,"")</f>
        <v/>
      </c>
      <c r="BT145" s="1411" t="str">
        <f aca="false">IF(ISNUMBER($AV145*BG145),$AV145*BG145,"")</f>
        <v/>
      </c>
      <c r="BU145" s="1411"/>
      <c r="BV145" s="1411"/>
      <c r="BW145" s="1411"/>
      <c r="BX145" s="1411"/>
      <c r="BZ145" s="1372"/>
      <c r="CA145" s="1372"/>
      <c r="CB145" s="1426" t="str">
        <f aca="false">IF(ISNUMBER($AW145*BB145),$AW145*BB145,"")</f>
        <v/>
      </c>
      <c r="CC145" s="1426" t="str">
        <f aca="false">IF(ISNUMBER($AX145*BC145),$AX145*BC145,"")</f>
        <v/>
      </c>
      <c r="CD145" s="1426" t="str">
        <f aca="false">IF(ISNUMBER($AW145*BD145),$AW145*BD145,"")</f>
        <v/>
      </c>
      <c r="CE145" s="1426" t="str">
        <f aca="false">IF(ISNUMBER($AX145*BE145),$AX145*BE145,"")</f>
        <v/>
      </c>
      <c r="CF145" s="1372" t="str">
        <f aca="false">IF(ISNUMBER($AW145*BF145),$AW145*BF145,"")</f>
        <v/>
      </c>
      <c r="CG145" s="1372" t="str">
        <f aca="false">IF(ISNUMBER($AX145*BG145),$AX145*BG145,"")</f>
        <v/>
      </c>
      <c r="CH145" s="1438"/>
      <c r="CI145" s="1438"/>
      <c r="CJ145" s="1438"/>
      <c r="CK145" s="1438"/>
      <c r="CU145" s="1411"/>
      <c r="CV145" s="1411"/>
      <c r="CW145" s="1425"/>
      <c r="CX145" s="1425"/>
      <c r="CY145" s="1425"/>
      <c r="CZ145" s="1425"/>
      <c r="DA145" s="1411"/>
      <c r="DB145" s="1411"/>
      <c r="DC145" s="1411"/>
      <c r="DD145" s="1411"/>
      <c r="DE145" s="1411"/>
      <c r="DF145" s="1411"/>
      <c r="DH145" s="1432"/>
      <c r="DI145" s="1432"/>
      <c r="DJ145" s="1437"/>
      <c r="DK145" s="1437"/>
      <c r="DL145" s="1437"/>
      <c r="DM145" s="1437"/>
      <c r="DN145" s="1432"/>
      <c r="DO145" s="1432"/>
      <c r="DP145" s="1432"/>
      <c r="DQ145" s="1432"/>
      <c r="DR145" s="1432"/>
      <c r="DS145" s="1432"/>
      <c r="DT145" s="1316"/>
      <c r="DU145" s="1433"/>
      <c r="DV145" s="1433"/>
      <c r="DW145" s="1433"/>
      <c r="DX145" s="1433"/>
      <c r="DY145" s="1433"/>
      <c r="DZ145" s="1433"/>
      <c r="EA145" s="1433"/>
      <c r="EB145" s="1433"/>
    </row>
    <row r="146" customFormat="false" ht="14.25" hidden="false" customHeight="false" outlineLevel="0" collapsed="false">
      <c r="A146" s="2" t="n">
        <f aca="false">'V_DATOS PAC_SGA'!CC141</f>
        <v>0</v>
      </c>
      <c r="B146" s="2" t="n">
        <f aca="false">IF(OR(A146=0,A146=""),0,IF(I146="IV",CONCATENATE('V_DATOS PAC_SGA'!CC141,"4")+0,CONCATENATE('V_DATOS PAC_SGA'!CC141,"0")+0))</f>
        <v>0</v>
      </c>
      <c r="C146" s="2" t="n">
        <f aca="false">'V_DATOS PAC_SGA'!CD141</f>
        <v>0</v>
      </c>
      <c r="D146" s="1409" t="n">
        <f aca="false">'V_DATOS PAC_SGA'!Y141</f>
        <v>0</v>
      </c>
      <c r="E146" s="1410" t="str">
        <f aca="false">IF('V_DATOS PAC_SGA'!AV141="","Regadio",'V_DATOS PAC_SGA'!AV141)</f>
        <v>Regadio</v>
      </c>
      <c r="F146" s="1411" t="n">
        <f aca="false">'V_DATOS PAC_SGA'!BK141</f>
        <v>0</v>
      </c>
      <c r="G146" s="1412" t="n">
        <f aca="false">'V_DATOS PAC_SGA'!AN141</f>
        <v>0</v>
      </c>
      <c r="H146" s="1413" t="str">
        <f aca="false">IF(B146&gt;0,VLOOKUP(B146,'O_MN, PE_UTA_UGM 2024'!E$3:O$419,10),"")</f>
        <v/>
      </c>
      <c r="I146" s="1359" t="str">
        <f aca="false">IF('V_DATOS PAC_SGA'!BV141="IV",'V_DATOS PAC_SGA'!BV141,"")</f>
        <v/>
      </c>
      <c r="J146" s="2" t="str">
        <f aca="false">IF($A146&gt;0,IF(AND(J$4=$G146,J$6=$F146),$D146*J$5,""),"")</f>
        <v/>
      </c>
      <c r="K146" s="2" t="str">
        <f aca="false">IF($A146&gt;0,IF(AND(K$4=$G146,K$6=$F146),$D146*K$5,""),"")</f>
        <v/>
      </c>
      <c r="L146" s="2" t="str">
        <f aca="false">IF($A146&gt;0,IF(AND(L$4=$G146,L$6=$F146),$D146*L$5,""),"")</f>
        <v/>
      </c>
      <c r="M146" s="2" t="str">
        <f aca="false">IF($A146&gt;0,IF(AND(M$4=$G146,M$6=$F146),$D146*M$5,""),"")</f>
        <v/>
      </c>
      <c r="N146" s="1506" t="n">
        <f aca="false">VLOOKUP(B146,'O_MN, PE_UTA_UGM 2024'!$E$2:$K$419,IF(G146&gt;1,6,7))</f>
        <v>0</v>
      </c>
      <c r="O146" s="1434" t="str">
        <f aca="false">IF($H146=O$4,$D146*$N146,"")</f>
        <v/>
      </c>
      <c r="P146" s="1435" t="str">
        <f aca="false">IF($H146=P$4,$D146*$N146,"")</f>
        <v/>
      </c>
      <c r="Q146" s="1435" t="str">
        <f aca="false">IF($H146=Q$4,$D146*$N146,"")</f>
        <v/>
      </c>
      <c r="R146" s="1435" t="str">
        <f aca="false">IF($H146=R$4,$D146*$N146,"")</f>
        <v/>
      </c>
      <c r="S146" s="1435" t="str">
        <f aca="false">IF($H146=S$4,$D146*$N146,"")</f>
        <v/>
      </c>
      <c r="T146" s="1435" t="str">
        <f aca="false">IF($H146=T$4,$D146*$N146,"")</f>
        <v/>
      </c>
      <c r="U146" s="1436" t="str">
        <f aca="false">IF($H146=U$4,$D146*$N146,"")</f>
        <v/>
      </c>
      <c r="V146" s="1418"/>
      <c r="W146" s="1419"/>
      <c r="X146" s="1419"/>
      <c r="Y146" s="1419"/>
      <c r="Z146" s="1419"/>
      <c r="AA146" s="1419"/>
      <c r="AB146" s="1420"/>
      <c r="AC146" s="1319"/>
      <c r="AD146" s="2" t="str">
        <f aca="false">IF(AND(AD$4=$G146,AD$6=$F146),$B146,"")</f>
        <v/>
      </c>
      <c r="AE146" s="2" t="str">
        <f aca="false">IF(AND(AE$4=$G146,AE$6=$F146),$B146,"")</f>
        <v/>
      </c>
      <c r="AF146" s="2" t="str">
        <f aca="false">IF(AND(AF$4=$G146,AF$6=$F146),$B146,"")</f>
        <v/>
      </c>
      <c r="AG146" s="2" t="str">
        <f aca="false">IF(AND(AG$4=$G146,AG$6=$F146),$B146,"")</f>
        <v/>
      </c>
      <c r="AI146" s="366"/>
      <c r="AL146" s="367"/>
      <c r="AO146" s="367"/>
      <c r="AP146" s="2" t="str">
        <f aca="false">IF(AT146&gt;0,RANK(AT146,AT$7:AT$423),"")</f>
        <v/>
      </c>
      <c r="AQ146" s="2" t="n">
        <f aca="false">'O_MN, PE_UTA_UGM 2024'!C142</f>
        <v>172</v>
      </c>
      <c r="AR146" s="1421" t="n">
        <v>1699</v>
      </c>
      <c r="AS146" s="2" t="str">
        <f aca="false">IF(AY146&lt;&gt;"",AY146,"")</f>
        <v/>
      </c>
      <c r="AT146" s="1422" t="n">
        <f aca="false">IF(ISNUMBER($AR146),SUMIF(B$7:B$505,AR146,D$7:D$505),"")</f>
        <v>0</v>
      </c>
      <c r="AU146" s="1411" t="n">
        <f aca="false">IF(ISNUMBER($AR146),SUMIF(AD$7:AD$503,$AR146,J$7:J$503),"")</f>
        <v>0</v>
      </c>
      <c r="AV146" s="1411" t="n">
        <f aca="false">IF(ISNUMBER($AR146),SUMIF(AF$7:AF$503,$AR146,L$7:L$503),"")</f>
        <v>0</v>
      </c>
      <c r="AW146" s="1423" t="n">
        <f aca="false">IF(ISNUMBER($AR146),SUMIF(AE$7:AE$503,$AR146,K$7:K$503),"")</f>
        <v>0</v>
      </c>
      <c r="AX146" s="1423" t="n">
        <f aca="false">IF(ISNUMBER($AR146),SUMIF(AG$7:AG$503,$AR146,M$7:M$503),"")</f>
        <v>0</v>
      </c>
      <c r="AY146" s="2" t="str">
        <f aca="false">IF($AT146&gt;0,VLOOKUP($AR146,'O_MN, PE_UTA_UGM 2024'!E142:O558,2),"")</f>
        <v/>
      </c>
      <c r="AZ146" s="1507"/>
      <c r="BA146" s="1507"/>
      <c r="BB146" s="1507" t="str">
        <f aca="false">IF($AT146&gt;0,VLOOKUP($AR146,'O_MN, PE_UTA_UGM 2024'!$E$3:$O$419,BB$6),"")</f>
        <v/>
      </c>
      <c r="BC146" s="1507" t="str">
        <f aca="false">IF($AT146&gt;0,VLOOKUP($AR146,'O_MN, PE_UTA_UGM 2024'!$E$3:$O$419,BC$6),"")</f>
        <v/>
      </c>
      <c r="BD146" s="1507" t="str">
        <f aca="false">IF($AT146&gt;0,VLOOKUP($AR146,'O_MN, PE_UTA_UGM 2024'!$E$3:$O$419,BD$6),"")</f>
        <v/>
      </c>
      <c r="BE146" s="1507" t="str">
        <f aca="false">IF($AT146&gt;0,VLOOKUP($AR146,'O_MN, PE_UTA_UGM 2024'!$E$3:$O$419,BE$6),"")</f>
        <v/>
      </c>
      <c r="BF146" s="1507" t="str">
        <f aca="false">IF($AT146&gt;0,VLOOKUP($AR146,'O_MN, PE_UTA_UGM 2024'!$E$3:$O$419,BF$6),"")</f>
        <v/>
      </c>
      <c r="BG146" s="1507" t="str">
        <f aca="false">IF($AT146&gt;0,VLOOKUP($AR146,'O_MN, PE_UTA_UGM 2024'!$E$3:$O$419,BG$6),"")</f>
        <v/>
      </c>
      <c r="BH146" s="1504"/>
      <c r="BI146" s="1504"/>
      <c r="BJ146" s="1504"/>
      <c r="BK146" s="1504"/>
      <c r="BM146" s="1411"/>
      <c r="BN146" s="1411"/>
      <c r="BO146" s="1425" t="str">
        <f aca="false">IF(ISNUMBER($AU146*BB146*1),$AU146*BB146*1,"")</f>
        <v/>
      </c>
      <c r="BP146" s="1425" t="str">
        <f aca="false">IF(ISNUMBER($AV146*BC146*1),$AV146*BC146*1,"")</f>
        <v/>
      </c>
      <c r="BQ146" s="1425" t="str">
        <f aca="false">IF(ISNUMBER($AU146*BD146*1),$AU146*BD146*1,"")</f>
        <v/>
      </c>
      <c r="BR146" s="1425" t="str">
        <f aca="false">IF(ISNUMBER($AV146*BE146*1),$AV146*BE146*1,"")</f>
        <v/>
      </c>
      <c r="BS146" s="1411" t="str">
        <f aca="false">IF(ISNUMBER($AU146*BF146),$AU146*BF146,"")</f>
        <v/>
      </c>
      <c r="BT146" s="1411" t="str">
        <f aca="false">IF(ISNUMBER($AV146*BG146),$AV146*BG146,"")</f>
        <v/>
      </c>
      <c r="BU146" s="1411"/>
      <c r="BV146" s="1411"/>
      <c r="BW146" s="1411"/>
      <c r="BX146" s="1411"/>
      <c r="BZ146" s="1372"/>
      <c r="CA146" s="1372"/>
      <c r="CB146" s="1426" t="str">
        <f aca="false">IF(ISNUMBER($AW146*BB146),$AW146*BB146,"")</f>
        <v/>
      </c>
      <c r="CC146" s="1426" t="str">
        <f aca="false">IF(ISNUMBER($AX146*BC146),$AX146*BC146,"")</f>
        <v/>
      </c>
      <c r="CD146" s="1426" t="str">
        <f aca="false">IF(ISNUMBER($AW146*BD146),$AW146*BD146,"")</f>
        <v/>
      </c>
      <c r="CE146" s="1426" t="str">
        <f aca="false">IF(ISNUMBER($AX146*BE146),$AX146*BE146,"")</f>
        <v/>
      </c>
      <c r="CF146" s="1372" t="str">
        <f aca="false">IF(ISNUMBER($AW146*BF146),$AW146*BF146,"")</f>
        <v/>
      </c>
      <c r="CG146" s="1372" t="str">
        <f aca="false">IF(ISNUMBER($AX146*BG146),$AX146*BG146,"")</f>
        <v/>
      </c>
      <c r="CH146" s="1438"/>
      <c r="CI146" s="1438"/>
      <c r="CJ146" s="1438"/>
      <c r="CK146" s="1438"/>
      <c r="CU146" s="1411"/>
      <c r="CV146" s="1411"/>
      <c r="CW146" s="1425"/>
      <c r="CX146" s="1425"/>
      <c r="CY146" s="1425"/>
      <c r="CZ146" s="1425"/>
      <c r="DA146" s="1411"/>
      <c r="DB146" s="1411"/>
      <c r="DC146" s="1411"/>
      <c r="DD146" s="1411"/>
      <c r="DE146" s="1411"/>
      <c r="DF146" s="1411"/>
      <c r="DH146" s="1432"/>
      <c r="DI146" s="1432"/>
      <c r="DJ146" s="1437"/>
      <c r="DK146" s="1437"/>
      <c r="DL146" s="1437"/>
      <c r="DM146" s="1437"/>
      <c r="DN146" s="1432"/>
      <c r="DO146" s="1432"/>
      <c r="DP146" s="1432"/>
      <c r="DQ146" s="1432"/>
      <c r="DR146" s="1432"/>
      <c r="DS146" s="1432"/>
      <c r="DT146" s="1316"/>
      <c r="DU146" s="1433"/>
      <c r="DV146" s="1433"/>
      <c r="DW146" s="1433"/>
      <c r="DX146" s="1433"/>
      <c r="DY146" s="1433"/>
      <c r="DZ146" s="1433"/>
      <c r="EA146" s="1433"/>
      <c r="EB146" s="1433"/>
    </row>
    <row r="147" customFormat="false" ht="14.25" hidden="false" customHeight="false" outlineLevel="0" collapsed="false">
      <c r="A147" s="2" t="n">
        <f aca="false">'V_DATOS PAC_SGA'!CC142</f>
        <v>0</v>
      </c>
      <c r="B147" s="2" t="n">
        <f aca="false">IF(OR(A147=0,A147=""),0,IF(I147="IV",CONCATENATE('V_DATOS PAC_SGA'!CC142,"4")+0,CONCATENATE('V_DATOS PAC_SGA'!CC142,"0")+0))</f>
        <v>0</v>
      </c>
      <c r="C147" s="2" t="n">
        <f aca="false">'V_DATOS PAC_SGA'!CD142</f>
        <v>0</v>
      </c>
      <c r="D147" s="1409" t="n">
        <f aca="false">'V_DATOS PAC_SGA'!Y142</f>
        <v>0</v>
      </c>
      <c r="E147" s="1410" t="str">
        <f aca="false">IF('V_DATOS PAC_SGA'!AV142="","Regadio",'V_DATOS PAC_SGA'!AV142)</f>
        <v>Regadio</v>
      </c>
      <c r="F147" s="1411" t="n">
        <f aca="false">'V_DATOS PAC_SGA'!BK142</f>
        <v>0</v>
      </c>
      <c r="G147" s="1412" t="n">
        <f aca="false">'V_DATOS PAC_SGA'!AN142</f>
        <v>0</v>
      </c>
      <c r="H147" s="1413" t="str">
        <f aca="false">IF(B147&gt;0,VLOOKUP(B147,'O_MN, PE_UTA_UGM 2024'!E$3:O$419,10),"")</f>
        <v/>
      </c>
      <c r="I147" s="1359" t="str">
        <f aca="false">IF('V_DATOS PAC_SGA'!BV142="IV",'V_DATOS PAC_SGA'!BV142,"")</f>
        <v/>
      </c>
      <c r="J147" s="2" t="str">
        <f aca="false">IF($A147&gt;0,IF(AND(J$4=$G147,J$6=$F147),$D147*J$5,""),"")</f>
        <v/>
      </c>
      <c r="K147" s="2" t="str">
        <f aca="false">IF($A147&gt;0,IF(AND(K$4=$G147,K$6=$F147),$D147*K$5,""),"")</f>
        <v/>
      </c>
      <c r="L147" s="2" t="str">
        <f aca="false">IF($A147&gt;0,IF(AND(L$4=$G147,L$6=$F147),$D147*L$5,""),"")</f>
        <v/>
      </c>
      <c r="M147" s="2" t="str">
        <f aca="false">IF($A147&gt;0,IF(AND(M$4=$G147,M$6=$F147),$D147*M$5,""),"")</f>
        <v/>
      </c>
      <c r="N147" s="1506" t="n">
        <f aca="false">VLOOKUP(B147,'O_MN, PE_UTA_UGM 2024'!$E$2:$K$419,IF(G147&gt;1,6,7))</f>
        <v>0</v>
      </c>
      <c r="O147" s="1434" t="str">
        <f aca="false">IF($H147=O$4,$D147*$N147,"")</f>
        <v/>
      </c>
      <c r="P147" s="1435" t="str">
        <f aca="false">IF($H147=P$4,$D147*$N147,"")</f>
        <v/>
      </c>
      <c r="Q147" s="1435" t="str">
        <f aca="false">IF($H147=Q$4,$D147*$N147,"")</f>
        <v/>
      </c>
      <c r="R147" s="1435" t="str">
        <f aca="false">IF($H147=R$4,$D147*$N147,"")</f>
        <v/>
      </c>
      <c r="S147" s="1435" t="str">
        <f aca="false">IF($H147=S$4,$D147*$N147,"")</f>
        <v/>
      </c>
      <c r="T147" s="1435" t="str">
        <f aca="false">IF($H147=T$4,$D147*$N147,"")</f>
        <v/>
      </c>
      <c r="U147" s="1436" t="str">
        <f aca="false">IF($H147=U$4,$D147*$N147,"")</f>
        <v/>
      </c>
      <c r="V147" s="1418"/>
      <c r="W147" s="1419"/>
      <c r="X147" s="1419"/>
      <c r="Y147" s="1419"/>
      <c r="Z147" s="1419"/>
      <c r="AA147" s="1419"/>
      <c r="AB147" s="1420"/>
      <c r="AC147" s="1319"/>
      <c r="AD147" s="2" t="str">
        <f aca="false">IF(AND(AD$4=$G147,AD$6=$F147),$B147,"")</f>
        <v/>
      </c>
      <c r="AE147" s="2" t="str">
        <f aca="false">IF(AND(AE$4=$G147,AE$6=$F147),$B147,"")</f>
        <v/>
      </c>
      <c r="AF147" s="2" t="str">
        <f aca="false">IF(AND(AF$4=$G147,AF$6=$F147),$B147,"")</f>
        <v/>
      </c>
      <c r="AG147" s="2" t="str">
        <f aca="false">IF(AND(AG$4=$G147,AG$6=$F147),$B147,"")</f>
        <v/>
      </c>
      <c r="AI147" s="366"/>
      <c r="AL147" s="367"/>
      <c r="AO147" s="367"/>
      <c r="AP147" s="2" t="str">
        <f aca="false">IF(AT147&gt;0,RANK(AT147,AT$7:AT$423),"")</f>
        <v/>
      </c>
      <c r="AQ147" s="2" t="n">
        <f aca="false">'O_MN, PE_UTA_UGM 2024'!C143</f>
        <v>172</v>
      </c>
      <c r="AR147" s="1421" t="n">
        <v>1710</v>
      </c>
      <c r="AS147" s="2" t="str">
        <f aca="false">IF(AY147&lt;&gt;"",AY147,"")</f>
        <v/>
      </c>
      <c r="AT147" s="1422" t="n">
        <f aca="false">IF(ISNUMBER($AR147),SUMIF(B$7:B$505,AR147,D$7:D$505),"")</f>
        <v>0</v>
      </c>
      <c r="AU147" s="1411" t="n">
        <f aca="false">IF(ISNUMBER($AR147),SUMIF(AD$7:AD$503,$AR147,J$7:J$503),"")</f>
        <v>0</v>
      </c>
      <c r="AV147" s="1411" t="n">
        <f aca="false">IF(ISNUMBER($AR147),SUMIF(AF$7:AF$503,$AR147,L$7:L$503),"")</f>
        <v>0</v>
      </c>
      <c r="AW147" s="1423" t="n">
        <f aca="false">IF(ISNUMBER($AR147),SUMIF(AE$7:AE$503,$AR147,K$7:K$503),"")</f>
        <v>0</v>
      </c>
      <c r="AX147" s="1423" t="n">
        <f aca="false">IF(ISNUMBER($AR147),SUMIF(AG$7:AG$503,$AR147,M$7:M$503),"")</f>
        <v>0</v>
      </c>
      <c r="AY147" s="2" t="str">
        <f aca="false">IF($AT147&gt;0,VLOOKUP($AR147,'O_MN, PE_UTA_UGM 2024'!E143:O559,2),"")</f>
        <v/>
      </c>
      <c r="AZ147" s="1507"/>
      <c r="BA147" s="1507"/>
      <c r="BB147" s="1507" t="str">
        <f aca="false">IF($AT147&gt;0,VLOOKUP($AR147,'O_MN, PE_UTA_UGM 2024'!$E$3:$O$419,BB$6),"")</f>
        <v/>
      </c>
      <c r="BC147" s="1507" t="str">
        <f aca="false">IF($AT147&gt;0,VLOOKUP($AR147,'O_MN, PE_UTA_UGM 2024'!$E$3:$O$419,BC$6),"")</f>
        <v/>
      </c>
      <c r="BD147" s="1507" t="str">
        <f aca="false">IF($AT147&gt;0,VLOOKUP($AR147,'O_MN, PE_UTA_UGM 2024'!$E$3:$O$419,BD$6),"")</f>
        <v/>
      </c>
      <c r="BE147" s="1507" t="str">
        <f aca="false">IF($AT147&gt;0,VLOOKUP($AR147,'O_MN, PE_UTA_UGM 2024'!$E$3:$O$419,BE$6),"")</f>
        <v/>
      </c>
      <c r="BF147" s="1507" t="str">
        <f aca="false">IF($AT147&gt;0,VLOOKUP($AR147,'O_MN, PE_UTA_UGM 2024'!$E$3:$O$419,BF$6),"")</f>
        <v/>
      </c>
      <c r="BG147" s="1507" t="str">
        <f aca="false">IF($AT147&gt;0,VLOOKUP($AR147,'O_MN, PE_UTA_UGM 2024'!$E$3:$O$419,BG$6),"")</f>
        <v/>
      </c>
      <c r="BH147" s="1504"/>
      <c r="BI147" s="1504"/>
      <c r="BJ147" s="1504"/>
      <c r="BK147" s="1504"/>
      <c r="BM147" s="1411"/>
      <c r="BN147" s="1411"/>
      <c r="BO147" s="1425" t="str">
        <f aca="false">IF(ISNUMBER($AU147*BB147*1),$AU147*BB147*1,"")</f>
        <v/>
      </c>
      <c r="BP147" s="1425" t="str">
        <f aca="false">IF(ISNUMBER($AV147*BC147*1),$AV147*BC147*1,"")</f>
        <v/>
      </c>
      <c r="BQ147" s="1425" t="str">
        <f aca="false">IF(ISNUMBER($AU147*BD147*1),$AU147*BD147*1,"")</f>
        <v/>
      </c>
      <c r="BR147" s="1425" t="str">
        <f aca="false">IF(ISNUMBER($AV147*BE147*1),$AV147*BE147*1,"")</f>
        <v/>
      </c>
      <c r="BS147" s="1411" t="str">
        <f aca="false">IF(ISNUMBER($AU147*BF147),$AU147*BF147,"")</f>
        <v/>
      </c>
      <c r="BT147" s="1411" t="str">
        <f aca="false">IF(ISNUMBER($AV147*BG147),$AV147*BG147,"")</f>
        <v/>
      </c>
      <c r="BU147" s="1411"/>
      <c r="BV147" s="1411"/>
      <c r="BW147" s="1411"/>
      <c r="BX147" s="1411"/>
      <c r="BZ147" s="1372"/>
      <c r="CA147" s="1372"/>
      <c r="CB147" s="1426" t="str">
        <f aca="false">IF(ISNUMBER($AW147*BB147),$AW147*BB147,"")</f>
        <v/>
      </c>
      <c r="CC147" s="1426" t="str">
        <f aca="false">IF(ISNUMBER($AX147*BC147),$AX147*BC147,"")</f>
        <v/>
      </c>
      <c r="CD147" s="1426" t="str">
        <f aca="false">IF(ISNUMBER($AW147*BD147),$AW147*BD147,"")</f>
        <v/>
      </c>
      <c r="CE147" s="1426" t="str">
        <f aca="false">IF(ISNUMBER($AX147*BE147),$AX147*BE147,"")</f>
        <v/>
      </c>
      <c r="CF147" s="1372" t="str">
        <f aca="false">IF(ISNUMBER($AW147*BF147),$AW147*BF147,"")</f>
        <v/>
      </c>
      <c r="CG147" s="1372" t="str">
        <f aca="false">IF(ISNUMBER($AX147*BG147),$AX147*BG147,"")</f>
        <v/>
      </c>
      <c r="CH147" s="1438"/>
      <c r="CI147" s="1438"/>
      <c r="CJ147" s="1438"/>
      <c r="CK147" s="1438"/>
      <c r="CU147" s="1411"/>
      <c r="CV147" s="1411"/>
      <c r="CW147" s="1425"/>
      <c r="CX147" s="1425"/>
      <c r="CY147" s="1425"/>
      <c r="CZ147" s="1425"/>
      <c r="DA147" s="1411"/>
      <c r="DB147" s="1411"/>
      <c r="DC147" s="1411"/>
      <c r="DD147" s="1411"/>
      <c r="DE147" s="1411"/>
      <c r="DF147" s="1411"/>
      <c r="DH147" s="1432"/>
      <c r="DI147" s="1432"/>
      <c r="DJ147" s="1437"/>
      <c r="DK147" s="1437"/>
      <c r="DL147" s="1437"/>
      <c r="DM147" s="1437"/>
      <c r="DN147" s="1432"/>
      <c r="DO147" s="1432"/>
      <c r="DP147" s="1432"/>
      <c r="DQ147" s="1432"/>
      <c r="DR147" s="1432"/>
      <c r="DS147" s="1432"/>
      <c r="DT147" s="1316"/>
      <c r="DU147" s="1433"/>
      <c r="DV147" s="1433"/>
      <c r="DW147" s="1433"/>
      <c r="DX147" s="1433"/>
      <c r="DY147" s="1433"/>
      <c r="DZ147" s="1433"/>
      <c r="EA147" s="1433"/>
      <c r="EB147" s="1433"/>
    </row>
    <row r="148" customFormat="false" ht="14.25" hidden="false" customHeight="false" outlineLevel="0" collapsed="false">
      <c r="A148" s="2" t="n">
        <f aca="false">'V_DATOS PAC_SGA'!CC143</f>
        <v>0</v>
      </c>
      <c r="B148" s="2" t="n">
        <f aca="false">IF(OR(A148=0,A148=""),0,IF(I148="IV",CONCATENATE('V_DATOS PAC_SGA'!CC143,"4")+0,CONCATENATE('V_DATOS PAC_SGA'!CC143,"0")+0))</f>
        <v>0</v>
      </c>
      <c r="C148" s="2" t="n">
        <f aca="false">'V_DATOS PAC_SGA'!CD143</f>
        <v>0</v>
      </c>
      <c r="D148" s="1409" t="n">
        <f aca="false">'V_DATOS PAC_SGA'!Y143</f>
        <v>0</v>
      </c>
      <c r="E148" s="1410" t="str">
        <f aca="false">IF('V_DATOS PAC_SGA'!AV143="","Regadio",'V_DATOS PAC_SGA'!AV143)</f>
        <v>Regadio</v>
      </c>
      <c r="F148" s="1411" t="n">
        <f aca="false">'V_DATOS PAC_SGA'!BK143</f>
        <v>0</v>
      </c>
      <c r="G148" s="1412" t="n">
        <f aca="false">'V_DATOS PAC_SGA'!AN143</f>
        <v>0</v>
      </c>
      <c r="H148" s="1413" t="str">
        <f aca="false">IF(B148&gt;0,VLOOKUP(B148,'O_MN, PE_UTA_UGM 2024'!E$3:O$419,10),"")</f>
        <v/>
      </c>
      <c r="I148" s="1359" t="str">
        <f aca="false">IF('V_DATOS PAC_SGA'!BV143="IV",'V_DATOS PAC_SGA'!BV143,"")</f>
        <v/>
      </c>
      <c r="J148" s="2" t="str">
        <f aca="false">IF($A148&gt;0,IF(AND(J$4=$G148,J$6=$F148),$D148*J$5,""),"")</f>
        <v/>
      </c>
      <c r="K148" s="2" t="str">
        <f aca="false">IF($A148&gt;0,IF(AND(K$4=$G148,K$6=$F148),$D148*K$5,""),"")</f>
        <v/>
      </c>
      <c r="L148" s="2" t="str">
        <f aca="false">IF($A148&gt;0,IF(AND(L$4=$G148,L$6=$F148),$D148*L$5,""),"")</f>
        <v/>
      </c>
      <c r="M148" s="2" t="str">
        <f aca="false">IF($A148&gt;0,IF(AND(M$4=$G148,M$6=$F148),$D148*M$5,""),"")</f>
        <v/>
      </c>
      <c r="N148" s="1506" t="n">
        <f aca="false">VLOOKUP(B148,'O_MN, PE_UTA_UGM 2024'!$E$2:$K$419,IF(G148&gt;1,6,7))</f>
        <v>0</v>
      </c>
      <c r="O148" s="1434" t="str">
        <f aca="false">IF($H148=O$4,$D148*$N148,"")</f>
        <v/>
      </c>
      <c r="P148" s="1435" t="str">
        <f aca="false">IF($H148=P$4,$D148*$N148,"")</f>
        <v/>
      </c>
      <c r="Q148" s="1435" t="str">
        <f aca="false">IF($H148=Q$4,$D148*$N148,"")</f>
        <v/>
      </c>
      <c r="R148" s="1435" t="str">
        <f aca="false">IF($H148=R$4,$D148*$N148,"")</f>
        <v/>
      </c>
      <c r="S148" s="1435" t="str">
        <f aca="false">IF($H148=S$4,$D148*$N148,"")</f>
        <v/>
      </c>
      <c r="T148" s="1435" t="str">
        <f aca="false">IF($H148=T$4,$D148*$N148,"")</f>
        <v/>
      </c>
      <c r="U148" s="1436" t="str">
        <f aca="false">IF($H148=U$4,$D148*$N148,"")</f>
        <v/>
      </c>
      <c r="V148" s="1418"/>
      <c r="W148" s="1419"/>
      <c r="X148" s="1419"/>
      <c r="Y148" s="1419"/>
      <c r="Z148" s="1419"/>
      <c r="AA148" s="1419"/>
      <c r="AB148" s="1420"/>
      <c r="AC148" s="1319"/>
      <c r="AD148" s="2" t="str">
        <f aca="false">IF(AND(AD$4=$G148,AD$6=$F148),$B148,"")</f>
        <v/>
      </c>
      <c r="AE148" s="2" t="str">
        <f aca="false">IF(AND(AE$4=$G148,AE$6=$F148),$B148,"")</f>
        <v/>
      </c>
      <c r="AF148" s="2" t="str">
        <f aca="false">IF(AND(AF$4=$G148,AF$6=$F148),$B148,"")</f>
        <v/>
      </c>
      <c r="AG148" s="2" t="str">
        <f aca="false">IF(AND(AG$4=$G148,AG$6=$F148),$B148,"")</f>
        <v/>
      </c>
      <c r="AI148" s="366"/>
      <c r="AL148" s="367"/>
      <c r="AO148" s="367"/>
      <c r="AP148" s="2" t="str">
        <f aca="false">IF(AT148&gt;0,RANK(AT148,AT$7:AT$423),"")</f>
        <v/>
      </c>
      <c r="AQ148" s="2" t="n">
        <f aca="false">'O_MN, PE_UTA_UGM 2024'!C144</f>
        <v>172</v>
      </c>
      <c r="AR148" s="1421" t="n">
        <v>1714</v>
      </c>
      <c r="AS148" s="2" t="str">
        <f aca="false">IF(AY148&lt;&gt;"",AY148,"")</f>
        <v/>
      </c>
      <c r="AT148" s="1422" t="n">
        <f aca="false">IF(ISNUMBER($AR148),SUMIF(B$7:B$505,AR148,D$7:D$505),"")</f>
        <v>0</v>
      </c>
      <c r="AU148" s="1411" t="n">
        <f aca="false">IF(ISNUMBER($AR148),SUMIF(AD$7:AD$503,$AR148,J$7:J$503),"")</f>
        <v>0</v>
      </c>
      <c r="AV148" s="1411" t="n">
        <f aca="false">IF(ISNUMBER($AR148),SUMIF(AF$7:AF$503,$AR148,L$7:L$503),"")</f>
        <v>0</v>
      </c>
      <c r="AW148" s="1423" t="n">
        <f aca="false">IF(ISNUMBER($AR148),SUMIF(AE$7:AE$503,$AR148,K$7:K$503),"")</f>
        <v>0</v>
      </c>
      <c r="AX148" s="1423" t="n">
        <f aca="false">IF(ISNUMBER($AR148),SUMIF(AG$7:AG$503,$AR148,M$7:M$503),"")</f>
        <v>0</v>
      </c>
      <c r="AY148" s="2" t="str">
        <f aca="false">IF($AT148&gt;0,VLOOKUP($AR148,'O_MN, PE_UTA_UGM 2024'!E144:O560,2),"")</f>
        <v/>
      </c>
      <c r="AZ148" s="1507"/>
      <c r="BA148" s="1507"/>
      <c r="BB148" s="1507" t="str">
        <f aca="false">IF($AT148&gt;0,VLOOKUP($AR148,'O_MN, PE_UTA_UGM 2024'!$E$3:$O$419,BB$6),"")</f>
        <v/>
      </c>
      <c r="BC148" s="1507" t="str">
        <f aca="false">IF($AT148&gt;0,VLOOKUP($AR148,'O_MN, PE_UTA_UGM 2024'!$E$3:$O$419,BC$6),"")</f>
        <v/>
      </c>
      <c r="BD148" s="1507" t="str">
        <f aca="false">IF($AT148&gt;0,VLOOKUP($AR148,'O_MN, PE_UTA_UGM 2024'!$E$3:$O$419,BD$6),"")</f>
        <v/>
      </c>
      <c r="BE148" s="1507" t="str">
        <f aca="false">IF($AT148&gt;0,VLOOKUP($AR148,'O_MN, PE_UTA_UGM 2024'!$E$3:$O$419,BE$6),"")</f>
        <v/>
      </c>
      <c r="BF148" s="1507" t="str">
        <f aca="false">IF($AT148&gt;0,VLOOKUP($AR148,'O_MN, PE_UTA_UGM 2024'!$E$3:$O$419,BF$6),"")</f>
        <v/>
      </c>
      <c r="BG148" s="1507" t="str">
        <f aca="false">IF($AT148&gt;0,VLOOKUP($AR148,'O_MN, PE_UTA_UGM 2024'!$E$3:$O$419,BG$6),"")</f>
        <v/>
      </c>
      <c r="BH148" s="1504"/>
      <c r="BI148" s="1504"/>
      <c r="BJ148" s="1504"/>
      <c r="BK148" s="1504"/>
      <c r="BM148" s="1411"/>
      <c r="BN148" s="1411"/>
      <c r="BO148" s="1425" t="str">
        <f aca="false">IF(ISNUMBER($AU148*BB148*1),$AU148*BB148*1,"")</f>
        <v/>
      </c>
      <c r="BP148" s="1425" t="str">
        <f aca="false">IF(ISNUMBER($AV148*BC148*1),$AV148*BC148*1,"")</f>
        <v/>
      </c>
      <c r="BQ148" s="1425" t="str">
        <f aca="false">IF(ISNUMBER($AU148*BD148*1),$AU148*BD148*1,"")</f>
        <v/>
      </c>
      <c r="BR148" s="1425" t="str">
        <f aca="false">IF(ISNUMBER($AV148*BE148*1),$AV148*BE148*1,"")</f>
        <v/>
      </c>
      <c r="BS148" s="1411" t="str">
        <f aca="false">IF(ISNUMBER($AU148*BF148),$AU148*BF148,"")</f>
        <v/>
      </c>
      <c r="BT148" s="1411" t="str">
        <f aca="false">IF(ISNUMBER($AV148*BG148),$AV148*BG148,"")</f>
        <v/>
      </c>
      <c r="BU148" s="1411"/>
      <c r="BV148" s="1411"/>
      <c r="BW148" s="1411"/>
      <c r="BX148" s="1411"/>
      <c r="BZ148" s="1372"/>
      <c r="CA148" s="1372"/>
      <c r="CB148" s="1426" t="str">
        <f aca="false">IF(ISNUMBER($AW148*BB148),$AW148*BB148,"")</f>
        <v/>
      </c>
      <c r="CC148" s="1426" t="str">
        <f aca="false">IF(ISNUMBER($AX148*BC148),$AX148*BC148,"")</f>
        <v/>
      </c>
      <c r="CD148" s="1426" t="str">
        <f aca="false">IF(ISNUMBER($AW148*BD148),$AW148*BD148,"")</f>
        <v/>
      </c>
      <c r="CE148" s="1426" t="str">
        <f aca="false">IF(ISNUMBER($AX148*BE148),$AX148*BE148,"")</f>
        <v/>
      </c>
      <c r="CF148" s="1372" t="str">
        <f aca="false">IF(ISNUMBER($AW148*BF148),$AW148*BF148,"")</f>
        <v/>
      </c>
      <c r="CG148" s="1372" t="str">
        <f aca="false">IF(ISNUMBER($AX148*BG148),$AX148*BG148,"")</f>
        <v/>
      </c>
      <c r="CH148" s="1438"/>
      <c r="CI148" s="1438"/>
      <c r="CJ148" s="1438"/>
      <c r="CK148" s="1438"/>
      <c r="CU148" s="1411"/>
      <c r="CV148" s="1411"/>
      <c r="CW148" s="1425"/>
      <c r="CX148" s="1425"/>
      <c r="CY148" s="1425"/>
      <c r="CZ148" s="1425"/>
      <c r="DA148" s="1411"/>
      <c r="DB148" s="1411"/>
      <c r="DC148" s="1411"/>
      <c r="DD148" s="1411"/>
      <c r="DE148" s="1411"/>
      <c r="DF148" s="1411"/>
      <c r="DH148" s="1432"/>
      <c r="DI148" s="1432"/>
      <c r="DJ148" s="1437"/>
      <c r="DK148" s="1437"/>
      <c r="DL148" s="1437"/>
      <c r="DM148" s="1437"/>
      <c r="DN148" s="1432"/>
      <c r="DO148" s="1432"/>
      <c r="DP148" s="1432"/>
      <c r="DQ148" s="1432"/>
      <c r="DR148" s="1432"/>
      <c r="DS148" s="1432"/>
      <c r="DT148" s="1316"/>
      <c r="DU148" s="1433"/>
      <c r="DV148" s="1433"/>
      <c r="DW148" s="1433"/>
      <c r="DX148" s="1433"/>
      <c r="DY148" s="1433"/>
      <c r="DZ148" s="1433"/>
      <c r="EA148" s="1433"/>
      <c r="EB148" s="1433"/>
    </row>
    <row r="149" customFormat="false" ht="14.25" hidden="false" customHeight="false" outlineLevel="0" collapsed="false">
      <c r="A149" s="2" t="n">
        <f aca="false">'V_DATOS PAC_SGA'!CC144</f>
        <v>0</v>
      </c>
      <c r="B149" s="2" t="n">
        <f aca="false">IF(OR(A149=0,A149=""),0,IF(I149="IV",CONCATENATE('V_DATOS PAC_SGA'!CC144,"4")+0,CONCATENATE('V_DATOS PAC_SGA'!CC144,"0")+0))</f>
        <v>0</v>
      </c>
      <c r="C149" s="2" t="n">
        <f aca="false">'V_DATOS PAC_SGA'!CD144</f>
        <v>0</v>
      </c>
      <c r="D149" s="1409" t="n">
        <f aca="false">'V_DATOS PAC_SGA'!Y144</f>
        <v>0</v>
      </c>
      <c r="E149" s="1410" t="str">
        <f aca="false">IF('V_DATOS PAC_SGA'!AV144="","Regadio",'V_DATOS PAC_SGA'!AV144)</f>
        <v>Regadio</v>
      </c>
      <c r="F149" s="1411" t="n">
        <f aca="false">'V_DATOS PAC_SGA'!BK144</f>
        <v>0</v>
      </c>
      <c r="G149" s="1412" t="n">
        <f aca="false">'V_DATOS PAC_SGA'!AN144</f>
        <v>0</v>
      </c>
      <c r="H149" s="1413" t="str">
        <f aca="false">IF(B149&gt;0,VLOOKUP(B149,'O_MN, PE_UTA_UGM 2024'!E$3:O$419,10),"")</f>
        <v/>
      </c>
      <c r="I149" s="1359" t="str">
        <f aca="false">IF('V_DATOS PAC_SGA'!BV144="IV",'V_DATOS PAC_SGA'!BV144,"")</f>
        <v/>
      </c>
      <c r="J149" s="2" t="str">
        <f aca="false">IF($A149&gt;0,IF(AND(J$4=$G149,J$6=$F149),$D149*J$5,""),"")</f>
        <v/>
      </c>
      <c r="K149" s="2" t="str">
        <f aca="false">IF($A149&gt;0,IF(AND(K$4=$G149,K$6=$F149),$D149*K$5,""),"")</f>
        <v/>
      </c>
      <c r="L149" s="2" t="str">
        <f aca="false">IF($A149&gt;0,IF(AND(L$4=$G149,L$6=$F149),$D149*L$5,""),"")</f>
        <v/>
      </c>
      <c r="M149" s="2" t="str">
        <f aca="false">IF($A149&gt;0,IF(AND(M$4=$G149,M$6=$F149),$D149*M$5,""),"")</f>
        <v/>
      </c>
      <c r="N149" s="1506" t="n">
        <f aca="false">VLOOKUP(B149,'O_MN, PE_UTA_UGM 2024'!$E$2:$K$419,IF(G149&gt;1,6,7))</f>
        <v>0</v>
      </c>
      <c r="O149" s="1434" t="str">
        <f aca="false">IF($H149=O$4,$D149*$N149,"")</f>
        <v/>
      </c>
      <c r="P149" s="1435" t="str">
        <f aca="false">IF($H149=P$4,$D149*$N149,"")</f>
        <v/>
      </c>
      <c r="Q149" s="1435" t="str">
        <f aca="false">IF($H149=Q$4,$D149*$N149,"")</f>
        <v/>
      </c>
      <c r="R149" s="1435" t="str">
        <f aca="false">IF($H149=R$4,$D149*$N149,"")</f>
        <v/>
      </c>
      <c r="S149" s="1435" t="str">
        <f aca="false">IF($H149=S$4,$D149*$N149,"")</f>
        <v/>
      </c>
      <c r="T149" s="1435" t="str">
        <f aca="false">IF($H149=T$4,$D149*$N149,"")</f>
        <v/>
      </c>
      <c r="U149" s="1436" t="str">
        <f aca="false">IF($H149=U$4,$D149*$N149,"")</f>
        <v/>
      </c>
      <c r="V149" s="1418"/>
      <c r="W149" s="1419"/>
      <c r="X149" s="1419"/>
      <c r="Y149" s="1419"/>
      <c r="Z149" s="1419"/>
      <c r="AA149" s="1419"/>
      <c r="AB149" s="1420"/>
      <c r="AC149" s="1319"/>
      <c r="AD149" s="2" t="str">
        <f aca="false">IF(AND(AD$4=$G149,AD$6=$F149),$B149,"")</f>
        <v/>
      </c>
      <c r="AE149" s="2" t="str">
        <f aca="false">IF(AND(AE$4=$G149,AE$6=$F149),$B149,"")</f>
        <v/>
      </c>
      <c r="AF149" s="2" t="str">
        <f aca="false">IF(AND(AF$4=$G149,AF$6=$F149),$B149,"")</f>
        <v/>
      </c>
      <c r="AG149" s="2" t="str">
        <f aca="false">IF(AND(AG$4=$G149,AG$6=$F149),$B149,"")</f>
        <v/>
      </c>
      <c r="AI149" s="366"/>
      <c r="AL149" s="367"/>
      <c r="AO149" s="367"/>
      <c r="AP149" s="2" t="str">
        <f aca="false">IF(AT149&gt;0,RANK(AT149,AT$7:AT$423),"")</f>
        <v/>
      </c>
      <c r="AQ149" s="2" t="n">
        <f aca="false">'O_MN, PE_UTA_UGM 2024'!C145</f>
        <v>173</v>
      </c>
      <c r="AR149" s="1421" t="n">
        <v>1719</v>
      </c>
      <c r="AS149" s="2" t="str">
        <f aca="false">IF(AY149&lt;&gt;"",AY149,"")</f>
        <v/>
      </c>
      <c r="AT149" s="1422" t="n">
        <f aca="false">IF(ISNUMBER($AR149),SUMIF(B$7:B$505,AR149,D$7:D$505),"")</f>
        <v>0</v>
      </c>
      <c r="AU149" s="1411" t="n">
        <f aca="false">IF(ISNUMBER($AR149),SUMIF(AD$7:AD$503,$AR149,J$7:J$503),"")</f>
        <v>0</v>
      </c>
      <c r="AV149" s="1411" t="n">
        <f aca="false">IF(ISNUMBER($AR149),SUMIF(AF$7:AF$503,$AR149,L$7:L$503),"")</f>
        <v>0</v>
      </c>
      <c r="AW149" s="1423" t="n">
        <f aca="false">IF(ISNUMBER($AR149),SUMIF(AE$7:AE$503,$AR149,K$7:K$503),"")</f>
        <v>0</v>
      </c>
      <c r="AX149" s="1423" t="n">
        <f aca="false">IF(ISNUMBER($AR149),SUMIF(AG$7:AG$503,$AR149,M$7:M$503),"")</f>
        <v>0</v>
      </c>
      <c r="AY149" s="2" t="str">
        <f aca="false">IF($AT149&gt;0,VLOOKUP($AR149,'O_MN, PE_UTA_UGM 2024'!E145:O561,2),"")</f>
        <v/>
      </c>
      <c r="AZ149" s="1507"/>
      <c r="BA149" s="1507"/>
      <c r="BB149" s="1507" t="str">
        <f aca="false">IF($AT149&gt;0,VLOOKUP($AR149,'O_MN, PE_UTA_UGM 2024'!$E$3:$O$419,BB$6),"")</f>
        <v/>
      </c>
      <c r="BC149" s="1507" t="str">
        <f aca="false">IF($AT149&gt;0,VLOOKUP($AR149,'O_MN, PE_UTA_UGM 2024'!$E$3:$O$419,BC$6),"")</f>
        <v/>
      </c>
      <c r="BD149" s="1507" t="str">
        <f aca="false">IF($AT149&gt;0,VLOOKUP($AR149,'O_MN, PE_UTA_UGM 2024'!$E$3:$O$419,BD$6),"")</f>
        <v/>
      </c>
      <c r="BE149" s="1507" t="str">
        <f aca="false">IF($AT149&gt;0,VLOOKUP($AR149,'O_MN, PE_UTA_UGM 2024'!$E$3:$O$419,BE$6),"")</f>
        <v/>
      </c>
      <c r="BF149" s="1507" t="str">
        <f aca="false">IF($AT149&gt;0,VLOOKUP($AR149,'O_MN, PE_UTA_UGM 2024'!$E$3:$O$419,BF$6),"")</f>
        <v/>
      </c>
      <c r="BG149" s="1507" t="str">
        <f aca="false">IF($AT149&gt;0,VLOOKUP($AR149,'O_MN, PE_UTA_UGM 2024'!$E$3:$O$419,BG$6),"")</f>
        <v/>
      </c>
      <c r="BH149" s="1504"/>
      <c r="BI149" s="1504"/>
      <c r="BJ149" s="1504"/>
      <c r="BK149" s="1504"/>
      <c r="BM149" s="1411"/>
      <c r="BN149" s="1411"/>
      <c r="BO149" s="1425" t="str">
        <f aca="false">IF(ISNUMBER($AU149*BB149*1),$AU149*BB149*1,"")</f>
        <v/>
      </c>
      <c r="BP149" s="1425" t="str">
        <f aca="false">IF(ISNUMBER($AV149*BC149*1),$AV149*BC149*1,"")</f>
        <v/>
      </c>
      <c r="BQ149" s="1425" t="str">
        <f aca="false">IF(ISNUMBER($AU149*BD149*1),$AU149*BD149*1,"")</f>
        <v/>
      </c>
      <c r="BR149" s="1425" t="str">
        <f aca="false">IF(ISNUMBER($AV149*BE149*1),$AV149*BE149*1,"")</f>
        <v/>
      </c>
      <c r="BS149" s="1411" t="str">
        <f aca="false">IF(ISNUMBER($AU149*BF149),$AU149*BF149,"")</f>
        <v/>
      </c>
      <c r="BT149" s="1411" t="str">
        <f aca="false">IF(ISNUMBER($AV149*BG149),$AV149*BG149,"")</f>
        <v/>
      </c>
      <c r="BU149" s="1411"/>
      <c r="BV149" s="1411"/>
      <c r="BW149" s="1411"/>
      <c r="BX149" s="1411"/>
      <c r="BZ149" s="1372"/>
      <c r="CA149" s="1372"/>
      <c r="CB149" s="1426" t="str">
        <f aca="false">IF(ISNUMBER($AW149*BB149),$AW149*BB149,"")</f>
        <v/>
      </c>
      <c r="CC149" s="1426" t="str">
        <f aca="false">IF(ISNUMBER($AX149*BC149),$AX149*BC149,"")</f>
        <v/>
      </c>
      <c r="CD149" s="1426" t="str">
        <f aca="false">IF(ISNUMBER($AW149*BD149),$AW149*BD149,"")</f>
        <v/>
      </c>
      <c r="CE149" s="1426" t="str">
        <f aca="false">IF(ISNUMBER($AX149*BE149),$AX149*BE149,"")</f>
        <v/>
      </c>
      <c r="CF149" s="1372" t="str">
        <f aca="false">IF(ISNUMBER($AW149*BF149),$AW149*BF149,"")</f>
        <v/>
      </c>
      <c r="CG149" s="1372" t="str">
        <f aca="false">IF(ISNUMBER($AX149*BG149),$AX149*BG149,"")</f>
        <v/>
      </c>
      <c r="CH149" s="1438"/>
      <c r="CI149" s="1438"/>
      <c r="CJ149" s="1438"/>
      <c r="CK149" s="1438"/>
      <c r="CU149" s="1411"/>
      <c r="CV149" s="1411"/>
      <c r="CW149" s="1425"/>
      <c r="CX149" s="1425"/>
      <c r="CY149" s="1425"/>
      <c r="CZ149" s="1425"/>
      <c r="DA149" s="1411"/>
      <c r="DB149" s="1411"/>
      <c r="DC149" s="1411"/>
      <c r="DD149" s="1411"/>
      <c r="DE149" s="1411"/>
      <c r="DF149" s="1411"/>
      <c r="DH149" s="1432"/>
      <c r="DI149" s="1432"/>
      <c r="DJ149" s="1437"/>
      <c r="DK149" s="1437"/>
      <c r="DL149" s="1437"/>
      <c r="DM149" s="1437"/>
      <c r="DN149" s="1432"/>
      <c r="DO149" s="1432"/>
      <c r="DP149" s="1432"/>
      <c r="DQ149" s="1432"/>
      <c r="DR149" s="1432"/>
      <c r="DS149" s="1432"/>
      <c r="DT149" s="1316"/>
      <c r="DU149" s="1433"/>
      <c r="DV149" s="1433"/>
      <c r="DW149" s="1433"/>
      <c r="DX149" s="1433"/>
      <c r="DY149" s="1433"/>
      <c r="DZ149" s="1433"/>
      <c r="EA149" s="1433"/>
      <c r="EB149" s="1433"/>
    </row>
    <row r="150" customFormat="false" ht="14.25" hidden="false" customHeight="false" outlineLevel="0" collapsed="false">
      <c r="A150" s="2" t="n">
        <f aca="false">'V_DATOS PAC_SGA'!CC145</f>
        <v>0</v>
      </c>
      <c r="B150" s="2" t="n">
        <f aca="false">IF(OR(A150=0,A150=""),0,IF(I150="IV",CONCATENATE('V_DATOS PAC_SGA'!CC145,"4")+0,CONCATENATE('V_DATOS PAC_SGA'!CC145,"0")+0))</f>
        <v>0</v>
      </c>
      <c r="C150" s="2" t="n">
        <f aca="false">'V_DATOS PAC_SGA'!CD145</f>
        <v>0</v>
      </c>
      <c r="D150" s="1409" t="n">
        <f aca="false">'V_DATOS PAC_SGA'!Y145</f>
        <v>0</v>
      </c>
      <c r="E150" s="1410" t="str">
        <f aca="false">IF('V_DATOS PAC_SGA'!AV145="","Regadio",'V_DATOS PAC_SGA'!AV145)</f>
        <v>Regadio</v>
      </c>
      <c r="F150" s="1411" t="n">
        <f aca="false">'V_DATOS PAC_SGA'!BK145</f>
        <v>0</v>
      </c>
      <c r="G150" s="1412" t="n">
        <f aca="false">'V_DATOS PAC_SGA'!AN145</f>
        <v>0</v>
      </c>
      <c r="H150" s="1413" t="str">
        <f aca="false">IF(B150&gt;0,VLOOKUP(B150,'O_MN, PE_UTA_UGM 2024'!E$3:O$419,10),"")</f>
        <v/>
      </c>
      <c r="I150" s="1359" t="str">
        <f aca="false">IF('V_DATOS PAC_SGA'!BV145="IV",'V_DATOS PAC_SGA'!BV145,"")</f>
        <v/>
      </c>
      <c r="J150" s="2" t="str">
        <f aca="false">IF($A150&gt;0,IF(AND(J$4=$G150,J$6=$F150),$D150*J$5,""),"")</f>
        <v/>
      </c>
      <c r="K150" s="2" t="str">
        <f aca="false">IF($A150&gt;0,IF(AND(K$4=$G150,K$6=$F150),$D150*K$5,""),"")</f>
        <v/>
      </c>
      <c r="L150" s="2" t="str">
        <f aca="false">IF($A150&gt;0,IF(AND(L$4=$G150,L$6=$F150),$D150*L$5,""),"")</f>
        <v/>
      </c>
      <c r="M150" s="2" t="str">
        <f aca="false">IF($A150&gt;0,IF(AND(M$4=$G150,M$6=$F150),$D150*M$5,""),"")</f>
        <v/>
      </c>
      <c r="N150" s="1506" t="n">
        <f aca="false">VLOOKUP(B150,'O_MN, PE_UTA_UGM 2024'!$E$2:$K$419,IF(G150&gt;1,6,7))</f>
        <v>0</v>
      </c>
      <c r="O150" s="1434" t="str">
        <f aca="false">IF($H150=O$4,$D150*$N150,"")</f>
        <v/>
      </c>
      <c r="P150" s="1435" t="str">
        <f aca="false">IF($H150=P$4,$D150*$N150,"")</f>
        <v/>
      </c>
      <c r="Q150" s="1435" t="str">
        <f aca="false">IF($H150=Q$4,$D150*$N150,"")</f>
        <v/>
      </c>
      <c r="R150" s="1435" t="str">
        <f aca="false">IF($H150=R$4,$D150*$N150,"")</f>
        <v/>
      </c>
      <c r="S150" s="1435" t="str">
        <f aca="false">IF($H150=S$4,$D150*$N150,"")</f>
        <v/>
      </c>
      <c r="T150" s="1435" t="str">
        <f aca="false">IF($H150=T$4,$D150*$N150,"")</f>
        <v/>
      </c>
      <c r="U150" s="1436" t="str">
        <f aca="false">IF($H150=U$4,$D150*$N150,"")</f>
        <v/>
      </c>
      <c r="V150" s="1418"/>
      <c r="W150" s="1419"/>
      <c r="X150" s="1419"/>
      <c r="Y150" s="1419"/>
      <c r="Z150" s="1419"/>
      <c r="AA150" s="1419"/>
      <c r="AB150" s="1420"/>
      <c r="AC150" s="1319"/>
      <c r="AD150" s="2" t="str">
        <f aca="false">IF(AND(AD$4=$G150,AD$6=$F150),$B150,"")</f>
        <v/>
      </c>
      <c r="AE150" s="2" t="str">
        <f aca="false">IF(AND(AE$4=$G150,AE$6=$F150),$B150,"")</f>
        <v/>
      </c>
      <c r="AF150" s="2" t="str">
        <f aca="false">IF(AND(AF$4=$G150,AF$6=$F150),$B150,"")</f>
        <v/>
      </c>
      <c r="AG150" s="2" t="str">
        <f aca="false">IF(AND(AG$4=$G150,AG$6=$F150),$B150,"")</f>
        <v/>
      </c>
      <c r="AI150" s="366"/>
      <c r="AL150" s="367"/>
      <c r="AO150" s="367"/>
      <c r="AP150" s="2" t="str">
        <f aca="false">IF(AT150&gt;0,RANK(AT150,AT$7:AT$423),"")</f>
        <v/>
      </c>
      <c r="AQ150" s="2" t="n">
        <f aca="false">'O_MN, PE_UTA_UGM 2024'!C146</f>
        <v>173</v>
      </c>
      <c r="AR150" s="1421" t="n">
        <v>1720</v>
      </c>
      <c r="AS150" s="2" t="str">
        <f aca="false">IF(AY150&lt;&gt;"",AY150,"")</f>
        <v/>
      </c>
      <c r="AT150" s="1422" t="n">
        <f aca="false">IF(ISNUMBER($AR150),SUMIF(B$7:B$505,AR150,D$7:D$505),"")</f>
        <v>0</v>
      </c>
      <c r="AU150" s="1411" t="n">
        <f aca="false">IF(ISNUMBER($AR150),SUMIF(AD$7:AD$503,$AR150,J$7:J$503),"")</f>
        <v>0</v>
      </c>
      <c r="AV150" s="1411" t="n">
        <f aca="false">IF(ISNUMBER($AR150),SUMIF(AF$7:AF$503,$AR150,L$7:L$503),"")</f>
        <v>0</v>
      </c>
      <c r="AW150" s="1423" t="n">
        <f aca="false">IF(ISNUMBER($AR150),SUMIF(AE$7:AE$503,$AR150,K$7:K$503),"")</f>
        <v>0</v>
      </c>
      <c r="AX150" s="1423" t="n">
        <f aca="false">IF(ISNUMBER($AR150),SUMIF(AG$7:AG$503,$AR150,M$7:M$503),"")</f>
        <v>0</v>
      </c>
      <c r="AY150" s="2" t="str">
        <f aca="false">IF($AT150&gt;0,VLOOKUP($AR150,'O_MN, PE_UTA_UGM 2024'!E146:O562,2),"")</f>
        <v/>
      </c>
      <c r="AZ150" s="1507"/>
      <c r="BA150" s="1507"/>
      <c r="BB150" s="1507" t="str">
        <f aca="false">IF($AT150&gt;0,VLOOKUP($AR150,'O_MN, PE_UTA_UGM 2024'!$E$3:$O$419,BB$6),"")</f>
        <v/>
      </c>
      <c r="BC150" s="1507" t="str">
        <f aca="false">IF($AT150&gt;0,VLOOKUP($AR150,'O_MN, PE_UTA_UGM 2024'!$E$3:$O$419,BC$6),"")</f>
        <v/>
      </c>
      <c r="BD150" s="1507" t="str">
        <f aca="false">IF($AT150&gt;0,VLOOKUP($AR150,'O_MN, PE_UTA_UGM 2024'!$E$3:$O$419,BD$6),"")</f>
        <v/>
      </c>
      <c r="BE150" s="1507" t="str">
        <f aca="false">IF($AT150&gt;0,VLOOKUP($AR150,'O_MN, PE_UTA_UGM 2024'!$E$3:$O$419,BE$6),"")</f>
        <v/>
      </c>
      <c r="BF150" s="1507" t="str">
        <f aca="false">IF($AT150&gt;0,VLOOKUP($AR150,'O_MN, PE_UTA_UGM 2024'!$E$3:$O$419,BF$6),"")</f>
        <v/>
      </c>
      <c r="BG150" s="1507" t="str">
        <f aca="false">IF($AT150&gt;0,VLOOKUP($AR150,'O_MN, PE_UTA_UGM 2024'!$E$3:$O$419,BG$6),"")</f>
        <v/>
      </c>
      <c r="BH150" s="1504"/>
      <c r="BI150" s="1504"/>
      <c r="BJ150" s="1504"/>
      <c r="BK150" s="1504"/>
      <c r="BM150" s="1411"/>
      <c r="BN150" s="1411"/>
      <c r="BO150" s="1425" t="str">
        <f aca="false">IF(ISNUMBER($AU150*BB150*1),$AU150*BB150*1,"")</f>
        <v/>
      </c>
      <c r="BP150" s="1425" t="str">
        <f aca="false">IF(ISNUMBER($AV150*BC150*1),$AV150*BC150*1,"")</f>
        <v/>
      </c>
      <c r="BQ150" s="1425" t="str">
        <f aca="false">IF(ISNUMBER($AU150*BD150*1),$AU150*BD150*1,"")</f>
        <v/>
      </c>
      <c r="BR150" s="1425" t="str">
        <f aca="false">IF(ISNUMBER($AV150*BE150*1),$AV150*BE150*1,"")</f>
        <v/>
      </c>
      <c r="BS150" s="1411" t="str">
        <f aca="false">IF(ISNUMBER($AU150*BF150),$AU150*BF150,"")</f>
        <v/>
      </c>
      <c r="BT150" s="1411" t="str">
        <f aca="false">IF(ISNUMBER($AV150*BG150),$AV150*BG150,"")</f>
        <v/>
      </c>
      <c r="BU150" s="1411"/>
      <c r="BV150" s="1411"/>
      <c r="BW150" s="1411"/>
      <c r="BX150" s="1411"/>
      <c r="BZ150" s="1372"/>
      <c r="CA150" s="1372"/>
      <c r="CB150" s="1426" t="str">
        <f aca="false">IF(ISNUMBER($AW150*BB150),$AW150*BB150,"")</f>
        <v/>
      </c>
      <c r="CC150" s="1426" t="str">
        <f aca="false">IF(ISNUMBER($AX150*BC150),$AX150*BC150,"")</f>
        <v/>
      </c>
      <c r="CD150" s="1426" t="str">
        <f aca="false">IF(ISNUMBER($AW150*BD150),$AW150*BD150,"")</f>
        <v/>
      </c>
      <c r="CE150" s="1426" t="str">
        <f aca="false">IF(ISNUMBER($AX150*BE150),$AX150*BE150,"")</f>
        <v/>
      </c>
      <c r="CF150" s="1372" t="str">
        <f aca="false">IF(ISNUMBER($AW150*BF150),$AW150*BF150,"")</f>
        <v/>
      </c>
      <c r="CG150" s="1372" t="str">
        <f aca="false">IF(ISNUMBER($AX150*BG150),$AX150*BG150,"")</f>
        <v/>
      </c>
      <c r="CH150" s="1438"/>
      <c r="CI150" s="1438"/>
      <c r="CJ150" s="1438"/>
      <c r="CK150" s="1438"/>
      <c r="CU150" s="1411"/>
      <c r="CV150" s="1411"/>
      <c r="CW150" s="1425"/>
      <c r="CX150" s="1425"/>
      <c r="CY150" s="1425"/>
      <c r="CZ150" s="1425"/>
      <c r="DA150" s="1411"/>
      <c r="DB150" s="1411"/>
      <c r="DC150" s="1411"/>
      <c r="DD150" s="1411"/>
      <c r="DE150" s="1411"/>
      <c r="DF150" s="1411"/>
      <c r="DH150" s="1432"/>
      <c r="DI150" s="1432"/>
      <c r="DJ150" s="1437"/>
      <c r="DK150" s="1437"/>
      <c r="DL150" s="1437"/>
      <c r="DM150" s="1437"/>
      <c r="DN150" s="1432"/>
      <c r="DO150" s="1432"/>
      <c r="DP150" s="1432"/>
      <c r="DQ150" s="1432"/>
      <c r="DR150" s="1432"/>
      <c r="DS150" s="1432"/>
      <c r="DT150" s="1316"/>
      <c r="DU150" s="1433"/>
      <c r="DV150" s="1433"/>
      <c r="DW150" s="1433"/>
      <c r="DX150" s="1433"/>
      <c r="DY150" s="1433"/>
      <c r="DZ150" s="1433"/>
      <c r="EA150" s="1433"/>
      <c r="EB150" s="1433"/>
    </row>
    <row r="151" customFormat="false" ht="14.25" hidden="false" customHeight="false" outlineLevel="0" collapsed="false">
      <c r="A151" s="2" t="n">
        <f aca="false">'V_DATOS PAC_SGA'!CC146</f>
        <v>0</v>
      </c>
      <c r="B151" s="2" t="n">
        <f aca="false">IF(OR(A151=0,A151=""),0,IF(I151="IV",CONCATENATE('V_DATOS PAC_SGA'!CC146,"4")+0,CONCATENATE('V_DATOS PAC_SGA'!CC146,"0")+0))</f>
        <v>0</v>
      </c>
      <c r="C151" s="2" t="n">
        <f aca="false">'V_DATOS PAC_SGA'!CD146</f>
        <v>0</v>
      </c>
      <c r="D151" s="1409" t="n">
        <f aca="false">'V_DATOS PAC_SGA'!Y146</f>
        <v>0</v>
      </c>
      <c r="E151" s="1410" t="str">
        <f aca="false">IF('V_DATOS PAC_SGA'!AV146="","Regadio",'V_DATOS PAC_SGA'!AV146)</f>
        <v>Regadio</v>
      </c>
      <c r="F151" s="1411" t="n">
        <f aca="false">'V_DATOS PAC_SGA'!BK146</f>
        <v>0</v>
      </c>
      <c r="G151" s="1412" t="n">
        <f aca="false">'V_DATOS PAC_SGA'!AN146</f>
        <v>0</v>
      </c>
      <c r="H151" s="1413" t="str">
        <f aca="false">IF(B151&gt;0,VLOOKUP(B151,'O_MN, PE_UTA_UGM 2024'!E$3:O$419,10),"")</f>
        <v/>
      </c>
      <c r="I151" s="1359" t="str">
        <f aca="false">IF('V_DATOS PAC_SGA'!BV146="IV",'V_DATOS PAC_SGA'!BV146,"")</f>
        <v/>
      </c>
      <c r="J151" s="2" t="str">
        <f aca="false">IF($A151&gt;0,IF(AND(J$4=$G151,J$6=$F151),$D151*J$5,""),"")</f>
        <v/>
      </c>
      <c r="K151" s="2" t="str">
        <f aca="false">IF($A151&gt;0,IF(AND(K$4=$G151,K$6=$F151),$D151*K$5,""),"")</f>
        <v/>
      </c>
      <c r="L151" s="2" t="str">
        <f aca="false">IF($A151&gt;0,IF(AND(L$4=$G151,L$6=$F151),$D151*L$5,""),"")</f>
        <v/>
      </c>
      <c r="M151" s="2" t="str">
        <f aca="false">IF($A151&gt;0,IF(AND(M$4=$G151,M$6=$F151),$D151*M$5,""),"")</f>
        <v/>
      </c>
      <c r="N151" s="1506" t="n">
        <f aca="false">VLOOKUP(B151,'O_MN, PE_UTA_UGM 2024'!$E$2:$K$419,IF(G151&gt;1,6,7))</f>
        <v>0</v>
      </c>
      <c r="O151" s="1434" t="str">
        <f aca="false">IF($H151=O$4,$D151*$N151,"")</f>
        <v/>
      </c>
      <c r="P151" s="1435" t="str">
        <f aca="false">IF($H151=P$4,$D151*$N151,"")</f>
        <v/>
      </c>
      <c r="Q151" s="1435" t="str">
        <f aca="false">IF($H151=Q$4,$D151*$N151,"")</f>
        <v/>
      </c>
      <c r="R151" s="1435" t="str">
        <f aca="false">IF($H151=R$4,$D151*$N151,"")</f>
        <v/>
      </c>
      <c r="S151" s="1435" t="str">
        <f aca="false">IF($H151=S$4,$D151*$N151,"")</f>
        <v/>
      </c>
      <c r="T151" s="1435" t="str">
        <f aca="false">IF($H151=T$4,$D151*$N151,"")</f>
        <v/>
      </c>
      <c r="U151" s="1436" t="str">
        <f aca="false">IF($H151=U$4,$D151*$N151,"")</f>
        <v/>
      </c>
      <c r="V151" s="1418"/>
      <c r="W151" s="1419"/>
      <c r="X151" s="1419"/>
      <c r="Y151" s="1419"/>
      <c r="Z151" s="1419"/>
      <c r="AA151" s="1419"/>
      <c r="AB151" s="1420"/>
      <c r="AC151" s="1319"/>
      <c r="AD151" s="2" t="str">
        <f aca="false">IF(AND(AD$4=$G151,AD$6=$F151),$B151,"")</f>
        <v/>
      </c>
      <c r="AE151" s="2" t="str">
        <f aca="false">IF(AND(AE$4=$G151,AE$6=$F151),$B151,"")</f>
        <v/>
      </c>
      <c r="AF151" s="2" t="str">
        <f aca="false">IF(AND(AF$4=$G151,AF$6=$F151),$B151,"")</f>
        <v/>
      </c>
      <c r="AG151" s="2" t="str">
        <f aca="false">IF(AND(AG$4=$G151,AG$6=$F151),$B151,"")</f>
        <v/>
      </c>
      <c r="AI151" s="366"/>
      <c r="AL151" s="367"/>
      <c r="AO151" s="367"/>
      <c r="AP151" s="2" t="str">
        <f aca="false">IF(AT151&gt;0,RANK(AT151,AT$7:AT$423),"")</f>
        <v/>
      </c>
      <c r="AQ151" s="2" t="n">
        <f aca="false">'O_MN, PE_UTA_UGM 2024'!C147</f>
        <v>173</v>
      </c>
      <c r="AR151" s="1421" t="n">
        <v>1724</v>
      </c>
      <c r="AS151" s="2" t="str">
        <f aca="false">IF(AY151&lt;&gt;"",AY151,"")</f>
        <v/>
      </c>
      <c r="AT151" s="1422" t="n">
        <f aca="false">IF(ISNUMBER($AR151),SUMIF(B$7:B$505,AR151,D$7:D$505),"")</f>
        <v>0</v>
      </c>
      <c r="AU151" s="1411" t="n">
        <f aca="false">IF(ISNUMBER($AR151),SUMIF(AD$7:AD$503,$AR151,J$7:J$503),"")</f>
        <v>0</v>
      </c>
      <c r="AV151" s="1411" t="n">
        <f aca="false">IF(ISNUMBER($AR151),SUMIF(AF$7:AF$503,$AR151,L$7:L$503),"")</f>
        <v>0</v>
      </c>
      <c r="AW151" s="1423" t="n">
        <f aca="false">IF(ISNUMBER($AR151),SUMIF(AE$7:AE$503,$AR151,K$7:K$503),"")</f>
        <v>0</v>
      </c>
      <c r="AX151" s="1423" t="n">
        <f aca="false">IF(ISNUMBER($AR151),SUMIF(AG$7:AG$503,$AR151,M$7:M$503),"")</f>
        <v>0</v>
      </c>
      <c r="AY151" s="2" t="str">
        <f aca="false">IF($AT151&gt;0,VLOOKUP($AR151,'O_MN, PE_UTA_UGM 2024'!E147:O563,2),"")</f>
        <v/>
      </c>
      <c r="AZ151" s="1507"/>
      <c r="BA151" s="1507"/>
      <c r="BB151" s="1507" t="str">
        <f aca="false">IF($AT151&gt;0,VLOOKUP($AR151,'O_MN, PE_UTA_UGM 2024'!$E$3:$O$419,BB$6),"")</f>
        <v/>
      </c>
      <c r="BC151" s="1507" t="str">
        <f aca="false">IF($AT151&gt;0,VLOOKUP($AR151,'O_MN, PE_UTA_UGM 2024'!$E$3:$O$419,BC$6),"")</f>
        <v/>
      </c>
      <c r="BD151" s="1507" t="str">
        <f aca="false">IF($AT151&gt;0,VLOOKUP($AR151,'O_MN, PE_UTA_UGM 2024'!$E$3:$O$419,BD$6),"")</f>
        <v/>
      </c>
      <c r="BE151" s="1507" t="str">
        <f aca="false">IF($AT151&gt;0,VLOOKUP($AR151,'O_MN, PE_UTA_UGM 2024'!$E$3:$O$419,BE$6),"")</f>
        <v/>
      </c>
      <c r="BF151" s="1507" t="str">
        <f aca="false">IF($AT151&gt;0,VLOOKUP($AR151,'O_MN, PE_UTA_UGM 2024'!$E$3:$O$419,BF$6),"")</f>
        <v/>
      </c>
      <c r="BG151" s="1507" t="str">
        <f aca="false">IF($AT151&gt;0,VLOOKUP($AR151,'O_MN, PE_UTA_UGM 2024'!$E$3:$O$419,BG$6),"")</f>
        <v/>
      </c>
      <c r="BH151" s="1504"/>
      <c r="BI151" s="1504"/>
      <c r="BJ151" s="1504"/>
      <c r="BK151" s="1504"/>
      <c r="BM151" s="1411"/>
      <c r="BN151" s="1411"/>
      <c r="BO151" s="1425" t="str">
        <f aca="false">IF(ISNUMBER($AU151*BB151*1),$AU151*BB151*1,"")</f>
        <v/>
      </c>
      <c r="BP151" s="1425" t="str">
        <f aca="false">IF(ISNUMBER($AV151*BC151*1),$AV151*BC151*1,"")</f>
        <v/>
      </c>
      <c r="BQ151" s="1425" t="str">
        <f aca="false">IF(ISNUMBER($AU151*BD151*1),$AU151*BD151*1,"")</f>
        <v/>
      </c>
      <c r="BR151" s="1425" t="str">
        <f aca="false">IF(ISNUMBER($AV151*BE151*1),$AV151*BE151*1,"")</f>
        <v/>
      </c>
      <c r="BS151" s="1411" t="str">
        <f aca="false">IF(ISNUMBER($AU151*BF151),$AU151*BF151,"")</f>
        <v/>
      </c>
      <c r="BT151" s="1411" t="str">
        <f aca="false">IF(ISNUMBER($AV151*BG151),$AV151*BG151,"")</f>
        <v/>
      </c>
      <c r="BU151" s="1411"/>
      <c r="BV151" s="1411"/>
      <c r="BW151" s="1411"/>
      <c r="BX151" s="1411"/>
      <c r="BZ151" s="1372"/>
      <c r="CA151" s="1372"/>
      <c r="CB151" s="1426" t="str">
        <f aca="false">IF(ISNUMBER($AW151*BB151),$AW151*BB151,"")</f>
        <v/>
      </c>
      <c r="CC151" s="1426" t="str">
        <f aca="false">IF(ISNUMBER($AX151*BC151),$AX151*BC151,"")</f>
        <v/>
      </c>
      <c r="CD151" s="1426" t="str">
        <f aca="false">IF(ISNUMBER($AW151*BD151),$AW151*BD151,"")</f>
        <v/>
      </c>
      <c r="CE151" s="1426" t="str">
        <f aca="false">IF(ISNUMBER($AX151*BE151),$AX151*BE151,"")</f>
        <v/>
      </c>
      <c r="CF151" s="1372" t="str">
        <f aca="false">IF(ISNUMBER($AW151*BF151),$AW151*BF151,"")</f>
        <v/>
      </c>
      <c r="CG151" s="1372" t="str">
        <f aca="false">IF(ISNUMBER($AX151*BG151),$AX151*BG151,"")</f>
        <v/>
      </c>
      <c r="CH151" s="1438"/>
      <c r="CI151" s="1438"/>
      <c r="CJ151" s="1438"/>
      <c r="CK151" s="1438"/>
      <c r="CU151" s="1411"/>
      <c r="CV151" s="1411"/>
      <c r="CW151" s="1425"/>
      <c r="CX151" s="1425"/>
      <c r="CY151" s="1425"/>
      <c r="CZ151" s="1425"/>
      <c r="DA151" s="1411"/>
      <c r="DB151" s="1411"/>
      <c r="DC151" s="1411"/>
      <c r="DD151" s="1411"/>
      <c r="DE151" s="1411"/>
      <c r="DF151" s="1411"/>
      <c r="DH151" s="1432"/>
      <c r="DI151" s="1432"/>
      <c r="DJ151" s="1437"/>
      <c r="DK151" s="1437"/>
      <c r="DL151" s="1437"/>
      <c r="DM151" s="1437"/>
      <c r="DN151" s="1432"/>
      <c r="DO151" s="1432"/>
      <c r="DP151" s="1432"/>
      <c r="DQ151" s="1432"/>
      <c r="DR151" s="1432"/>
      <c r="DS151" s="1432"/>
      <c r="DT151" s="1316"/>
      <c r="DU151" s="1433"/>
      <c r="DV151" s="1433"/>
      <c r="DW151" s="1433"/>
      <c r="DX151" s="1433"/>
      <c r="DY151" s="1433"/>
      <c r="DZ151" s="1433"/>
      <c r="EA151" s="1433"/>
      <c r="EB151" s="1433"/>
    </row>
    <row r="152" customFormat="false" ht="14.25" hidden="false" customHeight="false" outlineLevel="0" collapsed="false">
      <c r="A152" s="2" t="n">
        <f aca="false">'V_DATOS PAC_SGA'!CC147</f>
        <v>0</v>
      </c>
      <c r="B152" s="2" t="n">
        <f aca="false">IF(OR(A152=0,A152=""),0,IF(I152="IV",CONCATENATE('V_DATOS PAC_SGA'!CC147,"4")+0,CONCATENATE('V_DATOS PAC_SGA'!CC147,"0")+0))</f>
        <v>0</v>
      </c>
      <c r="C152" s="2" t="n">
        <f aca="false">'V_DATOS PAC_SGA'!CD147</f>
        <v>0</v>
      </c>
      <c r="D152" s="1409" t="n">
        <f aca="false">'V_DATOS PAC_SGA'!Y147</f>
        <v>0</v>
      </c>
      <c r="E152" s="1410" t="str">
        <f aca="false">IF('V_DATOS PAC_SGA'!AV147="","Regadio",'V_DATOS PAC_SGA'!AV147)</f>
        <v>Regadio</v>
      </c>
      <c r="F152" s="1411" t="n">
        <f aca="false">'V_DATOS PAC_SGA'!BK147</f>
        <v>0</v>
      </c>
      <c r="G152" s="1412" t="n">
        <f aca="false">'V_DATOS PAC_SGA'!AN147</f>
        <v>0</v>
      </c>
      <c r="H152" s="1413" t="str">
        <f aca="false">IF(B152&gt;0,VLOOKUP(B152,'O_MN, PE_UTA_UGM 2024'!E$3:O$419,10),"")</f>
        <v/>
      </c>
      <c r="I152" s="1359" t="str">
        <f aca="false">IF('V_DATOS PAC_SGA'!BV147="IV",'V_DATOS PAC_SGA'!BV147,"")</f>
        <v/>
      </c>
      <c r="J152" s="2" t="str">
        <f aca="false">IF($A152&gt;0,IF(AND(J$4=$G152,J$6=$F152),$D152*J$5,""),"")</f>
        <v/>
      </c>
      <c r="K152" s="2" t="str">
        <f aca="false">IF($A152&gt;0,IF(AND(K$4=$G152,K$6=$F152),$D152*K$5,""),"")</f>
        <v/>
      </c>
      <c r="L152" s="2" t="str">
        <f aca="false">IF($A152&gt;0,IF(AND(L$4=$G152,L$6=$F152),$D152*L$5,""),"")</f>
        <v/>
      </c>
      <c r="M152" s="2" t="str">
        <f aca="false">IF($A152&gt;0,IF(AND(M$4=$G152,M$6=$F152),$D152*M$5,""),"")</f>
        <v/>
      </c>
      <c r="N152" s="1506" t="n">
        <f aca="false">VLOOKUP(B152,'O_MN, PE_UTA_UGM 2024'!$E$2:$K$419,IF(G152&gt;1,6,7))</f>
        <v>0</v>
      </c>
      <c r="O152" s="1434" t="str">
        <f aca="false">IF($H152=O$4,$D152*$N152,"")</f>
        <v/>
      </c>
      <c r="P152" s="1435" t="str">
        <f aca="false">IF($H152=P$4,$D152*$N152,"")</f>
        <v/>
      </c>
      <c r="Q152" s="1435" t="str">
        <f aca="false">IF($H152=Q$4,$D152*$N152,"")</f>
        <v/>
      </c>
      <c r="R152" s="1435" t="str">
        <f aca="false">IF($H152=R$4,$D152*$N152,"")</f>
        <v/>
      </c>
      <c r="S152" s="1435" t="str">
        <f aca="false">IF($H152=S$4,$D152*$N152,"")</f>
        <v/>
      </c>
      <c r="T152" s="1435" t="str">
        <f aca="false">IF($H152=T$4,$D152*$N152,"")</f>
        <v/>
      </c>
      <c r="U152" s="1436" t="str">
        <f aca="false">IF($H152=U$4,$D152*$N152,"")</f>
        <v/>
      </c>
      <c r="V152" s="1418"/>
      <c r="W152" s="1419"/>
      <c r="X152" s="1419"/>
      <c r="Y152" s="1419"/>
      <c r="Z152" s="1419"/>
      <c r="AA152" s="1419"/>
      <c r="AB152" s="1420"/>
      <c r="AC152" s="1319"/>
      <c r="AD152" s="2" t="str">
        <f aca="false">IF(AND(AD$4=$G152,AD$6=$F152),$B152,"")</f>
        <v/>
      </c>
      <c r="AE152" s="2" t="str">
        <f aca="false">IF(AND(AE$4=$G152,AE$6=$F152),$B152,"")</f>
        <v/>
      </c>
      <c r="AF152" s="2" t="str">
        <f aca="false">IF(AND(AF$4=$G152,AF$6=$F152),$B152,"")</f>
        <v/>
      </c>
      <c r="AG152" s="2" t="str">
        <f aca="false">IF(AND(AG$4=$G152,AG$6=$F152),$B152,"")</f>
        <v/>
      </c>
      <c r="AI152" s="366"/>
      <c r="AL152" s="367"/>
      <c r="AO152" s="367"/>
      <c r="AP152" s="2" t="str">
        <f aca="false">IF(AT152&gt;0,RANK(AT152,AT$7:AT$423),"")</f>
        <v/>
      </c>
      <c r="AQ152" s="2" t="n">
        <f aca="false">'O_MN, PE_UTA_UGM 2024'!C148</f>
        <v>174</v>
      </c>
      <c r="AR152" s="1421" t="n">
        <v>1729</v>
      </c>
      <c r="AS152" s="2" t="str">
        <f aca="false">IF(AY152&lt;&gt;"",AY152,"")</f>
        <v/>
      </c>
      <c r="AT152" s="1422" t="n">
        <f aca="false">IF(ISNUMBER($AR152),SUMIF(B$7:B$505,AR152,D$7:D$505),"")</f>
        <v>0</v>
      </c>
      <c r="AU152" s="1411" t="n">
        <f aca="false">IF(ISNUMBER($AR152),SUMIF(AD$7:AD$503,$AR152,J$7:J$503),"")</f>
        <v>0</v>
      </c>
      <c r="AV152" s="1411" t="n">
        <f aca="false">IF(ISNUMBER($AR152),SUMIF(AF$7:AF$503,$AR152,L$7:L$503),"")</f>
        <v>0</v>
      </c>
      <c r="AW152" s="1423" t="n">
        <f aca="false">IF(ISNUMBER($AR152),SUMIF(AE$7:AE$503,$AR152,K$7:K$503),"")</f>
        <v>0</v>
      </c>
      <c r="AX152" s="1423" t="n">
        <f aca="false">IF(ISNUMBER($AR152),SUMIF(AG$7:AG$503,$AR152,M$7:M$503),"")</f>
        <v>0</v>
      </c>
      <c r="AY152" s="2" t="str">
        <f aca="false">IF($AT152&gt;0,VLOOKUP($AR152,'O_MN, PE_UTA_UGM 2024'!E148:O564,2),"")</f>
        <v/>
      </c>
      <c r="AZ152" s="1507"/>
      <c r="BA152" s="1507"/>
      <c r="BB152" s="1507" t="str">
        <f aca="false">IF($AT152&gt;0,VLOOKUP($AR152,'O_MN, PE_UTA_UGM 2024'!$E$3:$O$419,BB$6),"")</f>
        <v/>
      </c>
      <c r="BC152" s="1507" t="str">
        <f aca="false">IF($AT152&gt;0,VLOOKUP($AR152,'O_MN, PE_UTA_UGM 2024'!$E$3:$O$419,BC$6),"")</f>
        <v/>
      </c>
      <c r="BD152" s="1507" t="str">
        <f aca="false">IF($AT152&gt;0,VLOOKUP($AR152,'O_MN, PE_UTA_UGM 2024'!$E$3:$O$419,BD$6),"")</f>
        <v/>
      </c>
      <c r="BE152" s="1507" t="str">
        <f aca="false">IF($AT152&gt;0,VLOOKUP($AR152,'O_MN, PE_UTA_UGM 2024'!$E$3:$O$419,BE$6),"")</f>
        <v/>
      </c>
      <c r="BF152" s="1507" t="str">
        <f aca="false">IF($AT152&gt;0,VLOOKUP($AR152,'O_MN, PE_UTA_UGM 2024'!$E$3:$O$419,BF$6),"")</f>
        <v/>
      </c>
      <c r="BG152" s="1507" t="str">
        <f aca="false">IF($AT152&gt;0,VLOOKUP($AR152,'O_MN, PE_UTA_UGM 2024'!$E$3:$O$419,BG$6),"")</f>
        <v/>
      </c>
      <c r="BH152" s="1504"/>
      <c r="BI152" s="1504"/>
      <c r="BJ152" s="1504"/>
      <c r="BK152" s="1504"/>
      <c r="BM152" s="1411"/>
      <c r="BN152" s="1411"/>
      <c r="BO152" s="1425" t="str">
        <f aca="false">IF(ISNUMBER($AU152*BB152*1),$AU152*BB152*1,"")</f>
        <v/>
      </c>
      <c r="BP152" s="1425" t="str">
        <f aca="false">IF(ISNUMBER($AV152*BC152*1),$AV152*BC152*1,"")</f>
        <v/>
      </c>
      <c r="BQ152" s="1425" t="str">
        <f aca="false">IF(ISNUMBER($AU152*BD152*1),$AU152*BD152*1,"")</f>
        <v/>
      </c>
      <c r="BR152" s="1425" t="str">
        <f aca="false">IF(ISNUMBER($AV152*BE152*1),$AV152*BE152*1,"")</f>
        <v/>
      </c>
      <c r="BS152" s="1411" t="str">
        <f aca="false">IF(ISNUMBER($AU152*BF152),$AU152*BF152,"")</f>
        <v/>
      </c>
      <c r="BT152" s="1411" t="str">
        <f aca="false">IF(ISNUMBER($AV152*BG152),$AV152*BG152,"")</f>
        <v/>
      </c>
      <c r="BU152" s="1411"/>
      <c r="BV152" s="1411"/>
      <c r="BW152" s="1411"/>
      <c r="BX152" s="1411"/>
      <c r="BZ152" s="1372"/>
      <c r="CA152" s="1372"/>
      <c r="CB152" s="1426" t="str">
        <f aca="false">IF(ISNUMBER($AW152*BB152),$AW152*BB152,"")</f>
        <v/>
      </c>
      <c r="CC152" s="1426" t="str">
        <f aca="false">IF(ISNUMBER($AX152*BC152),$AX152*BC152,"")</f>
        <v/>
      </c>
      <c r="CD152" s="1426" t="str">
        <f aca="false">IF(ISNUMBER($AW152*BD152),$AW152*BD152,"")</f>
        <v/>
      </c>
      <c r="CE152" s="1426" t="str">
        <f aca="false">IF(ISNUMBER($AX152*BE152),$AX152*BE152,"")</f>
        <v/>
      </c>
      <c r="CF152" s="1372" t="str">
        <f aca="false">IF(ISNUMBER($AW152*BF152),$AW152*BF152,"")</f>
        <v/>
      </c>
      <c r="CG152" s="1372" t="str">
        <f aca="false">IF(ISNUMBER($AX152*BG152),$AX152*BG152,"")</f>
        <v/>
      </c>
      <c r="CH152" s="1438"/>
      <c r="CI152" s="1438"/>
      <c r="CJ152" s="1438"/>
      <c r="CK152" s="1438"/>
      <c r="CU152" s="1411"/>
      <c r="CV152" s="1411"/>
      <c r="CW152" s="1425"/>
      <c r="CX152" s="1425"/>
      <c r="CY152" s="1425"/>
      <c r="CZ152" s="1425"/>
      <c r="DA152" s="1411"/>
      <c r="DB152" s="1411"/>
      <c r="DC152" s="1411"/>
      <c r="DD152" s="1411"/>
      <c r="DE152" s="1411"/>
      <c r="DF152" s="1411"/>
      <c r="DH152" s="1432"/>
      <c r="DI152" s="1432"/>
      <c r="DJ152" s="1437"/>
      <c r="DK152" s="1437"/>
      <c r="DL152" s="1437"/>
      <c r="DM152" s="1437"/>
      <c r="DN152" s="1432"/>
      <c r="DO152" s="1432"/>
      <c r="DP152" s="1432"/>
      <c r="DQ152" s="1432"/>
      <c r="DR152" s="1432"/>
      <c r="DS152" s="1432"/>
      <c r="DT152" s="1316"/>
      <c r="DU152" s="1433"/>
      <c r="DV152" s="1433"/>
      <c r="DW152" s="1433"/>
      <c r="DX152" s="1433"/>
      <c r="DY152" s="1433"/>
      <c r="DZ152" s="1433"/>
      <c r="EA152" s="1433"/>
      <c r="EB152" s="1433"/>
    </row>
    <row r="153" customFormat="false" ht="14.25" hidden="false" customHeight="false" outlineLevel="0" collapsed="false">
      <c r="A153" s="2" t="n">
        <f aca="false">'V_DATOS PAC_SGA'!CC148</f>
        <v>0</v>
      </c>
      <c r="B153" s="2" t="n">
        <f aca="false">IF(OR(A153=0,A153=""),0,IF(I153="IV",CONCATENATE('V_DATOS PAC_SGA'!CC148,"4")+0,CONCATENATE('V_DATOS PAC_SGA'!CC148,"0")+0))</f>
        <v>0</v>
      </c>
      <c r="C153" s="2" t="n">
        <f aca="false">'V_DATOS PAC_SGA'!CD148</f>
        <v>0</v>
      </c>
      <c r="D153" s="1409" t="n">
        <f aca="false">'V_DATOS PAC_SGA'!Y148</f>
        <v>0</v>
      </c>
      <c r="E153" s="1410" t="str">
        <f aca="false">IF('V_DATOS PAC_SGA'!AV148="","Regadio",'V_DATOS PAC_SGA'!AV148)</f>
        <v>Regadio</v>
      </c>
      <c r="F153" s="1411" t="n">
        <f aca="false">'V_DATOS PAC_SGA'!BK148</f>
        <v>0</v>
      </c>
      <c r="G153" s="1412" t="n">
        <f aca="false">'V_DATOS PAC_SGA'!AN148</f>
        <v>0</v>
      </c>
      <c r="H153" s="1413" t="str">
        <f aca="false">IF(B153&gt;0,VLOOKUP(B153,'O_MN, PE_UTA_UGM 2024'!E$3:O$419,10),"")</f>
        <v/>
      </c>
      <c r="I153" s="1359" t="str">
        <f aca="false">IF('V_DATOS PAC_SGA'!BV148="IV",'V_DATOS PAC_SGA'!BV148,"")</f>
        <v/>
      </c>
      <c r="J153" s="2" t="str">
        <f aca="false">IF($A153&gt;0,IF(AND(J$4=$G153,J$6=$F153),$D153*J$5,""),"")</f>
        <v/>
      </c>
      <c r="K153" s="2" t="str">
        <f aca="false">IF($A153&gt;0,IF(AND(K$4=$G153,K$6=$F153),$D153*K$5,""),"")</f>
        <v/>
      </c>
      <c r="L153" s="2" t="str">
        <f aca="false">IF($A153&gt;0,IF(AND(L$4=$G153,L$6=$F153),$D153*L$5,""),"")</f>
        <v/>
      </c>
      <c r="M153" s="2" t="str">
        <f aca="false">IF($A153&gt;0,IF(AND(M$4=$G153,M$6=$F153),$D153*M$5,""),"")</f>
        <v/>
      </c>
      <c r="N153" s="1506" t="n">
        <f aca="false">VLOOKUP(B153,'O_MN, PE_UTA_UGM 2024'!$E$2:$K$419,IF(G153&gt;1,6,7))</f>
        <v>0</v>
      </c>
      <c r="O153" s="1434" t="str">
        <f aca="false">IF($H153=O$4,$D153*$N153,"")</f>
        <v/>
      </c>
      <c r="P153" s="1435" t="str">
        <f aca="false">IF($H153=P$4,$D153*$N153,"")</f>
        <v/>
      </c>
      <c r="Q153" s="1435" t="str">
        <f aca="false">IF($H153=Q$4,$D153*$N153,"")</f>
        <v/>
      </c>
      <c r="R153" s="1435" t="str">
        <f aca="false">IF($H153=R$4,$D153*$N153,"")</f>
        <v/>
      </c>
      <c r="S153" s="1435" t="str">
        <f aca="false">IF($H153=S$4,$D153*$N153,"")</f>
        <v/>
      </c>
      <c r="T153" s="1435" t="str">
        <f aca="false">IF($H153=T$4,$D153*$N153,"")</f>
        <v/>
      </c>
      <c r="U153" s="1436" t="str">
        <f aca="false">IF($H153=U$4,$D153*$N153,"")</f>
        <v/>
      </c>
      <c r="V153" s="1418"/>
      <c r="W153" s="1419"/>
      <c r="X153" s="1419"/>
      <c r="Y153" s="1419"/>
      <c r="Z153" s="1419"/>
      <c r="AA153" s="1419"/>
      <c r="AB153" s="1420"/>
      <c r="AC153" s="1319"/>
      <c r="AD153" s="2" t="str">
        <f aca="false">IF(AND(AD$4=$G153,AD$6=$F153),$B153,"")</f>
        <v/>
      </c>
      <c r="AE153" s="2" t="str">
        <f aca="false">IF(AND(AE$4=$G153,AE$6=$F153),$B153,"")</f>
        <v/>
      </c>
      <c r="AF153" s="2" t="str">
        <f aca="false">IF(AND(AF$4=$G153,AF$6=$F153),$B153,"")</f>
        <v/>
      </c>
      <c r="AG153" s="2" t="str">
        <f aca="false">IF(AND(AG$4=$G153,AG$6=$F153),$B153,"")</f>
        <v/>
      </c>
      <c r="AI153" s="366"/>
      <c r="AL153" s="367"/>
      <c r="AO153" s="367"/>
      <c r="AP153" s="2" t="str">
        <f aca="false">IF(AT153&gt;0,RANK(AT153,AT$7:AT$423),"")</f>
        <v/>
      </c>
      <c r="AQ153" s="2" t="n">
        <f aca="false">'O_MN, PE_UTA_UGM 2024'!C149</f>
        <v>174</v>
      </c>
      <c r="AR153" s="1421" t="n">
        <v>1730</v>
      </c>
      <c r="AS153" s="2" t="str">
        <f aca="false">IF(AY153&lt;&gt;"",AY153,"")</f>
        <v/>
      </c>
      <c r="AT153" s="1422" t="n">
        <f aca="false">IF(ISNUMBER($AR153),SUMIF(B$7:B$505,AR153,D$7:D$505),"")</f>
        <v>0</v>
      </c>
      <c r="AU153" s="1411" t="n">
        <f aca="false">IF(ISNUMBER($AR153),SUMIF(AD$7:AD$503,$AR153,J$7:J$503),"")</f>
        <v>0</v>
      </c>
      <c r="AV153" s="1411" t="n">
        <f aca="false">IF(ISNUMBER($AR153),SUMIF(AF$7:AF$503,$AR153,L$7:L$503),"")</f>
        <v>0</v>
      </c>
      <c r="AW153" s="1423" t="n">
        <f aca="false">IF(ISNUMBER($AR153),SUMIF(AE$7:AE$503,$AR153,K$7:K$503),"")</f>
        <v>0</v>
      </c>
      <c r="AX153" s="1423" t="n">
        <f aca="false">IF(ISNUMBER($AR153),SUMIF(AG$7:AG$503,$AR153,M$7:M$503),"")</f>
        <v>0</v>
      </c>
      <c r="AY153" s="2" t="str">
        <f aca="false">IF($AT153&gt;0,VLOOKUP($AR153,'O_MN, PE_UTA_UGM 2024'!E149:O565,2),"")</f>
        <v/>
      </c>
      <c r="AZ153" s="1507"/>
      <c r="BA153" s="1507"/>
      <c r="BB153" s="1507" t="str">
        <f aca="false">IF($AT153&gt;0,VLOOKUP($AR153,'O_MN, PE_UTA_UGM 2024'!$E$3:$O$419,BB$6),"")</f>
        <v/>
      </c>
      <c r="BC153" s="1507" t="str">
        <f aca="false">IF($AT153&gt;0,VLOOKUP($AR153,'O_MN, PE_UTA_UGM 2024'!$E$3:$O$419,BC$6),"")</f>
        <v/>
      </c>
      <c r="BD153" s="1507" t="str">
        <f aca="false">IF($AT153&gt;0,VLOOKUP($AR153,'O_MN, PE_UTA_UGM 2024'!$E$3:$O$419,BD$6),"")</f>
        <v/>
      </c>
      <c r="BE153" s="1507" t="str">
        <f aca="false">IF($AT153&gt;0,VLOOKUP($AR153,'O_MN, PE_UTA_UGM 2024'!$E$3:$O$419,BE$6),"")</f>
        <v/>
      </c>
      <c r="BF153" s="1507" t="str">
        <f aca="false">IF($AT153&gt;0,VLOOKUP($AR153,'O_MN, PE_UTA_UGM 2024'!$E$3:$O$419,BF$6),"")</f>
        <v/>
      </c>
      <c r="BG153" s="1507" t="str">
        <f aca="false">IF($AT153&gt;0,VLOOKUP($AR153,'O_MN, PE_UTA_UGM 2024'!$E$3:$O$419,BG$6),"")</f>
        <v/>
      </c>
      <c r="BH153" s="1504"/>
      <c r="BI153" s="1504"/>
      <c r="BJ153" s="1504"/>
      <c r="BK153" s="1504"/>
      <c r="BM153" s="1411"/>
      <c r="BN153" s="1411"/>
      <c r="BO153" s="1425" t="str">
        <f aca="false">IF(ISNUMBER($AU153*BB153*1),$AU153*BB153*1,"")</f>
        <v/>
      </c>
      <c r="BP153" s="1425" t="str">
        <f aca="false">IF(ISNUMBER($AV153*BC153*1),$AV153*BC153*1,"")</f>
        <v/>
      </c>
      <c r="BQ153" s="1425" t="str">
        <f aca="false">IF(ISNUMBER($AU153*BD153*1),$AU153*BD153*1,"")</f>
        <v/>
      </c>
      <c r="BR153" s="1425" t="str">
        <f aca="false">IF(ISNUMBER($AV153*BE153*1),$AV153*BE153*1,"")</f>
        <v/>
      </c>
      <c r="BS153" s="1411" t="str">
        <f aca="false">IF(ISNUMBER($AU153*BF153),$AU153*BF153,"")</f>
        <v/>
      </c>
      <c r="BT153" s="1411" t="str">
        <f aca="false">IF(ISNUMBER($AV153*BG153),$AV153*BG153,"")</f>
        <v/>
      </c>
      <c r="BU153" s="1411"/>
      <c r="BV153" s="1411"/>
      <c r="BW153" s="1411"/>
      <c r="BX153" s="1411"/>
      <c r="BZ153" s="1372"/>
      <c r="CA153" s="1372"/>
      <c r="CB153" s="1426" t="str">
        <f aca="false">IF(ISNUMBER($AW153*BB153),$AW153*BB153,"")</f>
        <v/>
      </c>
      <c r="CC153" s="1426" t="str">
        <f aca="false">IF(ISNUMBER($AX153*BC153),$AX153*BC153,"")</f>
        <v/>
      </c>
      <c r="CD153" s="1426" t="str">
        <f aca="false">IF(ISNUMBER($AW153*BD153),$AW153*BD153,"")</f>
        <v/>
      </c>
      <c r="CE153" s="1426" t="str">
        <f aca="false">IF(ISNUMBER($AX153*BE153),$AX153*BE153,"")</f>
        <v/>
      </c>
      <c r="CF153" s="1372" t="str">
        <f aca="false">IF(ISNUMBER($AW153*BF153),$AW153*BF153,"")</f>
        <v/>
      </c>
      <c r="CG153" s="1372" t="str">
        <f aca="false">IF(ISNUMBER($AX153*BG153),$AX153*BG153,"")</f>
        <v/>
      </c>
      <c r="CH153" s="1438"/>
      <c r="CI153" s="1438"/>
      <c r="CJ153" s="1438"/>
      <c r="CK153" s="1438"/>
      <c r="CU153" s="1411"/>
      <c r="CV153" s="1411"/>
      <c r="CW153" s="1425"/>
      <c r="CX153" s="1425"/>
      <c r="CY153" s="1425"/>
      <c r="CZ153" s="1425"/>
      <c r="DA153" s="1411"/>
      <c r="DB153" s="1411"/>
      <c r="DC153" s="1411"/>
      <c r="DD153" s="1411"/>
      <c r="DE153" s="1411"/>
      <c r="DF153" s="1411"/>
      <c r="DH153" s="1432"/>
      <c r="DI153" s="1432"/>
      <c r="DJ153" s="1437"/>
      <c r="DK153" s="1437"/>
      <c r="DL153" s="1437"/>
      <c r="DM153" s="1437"/>
      <c r="DN153" s="1432"/>
      <c r="DO153" s="1432"/>
      <c r="DP153" s="1432"/>
      <c r="DQ153" s="1432"/>
      <c r="DR153" s="1432"/>
      <c r="DS153" s="1432"/>
      <c r="DT153" s="1316"/>
      <c r="DU153" s="1433"/>
      <c r="DV153" s="1433"/>
      <c r="DW153" s="1433"/>
      <c r="DX153" s="1433"/>
      <c r="DY153" s="1433"/>
      <c r="DZ153" s="1433"/>
      <c r="EA153" s="1433"/>
      <c r="EB153" s="1433"/>
    </row>
    <row r="154" customFormat="false" ht="14.25" hidden="false" customHeight="false" outlineLevel="0" collapsed="false">
      <c r="A154" s="2" t="n">
        <f aca="false">'V_DATOS PAC_SGA'!CC149</f>
        <v>0</v>
      </c>
      <c r="B154" s="2" t="n">
        <f aca="false">IF(OR(A154=0,A154=""),0,IF(I154="IV",CONCATENATE('V_DATOS PAC_SGA'!CC149,"4")+0,CONCATENATE('V_DATOS PAC_SGA'!CC149,"0")+0))</f>
        <v>0</v>
      </c>
      <c r="C154" s="2" t="n">
        <f aca="false">'V_DATOS PAC_SGA'!CD149</f>
        <v>0</v>
      </c>
      <c r="D154" s="1409" t="n">
        <f aca="false">'V_DATOS PAC_SGA'!Y149</f>
        <v>0</v>
      </c>
      <c r="E154" s="1410" t="str">
        <f aca="false">IF('V_DATOS PAC_SGA'!AV149="","Regadio",'V_DATOS PAC_SGA'!AV149)</f>
        <v>Regadio</v>
      </c>
      <c r="F154" s="1411" t="n">
        <f aca="false">'V_DATOS PAC_SGA'!BK149</f>
        <v>0</v>
      </c>
      <c r="G154" s="1412" t="n">
        <f aca="false">'V_DATOS PAC_SGA'!AN149</f>
        <v>0</v>
      </c>
      <c r="H154" s="1413" t="str">
        <f aca="false">IF(B154&gt;0,VLOOKUP(B154,'O_MN, PE_UTA_UGM 2024'!E$3:O$419,10),"")</f>
        <v/>
      </c>
      <c r="I154" s="1359" t="str">
        <f aca="false">IF('V_DATOS PAC_SGA'!BV149="IV",'V_DATOS PAC_SGA'!BV149,"")</f>
        <v/>
      </c>
      <c r="J154" s="2" t="str">
        <f aca="false">IF($A154&gt;0,IF(AND(J$4=$G154,J$6=$F154),$D154*J$5,""),"")</f>
        <v/>
      </c>
      <c r="K154" s="2" t="str">
        <f aca="false">IF($A154&gt;0,IF(AND(K$4=$G154,K$6=$F154),$D154*K$5,""),"")</f>
        <v/>
      </c>
      <c r="L154" s="2" t="str">
        <f aca="false">IF($A154&gt;0,IF(AND(L$4=$G154,L$6=$F154),$D154*L$5,""),"")</f>
        <v/>
      </c>
      <c r="M154" s="2" t="str">
        <f aca="false">IF($A154&gt;0,IF(AND(M$4=$G154,M$6=$F154),$D154*M$5,""),"")</f>
        <v/>
      </c>
      <c r="N154" s="1506" t="n">
        <f aca="false">VLOOKUP(B154,'O_MN, PE_UTA_UGM 2024'!$E$2:$K$419,IF(G154&gt;1,6,7))</f>
        <v>0</v>
      </c>
      <c r="O154" s="1434" t="str">
        <f aca="false">IF($H154=O$4,$D154*$N154,"")</f>
        <v/>
      </c>
      <c r="P154" s="1435" t="str">
        <f aca="false">IF($H154=P$4,$D154*$N154,"")</f>
        <v/>
      </c>
      <c r="Q154" s="1435" t="str">
        <f aca="false">IF($H154=Q$4,$D154*$N154,"")</f>
        <v/>
      </c>
      <c r="R154" s="1435" t="str">
        <f aca="false">IF($H154=R$4,$D154*$N154,"")</f>
        <v/>
      </c>
      <c r="S154" s="1435" t="str">
        <f aca="false">IF($H154=S$4,$D154*$N154,"")</f>
        <v/>
      </c>
      <c r="T154" s="1435" t="str">
        <f aca="false">IF($H154=T$4,$D154*$N154,"")</f>
        <v/>
      </c>
      <c r="U154" s="1436" t="str">
        <f aca="false">IF($H154=U$4,$D154*$N154,"")</f>
        <v/>
      </c>
      <c r="V154" s="1418"/>
      <c r="W154" s="1419"/>
      <c r="X154" s="1419"/>
      <c r="Y154" s="1419"/>
      <c r="Z154" s="1419"/>
      <c r="AA154" s="1419"/>
      <c r="AB154" s="1420"/>
      <c r="AC154" s="1319"/>
      <c r="AD154" s="2" t="str">
        <f aca="false">IF(AND(AD$4=$G154,AD$6=$F154),$B154,"")</f>
        <v/>
      </c>
      <c r="AE154" s="2" t="str">
        <f aca="false">IF(AND(AE$4=$G154,AE$6=$F154),$B154,"")</f>
        <v/>
      </c>
      <c r="AF154" s="2" t="str">
        <f aca="false">IF(AND(AF$4=$G154,AF$6=$F154),$B154,"")</f>
        <v/>
      </c>
      <c r="AG154" s="2" t="str">
        <f aca="false">IF(AND(AG$4=$G154,AG$6=$F154),$B154,"")</f>
        <v/>
      </c>
      <c r="AI154" s="366"/>
      <c r="AL154" s="367"/>
      <c r="AO154" s="367"/>
      <c r="AP154" s="2" t="str">
        <f aca="false">IF(AT154&gt;0,RANK(AT154,AT$7:AT$423),"")</f>
        <v/>
      </c>
      <c r="AQ154" s="2" t="n">
        <f aca="false">'O_MN, PE_UTA_UGM 2024'!C150</f>
        <v>174</v>
      </c>
      <c r="AR154" s="1421" t="n">
        <v>1734</v>
      </c>
      <c r="AS154" s="2" t="str">
        <f aca="false">IF(AY154&lt;&gt;"",AY154,"")</f>
        <v/>
      </c>
      <c r="AT154" s="1422" t="n">
        <f aca="false">IF(ISNUMBER($AR154),SUMIF(B$7:B$505,AR154,D$7:D$505),"")</f>
        <v>0</v>
      </c>
      <c r="AU154" s="1411" t="n">
        <f aca="false">IF(ISNUMBER($AR154),SUMIF(AD$7:AD$503,$AR154,J$7:J$503),"")</f>
        <v>0</v>
      </c>
      <c r="AV154" s="1411" t="n">
        <f aca="false">IF(ISNUMBER($AR154),SUMIF(AF$7:AF$503,$AR154,L$7:L$503),"")</f>
        <v>0</v>
      </c>
      <c r="AW154" s="1423" t="n">
        <f aca="false">IF(ISNUMBER($AR154),SUMIF(AE$7:AE$503,$AR154,K$7:K$503),"")</f>
        <v>0</v>
      </c>
      <c r="AX154" s="1423" t="n">
        <f aca="false">IF(ISNUMBER($AR154),SUMIF(AG$7:AG$503,$AR154,M$7:M$503),"")</f>
        <v>0</v>
      </c>
      <c r="AY154" s="2" t="str">
        <f aca="false">IF($AT154&gt;0,VLOOKUP($AR154,'O_MN, PE_UTA_UGM 2024'!E150:O566,2),"")</f>
        <v/>
      </c>
      <c r="AZ154" s="1507"/>
      <c r="BA154" s="1507"/>
      <c r="BB154" s="1507" t="str">
        <f aca="false">IF($AT154&gt;0,VLOOKUP($AR154,'O_MN, PE_UTA_UGM 2024'!$E$3:$O$419,BB$6),"")</f>
        <v/>
      </c>
      <c r="BC154" s="1507" t="str">
        <f aca="false">IF($AT154&gt;0,VLOOKUP($AR154,'O_MN, PE_UTA_UGM 2024'!$E$3:$O$419,BC$6),"")</f>
        <v/>
      </c>
      <c r="BD154" s="1507" t="str">
        <f aca="false">IF($AT154&gt;0,VLOOKUP($AR154,'O_MN, PE_UTA_UGM 2024'!$E$3:$O$419,BD$6),"")</f>
        <v/>
      </c>
      <c r="BE154" s="1507" t="str">
        <f aca="false">IF($AT154&gt;0,VLOOKUP($AR154,'O_MN, PE_UTA_UGM 2024'!$E$3:$O$419,BE$6),"")</f>
        <v/>
      </c>
      <c r="BF154" s="1507" t="str">
        <f aca="false">IF($AT154&gt;0,VLOOKUP($AR154,'O_MN, PE_UTA_UGM 2024'!$E$3:$O$419,BF$6),"")</f>
        <v/>
      </c>
      <c r="BG154" s="1507" t="str">
        <f aca="false">IF($AT154&gt;0,VLOOKUP($AR154,'O_MN, PE_UTA_UGM 2024'!$E$3:$O$419,BG$6),"")</f>
        <v/>
      </c>
      <c r="BH154" s="1504"/>
      <c r="BI154" s="1504"/>
      <c r="BJ154" s="1504"/>
      <c r="BK154" s="1504"/>
      <c r="BM154" s="1411"/>
      <c r="BN154" s="1411"/>
      <c r="BO154" s="1425" t="str">
        <f aca="false">IF(ISNUMBER($AU154*BB154*1),$AU154*BB154*1,"")</f>
        <v/>
      </c>
      <c r="BP154" s="1425" t="str">
        <f aca="false">IF(ISNUMBER($AV154*BC154*1),$AV154*BC154*1,"")</f>
        <v/>
      </c>
      <c r="BQ154" s="1425" t="str">
        <f aca="false">IF(ISNUMBER($AU154*BD154*1),$AU154*BD154*1,"")</f>
        <v/>
      </c>
      <c r="BR154" s="1425" t="str">
        <f aca="false">IF(ISNUMBER($AV154*BE154*1),$AV154*BE154*1,"")</f>
        <v/>
      </c>
      <c r="BS154" s="1411" t="str">
        <f aca="false">IF(ISNUMBER($AU154*BF154),$AU154*BF154,"")</f>
        <v/>
      </c>
      <c r="BT154" s="1411" t="str">
        <f aca="false">IF(ISNUMBER($AV154*BG154),$AV154*BG154,"")</f>
        <v/>
      </c>
      <c r="BU154" s="1411"/>
      <c r="BV154" s="1411"/>
      <c r="BW154" s="1411"/>
      <c r="BX154" s="1411"/>
      <c r="BZ154" s="1372"/>
      <c r="CA154" s="1372"/>
      <c r="CB154" s="1426" t="str">
        <f aca="false">IF(ISNUMBER($AW154*BB154),$AW154*BB154,"")</f>
        <v/>
      </c>
      <c r="CC154" s="1426" t="str">
        <f aca="false">IF(ISNUMBER($AX154*BC154),$AX154*BC154,"")</f>
        <v/>
      </c>
      <c r="CD154" s="1426" t="str">
        <f aca="false">IF(ISNUMBER($AW154*BD154),$AW154*BD154,"")</f>
        <v/>
      </c>
      <c r="CE154" s="1426" t="str">
        <f aca="false">IF(ISNUMBER($AX154*BE154),$AX154*BE154,"")</f>
        <v/>
      </c>
      <c r="CF154" s="1372" t="str">
        <f aca="false">IF(ISNUMBER($AW154*BF154),$AW154*BF154,"")</f>
        <v/>
      </c>
      <c r="CG154" s="1372" t="str">
        <f aca="false">IF(ISNUMBER($AX154*BG154),$AX154*BG154,"")</f>
        <v/>
      </c>
      <c r="CH154" s="1438"/>
      <c r="CI154" s="1438"/>
      <c r="CJ154" s="1438"/>
      <c r="CK154" s="1438"/>
      <c r="CU154" s="1411"/>
      <c r="CV154" s="1411"/>
      <c r="CW154" s="1425"/>
      <c r="CX154" s="1425"/>
      <c r="CY154" s="1425"/>
      <c r="CZ154" s="1425"/>
      <c r="DA154" s="1411"/>
      <c r="DB154" s="1411"/>
      <c r="DC154" s="1411"/>
      <c r="DD154" s="1411"/>
      <c r="DE154" s="1411"/>
      <c r="DF154" s="1411"/>
      <c r="DH154" s="1432"/>
      <c r="DI154" s="1432"/>
      <c r="DJ154" s="1437"/>
      <c r="DK154" s="1437"/>
      <c r="DL154" s="1437"/>
      <c r="DM154" s="1437"/>
      <c r="DN154" s="1432"/>
      <c r="DO154" s="1432"/>
      <c r="DP154" s="1432"/>
      <c r="DQ154" s="1432"/>
      <c r="DR154" s="1432"/>
      <c r="DS154" s="1432"/>
      <c r="DT154" s="1316"/>
      <c r="DU154" s="1433"/>
      <c r="DV154" s="1433"/>
      <c r="DW154" s="1433"/>
      <c r="DX154" s="1433"/>
      <c r="DY154" s="1433"/>
      <c r="DZ154" s="1433"/>
      <c r="EA154" s="1433"/>
      <c r="EB154" s="1433"/>
    </row>
    <row r="155" customFormat="false" ht="14.25" hidden="false" customHeight="false" outlineLevel="0" collapsed="false">
      <c r="A155" s="2" t="n">
        <f aca="false">'V_DATOS PAC_SGA'!CC150</f>
        <v>0</v>
      </c>
      <c r="B155" s="2" t="n">
        <f aca="false">IF(OR(A155=0,A155=""),0,IF(I155="IV",CONCATENATE('V_DATOS PAC_SGA'!CC150,"4")+0,CONCATENATE('V_DATOS PAC_SGA'!CC150,"0")+0))</f>
        <v>0</v>
      </c>
      <c r="C155" s="2" t="n">
        <f aca="false">'V_DATOS PAC_SGA'!CD150</f>
        <v>0</v>
      </c>
      <c r="D155" s="1409" t="n">
        <f aca="false">'V_DATOS PAC_SGA'!Y150</f>
        <v>0</v>
      </c>
      <c r="E155" s="1410" t="str">
        <f aca="false">IF('V_DATOS PAC_SGA'!AV150="","Regadio",'V_DATOS PAC_SGA'!AV150)</f>
        <v>Regadio</v>
      </c>
      <c r="F155" s="1411" t="n">
        <f aca="false">'V_DATOS PAC_SGA'!BK150</f>
        <v>0</v>
      </c>
      <c r="G155" s="1412" t="n">
        <f aca="false">'V_DATOS PAC_SGA'!AN150</f>
        <v>0</v>
      </c>
      <c r="H155" s="1413" t="str">
        <f aca="false">IF(B155&gt;0,VLOOKUP(B155,'O_MN, PE_UTA_UGM 2024'!E$3:O$419,10),"")</f>
        <v/>
      </c>
      <c r="I155" s="1359" t="str">
        <f aca="false">IF('V_DATOS PAC_SGA'!BV150="IV",'V_DATOS PAC_SGA'!BV150,"")</f>
        <v/>
      </c>
      <c r="J155" s="2" t="str">
        <f aca="false">IF($A155&gt;0,IF(AND(J$4=$G155,J$6=$F155),$D155*J$5,""),"")</f>
        <v/>
      </c>
      <c r="K155" s="2" t="str">
        <f aca="false">IF($A155&gt;0,IF(AND(K$4=$G155,K$6=$F155),$D155*K$5,""),"")</f>
        <v/>
      </c>
      <c r="L155" s="2" t="str">
        <f aca="false">IF($A155&gt;0,IF(AND(L$4=$G155,L$6=$F155),$D155*L$5,""),"")</f>
        <v/>
      </c>
      <c r="M155" s="2" t="str">
        <f aca="false">IF($A155&gt;0,IF(AND(M$4=$G155,M$6=$F155),$D155*M$5,""),"")</f>
        <v/>
      </c>
      <c r="N155" s="1506" t="n">
        <f aca="false">VLOOKUP(B155,'O_MN, PE_UTA_UGM 2024'!$E$2:$K$419,IF(G155&gt;1,6,7))</f>
        <v>0</v>
      </c>
      <c r="O155" s="1434" t="str">
        <f aca="false">IF($H155=O$4,$D155*$N155,"")</f>
        <v/>
      </c>
      <c r="P155" s="1435" t="str">
        <f aca="false">IF($H155=P$4,$D155*$N155,"")</f>
        <v/>
      </c>
      <c r="Q155" s="1435" t="str">
        <f aca="false">IF($H155=Q$4,$D155*$N155,"")</f>
        <v/>
      </c>
      <c r="R155" s="1435" t="str">
        <f aca="false">IF($H155=R$4,$D155*$N155,"")</f>
        <v/>
      </c>
      <c r="S155" s="1435" t="str">
        <f aca="false">IF($H155=S$4,$D155*$N155,"")</f>
        <v/>
      </c>
      <c r="T155" s="1435" t="str">
        <f aca="false">IF($H155=T$4,$D155*$N155,"")</f>
        <v/>
      </c>
      <c r="U155" s="1436" t="str">
        <f aca="false">IF($H155=U$4,$D155*$N155,"")</f>
        <v/>
      </c>
      <c r="V155" s="1418"/>
      <c r="W155" s="1419"/>
      <c r="X155" s="1419"/>
      <c r="Y155" s="1419"/>
      <c r="Z155" s="1419"/>
      <c r="AA155" s="1419"/>
      <c r="AB155" s="1420"/>
      <c r="AC155" s="1319"/>
      <c r="AD155" s="2" t="str">
        <f aca="false">IF(AND(AD$4=$G155,AD$6=$F155),$B155,"")</f>
        <v/>
      </c>
      <c r="AE155" s="2" t="str">
        <f aca="false">IF(AND(AE$4=$G155,AE$6=$F155),$B155,"")</f>
        <v/>
      </c>
      <c r="AF155" s="2" t="str">
        <f aca="false">IF(AND(AF$4=$G155,AF$6=$F155),$B155,"")</f>
        <v/>
      </c>
      <c r="AG155" s="2" t="str">
        <f aca="false">IF(AND(AG$4=$G155,AG$6=$F155),$B155,"")</f>
        <v/>
      </c>
      <c r="AI155" s="366"/>
      <c r="AL155" s="367"/>
      <c r="AO155" s="367"/>
      <c r="AP155" s="2" t="str">
        <f aca="false">IF(AT155&gt;0,RANK(AT155,AT$7:AT$423),"")</f>
        <v/>
      </c>
      <c r="AQ155" s="2" t="n">
        <f aca="false">'O_MN, PE_UTA_UGM 2024'!C151</f>
        <v>175</v>
      </c>
      <c r="AR155" s="1421" t="n">
        <v>1739</v>
      </c>
      <c r="AS155" s="2" t="str">
        <f aca="false">IF(AY155&lt;&gt;"",AY155,"")</f>
        <v/>
      </c>
      <c r="AT155" s="1422" t="n">
        <f aca="false">IF(ISNUMBER($AR155),SUMIF(B$7:B$505,AR155,D$7:D$505),"")</f>
        <v>0</v>
      </c>
      <c r="AU155" s="1411" t="n">
        <f aca="false">IF(ISNUMBER($AR155),SUMIF(AD$7:AD$503,$AR155,J$7:J$503),"")</f>
        <v>0</v>
      </c>
      <c r="AV155" s="1411" t="n">
        <f aca="false">IF(ISNUMBER($AR155),SUMIF(AF$7:AF$503,$AR155,L$7:L$503),"")</f>
        <v>0</v>
      </c>
      <c r="AW155" s="1423" t="n">
        <f aca="false">IF(ISNUMBER($AR155),SUMIF(AE$7:AE$503,$AR155,K$7:K$503),"")</f>
        <v>0</v>
      </c>
      <c r="AX155" s="1423" t="n">
        <f aca="false">IF(ISNUMBER($AR155),SUMIF(AG$7:AG$503,$AR155,M$7:M$503),"")</f>
        <v>0</v>
      </c>
      <c r="AY155" s="2" t="str">
        <f aca="false">IF($AT155&gt;0,VLOOKUP($AR155,'O_MN, PE_UTA_UGM 2024'!E151:O567,2),"")</f>
        <v/>
      </c>
      <c r="AZ155" s="1507"/>
      <c r="BA155" s="1507"/>
      <c r="BB155" s="1507" t="str">
        <f aca="false">IF($AT155&gt;0,VLOOKUP($AR155,'O_MN, PE_UTA_UGM 2024'!$E$3:$O$419,BB$6),"")</f>
        <v/>
      </c>
      <c r="BC155" s="1507" t="str">
        <f aca="false">IF($AT155&gt;0,VLOOKUP($AR155,'O_MN, PE_UTA_UGM 2024'!$E$3:$O$419,BC$6),"")</f>
        <v/>
      </c>
      <c r="BD155" s="1507" t="str">
        <f aca="false">IF($AT155&gt;0,VLOOKUP($AR155,'O_MN, PE_UTA_UGM 2024'!$E$3:$O$419,BD$6),"")</f>
        <v/>
      </c>
      <c r="BE155" s="1507" t="str">
        <f aca="false">IF($AT155&gt;0,VLOOKUP($AR155,'O_MN, PE_UTA_UGM 2024'!$E$3:$O$419,BE$6),"")</f>
        <v/>
      </c>
      <c r="BF155" s="1507" t="str">
        <f aca="false">IF($AT155&gt;0,VLOOKUP($AR155,'O_MN, PE_UTA_UGM 2024'!$E$3:$O$419,BF$6),"")</f>
        <v/>
      </c>
      <c r="BG155" s="1507" t="str">
        <f aca="false">IF($AT155&gt;0,VLOOKUP($AR155,'O_MN, PE_UTA_UGM 2024'!$E$3:$O$419,BG$6),"")</f>
        <v/>
      </c>
      <c r="BH155" s="1504"/>
      <c r="BI155" s="1504"/>
      <c r="BJ155" s="1504"/>
      <c r="BK155" s="1504"/>
      <c r="BM155" s="1411"/>
      <c r="BN155" s="1411"/>
      <c r="BO155" s="1425" t="str">
        <f aca="false">IF(ISNUMBER($AU155*BB155*1),$AU155*BB155*1,"")</f>
        <v/>
      </c>
      <c r="BP155" s="1425" t="str">
        <f aca="false">IF(ISNUMBER($AV155*BC155*1),$AV155*BC155*1,"")</f>
        <v/>
      </c>
      <c r="BQ155" s="1425" t="str">
        <f aca="false">IF(ISNUMBER($AU155*BD155*1),$AU155*BD155*1,"")</f>
        <v/>
      </c>
      <c r="BR155" s="1425" t="str">
        <f aca="false">IF(ISNUMBER($AV155*BE155*1),$AV155*BE155*1,"")</f>
        <v/>
      </c>
      <c r="BS155" s="1411" t="str">
        <f aca="false">IF(ISNUMBER($AU155*BF155),$AU155*BF155,"")</f>
        <v/>
      </c>
      <c r="BT155" s="1411" t="str">
        <f aca="false">IF(ISNUMBER($AV155*BG155),$AV155*BG155,"")</f>
        <v/>
      </c>
      <c r="BU155" s="1411"/>
      <c r="BV155" s="1411"/>
      <c r="BW155" s="1411"/>
      <c r="BX155" s="1411"/>
      <c r="BZ155" s="1372"/>
      <c r="CA155" s="1372"/>
      <c r="CB155" s="1426" t="str">
        <f aca="false">IF(ISNUMBER($AW155*BB155),$AW155*BB155,"")</f>
        <v/>
      </c>
      <c r="CC155" s="1426" t="str">
        <f aca="false">IF(ISNUMBER($AX155*BC155),$AX155*BC155,"")</f>
        <v/>
      </c>
      <c r="CD155" s="1426" t="str">
        <f aca="false">IF(ISNUMBER($AW155*BD155),$AW155*BD155,"")</f>
        <v/>
      </c>
      <c r="CE155" s="1426" t="str">
        <f aca="false">IF(ISNUMBER($AX155*BE155),$AX155*BE155,"")</f>
        <v/>
      </c>
      <c r="CF155" s="1372" t="str">
        <f aca="false">IF(ISNUMBER($AW155*BF155),$AW155*BF155,"")</f>
        <v/>
      </c>
      <c r="CG155" s="1372" t="str">
        <f aca="false">IF(ISNUMBER($AX155*BG155),$AX155*BG155,"")</f>
        <v/>
      </c>
      <c r="CH155" s="1438"/>
      <c r="CI155" s="1438"/>
      <c r="CJ155" s="1438"/>
      <c r="CK155" s="1438"/>
      <c r="CU155" s="1411"/>
      <c r="CV155" s="1411"/>
      <c r="CW155" s="1425"/>
      <c r="CX155" s="1425"/>
      <c r="CY155" s="1425"/>
      <c r="CZ155" s="1425"/>
      <c r="DA155" s="1411"/>
      <c r="DB155" s="1411"/>
      <c r="DC155" s="1411"/>
      <c r="DD155" s="1411"/>
      <c r="DE155" s="1411"/>
      <c r="DF155" s="1411"/>
      <c r="DH155" s="1432"/>
      <c r="DI155" s="1432"/>
      <c r="DJ155" s="1437"/>
      <c r="DK155" s="1437"/>
      <c r="DL155" s="1437"/>
      <c r="DM155" s="1437"/>
      <c r="DN155" s="1432"/>
      <c r="DO155" s="1432"/>
      <c r="DP155" s="1432"/>
      <c r="DQ155" s="1432"/>
      <c r="DR155" s="1432"/>
      <c r="DS155" s="1432"/>
      <c r="DT155" s="1316"/>
      <c r="DU155" s="1433"/>
      <c r="DV155" s="1433"/>
      <c r="DW155" s="1433"/>
      <c r="DX155" s="1433"/>
      <c r="DY155" s="1433"/>
      <c r="DZ155" s="1433"/>
      <c r="EA155" s="1433"/>
      <c r="EB155" s="1433"/>
    </row>
    <row r="156" customFormat="false" ht="14.25" hidden="false" customHeight="false" outlineLevel="0" collapsed="false">
      <c r="A156" s="2" t="n">
        <f aca="false">'V_DATOS PAC_SGA'!CC151</f>
        <v>0</v>
      </c>
      <c r="B156" s="2" t="n">
        <f aca="false">IF(OR(A156=0,A156=""),0,IF(I156="IV",CONCATENATE('V_DATOS PAC_SGA'!CC151,"4")+0,CONCATENATE('V_DATOS PAC_SGA'!CC151,"0")+0))</f>
        <v>0</v>
      </c>
      <c r="C156" s="2" t="n">
        <f aca="false">'V_DATOS PAC_SGA'!CD151</f>
        <v>0</v>
      </c>
      <c r="D156" s="1409" t="n">
        <f aca="false">'V_DATOS PAC_SGA'!Y151</f>
        <v>0</v>
      </c>
      <c r="E156" s="1410" t="str">
        <f aca="false">IF('V_DATOS PAC_SGA'!AV151="","Regadio",'V_DATOS PAC_SGA'!AV151)</f>
        <v>Regadio</v>
      </c>
      <c r="F156" s="1411" t="n">
        <f aca="false">'V_DATOS PAC_SGA'!BK151</f>
        <v>0</v>
      </c>
      <c r="G156" s="1412" t="n">
        <f aca="false">'V_DATOS PAC_SGA'!AN151</f>
        <v>0</v>
      </c>
      <c r="H156" s="1413" t="str">
        <f aca="false">IF(B156&gt;0,VLOOKUP(B156,'O_MN, PE_UTA_UGM 2024'!E$3:O$419,10),"")</f>
        <v/>
      </c>
      <c r="I156" s="1359" t="str">
        <f aca="false">IF('V_DATOS PAC_SGA'!BV151="IV",'V_DATOS PAC_SGA'!BV151,"")</f>
        <v/>
      </c>
      <c r="J156" s="2" t="str">
        <f aca="false">IF($A156&gt;0,IF(AND(J$4=$G156,J$6=$F156),$D156*J$5,""),"")</f>
        <v/>
      </c>
      <c r="K156" s="2" t="str">
        <f aca="false">IF($A156&gt;0,IF(AND(K$4=$G156,K$6=$F156),$D156*K$5,""),"")</f>
        <v/>
      </c>
      <c r="L156" s="2" t="str">
        <f aca="false">IF($A156&gt;0,IF(AND(L$4=$G156,L$6=$F156),$D156*L$5,""),"")</f>
        <v/>
      </c>
      <c r="M156" s="2" t="str">
        <f aca="false">IF($A156&gt;0,IF(AND(M$4=$G156,M$6=$F156),$D156*M$5,""),"")</f>
        <v/>
      </c>
      <c r="N156" s="1506" t="n">
        <f aca="false">VLOOKUP(B156,'O_MN, PE_UTA_UGM 2024'!$E$2:$K$419,IF(G156&gt;1,6,7))</f>
        <v>0</v>
      </c>
      <c r="O156" s="1434" t="str">
        <f aca="false">IF($H156=O$4,$D156*$N156,"")</f>
        <v/>
      </c>
      <c r="P156" s="1435" t="str">
        <f aca="false">IF($H156=P$4,$D156*$N156,"")</f>
        <v/>
      </c>
      <c r="Q156" s="1435" t="str">
        <f aca="false">IF($H156=Q$4,$D156*$N156,"")</f>
        <v/>
      </c>
      <c r="R156" s="1435" t="str">
        <f aca="false">IF($H156=R$4,$D156*$N156,"")</f>
        <v/>
      </c>
      <c r="S156" s="1435" t="str">
        <f aca="false">IF($H156=S$4,$D156*$N156,"")</f>
        <v/>
      </c>
      <c r="T156" s="1435" t="str">
        <f aca="false">IF($H156=T$4,$D156*$N156,"")</f>
        <v/>
      </c>
      <c r="U156" s="1436" t="str">
        <f aca="false">IF($H156=U$4,$D156*$N156,"")</f>
        <v/>
      </c>
      <c r="V156" s="1418"/>
      <c r="W156" s="1419"/>
      <c r="X156" s="1419"/>
      <c r="Y156" s="1419"/>
      <c r="Z156" s="1419"/>
      <c r="AA156" s="1419"/>
      <c r="AB156" s="1420"/>
      <c r="AC156" s="1319"/>
      <c r="AD156" s="2" t="str">
        <f aca="false">IF(AND(AD$4=$G156,AD$6=$F156),$B156,"")</f>
        <v/>
      </c>
      <c r="AE156" s="2" t="str">
        <f aca="false">IF(AND(AE$4=$G156,AE$6=$F156),$B156,"")</f>
        <v/>
      </c>
      <c r="AF156" s="2" t="str">
        <f aca="false">IF(AND(AF$4=$G156,AF$6=$F156),$B156,"")</f>
        <v/>
      </c>
      <c r="AG156" s="2" t="str">
        <f aca="false">IF(AND(AG$4=$G156,AG$6=$F156),$B156,"")</f>
        <v/>
      </c>
      <c r="AI156" s="366"/>
      <c r="AL156" s="367"/>
      <c r="AO156" s="367"/>
      <c r="AP156" s="2" t="str">
        <f aca="false">IF(AT156&gt;0,RANK(AT156,AT$7:AT$423),"")</f>
        <v/>
      </c>
      <c r="AQ156" s="2" t="n">
        <f aca="false">'O_MN, PE_UTA_UGM 2024'!C152</f>
        <v>175</v>
      </c>
      <c r="AR156" s="1421" t="n">
        <v>1740</v>
      </c>
      <c r="AS156" s="2" t="str">
        <f aca="false">IF(AY156&lt;&gt;"",AY156,"")</f>
        <v/>
      </c>
      <c r="AT156" s="1422" t="n">
        <f aca="false">IF(ISNUMBER($AR156),SUMIF(B$7:B$505,AR156,D$7:D$505),"")</f>
        <v>0</v>
      </c>
      <c r="AU156" s="1411" t="n">
        <f aca="false">IF(ISNUMBER($AR156),SUMIF(AD$7:AD$503,$AR156,J$7:J$503),"")</f>
        <v>0</v>
      </c>
      <c r="AV156" s="1411" t="n">
        <f aca="false">IF(ISNUMBER($AR156),SUMIF(AF$7:AF$503,$AR156,L$7:L$503),"")</f>
        <v>0</v>
      </c>
      <c r="AW156" s="1423" t="n">
        <f aca="false">IF(ISNUMBER($AR156),SUMIF(AE$7:AE$503,$AR156,K$7:K$503),"")</f>
        <v>0</v>
      </c>
      <c r="AX156" s="1423" t="n">
        <f aca="false">IF(ISNUMBER($AR156),SUMIF(AG$7:AG$503,$AR156,M$7:M$503),"")</f>
        <v>0</v>
      </c>
      <c r="AY156" s="2" t="str">
        <f aca="false">IF($AT156&gt;0,VLOOKUP($AR156,'O_MN, PE_UTA_UGM 2024'!E152:O568,2),"")</f>
        <v/>
      </c>
      <c r="AZ156" s="1507"/>
      <c r="BA156" s="1507"/>
      <c r="BB156" s="1507" t="str">
        <f aca="false">IF($AT156&gt;0,VLOOKUP($AR156,'O_MN, PE_UTA_UGM 2024'!$E$3:$O$419,BB$6),"")</f>
        <v/>
      </c>
      <c r="BC156" s="1507" t="str">
        <f aca="false">IF($AT156&gt;0,VLOOKUP($AR156,'O_MN, PE_UTA_UGM 2024'!$E$3:$O$419,BC$6),"")</f>
        <v/>
      </c>
      <c r="BD156" s="1507" t="str">
        <f aca="false">IF($AT156&gt;0,VLOOKUP($AR156,'O_MN, PE_UTA_UGM 2024'!$E$3:$O$419,BD$6),"")</f>
        <v/>
      </c>
      <c r="BE156" s="1507" t="str">
        <f aca="false">IF($AT156&gt;0,VLOOKUP($AR156,'O_MN, PE_UTA_UGM 2024'!$E$3:$O$419,BE$6),"")</f>
        <v/>
      </c>
      <c r="BF156" s="1507" t="str">
        <f aca="false">IF($AT156&gt;0,VLOOKUP($AR156,'O_MN, PE_UTA_UGM 2024'!$E$3:$O$419,BF$6),"")</f>
        <v/>
      </c>
      <c r="BG156" s="1507" t="str">
        <f aca="false">IF($AT156&gt;0,VLOOKUP($AR156,'O_MN, PE_UTA_UGM 2024'!$E$3:$O$419,BG$6),"")</f>
        <v/>
      </c>
      <c r="BH156" s="1504"/>
      <c r="BI156" s="1504"/>
      <c r="BJ156" s="1504"/>
      <c r="BK156" s="1504"/>
      <c r="BM156" s="1411"/>
      <c r="BN156" s="1411"/>
      <c r="BO156" s="1425" t="str">
        <f aca="false">IF(ISNUMBER($AU156*BB156*1),$AU156*BB156*1,"")</f>
        <v/>
      </c>
      <c r="BP156" s="1425" t="str">
        <f aca="false">IF(ISNUMBER($AV156*BC156*1),$AV156*BC156*1,"")</f>
        <v/>
      </c>
      <c r="BQ156" s="1425" t="str">
        <f aca="false">IF(ISNUMBER($AU156*BD156*1),$AU156*BD156*1,"")</f>
        <v/>
      </c>
      <c r="BR156" s="1425" t="str">
        <f aca="false">IF(ISNUMBER($AV156*BE156*1),$AV156*BE156*1,"")</f>
        <v/>
      </c>
      <c r="BS156" s="1411" t="str">
        <f aca="false">IF(ISNUMBER($AU156*BF156),$AU156*BF156,"")</f>
        <v/>
      </c>
      <c r="BT156" s="1411" t="str">
        <f aca="false">IF(ISNUMBER($AV156*BG156),$AV156*BG156,"")</f>
        <v/>
      </c>
      <c r="BU156" s="1411"/>
      <c r="BV156" s="1411"/>
      <c r="BW156" s="1411"/>
      <c r="BX156" s="1411"/>
      <c r="BZ156" s="1372"/>
      <c r="CA156" s="1372"/>
      <c r="CB156" s="1426" t="str">
        <f aca="false">IF(ISNUMBER($AW156*BB156),$AW156*BB156,"")</f>
        <v/>
      </c>
      <c r="CC156" s="1426" t="str">
        <f aca="false">IF(ISNUMBER($AX156*BC156),$AX156*BC156,"")</f>
        <v/>
      </c>
      <c r="CD156" s="1426" t="str">
        <f aca="false">IF(ISNUMBER($AW156*BD156),$AW156*BD156,"")</f>
        <v/>
      </c>
      <c r="CE156" s="1426" t="str">
        <f aca="false">IF(ISNUMBER($AX156*BE156),$AX156*BE156,"")</f>
        <v/>
      </c>
      <c r="CF156" s="1372" t="str">
        <f aca="false">IF(ISNUMBER($AW156*BF156),$AW156*BF156,"")</f>
        <v/>
      </c>
      <c r="CG156" s="1372" t="str">
        <f aca="false">IF(ISNUMBER($AX156*BG156),$AX156*BG156,"")</f>
        <v/>
      </c>
      <c r="CH156" s="1438"/>
      <c r="CI156" s="1438"/>
      <c r="CJ156" s="1438"/>
      <c r="CK156" s="1438"/>
      <c r="CU156" s="1411"/>
      <c r="CV156" s="1411"/>
      <c r="CW156" s="1425"/>
      <c r="CX156" s="1425"/>
      <c r="CY156" s="1425"/>
      <c r="CZ156" s="1425"/>
      <c r="DA156" s="1411"/>
      <c r="DB156" s="1411"/>
      <c r="DC156" s="1411"/>
      <c r="DD156" s="1411"/>
      <c r="DE156" s="1411"/>
      <c r="DF156" s="1411"/>
      <c r="DH156" s="1432"/>
      <c r="DI156" s="1432"/>
      <c r="DJ156" s="1437"/>
      <c r="DK156" s="1437"/>
      <c r="DL156" s="1437"/>
      <c r="DM156" s="1437"/>
      <c r="DN156" s="1432"/>
      <c r="DO156" s="1432"/>
      <c r="DP156" s="1432"/>
      <c r="DQ156" s="1432"/>
      <c r="DR156" s="1432"/>
      <c r="DS156" s="1432"/>
      <c r="DT156" s="1316"/>
      <c r="DU156" s="1433"/>
      <c r="DV156" s="1433"/>
      <c r="DW156" s="1433"/>
      <c r="DX156" s="1433"/>
      <c r="DY156" s="1433"/>
      <c r="DZ156" s="1433"/>
      <c r="EA156" s="1433"/>
      <c r="EB156" s="1433"/>
    </row>
    <row r="157" customFormat="false" ht="14.25" hidden="false" customHeight="false" outlineLevel="0" collapsed="false">
      <c r="A157" s="2" t="n">
        <f aca="false">'V_DATOS PAC_SGA'!CC152</f>
        <v>0</v>
      </c>
      <c r="B157" s="2" t="n">
        <f aca="false">IF(OR(A157=0,A157=""),0,IF(I157="IV",CONCATENATE('V_DATOS PAC_SGA'!CC152,"4")+0,CONCATENATE('V_DATOS PAC_SGA'!CC152,"0")+0))</f>
        <v>0</v>
      </c>
      <c r="C157" s="2" t="n">
        <f aca="false">'V_DATOS PAC_SGA'!CD152</f>
        <v>0</v>
      </c>
      <c r="D157" s="1409" t="n">
        <f aca="false">'V_DATOS PAC_SGA'!Y152</f>
        <v>0</v>
      </c>
      <c r="E157" s="1410" t="str">
        <f aca="false">IF('V_DATOS PAC_SGA'!AV152="","Regadio",'V_DATOS PAC_SGA'!AV152)</f>
        <v>Regadio</v>
      </c>
      <c r="F157" s="1411" t="n">
        <f aca="false">'V_DATOS PAC_SGA'!BK152</f>
        <v>0</v>
      </c>
      <c r="G157" s="1412" t="n">
        <f aca="false">'V_DATOS PAC_SGA'!AN152</f>
        <v>0</v>
      </c>
      <c r="H157" s="1413" t="str">
        <f aca="false">IF(B157&gt;0,VLOOKUP(B157,'O_MN, PE_UTA_UGM 2024'!E$3:O$419,10),"")</f>
        <v/>
      </c>
      <c r="I157" s="1359" t="str">
        <f aca="false">IF('V_DATOS PAC_SGA'!BV152="IV",'V_DATOS PAC_SGA'!BV152,"")</f>
        <v/>
      </c>
      <c r="J157" s="2" t="str">
        <f aca="false">IF($A157&gt;0,IF(AND(J$4=$G157,J$6=$F157),$D157*J$5,""),"")</f>
        <v/>
      </c>
      <c r="K157" s="2" t="str">
        <f aca="false">IF($A157&gt;0,IF(AND(K$4=$G157,K$6=$F157),$D157*K$5,""),"")</f>
        <v/>
      </c>
      <c r="L157" s="2" t="str">
        <f aca="false">IF($A157&gt;0,IF(AND(L$4=$G157,L$6=$F157),$D157*L$5,""),"")</f>
        <v/>
      </c>
      <c r="M157" s="2" t="str">
        <f aca="false">IF($A157&gt;0,IF(AND(M$4=$G157,M$6=$F157),$D157*M$5,""),"")</f>
        <v/>
      </c>
      <c r="N157" s="1506" t="n">
        <f aca="false">VLOOKUP(B157,'O_MN, PE_UTA_UGM 2024'!$E$2:$K$419,IF(G157&gt;1,6,7))</f>
        <v>0</v>
      </c>
      <c r="O157" s="1434" t="str">
        <f aca="false">IF($H157=O$4,$D157*$N157,"")</f>
        <v/>
      </c>
      <c r="P157" s="1435" t="str">
        <f aca="false">IF($H157=P$4,$D157*$N157,"")</f>
        <v/>
      </c>
      <c r="Q157" s="1435" t="str">
        <f aca="false">IF($H157=Q$4,$D157*$N157,"")</f>
        <v/>
      </c>
      <c r="R157" s="1435" t="str">
        <f aca="false">IF($H157=R$4,$D157*$N157,"")</f>
        <v/>
      </c>
      <c r="S157" s="1435" t="str">
        <f aca="false">IF($H157=S$4,$D157*$N157,"")</f>
        <v/>
      </c>
      <c r="T157" s="1435" t="str">
        <f aca="false">IF($H157=T$4,$D157*$N157,"")</f>
        <v/>
      </c>
      <c r="U157" s="1436" t="str">
        <f aca="false">IF($H157=U$4,$D157*$N157,"")</f>
        <v/>
      </c>
      <c r="V157" s="1418"/>
      <c r="W157" s="1419"/>
      <c r="X157" s="1419"/>
      <c r="Y157" s="1419"/>
      <c r="Z157" s="1419"/>
      <c r="AA157" s="1419"/>
      <c r="AB157" s="1420"/>
      <c r="AC157" s="1319"/>
      <c r="AD157" s="2" t="str">
        <f aca="false">IF(AND(AD$4=$G157,AD$6=$F157),$B157,"")</f>
        <v/>
      </c>
      <c r="AE157" s="2" t="str">
        <f aca="false">IF(AND(AE$4=$G157,AE$6=$F157),$B157,"")</f>
        <v/>
      </c>
      <c r="AF157" s="2" t="str">
        <f aca="false">IF(AND(AF$4=$G157,AF$6=$F157),$B157,"")</f>
        <v/>
      </c>
      <c r="AG157" s="2" t="str">
        <f aca="false">IF(AND(AG$4=$G157,AG$6=$F157),$B157,"")</f>
        <v/>
      </c>
      <c r="AI157" s="366"/>
      <c r="AL157" s="367"/>
      <c r="AO157" s="367"/>
      <c r="AP157" s="2" t="str">
        <f aca="false">IF(AT157&gt;0,RANK(AT157,AT$7:AT$423),"")</f>
        <v/>
      </c>
      <c r="AQ157" s="2" t="n">
        <f aca="false">'O_MN, PE_UTA_UGM 2024'!C153</f>
        <v>175</v>
      </c>
      <c r="AR157" s="1421" t="n">
        <v>1744</v>
      </c>
      <c r="AS157" s="2" t="str">
        <f aca="false">IF(AY157&lt;&gt;"",AY157,"")</f>
        <v/>
      </c>
      <c r="AT157" s="1422" t="n">
        <f aca="false">IF(ISNUMBER($AR157),SUMIF(B$7:B$505,AR157,D$7:D$505),"")</f>
        <v>0</v>
      </c>
      <c r="AU157" s="1411" t="n">
        <f aca="false">IF(ISNUMBER($AR157),SUMIF(AD$7:AD$503,$AR157,J$7:J$503),"")</f>
        <v>0</v>
      </c>
      <c r="AV157" s="1411" t="n">
        <f aca="false">IF(ISNUMBER($AR157),SUMIF(AF$7:AF$503,$AR157,L$7:L$503),"")</f>
        <v>0</v>
      </c>
      <c r="AW157" s="1423" t="n">
        <f aca="false">IF(ISNUMBER($AR157),SUMIF(AE$7:AE$503,$AR157,K$7:K$503),"")</f>
        <v>0</v>
      </c>
      <c r="AX157" s="1423" t="n">
        <f aca="false">IF(ISNUMBER($AR157),SUMIF(AG$7:AG$503,$AR157,M$7:M$503),"")</f>
        <v>0</v>
      </c>
      <c r="AY157" s="2" t="str">
        <f aca="false">IF($AT157&gt;0,VLOOKUP($AR157,'O_MN, PE_UTA_UGM 2024'!E153:O569,2),"")</f>
        <v/>
      </c>
      <c r="AZ157" s="1507"/>
      <c r="BA157" s="1507"/>
      <c r="BB157" s="1507" t="str">
        <f aca="false">IF($AT157&gt;0,VLOOKUP($AR157,'O_MN, PE_UTA_UGM 2024'!$E$3:$O$419,BB$6),"")</f>
        <v/>
      </c>
      <c r="BC157" s="1507" t="str">
        <f aca="false">IF($AT157&gt;0,VLOOKUP($AR157,'O_MN, PE_UTA_UGM 2024'!$E$3:$O$419,BC$6),"")</f>
        <v/>
      </c>
      <c r="BD157" s="1507" t="str">
        <f aca="false">IF($AT157&gt;0,VLOOKUP($AR157,'O_MN, PE_UTA_UGM 2024'!$E$3:$O$419,BD$6),"")</f>
        <v/>
      </c>
      <c r="BE157" s="1507" t="str">
        <f aca="false">IF($AT157&gt;0,VLOOKUP($AR157,'O_MN, PE_UTA_UGM 2024'!$E$3:$O$419,BE$6),"")</f>
        <v/>
      </c>
      <c r="BF157" s="1507" t="str">
        <f aca="false">IF($AT157&gt;0,VLOOKUP($AR157,'O_MN, PE_UTA_UGM 2024'!$E$3:$O$419,BF$6),"")</f>
        <v/>
      </c>
      <c r="BG157" s="1507" t="str">
        <f aca="false">IF($AT157&gt;0,VLOOKUP($AR157,'O_MN, PE_UTA_UGM 2024'!$E$3:$O$419,BG$6),"")</f>
        <v/>
      </c>
      <c r="BH157" s="1504"/>
      <c r="BI157" s="1504"/>
      <c r="BJ157" s="1504"/>
      <c r="BK157" s="1504"/>
      <c r="BM157" s="1411"/>
      <c r="BN157" s="1411"/>
      <c r="BO157" s="1425" t="str">
        <f aca="false">IF(ISNUMBER($AU157*BB157*1),$AU157*BB157*1,"")</f>
        <v/>
      </c>
      <c r="BP157" s="1425" t="str">
        <f aca="false">IF(ISNUMBER($AV157*BC157*1),$AV157*BC157*1,"")</f>
        <v/>
      </c>
      <c r="BQ157" s="1425" t="str">
        <f aca="false">IF(ISNUMBER($AU157*BD157*1),$AU157*BD157*1,"")</f>
        <v/>
      </c>
      <c r="BR157" s="1425" t="str">
        <f aca="false">IF(ISNUMBER($AV157*BE157*1),$AV157*BE157*1,"")</f>
        <v/>
      </c>
      <c r="BS157" s="1411" t="str">
        <f aca="false">IF(ISNUMBER($AU157*BF157),$AU157*BF157,"")</f>
        <v/>
      </c>
      <c r="BT157" s="1411" t="str">
        <f aca="false">IF(ISNUMBER($AV157*BG157),$AV157*BG157,"")</f>
        <v/>
      </c>
      <c r="BU157" s="1411"/>
      <c r="BV157" s="1411"/>
      <c r="BW157" s="1411"/>
      <c r="BX157" s="1411"/>
      <c r="BZ157" s="1372"/>
      <c r="CA157" s="1372"/>
      <c r="CB157" s="1426" t="str">
        <f aca="false">IF(ISNUMBER($AW157*BB157),$AW157*BB157,"")</f>
        <v/>
      </c>
      <c r="CC157" s="1426" t="str">
        <f aca="false">IF(ISNUMBER($AX157*BC157),$AX157*BC157,"")</f>
        <v/>
      </c>
      <c r="CD157" s="1426" t="str">
        <f aca="false">IF(ISNUMBER($AW157*BD157),$AW157*BD157,"")</f>
        <v/>
      </c>
      <c r="CE157" s="1426" t="str">
        <f aca="false">IF(ISNUMBER($AX157*BE157),$AX157*BE157,"")</f>
        <v/>
      </c>
      <c r="CF157" s="1372" t="str">
        <f aca="false">IF(ISNUMBER($AW157*BF157),$AW157*BF157,"")</f>
        <v/>
      </c>
      <c r="CG157" s="1372" t="str">
        <f aca="false">IF(ISNUMBER($AX157*BG157),$AX157*BG157,"")</f>
        <v/>
      </c>
      <c r="CH157" s="1438"/>
      <c r="CI157" s="1438"/>
      <c r="CJ157" s="1438"/>
      <c r="CK157" s="1438"/>
      <c r="CU157" s="1411"/>
      <c r="CV157" s="1411"/>
      <c r="CW157" s="1425"/>
      <c r="CX157" s="1425"/>
      <c r="CY157" s="1425"/>
      <c r="CZ157" s="1425"/>
      <c r="DA157" s="1411"/>
      <c r="DB157" s="1411"/>
      <c r="DC157" s="1411"/>
      <c r="DD157" s="1411"/>
      <c r="DE157" s="1411"/>
      <c r="DF157" s="1411"/>
      <c r="DH157" s="1432"/>
      <c r="DI157" s="1432"/>
      <c r="DJ157" s="1437"/>
      <c r="DK157" s="1437"/>
      <c r="DL157" s="1437"/>
      <c r="DM157" s="1437"/>
      <c r="DN157" s="1432"/>
      <c r="DO157" s="1432"/>
      <c r="DP157" s="1432"/>
      <c r="DQ157" s="1432"/>
      <c r="DR157" s="1432"/>
      <c r="DS157" s="1432"/>
      <c r="DT157" s="1316"/>
      <c r="DU157" s="1433"/>
      <c r="DV157" s="1433"/>
      <c r="DW157" s="1433"/>
      <c r="DX157" s="1433"/>
      <c r="DY157" s="1433"/>
      <c r="DZ157" s="1433"/>
      <c r="EA157" s="1433"/>
      <c r="EB157" s="1433"/>
    </row>
    <row r="158" customFormat="false" ht="14.25" hidden="false" customHeight="false" outlineLevel="0" collapsed="false">
      <c r="A158" s="2" t="n">
        <f aca="false">'V_DATOS PAC_SGA'!CC153</f>
        <v>0</v>
      </c>
      <c r="B158" s="2" t="n">
        <f aca="false">IF(OR(A158=0,A158=""),0,IF(I158="IV",CONCATENATE('V_DATOS PAC_SGA'!CC153,"4")+0,CONCATENATE('V_DATOS PAC_SGA'!CC153,"0")+0))</f>
        <v>0</v>
      </c>
      <c r="C158" s="2" t="n">
        <f aca="false">'V_DATOS PAC_SGA'!CD153</f>
        <v>0</v>
      </c>
      <c r="D158" s="1409" t="n">
        <f aca="false">'V_DATOS PAC_SGA'!Y153</f>
        <v>0</v>
      </c>
      <c r="E158" s="1410" t="str">
        <f aca="false">IF('V_DATOS PAC_SGA'!AV153="","Regadio",'V_DATOS PAC_SGA'!AV153)</f>
        <v>Regadio</v>
      </c>
      <c r="F158" s="1411" t="n">
        <f aca="false">'V_DATOS PAC_SGA'!BK153</f>
        <v>0</v>
      </c>
      <c r="G158" s="1412" t="n">
        <f aca="false">'V_DATOS PAC_SGA'!AN153</f>
        <v>0</v>
      </c>
      <c r="H158" s="1413" t="str">
        <f aca="false">IF(B158&gt;0,VLOOKUP(B158,'O_MN, PE_UTA_UGM 2024'!E$3:O$419,10),"")</f>
        <v/>
      </c>
      <c r="I158" s="1359" t="str">
        <f aca="false">IF('V_DATOS PAC_SGA'!BV153="IV",'V_DATOS PAC_SGA'!BV153,"")</f>
        <v/>
      </c>
      <c r="J158" s="2" t="str">
        <f aca="false">IF($A158&gt;0,IF(AND(J$4=$G158,J$6=$F158),$D158*J$5,""),"")</f>
        <v/>
      </c>
      <c r="K158" s="2" t="str">
        <f aca="false">IF($A158&gt;0,IF(AND(K$4=$G158,K$6=$F158),$D158*K$5,""),"")</f>
        <v/>
      </c>
      <c r="L158" s="2" t="str">
        <f aca="false">IF($A158&gt;0,IF(AND(L$4=$G158,L$6=$F158),$D158*L$5,""),"")</f>
        <v/>
      </c>
      <c r="M158" s="2" t="str">
        <f aca="false">IF($A158&gt;0,IF(AND(M$4=$G158,M$6=$F158),$D158*M$5,""),"")</f>
        <v/>
      </c>
      <c r="N158" s="1506" t="n">
        <f aca="false">VLOOKUP(B158,'O_MN, PE_UTA_UGM 2024'!$E$2:$K$419,IF(G158&gt;1,6,7))</f>
        <v>0</v>
      </c>
      <c r="O158" s="1434" t="str">
        <f aca="false">IF($H158=O$4,$D158*$N158,"")</f>
        <v/>
      </c>
      <c r="P158" s="1435" t="str">
        <f aca="false">IF($H158=P$4,$D158*$N158,"")</f>
        <v/>
      </c>
      <c r="Q158" s="1435" t="str">
        <f aca="false">IF($H158=Q$4,$D158*$N158,"")</f>
        <v/>
      </c>
      <c r="R158" s="1435" t="str">
        <f aca="false">IF($H158=R$4,$D158*$N158,"")</f>
        <v/>
      </c>
      <c r="S158" s="1435" t="str">
        <f aca="false">IF($H158=S$4,$D158*$N158,"")</f>
        <v/>
      </c>
      <c r="T158" s="1435" t="str">
        <f aca="false">IF($H158=T$4,$D158*$N158,"")</f>
        <v/>
      </c>
      <c r="U158" s="1436" t="str">
        <f aca="false">IF($H158=U$4,$D158*$N158,"")</f>
        <v/>
      </c>
      <c r="V158" s="1418"/>
      <c r="W158" s="1419"/>
      <c r="X158" s="1419"/>
      <c r="Y158" s="1419"/>
      <c r="Z158" s="1419"/>
      <c r="AA158" s="1419"/>
      <c r="AB158" s="1420"/>
      <c r="AC158" s="1319"/>
      <c r="AD158" s="2" t="str">
        <f aca="false">IF(AND(AD$4=$G158,AD$6=$F158),$B158,"")</f>
        <v/>
      </c>
      <c r="AE158" s="2" t="str">
        <f aca="false">IF(AND(AE$4=$G158,AE$6=$F158),$B158,"")</f>
        <v/>
      </c>
      <c r="AF158" s="2" t="str">
        <f aca="false">IF(AND(AF$4=$G158,AF$6=$F158),$B158,"")</f>
        <v/>
      </c>
      <c r="AG158" s="2" t="str">
        <f aca="false">IF(AND(AG$4=$G158,AG$6=$F158),$B158,"")</f>
        <v/>
      </c>
      <c r="AI158" s="366"/>
      <c r="AL158" s="367"/>
      <c r="AO158" s="367"/>
      <c r="AP158" s="2" t="str">
        <f aca="false">IF(AT158&gt;0,RANK(AT158,AT$7:AT$423),"")</f>
        <v/>
      </c>
      <c r="AQ158" s="2" t="n">
        <f aca="false">'O_MN, PE_UTA_UGM 2024'!C154</f>
        <v>176</v>
      </c>
      <c r="AR158" s="1421" t="n">
        <v>1749</v>
      </c>
      <c r="AS158" s="2" t="str">
        <f aca="false">IF(AY158&lt;&gt;"",AY158,"")</f>
        <v/>
      </c>
      <c r="AT158" s="1422" t="n">
        <f aca="false">IF(ISNUMBER($AR158),SUMIF(B$7:B$505,AR158,D$7:D$505),"")</f>
        <v>0</v>
      </c>
      <c r="AU158" s="1411" t="n">
        <f aca="false">IF(ISNUMBER($AR158),SUMIF(AD$7:AD$503,$AR158,J$7:J$503),"")</f>
        <v>0</v>
      </c>
      <c r="AV158" s="1411" t="n">
        <f aca="false">IF(ISNUMBER($AR158),SUMIF(AF$7:AF$503,$AR158,L$7:L$503),"")</f>
        <v>0</v>
      </c>
      <c r="AW158" s="1423" t="n">
        <f aca="false">IF(ISNUMBER($AR158),SUMIF(AE$7:AE$503,$AR158,K$7:K$503),"")</f>
        <v>0</v>
      </c>
      <c r="AX158" s="1423" t="n">
        <f aca="false">IF(ISNUMBER($AR158),SUMIF(AG$7:AG$503,$AR158,M$7:M$503),"")</f>
        <v>0</v>
      </c>
      <c r="AY158" s="2" t="str">
        <f aca="false">IF($AT158&gt;0,VLOOKUP($AR158,'O_MN, PE_UTA_UGM 2024'!E154:O570,2),"")</f>
        <v/>
      </c>
      <c r="AZ158" s="1507"/>
      <c r="BA158" s="1507"/>
      <c r="BB158" s="1507" t="str">
        <f aca="false">IF($AT158&gt;0,VLOOKUP($AR158,'O_MN, PE_UTA_UGM 2024'!$E$3:$O$419,BB$6),"")</f>
        <v/>
      </c>
      <c r="BC158" s="1507" t="str">
        <f aca="false">IF($AT158&gt;0,VLOOKUP($AR158,'O_MN, PE_UTA_UGM 2024'!$E$3:$O$419,BC$6),"")</f>
        <v/>
      </c>
      <c r="BD158" s="1507" t="str">
        <f aca="false">IF($AT158&gt;0,VLOOKUP($AR158,'O_MN, PE_UTA_UGM 2024'!$E$3:$O$419,BD$6),"")</f>
        <v/>
      </c>
      <c r="BE158" s="1507" t="str">
        <f aca="false">IF($AT158&gt;0,VLOOKUP($AR158,'O_MN, PE_UTA_UGM 2024'!$E$3:$O$419,BE$6),"")</f>
        <v/>
      </c>
      <c r="BF158" s="1507" t="str">
        <f aca="false">IF($AT158&gt;0,VLOOKUP($AR158,'O_MN, PE_UTA_UGM 2024'!$E$3:$O$419,BF$6),"")</f>
        <v/>
      </c>
      <c r="BG158" s="1507" t="str">
        <f aca="false">IF($AT158&gt;0,VLOOKUP($AR158,'O_MN, PE_UTA_UGM 2024'!$E$3:$O$419,BG$6),"")</f>
        <v/>
      </c>
      <c r="BH158" s="1504"/>
      <c r="BI158" s="1504"/>
      <c r="BJ158" s="1504"/>
      <c r="BK158" s="1504"/>
      <c r="BM158" s="1411"/>
      <c r="BN158" s="1411"/>
      <c r="BO158" s="1425" t="str">
        <f aca="false">IF(ISNUMBER($AU158*BB158*1),$AU158*BB158*1,"")</f>
        <v/>
      </c>
      <c r="BP158" s="1425" t="str">
        <f aca="false">IF(ISNUMBER($AV158*BC158*1),$AV158*BC158*1,"")</f>
        <v/>
      </c>
      <c r="BQ158" s="1425" t="str">
        <f aca="false">IF(ISNUMBER($AU158*BD158*1),$AU158*BD158*1,"")</f>
        <v/>
      </c>
      <c r="BR158" s="1425" t="str">
        <f aca="false">IF(ISNUMBER($AV158*BE158*1),$AV158*BE158*1,"")</f>
        <v/>
      </c>
      <c r="BS158" s="1411" t="str">
        <f aca="false">IF(ISNUMBER($AU158*BF158),$AU158*BF158,"")</f>
        <v/>
      </c>
      <c r="BT158" s="1411" t="str">
        <f aca="false">IF(ISNUMBER($AV158*BG158),$AV158*BG158,"")</f>
        <v/>
      </c>
      <c r="BU158" s="1411"/>
      <c r="BV158" s="1411"/>
      <c r="BW158" s="1411"/>
      <c r="BX158" s="1411"/>
      <c r="BZ158" s="1372"/>
      <c r="CA158" s="1372"/>
      <c r="CB158" s="1426" t="str">
        <f aca="false">IF(ISNUMBER($AW158*BB158),$AW158*BB158,"")</f>
        <v/>
      </c>
      <c r="CC158" s="1426" t="str">
        <f aca="false">IF(ISNUMBER($AX158*BC158),$AX158*BC158,"")</f>
        <v/>
      </c>
      <c r="CD158" s="1426" t="str">
        <f aca="false">IF(ISNUMBER($AW158*BD158),$AW158*BD158,"")</f>
        <v/>
      </c>
      <c r="CE158" s="1426" t="str">
        <f aca="false">IF(ISNUMBER($AX158*BE158),$AX158*BE158,"")</f>
        <v/>
      </c>
      <c r="CF158" s="1372" t="str">
        <f aca="false">IF(ISNUMBER($AW158*BF158),$AW158*BF158,"")</f>
        <v/>
      </c>
      <c r="CG158" s="1372" t="str">
        <f aca="false">IF(ISNUMBER($AX158*BG158),$AX158*BG158,"")</f>
        <v/>
      </c>
      <c r="CH158" s="1438"/>
      <c r="CI158" s="1438"/>
      <c r="CJ158" s="1438"/>
      <c r="CK158" s="1438"/>
      <c r="CU158" s="1411"/>
      <c r="CV158" s="1411"/>
      <c r="CW158" s="1425"/>
      <c r="CX158" s="1425"/>
      <c r="CY158" s="1425"/>
      <c r="CZ158" s="1425"/>
      <c r="DA158" s="1411"/>
      <c r="DB158" s="1411"/>
      <c r="DC158" s="1411"/>
      <c r="DD158" s="1411"/>
      <c r="DE158" s="1411"/>
      <c r="DF158" s="1411"/>
      <c r="DH158" s="1432"/>
      <c r="DI158" s="1432"/>
      <c r="DJ158" s="1437"/>
      <c r="DK158" s="1437"/>
      <c r="DL158" s="1437"/>
      <c r="DM158" s="1437"/>
      <c r="DN158" s="1432"/>
      <c r="DO158" s="1432"/>
      <c r="DP158" s="1432"/>
      <c r="DQ158" s="1432"/>
      <c r="DR158" s="1432"/>
      <c r="DS158" s="1432"/>
      <c r="DT158" s="1316"/>
      <c r="DU158" s="1433"/>
      <c r="DV158" s="1433"/>
      <c r="DW158" s="1433"/>
      <c r="DX158" s="1433"/>
      <c r="DY158" s="1433"/>
      <c r="DZ158" s="1433"/>
      <c r="EA158" s="1433"/>
      <c r="EB158" s="1433"/>
    </row>
    <row r="159" customFormat="false" ht="14.25" hidden="false" customHeight="false" outlineLevel="0" collapsed="false">
      <c r="A159" s="2" t="n">
        <f aca="false">'V_DATOS PAC_SGA'!CC154</f>
        <v>0</v>
      </c>
      <c r="B159" s="2" t="n">
        <f aca="false">IF(OR(A159=0,A159=""),0,IF(I159="IV",CONCATENATE('V_DATOS PAC_SGA'!CC154,"4")+0,CONCATENATE('V_DATOS PAC_SGA'!CC154,"0")+0))</f>
        <v>0</v>
      </c>
      <c r="C159" s="2" t="n">
        <f aca="false">'V_DATOS PAC_SGA'!CD154</f>
        <v>0</v>
      </c>
      <c r="D159" s="1409" t="n">
        <f aca="false">'V_DATOS PAC_SGA'!Y154</f>
        <v>0</v>
      </c>
      <c r="E159" s="1410" t="str">
        <f aca="false">IF('V_DATOS PAC_SGA'!AV154="","Regadio",'V_DATOS PAC_SGA'!AV154)</f>
        <v>Regadio</v>
      </c>
      <c r="F159" s="1411" t="n">
        <f aca="false">'V_DATOS PAC_SGA'!BK154</f>
        <v>0</v>
      </c>
      <c r="G159" s="1412" t="n">
        <f aca="false">'V_DATOS PAC_SGA'!AN154</f>
        <v>0</v>
      </c>
      <c r="H159" s="1413" t="str">
        <f aca="false">IF(B159&gt;0,VLOOKUP(B159,'O_MN, PE_UTA_UGM 2024'!E$3:O$419,10),"")</f>
        <v/>
      </c>
      <c r="I159" s="1359" t="str">
        <f aca="false">IF('V_DATOS PAC_SGA'!BV154="IV",'V_DATOS PAC_SGA'!BV154,"")</f>
        <v/>
      </c>
      <c r="J159" s="2" t="str">
        <f aca="false">IF($A159&gt;0,IF(AND(J$4=$G159,J$6=$F159),$D159*J$5,""),"")</f>
        <v/>
      </c>
      <c r="K159" s="2" t="str">
        <f aca="false">IF($A159&gt;0,IF(AND(K$4=$G159,K$6=$F159),$D159*K$5,""),"")</f>
        <v/>
      </c>
      <c r="L159" s="2" t="str">
        <f aca="false">IF($A159&gt;0,IF(AND(L$4=$G159,L$6=$F159),$D159*L$5,""),"")</f>
        <v/>
      </c>
      <c r="M159" s="2" t="str">
        <f aca="false">IF($A159&gt;0,IF(AND(M$4=$G159,M$6=$F159),$D159*M$5,""),"")</f>
        <v/>
      </c>
      <c r="N159" s="1506" t="n">
        <f aca="false">VLOOKUP(B159,'O_MN, PE_UTA_UGM 2024'!$E$2:$K$419,IF(G159&gt;1,6,7))</f>
        <v>0</v>
      </c>
      <c r="O159" s="1434" t="str">
        <f aca="false">IF($H159=O$4,$D159*$N159,"")</f>
        <v/>
      </c>
      <c r="P159" s="1435" t="str">
        <f aca="false">IF($H159=P$4,$D159*$N159,"")</f>
        <v/>
      </c>
      <c r="Q159" s="1435" t="str">
        <f aca="false">IF($H159=Q$4,$D159*$N159,"")</f>
        <v/>
      </c>
      <c r="R159" s="1435" t="str">
        <f aca="false">IF($H159=R$4,$D159*$N159,"")</f>
        <v/>
      </c>
      <c r="S159" s="1435" t="str">
        <f aca="false">IF($H159=S$4,$D159*$N159,"")</f>
        <v/>
      </c>
      <c r="T159" s="1435" t="str">
        <f aca="false">IF($H159=T$4,$D159*$N159,"")</f>
        <v/>
      </c>
      <c r="U159" s="1436" t="str">
        <f aca="false">IF($H159=U$4,$D159*$N159,"")</f>
        <v/>
      </c>
      <c r="V159" s="1418"/>
      <c r="W159" s="1419"/>
      <c r="X159" s="1419"/>
      <c r="Y159" s="1419"/>
      <c r="Z159" s="1419"/>
      <c r="AA159" s="1419"/>
      <c r="AB159" s="1420"/>
      <c r="AC159" s="1319"/>
      <c r="AD159" s="2" t="str">
        <f aca="false">IF(AND(AD$4=$G159,AD$6=$F159),$B159,"")</f>
        <v/>
      </c>
      <c r="AE159" s="2" t="str">
        <f aca="false">IF(AND(AE$4=$G159,AE$6=$F159),$B159,"")</f>
        <v/>
      </c>
      <c r="AF159" s="2" t="str">
        <f aca="false">IF(AND(AF$4=$G159,AF$6=$F159),$B159,"")</f>
        <v/>
      </c>
      <c r="AG159" s="2" t="str">
        <f aca="false">IF(AND(AG$4=$G159,AG$6=$F159),$B159,"")</f>
        <v/>
      </c>
      <c r="AI159" s="366"/>
      <c r="AL159" s="367"/>
      <c r="AO159" s="367"/>
      <c r="AP159" s="2" t="str">
        <f aca="false">IF(AT159&gt;0,RANK(AT159,AT$7:AT$423),"")</f>
        <v/>
      </c>
      <c r="AQ159" s="2" t="n">
        <f aca="false">'O_MN, PE_UTA_UGM 2024'!C155</f>
        <v>176</v>
      </c>
      <c r="AR159" s="1421" t="n">
        <v>1750</v>
      </c>
      <c r="AS159" s="2" t="str">
        <f aca="false">IF(AY159&lt;&gt;"",AY159,"")</f>
        <v/>
      </c>
      <c r="AT159" s="1422" t="n">
        <f aca="false">IF(ISNUMBER($AR159),SUMIF(B$7:B$505,AR159,D$7:D$505),"")</f>
        <v>0</v>
      </c>
      <c r="AU159" s="1411" t="n">
        <f aca="false">IF(ISNUMBER($AR159),SUMIF(AD$7:AD$503,$AR159,J$7:J$503),"")</f>
        <v>0</v>
      </c>
      <c r="AV159" s="1411" t="n">
        <f aca="false">IF(ISNUMBER($AR159),SUMIF(AF$7:AF$503,$AR159,L$7:L$503),"")</f>
        <v>0</v>
      </c>
      <c r="AW159" s="1423" t="n">
        <f aca="false">IF(ISNUMBER($AR159),SUMIF(AE$7:AE$503,$AR159,K$7:K$503),"")</f>
        <v>0</v>
      </c>
      <c r="AX159" s="1423" t="n">
        <f aca="false">IF(ISNUMBER($AR159),SUMIF(AG$7:AG$503,$AR159,M$7:M$503),"")</f>
        <v>0</v>
      </c>
      <c r="AY159" s="2" t="str">
        <f aca="false">IF($AT159&gt;0,VLOOKUP($AR159,'O_MN, PE_UTA_UGM 2024'!E155:O571,2),"")</f>
        <v/>
      </c>
      <c r="AZ159" s="1507"/>
      <c r="BA159" s="1507"/>
      <c r="BB159" s="1507" t="str">
        <f aca="false">IF($AT159&gt;0,VLOOKUP($AR159,'O_MN, PE_UTA_UGM 2024'!$E$3:$O$419,BB$6),"")</f>
        <v/>
      </c>
      <c r="BC159" s="1507" t="str">
        <f aca="false">IF($AT159&gt;0,VLOOKUP($AR159,'O_MN, PE_UTA_UGM 2024'!$E$3:$O$419,BC$6),"")</f>
        <v/>
      </c>
      <c r="BD159" s="1507" t="str">
        <f aca="false">IF($AT159&gt;0,VLOOKUP($AR159,'O_MN, PE_UTA_UGM 2024'!$E$3:$O$419,BD$6),"")</f>
        <v/>
      </c>
      <c r="BE159" s="1507" t="str">
        <f aca="false">IF($AT159&gt;0,VLOOKUP($AR159,'O_MN, PE_UTA_UGM 2024'!$E$3:$O$419,BE$6),"")</f>
        <v/>
      </c>
      <c r="BF159" s="1507" t="str">
        <f aca="false">IF($AT159&gt;0,VLOOKUP($AR159,'O_MN, PE_UTA_UGM 2024'!$E$3:$O$419,BF$6),"")</f>
        <v/>
      </c>
      <c r="BG159" s="1507" t="str">
        <f aca="false">IF($AT159&gt;0,VLOOKUP($AR159,'O_MN, PE_UTA_UGM 2024'!$E$3:$O$419,BG$6),"")</f>
        <v/>
      </c>
      <c r="BH159" s="1504"/>
      <c r="BI159" s="1504"/>
      <c r="BJ159" s="1504"/>
      <c r="BK159" s="1504"/>
      <c r="BM159" s="1411"/>
      <c r="BN159" s="1411"/>
      <c r="BO159" s="1425" t="str">
        <f aca="false">IF(ISNUMBER($AU159*BB159*1),$AU159*BB159*1,"")</f>
        <v/>
      </c>
      <c r="BP159" s="1425" t="str">
        <f aca="false">IF(ISNUMBER($AV159*BC159*1),$AV159*BC159*1,"")</f>
        <v/>
      </c>
      <c r="BQ159" s="1425" t="str">
        <f aca="false">IF(ISNUMBER($AU159*BD159*1),$AU159*BD159*1,"")</f>
        <v/>
      </c>
      <c r="BR159" s="1425" t="str">
        <f aca="false">IF(ISNUMBER($AV159*BE159*1),$AV159*BE159*1,"")</f>
        <v/>
      </c>
      <c r="BS159" s="1411" t="str">
        <f aca="false">IF(ISNUMBER($AU159*BF159),$AU159*BF159,"")</f>
        <v/>
      </c>
      <c r="BT159" s="1411" t="str">
        <f aca="false">IF(ISNUMBER($AV159*BG159),$AV159*BG159,"")</f>
        <v/>
      </c>
      <c r="BU159" s="1411"/>
      <c r="BV159" s="1411"/>
      <c r="BW159" s="1411"/>
      <c r="BX159" s="1411"/>
      <c r="BZ159" s="1372"/>
      <c r="CA159" s="1372"/>
      <c r="CB159" s="1426" t="str">
        <f aca="false">IF(ISNUMBER($AW159*BB159),$AW159*BB159,"")</f>
        <v/>
      </c>
      <c r="CC159" s="1426" t="str">
        <f aca="false">IF(ISNUMBER($AX159*BC159),$AX159*BC159,"")</f>
        <v/>
      </c>
      <c r="CD159" s="1426" t="str">
        <f aca="false">IF(ISNUMBER($AW159*BD159),$AW159*BD159,"")</f>
        <v/>
      </c>
      <c r="CE159" s="1426" t="str">
        <f aca="false">IF(ISNUMBER($AX159*BE159),$AX159*BE159,"")</f>
        <v/>
      </c>
      <c r="CF159" s="1372" t="str">
        <f aca="false">IF(ISNUMBER($AW159*BF159),$AW159*BF159,"")</f>
        <v/>
      </c>
      <c r="CG159" s="1372" t="str">
        <f aca="false">IF(ISNUMBER($AX159*BG159),$AX159*BG159,"")</f>
        <v/>
      </c>
      <c r="CH159" s="1438"/>
      <c r="CI159" s="1438"/>
      <c r="CJ159" s="1438"/>
      <c r="CK159" s="1438"/>
      <c r="CU159" s="1411"/>
      <c r="CV159" s="1411"/>
      <c r="CW159" s="1425"/>
      <c r="CX159" s="1425"/>
      <c r="CY159" s="1425"/>
      <c r="CZ159" s="1425"/>
      <c r="DA159" s="1411"/>
      <c r="DB159" s="1411"/>
      <c r="DC159" s="1411"/>
      <c r="DD159" s="1411"/>
      <c r="DE159" s="1411"/>
      <c r="DF159" s="1411"/>
      <c r="DH159" s="1432"/>
      <c r="DI159" s="1432"/>
      <c r="DJ159" s="1437"/>
      <c r="DK159" s="1437"/>
      <c r="DL159" s="1437"/>
      <c r="DM159" s="1437"/>
      <c r="DN159" s="1432"/>
      <c r="DO159" s="1432"/>
      <c r="DP159" s="1432"/>
      <c r="DQ159" s="1432"/>
      <c r="DR159" s="1432"/>
      <c r="DS159" s="1432"/>
      <c r="DT159" s="1316"/>
      <c r="DU159" s="1433"/>
      <c r="DV159" s="1433"/>
      <c r="DW159" s="1433"/>
      <c r="DX159" s="1433"/>
      <c r="DY159" s="1433"/>
      <c r="DZ159" s="1433"/>
      <c r="EA159" s="1433"/>
      <c r="EB159" s="1433"/>
    </row>
    <row r="160" customFormat="false" ht="14.25" hidden="false" customHeight="false" outlineLevel="0" collapsed="false">
      <c r="A160" s="2" t="n">
        <f aca="false">'V_DATOS PAC_SGA'!CC155</f>
        <v>0</v>
      </c>
      <c r="B160" s="2" t="n">
        <f aca="false">IF(OR(A160=0,A160=""),0,IF(I160="IV",CONCATENATE('V_DATOS PAC_SGA'!CC155,"4")+0,CONCATENATE('V_DATOS PAC_SGA'!CC155,"0")+0))</f>
        <v>0</v>
      </c>
      <c r="C160" s="2" t="n">
        <f aca="false">'V_DATOS PAC_SGA'!CD155</f>
        <v>0</v>
      </c>
      <c r="D160" s="1409" t="n">
        <f aca="false">'V_DATOS PAC_SGA'!Y155</f>
        <v>0</v>
      </c>
      <c r="E160" s="1410" t="str">
        <f aca="false">IF('V_DATOS PAC_SGA'!AV155="","Regadio",'V_DATOS PAC_SGA'!AV155)</f>
        <v>Regadio</v>
      </c>
      <c r="F160" s="1411" t="n">
        <f aca="false">'V_DATOS PAC_SGA'!BK155</f>
        <v>0</v>
      </c>
      <c r="G160" s="1412" t="n">
        <f aca="false">'V_DATOS PAC_SGA'!AN155</f>
        <v>0</v>
      </c>
      <c r="H160" s="1413" t="str">
        <f aca="false">IF(B160&gt;0,VLOOKUP(B160,'O_MN, PE_UTA_UGM 2024'!E$3:O$419,10),"")</f>
        <v/>
      </c>
      <c r="I160" s="1359" t="str">
        <f aca="false">IF('V_DATOS PAC_SGA'!BV155="IV",'V_DATOS PAC_SGA'!BV155,"")</f>
        <v/>
      </c>
      <c r="J160" s="2" t="str">
        <f aca="false">IF($A160&gt;0,IF(AND(J$4=$G160,J$6=$F160),$D160*J$5,""),"")</f>
        <v/>
      </c>
      <c r="K160" s="2" t="str">
        <f aca="false">IF($A160&gt;0,IF(AND(K$4=$G160,K$6=$F160),$D160*K$5,""),"")</f>
        <v/>
      </c>
      <c r="L160" s="2" t="str">
        <f aca="false">IF($A160&gt;0,IF(AND(L$4=$G160,L$6=$F160),$D160*L$5,""),"")</f>
        <v/>
      </c>
      <c r="M160" s="2" t="str">
        <f aca="false">IF($A160&gt;0,IF(AND(M$4=$G160,M$6=$F160),$D160*M$5,""),"")</f>
        <v/>
      </c>
      <c r="N160" s="1506" t="n">
        <f aca="false">VLOOKUP(B160,'O_MN, PE_UTA_UGM 2024'!$E$2:$K$419,IF(G160&gt;1,6,7))</f>
        <v>0</v>
      </c>
      <c r="O160" s="1434" t="str">
        <f aca="false">IF($H160=O$4,$D160*$N160,"")</f>
        <v/>
      </c>
      <c r="P160" s="1435" t="str">
        <f aca="false">IF($H160=P$4,$D160*$N160,"")</f>
        <v/>
      </c>
      <c r="Q160" s="1435" t="str">
        <f aca="false">IF($H160=Q$4,$D160*$N160,"")</f>
        <v/>
      </c>
      <c r="R160" s="1435" t="str">
        <f aca="false">IF($H160=R$4,$D160*$N160,"")</f>
        <v/>
      </c>
      <c r="S160" s="1435" t="str">
        <f aca="false">IF($H160=S$4,$D160*$N160,"")</f>
        <v/>
      </c>
      <c r="T160" s="1435" t="str">
        <f aca="false">IF($H160=T$4,$D160*$N160,"")</f>
        <v/>
      </c>
      <c r="U160" s="1436" t="str">
        <f aca="false">IF($H160=U$4,$D160*$N160,"")</f>
        <v/>
      </c>
      <c r="V160" s="1418"/>
      <c r="W160" s="1419"/>
      <c r="X160" s="1419"/>
      <c r="Y160" s="1419"/>
      <c r="Z160" s="1419"/>
      <c r="AA160" s="1419"/>
      <c r="AB160" s="1420"/>
      <c r="AC160" s="1319"/>
      <c r="AD160" s="2" t="str">
        <f aca="false">IF(AND(AD$4=$G160,AD$6=$F160),$B160,"")</f>
        <v/>
      </c>
      <c r="AE160" s="2" t="str">
        <f aca="false">IF(AND(AE$4=$G160,AE$6=$F160),$B160,"")</f>
        <v/>
      </c>
      <c r="AF160" s="2" t="str">
        <f aca="false">IF(AND(AF$4=$G160,AF$6=$F160),$B160,"")</f>
        <v/>
      </c>
      <c r="AG160" s="2" t="str">
        <f aca="false">IF(AND(AG$4=$G160,AG$6=$F160),$B160,"")</f>
        <v/>
      </c>
      <c r="AI160" s="366"/>
      <c r="AL160" s="367"/>
      <c r="AO160" s="367"/>
      <c r="AP160" s="2" t="str">
        <f aca="false">IF(AT160&gt;0,RANK(AT160,AT$7:AT$423),"")</f>
        <v/>
      </c>
      <c r="AQ160" s="2" t="n">
        <f aca="false">'O_MN, PE_UTA_UGM 2024'!C156</f>
        <v>176</v>
      </c>
      <c r="AR160" s="1421" t="n">
        <v>1754</v>
      </c>
      <c r="AS160" s="2" t="str">
        <f aca="false">IF(AY160&lt;&gt;"",AY160,"")</f>
        <v/>
      </c>
      <c r="AT160" s="1422" t="n">
        <f aca="false">IF(ISNUMBER($AR160),SUMIF(B$7:B$505,AR160,D$7:D$505),"")</f>
        <v>0</v>
      </c>
      <c r="AU160" s="1411" t="n">
        <f aca="false">IF(ISNUMBER($AR160),SUMIF(AD$7:AD$503,$AR160,J$7:J$503),"")</f>
        <v>0</v>
      </c>
      <c r="AV160" s="1411" t="n">
        <f aca="false">IF(ISNUMBER($AR160),SUMIF(AF$7:AF$503,$AR160,L$7:L$503),"")</f>
        <v>0</v>
      </c>
      <c r="AW160" s="1423" t="n">
        <f aca="false">IF(ISNUMBER($AR160),SUMIF(AE$7:AE$503,$AR160,K$7:K$503),"")</f>
        <v>0</v>
      </c>
      <c r="AX160" s="1423" t="n">
        <f aca="false">IF(ISNUMBER($AR160),SUMIF(AG$7:AG$503,$AR160,M$7:M$503),"")</f>
        <v>0</v>
      </c>
      <c r="AY160" s="2" t="str">
        <f aca="false">IF($AT160&gt;0,VLOOKUP($AR160,'O_MN, PE_UTA_UGM 2024'!E156:O572,2),"")</f>
        <v/>
      </c>
      <c r="AZ160" s="1507"/>
      <c r="BA160" s="1507"/>
      <c r="BB160" s="1507" t="str">
        <f aca="false">IF($AT160&gt;0,VLOOKUP($AR160,'O_MN, PE_UTA_UGM 2024'!$E$3:$O$419,BB$6),"")</f>
        <v/>
      </c>
      <c r="BC160" s="1507" t="str">
        <f aca="false">IF($AT160&gt;0,VLOOKUP($AR160,'O_MN, PE_UTA_UGM 2024'!$E$3:$O$419,BC$6),"")</f>
        <v/>
      </c>
      <c r="BD160" s="1507" t="str">
        <f aca="false">IF($AT160&gt;0,VLOOKUP($AR160,'O_MN, PE_UTA_UGM 2024'!$E$3:$O$419,BD$6),"")</f>
        <v/>
      </c>
      <c r="BE160" s="1507" t="str">
        <f aca="false">IF($AT160&gt;0,VLOOKUP($AR160,'O_MN, PE_UTA_UGM 2024'!$E$3:$O$419,BE$6),"")</f>
        <v/>
      </c>
      <c r="BF160" s="1507" t="str">
        <f aca="false">IF($AT160&gt;0,VLOOKUP($AR160,'O_MN, PE_UTA_UGM 2024'!$E$3:$O$419,BF$6),"")</f>
        <v/>
      </c>
      <c r="BG160" s="1507" t="str">
        <f aca="false">IF($AT160&gt;0,VLOOKUP($AR160,'O_MN, PE_UTA_UGM 2024'!$E$3:$O$419,BG$6),"")</f>
        <v/>
      </c>
      <c r="BH160" s="1504"/>
      <c r="BI160" s="1504"/>
      <c r="BJ160" s="1504"/>
      <c r="BK160" s="1504"/>
      <c r="BM160" s="1411"/>
      <c r="BN160" s="1411"/>
      <c r="BO160" s="1425" t="str">
        <f aca="false">IF(ISNUMBER($AU160*BB160*1),$AU160*BB160*1,"")</f>
        <v/>
      </c>
      <c r="BP160" s="1425" t="str">
        <f aca="false">IF(ISNUMBER($AV160*BC160*1),$AV160*BC160*1,"")</f>
        <v/>
      </c>
      <c r="BQ160" s="1425" t="str">
        <f aca="false">IF(ISNUMBER($AU160*BD160*1),$AU160*BD160*1,"")</f>
        <v/>
      </c>
      <c r="BR160" s="1425" t="str">
        <f aca="false">IF(ISNUMBER($AV160*BE160*1),$AV160*BE160*1,"")</f>
        <v/>
      </c>
      <c r="BS160" s="1411" t="str">
        <f aca="false">IF(ISNUMBER($AU160*BF160),$AU160*BF160,"")</f>
        <v/>
      </c>
      <c r="BT160" s="1411" t="str">
        <f aca="false">IF(ISNUMBER($AV160*BG160),$AV160*BG160,"")</f>
        <v/>
      </c>
      <c r="BU160" s="1411"/>
      <c r="BV160" s="1411"/>
      <c r="BW160" s="1411"/>
      <c r="BX160" s="1411"/>
      <c r="BZ160" s="1372"/>
      <c r="CA160" s="1372"/>
      <c r="CB160" s="1426" t="str">
        <f aca="false">IF(ISNUMBER($AW160*BB160),$AW160*BB160,"")</f>
        <v/>
      </c>
      <c r="CC160" s="1426" t="str">
        <f aca="false">IF(ISNUMBER($AX160*BC160),$AX160*BC160,"")</f>
        <v/>
      </c>
      <c r="CD160" s="1426" t="str">
        <f aca="false">IF(ISNUMBER($AW160*BD160),$AW160*BD160,"")</f>
        <v/>
      </c>
      <c r="CE160" s="1426" t="str">
        <f aca="false">IF(ISNUMBER($AX160*BE160),$AX160*BE160,"")</f>
        <v/>
      </c>
      <c r="CF160" s="1372" t="str">
        <f aca="false">IF(ISNUMBER($AW160*BF160),$AW160*BF160,"")</f>
        <v/>
      </c>
      <c r="CG160" s="1372" t="str">
        <f aca="false">IF(ISNUMBER($AX160*BG160),$AX160*BG160,"")</f>
        <v/>
      </c>
      <c r="CH160" s="1438"/>
      <c r="CI160" s="1438"/>
      <c r="CJ160" s="1438"/>
      <c r="CK160" s="1438"/>
      <c r="CU160" s="1411"/>
      <c r="CV160" s="1411"/>
      <c r="CW160" s="1425"/>
      <c r="CX160" s="1425"/>
      <c r="CY160" s="1425"/>
      <c r="CZ160" s="1425"/>
      <c r="DA160" s="1411"/>
      <c r="DB160" s="1411"/>
      <c r="DC160" s="1411"/>
      <c r="DD160" s="1411"/>
      <c r="DE160" s="1411"/>
      <c r="DF160" s="1411"/>
      <c r="DH160" s="1432"/>
      <c r="DI160" s="1432"/>
      <c r="DJ160" s="1437"/>
      <c r="DK160" s="1437"/>
      <c r="DL160" s="1437"/>
      <c r="DM160" s="1437"/>
      <c r="DN160" s="1432"/>
      <c r="DO160" s="1432"/>
      <c r="DP160" s="1432"/>
      <c r="DQ160" s="1432"/>
      <c r="DR160" s="1432"/>
      <c r="DS160" s="1432"/>
      <c r="DT160" s="1316"/>
      <c r="DU160" s="1433"/>
      <c r="DV160" s="1433"/>
      <c r="DW160" s="1433"/>
      <c r="DX160" s="1433"/>
      <c r="DY160" s="1433"/>
      <c r="DZ160" s="1433"/>
      <c r="EA160" s="1433"/>
      <c r="EB160" s="1433"/>
    </row>
    <row r="161" customFormat="false" ht="14.25" hidden="false" customHeight="false" outlineLevel="0" collapsed="false">
      <c r="A161" s="2" t="n">
        <f aca="false">'V_DATOS PAC_SGA'!CC156</f>
        <v>0</v>
      </c>
      <c r="B161" s="2" t="n">
        <f aca="false">IF(OR(A161=0,A161=""),0,IF(I161="IV",CONCATENATE('V_DATOS PAC_SGA'!CC156,"4")+0,CONCATENATE('V_DATOS PAC_SGA'!CC156,"0")+0))</f>
        <v>0</v>
      </c>
      <c r="C161" s="2" t="n">
        <f aca="false">'V_DATOS PAC_SGA'!CD156</f>
        <v>0</v>
      </c>
      <c r="D161" s="1409" t="n">
        <f aca="false">'V_DATOS PAC_SGA'!Y156</f>
        <v>0</v>
      </c>
      <c r="E161" s="1410" t="str">
        <f aca="false">IF('V_DATOS PAC_SGA'!AV156="","Regadio",'V_DATOS PAC_SGA'!AV156)</f>
        <v>Regadio</v>
      </c>
      <c r="F161" s="1411" t="n">
        <f aca="false">'V_DATOS PAC_SGA'!BK156</f>
        <v>0</v>
      </c>
      <c r="G161" s="1412" t="n">
        <f aca="false">'V_DATOS PAC_SGA'!AN156</f>
        <v>0</v>
      </c>
      <c r="H161" s="1413" t="str">
        <f aca="false">IF(B161&gt;0,VLOOKUP(B161,'O_MN, PE_UTA_UGM 2024'!E$3:O$419,10),"")</f>
        <v/>
      </c>
      <c r="I161" s="1359" t="str">
        <f aca="false">IF('V_DATOS PAC_SGA'!BV156="IV",'V_DATOS PAC_SGA'!BV156,"")</f>
        <v/>
      </c>
      <c r="J161" s="2" t="str">
        <f aca="false">IF($A161&gt;0,IF(AND(J$4=$G161,J$6=$F161),$D161*J$5,""),"")</f>
        <v/>
      </c>
      <c r="K161" s="2" t="str">
        <f aca="false">IF($A161&gt;0,IF(AND(K$4=$G161,K$6=$F161),$D161*K$5,""),"")</f>
        <v/>
      </c>
      <c r="L161" s="2" t="str">
        <f aca="false">IF($A161&gt;0,IF(AND(L$4=$G161,L$6=$F161),$D161*L$5,""),"")</f>
        <v/>
      </c>
      <c r="M161" s="2" t="str">
        <f aca="false">IF($A161&gt;0,IF(AND(M$4=$G161,M$6=$F161),$D161*M$5,""),"")</f>
        <v/>
      </c>
      <c r="N161" s="1506" t="n">
        <f aca="false">VLOOKUP(B161,'O_MN, PE_UTA_UGM 2024'!$E$2:$K$419,IF(G161&gt;1,6,7))</f>
        <v>0</v>
      </c>
      <c r="O161" s="1434" t="str">
        <f aca="false">IF($H161=O$4,$D161*$N161,"")</f>
        <v/>
      </c>
      <c r="P161" s="1435" t="str">
        <f aca="false">IF($H161=P$4,$D161*$N161,"")</f>
        <v/>
      </c>
      <c r="Q161" s="1435" t="str">
        <f aca="false">IF($H161=Q$4,$D161*$N161,"")</f>
        <v/>
      </c>
      <c r="R161" s="1435" t="str">
        <f aca="false">IF($H161=R$4,$D161*$N161,"")</f>
        <v/>
      </c>
      <c r="S161" s="1435" t="str">
        <f aca="false">IF($H161=S$4,$D161*$N161,"")</f>
        <v/>
      </c>
      <c r="T161" s="1435" t="str">
        <f aca="false">IF($H161=T$4,$D161*$N161,"")</f>
        <v/>
      </c>
      <c r="U161" s="1436" t="str">
        <f aca="false">IF($H161=U$4,$D161*$N161,"")</f>
        <v/>
      </c>
      <c r="V161" s="1418"/>
      <c r="W161" s="1419"/>
      <c r="X161" s="1419"/>
      <c r="Y161" s="1419"/>
      <c r="Z161" s="1419"/>
      <c r="AA161" s="1419"/>
      <c r="AB161" s="1420"/>
      <c r="AC161" s="1319"/>
      <c r="AD161" s="2" t="str">
        <f aca="false">IF(AND(AD$4=$G161,AD$6=$F161),$B161,"")</f>
        <v/>
      </c>
      <c r="AE161" s="2" t="str">
        <f aca="false">IF(AND(AE$4=$G161,AE$6=$F161),$B161,"")</f>
        <v/>
      </c>
      <c r="AF161" s="2" t="str">
        <f aca="false">IF(AND(AF$4=$G161,AF$6=$F161),$B161,"")</f>
        <v/>
      </c>
      <c r="AG161" s="2" t="str">
        <f aca="false">IF(AND(AG$4=$G161,AG$6=$F161),$B161,"")</f>
        <v/>
      </c>
      <c r="AI161" s="366"/>
      <c r="AL161" s="367"/>
      <c r="AO161" s="367"/>
      <c r="AP161" s="2" t="str">
        <f aca="false">IF(AT161&gt;0,RANK(AT161,AT$7:AT$423),"")</f>
        <v/>
      </c>
      <c r="AQ161" s="2" t="n">
        <f aca="false">'O_MN, PE_UTA_UGM 2024'!C157</f>
        <v>177</v>
      </c>
      <c r="AR161" s="1421" t="n">
        <v>1759</v>
      </c>
      <c r="AS161" s="2" t="str">
        <f aca="false">IF(AY161&lt;&gt;"",AY161,"")</f>
        <v/>
      </c>
      <c r="AT161" s="1422" t="n">
        <f aca="false">IF(ISNUMBER($AR161),SUMIF(B$7:B$505,AR161,D$7:D$505),"")</f>
        <v>0</v>
      </c>
      <c r="AU161" s="1411" t="n">
        <f aca="false">IF(ISNUMBER($AR161),SUMIF(AD$7:AD$503,$AR161,J$7:J$503),"")</f>
        <v>0</v>
      </c>
      <c r="AV161" s="1411" t="n">
        <f aca="false">IF(ISNUMBER($AR161),SUMIF(AF$7:AF$503,$AR161,L$7:L$503),"")</f>
        <v>0</v>
      </c>
      <c r="AW161" s="1423" t="n">
        <f aca="false">IF(ISNUMBER($AR161),SUMIF(AE$7:AE$503,$AR161,K$7:K$503),"")</f>
        <v>0</v>
      </c>
      <c r="AX161" s="1423" t="n">
        <f aca="false">IF(ISNUMBER($AR161),SUMIF(AG$7:AG$503,$AR161,M$7:M$503),"")</f>
        <v>0</v>
      </c>
      <c r="AY161" s="2" t="str">
        <f aca="false">IF($AT161&gt;0,VLOOKUP($AR161,'O_MN, PE_UTA_UGM 2024'!E157:O573,2),"")</f>
        <v/>
      </c>
      <c r="AZ161" s="1507"/>
      <c r="BA161" s="1507"/>
      <c r="BB161" s="1507" t="str">
        <f aca="false">IF($AT161&gt;0,VLOOKUP($AR161,'O_MN, PE_UTA_UGM 2024'!$E$3:$O$419,BB$6),"")</f>
        <v/>
      </c>
      <c r="BC161" s="1507" t="str">
        <f aca="false">IF($AT161&gt;0,VLOOKUP($AR161,'O_MN, PE_UTA_UGM 2024'!$E$3:$O$419,BC$6),"")</f>
        <v/>
      </c>
      <c r="BD161" s="1507" t="str">
        <f aca="false">IF($AT161&gt;0,VLOOKUP($AR161,'O_MN, PE_UTA_UGM 2024'!$E$3:$O$419,BD$6),"")</f>
        <v/>
      </c>
      <c r="BE161" s="1507" t="str">
        <f aca="false">IF($AT161&gt;0,VLOOKUP($AR161,'O_MN, PE_UTA_UGM 2024'!$E$3:$O$419,BE$6),"")</f>
        <v/>
      </c>
      <c r="BF161" s="1507" t="str">
        <f aca="false">IF($AT161&gt;0,VLOOKUP($AR161,'O_MN, PE_UTA_UGM 2024'!$E$3:$O$419,BF$6),"")</f>
        <v/>
      </c>
      <c r="BG161" s="1507" t="str">
        <f aca="false">IF($AT161&gt;0,VLOOKUP($AR161,'O_MN, PE_UTA_UGM 2024'!$E$3:$O$419,BG$6),"")</f>
        <v/>
      </c>
      <c r="BH161" s="1504"/>
      <c r="BI161" s="1504"/>
      <c r="BJ161" s="1504"/>
      <c r="BK161" s="1504"/>
      <c r="BM161" s="1411"/>
      <c r="BN161" s="1411"/>
      <c r="BO161" s="1425" t="str">
        <f aca="false">IF(ISNUMBER($AU161*BB161*1),$AU161*BB161*1,"")</f>
        <v/>
      </c>
      <c r="BP161" s="1425" t="str">
        <f aca="false">IF(ISNUMBER($AV161*BC161*1),$AV161*BC161*1,"")</f>
        <v/>
      </c>
      <c r="BQ161" s="1425" t="str">
        <f aca="false">IF(ISNUMBER($AU161*BD161*1),$AU161*BD161*1,"")</f>
        <v/>
      </c>
      <c r="BR161" s="1425" t="str">
        <f aca="false">IF(ISNUMBER($AV161*BE161*1),$AV161*BE161*1,"")</f>
        <v/>
      </c>
      <c r="BS161" s="1411" t="str">
        <f aca="false">IF(ISNUMBER($AU161*BF161),$AU161*BF161,"")</f>
        <v/>
      </c>
      <c r="BT161" s="1411" t="str">
        <f aca="false">IF(ISNUMBER($AV161*BG161),$AV161*BG161,"")</f>
        <v/>
      </c>
      <c r="BU161" s="1411"/>
      <c r="BV161" s="1411"/>
      <c r="BW161" s="1411"/>
      <c r="BX161" s="1411"/>
      <c r="BZ161" s="1372"/>
      <c r="CA161" s="1372"/>
      <c r="CB161" s="1426" t="str">
        <f aca="false">IF(ISNUMBER($AW161*BB161),$AW161*BB161,"")</f>
        <v/>
      </c>
      <c r="CC161" s="1426" t="str">
        <f aca="false">IF(ISNUMBER($AX161*BC161),$AX161*BC161,"")</f>
        <v/>
      </c>
      <c r="CD161" s="1426" t="str">
        <f aca="false">IF(ISNUMBER($AW161*BD161),$AW161*BD161,"")</f>
        <v/>
      </c>
      <c r="CE161" s="1426" t="str">
        <f aca="false">IF(ISNUMBER($AX161*BE161),$AX161*BE161,"")</f>
        <v/>
      </c>
      <c r="CF161" s="1372" t="str">
        <f aca="false">IF(ISNUMBER($AW161*BF161),$AW161*BF161,"")</f>
        <v/>
      </c>
      <c r="CG161" s="1372" t="str">
        <f aca="false">IF(ISNUMBER($AX161*BG161),$AX161*BG161,"")</f>
        <v/>
      </c>
      <c r="CH161" s="1438"/>
      <c r="CI161" s="1438"/>
      <c r="CJ161" s="1438"/>
      <c r="CK161" s="1438"/>
      <c r="CU161" s="1411"/>
      <c r="CV161" s="1411"/>
      <c r="CW161" s="1425"/>
      <c r="CX161" s="1425"/>
      <c r="CY161" s="1425"/>
      <c r="CZ161" s="1425"/>
      <c r="DA161" s="1411"/>
      <c r="DB161" s="1411"/>
      <c r="DC161" s="1411"/>
      <c r="DD161" s="1411"/>
      <c r="DE161" s="1411"/>
      <c r="DF161" s="1411"/>
      <c r="DH161" s="1432"/>
      <c r="DI161" s="1432"/>
      <c r="DJ161" s="1437"/>
      <c r="DK161" s="1437"/>
      <c r="DL161" s="1437"/>
      <c r="DM161" s="1437"/>
      <c r="DN161" s="1432"/>
      <c r="DO161" s="1432"/>
      <c r="DP161" s="1432"/>
      <c r="DQ161" s="1432"/>
      <c r="DR161" s="1432"/>
      <c r="DS161" s="1432"/>
      <c r="DT161" s="1316"/>
      <c r="DU161" s="1433"/>
      <c r="DV161" s="1433"/>
      <c r="DW161" s="1433"/>
      <c r="DX161" s="1433"/>
      <c r="DY161" s="1433"/>
      <c r="DZ161" s="1433"/>
      <c r="EA161" s="1433"/>
      <c r="EB161" s="1433"/>
    </row>
    <row r="162" customFormat="false" ht="14.25" hidden="false" customHeight="false" outlineLevel="0" collapsed="false">
      <c r="A162" s="2" t="n">
        <f aca="false">'V_DATOS PAC_SGA'!CC157</f>
        <v>0</v>
      </c>
      <c r="B162" s="2" t="n">
        <f aca="false">IF(OR(A162=0,A162=""),0,IF(I162="IV",CONCATENATE('V_DATOS PAC_SGA'!CC157,"4")+0,CONCATENATE('V_DATOS PAC_SGA'!CC157,"0")+0))</f>
        <v>0</v>
      </c>
      <c r="C162" s="2" t="n">
        <f aca="false">'V_DATOS PAC_SGA'!CD157</f>
        <v>0</v>
      </c>
      <c r="D162" s="1409" t="n">
        <f aca="false">'V_DATOS PAC_SGA'!Y157</f>
        <v>0</v>
      </c>
      <c r="E162" s="1410" t="str">
        <f aca="false">IF('V_DATOS PAC_SGA'!AV157="","Regadio",'V_DATOS PAC_SGA'!AV157)</f>
        <v>Regadio</v>
      </c>
      <c r="F162" s="1411" t="n">
        <f aca="false">'V_DATOS PAC_SGA'!BK157</f>
        <v>0</v>
      </c>
      <c r="G162" s="1412" t="n">
        <f aca="false">'V_DATOS PAC_SGA'!AN157</f>
        <v>0</v>
      </c>
      <c r="H162" s="1413" t="str">
        <f aca="false">IF(B162&gt;0,VLOOKUP(B162,'O_MN, PE_UTA_UGM 2024'!E$3:O$419,10),"")</f>
        <v/>
      </c>
      <c r="I162" s="1359" t="str">
        <f aca="false">IF('V_DATOS PAC_SGA'!BV157="IV",'V_DATOS PAC_SGA'!BV157,"")</f>
        <v/>
      </c>
      <c r="J162" s="2" t="str">
        <f aca="false">IF($A162&gt;0,IF(AND(J$4=$G162,J$6=$F162),$D162*J$5,""),"")</f>
        <v/>
      </c>
      <c r="K162" s="2" t="str">
        <f aca="false">IF($A162&gt;0,IF(AND(K$4=$G162,K$6=$F162),$D162*K$5,""),"")</f>
        <v/>
      </c>
      <c r="L162" s="2" t="str">
        <f aca="false">IF($A162&gt;0,IF(AND(L$4=$G162,L$6=$F162),$D162*L$5,""),"")</f>
        <v/>
      </c>
      <c r="M162" s="2" t="str">
        <f aca="false">IF($A162&gt;0,IF(AND(M$4=$G162,M$6=$F162),$D162*M$5,""),"")</f>
        <v/>
      </c>
      <c r="N162" s="1506" t="n">
        <f aca="false">VLOOKUP(B162,'O_MN, PE_UTA_UGM 2024'!$E$2:$K$419,IF(G162&gt;1,6,7))</f>
        <v>0</v>
      </c>
      <c r="O162" s="1434" t="str">
        <f aca="false">IF($H162=O$4,$D162*$N162,"")</f>
        <v/>
      </c>
      <c r="P162" s="1435" t="str">
        <f aca="false">IF($H162=P$4,$D162*$N162,"")</f>
        <v/>
      </c>
      <c r="Q162" s="1435" t="str">
        <f aca="false">IF($H162=Q$4,$D162*$N162,"")</f>
        <v/>
      </c>
      <c r="R162" s="1435" t="str">
        <f aca="false">IF($H162=R$4,$D162*$N162,"")</f>
        <v/>
      </c>
      <c r="S162" s="1435" t="str">
        <f aca="false">IF($H162=S$4,$D162*$N162,"")</f>
        <v/>
      </c>
      <c r="T162" s="1435" t="str">
        <f aca="false">IF($H162=T$4,$D162*$N162,"")</f>
        <v/>
      </c>
      <c r="U162" s="1436" t="str">
        <f aca="false">IF($H162=U$4,$D162*$N162,"")</f>
        <v/>
      </c>
      <c r="V162" s="1418"/>
      <c r="W162" s="1419"/>
      <c r="X162" s="1419"/>
      <c r="Y162" s="1419"/>
      <c r="Z162" s="1419"/>
      <c r="AA162" s="1419"/>
      <c r="AB162" s="1420"/>
      <c r="AC162" s="1319"/>
      <c r="AD162" s="2" t="str">
        <f aca="false">IF(AND(AD$4=$G162,AD$6=$F162),$B162,"")</f>
        <v/>
      </c>
      <c r="AE162" s="2" t="str">
        <f aca="false">IF(AND(AE$4=$G162,AE$6=$F162),$B162,"")</f>
        <v/>
      </c>
      <c r="AF162" s="2" t="str">
        <f aca="false">IF(AND(AF$4=$G162,AF$6=$F162),$B162,"")</f>
        <v/>
      </c>
      <c r="AG162" s="2" t="str">
        <f aca="false">IF(AND(AG$4=$G162,AG$6=$F162),$B162,"")</f>
        <v/>
      </c>
      <c r="AI162" s="366"/>
      <c r="AL162" s="367"/>
      <c r="AO162" s="367"/>
      <c r="AP162" s="2" t="str">
        <f aca="false">IF(AT162&gt;0,RANK(AT162,AT$7:AT$423),"")</f>
        <v/>
      </c>
      <c r="AQ162" s="2" t="n">
        <f aca="false">'O_MN, PE_UTA_UGM 2024'!C158</f>
        <v>177</v>
      </c>
      <c r="AR162" s="1421" t="n">
        <v>1760</v>
      </c>
      <c r="AS162" s="2" t="str">
        <f aca="false">IF(AY162&lt;&gt;"",AY162,"")</f>
        <v/>
      </c>
      <c r="AT162" s="1422" t="n">
        <f aca="false">IF(ISNUMBER($AR162),SUMIF(B$7:B$505,AR162,D$7:D$505),"")</f>
        <v>0</v>
      </c>
      <c r="AU162" s="1411" t="n">
        <f aca="false">IF(ISNUMBER($AR162),SUMIF(AD$7:AD$503,$AR162,J$7:J$503),"")</f>
        <v>0</v>
      </c>
      <c r="AV162" s="1411" t="n">
        <f aca="false">IF(ISNUMBER($AR162),SUMIF(AF$7:AF$503,$AR162,L$7:L$503),"")</f>
        <v>0</v>
      </c>
      <c r="AW162" s="1423" t="n">
        <f aca="false">IF(ISNUMBER($AR162),SUMIF(AE$7:AE$503,$AR162,K$7:K$503),"")</f>
        <v>0</v>
      </c>
      <c r="AX162" s="1423" t="n">
        <f aca="false">IF(ISNUMBER($AR162),SUMIF(AG$7:AG$503,$AR162,M$7:M$503),"")</f>
        <v>0</v>
      </c>
      <c r="AY162" s="2" t="str">
        <f aca="false">IF($AT162&gt;0,VLOOKUP($AR162,'O_MN, PE_UTA_UGM 2024'!E158:O574,2),"")</f>
        <v/>
      </c>
      <c r="AZ162" s="1507"/>
      <c r="BA162" s="1507"/>
      <c r="BB162" s="1507" t="str">
        <f aca="false">IF($AT162&gt;0,VLOOKUP($AR162,'O_MN, PE_UTA_UGM 2024'!$E$3:$O$419,BB$6),"")</f>
        <v/>
      </c>
      <c r="BC162" s="1507" t="str">
        <f aca="false">IF($AT162&gt;0,VLOOKUP($AR162,'O_MN, PE_UTA_UGM 2024'!$E$3:$O$419,BC$6),"")</f>
        <v/>
      </c>
      <c r="BD162" s="1507" t="str">
        <f aca="false">IF($AT162&gt;0,VLOOKUP($AR162,'O_MN, PE_UTA_UGM 2024'!$E$3:$O$419,BD$6),"")</f>
        <v/>
      </c>
      <c r="BE162" s="1507" t="str">
        <f aca="false">IF($AT162&gt;0,VLOOKUP($AR162,'O_MN, PE_UTA_UGM 2024'!$E$3:$O$419,BE$6),"")</f>
        <v/>
      </c>
      <c r="BF162" s="1507" t="str">
        <f aca="false">IF($AT162&gt;0,VLOOKUP($AR162,'O_MN, PE_UTA_UGM 2024'!$E$3:$O$419,BF$6),"")</f>
        <v/>
      </c>
      <c r="BG162" s="1507" t="str">
        <f aca="false">IF($AT162&gt;0,VLOOKUP($AR162,'O_MN, PE_UTA_UGM 2024'!$E$3:$O$419,BG$6),"")</f>
        <v/>
      </c>
      <c r="BH162" s="1504"/>
      <c r="BI162" s="1504"/>
      <c r="BJ162" s="1504"/>
      <c r="BK162" s="1504"/>
      <c r="BM162" s="1411"/>
      <c r="BN162" s="1411"/>
      <c r="BO162" s="1425" t="str">
        <f aca="false">IF(ISNUMBER($AU162*BB162*1),$AU162*BB162*1,"")</f>
        <v/>
      </c>
      <c r="BP162" s="1425" t="str">
        <f aca="false">IF(ISNUMBER($AV162*BC162*1),$AV162*BC162*1,"")</f>
        <v/>
      </c>
      <c r="BQ162" s="1425" t="str">
        <f aca="false">IF(ISNUMBER($AU162*BD162*1),$AU162*BD162*1,"")</f>
        <v/>
      </c>
      <c r="BR162" s="1425" t="str">
        <f aca="false">IF(ISNUMBER($AV162*BE162*1),$AV162*BE162*1,"")</f>
        <v/>
      </c>
      <c r="BS162" s="1411" t="str">
        <f aca="false">IF(ISNUMBER($AU162*BF162),$AU162*BF162,"")</f>
        <v/>
      </c>
      <c r="BT162" s="1411" t="str">
        <f aca="false">IF(ISNUMBER($AV162*BG162),$AV162*BG162,"")</f>
        <v/>
      </c>
      <c r="BU162" s="1411"/>
      <c r="BV162" s="1411"/>
      <c r="BW162" s="1411"/>
      <c r="BX162" s="1411"/>
      <c r="BZ162" s="1372"/>
      <c r="CA162" s="1372"/>
      <c r="CB162" s="1426" t="str">
        <f aca="false">IF(ISNUMBER($AW162*BB162),$AW162*BB162,"")</f>
        <v/>
      </c>
      <c r="CC162" s="1426" t="str">
        <f aca="false">IF(ISNUMBER($AX162*BC162),$AX162*BC162,"")</f>
        <v/>
      </c>
      <c r="CD162" s="1426" t="str">
        <f aca="false">IF(ISNUMBER($AW162*BD162),$AW162*BD162,"")</f>
        <v/>
      </c>
      <c r="CE162" s="1426" t="str">
        <f aca="false">IF(ISNUMBER($AX162*BE162),$AX162*BE162,"")</f>
        <v/>
      </c>
      <c r="CF162" s="1372" t="str">
        <f aca="false">IF(ISNUMBER($AW162*BF162),$AW162*BF162,"")</f>
        <v/>
      </c>
      <c r="CG162" s="1372" t="str">
        <f aca="false">IF(ISNUMBER($AX162*BG162),$AX162*BG162,"")</f>
        <v/>
      </c>
      <c r="CH162" s="1438"/>
      <c r="CI162" s="1438"/>
      <c r="CJ162" s="1438"/>
      <c r="CK162" s="1438"/>
      <c r="CU162" s="1411"/>
      <c r="CV162" s="1411"/>
      <c r="CW162" s="1425"/>
      <c r="CX162" s="1425"/>
      <c r="CY162" s="1425"/>
      <c r="CZ162" s="1425"/>
      <c r="DA162" s="1411"/>
      <c r="DB162" s="1411"/>
      <c r="DC162" s="1411"/>
      <c r="DD162" s="1411"/>
      <c r="DE162" s="1411"/>
      <c r="DF162" s="1411"/>
      <c r="DH162" s="1432"/>
      <c r="DI162" s="1432"/>
      <c r="DJ162" s="1437"/>
      <c r="DK162" s="1437"/>
      <c r="DL162" s="1437"/>
      <c r="DM162" s="1437"/>
      <c r="DN162" s="1432"/>
      <c r="DO162" s="1432"/>
      <c r="DP162" s="1432"/>
      <c r="DQ162" s="1432"/>
      <c r="DR162" s="1432"/>
      <c r="DS162" s="1432"/>
      <c r="DT162" s="1316"/>
      <c r="DU162" s="1433"/>
      <c r="DV162" s="1433"/>
      <c r="DW162" s="1433"/>
      <c r="DX162" s="1433"/>
      <c r="DY162" s="1433"/>
      <c r="DZ162" s="1433"/>
      <c r="EA162" s="1433"/>
      <c r="EB162" s="1433"/>
    </row>
    <row r="163" customFormat="false" ht="14.25" hidden="false" customHeight="false" outlineLevel="0" collapsed="false">
      <c r="A163" s="2" t="n">
        <f aca="false">'V_DATOS PAC_SGA'!CC158</f>
        <v>0</v>
      </c>
      <c r="B163" s="2" t="n">
        <f aca="false">IF(OR(A163=0,A163=""),0,IF(I163="IV",CONCATENATE('V_DATOS PAC_SGA'!CC158,"4")+0,CONCATENATE('V_DATOS PAC_SGA'!CC158,"0")+0))</f>
        <v>0</v>
      </c>
      <c r="C163" s="2" t="n">
        <f aca="false">'V_DATOS PAC_SGA'!CD158</f>
        <v>0</v>
      </c>
      <c r="D163" s="1409" t="n">
        <f aca="false">'V_DATOS PAC_SGA'!Y158</f>
        <v>0</v>
      </c>
      <c r="E163" s="1410" t="str">
        <f aca="false">IF('V_DATOS PAC_SGA'!AV158="","Regadio",'V_DATOS PAC_SGA'!AV158)</f>
        <v>Regadio</v>
      </c>
      <c r="F163" s="1411" t="n">
        <f aca="false">'V_DATOS PAC_SGA'!BK158</f>
        <v>0</v>
      </c>
      <c r="G163" s="1412" t="n">
        <f aca="false">'V_DATOS PAC_SGA'!AN158</f>
        <v>0</v>
      </c>
      <c r="H163" s="1413" t="str">
        <f aca="false">IF(B163&gt;0,VLOOKUP(B163,'O_MN, PE_UTA_UGM 2024'!E$3:O$419,10),"")</f>
        <v/>
      </c>
      <c r="I163" s="1359" t="str">
        <f aca="false">IF('V_DATOS PAC_SGA'!BV158="IV",'V_DATOS PAC_SGA'!BV158,"")</f>
        <v/>
      </c>
      <c r="J163" s="2" t="str">
        <f aca="false">IF($A163&gt;0,IF(AND(J$4=$G163,J$6=$F163),$D163*J$5,""),"")</f>
        <v/>
      </c>
      <c r="K163" s="2" t="str">
        <f aca="false">IF($A163&gt;0,IF(AND(K$4=$G163,K$6=$F163),$D163*K$5,""),"")</f>
        <v/>
      </c>
      <c r="L163" s="2" t="str">
        <f aca="false">IF($A163&gt;0,IF(AND(L$4=$G163,L$6=$F163),$D163*L$5,""),"")</f>
        <v/>
      </c>
      <c r="M163" s="2" t="str">
        <f aca="false">IF($A163&gt;0,IF(AND(M$4=$G163,M$6=$F163),$D163*M$5,""),"")</f>
        <v/>
      </c>
      <c r="N163" s="1506" t="n">
        <f aca="false">VLOOKUP(B163,'O_MN, PE_UTA_UGM 2024'!$E$2:$K$419,IF(G163&gt;1,6,7))</f>
        <v>0</v>
      </c>
      <c r="O163" s="1434" t="str">
        <f aca="false">IF($H163=O$4,$D163*$N163,"")</f>
        <v/>
      </c>
      <c r="P163" s="1435" t="str">
        <f aca="false">IF($H163=P$4,$D163*$N163,"")</f>
        <v/>
      </c>
      <c r="Q163" s="1435" t="str">
        <f aca="false">IF($H163=Q$4,$D163*$N163,"")</f>
        <v/>
      </c>
      <c r="R163" s="1435" t="str">
        <f aca="false">IF($H163=R$4,$D163*$N163,"")</f>
        <v/>
      </c>
      <c r="S163" s="1435" t="str">
        <f aca="false">IF($H163=S$4,$D163*$N163,"")</f>
        <v/>
      </c>
      <c r="T163" s="1435" t="str">
        <f aca="false">IF($H163=T$4,$D163*$N163,"")</f>
        <v/>
      </c>
      <c r="U163" s="1436" t="str">
        <f aca="false">IF($H163=U$4,$D163*$N163,"")</f>
        <v/>
      </c>
      <c r="V163" s="1418"/>
      <c r="W163" s="1419"/>
      <c r="X163" s="1419"/>
      <c r="Y163" s="1419"/>
      <c r="Z163" s="1419"/>
      <c r="AA163" s="1419"/>
      <c r="AB163" s="1420"/>
      <c r="AC163" s="1319"/>
      <c r="AD163" s="2" t="str">
        <f aca="false">IF(AND(AD$4=$G163,AD$6=$F163),$B163,"")</f>
        <v/>
      </c>
      <c r="AE163" s="2" t="str">
        <f aca="false">IF(AND(AE$4=$G163,AE$6=$F163),$B163,"")</f>
        <v/>
      </c>
      <c r="AF163" s="2" t="str">
        <f aca="false">IF(AND(AF$4=$G163,AF$6=$F163),$B163,"")</f>
        <v/>
      </c>
      <c r="AG163" s="2" t="str">
        <f aca="false">IF(AND(AG$4=$G163,AG$6=$F163),$B163,"")</f>
        <v/>
      </c>
      <c r="AI163" s="366"/>
      <c r="AL163" s="367"/>
      <c r="AO163" s="367"/>
      <c r="AP163" s="2" t="str">
        <f aca="false">IF(AT163&gt;0,RANK(AT163,AT$7:AT$423),"")</f>
        <v/>
      </c>
      <c r="AQ163" s="2" t="n">
        <f aca="false">'O_MN, PE_UTA_UGM 2024'!C159</f>
        <v>177</v>
      </c>
      <c r="AR163" s="1421" t="n">
        <v>1764</v>
      </c>
      <c r="AS163" s="2" t="str">
        <f aca="false">IF(AY163&lt;&gt;"",AY163,"")</f>
        <v/>
      </c>
      <c r="AT163" s="1422" t="n">
        <f aca="false">IF(ISNUMBER($AR163),SUMIF(B$7:B$505,AR163,D$7:D$505),"")</f>
        <v>0</v>
      </c>
      <c r="AU163" s="1411" t="n">
        <f aca="false">IF(ISNUMBER($AR163),SUMIF(AD$7:AD$503,$AR163,J$7:J$503),"")</f>
        <v>0</v>
      </c>
      <c r="AV163" s="1411" t="n">
        <f aca="false">IF(ISNUMBER($AR163),SUMIF(AF$7:AF$503,$AR163,L$7:L$503),"")</f>
        <v>0</v>
      </c>
      <c r="AW163" s="1423" t="n">
        <f aca="false">IF(ISNUMBER($AR163),SUMIF(AE$7:AE$503,$AR163,K$7:K$503),"")</f>
        <v>0</v>
      </c>
      <c r="AX163" s="1423" t="n">
        <f aca="false">IF(ISNUMBER($AR163),SUMIF(AG$7:AG$503,$AR163,M$7:M$503),"")</f>
        <v>0</v>
      </c>
      <c r="AY163" s="2" t="str">
        <f aca="false">IF($AT163&gt;0,VLOOKUP($AR163,'O_MN, PE_UTA_UGM 2024'!E159:O575,2),"")</f>
        <v/>
      </c>
      <c r="AZ163" s="1507"/>
      <c r="BA163" s="1507"/>
      <c r="BB163" s="1507" t="str">
        <f aca="false">IF($AT163&gt;0,VLOOKUP($AR163,'O_MN, PE_UTA_UGM 2024'!$E$3:$O$419,BB$6),"")</f>
        <v/>
      </c>
      <c r="BC163" s="1507" t="str">
        <f aca="false">IF($AT163&gt;0,VLOOKUP($AR163,'O_MN, PE_UTA_UGM 2024'!$E$3:$O$419,BC$6),"")</f>
        <v/>
      </c>
      <c r="BD163" s="1507" t="str">
        <f aca="false">IF($AT163&gt;0,VLOOKUP($AR163,'O_MN, PE_UTA_UGM 2024'!$E$3:$O$419,BD$6),"")</f>
        <v/>
      </c>
      <c r="BE163" s="1507" t="str">
        <f aca="false">IF($AT163&gt;0,VLOOKUP($AR163,'O_MN, PE_UTA_UGM 2024'!$E$3:$O$419,BE$6),"")</f>
        <v/>
      </c>
      <c r="BF163" s="1507" t="str">
        <f aca="false">IF($AT163&gt;0,VLOOKUP($AR163,'O_MN, PE_UTA_UGM 2024'!$E$3:$O$419,BF$6),"")</f>
        <v/>
      </c>
      <c r="BG163" s="1507" t="str">
        <f aca="false">IF($AT163&gt;0,VLOOKUP($AR163,'O_MN, PE_UTA_UGM 2024'!$E$3:$O$419,BG$6),"")</f>
        <v/>
      </c>
      <c r="BH163" s="1504"/>
      <c r="BI163" s="1504"/>
      <c r="BJ163" s="1504"/>
      <c r="BK163" s="1504"/>
      <c r="BM163" s="1411"/>
      <c r="BN163" s="1411"/>
      <c r="BO163" s="1425" t="str">
        <f aca="false">IF(ISNUMBER($AU163*BB163*1),$AU163*BB163*1,"")</f>
        <v/>
      </c>
      <c r="BP163" s="1425" t="str">
        <f aca="false">IF(ISNUMBER($AV163*BC163*1),$AV163*BC163*1,"")</f>
        <v/>
      </c>
      <c r="BQ163" s="1425" t="str">
        <f aca="false">IF(ISNUMBER($AU163*BD163*1),$AU163*BD163*1,"")</f>
        <v/>
      </c>
      <c r="BR163" s="1425" t="str">
        <f aca="false">IF(ISNUMBER($AV163*BE163*1),$AV163*BE163*1,"")</f>
        <v/>
      </c>
      <c r="BS163" s="1411" t="str">
        <f aca="false">IF(ISNUMBER($AU163*BF163),$AU163*BF163,"")</f>
        <v/>
      </c>
      <c r="BT163" s="1411" t="str">
        <f aca="false">IF(ISNUMBER($AV163*BG163),$AV163*BG163,"")</f>
        <v/>
      </c>
      <c r="BU163" s="1411"/>
      <c r="BV163" s="1411"/>
      <c r="BW163" s="1411"/>
      <c r="BX163" s="1411"/>
      <c r="BZ163" s="1372"/>
      <c r="CA163" s="1372"/>
      <c r="CB163" s="1426" t="str">
        <f aca="false">IF(ISNUMBER($AW163*BB163),$AW163*BB163,"")</f>
        <v/>
      </c>
      <c r="CC163" s="1426" t="str">
        <f aca="false">IF(ISNUMBER($AX163*BC163),$AX163*BC163,"")</f>
        <v/>
      </c>
      <c r="CD163" s="1426" t="str">
        <f aca="false">IF(ISNUMBER($AW163*BD163),$AW163*BD163,"")</f>
        <v/>
      </c>
      <c r="CE163" s="1426" t="str">
        <f aca="false">IF(ISNUMBER($AX163*BE163),$AX163*BE163,"")</f>
        <v/>
      </c>
      <c r="CF163" s="1372" t="str">
        <f aca="false">IF(ISNUMBER($AW163*BF163),$AW163*BF163,"")</f>
        <v/>
      </c>
      <c r="CG163" s="1372" t="str">
        <f aca="false">IF(ISNUMBER($AX163*BG163),$AX163*BG163,"")</f>
        <v/>
      </c>
      <c r="CH163" s="1438"/>
      <c r="CI163" s="1438"/>
      <c r="CJ163" s="1438"/>
      <c r="CK163" s="1438"/>
      <c r="CU163" s="1411"/>
      <c r="CV163" s="1411"/>
      <c r="CW163" s="1425"/>
      <c r="CX163" s="1425"/>
      <c r="CY163" s="1425"/>
      <c r="CZ163" s="1425"/>
      <c r="DA163" s="1411"/>
      <c r="DB163" s="1411"/>
      <c r="DC163" s="1411"/>
      <c r="DD163" s="1411"/>
      <c r="DE163" s="1411"/>
      <c r="DF163" s="1411"/>
      <c r="DH163" s="1432"/>
      <c r="DI163" s="1432"/>
      <c r="DJ163" s="1437"/>
      <c r="DK163" s="1437"/>
      <c r="DL163" s="1437"/>
      <c r="DM163" s="1437"/>
      <c r="DN163" s="1432"/>
      <c r="DO163" s="1432"/>
      <c r="DP163" s="1432"/>
      <c r="DQ163" s="1432"/>
      <c r="DR163" s="1432"/>
      <c r="DS163" s="1432"/>
      <c r="DT163" s="1316"/>
      <c r="DU163" s="1433"/>
      <c r="DV163" s="1433"/>
      <c r="DW163" s="1433"/>
      <c r="DX163" s="1433"/>
      <c r="DY163" s="1433"/>
      <c r="DZ163" s="1433"/>
      <c r="EA163" s="1433"/>
      <c r="EB163" s="1433"/>
    </row>
    <row r="164" customFormat="false" ht="14.25" hidden="false" customHeight="false" outlineLevel="0" collapsed="false">
      <c r="A164" s="2" t="n">
        <f aca="false">'V_DATOS PAC_SGA'!CC159</f>
        <v>0</v>
      </c>
      <c r="B164" s="2" t="n">
        <f aca="false">IF(OR(A164=0,A164=""),0,IF(I164="IV",CONCATENATE('V_DATOS PAC_SGA'!CC159,"4")+0,CONCATENATE('V_DATOS PAC_SGA'!CC159,"0")+0))</f>
        <v>0</v>
      </c>
      <c r="C164" s="2" t="n">
        <f aca="false">'V_DATOS PAC_SGA'!CD159</f>
        <v>0</v>
      </c>
      <c r="D164" s="1409" t="n">
        <f aca="false">'V_DATOS PAC_SGA'!Y159</f>
        <v>0</v>
      </c>
      <c r="E164" s="1410" t="str">
        <f aca="false">IF('V_DATOS PAC_SGA'!AV159="","Regadio",'V_DATOS PAC_SGA'!AV159)</f>
        <v>Regadio</v>
      </c>
      <c r="F164" s="1411" t="n">
        <f aca="false">'V_DATOS PAC_SGA'!BK159</f>
        <v>0</v>
      </c>
      <c r="G164" s="1412" t="n">
        <f aca="false">'V_DATOS PAC_SGA'!AN159</f>
        <v>0</v>
      </c>
      <c r="H164" s="1413" t="str">
        <f aca="false">IF(B164&gt;0,VLOOKUP(B164,'O_MN, PE_UTA_UGM 2024'!E$3:O$419,10),"")</f>
        <v/>
      </c>
      <c r="I164" s="1359" t="str">
        <f aca="false">IF('V_DATOS PAC_SGA'!BV159="IV",'V_DATOS PAC_SGA'!BV159,"")</f>
        <v/>
      </c>
      <c r="J164" s="2" t="str">
        <f aca="false">IF($A164&gt;0,IF(AND(J$4=$G164,J$6=$F164),$D164*J$5,""),"")</f>
        <v/>
      </c>
      <c r="K164" s="2" t="str">
        <f aca="false">IF($A164&gt;0,IF(AND(K$4=$G164,K$6=$F164),$D164*K$5,""),"")</f>
        <v/>
      </c>
      <c r="L164" s="2" t="str">
        <f aca="false">IF($A164&gt;0,IF(AND(L$4=$G164,L$6=$F164),$D164*L$5,""),"")</f>
        <v/>
      </c>
      <c r="M164" s="2" t="str">
        <f aca="false">IF($A164&gt;0,IF(AND(M$4=$G164,M$6=$F164),$D164*M$5,""),"")</f>
        <v/>
      </c>
      <c r="N164" s="1506" t="n">
        <f aca="false">VLOOKUP(B164,'O_MN, PE_UTA_UGM 2024'!$E$2:$K$419,IF(G164&gt;1,6,7))</f>
        <v>0</v>
      </c>
      <c r="O164" s="1434" t="str">
        <f aca="false">IF($H164=O$4,$D164*$N164,"")</f>
        <v/>
      </c>
      <c r="P164" s="1435" t="str">
        <f aca="false">IF($H164=P$4,$D164*$N164,"")</f>
        <v/>
      </c>
      <c r="Q164" s="1435" t="str">
        <f aca="false">IF($H164=Q$4,$D164*$N164,"")</f>
        <v/>
      </c>
      <c r="R164" s="1435" t="str">
        <f aca="false">IF($H164=R$4,$D164*$N164,"")</f>
        <v/>
      </c>
      <c r="S164" s="1435" t="str">
        <f aca="false">IF($H164=S$4,$D164*$N164,"")</f>
        <v/>
      </c>
      <c r="T164" s="1435" t="str">
        <f aca="false">IF($H164=T$4,$D164*$N164,"")</f>
        <v/>
      </c>
      <c r="U164" s="1436" t="str">
        <f aca="false">IF($H164=U$4,$D164*$N164,"")</f>
        <v/>
      </c>
      <c r="V164" s="1418"/>
      <c r="W164" s="1419"/>
      <c r="X164" s="1419"/>
      <c r="Y164" s="1419"/>
      <c r="Z164" s="1419"/>
      <c r="AA164" s="1419"/>
      <c r="AB164" s="1420"/>
      <c r="AC164" s="1319"/>
      <c r="AD164" s="2" t="str">
        <f aca="false">IF(AND(AD$4=$G164,AD$6=$F164),$B164,"")</f>
        <v/>
      </c>
      <c r="AE164" s="2" t="str">
        <f aca="false">IF(AND(AE$4=$G164,AE$6=$F164),$B164,"")</f>
        <v/>
      </c>
      <c r="AF164" s="2" t="str">
        <f aca="false">IF(AND(AF$4=$G164,AF$6=$F164),$B164,"")</f>
        <v/>
      </c>
      <c r="AG164" s="2" t="str">
        <f aca="false">IF(AND(AG$4=$G164,AG$6=$F164),$B164,"")</f>
        <v/>
      </c>
      <c r="AI164" s="366"/>
      <c r="AL164" s="367"/>
      <c r="AO164" s="367"/>
      <c r="AP164" s="2" t="str">
        <f aca="false">IF(AT164&gt;0,RANK(AT164,AT$7:AT$423),"")</f>
        <v/>
      </c>
      <c r="AQ164" s="2" t="n">
        <f aca="false">'O_MN, PE_UTA_UGM 2024'!C160</f>
        <v>178</v>
      </c>
      <c r="AR164" s="1421" t="n">
        <v>1769</v>
      </c>
      <c r="AS164" s="2" t="str">
        <f aca="false">IF(AY164&lt;&gt;"",AY164,"")</f>
        <v/>
      </c>
      <c r="AT164" s="1422" t="n">
        <f aca="false">IF(ISNUMBER($AR164),SUMIF(B$7:B$505,AR164,D$7:D$505),"")</f>
        <v>0</v>
      </c>
      <c r="AU164" s="1411" t="n">
        <f aca="false">IF(ISNUMBER($AR164),SUMIF(AD$7:AD$503,$AR164,J$7:J$503),"")</f>
        <v>0</v>
      </c>
      <c r="AV164" s="1411" t="n">
        <f aca="false">IF(ISNUMBER($AR164),SUMIF(AF$7:AF$503,$AR164,L$7:L$503),"")</f>
        <v>0</v>
      </c>
      <c r="AW164" s="1423" t="n">
        <f aca="false">IF(ISNUMBER($AR164),SUMIF(AE$7:AE$503,$AR164,K$7:K$503),"")</f>
        <v>0</v>
      </c>
      <c r="AX164" s="1423" t="n">
        <f aca="false">IF(ISNUMBER($AR164),SUMIF(AG$7:AG$503,$AR164,M$7:M$503),"")</f>
        <v>0</v>
      </c>
      <c r="AY164" s="2" t="str">
        <f aca="false">IF($AT164&gt;0,VLOOKUP($AR164,'O_MN, PE_UTA_UGM 2024'!E160:O576,2),"")</f>
        <v/>
      </c>
      <c r="AZ164" s="1507"/>
      <c r="BA164" s="1507"/>
      <c r="BB164" s="1507" t="str">
        <f aca="false">IF($AT164&gt;0,VLOOKUP($AR164,'O_MN, PE_UTA_UGM 2024'!$E$3:$O$419,BB$6),"")</f>
        <v/>
      </c>
      <c r="BC164" s="1507" t="str">
        <f aca="false">IF($AT164&gt;0,VLOOKUP($AR164,'O_MN, PE_UTA_UGM 2024'!$E$3:$O$419,BC$6),"")</f>
        <v/>
      </c>
      <c r="BD164" s="1507" t="str">
        <f aca="false">IF($AT164&gt;0,VLOOKUP($AR164,'O_MN, PE_UTA_UGM 2024'!$E$3:$O$419,BD$6),"")</f>
        <v/>
      </c>
      <c r="BE164" s="1507" t="str">
        <f aca="false">IF($AT164&gt;0,VLOOKUP($AR164,'O_MN, PE_UTA_UGM 2024'!$E$3:$O$419,BE$6),"")</f>
        <v/>
      </c>
      <c r="BF164" s="1507" t="str">
        <f aca="false">IF($AT164&gt;0,VLOOKUP($AR164,'O_MN, PE_UTA_UGM 2024'!$E$3:$O$419,BF$6),"")</f>
        <v/>
      </c>
      <c r="BG164" s="1507" t="str">
        <f aca="false">IF($AT164&gt;0,VLOOKUP($AR164,'O_MN, PE_UTA_UGM 2024'!$E$3:$O$419,BG$6),"")</f>
        <v/>
      </c>
      <c r="BH164" s="1504"/>
      <c r="BI164" s="1504"/>
      <c r="BJ164" s="1504"/>
      <c r="BK164" s="1504"/>
      <c r="BM164" s="1411"/>
      <c r="BN164" s="1411"/>
      <c r="BO164" s="1425" t="str">
        <f aca="false">IF(ISNUMBER($AU164*BB164*1),$AU164*BB164*1,"")</f>
        <v/>
      </c>
      <c r="BP164" s="1425" t="str">
        <f aca="false">IF(ISNUMBER($AV164*BC164*1),$AV164*BC164*1,"")</f>
        <v/>
      </c>
      <c r="BQ164" s="1425" t="str">
        <f aca="false">IF(ISNUMBER($AU164*BD164*1),$AU164*BD164*1,"")</f>
        <v/>
      </c>
      <c r="BR164" s="1425" t="str">
        <f aca="false">IF(ISNUMBER($AV164*BE164*1),$AV164*BE164*1,"")</f>
        <v/>
      </c>
      <c r="BS164" s="1411" t="str">
        <f aca="false">IF(ISNUMBER($AU164*BF164),$AU164*BF164,"")</f>
        <v/>
      </c>
      <c r="BT164" s="1411" t="str">
        <f aca="false">IF(ISNUMBER($AV164*BG164),$AV164*BG164,"")</f>
        <v/>
      </c>
      <c r="BU164" s="1411"/>
      <c r="BV164" s="1411"/>
      <c r="BW164" s="1411"/>
      <c r="BX164" s="1411"/>
      <c r="BZ164" s="1372"/>
      <c r="CA164" s="1372"/>
      <c r="CB164" s="1426" t="str">
        <f aca="false">IF(ISNUMBER($AW164*BB164),$AW164*BB164,"")</f>
        <v/>
      </c>
      <c r="CC164" s="1426" t="str">
        <f aca="false">IF(ISNUMBER($AX164*BC164),$AX164*BC164,"")</f>
        <v/>
      </c>
      <c r="CD164" s="1426" t="str">
        <f aca="false">IF(ISNUMBER($AW164*BD164),$AW164*BD164,"")</f>
        <v/>
      </c>
      <c r="CE164" s="1426" t="str">
        <f aca="false">IF(ISNUMBER($AX164*BE164),$AX164*BE164,"")</f>
        <v/>
      </c>
      <c r="CF164" s="1372" t="str">
        <f aca="false">IF(ISNUMBER($AW164*BF164),$AW164*BF164,"")</f>
        <v/>
      </c>
      <c r="CG164" s="1372" t="str">
        <f aca="false">IF(ISNUMBER($AX164*BG164),$AX164*BG164,"")</f>
        <v/>
      </c>
      <c r="CH164" s="1438"/>
      <c r="CI164" s="1438"/>
      <c r="CJ164" s="1438"/>
      <c r="CK164" s="1438"/>
      <c r="CU164" s="1411"/>
      <c r="CV164" s="1411"/>
      <c r="CW164" s="1425"/>
      <c r="CX164" s="1425"/>
      <c r="CY164" s="1425"/>
      <c r="CZ164" s="1425"/>
      <c r="DA164" s="1411"/>
      <c r="DB164" s="1411"/>
      <c r="DC164" s="1411"/>
      <c r="DD164" s="1411"/>
      <c r="DE164" s="1411"/>
      <c r="DF164" s="1411"/>
      <c r="DH164" s="1432"/>
      <c r="DI164" s="1432"/>
      <c r="DJ164" s="1437"/>
      <c r="DK164" s="1437"/>
      <c r="DL164" s="1437"/>
      <c r="DM164" s="1437"/>
      <c r="DN164" s="1432"/>
      <c r="DO164" s="1432"/>
      <c r="DP164" s="1432"/>
      <c r="DQ164" s="1432"/>
      <c r="DR164" s="1432"/>
      <c r="DS164" s="1432"/>
      <c r="DT164" s="1316"/>
      <c r="DU164" s="1433"/>
      <c r="DV164" s="1433"/>
      <c r="DW164" s="1433"/>
      <c r="DX164" s="1433"/>
      <c r="DY164" s="1433"/>
      <c r="DZ164" s="1433"/>
      <c r="EA164" s="1433"/>
      <c r="EB164" s="1433"/>
    </row>
    <row r="165" customFormat="false" ht="14.25" hidden="false" customHeight="false" outlineLevel="0" collapsed="false">
      <c r="A165" s="2" t="n">
        <f aca="false">'V_DATOS PAC_SGA'!CC160</f>
        <v>0</v>
      </c>
      <c r="B165" s="2" t="n">
        <f aca="false">IF(OR(A165=0,A165=""),0,IF(I165="IV",CONCATENATE('V_DATOS PAC_SGA'!CC160,"4")+0,CONCATENATE('V_DATOS PAC_SGA'!CC160,"0")+0))</f>
        <v>0</v>
      </c>
      <c r="C165" s="2" t="n">
        <f aca="false">'V_DATOS PAC_SGA'!CD160</f>
        <v>0</v>
      </c>
      <c r="D165" s="1409" t="n">
        <f aca="false">'V_DATOS PAC_SGA'!Y160</f>
        <v>0</v>
      </c>
      <c r="E165" s="1410" t="str">
        <f aca="false">IF('V_DATOS PAC_SGA'!AV160="","Regadio",'V_DATOS PAC_SGA'!AV160)</f>
        <v>Regadio</v>
      </c>
      <c r="F165" s="1411" t="n">
        <f aca="false">'V_DATOS PAC_SGA'!BK160</f>
        <v>0</v>
      </c>
      <c r="G165" s="1412" t="n">
        <f aca="false">'V_DATOS PAC_SGA'!AN160</f>
        <v>0</v>
      </c>
      <c r="H165" s="1413" t="str">
        <f aca="false">IF(B165&gt;0,VLOOKUP(B165,'O_MN, PE_UTA_UGM 2024'!E$3:O$419,10),"")</f>
        <v/>
      </c>
      <c r="I165" s="1359" t="str">
        <f aca="false">IF('V_DATOS PAC_SGA'!BV160="IV",'V_DATOS PAC_SGA'!BV160,"")</f>
        <v/>
      </c>
      <c r="J165" s="2" t="str">
        <f aca="false">IF($A165&gt;0,IF(AND(J$4=$G165,J$6=$F165),$D165*J$5,""),"")</f>
        <v/>
      </c>
      <c r="K165" s="2" t="str">
        <f aca="false">IF($A165&gt;0,IF(AND(K$4=$G165,K$6=$F165),$D165*K$5,""),"")</f>
        <v/>
      </c>
      <c r="L165" s="2" t="str">
        <f aca="false">IF($A165&gt;0,IF(AND(L$4=$G165,L$6=$F165),$D165*L$5,""),"")</f>
        <v/>
      </c>
      <c r="M165" s="2" t="str">
        <f aca="false">IF($A165&gt;0,IF(AND(M$4=$G165,M$6=$F165),$D165*M$5,""),"")</f>
        <v/>
      </c>
      <c r="N165" s="1506" t="n">
        <f aca="false">VLOOKUP(B165,'O_MN, PE_UTA_UGM 2024'!$E$2:$K$419,IF(G165&gt;1,6,7))</f>
        <v>0</v>
      </c>
      <c r="O165" s="1434" t="str">
        <f aca="false">IF($H165=O$4,$D165*$N165,"")</f>
        <v/>
      </c>
      <c r="P165" s="1435" t="str">
        <f aca="false">IF($H165=P$4,$D165*$N165,"")</f>
        <v/>
      </c>
      <c r="Q165" s="1435" t="str">
        <f aca="false">IF($H165=Q$4,$D165*$N165,"")</f>
        <v/>
      </c>
      <c r="R165" s="1435" t="str">
        <f aca="false">IF($H165=R$4,$D165*$N165,"")</f>
        <v/>
      </c>
      <c r="S165" s="1435" t="str">
        <f aca="false">IF($H165=S$4,$D165*$N165,"")</f>
        <v/>
      </c>
      <c r="T165" s="1435" t="str">
        <f aca="false">IF($H165=T$4,$D165*$N165,"")</f>
        <v/>
      </c>
      <c r="U165" s="1436" t="str">
        <f aca="false">IF($H165=U$4,$D165*$N165,"")</f>
        <v/>
      </c>
      <c r="V165" s="1418"/>
      <c r="W165" s="1419"/>
      <c r="X165" s="1419"/>
      <c r="Y165" s="1419"/>
      <c r="Z165" s="1419"/>
      <c r="AA165" s="1419"/>
      <c r="AB165" s="1420"/>
      <c r="AC165" s="1319"/>
      <c r="AD165" s="2" t="str">
        <f aca="false">IF(AND(AD$4=$G165,AD$6=$F165),$B165,"")</f>
        <v/>
      </c>
      <c r="AE165" s="2" t="str">
        <f aca="false">IF(AND(AE$4=$G165,AE$6=$F165),$B165,"")</f>
        <v/>
      </c>
      <c r="AF165" s="2" t="str">
        <f aca="false">IF(AND(AF$4=$G165,AF$6=$F165),$B165,"")</f>
        <v/>
      </c>
      <c r="AG165" s="2" t="str">
        <f aca="false">IF(AND(AG$4=$G165,AG$6=$F165),$B165,"")</f>
        <v/>
      </c>
      <c r="AI165" s="366"/>
      <c r="AL165" s="367"/>
      <c r="AO165" s="367"/>
      <c r="AP165" s="2" t="str">
        <f aca="false">IF(AT165&gt;0,RANK(AT165,AT$7:AT$423),"")</f>
        <v/>
      </c>
      <c r="AQ165" s="2" t="n">
        <f aca="false">'O_MN, PE_UTA_UGM 2024'!C161</f>
        <v>178</v>
      </c>
      <c r="AR165" s="1421" t="n">
        <v>1770</v>
      </c>
      <c r="AS165" s="2" t="str">
        <f aca="false">IF(AY165&lt;&gt;"",AY165,"")</f>
        <v/>
      </c>
      <c r="AT165" s="1422" t="n">
        <f aca="false">IF(ISNUMBER($AR165),SUMIF(B$7:B$505,AR165,D$7:D$505),"")</f>
        <v>0</v>
      </c>
      <c r="AU165" s="1411" t="n">
        <f aca="false">IF(ISNUMBER($AR165),SUMIF(AD$7:AD$503,$AR165,J$7:J$503),"")</f>
        <v>0</v>
      </c>
      <c r="AV165" s="1411" t="n">
        <f aca="false">IF(ISNUMBER($AR165),SUMIF(AF$7:AF$503,$AR165,L$7:L$503),"")</f>
        <v>0</v>
      </c>
      <c r="AW165" s="1423" t="n">
        <f aca="false">IF(ISNUMBER($AR165),SUMIF(AE$7:AE$503,$AR165,K$7:K$503),"")</f>
        <v>0</v>
      </c>
      <c r="AX165" s="1423" t="n">
        <f aca="false">IF(ISNUMBER($AR165),SUMIF(AG$7:AG$503,$AR165,M$7:M$503),"")</f>
        <v>0</v>
      </c>
      <c r="AY165" s="2" t="str">
        <f aca="false">IF($AT165&gt;0,VLOOKUP($AR165,'O_MN, PE_UTA_UGM 2024'!E161:O577,2),"")</f>
        <v/>
      </c>
      <c r="AZ165" s="1507"/>
      <c r="BA165" s="1507"/>
      <c r="BB165" s="1507" t="str">
        <f aca="false">IF($AT165&gt;0,VLOOKUP($AR165,'O_MN, PE_UTA_UGM 2024'!$E$3:$O$419,BB$6),"")</f>
        <v/>
      </c>
      <c r="BC165" s="1507" t="str">
        <f aca="false">IF($AT165&gt;0,VLOOKUP($AR165,'O_MN, PE_UTA_UGM 2024'!$E$3:$O$419,BC$6),"")</f>
        <v/>
      </c>
      <c r="BD165" s="1507" t="str">
        <f aca="false">IF($AT165&gt;0,VLOOKUP($AR165,'O_MN, PE_UTA_UGM 2024'!$E$3:$O$419,BD$6),"")</f>
        <v/>
      </c>
      <c r="BE165" s="1507" t="str">
        <f aca="false">IF($AT165&gt;0,VLOOKUP($AR165,'O_MN, PE_UTA_UGM 2024'!$E$3:$O$419,BE$6),"")</f>
        <v/>
      </c>
      <c r="BF165" s="1507" t="str">
        <f aca="false">IF($AT165&gt;0,VLOOKUP($AR165,'O_MN, PE_UTA_UGM 2024'!$E$3:$O$419,BF$6),"")</f>
        <v/>
      </c>
      <c r="BG165" s="1507" t="str">
        <f aca="false">IF($AT165&gt;0,VLOOKUP($AR165,'O_MN, PE_UTA_UGM 2024'!$E$3:$O$419,BG$6),"")</f>
        <v/>
      </c>
      <c r="BH165" s="1504"/>
      <c r="BI165" s="1504"/>
      <c r="BJ165" s="1504"/>
      <c r="BK165" s="1504"/>
      <c r="BM165" s="1411"/>
      <c r="BN165" s="1411"/>
      <c r="BO165" s="1425" t="str">
        <f aca="false">IF(ISNUMBER($AU165*BB165*1),$AU165*BB165*1,"")</f>
        <v/>
      </c>
      <c r="BP165" s="1425" t="str">
        <f aca="false">IF(ISNUMBER($AV165*BC165*1),$AV165*BC165*1,"")</f>
        <v/>
      </c>
      <c r="BQ165" s="1425" t="str">
        <f aca="false">IF(ISNUMBER($AU165*BD165*1),$AU165*BD165*1,"")</f>
        <v/>
      </c>
      <c r="BR165" s="1425" t="str">
        <f aca="false">IF(ISNUMBER($AV165*BE165*1),$AV165*BE165*1,"")</f>
        <v/>
      </c>
      <c r="BS165" s="1411" t="str">
        <f aca="false">IF(ISNUMBER($AU165*BF165),$AU165*BF165,"")</f>
        <v/>
      </c>
      <c r="BT165" s="1411" t="str">
        <f aca="false">IF(ISNUMBER($AV165*BG165),$AV165*BG165,"")</f>
        <v/>
      </c>
      <c r="BU165" s="1411"/>
      <c r="BV165" s="1411"/>
      <c r="BW165" s="1411"/>
      <c r="BX165" s="1411"/>
      <c r="BZ165" s="1372"/>
      <c r="CA165" s="1372"/>
      <c r="CB165" s="1426" t="str">
        <f aca="false">IF(ISNUMBER($AW165*BB165),$AW165*BB165,"")</f>
        <v/>
      </c>
      <c r="CC165" s="1426" t="str">
        <f aca="false">IF(ISNUMBER($AX165*BC165),$AX165*BC165,"")</f>
        <v/>
      </c>
      <c r="CD165" s="1426" t="str">
        <f aca="false">IF(ISNUMBER($AW165*BD165),$AW165*BD165,"")</f>
        <v/>
      </c>
      <c r="CE165" s="1426" t="str">
        <f aca="false">IF(ISNUMBER($AX165*BE165),$AX165*BE165,"")</f>
        <v/>
      </c>
      <c r="CF165" s="1372" t="str">
        <f aca="false">IF(ISNUMBER($AW165*BF165),$AW165*BF165,"")</f>
        <v/>
      </c>
      <c r="CG165" s="1372" t="str">
        <f aca="false">IF(ISNUMBER($AX165*BG165),$AX165*BG165,"")</f>
        <v/>
      </c>
      <c r="CH165" s="1438"/>
      <c r="CI165" s="1438"/>
      <c r="CJ165" s="1438"/>
      <c r="CK165" s="1438"/>
      <c r="CU165" s="1411"/>
      <c r="CV165" s="1411"/>
      <c r="CW165" s="1425"/>
      <c r="CX165" s="1425"/>
      <c r="CY165" s="1425"/>
      <c r="CZ165" s="1425"/>
      <c r="DA165" s="1411"/>
      <c r="DB165" s="1411"/>
      <c r="DC165" s="1411"/>
      <c r="DD165" s="1411"/>
      <c r="DE165" s="1411"/>
      <c r="DF165" s="1411"/>
      <c r="DH165" s="1432"/>
      <c r="DI165" s="1432"/>
      <c r="DJ165" s="1437"/>
      <c r="DK165" s="1437"/>
      <c r="DL165" s="1437"/>
      <c r="DM165" s="1437"/>
      <c r="DN165" s="1432"/>
      <c r="DO165" s="1432"/>
      <c r="DP165" s="1432"/>
      <c r="DQ165" s="1432"/>
      <c r="DR165" s="1432"/>
      <c r="DS165" s="1432"/>
      <c r="DT165" s="1316"/>
      <c r="DU165" s="1433"/>
      <c r="DV165" s="1433"/>
      <c r="DW165" s="1433"/>
      <c r="DX165" s="1433"/>
      <c r="DY165" s="1433"/>
      <c r="DZ165" s="1433"/>
      <c r="EA165" s="1433"/>
      <c r="EB165" s="1433"/>
    </row>
    <row r="166" customFormat="false" ht="14.25" hidden="false" customHeight="false" outlineLevel="0" collapsed="false">
      <c r="A166" s="2" t="n">
        <f aca="false">'V_DATOS PAC_SGA'!CC161</f>
        <v>0</v>
      </c>
      <c r="B166" s="2" t="n">
        <f aca="false">IF(OR(A166=0,A166=""),0,IF(I166="IV",CONCATENATE('V_DATOS PAC_SGA'!CC161,"4")+0,CONCATENATE('V_DATOS PAC_SGA'!CC161,"0")+0))</f>
        <v>0</v>
      </c>
      <c r="C166" s="2" t="n">
        <f aca="false">'V_DATOS PAC_SGA'!CD161</f>
        <v>0</v>
      </c>
      <c r="D166" s="1409" t="n">
        <f aca="false">'V_DATOS PAC_SGA'!Y161</f>
        <v>0</v>
      </c>
      <c r="E166" s="1410" t="str">
        <f aca="false">IF('V_DATOS PAC_SGA'!AV161="","Regadio",'V_DATOS PAC_SGA'!AV161)</f>
        <v>Regadio</v>
      </c>
      <c r="F166" s="1411" t="n">
        <f aca="false">'V_DATOS PAC_SGA'!BK161</f>
        <v>0</v>
      </c>
      <c r="G166" s="1412" t="n">
        <f aca="false">'V_DATOS PAC_SGA'!AN161</f>
        <v>0</v>
      </c>
      <c r="H166" s="1413" t="str">
        <f aca="false">IF(B166&gt;0,VLOOKUP(B166,'O_MN, PE_UTA_UGM 2024'!E$3:O$419,10),"")</f>
        <v/>
      </c>
      <c r="I166" s="1359" t="str">
        <f aca="false">IF('V_DATOS PAC_SGA'!BV161="IV",'V_DATOS PAC_SGA'!BV161,"")</f>
        <v/>
      </c>
      <c r="J166" s="2" t="str">
        <f aca="false">IF($A166&gt;0,IF(AND(J$4=$G166,J$6=$F166),$D166*J$5,""),"")</f>
        <v/>
      </c>
      <c r="K166" s="2" t="str">
        <f aca="false">IF($A166&gt;0,IF(AND(K$4=$G166,K$6=$F166),$D166*K$5,""),"")</f>
        <v/>
      </c>
      <c r="L166" s="2" t="str">
        <f aca="false">IF($A166&gt;0,IF(AND(L$4=$G166,L$6=$F166),$D166*L$5,""),"")</f>
        <v/>
      </c>
      <c r="M166" s="2" t="str">
        <f aca="false">IF($A166&gt;0,IF(AND(M$4=$G166,M$6=$F166),$D166*M$5,""),"")</f>
        <v/>
      </c>
      <c r="N166" s="1506" t="n">
        <f aca="false">VLOOKUP(B166,'O_MN, PE_UTA_UGM 2024'!$E$2:$K$419,IF(G166&gt;1,6,7))</f>
        <v>0</v>
      </c>
      <c r="O166" s="1434" t="str">
        <f aca="false">IF($H166=O$4,$D166*$N166,"")</f>
        <v/>
      </c>
      <c r="P166" s="1435" t="str">
        <f aca="false">IF($H166=P$4,$D166*$N166,"")</f>
        <v/>
      </c>
      <c r="Q166" s="1435" t="str">
        <f aca="false">IF($H166=Q$4,$D166*$N166,"")</f>
        <v/>
      </c>
      <c r="R166" s="1435" t="str">
        <f aca="false">IF($H166=R$4,$D166*$N166,"")</f>
        <v/>
      </c>
      <c r="S166" s="1435" t="str">
        <f aca="false">IF($H166=S$4,$D166*$N166,"")</f>
        <v/>
      </c>
      <c r="T166" s="1435" t="str">
        <f aca="false">IF($H166=T$4,$D166*$N166,"")</f>
        <v/>
      </c>
      <c r="U166" s="1436" t="str">
        <f aca="false">IF($H166=U$4,$D166*$N166,"")</f>
        <v/>
      </c>
      <c r="V166" s="1418"/>
      <c r="W166" s="1419"/>
      <c r="X166" s="1419"/>
      <c r="Y166" s="1419"/>
      <c r="Z166" s="1419"/>
      <c r="AA166" s="1419"/>
      <c r="AB166" s="1420"/>
      <c r="AC166" s="1319"/>
      <c r="AD166" s="2" t="str">
        <f aca="false">IF(AND(AD$4=$G166,AD$6=$F166),$B166,"")</f>
        <v/>
      </c>
      <c r="AE166" s="2" t="str">
        <f aca="false">IF(AND(AE$4=$G166,AE$6=$F166),$B166,"")</f>
        <v/>
      </c>
      <c r="AF166" s="2" t="str">
        <f aca="false">IF(AND(AF$4=$G166,AF$6=$F166),$B166,"")</f>
        <v/>
      </c>
      <c r="AG166" s="2" t="str">
        <f aca="false">IF(AND(AG$4=$G166,AG$6=$F166),$B166,"")</f>
        <v/>
      </c>
      <c r="AI166" s="366"/>
      <c r="AL166" s="367"/>
      <c r="AO166" s="367"/>
      <c r="AP166" s="2" t="str">
        <f aca="false">IF(AT166&gt;0,RANK(AT166,AT$7:AT$423),"")</f>
        <v/>
      </c>
      <c r="AQ166" s="2" t="n">
        <f aca="false">'O_MN, PE_UTA_UGM 2024'!C162</f>
        <v>178</v>
      </c>
      <c r="AR166" s="1421" t="n">
        <v>1774</v>
      </c>
      <c r="AS166" s="2" t="str">
        <f aca="false">IF(AY166&lt;&gt;"",AY166,"")</f>
        <v/>
      </c>
      <c r="AT166" s="1422" t="n">
        <f aca="false">IF(ISNUMBER($AR166),SUMIF(B$7:B$505,AR166,D$7:D$505),"")</f>
        <v>0</v>
      </c>
      <c r="AU166" s="1411" t="n">
        <f aca="false">IF(ISNUMBER($AR166),SUMIF(AD$7:AD$503,$AR166,J$7:J$503),"")</f>
        <v>0</v>
      </c>
      <c r="AV166" s="1411" t="n">
        <f aca="false">IF(ISNUMBER($AR166),SUMIF(AF$7:AF$503,$AR166,L$7:L$503),"")</f>
        <v>0</v>
      </c>
      <c r="AW166" s="1423" t="n">
        <f aca="false">IF(ISNUMBER($AR166),SUMIF(AE$7:AE$503,$AR166,K$7:K$503),"")</f>
        <v>0</v>
      </c>
      <c r="AX166" s="1423" t="n">
        <f aca="false">IF(ISNUMBER($AR166),SUMIF(AG$7:AG$503,$AR166,M$7:M$503),"")</f>
        <v>0</v>
      </c>
      <c r="AY166" s="2" t="str">
        <f aca="false">IF($AT166&gt;0,VLOOKUP($AR166,'O_MN, PE_UTA_UGM 2024'!E162:O578,2),"")</f>
        <v/>
      </c>
      <c r="AZ166" s="1507"/>
      <c r="BA166" s="1507"/>
      <c r="BB166" s="1507" t="str">
        <f aca="false">IF($AT166&gt;0,VLOOKUP($AR166,'O_MN, PE_UTA_UGM 2024'!$E$3:$O$419,BB$6),"")</f>
        <v/>
      </c>
      <c r="BC166" s="1507" t="str">
        <f aca="false">IF($AT166&gt;0,VLOOKUP($AR166,'O_MN, PE_UTA_UGM 2024'!$E$3:$O$419,BC$6),"")</f>
        <v/>
      </c>
      <c r="BD166" s="1507" t="str">
        <f aca="false">IF($AT166&gt;0,VLOOKUP($AR166,'O_MN, PE_UTA_UGM 2024'!$E$3:$O$419,BD$6),"")</f>
        <v/>
      </c>
      <c r="BE166" s="1507" t="str">
        <f aca="false">IF($AT166&gt;0,VLOOKUP($AR166,'O_MN, PE_UTA_UGM 2024'!$E$3:$O$419,BE$6),"")</f>
        <v/>
      </c>
      <c r="BF166" s="1507" t="str">
        <f aca="false">IF($AT166&gt;0,VLOOKUP($AR166,'O_MN, PE_UTA_UGM 2024'!$E$3:$O$419,BF$6),"")</f>
        <v/>
      </c>
      <c r="BG166" s="1507" t="str">
        <f aca="false">IF($AT166&gt;0,VLOOKUP($AR166,'O_MN, PE_UTA_UGM 2024'!$E$3:$O$419,BG$6),"")</f>
        <v/>
      </c>
      <c r="BH166" s="1504"/>
      <c r="BI166" s="1504"/>
      <c r="BJ166" s="1504"/>
      <c r="BK166" s="1504"/>
      <c r="BM166" s="1411"/>
      <c r="BN166" s="1411"/>
      <c r="BO166" s="1425" t="str">
        <f aca="false">IF(ISNUMBER($AU166*BB166*1),$AU166*BB166*1,"")</f>
        <v/>
      </c>
      <c r="BP166" s="1425" t="str">
        <f aca="false">IF(ISNUMBER($AV166*BC166*1),$AV166*BC166*1,"")</f>
        <v/>
      </c>
      <c r="BQ166" s="1425" t="str">
        <f aca="false">IF(ISNUMBER($AU166*BD166*1),$AU166*BD166*1,"")</f>
        <v/>
      </c>
      <c r="BR166" s="1425" t="str">
        <f aca="false">IF(ISNUMBER($AV166*BE166*1),$AV166*BE166*1,"")</f>
        <v/>
      </c>
      <c r="BS166" s="1411" t="str">
        <f aca="false">IF(ISNUMBER($AU166*BF166),$AU166*BF166,"")</f>
        <v/>
      </c>
      <c r="BT166" s="1411" t="str">
        <f aca="false">IF(ISNUMBER($AV166*BG166),$AV166*BG166,"")</f>
        <v/>
      </c>
      <c r="BU166" s="1411"/>
      <c r="BV166" s="1411"/>
      <c r="BW166" s="1411"/>
      <c r="BX166" s="1411"/>
      <c r="BZ166" s="1372"/>
      <c r="CA166" s="1372"/>
      <c r="CB166" s="1426" t="str">
        <f aca="false">IF(ISNUMBER($AW166*BB166),$AW166*BB166,"")</f>
        <v/>
      </c>
      <c r="CC166" s="1426" t="str">
        <f aca="false">IF(ISNUMBER($AX166*BC166),$AX166*BC166,"")</f>
        <v/>
      </c>
      <c r="CD166" s="1426" t="str">
        <f aca="false">IF(ISNUMBER($AW166*BD166),$AW166*BD166,"")</f>
        <v/>
      </c>
      <c r="CE166" s="1426" t="str">
        <f aca="false">IF(ISNUMBER($AX166*BE166),$AX166*BE166,"")</f>
        <v/>
      </c>
      <c r="CF166" s="1372" t="str">
        <f aca="false">IF(ISNUMBER($AW166*BF166),$AW166*BF166,"")</f>
        <v/>
      </c>
      <c r="CG166" s="1372" t="str">
        <f aca="false">IF(ISNUMBER($AX166*BG166),$AX166*BG166,"")</f>
        <v/>
      </c>
      <c r="CH166" s="1438"/>
      <c r="CI166" s="1438"/>
      <c r="CJ166" s="1438"/>
      <c r="CK166" s="1438"/>
      <c r="CU166" s="1411"/>
      <c r="CV166" s="1411"/>
      <c r="CW166" s="1425"/>
      <c r="CX166" s="1425"/>
      <c r="CY166" s="1425"/>
      <c r="CZ166" s="1425"/>
      <c r="DA166" s="1411"/>
      <c r="DB166" s="1411"/>
      <c r="DC166" s="1411"/>
      <c r="DD166" s="1411"/>
      <c r="DE166" s="1411"/>
      <c r="DF166" s="1411"/>
      <c r="DH166" s="1432"/>
      <c r="DI166" s="1432"/>
      <c r="DJ166" s="1437"/>
      <c r="DK166" s="1437"/>
      <c r="DL166" s="1437"/>
      <c r="DM166" s="1437"/>
      <c r="DN166" s="1432"/>
      <c r="DO166" s="1432"/>
      <c r="DP166" s="1432"/>
      <c r="DQ166" s="1432"/>
      <c r="DR166" s="1432"/>
      <c r="DS166" s="1432"/>
      <c r="DT166" s="1316"/>
      <c r="DU166" s="1433"/>
      <c r="DV166" s="1433"/>
      <c r="DW166" s="1433"/>
      <c r="DX166" s="1433"/>
      <c r="DY166" s="1433"/>
      <c r="DZ166" s="1433"/>
      <c r="EA166" s="1433"/>
      <c r="EB166" s="1433"/>
    </row>
    <row r="167" customFormat="false" ht="14.25" hidden="false" customHeight="false" outlineLevel="0" collapsed="false">
      <c r="A167" s="2" t="n">
        <f aca="false">'V_DATOS PAC_SGA'!CC162</f>
        <v>0</v>
      </c>
      <c r="B167" s="2" t="n">
        <f aca="false">IF(OR(A167=0,A167=""),0,IF(I167="IV",CONCATENATE('V_DATOS PAC_SGA'!CC162,"4")+0,CONCATENATE('V_DATOS PAC_SGA'!CC162,"0")+0))</f>
        <v>0</v>
      </c>
      <c r="C167" s="2" t="n">
        <f aca="false">'V_DATOS PAC_SGA'!CD162</f>
        <v>0</v>
      </c>
      <c r="D167" s="1409" t="n">
        <f aca="false">'V_DATOS PAC_SGA'!Y162</f>
        <v>0</v>
      </c>
      <c r="E167" s="1410" t="str">
        <f aca="false">IF('V_DATOS PAC_SGA'!AV162="","Regadio",'V_DATOS PAC_SGA'!AV162)</f>
        <v>Regadio</v>
      </c>
      <c r="F167" s="1411" t="n">
        <f aca="false">'V_DATOS PAC_SGA'!BK162</f>
        <v>0</v>
      </c>
      <c r="G167" s="1412" t="n">
        <f aca="false">'V_DATOS PAC_SGA'!AN162</f>
        <v>0</v>
      </c>
      <c r="H167" s="1413" t="str">
        <f aca="false">IF(B167&gt;0,VLOOKUP(B167,'O_MN, PE_UTA_UGM 2024'!E$3:O$419,10),"")</f>
        <v/>
      </c>
      <c r="I167" s="1359" t="str">
        <f aca="false">IF('V_DATOS PAC_SGA'!BV162="IV",'V_DATOS PAC_SGA'!BV162,"")</f>
        <v/>
      </c>
      <c r="J167" s="2" t="str">
        <f aca="false">IF($A167&gt;0,IF(AND(J$4=$G167,J$6=$F167),$D167*J$5,""),"")</f>
        <v/>
      </c>
      <c r="K167" s="2" t="str">
        <f aca="false">IF($A167&gt;0,IF(AND(K$4=$G167,K$6=$F167),$D167*K$5,""),"")</f>
        <v/>
      </c>
      <c r="L167" s="2" t="str">
        <f aca="false">IF($A167&gt;0,IF(AND(L$4=$G167,L$6=$F167),$D167*L$5,""),"")</f>
        <v/>
      </c>
      <c r="M167" s="2" t="str">
        <f aca="false">IF($A167&gt;0,IF(AND(M$4=$G167,M$6=$F167),$D167*M$5,""),"")</f>
        <v/>
      </c>
      <c r="N167" s="1506" t="n">
        <f aca="false">VLOOKUP(B167,'O_MN, PE_UTA_UGM 2024'!$E$2:$K$419,IF(G167&gt;1,6,7))</f>
        <v>0</v>
      </c>
      <c r="O167" s="1434" t="str">
        <f aca="false">IF($H167=O$4,$D167*$N167,"")</f>
        <v/>
      </c>
      <c r="P167" s="1435" t="str">
        <f aca="false">IF($H167=P$4,$D167*$N167,"")</f>
        <v/>
      </c>
      <c r="Q167" s="1435" t="str">
        <f aca="false">IF($H167=Q$4,$D167*$N167,"")</f>
        <v/>
      </c>
      <c r="R167" s="1435" t="str">
        <f aca="false">IF($H167=R$4,$D167*$N167,"")</f>
        <v/>
      </c>
      <c r="S167" s="1435" t="str">
        <f aca="false">IF($H167=S$4,$D167*$N167,"")</f>
        <v/>
      </c>
      <c r="T167" s="1435" t="str">
        <f aca="false">IF($H167=T$4,$D167*$N167,"")</f>
        <v/>
      </c>
      <c r="U167" s="1436" t="str">
        <f aca="false">IF($H167=U$4,$D167*$N167,"")</f>
        <v/>
      </c>
      <c r="V167" s="1418"/>
      <c r="W167" s="1419"/>
      <c r="X167" s="1419"/>
      <c r="Y167" s="1419"/>
      <c r="Z167" s="1419"/>
      <c r="AA167" s="1419"/>
      <c r="AB167" s="1420"/>
      <c r="AC167" s="1319"/>
      <c r="AD167" s="2" t="str">
        <f aca="false">IF(AND(AD$4=$G167,AD$6=$F167),$B167,"")</f>
        <v/>
      </c>
      <c r="AE167" s="2" t="str">
        <f aca="false">IF(AND(AE$4=$G167,AE$6=$F167),$B167,"")</f>
        <v/>
      </c>
      <c r="AF167" s="2" t="str">
        <f aca="false">IF(AND(AF$4=$G167,AF$6=$F167),$B167,"")</f>
        <v/>
      </c>
      <c r="AG167" s="2" t="str">
        <f aca="false">IF(AND(AG$4=$G167,AG$6=$F167),$B167,"")</f>
        <v/>
      </c>
      <c r="AI167" s="366"/>
      <c r="AL167" s="367"/>
      <c r="AO167" s="367"/>
      <c r="AP167" s="2" t="str">
        <f aca="false">IF(AT167&gt;0,RANK(AT167,AT$7:AT$423),"")</f>
        <v/>
      </c>
      <c r="AQ167" s="2" t="n">
        <f aca="false">'O_MN, PE_UTA_UGM 2024'!C163</f>
        <v>179</v>
      </c>
      <c r="AR167" s="1421" t="n">
        <v>1779</v>
      </c>
      <c r="AS167" s="2" t="str">
        <f aca="false">IF(AY167&lt;&gt;"",AY167,"")</f>
        <v/>
      </c>
      <c r="AT167" s="1422" t="n">
        <f aca="false">IF(ISNUMBER($AR167),SUMIF(B$7:B$505,AR167,D$7:D$505),"")</f>
        <v>0</v>
      </c>
      <c r="AU167" s="1411" t="n">
        <f aca="false">IF(ISNUMBER($AR167),SUMIF(AD$7:AD$503,$AR167,J$7:J$503),"")</f>
        <v>0</v>
      </c>
      <c r="AV167" s="1411" t="n">
        <f aca="false">IF(ISNUMBER($AR167),SUMIF(AF$7:AF$503,$AR167,L$7:L$503),"")</f>
        <v>0</v>
      </c>
      <c r="AW167" s="1423" t="n">
        <f aca="false">IF(ISNUMBER($AR167),SUMIF(AE$7:AE$503,$AR167,K$7:K$503),"")</f>
        <v>0</v>
      </c>
      <c r="AX167" s="1423" t="n">
        <f aca="false">IF(ISNUMBER($AR167),SUMIF(AG$7:AG$503,$AR167,M$7:M$503),"")</f>
        <v>0</v>
      </c>
      <c r="AY167" s="2" t="str">
        <f aca="false">IF($AT167&gt;0,VLOOKUP($AR167,'O_MN, PE_UTA_UGM 2024'!E163:O579,2),"")</f>
        <v/>
      </c>
      <c r="AZ167" s="1507"/>
      <c r="BA167" s="1507"/>
      <c r="BB167" s="1507" t="str">
        <f aca="false">IF($AT167&gt;0,VLOOKUP($AR167,'O_MN, PE_UTA_UGM 2024'!$E$3:$O$419,BB$6),"")</f>
        <v/>
      </c>
      <c r="BC167" s="1507" t="str">
        <f aca="false">IF($AT167&gt;0,VLOOKUP($AR167,'O_MN, PE_UTA_UGM 2024'!$E$3:$O$419,BC$6),"")</f>
        <v/>
      </c>
      <c r="BD167" s="1507" t="str">
        <f aca="false">IF($AT167&gt;0,VLOOKUP($AR167,'O_MN, PE_UTA_UGM 2024'!$E$3:$O$419,BD$6),"")</f>
        <v/>
      </c>
      <c r="BE167" s="1507" t="str">
        <f aca="false">IF($AT167&gt;0,VLOOKUP($AR167,'O_MN, PE_UTA_UGM 2024'!$E$3:$O$419,BE$6),"")</f>
        <v/>
      </c>
      <c r="BF167" s="1507" t="str">
        <f aca="false">IF($AT167&gt;0,VLOOKUP($AR167,'O_MN, PE_UTA_UGM 2024'!$E$3:$O$419,BF$6),"")</f>
        <v/>
      </c>
      <c r="BG167" s="1507" t="str">
        <f aca="false">IF($AT167&gt;0,VLOOKUP($AR167,'O_MN, PE_UTA_UGM 2024'!$E$3:$O$419,BG$6),"")</f>
        <v/>
      </c>
      <c r="BH167" s="1504"/>
      <c r="BI167" s="1504"/>
      <c r="BJ167" s="1504"/>
      <c r="BK167" s="1504"/>
      <c r="BM167" s="1411"/>
      <c r="BN167" s="1411"/>
      <c r="BO167" s="1425" t="str">
        <f aca="false">IF(ISNUMBER($AU167*BB167*1),$AU167*BB167*1,"")</f>
        <v/>
      </c>
      <c r="BP167" s="1425" t="str">
        <f aca="false">IF(ISNUMBER($AV167*BC167*1),$AV167*BC167*1,"")</f>
        <v/>
      </c>
      <c r="BQ167" s="1425" t="str">
        <f aca="false">IF(ISNUMBER($AU167*BD167*1),$AU167*BD167*1,"")</f>
        <v/>
      </c>
      <c r="BR167" s="1425" t="str">
        <f aca="false">IF(ISNUMBER($AV167*BE167*1),$AV167*BE167*1,"")</f>
        <v/>
      </c>
      <c r="BS167" s="1411" t="str">
        <f aca="false">IF(ISNUMBER($AU167*BF167),$AU167*BF167,"")</f>
        <v/>
      </c>
      <c r="BT167" s="1411" t="str">
        <f aca="false">IF(ISNUMBER($AV167*BG167),$AV167*BG167,"")</f>
        <v/>
      </c>
      <c r="BU167" s="1411"/>
      <c r="BV167" s="1411"/>
      <c r="BW167" s="1411"/>
      <c r="BX167" s="1411"/>
      <c r="BZ167" s="1372"/>
      <c r="CA167" s="1372"/>
      <c r="CB167" s="1426" t="str">
        <f aca="false">IF(ISNUMBER($AW167*BB167),$AW167*BB167,"")</f>
        <v/>
      </c>
      <c r="CC167" s="1426" t="str">
        <f aca="false">IF(ISNUMBER($AX167*BC167),$AX167*BC167,"")</f>
        <v/>
      </c>
      <c r="CD167" s="1426" t="str">
        <f aca="false">IF(ISNUMBER($AW167*BD167),$AW167*BD167,"")</f>
        <v/>
      </c>
      <c r="CE167" s="1426" t="str">
        <f aca="false">IF(ISNUMBER($AX167*BE167),$AX167*BE167,"")</f>
        <v/>
      </c>
      <c r="CF167" s="1372" t="str">
        <f aca="false">IF(ISNUMBER($AW167*BF167),$AW167*BF167,"")</f>
        <v/>
      </c>
      <c r="CG167" s="1372" t="str">
        <f aca="false">IF(ISNUMBER($AX167*BG167),$AX167*BG167,"")</f>
        <v/>
      </c>
      <c r="CH167" s="1438"/>
      <c r="CI167" s="1438"/>
      <c r="CJ167" s="1438"/>
      <c r="CK167" s="1438"/>
      <c r="CU167" s="1411"/>
      <c r="CV167" s="1411"/>
      <c r="CW167" s="1425"/>
      <c r="CX167" s="1425"/>
      <c r="CY167" s="1425"/>
      <c r="CZ167" s="1425"/>
      <c r="DA167" s="1411"/>
      <c r="DB167" s="1411"/>
      <c r="DC167" s="1411"/>
      <c r="DD167" s="1411"/>
      <c r="DE167" s="1411"/>
      <c r="DF167" s="1411"/>
      <c r="DH167" s="1432"/>
      <c r="DI167" s="1432"/>
      <c r="DJ167" s="1437"/>
      <c r="DK167" s="1437"/>
      <c r="DL167" s="1437"/>
      <c r="DM167" s="1437"/>
      <c r="DN167" s="1432"/>
      <c r="DO167" s="1432"/>
      <c r="DP167" s="1432"/>
      <c r="DQ167" s="1432"/>
      <c r="DR167" s="1432"/>
      <c r="DS167" s="1432"/>
      <c r="DT167" s="1316"/>
      <c r="DU167" s="1433"/>
      <c r="DV167" s="1433"/>
      <c r="DW167" s="1433"/>
      <c r="DX167" s="1433"/>
      <c r="DY167" s="1433"/>
      <c r="DZ167" s="1433"/>
      <c r="EA167" s="1433"/>
      <c r="EB167" s="1433"/>
    </row>
    <row r="168" customFormat="false" ht="14.25" hidden="false" customHeight="false" outlineLevel="0" collapsed="false">
      <c r="A168" s="2" t="n">
        <f aca="false">'V_DATOS PAC_SGA'!CC163</f>
        <v>0</v>
      </c>
      <c r="B168" s="2" t="n">
        <f aca="false">IF(OR(A168=0,A168=""),0,IF(I168="IV",CONCATENATE('V_DATOS PAC_SGA'!CC163,"4")+0,CONCATENATE('V_DATOS PAC_SGA'!CC163,"0")+0))</f>
        <v>0</v>
      </c>
      <c r="C168" s="2" t="n">
        <f aca="false">'V_DATOS PAC_SGA'!CD163</f>
        <v>0</v>
      </c>
      <c r="D168" s="1409" t="n">
        <f aca="false">'V_DATOS PAC_SGA'!Y163</f>
        <v>0</v>
      </c>
      <c r="E168" s="1410" t="str">
        <f aca="false">IF('V_DATOS PAC_SGA'!AV163="","Regadio",'V_DATOS PAC_SGA'!AV163)</f>
        <v>Regadio</v>
      </c>
      <c r="F168" s="1411" t="n">
        <f aca="false">'V_DATOS PAC_SGA'!BK163</f>
        <v>0</v>
      </c>
      <c r="G168" s="1412" t="n">
        <f aca="false">'V_DATOS PAC_SGA'!AN163</f>
        <v>0</v>
      </c>
      <c r="H168" s="1413" t="str">
        <f aca="false">IF(B168&gt;0,VLOOKUP(B168,'O_MN, PE_UTA_UGM 2024'!E$3:O$419,10),"")</f>
        <v/>
      </c>
      <c r="I168" s="1359" t="str">
        <f aca="false">IF('V_DATOS PAC_SGA'!BV163="IV",'V_DATOS PAC_SGA'!BV163,"")</f>
        <v/>
      </c>
      <c r="J168" s="2" t="str">
        <f aca="false">IF($A168&gt;0,IF(AND(J$4=$G168,J$6=$F168),$D168*J$5,""),"")</f>
        <v/>
      </c>
      <c r="K168" s="2" t="str">
        <f aca="false">IF($A168&gt;0,IF(AND(K$4=$G168,K$6=$F168),$D168*K$5,""),"")</f>
        <v/>
      </c>
      <c r="L168" s="2" t="str">
        <f aca="false">IF($A168&gt;0,IF(AND(L$4=$G168,L$6=$F168),$D168*L$5,""),"")</f>
        <v/>
      </c>
      <c r="M168" s="2" t="str">
        <f aca="false">IF($A168&gt;0,IF(AND(M$4=$G168,M$6=$F168),$D168*M$5,""),"")</f>
        <v/>
      </c>
      <c r="N168" s="1506" t="n">
        <f aca="false">VLOOKUP(B168,'O_MN, PE_UTA_UGM 2024'!$E$2:$K$419,IF(G168&gt;1,6,7))</f>
        <v>0</v>
      </c>
      <c r="O168" s="1434" t="str">
        <f aca="false">IF($H168=O$4,$D168*$N168,"")</f>
        <v/>
      </c>
      <c r="P168" s="1435" t="str">
        <f aca="false">IF($H168=P$4,$D168*$N168,"")</f>
        <v/>
      </c>
      <c r="Q168" s="1435" t="str">
        <f aca="false">IF($H168=Q$4,$D168*$N168,"")</f>
        <v/>
      </c>
      <c r="R168" s="1435" t="str">
        <f aca="false">IF($H168=R$4,$D168*$N168,"")</f>
        <v/>
      </c>
      <c r="S168" s="1435" t="str">
        <f aca="false">IF($H168=S$4,$D168*$N168,"")</f>
        <v/>
      </c>
      <c r="T168" s="1435" t="str">
        <f aca="false">IF($H168=T$4,$D168*$N168,"")</f>
        <v/>
      </c>
      <c r="U168" s="1436" t="str">
        <f aca="false">IF($H168=U$4,$D168*$N168,"")</f>
        <v/>
      </c>
      <c r="V168" s="1418"/>
      <c r="W168" s="1419"/>
      <c r="X168" s="1419"/>
      <c r="Y168" s="1419"/>
      <c r="Z168" s="1419"/>
      <c r="AA168" s="1419"/>
      <c r="AB168" s="1420"/>
      <c r="AC168" s="1319"/>
      <c r="AD168" s="2" t="str">
        <f aca="false">IF(AND(AD$4=$G168,AD$6=$F168),$B168,"")</f>
        <v/>
      </c>
      <c r="AE168" s="2" t="str">
        <f aca="false">IF(AND(AE$4=$G168,AE$6=$F168),$B168,"")</f>
        <v/>
      </c>
      <c r="AF168" s="2" t="str">
        <f aca="false">IF(AND(AF$4=$G168,AF$6=$F168),$B168,"")</f>
        <v/>
      </c>
      <c r="AG168" s="2" t="str">
        <f aca="false">IF(AND(AG$4=$G168,AG$6=$F168),$B168,"")</f>
        <v/>
      </c>
      <c r="AI168" s="366"/>
      <c r="AL168" s="367"/>
      <c r="AO168" s="367"/>
      <c r="AP168" s="2" t="str">
        <f aca="false">IF(AT168&gt;0,RANK(AT168,AT$7:AT$423),"")</f>
        <v/>
      </c>
      <c r="AQ168" s="2" t="n">
        <f aca="false">'O_MN, PE_UTA_UGM 2024'!C164</f>
        <v>179</v>
      </c>
      <c r="AR168" s="1421" t="n">
        <v>1780</v>
      </c>
      <c r="AS168" s="2" t="str">
        <f aca="false">IF(AY168&lt;&gt;"",AY168,"")</f>
        <v/>
      </c>
      <c r="AT168" s="1422" t="n">
        <f aca="false">IF(ISNUMBER($AR168),SUMIF(B$7:B$505,AR168,D$7:D$505),"")</f>
        <v>0</v>
      </c>
      <c r="AU168" s="1411" t="n">
        <f aca="false">IF(ISNUMBER($AR168),SUMIF(AD$7:AD$503,$AR168,J$7:J$503),"")</f>
        <v>0</v>
      </c>
      <c r="AV168" s="1411" t="n">
        <f aca="false">IF(ISNUMBER($AR168),SUMIF(AF$7:AF$503,$AR168,L$7:L$503),"")</f>
        <v>0</v>
      </c>
      <c r="AW168" s="1423" t="n">
        <f aca="false">IF(ISNUMBER($AR168),SUMIF(AE$7:AE$503,$AR168,K$7:K$503),"")</f>
        <v>0</v>
      </c>
      <c r="AX168" s="1423" t="n">
        <f aca="false">IF(ISNUMBER($AR168),SUMIF(AG$7:AG$503,$AR168,M$7:M$503),"")</f>
        <v>0</v>
      </c>
      <c r="AY168" s="2" t="str">
        <f aca="false">IF($AT168&gt;0,VLOOKUP($AR168,'O_MN, PE_UTA_UGM 2024'!E164:O580,2),"")</f>
        <v/>
      </c>
      <c r="AZ168" s="1507"/>
      <c r="BA168" s="1507"/>
      <c r="BB168" s="1507" t="str">
        <f aca="false">IF($AT168&gt;0,VLOOKUP($AR168,'O_MN, PE_UTA_UGM 2024'!$E$3:$O$419,BB$6),"")</f>
        <v/>
      </c>
      <c r="BC168" s="1507" t="str">
        <f aca="false">IF($AT168&gt;0,VLOOKUP($AR168,'O_MN, PE_UTA_UGM 2024'!$E$3:$O$419,BC$6),"")</f>
        <v/>
      </c>
      <c r="BD168" s="1507" t="str">
        <f aca="false">IF($AT168&gt;0,VLOOKUP($AR168,'O_MN, PE_UTA_UGM 2024'!$E$3:$O$419,BD$6),"")</f>
        <v/>
      </c>
      <c r="BE168" s="1507" t="str">
        <f aca="false">IF($AT168&gt;0,VLOOKUP($AR168,'O_MN, PE_UTA_UGM 2024'!$E$3:$O$419,BE$6),"")</f>
        <v/>
      </c>
      <c r="BF168" s="1507" t="str">
        <f aca="false">IF($AT168&gt;0,VLOOKUP($AR168,'O_MN, PE_UTA_UGM 2024'!$E$3:$O$419,BF$6),"")</f>
        <v/>
      </c>
      <c r="BG168" s="1507" t="str">
        <f aca="false">IF($AT168&gt;0,VLOOKUP($AR168,'O_MN, PE_UTA_UGM 2024'!$E$3:$O$419,BG$6),"")</f>
        <v/>
      </c>
      <c r="BH168" s="1504"/>
      <c r="BI168" s="1504"/>
      <c r="BJ168" s="1504"/>
      <c r="BK168" s="1504"/>
      <c r="BM168" s="1411"/>
      <c r="BN168" s="1411"/>
      <c r="BO168" s="1425" t="str">
        <f aca="false">IF(ISNUMBER($AU168*BB168*1),$AU168*BB168*1,"")</f>
        <v/>
      </c>
      <c r="BP168" s="1425" t="str">
        <f aca="false">IF(ISNUMBER($AV168*BC168*1),$AV168*BC168*1,"")</f>
        <v/>
      </c>
      <c r="BQ168" s="1425" t="str">
        <f aca="false">IF(ISNUMBER($AU168*BD168*1),$AU168*BD168*1,"")</f>
        <v/>
      </c>
      <c r="BR168" s="1425" t="str">
        <f aca="false">IF(ISNUMBER($AV168*BE168*1),$AV168*BE168*1,"")</f>
        <v/>
      </c>
      <c r="BS168" s="1411" t="str">
        <f aca="false">IF(ISNUMBER($AU168*BF168),$AU168*BF168,"")</f>
        <v/>
      </c>
      <c r="BT168" s="1411" t="str">
        <f aca="false">IF(ISNUMBER($AV168*BG168),$AV168*BG168,"")</f>
        <v/>
      </c>
      <c r="BU168" s="1411"/>
      <c r="BV168" s="1411"/>
      <c r="BW168" s="1411"/>
      <c r="BX168" s="1411"/>
      <c r="BZ168" s="1372"/>
      <c r="CA168" s="1372"/>
      <c r="CB168" s="1426" t="str">
        <f aca="false">IF(ISNUMBER($AW168*BB168),$AW168*BB168,"")</f>
        <v/>
      </c>
      <c r="CC168" s="1426" t="str">
        <f aca="false">IF(ISNUMBER($AX168*BC168),$AX168*BC168,"")</f>
        <v/>
      </c>
      <c r="CD168" s="1426" t="str">
        <f aca="false">IF(ISNUMBER($AW168*BD168),$AW168*BD168,"")</f>
        <v/>
      </c>
      <c r="CE168" s="1426" t="str">
        <f aca="false">IF(ISNUMBER($AX168*BE168),$AX168*BE168,"")</f>
        <v/>
      </c>
      <c r="CF168" s="1372" t="str">
        <f aca="false">IF(ISNUMBER($AW168*BF168),$AW168*BF168,"")</f>
        <v/>
      </c>
      <c r="CG168" s="1372" t="str">
        <f aca="false">IF(ISNUMBER($AX168*BG168),$AX168*BG168,"")</f>
        <v/>
      </c>
      <c r="CH168" s="1438"/>
      <c r="CI168" s="1438"/>
      <c r="CJ168" s="1438"/>
      <c r="CK168" s="1438"/>
      <c r="CU168" s="1411"/>
      <c r="CV168" s="1411"/>
      <c r="CW168" s="1425"/>
      <c r="CX168" s="1425"/>
      <c r="CY168" s="1425"/>
      <c r="CZ168" s="1425"/>
      <c r="DA168" s="1411"/>
      <c r="DB168" s="1411"/>
      <c r="DC168" s="1411"/>
      <c r="DD168" s="1411"/>
      <c r="DE168" s="1411"/>
      <c r="DF168" s="1411"/>
      <c r="DH168" s="1432"/>
      <c r="DI168" s="1432"/>
      <c r="DJ168" s="1437"/>
      <c r="DK168" s="1437"/>
      <c r="DL168" s="1437"/>
      <c r="DM168" s="1437"/>
      <c r="DN168" s="1432"/>
      <c r="DO168" s="1432"/>
      <c r="DP168" s="1432"/>
      <c r="DQ168" s="1432"/>
      <c r="DR168" s="1432"/>
      <c r="DS168" s="1432"/>
      <c r="DT168" s="1316"/>
      <c r="DU168" s="1433"/>
      <c r="DV168" s="1433"/>
      <c r="DW168" s="1433"/>
      <c r="DX168" s="1433"/>
      <c r="DY168" s="1433"/>
      <c r="DZ168" s="1433"/>
      <c r="EA168" s="1433"/>
      <c r="EB168" s="1433"/>
    </row>
    <row r="169" customFormat="false" ht="14.25" hidden="false" customHeight="false" outlineLevel="0" collapsed="false">
      <c r="A169" s="2" t="n">
        <f aca="false">'V_DATOS PAC_SGA'!CC164</f>
        <v>0</v>
      </c>
      <c r="B169" s="2" t="n">
        <f aca="false">IF(OR(A169=0,A169=""),0,IF(I169="IV",CONCATENATE('V_DATOS PAC_SGA'!CC164,"4")+0,CONCATENATE('V_DATOS PAC_SGA'!CC164,"0")+0))</f>
        <v>0</v>
      </c>
      <c r="C169" s="2" t="n">
        <f aca="false">'V_DATOS PAC_SGA'!CD164</f>
        <v>0</v>
      </c>
      <c r="D169" s="1409" t="n">
        <f aca="false">'V_DATOS PAC_SGA'!Y164</f>
        <v>0</v>
      </c>
      <c r="E169" s="1410" t="str">
        <f aca="false">IF('V_DATOS PAC_SGA'!AV164="","Regadio",'V_DATOS PAC_SGA'!AV164)</f>
        <v>Regadio</v>
      </c>
      <c r="F169" s="1411" t="n">
        <f aca="false">'V_DATOS PAC_SGA'!BK164</f>
        <v>0</v>
      </c>
      <c r="G169" s="1412" t="n">
        <f aca="false">'V_DATOS PAC_SGA'!AN164</f>
        <v>0</v>
      </c>
      <c r="H169" s="1413" t="str">
        <f aca="false">IF(B169&gt;0,VLOOKUP(B169,'O_MN, PE_UTA_UGM 2024'!E$3:O$419,10),"")</f>
        <v/>
      </c>
      <c r="I169" s="1359" t="str">
        <f aca="false">IF('V_DATOS PAC_SGA'!BV164="IV",'V_DATOS PAC_SGA'!BV164,"")</f>
        <v/>
      </c>
      <c r="J169" s="2" t="str">
        <f aca="false">IF($A169&gt;0,IF(AND(J$4=$G169,J$6=$F169),$D169*J$5,""),"")</f>
        <v/>
      </c>
      <c r="K169" s="2" t="str">
        <f aca="false">IF($A169&gt;0,IF(AND(K$4=$G169,K$6=$F169),$D169*K$5,""),"")</f>
        <v/>
      </c>
      <c r="L169" s="2" t="str">
        <f aca="false">IF($A169&gt;0,IF(AND(L$4=$G169,L$6=$F169),$D169*L$5,""),"")</f>
        <v/>
      </c>
      <c r="M169" s="2" t="str">
        <f aca="false">IF($A169&gt;0,IF(AND(M$4=$G169,M$6=$F169),$D169*M$5,""),"")</f>
        <v/>
      </c>
      <c r="N169" s="1506" t="n">
        <f aca="false">VLOOKUP(B169,'O_MN, PE_UTA_UGM 2024'!$E$2:$K$419,IF(G169&gt;1,6,7))</f>
        <v>0</v>
      </c>
      <c r="O169" s="1434" t="str">
        <f aca="false">IF($H169=O$4,$D169*$N169,"")</f>
        <v/>
      </c>
      <c r="P169" s="1435" t="str">
        <f aca="false">IF($H169=P$4,$D169*$N169,"")</f>
        <v/>
      </c>
      <c r="Q169" s="1435" t="str">
        <f aca="false">IF($H169=Q$4,$D169*$N169,"")</f>
        <v/>
      </c>
      <c r="R169" s="1435" t="str">
        <f aca="false">IF($H169=R$4,$D169*$N169,"")</f>
        <v/>
      </c>
      <c r="S169" s="1435" t="str">
        <f aca="false">IF($H169=S$4,$D169*$N169,"")</f>
        <v/>
      </c>
      <c r="T169" s="1435" t="str">
        <f aca="false">IF($H169=T$4,$D169*$N169,"")</f>
        <v/>
      </c>
      <c r="U169" s="1436" t="str">
        <f aca="false">IF($H169=U$4,$D169*$N169,"")</f>
        <v/>
      </c>
      <c r="V169" s="1418"/>
      <c r="W169" s="1419"/>
      <c r="X169" s="1419"/>
      <c r="Y169" s="1419"/>
      <c r="Z169" s="1419"/>
      <c r="AA169" s="1419"/>
      <c r="AB169" s="1420"/>
      <c r="AC169" s="1319"/>
      <c r="AD169" s="2" t="str">
        <f aca="false">IF(AND(AD$4=$G169,AD$6=$F169),$B169,"")</f>
        <v/>
      </c>
      <c r="AE169" s="2" t="str">
        <f aca="false">IF(AND(AE$4=$G169,AE$6=$F169),$B169,"")</f>
        <v/>
      </c>
      <c r="AF169" s="2" t="str">
        <f aca="false">IF(AND(AF$4=$G169,AF$6=$F169),$B169,"")</f>
        <v/>
      </c>
      <c r="AG169" s="2" t="str">
        <f aca="false">IF(AND(AG$4=$G169,AG$6=$F169),$B169,"")</f>
        <v/>
      </c>
      <c r="AI169" s="366"/>
      <c r="AL169" s="367"/>
      <c r="AO169" s="367"/>
      <c r="AP169" s="2" t="str">
        <f aca="false">IF(AT169&gt;0,RANK(AT169,AT$7:AT$423),"")</f>
        <v/>
      </c>
      <c r="AQ169" s="2" t="n">
        <f aca="false">'O_MN, PE_UTA_UGM 2024'!C165</f>
        <v>179</v>
      </c>
      <c r="AR169" s="1421" t="n">
        <v>1784</v>
      </c>
      <c r="AS169" s="2" t="str">
        <f aca="false">IF(AY169&lt;&gt;"",AY169,"")</f>
        <v/>
      </c>
      <c r="AT169" s="1422" t="n">
        <f aca="false">IF(ISNUMBER($AR169),SUMIF(B$7:B$505,AR169,D$7:D$505),"")</f>
        <v>0</v>
      </c>
      <c r="AU169" s="1411" t="n">
        <f aca="false">IF(ISNUMBER($AR169),SUMIF(AD$7:AD$503,$AR169,J$7:J$503),"")</f>
        <v>0</v>
      </c>
      <c r="AV169" s="1411" t="n">
        <f aca="false">IF(ISNUMBER($AR169),SUMIF(AF$7:AF$503,$AR169,L$7:L$503),"")</f>
        <v>0</v>
      </c>
      <c r="AW169" s="1423" t="n">
        <f aca="false">IF(ISNUMBER($AR169),SUMIF(AE$7:AE$503,$AR169,K$7:K$503),"")</f>
        <v>0</v>
      </c>
      <c r="AX169" s="1423" t="n">
        <f aca="false">IF(ISNUMBER($AR169),SUMIF(AG$7:AG$503,$AR169,M$7:M$503),"")</f>
        <v>0</v>
      </c>
      <c r="AY169" s="2" t="str">
        <f aca="false">IF($AT169&gt;0,VLOOKUP($AR169,'O_MN, PE_UTA_UGM 2024'!E165:O581,2),"")</f>
        <v/>
      </c>
      <c r="AZ169" s="1507"/>
      <c r="BA169" s="1507"/>
      <c r="BB169" s="1507" t="str">
        <f aca="false">IF($AT169&gt;0,VLOOKUP($AR169,'O_MN, PE_UTA_UGM 2024'!$E$3:$O$419,BB$6),"")</f>
        <v/>
      </c>
      <c r="BC169" s="1507" t="str">
        <f aca="false">IF($AT169&gt;0,VLOOKUP($AR169,'O_MN, PE_UTA_UGM 2024'!$E$3:$O$419,BC$6),"")</f>
        <v/>
      </c>
      <c r="BD169" s="1507" t="str">
        <f aca="false">IF($AT169&gt;0,VLOOKUP($AR169,'O_MN, PE_UTA_UGM 2024'!$E$3:$O$419,BD$6),"")</f>
        <v/>
      </c>
      <c r="BE169" s="1507" t="str">
        <f aca="false">IF($AT169&gt;0,VLOOKUP($AR169,'O_MN, PE_UTA_UGM 2024'!$E$3:$O$419,BE$6),"")</f>
        <v/>
      </c>
      <c r="BF169" s="1507" t="str">
        <f aca="false">IF($AT169&gt;0,VLOOKUP($AR169,'O_MN, PE_UTA_UGM 2024'!$E$3:$O$419,BF$6),"")</f>
        <v/>
      </c>
      <c r="BG169" s="1507" t="str">
        <f aca="false">IF($AT169&gt;0,VLOOKUP($AR169,'O_MN, PE_UTA_UGM 2024'!$E$3:$O$419,BG$6),"")</f>
        <v/>
      </c>
      <c r="BH169" s="1504"/>
      <c r="BI169" s="1504"/>
      <c r="BJ169" s="1504"/>
      <c r="BK169" s="1504"/>
      <c r="BM169" s="1411"/>
      <c r="BN169" s="1411"/>
      <c r="BO169" s="1425" t="str">
        <f aca="false">IF(ISNUMBER($AU169*BB169*1),$AU169*BB169*1,"")</f>
        <v/>
      </c>
      <c r="BP169" s="1425" t="str">
        <f aca="false">IF(ISNUMBER($AV169*BC169*1),$AV169*BC169*1,"")</f>
        <v/>
      </c>
      <c r="BQ169" s="1425" t="str">
        <f aca="false">IF(ISNUMBER($AU169*BD169*1),$AU169*BD169*1,"")</f>
        <v/>
      </c>
      <c r="BR169" s="1425" t="str">
        <f aca="false">IF(ISNUMBER($AV169*BE169*1),$AV169*BE169*1,"")</f>
        <v/>
      </c>
      <c r="BS169" s="1411" t="str">
        <f aca="false">IF(ISNUMBER($AU169*BF169),$AU169*BF169,"")</f>
        <v/>
      </c>
      <c r="BT169" s="1411" t="str">
        <f aca="false">IF(ISNUMBER($AV169*BG169),$AV169*BG169,"")</f>
        <v/>
      </c>
      <c r="BU169" s="1411"/>
      <c r="BV169" s="1411"/>
      <c r="BW169" s="1411"/>
      <c r="BX169" s="1411"/>
      <c r="BZ169" s="1372"/>
      <c r="CA169" s="1372"/>
      <c r="CB169" s="1426" t="str">
        <f aca="false">IF(ISNUMBER($AW169*BB169),$AW169*BB169,"")</f>
        <v/>
      </c>
      <c r="CC169" s="1426" t="str">
        <f aca="false">IF(ISNUMBER($AX169*BC169),$AX169*BC169,"")</f>
        <v/>
      </c>
      <c r="CD169" s="1426" t="str">
        <f aca="false">IF(ISNUMBER($AW169*BD169),$AW169*BD169,"")</f>
        <v/>
      </c>
      <c r="CE169" s="1426" t="str">
        <f aca="false">IF(ISNUMBER($AX169*BE169),$AX169*BE169,"")</f>
        <v/>
      </c>
      <c r="CF169" s="1372" t="str">
        <f aca="false">IF(ISNUMBER($AW169*BF169),$AW169*BF169,"")</f>
        <v/>
      </c>
      <c r="CG169" s="1372" t="str">
        <f aca="false">IF(ISNUMBER($AX169*BG169),$AX169*BG169,"")</f>
        <v/>
      </c>
      <c r="CH169" s="1438"/>
      <c r="CI169" s="1438"/>
      <c r="CJ169" s="1438"/>
      <c r="CK169" s="1438"/>
      <c r="CU169" s="1411"/>
      <c r="CV169" s="1411"/>
      <c r="CW169" s="1425"/>
      <c r="CX169" s="1425"/>
      <c r="CY169" s="1425"/>
      <c r="CZ169" s="1425"/>
      <c r="DA169" s="1411"/>
      <c r="DB169" s="1411"/>
      <c r="DC169" s="1411"/>
      <c r="DD169" s="1411"/>
      <c r="DE169" s="1411"/>
      <c r="DF169" s="1411"/>
      <c r="DH169" s="1432"/>
      <c r="DI169" s="1432"/>
      <c r="DJ169" s="1437"/>
      <c r="DK169" s="1437"/>
      <c r="DL169" s="1437"/>
      <c r="DM169" s="1437"/>
      <c r="DN169" s="1432"/>
      <c r="DO169" s="1432"/>
      <c r="DP169" s="1432"/>
      <c r="DQ169" s="1432"/>
      <c r="DR169" s="1432"/>
      <c r="DS169" s="1432"/>
      <c r="DT169" s="1316"/>
      <c r="DU169" s="1433"/>
      <c r="DV169" s="1433"/>
      <c r="DW169" s="1433"/>
      <c r="DX169" s="1433"/>
      <c r="DY169" s="1433"/>
      <c r="DZ169" s="1433"/>
      <c r="EA169" s="1433"/>
      <c r="EB169" s="1433"/>
    </row>
    <row r="170" customFormat="false" ht="14.25" hidden="false" customHeight="false" outlineLevel="0" collapsed="false">
      <c r="A170" s="2" t="n">
        <f aca="false">'V_DATOS PAC_SGA'!CC165</f>
        <v>0</v>
      </c>
      <c r="B170" s="2" t="n">
        <f aca="false">IF(OR(A170=0,A170=""),0,IF(I170="IV",CONCATENATE('V_DATOS PAC_SGA'!CC165,"4")+0,CONCATENATE('V_DATOS PAC_SGA'!CC165,"0")+0))</f>
        <v>0</v>
      </c>
      <c r="C170" s="2" t="n">
        <f aca="false">'V_DATOS PAC_SGA'!CD165</f>
        <v>0</v>
      </c>
      <c r="D170" s="1409" t="n">
        <f aca="false">'V_DATOS PAC_SGA'!Y165</f>
        <v>0</v>
      </c>
      <c r="E170" s="1410" t="str">
        <f aca="false">IF('V_DATOS PAC_SGA'!AV165="","Regadio",'V_DATOS PAC_SGA'!AV165)</f>
        <v>Regadio</v>
      </c>
      <c r="F170" s="1411" t="n">
        <f aca="false">'V_DATOS PAC_SGA'!BK165</f>
        <v>0</v>
      </c>
      <c r="G170" s="1412" t="n">
        <f aca="false">'V_DATOS PAC_SGA'!AN165</f>
        <v>0</v>
      </c>
      <c r="H170" s="1413" t="str">
        <f aca="false">IF(B170&gt;0,VLOOKUP(B170,'O_MN, PE_UTA_UGM 2024'!E$3:O$419,10),"")</f>
        <v/>
      </c>
      <c r="I170" s="1359" t="str">
        <f aca="false">IF('V_DATOS PAC_SGA'!BV165="IV",'V_DATOS PAC_SGA'!BV165,"")</f>
        <v/>
      </c>
      <c r="J170" s="2" t="str">
        <f aca="false">IF($A170&gt;0,IF(AND(J$4=$G170,J$6=$F170),$D170*J$5,""),"")</f>
        <v/>
      </c>
      <c r="K170" s="2" t="str">
        <f aca="false">IF($A170&gt;0,IF(AND(K$4=$G170,K$6=$F170),$D170*K$5,""),"")</f>
        <v/>
      </c>
      <c r="L170" s="2" t="str">
        <f aca="false">IF($A170&gt;0,IF(AND(L$4=$G170,L$6=$F170),$D170*L$5,""),"")</f>
        <v/>
      </c>
      <c r="M170" s="2" t="str">
        <f aca="false">IF($A170&gt;0,IF(AND(M$4=$G170,M$6=$F170),$D170*M$5,""),"")</f>
        <v/>
      </c>
      <c r="N170" s="1506" t="n">
        <f aca="false">VLOOKUP(B170,'O_MN, PE_UTA_UGM 2024'!$E$2:$K$419,IF(G170&gt;1,6,7))</f>
        <v>0</v>
      </c>
      <c r="O170" s="1434" t="str">
        <f aca="false">IF($H170=O$4,$D170*$N170,"")</f>
        <v/>
      </c>
      <c r="P170" s="1435" t="str">
        <f aca="false">IF($H170=P$4,$D170*$N170,"")</f>
        <v/>
      </c>
      <c r="Q170" s="1435" t="str">
        <f aca="false">IF($H170=Q$4,$D170*$N170,"")</f>
        <v/>
      </c>
      <c r="R170" s="1435" t="str">
        <f aca="false">IF($H170=R$4,$D170*$N170,"")</f>
        <v/>
      </c>
      <c r="S170" s="1435" t="str">
        <f aca="false">IF($H170=S$4,$D170*$N170,"")</f>
        <v/>
      </c>
      <c r="T170" s="1435" t="str">
        <f aca="false">IF($H170=T$4,$D170*$N170,"")</f>
        <v/>
      </c>
      <c r="U170" s="1436" t="str">
        <f aca="false">IF($H170=U$4,$D170*$N170,"")</f>
        <v/>
      </c>
      <c r="V170" s="1418"/>
      <c r="W170" s="1419"/>
      <c r="X170" s="1419"/>
      <c r="Y170" s="1419"/>
      <c r="Z170" s="1419"/>
      <c r="AA170" s="1419"/>
      <c r="AB170" s="1420"/>
      <c r="AC170" s="1319"/>
      <c r="AD170" s="2" t="str">
        <f aca="false">IF(AND(AD$4=$G170,AD$6=$F170),$B170,"")</f>
        <v/>
      </c>
      <c r="AE170" s="2" t="str">
        <f aca="false">IF(AND(AE$4=$G170,AE$6=$F170),$B170,"")</f>
        <v/>
      </c>
      <c r="AF170" s="2" t="str">
        <f aca="false">IF(AND(AF$4=$G170,AF$6=$F170),$B170,"")</f>
        <v/>
      </c>
      <c r="AG170" s="2" t="str">
        <f aca="false">IF(AND(AG$4=$G170,AG$6=$F170),$B170,"")</f>
        <v/>
      </c>
      <c r="AI170" s="366"/>
      <c r="AL170" s="367"/>
      <c r="AO170" s="367"/>
      <c r="AP170" s="2" t="str">
        <f aca="false">IF(AT170&gt;0,RANK(AT170,AT$7:AT$423),"")</f>
        <v/>
      </c>
      <c r="AQ170" s="2" t="n">
        <f aca="false">'O_MN, PE_UTA_UGM 2024'!C166</f>
        <v>181</v>
      </c>
      <c r="AR170" s="1421" t="n">
        <v>1789</v>
      </c>
      <c r="AS170" s="2" t="str">
        <f aca="false">IF(AY170&lt;&gt;"",AY170,"")</f>
        <v/>
      </c>
      <c r="AT170" s="1422" t="n">
        <f aca="false">IF(ISNUMBER($AR170),SUMIF(B$7:B$505,AR170,D$7:D$505),"")</f>
        <v>0</v>
      </c>
      <c r="AU170" s="1411" t="n">
        <f aca="false">IF(ISNUMBER($AR170),SUMIF(AD$7:AD$503,$AR170,J$7:J$503),"")</f>
        <v>0</v>
      </c>
      <c r="AV170" s="1411" t="n">
        <f aca="false">IF(ISNUMBER($AR170),SUMIF(AF$7:AF$503,$AR170,L$7:L$503),"")</f>
        <v>0</v>
      </c>
      <c r="AW170" s="1423" t="n">
        <f aca="false">IF(ISNUMBER($AR170),SUMIF(AE$7:AE$503,$AR170,K$7:K$503),"")</f>
        <v>0</v>
      </c>
      <c r="AX170" s="1423" t="n">
        <f aca="false">IF(ISNUMBER($AR170),SUMIF(AG$7:AG$503,$AR170,M$7:M$503),"")</f>
        <v>0</v>
      </c>
      <c r="AY170" s="2" t="str">
        <f aca="false">IF($AT170&gt;0,VLOOKUP($AR170,'O_MN, PE_UTA_UGM 2024'!E166:O582,2),"")</f>
        <v/>
      </c>
      <c r="AZ170" s="1507"/>
      <c r="BA170" s="1507"/>
      <c r="BB170" s="1507" t="str">
        <f aca="false">IF($AT170&gt;0,VLOOKUP($AR170,'O_MN, PE_UTA_UGM 2024'!$E$3:$O$419,BB$6),"")</f>
        <v/>
      </c>
      <c r="BC170" s="1507" t="str">
        <f aca="false">IF($AT170&gt;0,VLOOKUP($AR170,'O_MN, PE_UTA_UGM 2024'!$E$3:$O$419,BC$6),"")</f>
        <v/>
      </c>
      <c r="BD170" s="1507" t="str">
        <f aca="false">IF($AT170&gt;0,VLOOKUP($AR170,'O_MN, PE_UTA_UGM 2024'!$E$3:$O$419,BD$6),"")</f>
        <v/>
      </c>
      <c r="BE170" s="1507" t="str">
        <f aca="false">IF($AT170&gt;0,VLOOKUP($AR170,'O_MN, PE_UTA_UGM 2024'!$E$3:$O$419,BE$6),"")</f>
        <v/>
      </c>
      <c r="BF170" s="1507" t="str">
        <f aca="false">IF($AT170&gt;0,VLOOKUP($AR170,'O_MN, PE_UTA_UGM 2024'!$E$3:$O$419,BF$6),"")</f>
        <v/>
      </c>
      <c r="BG170" s="1507" t="str">
        <f aca="false">IF($AT170&gt;0,VLOOKUP($AR170,'O_MN, PE_UTA_UGM 2024'!$E$3:$O$419,BG$6),"")</f>
        <v/>
      </c>
      <c r="BH170" s="1504"/>
      <c r="BI170" s="1504"/>
      <c r="BJ170" s="1504"/>
      <c r="BK170" s="1504"/>
      <c r="BM170" s="1411"/>
      <c r="BN170" s="1411"/>
      <c r="BO170" s="1425" t="str">
        <f aca="false">IF(ISNUMBER($AU170*BB170*1),$AU170*BB170*1,"")</f>
        <v/>
      </c>
      <c r="BP170" s="1425" t="str">
        <f aca="false">IF(ISNUMBER($AV170*BC170*1),$AV170*BC170*1,"")</f>
        <v/>
      </c>
      <c r="BQ170" s="1425" t="str">
        <f aca="false">IF(ISNUMBER($AU170*BD170*1),$AU170*BD170*1,"")</f>
        <v/>
      </c>
      <c r="BR170" s="1425" t="str">
        <f aca="false">IF(ISNUMBER($AV170*BE170*1),$AV170*BE170*1,"")</f>
        <v/>
      </c>
      <c r="BS170" s="1411" t="str">
        <f aca="false">IF(ISNUMBER($AU170*BF170),$AU170*BF170,"")</f>
        <v/>
      </c>
      <c r="BT170" s="1411" t="str">
        <f aca="false">IF(ISNUMBER($AV170*BG170),$AV170*BG170,"")</f>
        <v/>
      </c>
      <c r="BU170" s="1411"/>
      <c r="BV170" s="1411"/>
      <c r="BW170" s="1411"/>
      <c r="BX170" s="1411"/>
      <c r="BZ170" s="1372"/>
      <c r="CA170" s="1372"/>
      <c r="CB170" s="1426" t="str">
        <f aca="false">IF(ISNUMBER($AW170*BB170),$AW170*BB170,"")</f>
        <v/>
      </c>
      <c r="CC170" s="1426" t="str">
        <f aca="false">IF(ISNUMBER($AX170*BC170),$AX170*BC170,"")</f>
        <v/>
      </c>
      <c r="CD170" s="1426" t="str">
        <f aca="false">IF(ISNUMBER($AW170*BD170),$AW170*BD170,"")</f>
        <v/>
      </c>
      <c r="CE170" s="1426" t="str">
        <f aca="false">IF(ISNUMBER($AX170*BE170),$AX170*BE170,"")</f>
        <v/>
      </c>
      <c r="CF170" s="1372" t="str">
        <f aca="false">IF(ISNUMBER($AW170*BF170),$AW170*BF170,"")</f>
        <v/>
      </c>
      <c r="CG170" s="1372" t="str">
        <f aca="false">IF(ISNUMBER($AX170*BG170),$AX170*BG170,"")</f>
        <v/>
      </c>
      <c r="CH170" s="1438"/>
      <c r="CI170" s="1438"/>
      <c r="CJ170" s="1438"/>
      <c r="CK170" s="1438"/>
      <c r="CU170" s="1411"/>
      <c r="CV170" s="1411"/>
      <c r="CW170" s="1425"/>
      <c r="CX170" s="1425"/>
      <c r="CY170" s="1425"/>
      <c r="CZ170" s="1425"/>
      <c r="DA170" s="1411"/>
      <c r="DB170" s="1411"/>
      <c r="DC170" s="1411"/>
      <c r="DD170" s="1411"/>
      <c r="DE170" s="1411"/>
      <c r="DF170" s="1411"/>
      <c r="DH170" s="1432"/>
      <c r="DI170" s="1432"/>
      <c r="DJ170" s="1437"/>
      <c r="DK170" s="1437"/>
      <c r="DL170" s="1437"/>
      <c r="DM170" s="1437"/>
      <c r="DN170" s="1432"/>
      <c r="DO170" s="1432"/>
      <c r="DP170" s="1432"/>
      <c r="DQ170" s="1432"/>
      <c r="DR170" s="1432"/>
      <c r="DS170" s="1432"/>
      <c r="DT170" s="1316"/>
      <c r="DU170" s="1433"/>
      <c r="DV170" s="1433"/>
      <c r="DW170" s="1433"/>
      <c r="DX170" s="1433"/>
      <c r="DY170" s="1433"/>
      <c r="DZ170" s="1433"/>
      <c r="EA170" s="1433"/>
      <c r="EB170" s="1433"/>
    </row>
    <row r="171" customFormat="false" ht="14.25" hidden="false" customHeight="false" outlineLevel="0" collapsed="false">
      <c r="A171" s="2" t="n">
        <f aca="false">'V_DATOS PAC_SGA'!CC166</f>
        <v>0</v>
      </c>
      <c r="B171" s="2" t="n">
        <f aca="false">IF(OR(A171=0,A171=""),0,IF(I171="IV",CONCATENATE('V_DATOS PAC_SGA'!CC166,"4")+0,CONCATENATE('V_DATOS PAC_SGA'!CC166,"0")+0))</f>
        <v>0</v>
      </c>
      <c r="C171" s="2" t="n">
        <f aca="false">'V_DATOS PAC_SGA'!CD166</f>
        <v>0</v>
      </c>
      <c r="D171" s="1409" t="n">
        <f aca="false">'V_DATOS PAC_SGA'!Y166</f>
        <v>0</v>
      </c>
      <c r="E171" s="1410" t="str">
        <f aca="false">IF('V_DATOS PAC_SGA'!AV166="","Regadio",'V_DATOS PAC_SGA'!AV166)</f>
        <v>Regadio</v>
      </c>
      <c r="F171" s="1411" t="n">
        <f aca="false">'V_DATOS PAC_SGA'!BK166</f>
        <v>0</v>
      </c>
      <c r="G171" s="1412" t="n">
        <f aca="false">'V_DATOS PAC_SGA'!AN166</f>
        <v>0</v>
      </c>
      <c r="H171" s="1413" t="str">
        <f aca="false">IF(B171&gt;0,VLOOKUP(B171,'O_MN, PE_UTA_UGM 2024'!E$3:O$419,10),"")</f>
        <v/>
      </c>
      <c r="I171" s="1359" t="str">
        <f aca="false">IF('V_DATOS PAC_SGA'!BV166="IV",'V_DATOS PAC_SGA'!BV166,"")</f>
        <v/>
      </c>
      <c r="J171" s="2" t="str">
        <f aca="false">IF($A171&gt;0,IF(AND(J$4=$G171,J$6=$F171),$D171*J$5,""),"")</f>
        <v/>
      </c>
      <c r="K171" s="2" t="str">
        <f aca="false">IF($A171&gt;0,IF(AND(K$4=$G171,K$6=$F171),$D171*K$5,""),"")</f>
        <v/>
      </c>
      <c r="L171" s="2" t="str">
        <f aca="false">IF($A171&gt;0,IF(AND(L$4=$G171,L$6=$F171),$D171*L$5,""),"")</f>
        <v/>
      </c>
      <c r="M171" s="2" t="str">
        <f aca="false">IF($A171&gt;0,IF(AND(M$4=$G171,M$6=$F171),$D171*M$5,""),"")</f>
        <v/>
      </c>
      <c r="N171" s="1506" t="n">
        <f aca="false">VLOOKUP(B171,'O_MN, PE_UTA_UGM 2024'!$E$2:$K$419,IF(G171&gt;1,6,7))</f>
        <v>0</v>
      </c>
      <c r="O171" s="1434" t="str">
        <f aca="false">IF($H171=O$4,$D171*$N171,"")</f>
        <v/>
      </c>
      <c r="P171" s="1435" t="str">
        <f aca="false">IF($H171=P$4,$D171*$N171,"")</f>
        <v/>
      </c>
      <c r="Q171" s="1435" t="str">
        <f aca="false">IF($H171=Q$4,$D171*$N171,"")</f>
        <v/>
      </c>
      <c r="R171" s="1435" t="str">
        <f aca="false">IF($H171=R$4,$D171*$N171,"")</f>
        <v/>
      </c>
      <c r="S171" s="1435" t="str">
        <f aca="false">IF($H171=S$4,$D171*$N171,"")</f>
        <v/>
      </c>
      <c r="T171" s="1435" t="str">
        <f aca="false">IF($H171=T$4,$D171*$N171,"")</f>
        <v/>
      </c>
      <c r="U171" s="1436" t="str">
        <f aca="false">IF($H171=U$4,$D171*$N171,"")</f>
        <v/>
      </c>
      <c r="V171" s="1418"/>
      <c r="W171" s="1419"/>
      <c r="X171" s="1419"/>
      <c r="Y171" s="1419"/>
      <c r="Z171" s="1419"/>
      <c r="AA171" s="1419"/>
      <c r="AB171" s="1420"/>
      <c r="AC171" s="1319"/>
      <c r="AD171" s="2" t="str">
        <f aca="false">IF(AND(AD$4=$G171,AD$6=$F171),$B171,"")</f>
        <v/>
      </c>
      <c r="AE171" s="2" t="str">
        <f aca="false">IF(AND(AE$4=$G171,AE$6=$F171),$B171,"")</f>
        <v/>
      </c>
      <c r="AF171" s="2" t="str">
        <f aca="false">IF(AND(AF$4=$G171,AF$6=$F171),$B171,"")</f>
        <v/>
      </c>
      <c r="AG171" s="2" t="str">
        <f aca="false">IF(AND(AG$4=$G171,AG$6=$F171),$B171,"")</f>
        <v/>
      </c>
      <c r="AI171" s="366"/>
      <c r="AL171" s="367"/>
      <c r="AO171" s="367"/>
      <c r="AP171" s="2" t="str">
        <f aca="false">IF(AT171&gt;0,RANK(AT171,AT$7:AT$423),"")</f>
        <v/>
      </c>
      <c r="AQ171" s="2" t="n">
        <f aca="false">'O_MN, PE_UTA_UGM 2024'!C167</f>
        <v>181</v>
      </c>
      <c r="AR171" s="1421" t="n">
        <v>1790</v>
      </c>
      <c r="AS171" s="2" t="str">
        <f aca="false">IF(AY171&lt;&gt;"",AY171,"")</f>
        <v/>
      </c>
      <c r="AT171" s="1422" t="n">
        <f aca="false">IF(ISNUMBER($AR171),SUMIF(B$7:B$505,AR171,D$7:D$505),"")</f>
        <v>0</v>
      </c>
      <c r="AU171" s="1411" t="n">
        <f aca="false">IF(ISNUMBER($AR171),SUMIF(AD$7:AD$503,$AR171,J$7:J$503),"")</f>
        <v>0</v>
      </c>
      <c r="AV171" s="1411" t="n">
        <f aca="false">IF(ISNUMBER($AR171),SUMIF(AF$7:AF$503,$AR171,L$7:L$503),"")</f>
        <v>0</v>
      </c>
      <c r="AW171" s="1423" t="n">
        <f aca="false">IF(ISNUMBER($AR171),SUMIF(AE$7:AE$503,$AR171,K$7:K$503),"")</f>
        <v>0</v>
      </c>
      <c r="AX171" s="1423" t="n">
        <f aca="false">IF(ISNUMBER($AR171),SUMIF(AG$7:AG$503,$AR171,M$7:M$503),"")</f>
        <v>0</v>
      </c>
      <c r="AY171" s="2" t="str">
        <f aca="false">IF($AT171&gt;0,VLOOKUP($AR171,'O_MN, PE_UTA_UGM 2024'!E167:O583,2),"")</f>
        <v/>
      </c>
      <c r="AZ171" s="1507"/>
      <c r="BA171" s="1507"/>
      <c r="BB171" s="1507" t="str">
        <f aca="false">IF($AT171&gt;0,VLOOKUP($AR171,'O_MN, PE_UTA_UGM 2024'!$E$3:$O$419,BB$6),"")</f>
        <v/>
      </c>
      <c r="BC171" s="1507" t="str">
        <f aca="false">IF($AT171&gt;0,VLOOKUP($AR171,'O_MN, PE_UTA_UGM 2024'!$E$3:$O$419,BC$6),"")</f>
        <v/>
      </c>
      <c r="BD171" s="1507" t="str">
        <f aca="false">IF($AT171&gt;0,VLOOKUP($AR171,'O_MN, PE_UTA_UGM 2024'!$E$3:$O$419,BD$6),"")</f>
        <v/>
      </c>
      <c r="BE171" s="1507" t="str">
        <f aca="false">IF($AT171&gt;0,VLOOKUP($AR171,'O_MN, PE_UTA_UGM 2024'!$E$3:$O$419,BE$6),"")</f>
        <v/>
      </c>
      <c r="BF171" s="1507" t="str">
        <f aca="false">IF($AT171&gt;0,VLOOKUP($AR171,'O_MN, PE_UTA_UGM 2024'!$E$3:$O$419,BF$6),"")</f>
        <v/>
      </c>
      <c r="BG171" s="1507" t="str">
        <f aca="false">IF($AT171&gt;0,VLOOKUP($AR171,'O_MN, PE_UTA_UGM 2024'!$E$3:$O$419,BG$6),"")</f>
        <v/>
      </c>
      <c r="BH171" s="1504"/>
      <c r="BI171" s="1504"/>
      <c r="BJ171" s="1504"/>
      <c r="BK171" s="1504"/>
      <c r="BM171" s="1411"/>
      <c r="BN171" s="1411"/>
      <c r="BO171" s="1425" t="str">
        <f aca="false">IF(ISNUMBER($AU171*BB171*1),$AU171*BB171*1,"")</f>
        <v/>
      </c>
      <c r="BP171" s="1425" t="str">
        <f aca="false">IF(ISNUMBER($AV171*BC171*1),$AV171*BC171*1,"")</f>
        <v/>
      </c>
      <c r="BQ171" s="1425" t="str">
        <f aca="false">IF(ISNUMBER($AU171*BD171*1),$AU171*BD171*1,"")</f>
        <v/>
      </c>
      <c r="BR171" s="1425" t="str">
        <f aca="false">IF(ISNUMBER($AV171*BE171*1),$AV171*BE171*1,"")</f>
        <v/>
      </c>
      <c r="BS171" s="1411" t="str">
        <f aca="false">IF(ISNUMBER($AU171*BF171),$AU171*BF171,"")</f>
        <v/>
      </c>
      <c r="BT171" s="1411" t="str">
        <f aca="false">IF(ISNUMBER($AV171*BG171),$AV171*BG171,"")</f>
        <v/>
      </c>
      <c r="BU171" s="1411"/>
      <c r="BV171" s="1411"/>
      <c r="BW171" s="1411"/>
      <c r="BX171" s="1411"/>
      <c r="BZ171" s="1372"/>
      <c r="CA171" s="1372"/>
      <c r="CB171" s="1426" t="str">
        <f aca="false">IF(ISNUMBER($AW171*BB171),$AW171*BB171,"")</f>
        <v/>
      </c>
      <c r="CC171" s="1426" t="str">
        <f aca="false">IF(ISNUMBER($AX171*BC171),$AX171*BC171,"")</f>
        <v/>
      </c>
      <c r="CD171" s="1426" t="str">
        <f aca="false">IF(ISNUMBER($AW171*BD171),$AW171*BD171,"")</f>
        <v/>
      </c>
      <c r="CE171" s="1426" t="str">
        <f aca="false">IF(ISNUMBER($AX171*BE171),$AX171*BE171,"")</f>
        <v/>
      </c>
      <c r="CF171" s="1372" t="str">
        <f aca="false">IF(ISNUMBER($AW171*BF171),$AW171*BF171,"")</f>
        <v/>
      </c>
      <c r="CG171" s="1372" t="str">
        <f aca="false">IF(ISNUMBER($AX171*BG171),$AX171*BG171,"")</f>
        <v/>
      </c>
      <c r="CH171" s="1438"/>
      <c r="CI171" s="1438"/>
      <c r="CJ171" s="1438"/>
      <c r="CK171" s="1438"/>
      <c r="CU171" s="1411"/>
      <c r="CV171" s="1411"/>
      <c r="CW171" s="1425"/>
      <c r="CX171" s="1425"/>
      <c r="CY171" s="1425"/>
      <c r="CZ171" s="1425"/>
      <c r="DA171" s="1411"/>
      <c r="DB171" s="1411"/>
      <c r="DC171" s="1411"/>
      <c r="DD171" s="1411"/>
      <c r="DE171" s="1411"/>
      <c r="DF171" s="1411"/>
      <c r="DH171" s="1432"/>
      <c r="DI171" s="1432"/>
      <c r="DJ171" s="1437"/>
      <c r="DK171" s="1437"/>
      <c r="DL171" s="1437"/>
      <c r="DM171" s="1437"/>
      <c r="DN171" s="1432"/>
      <c r="DO171" s="1432"/>
      <c r="DP171" s="1432"/>
      <c r="DQ171" s="1432"/>
      <c r="DR171" s="1432"/>
      <c r="DS171" s="1432"/>
      <c r="DT171" s="1316"/>
      <c r="DU171" s="1433"/>
      <c r="DV171" s="1433"/>
      <c r="DW171" s="1433"/>
      <c r="DX171" s="1433"/>
      <c r="DY171" s="1433"/>
      <c r="DZ171" s="1433"/>
      <c r="EA171" s="1433"/>
      <c r="EB171" s="1433"/>
    </row>
    <row r="172" customFormat="false" ht="14.25" hidden="false" customHeight="false" outlineLevel="0" collapsed="false">
      <c r="A172" s="2" t="n">
        <f aca="false">'V_DATOS PAC_SGA'!CC167</f>
        <v>0</v>
      </c>
      <c r="B172" s="2" t="n">
        <f aca="false">IF(OR(A172=0,A172=""),0,IF(I172="IV",CONCATENATE('V_DATOS PAC_SGA'!CC167,"4")+0,CONCATENATE('V_DATOS PAC_SGA'!CC167,"0")+0))</f>
        <v>0</v>
      </c>
      <c r="C172" s="2" t="n">
        <f aca="false">'V_DATOS PAC_SGA'!CD167</f>
        <v>0</v>
      </c>
      <c r="D172" s="1409" t="n">
        <f aca="false">'V_DATOS PAC_SGA'!Y167</f>
        <v>0</v>
      </c>
      <c r="E172" s="1410" t="str">
        <f aca="false">IF('V_DATOS PAC_SGA'!AV167="","Regadio",'V_DATOS PAC_SGA'!AV167)</f>
        <v>Regadio</v>
      </c>
      <c r="F172" s="1411" t="n">
        <f aca="false">'V_DATOS PAC_SGA'!BK167</f>
        <v>0</v>
      </c>
      <c r="G172" s="1412" t="n">
        <f aca="false">'V_DATOS PAC_SGA'!AN167</f>
        <v>0</v>
      </c>
      <c r="H172" s="1413" t="str">
        <f aca="false">IF(B172&gt;0,VLOOKUP(B172,'O_MN, PE_UTA_UGM 2024'!E$3:O$419,10),"")</f>
        <v/>
      </c>
      <c r="I172" s="1359" t="str">
        <f aca="false">IF('V_DATOS PAC_SGA'!BV167="IV",'V_DATOS PAC_SGA'!BV167,"")</f>
        <v/>
      </c>
      <c r="J172" s="2" t="str">
        <f aca="false">IF($A172&gt;0,IF(AND(J$4=$G172,J$6=$F172),$D172*J$5,""),"")</f>
        <v/>
      </c>
      <c r="K172" s="2" t="str">
        <f aca="false">IF($A172&gt;0,IF(AND(K$4=$G172,K$6=$F172),$D172*K$5,""),"")</f>
        <v/>
      </c>
      <c r="L172" s="2" t="str">
        <f aca="false">IF($A172&gt;0,IF(AND(L$4=$G172,L$6=$F172),$D172*L$5,""),"")</f>
        <v/>
      </c>
      <c r="M172" s="2" t="str">
        <f aca="false">IF($A172&gt;0,IF(AND(M$4=$G172,M$6=$F172),$D172*M$5,""),"")</f>
        <v/>
      </c>
      <c r="N172" s="1506" t="n">
        <f aca="false">VLOOKUP(B172,'O_MN, PE_UTA_UGM 2024'!$E$2:$K$419,IF(G172&gt;1,6,7))</f>
        <v>0</v>
      </c>
      <c r="O172" s="1434" t="str">
        <f aca="false">IF($H172=O$4,$D172*$N172,"")</f>
        <v/>
      </c>
      <c r="P172" s="1435" t="str">
        <f aca="false">IF($H172=P$4,$D172*$N172,"")</f>
        <v/>
      </c>
      <c r="Q172" s="1435" t="str">
        <f aca="false">IF($H172=Q$4,$D172*$N172,"")</f>
        <v/>
      </c>
      <c r="R172" s="1435" t="str">
        <f aca="false">IF($H172=R$4,$D172*$N172,"")</f>
        <v/>
      </c>
      <c r="S172" s="1435" t="str">
        <f aca="false">IF($H172=S$4,$D172*$N172,"")</f>
        <v/>
      </c>
      <c r="T172" s="1435" t="str">
        <f aca="false">IF($H172=T$4,$D172*$N172,"")</f>
        <v/>
      </c>
      <c r="U172" s="1436" t="str">
        <f aca="false">IF($H172=U$4,$D172*$N172,"")</f>
        <v/>
      </c>
      <c r="V172" s="1418"/>
      <c r="W172" s="1419"/>
      <c r="X172" s="1419"/>
      <c r="Y172" s="1419"/>
      <c r="Z172" s="1419"/>
      <c r="AA172" s="1419"/>
      <c r="AB172" s="1420"/>
      <c r="AC172" s="1319"/>
      <c r="AD172" s="2" t="str">
        <f aca="false">IF(AND(AD$4=$G172,AD$6=$F172),$B172,"")</f>
        <v/>
      </c>
      <c r="AE172" s="2" t="str">
        <f aca="false">IF(AND(AE$4=$G172,AE$6=$F172),$B172,"")</f>
        <v/>
      </c>
      <c r="AF172" s="2" t="str">
        <f aca="false">IF(AND(AF$4=$G172,AF$6=$F172),$B172,"")</f>
        <v/>
      </c>
      <c r="AG172" s="2" t="str">
        <f aca="false">IF(AND(AG$4=$G172,AG$6=$F172),$B172,"")</f>
        <v/>
      </c>
      <c r="AI172" s="366"/>
      <c r="AL172" s="367"/>
      <c r="AO172" s="367"/>
      <c r="AP172" s="2" t="str">
        <f aca="false">IF(AT172&gt;0,RANK(AT172,AT$7:AT$423),"")</f>
        <v/>
      </c>
      <c r="AQ172" s="2" t="n">
        <f aca="false">'O_MN, PE_UTA_UGM 2024'!C168</f>
        <v>181</v>
      </c>
      <c r="AR172" s="1421" t="n">
        <v>1794</v>
      </c>
      <c r="AS172" s="2" t="str">
        <f aca="false">IF(AY172&lt;&gt;"",AY172,"")</f>
        <v/>
      </c>
      <c r="AT172" s="1422" t="n">
        <f aca="false">IF(ISNUMBER($AR172),SUMIF(B$7:B$505,AR172,D$7:D$505),"")</f>
        <v>0</v>
      </c>
      <c r="AU172" s="1411" t="n">
        <f aca="false">IF(ISNUMBER($AR172),SUMIF(AD$7:AD$503,$AR172,J$7:J$503),"")</f>
        <v>0</v>
      </c>
      <c r="AV172" s="1411" t="n">
        <f aca="false">IF(ISNUMBER($AR172),SUMIF(AF$7:AF$503,$AR172,L$7:L$503),"")</f>
        <v>0</v>
      </c>
      <c r="AW172" s="1423" t="n">
        <f aca="false">IF(ISNUMBER($AR172),SUMIF(AE$7:AE$503,$AR172,K$7:K$503),"")</f>
        <v>0</v>
      </c>
      <c r="AX172" s="1423" t="n">
        <f aca="false">IF(ISNUMBER($AR172),SUMIF(AG$7:AG$503,$AR172,M$7:M$503),"")</f>
        <v>0</v>
      </c>
      <c r="AY172" s="2" t="str">
        <f aca="false">IF($AT172&gt;0,VLOOKUP($AR172,'O_MN, PE_UTA_UGM 2024'!E168:O584,2),"")</f>
        <v/>
      </c>
      <c r="AZ172" s="1507"/>
      <c r="BA172" s="1507"/>
      <c r="BB172" s="1507" t="str">
        <f aca="false">IF($AT172&gt;0,VLOOKUP($AR172,'O_MN, PE_UTA_UGM 2024'!$E$3:$O$419,BB$6),"")</f>
        <v/>
      </c>
      <c r="BC172" s="1507" t="str">
        <f aca="false">IF($AT172&gt;0,VLOOKUP($AR172,'O_MN, PE_UTA_UGM 2024'!$E$3:$O$419,BC$6),"")</f>
        <v/>
      </c>
      <c r="BD172" s="1507" t="str">
        <f aca="false">IF($AT172&gt;0,VLOOKUP($AR172,'O_MN, PE_UTA_UGM 2024'!$E$3:$O$419,BD$6),"")</f>
        <v/>
      </c>
      <c r="BE172" s="1507" t="str">
        <f aca="false">IF($AT172&gt;0,VLOOKUP($AR172,'O_MN, PE_UTA_UGM 2024'!$E$3:$O$419,BE$6),"")</f>
        <v/>
      </c>
      <c r="BF172" s="1507" t="str">
        <f aca="false">IF($AT172&gt;0,VLOOKUP($AR172,'O_MN, PE_UTA_UGM 2024'!$E$3:$O$419,BF$6),"")</f>
        <v/>
      </c>
      <c r="BG172" s="1507" t="str">
        <f aca="false">IF($AT172&gt;0,VLOOKUP($AR172,'O_MN, PE_UTA_UGM 2024'!$E$3:$O$419,BG$6),"")</f>
        <v/>
      </c>
      <c r="BH172" s="1504"/>
      <c r="BI172" s="1504"/>
      <c r="BJ172" s="1504"/>
      <c r="BK172" s="1504"/>
      <c r="BM172" s="1411"/>
      <c r="BN172" s="1411"/>
      <c r="BO172" s="1425" t="str">
        <f aca="false">IF(ISNUMBER($AU172*BB172*1),$AU172*BB172*1,"")</f>
        <v/>
      </c>
      <c r="BP172" s="1425" t="str">
        <f aca="false">IF(ISNUMBER($AV172*BC172*1),$AV172*BC172*1,"")</f>
        <v/>
      </c>
      <c r="BQ172" s="1425" t="str">
        <f aca="false">IF(ISNUMBER($AU172*BD172*1),$AU172*BD172*1,"")</f>
        <v/>
      </c>
      <c r="BR172" s="1425" t="str">
        <f aca="false">IF(ISNUMBER($AV172*BE172*1),$AV172*BE172*1,"")</f>
        <v/>
      </c>
      <c r="BS172" s="1411" t="str">
        <f aca="false">IF(ISNUMBER($AU172*BF172),$AU172*BF172,"")</f>
        <v/>
      </c>
      <c r="BT172" s="1411" t="str">
        <f aca="false">IF(ISNUMBER($AV172*BG172),$AV172*BG172,"")</f>
        <v/>
      </c>
      <c r="BU172" s="1411"/>
      <c r="BV172" s="1411"/>
      <c r="BW172" s="1411"/>
      <c r="BX172" s="1411"/>
      <c r="BZ172" s="1372"/>
      <c r="CA172" s="1372"/>
      <c r="CB172" s="1426" t="str">
        <f aca="false">IF(ISNUMBER($AW172*BB172),$AW172*BB172,"")</f>
        <v/>
      </c>
      <c r="CC172" s="1426" t="str">
        <f aca="false">IF(ISNUMBER($AX172*BC172),$AX172*BC172,"")</f>
        <v/>
      </c>
      <c r="CD172" s="1426" t="str">
        <f aca="false">IF(ISNUMBER($AW172*BD172),$AW172*BD172,"")</f>
        <v/>
      </c>
      <c r="CE172" s="1426" t="str">
        <f aca="false">IF(ISNUMBER($AX172*BE172),$AX172*BE172,"")</f>
        <v/>
      </c>
      <c r="CF172" s="1372" t="str">
        <f aca="false">IF(ISNUMBER($AW172*BF172),$AW172*BF172,"")</f>
        <v/>
      </c>
      <c r="CG172" s="1372" t="str">
        <f aca="false">IF(ISNUMBER($AX172*BG172),$AX172*BG172,"")</f>
        <v/>
      </c>
      <c r="CH172" s="1438"/>
      <c r="CI172" s="1438"/>
      <c r="CJ172" s="1438"/>
      <c r="CK172" s="1438"/>
      <c r="CU172" s="1411"/>
      <c r="CV172" s="1411"/>
      <c r="CW172" s="1425"/>
      <c r="CX172" s="1425"/>
      <c r="CY172" s="1425"/>
      <c r="CZ172" s="1425"/>
      <c r="DA172" s="1411"/>
      <c r="DB172" s="1411"/>
      <c r="DC172" s="1411"/>
      <c r="DD172" s="1411"/>
      <c r="DE172" s="1411"/>
      <c r="DF172" s="1411"/>
      <c r="DH172" s="1432"/>
      <c r="DI172" s="1432"/>
      <c r="DJ172" s="1437"/>
      <c r="DK172" s="1437"/>
      <c r="DL172" s="1437"/>
      <c r="DM172" s="1437"/>
      <c r="DN172" s="1432"/>
      <c r="DO172" s="1432"/>
      <c r="DP172" s="1432"/>
      <c r="DQ172" s="1432"/>
      <c r="DR172" s="1432"/>
      <c r="DS172" s="1432"/>
      <c r="DT172" s="1316"/>
      <c r="DU172" s="1433"/>
      <c r="DV172" s="1433"/>
      <c r="DW172" s="1433"/>
      <c r="DX172" s="1433"/>
      <c r="DY172" s="1433"/>
      <c r="DZ172" s="1433"/>
      <c r="EA172" s="1433"/>
      <c r="EB172" s="1433"/>
    </row>
    <row r="173" customFormat="false" ht="14.25" hidden="false" customHeight="false" outlineLevel="0" collapsed="false">
      <c r="A173" s="2" t="n">
        <f aca="false">'V_DATOS PAC_SGA'!CC168</f>
        <v>0</v>
      </c>
      <c r="B173" s="2" t="n">
        <f aca="false">IF(OR(A173=0,A173=""),0,IF(I173="IV",CONCATENATE('V_DATOS PAC_SGA'!CC168,"4")+0,CONCATENATE('V_DATOS PAC_SGA'!CC168,"0")+0))</f>
        <v>0</v>
      </c>
      <c r="C173" s="2" t="n">
        <f aca="false">'V_DATOS PAC_SGA'!CD168</f>
        <v>0</v>
      </c>
      <c r="D173" s="1409" t="n">
        <f aca="false">'V_DATOS PAC_SGA'!Y168</f>
        <v>0</v>
      </c>
      <c r="E173" s="1410" t="str">
        <f aca="false">IF('V_DATOS PAC_SGA'!AV168="","Regadio",'V_DATOS PAC_SGA'!AV168)</f>
        <v>Regadio</v>
      </c>
      <c r="F173" s="1411" t="n">
        <f aca="false">'V_DATOS PAC_SGA'!BK168</f>
        <v>0</v>
      </c>
      <c r="G173" s="1412" t="n">
        <f aca="false">'V_DATOS PAC_SGA'!AN168</f>
        <v>0</v>
      </c>
      <c r="H173" s="1413" t="str">
        <f aca="false">IF(B173&gt;0,VLOOKUP(B173,'O_MN, PE_UTA_UGM 2024'!E$3:O$419,10),"")</f>
        <v/>
      </c>
      <c r="I173" s="1359" t="str">
        <f aca="false">IF('V_DATOS PAC_SGA'!BV168="IV",'V_DATOS PAC_SGA'!BV168,"")</f>
        <v/>
      </c>
      <c r="J173" s="2" t="str">
        <f aca="false">IF($A173&gt;0,IF(AND(J$4=$G173,J$6=$F173),$D173*J$5,""),"")</f>
        <v/>
      </c>
      <c r="K173" s="2" t="str">
        <f aca="false">IF($A173&gt;0,IF(AND(K$4=$G173,K$6=$F173),$D173*K$5,""),"")</f>
        <v/>
      </c>
      <c r="L173" s="2" t="str">
        <f aca="false">IF($A173&gt;0,IF(AND(L$4=$G173,L$6=$F173),$D173*L$5,""),"")</f>
        <v/>
      </c>
      <c r="M173" s="2" t="str">
        <f aca="false">IF($A173&gt;0,IF(AND(M$4=$G173,M$6=$F173),$D173*M$5,""),"")</f>
        <v/>
      </c>
      <c r="N173" s="1506" t="n">
        <f aca="false">VLOOKUP(B173,'O_MN, PE_UTA_UGM 2024'!$E$2:$K$419,IF(G173&gt;1,6,7))</f>
        <v>0</v>
      </c>
      <c r="O173" s="1434" t="str">
        <f aca="false">IF($H173=O$4,$D173*$N173,"")</f>
        <v/>
      </c>
      <c r="P173" s="1435" t="str">
        <f aca="false">IF($H173=P$4,$D173*$N173,"")</f>
        <v/>
      </c>
      <c r="Q173" s="1435" t="str">
        <f aca="false">IF($H173=Q$4,$D173*$N173,"")</f>
        <v/>
      </c>
      <c r="R173" s="1435" t="str">
        <f aca="false">IF($H173=R$4,$D173*$N173,"")</f>
        <v/>
      </c>
      <c r="S173" s="1435" t="str">
        <f aca="false">IF($H173=S$4,$D173*$N173,"")</f>
        <v/>
      </c>
      <c r="T173" s="1435" t="str">
        <f aca="false">IF($H173=T$4,$D173*$N173,"")</f>
        <v/>
      </c>
      <c r="U173" s="1436" t="str">
        <f aca="false">IF($H173=U$4,$D173*$N173,"")</f>
        <v/>
      </c>
      <c r="V173" s="1418"/>
      <c r="W173" s="1419"/>
      <c r="X173" s="1419"/>
      <c r="Y173" s="1419"/>
      <c r="Z173" s="1419"/>
      <c r="AA173" s="1419"/>
      <c r="AB173" s="1420"/>
      <c r="AC173" s="1319"/>
      <c r="AD173" s="2" t="str">
        <f aca="false">IF(AND(AD$4=$G173,AD$6=$F173),$B173,"")</f>
        <v/>
      </c>
      <c r="AE173" s="2" t="str">
        <f aca="false">IF(AND(AE$4=$G173,AE$6=$F173),$B173,"")</f>
        <v/>
      </c>
      <c r="AF173" s="2" t="str">
        <f aca="false">IF(AND(AF$4=$G173,AF$6=$F173),$B173,"")</f>
        <v/>
      </c>
      <c r="AG173" s="2" t="str">
        <f aca="false">IF(AND(AG$4=$G173,AG$6=$F173),$B173,"")</f>
        <v/>
      </c>
      <c r="AI173" s="366"/>
      <c r="AL173" s="367"/>
      <c r="AO173" s="367"/>
      <c r="AP173" s="2" t="str">
        <f aca="false">IF(AT173&gt;0,RANK(AT173,AT$7:AT$423),"")</f>
        <v/>
      </c>
      <c r="AQ173" s="2" t="n">
        <f aca="false">'O_MN, PE_UTA_UGM 2024'!C169</f>
        <v>182</v>
      </c>
      <c r="AR173" s="1421" t="n">
        <v>1799</v>
      </c>
      <c r="AS173" s="2" t="str">
        <f aca="false">IF(AY173&lt;&gt;"",AY173,"")</f>
        <v/>
      </c>
      <c r="AT173" s="1422" t="n">
        <f aca="false">IF(ISNUMBER($AR173),SUMIF(B$7:B$505,AR173,D$7:D$505),"")</f>
        <v>0</v>
      </c>
      <c r="AU173" s="1411" t="n">
        <f aca="false">IF(ISNUMBER($AR173),SUMIF(AD$7:AD$503,$AR173,J$7:J$503),"")</f>
        <v>0</v>
      </c>
      <c r="AV173" s="1411" t="n">
        <f aca="false">IF(ISNUMBER($AR173),SUMIF(AF$7:AF$503,$AR173,L$7:L$503),"")</f>
        <v>0</v>
      </c>
      <c r="AW173" s="1423" t="n">
        <f aca="false">IF(ISNUMBER($AR173),SUMIF(AE$7:AE$503,$AR173,K$7:K$503),"")</f>
        <v>0</v>
      </c>
      <c r="AX173" s="1423" t="n">
        <f aca="false">IF(ISNUMBER($AR173),SUMIF(AG$7:AG$503,$AR173,M$7:M$503),"")</f>
        <v>0</v>
      </c>
      <c r="AY173" s="2" t="str">
        <f aca="false">IF($AT173&gt;0,VLOOKUP($AR173,'O_MN, PE_UTA_UGM 2024'!E169:O585,2),"")</f>
        <v/>
      </c>
      <c r="AZ173" s="1507"/>
      <c r="BA173" s="1507"/>
      <c r="BB173" s="1507" t="str">
        <f aca="false">IF($AT173&gt;0,VLOOKUP($AR173,'O_MN, PE_UTA_UGM 2024'!$E$3:$O$419,BB$6),"")</f>
        <v/>
      </c>
      <c r="BC173" s="1507" t="str">
        <f aca="false">IF($AT173&gt;0,VLOOKUP($AR173,'O_MN, PE_UTA_UGM 2024'!$E$3:$O$419,BC$6),"")</f>
        <v/>
      </c>
      <c r="BD173" s="1507" t="str">
        <f aca="false">IF($AT173&gt;0,VLOOKUP($AR173,'O_MN, PE_UTA_UGM 2024'!$E$3:$O$419,BD$6),"")</f>
        <v/>
      </c>
      <c r="BE173" s="1507" t="str">
        <f aca="false">IF($AT173&gt;0,VLOOKUP($AR173,'O_MN, PE_UTA_UGM 2024'!$E$3:$O$419,BE$6),"")</f>
        <v/>
      </c>
      <c r="BF173" s="1507" t="str">
        <f aca="false">IF($AT173&gt;0,VLOOKUP($AR173,'O_MN, PE_UTA_UGM 2024'!$E$3:$O$419,BF$6),"")</f>
        <v/>
      </c>
      <c r="BG173" s="1507" t="str">
        <f aca="false">IF($AT173&gt;0,VLOOKUP($AR173,'O_MN, PE_UTA_UGM 2024'!$E$3:$O$419,BG$6),"")</f>
        <v/>
      </c>
      <c r="BH173" s="1504"/>
      <c r="BI173" s="1504"/>
      <c r="BJ173" s="1504"/>
      <c r="BK173" s="1504"/>
      <c r="BM173" s="1411"/>
      <c r="BN173" s="1411"/>
      <c r="BO173" s="1425" t="str">
        <f aca="false">IF(ISNUMBER($AU173*BB173*1),$AU173*BB173*1,"")</f>
        <v/>
      </c>
      <c r="BP173" s="1425" t="str">
        <f aca="false">IF(ISNUMBER($AV173*BC173*1),$AV173*BC173*1,"")</f>
        <v/>
      </c>
      <c r="BQ173" s="1425" t="str">
        <f aca="false">IF(ISNUMBER($AU173*BD173*1),$AU173*BD173*1,"")</f>
        <v/>
      </c>
      <c r="BR173" s="1425" t="str">
        <f aca="false">IF(ISNUMBER($AV173*BE173*1),$AV173*BE173*1,"")</f>
        <v/>
      </c>
      <c r="BS173" s="1411" t="str">
        <f aca="false">IF(ISNUMBER($AU173*BF173),$AU173*BF173,"")</f>
        <v/>
      </c>
      <c r="BT173" s="1411" t="str">
        <f aca="false">IF(ISNUMBER($AV173*BG173),$AV173*BG173,"")</f>
        <v/>
      </c>
      <c r="BU173" s="1411"/>
      <c r="BV173" s="1411"/>
      <c r="BW173" s="1411"/>
      <c r="BX173" s="1411"/>
      <c r="BZ173" s="1372"/>
      <c r="CA173" s="1372"/>
      <c r="CB173" s="1426" t="str">
        <f aca="false">IF(ISNUMBER($AW173*BB173),$AW173*BB173,"")</f>
        <v/>
      </c>
      <c r="CC173" s="1426" t="str">
        <f aca="false">IF(ISNUMBER($AX173*BC173),$AX173*BC173,"")</f>
        <v/>
      </c>
      <c r="CD173" s="1426" t="str">
        <f aca="false">IF(ISNUMBER($AW173*BD173),$AW173*BD173,"")</f>
        <v/>
      </c>
      <c r="CE173" s="1426" t="str">
        <f aca="false">IF(ISNUMBER($AX173*BE173),$AX173*BE173,"")</f>
        <v/>
      </c>
      <c r="CF173" s="1372" t="str">
        <f aca="false">IF(ISNUMBER($AW173*BF173),$AW173*BF173,"")</f>
        <v/>
      </c>
      <c r="CG173" s="1372" t="str">
        <f aca="false">IF(ISNUMBER($AX173*BG173),$AX173*BG173,"")</f>
        <v/>
      </c>
      <c r="CH173" s="1438"/>
      <c r="CI173" s="1438"/>
      <c r="CJ173" s="1438"/>
      <c r="CK173" s="1438"/>
      <c r="CU173" s="1411"/>
      <c r="CV173" s="1411"/>
      <c r="CW173" s="1425"/>
      <c r="CX173" s="1425"/>
      <c r="CY173" s="1425"/>
      <c r="CZ173" s="1425"/>
      <c r="DA173" s="1411"/>
      <c r="DB173" s="1411"/>
      <c r="DC173" s="1411"/>
      <c r="DD173" s="1411"/>
      <c r="DE173" s="1411"/>
      <c r="DF173" s="1411"/>
      <c r="DH173" s="1432"/>
      <c r="DI173" s="1432"/>
      <c r="DJ173" s="1437"/>
      <c r="DK173" s="1437"/>
      <c r="DL173" s="1437"/>
      <c r="DM173" s="1437"/>
      <c r="DN173" s="1432"/>
      <c r="DO173" s="1432"/>
      <c r="DP173" s="1432"/>
      <c r="DQ173" s="1432"/>
      <c r="DR173" s="1432"/>
      <c r="DS173" s="1432"/>
      <c r="DT173" s="1316"/>
      <c r="DU173" s="1433"/>
      <c r="DV173" s="1433"/>
      <c r="DW173" s="1433"/>
      <c r="DX173" s="1433"/>
      <c r="DY173" s="1433"/>
      <c r="DZ173" s="1433"/>
      <c r="EA173" s="1433"/>
      <c r="EB173" s="1433"/>
    </row>
    <row r="174" customFormat="false" ht="14.25" hidden="false" customHeight="false" outlineLevel="0" collapsed="false">
      <c r="A174" s="2" t="n">
        <f aca="false">'V_DATOS PAC_SGA'!CC169</f>
        <v>0</v>
      </c>
      <c r="B174" s="2" t="n">
        <f aca="false">IF(OR(A174=0,A174=""),0,IF(I174="IV",CONCATENATE('V_DATOS PAC_SGA'!CC169,"4")+0,CONCATENATE('V_DATOS PAC_SGA'!CC169,"0")+0))</f>
        <v>0</v>
      </c>
      <c r="C174" s="2" t="n">
        <f aca="false">'V_DATOS PAC_SGA'!CD169</f>
        <v>0</v>
      </c>
      <c r="D174" s="1409" t="n">
        <f aca="false">'V_DATOS PAC_SGA'!Y169</f>
        <v>0</v>
      </c>
      <c r="E174" s="1410" t="str">
        <f aca="false">IF('V_DATOS PAC_SGA'!AV169="","Regadio",'V_DATOS PAC_SGA'!AV169)</f>
        <v>Regadio</v>
      </c>
      <c r="F174" s="1411" t="n">
        <f aca="false">'V_DATOS PAC_SGA'!BK169</f>
        <v>0</v>
      </c>
      <c r="G174" s="1412" t="n">
        <f aca="false">'V_DATOS PAC_SGA'!AN169</f>
        <v>0</v>
      </c>
      <c r="H174" s="1413" t="str">
        <f aca="false">IF(B174&gt;0,VLOOKUP(B174,'O_MN, PE_UTA_UGM 2024'!E$3:O$419,10),"")</f>
        <v/>
      </c>
      <c r="I174" s="1359" t="str">
        <f aca="false">IF('V_DATOS PAC_SGA'!BV169="IV",'V_DATOS PAC_SGA'!BV169,"")</f>
        <v/>
      </c>
      <c r="J174" s="2" t="str">
        <f aca="false">IF($A174&gt;0,IF(AND(J$4=$G174,J$6=$F174),$D174*J$5,""),"")</f>
        <v/>
      </c>
      <c r="K174" s="2" t="str">
        <f aca="false">IF($A174&gt;0,IF(AND(K$4=$G174,K$6=$F174),$D174*K$5,""),"")</f>
        <v/>
      </c>
      <c r="L174" s="2" t="str">
        <f aca="false">IF($A174&gt;0,IF(AND(L$4=$G174,L$6=$F174),$D174*L$5,""),"")</f>
        <v/>
      </c>
      <c r="M174" s="2" t="str">
        <f aca="false">IF($A174&gt;0,IF(AND(M$4=$G174,M$6=$F174),$D174*M$5,""),"")</f>
        <v/>
      </c>
      <c r="N174" s="1506" t="n">
        <f aca="false">VLOOKUP(B174,'O_MN, PE_UTA_UGM 2024'!$E$2:$K$419,IF(G174&gt;1,6,7))</f>
        <v>0</v>
      </c>
      <c r="O174" s="1434" t="str">
        <f aca="false">IF($H174=O$4,$D174*$N174,"")</f>
        <v/>
      </c>
      <c r="P174" s="1435" t="str">
        <f aca="false">IF($H174=P$4,$D174*$N174,"")</f>
        <v/>
      </c>
      <c r="Q174" s="1435" t="str">
        <f aca="false">IF($H174=Q$4,$D174*$N174,"")</f>
        <v/>
      </c>
      <c r="R174" s="1435" t="str">
        <f aca="false">IF($H174=R$4,$D174*$N174,"")</f>
        <v/>
      </c>
      <c r="S174" s="1435" t="str">
        <f aca="false">IF($H174=S$4,$D174*$N174,"")</f>
        <v/>
      </c>
      <c r="T174" s="1435" t="str">
        <f aca="false">IF($H174=T$4,$D174*$N174,"")</f>
        <v/>
      </c>
      <c r="U174" s="1436" t="str">
        <f aca="false">IF($H174=U$4,$D174*$N174,"")</f>
        <v/>
      </c>
      <c r="V174" s="1418"/>
      <c r="W174" s="1419"/>
      <c r="X174" s="1419"/>
      <c r="Y174" s="1419"/>
      <c r="Z174" s="1419"/>
      <c r="AA174" s="1419"/>
      <c r="AB174" s="1420"/>
      <c r="AC174" s="1319"/>
      <c r="AD174" s="2" t="str">
        <f aca="false">IF(AND(AD$4=$G174,AD$6=$F174),$B174,"")</f>
        <v/>
      </c>
      <c r="AE174" s="2" t="str">
        <f aca="false">IF(AND(AE$4=$G174,AE$6=$F174),$B174,"")</f>
        <v/>
      </c>
      <c r="AF174" s="2" t="str">
        <f aca="false">IF(AND(AF$4=$G174,AF$6=$F174),$B174,"")</f>
        <v/>
      </c>
      <c r="AG174" s="2" t="str">
        <f aca="false">IF(AND(AG$4=$G174,AG$6=$F174),$B174,"")</f>
        <v/>
      </c>
      <c r="AI174" s="366"/>
      <c r="AL174" s="367"/>
      <c r="AO174" s="367"/>
      <c r="AP174" s="2" t="str">
        <f aca="false">IF(AT174&gt;0,RANK(AT174,AT$7:AT$423),"")</f>
        <v/>
      </c>
      <c r="AQ174" s="2" t="n">
        <f aca="false">'O_MN, PE_UTA_UGM 2024'!C170</f>
        <v>182</v>
      </c>
      <c r="AR174" s="1421" t="n">
        <v>1810</v>
      </c>
      <c r="AS174" s="2" t="str">
        <f aca="false">IF(AY174&lt;&gt;"",AY174,"")</f>
        <v/>
      </c>
      <c r="AT174" s="1422" t="n">
        <f aca="false">IF(ISNUMBER($AR174),SUMIF(B$7:B$505,AR174,D$7:D$505),"")</f>
        <v>0</v>
      </c>
      <c r="AU174" s="1411" t="n">
        <f aca="false">IF(ISNUMBER($AR174),SUMIF(AD$7:AD$503,$AR174,J$7:J$503),"")</f>
        <v>0</v>
      </c>
      <c r="AV174" s="1411" t="n">
        <f aca="false">IF(ISNUMBER($AR174),SUMIF(AF$7:AF$503,$AR174,L$7:L$503),"")</f>
        <v>0</v>
      </c>
      <c r="AW174" s="1423" t="n">
        <f aca="false">IF(ISNUMBER($AR174),SUMIF(AE$7:AE$503,$AR174,K$7:K$503),"")</f>
        <v>0</v>
      </c>
      <c r="AX174" s="1423" t="n">
        <f aca="false">IF(ISNUMBER($AR174),SUMIF(AG$7:AG$503,$AR174,M$7:M$503),"")</f>
        <v>0</v>
      </c>
      <c r="AY174" s="2" t="str">
        <f aca="false">IF($AT174&gt;0,VLOOKUP($AR174,'O_MN, PE_UTA_UGM 2024'!E170:O586,2),"")</f>
        <v/>
      </c>
      <c r="AZ174" s="1507"/>
      <c r="BA174" s="1507"/>
      <c r="BB174" s="1507" t="str">
        <f aca="false">IF($AT174&gt;0,VLOOKUP($AR174,'O_MN, PE_UTA_UGM 2024'!$E$3:$O$419,BB$6),"")</f>
        <v/>
      </c>
      <c r="BC174" s="1507" t="str">
        <f aca="false">IF($AT174&gt;0,VLOOKUP($AR174,'O_MN, PE_UTA_UGM 2024'!$E$3:$O$419,BC$6),"")</f>
        <v/>
      </c>
      <c r="BD174" s="1507" t="str">
        <f aca="false">IF($AT174&gt;0,VLOOKUP($AR174,'O_MN, PE_UTA_UGM 2024'!$E$3:$O$419,BD$6),"")</f>
        <v/>
      </c>
      <c r="BE174" s="1507" t="str">
        <f aca="false">IF($AT174&gt;0,VLOOKUP($AR174,'O_MN, PE_UTA_UGM 2024'!$E$3:$O$419,BE$6),"")</f>
        <v/>
      </c>
      <c r="BF174" s="1507" t="str">
        <f aca="false">IF($AT174&gt;0,VLOOKUP($AR174,'O_MN, PE_UTA_UGM 2024'!$E$3:$O$419,BF$6),"")</f>
        <v/>
      </c>
      <c r="BG174" s="1507" t="str">
        <f aca="false">IF($AT174&gt;0,VLOOKUP($AR174,'O_MN, PE_UTA_UGM 2024'!$E$3:$O$419,BG$6),"")</f>
        <v/>
      </c>
      <c r="BH174" s="1504"/>
      <c r="BI174" s="1504"/>
      <c r="BJ174" s="1504"/>
      <c r="BK174" s="1504"/>
      <c r="BM174" s="1411"/>
      <c r="BN174" s="1411"/>
      <c r="BO174" s="1425" t="str">
        <f aca="false">IF(ISNUMBER($AU174*BB174*1),$AU174*BB174*1,"")</f>
        <v/>
      </c>
      <c r="BP174" s="1425" t="str">
        <f aca="false">IF(ISNUMBER($AV174*BC174*1),$AV174*BC174*1,"")</f>
        <v/>
      </c>
      <c r="BQ174" s="1425" t="str">
        <f aca="false">IF(ISNUMBER($AU174*BD174*1),$AU174*BD174*1,"")</f>
        <v/>
      </c>
      <c r="BR174" s="1425" t="str">
        <f aca="false">IF(ISNUMBER($AV174*BE174*1),$AV174*BE174*1,"")</f>
        <v/>
      </c>
      <c r="BS174" s="1411" t="str">
        <f aca="false">IF(ISNUMBER($AU174*BF174),$AU174*BF174,"")</f>
        <v/>
      </c>
      <c r="BT174" s="1411" t="str">
        <f aca="false">IF(ISNUMBER($AV174*BG174),$AV174*BG174,"")</f>
        <v/>
      </c>
      <c r="BU174" s="1411"/>
      <c r="BV174" s="1411"/>
      <c r="BW174" s="1411"/>
      <c r="BX174" s="1411"/>
      <c r="BZ174" s="1372"/>
      <c r="CA174" s="1372"/>
      <c r="CB174" s="1426" t="str">
        <f aca="false">IF(ISNUMBER($AW174*BB174),$AW174*BB174,"")</f>
        <v/>
      </c>
      <c r="CC174" s="1426" t="str">
        <f aca="false">IF(ISNUMBER($AX174*BC174),$AX174*BC174,"")</f>
        <v/>
      </c>
      <c r="CD174" s="1426" t="str">
        <f aca="false">IF(ISNUMBER($AW174*BD174),$AW174*BD174,"")</f>
        <v/>
      </c>
      <c r="CE174" s="1426" t="str">
        <f aca="false">IF(ISNUMBER($AX174*BE174),$AX174*BE174,"")</f>
        <v/>
      </c>
      <c r="CF174" s="1372" t="str">
        <f aca="false">IF(ISNUMBER($AW174*BF174),$AW174*BF174,"")</f>
        <v/>
      </c>
      <c r="CG174" s="1372" t="str">
        <f aca="false">IF(ISNUMBER($AX174*BG174),$AX174*BG174,"")</f>
        <v/>
      </c>
      <c r="CH174" s="1438"/>
      <c r="CI174" s="1438"/>
      <c r="CJ174" s="1438"/>
      <c r="CK174" s="1438"/>
      <c r="CU174" s="1411"/>
      <c r="CV174" s="1411"/>
      <c r="CW174" s="1425"/>
      <c r="CX174" s="1425"/>
      <c r="CY174" s="1425"/>
      <c r="CZ174" s="1425"/>
      <c r="DA174" s="1411"/>
      <c r="DB174" s="1411"/>
      <c r="DC174" s="1411"/>
      <c r="DD174" s="1411"/>
      <c r="DE174" s="1411"/>
      <c r="DF174" s="1411"/>
      <c r="DH174" s="1432"/>
      <c r="DI174" s="1432"/>
      <c r="DJ174" s="1437"/>
      <c r="DK174" s="1437"/>
      <c r="DL174" s="1437"/>
      <c r="DM174" s="1437"/>
      <c r="DN174" s="1432"/>
      <c r="DO174" s="1432"/>
      <c r="DP174" s="1432"/>
      <c r="DQ174" s="1432"/>
      <c r="DR174" s="1432"/>
      <c r="DS174" s="1432"/>
      <c r="DT174" s="1316"/>
      <c r="DU174" s="1433"/>
      <c r="DV174" s="1433"/>
      <c r="DW174" s="1433"/>
      <c r="DX174" s="1433"/>
      <c r="DY174" s="1433"/>
      <c r="DZ174" s="1433"/>
      <c r="EA174" s="1433"/>
      <c r="EB174" s="1433"/>
    </row>
    <row r="175" customFormat="false" ht="14.25" hidden="false" customHeight="false" outlineLevel="0" collapsed="false">
      <c r="A175" s="2" t="n">
        <f aca="false">'V_DATOS PAC_SGA'!CC170</f>
        <v>0</v>
      </c>
      <c r="B175" s="2" t="n">
        <f aca="false">IF(OR(A175=0,A175=""),0,IF(I175="IV",CONCATENATE('V_DATOS PAC_SGA'!CC170,"4")+0,CONCATENATE('V_DATOS PAC_SGA'!CC170,"0")+0))</f>
        <v>0</v>
      </c>
      <c r="C175" s="2" t="n">
        <f aca="false">'V_DATOS PAC_SGA'!CD170</f>
        <v>0</v>
      </c>
      <c r="D175" s="1409" t="n">
        <f aca="false">'V_DATOS PAC_SGA'!Y170</f>
        <v>0</v>
      </c>
      <c r="E175" s="1410" t="str">
        <f aca="false">IF('V_DATOS PAC_SGA'!AV170="","Regadio",'V_DATOS PAC_SGA'!AV170)</f>
        <v>Regadio</v>
      </c>
      <c r="F175" s="1411" t="n">
        <f aca="false">'V_DATOS PAC_SGA'!BK170</f>
        <v>0</v>
      </c>
      <c r="G175" s="1412" t="n">
        <f aca="false">'V_DATOS PAC_SGA'!AN170</f>
        <v>0</v>
      </c>
      <c r="H175" s="1413" t="str">
        <f aca="false">IF(B175&gt;0,VLOOKUP(B175,'O_MN, PE_UTA_UGM 2024'!E$3:O$419,10),"")</f>
        <v/>
      </c>
      <c r="I175" s="1359" t="str">
        <f aca="false">IF('V_DATOS PAC_SGA'!BV170="IV",'V_DATOS PAC_SGA'!BV170,"")</f>
        <v/>
      </c>
      <c r="J175" s="2" t="str">
        <f aca="false">IF($A175&gt;0,IF(AND(J$4=$G175,J$6=$F175),$D175*J$5,""),"")</f>
        <v/>
      </c>
      <c r="K175" s="2" t="str">
        <f aca="false">IF($A175&gt;0,IF(AND(K$4=$G175,K$6=$F175),$D175*K$5,""),"")</f>
        <v/>
      </c>
      <c r="L175" s="2" t="str">
        <f aca="false">IF($A175&gt;0,IF(AND(L$4=$G175,L$6=$F175),$D175*L$5,""),"")</f>
        <v/>
      </c>
      <c r="M175" s="2" t="str">
        <f aca="false">IF($A175&gt;0,IF(AND(M$4=$G175,M$6=$F175),$D175*M$5,""),"")</f>
        <v/>
      </c>
      <c r="N175" s="1506" t="n">
        <f aca="false">VLOOKUP(B175,'O_MN, PE_UTA_UGM 2024'!$E$2:$K$419,IF(G175&gt;1,6,7))</f>
        <v>0</v>
      </c>
      <c r="O175" s="1434" t="str">
        <f aca="false">IF($H175=O$4,$D175*$N175,"")</f>
        <v/>
      </c>
      <c r="P175" s="1435" t="str">
        <f aca="false">IF($H175=P$4,$D175*$N175,"")</f>
        <v/>
      </c>
      <c r="Q175" s="1435" t="str">
        <f aca="false">IF($H175=Q$4,$D175*$N175,"")</f>
        <v/>
      </c>
      <c r="R175" s="1435" t="str">
        <f aca="false">IF($H175=R$4,$D175*$N175,"")</f>
        <v/>
      </c>
      <c r="S175" s="1435" t="str">
        <f aca="false">IF($H175=S$4,$D175*$N175,"")</f>
        <v/>
      </c>
      <c r="T175" s="1435" t="str">
        <f aca="false">IF($H175=T$4,$D175*$N175,"")</f>
        <v/>
      </c>
      <c r="U175" s="1436" t="str">
        <f aca="false">IF($H175=U$4,$D175*$N175,"")</f>
        <v/>
      </c>
      <c r="V175" s="1418"/>
      <c r="W175" s="1419"/>
      <c r="X175" s="1419"/>
      <c r="Y175" s="1419"/>
      <c r="Z175" s="1419"/>
      <c r="AA175" s="1419"/>
      <c r="AB175" s="1420"/>
      <c r="AC175" s="1319"/>
      <c r="AD175" s="2" t="str">
        <f aca="false">IF(AND(AD$4=$G175,AD$6=$F175),$B175,"")</f>
        <v/>
      </c>
      <c r="AE175" s="2" t="str">
        <f aca="false">IF(AND(AE$4=$G175,AE$6=$F175),$B175,"")</f>
        <v/>
      </c>
      <c r="AF175" s="2" t="str">
        <f aca="false">IF(AND(AF$4=$G175,AF$6=$F175),$B175,"")</f>
        <v/>
      </c>
      <c r="AG175" s="2" t="str">
        <f aca="false">IF(AND(AG$4=$G175,AG$6=$F175),$B175,"")</f>
        <v/>
      </c>
      <c r="AI175" s="366"/>
      <c r="AL175" s="367"/>
      <c r="AO175" s="367"/>
      <c r="AP175" s="2" t="str">
        <f aca="false">IF(AT175&gt;0,RANK(AT175,AT$7:AT$423),"")</f>
        <v/>
      </c>
      <c r="AQ175" s="2" t="n">
        <f aca="false">'O_MN, PE_UTA_UGM 2024'!C171</f>
        <v>182</v>
      </c>
      <c r="AR175" s="1421" t="n">
        <v>1814</v>
      </c>
      <c r="AS175" s="2" t="str">
        <f aca="false">IF(AY175&lt;&gt;"",AY175,"")</f>
        <v/>
      </c>
      <c r="AT175" s="1422" t="n">
        <f aca="false">IF(ISNUMBER($AR175),SUMIF(B$7:B$505,AR175,D$7:D$505),"")</f>
        <v>0</v>
      </c>
      <c r="AU175" s="1411" t="n">
        <f aca="false">IF(ISNUMBER($AR175),SUMIF(AD$7:AD$503,$AR175,J$7:J$503),"")</f>
        <v>0</v>
      </c>
      <c r="AV175" s="1411" t="n">
        <f aca="false">IF(ISNUMBER($AR175),SUMIF(AF$7:AF$503,$AR175,L$7:L$503),"")</f>
        <v>0</v>
      </c>
      <c r="AW175" s="1423" t="n">
        <f aca="false">IF(ISNUMBER($AR175),SUMIF(AE$7:AE$503,$AR175,K$7:K$503),"")</f>
        <v>0</v>
      </c>
      <c r="AX175" s="1423" t="n">
        <f aca="false">IF(ISNUMBER($AR175),SUMIF(AG$7:AG$503,$AR175,M$7:M$503),"")</f>
        <v>0</v>
      </c>
      <c r="AY175" s="2" t="str">
        <f aca="false">IF($AT175&gt;0,VLOOKUP($AR175,'O_MN, PE_UTA_UGM 2024'!E171:O587,2),"")</f>
        <v/>
      </c>
      <c r="AZ175" s="1507"/>
      <c r="BA175" s="1507"/>
      <c r="BB175" s="1507" t="str">
        <f aca="false">IF($AT175&gt;0,VLOOKUP($AR175,'O_MN, PE_UTA_UGM 2024'!$E$3:$O$419,BB$6),"")</f>
        <v/>
      </c>
      <c r="BC175" s="1507" t="str">
        <f aca="false">IF($AT175&gt;0,VLOOKUP($AR175,'O_MN, PE_UTA_UGM 2024'!$E$3:$O$419,BC$6),"")</f>
        <v/>
      </c>
      <c r="BD175" s="1507" t="str">
        <f aca="false">IF($AT175&gt;0,VLOOKUP($AR175,'O_MN, PE_UTA_UGM 2024'!$E$3:$O$419,BD$6),"")</f>
        <v/>
      </c>
      <c r="BE175" s="1507" t="str">
        <f aca="false">IF($AT175&gt;0,VLOOKUP($AR175,'O_MN, PE_UTA_UGM 2024'!$E$3:$O$419,BE$6),"")</f>
        <v/>
      </c>
      <c r="BF175" s="1507" t="str">
        <f aca="false">IF($AT175&gt;0,VLOOKUP($AR175,'O_MN, PE_UTA_UGM 2024'!$E$3:$O$419,BF$6),"")</f>
        <v/>
      </c>
      <c r="BG175" s="1507" t="str">
        <f aca="false">IF($AT175&gt;0,VLOOKUP($AR175,'O_MN, PE_UTA_UGM 2024'!$E$3:$O$419,BG$6),"")</f>
        <v/>
      </c>
      <c r="BH175" s="1504"/>
      <c r="BI175" s="1504"/>
      <c r="BJ175" s="1504"/>
      <c r="BK175" s="1504"/>
      <c r="BM175" s="1411"/>
      <c r="BN175" s="1411"/>
      <c r="BO175" s="1425" t="str">
        <f aca="false">IF(ISNUMBER($AU175*BB175*1),$AU175*BB175*1,"")</f>
        <v/>
      </c>
      <c r="BP175" s="1425" t="str">
        <f aca="false">IF(ISNUMBER($AV175*BC175*1),$AV175*BC175*1,"")</f>
        <v/>
      </c>
      <c r="BQ175" s="1425" t="str">
        <f aca="false">IF(ISNUMBER($AU175*BD175*1),$AU175*BD175*1,"")</f>
        <v/>
      </c>
      <c r="BR175" s="1425" t="str">
        <f aca="false">IF(ISNUMBER($AV175*BE175*1),$AV175*BE175*1,"")</f>
        <v/>
      </c>
      <c r="BS175" s="1411" t="str">
        <f aca="false">IF(ISNUMBER($AU175*BF175),$AU175*BF175,"")</f>
        <v/>
      </c>
      <c r="BT175" s="1411" t="str">
        <f aca="false">IF(ISNUMBER($AV175*BG175),$AV175*BG175,"")</f>
        <v/>
      </c>
      <c r="BU175" s="1411"/>
      <c r="BV175" s="1411"/>
      <c r="BW175" s="1411"/>
      <c r="BX175" s="1411"/>
      <c r="BZ175" s="1372"/>
      <c r="CA175" s="1372"/>
      <c r="CB175" s="1426" t="str">
        <f aca="false">IF(ISNUMBER($AW175*BB175),$AW175*BB175,"")</f>
        <v/>
      </c>
      <c r="CC175" s="1426" t="str">
        <f aca="false">IF(ISNUMBER($AX175*BC175),$AX175*BC175,"")</f>
        <v/>
      </c>
      <c r="CD175" s="1426" t="str">
        <f aca="false">IF(ISNUMBER($AW175*BD175),$AW175*BD175,"")</f>
        <v/>
      </c>
      <c r="CE175" s="1426" t="str">
        <f aca="false">IF(ISNUMBER($AX175*BE175),$AX175*BE175,"")</f>
        <v/>
      </c>
      <c r="CF175" s="1372" t="str">
        <f aca="false">IF(ISNUMBER($AW175*BF175),$AW175*BF175,"")</f>
        <v/>
      </c>
      <c r="CG175" s="1372" t="str">
        <f aca="false">IF(ISNUMBER($AX175*BG175),$AX175*BG175,"")</f>
        <v/>
      </c>
      <c r="CH175" s="1438"/>
      <c r="CI175" s="1438"/>
      <c r="CJ175" s="1438"/>
      <c r="CK175" s="1438"/>
      <c r="CU175" s="1411"/>
      <c r="CV175" s="1411"/>
      <c r="CW175" s="1425"/>
      <c r="CX175" s="1425"/>
      <c r="CY175" s="1425"/>
      <c r="CZ175" s="1425"/>
      <c r="DA175" s="1411"/>
      <c r="DB175" s="1411"/>
      <c r="DC175" s="1411"/>
      <c r="DD175" s="1411"/>
      <c r="DE175" s="1411"/>
      <c r="DF175" s="1411"/>
      <c r="DH175" s="1432"/>
      <c r="DI175" s="1432"/>
      <c r="DJ175" s="1437"/>
      <c r="DK175" s="1437"/>
      <c r="DL175" s="1437"/>
      <c r="DM175" s="1437"/>
      <c r="DN175" s="1432"/>
      <c r="DO175" s="1432"/>
      <c r="DP175" s="1432"/>
      <c r="DQ175" s="1432"/>
      <c r="DR175" s="1432"/>
      <c r="DS175" s="1432"/>
      <c r="DT175" s="1316"/>
      <c r="DU175" s="1433"/>
      <c r="DV175" s="1433"/>
      <c r="DW175" s="1433"/>
      <c r="DX175" s="1433"/>
      <c r="DY175" s="1433"/>
      <c r="DZ175" s="1433"/>
      <c r="EA175" s="1433"/>
      <c r="EB175" s="1433"/>
    </row>
    <row r="176" customFormat="false" ht="14.25" hidden="false" customHeight="false" outlineLevel="0" collapsed="false">
      <c r="A176" s="2" t="n">
        <f aca="false">'V_DATOS PAC_SGA'!CC171</f>
        <v>0</v>
      </c>
      <c r="B176" s="2" t="n">
        <f aca="false">IF(OR(A176=0,A176=""),0,IF(I176="IV",CONCATENATE('V_DATOS PAC_SGA'!CC171,"4")+0,CONCATENATE('V_DATOS PAC_SGA'!CC171,"0")+0))</f>
        <v>0</v>
      </c>
      <c r="C176" s="2" t="n">
        <f aca="false">'V_DATOS PAC_SGA'!CD171</f>
        <v>0</v>
      </c>
      <c r="D176" s="1409" t="n">
        <f aca="false">'V_DATOS PAC_SGA'!Y171</f>
        <v>0</v>
      </c>
      <c r="E176" s="1410" t="str">
        <f aca="false">IF('V_DATOS PAC_SGA'!AV171="","Regadio",'V_DATOS PAC_SGA'!AV171)</f>
        <v>Regadio</v>
      </c>
      <c r="F176" s="1411" t="n">
        <f aca="false">'V_DATOS PAC_SGA'!BK171</f>
        <v>0</v>
      </c>
      <c r="G176" s="1412" t="n">
        <f aca="false">'V_DATOS PAC_SGA'!AN171</f>
        <v>0</v>
      </c>
      <c r="H176" s="1413" t="str">
        <f aca="false">IF(B176&gt;0,VLOOKUP(B176,'O_MN, PE_UTA_UGM 2024'!E$3:O$419,10),"")</f>
        <v/>
      </c>
      <c r="I176" s="1359" t="str">
        <f aca="false">IF('V_DATOS PAC_SGA'!BV171="IV",'V_DATOS PAC_SGA'!BV171,"")</f>
        <v/>
      </c>
      <c r="J176" s="2" t="str">
        <f aca="false">IF($A176&gt;0,IF(AND(J$4=$G176,J$6=$F176),$D176*J$5,""),"")</f>
        <v/>
      </c>
      <c r="K176" s="2" t="str">
        <f aca="false">IF($A176&gt;0,IF(AND(K$4=$G176,K$6=$F176),$D176*K$5,""),"")</f>
        <v/>
      </c>
      <c r="L176" s="2" t="str">
        <f aca="false">IF($A176&gt;0,IF(AND(L$4=$G176,L$6=$F176),$D176*L$5,""),"")</f>
        <v/>
      </c>
      <c r="M176" s="2" t="str">
        <f aca="false">IF($A176&gt;0,IF(AND(M$4=$G176,M$6=$F176),$D176*M$5,""),"")</f>
        <v/>
      </c>
      <c r="N176" s="1506" t="n">
        <f aca="false">VLOOKUP(B176,'O_MN, PE_UTA_UGM 2024'!$E$2:$K$419,IF(G176&gt;1,6,7))</f>
        <v>0</v>
      </c>
      <c r="O176" s="1434" t="str">
        <f aca="false">IF($H176=O$4,$D176*$N176,"")</f>
        <v/>
      </c>
      <c r="P176" s="1435" t="str">
        <f aca="false">IF($H176=P$4,$D176*$N176,"")</f>
        <v/>
      </c>
      <c r="Q176" s="1435" t="str">
        <f aca="false">IF($H176=Q$4,$D176*$N176,"")</f>
        <v/>
      </c>
      <c r="R176" s="1435" t="str">
        <f aca="false">IF($H176=R$4,$D176*$N176,"")</f>
        <v/>
      </c>
      <c r="S176" s="1435" t="str">
        <f aca="false">IF($H176=S$4,$D176*$N176,"")</f>
        <v/>
      </c>
      <c r="T176" s="1435" t="str">
        <f aca="false">IF($H176=T$4,$D176*$N176,"")</f>
        <v/>
      </c>
      <c r="U176" s="1436" t="str">
        <f aca="false">IF($H176=U$4,$D176*$N176,"")</f>
        <v/>
      </c>
      <c r="V176" s="1418"/>
      <c r="W176" s="1419"/>
      <c r="X176" s="1419"/>
      <c r="Y176" s="1419"/>
      <c r="Z176" s="1419"/>
      <c r="AA176" s="1419"/>
      <c r="AB176" s="1420"/>
      <c r="AC176" s="1319"/>
      <c r="AD176" s="2" t="str">
        <f aca="false">IF(AND(AD$4=$G176,AD$6=$F176),$B176,"")</f>
        <v/>
      </c>
      <c r="AE176" s="2" t="str">
        <f aca="false">IF(AND(AE$4=$G176,AE$6=$F176),$B176,"")</f>
        <v/>
      </c>
      <c r="AF176" s="2" t="str">
        <f aca="false">IF(AND(AF$4=$G176,AF$6=$F176),$B176,"")</f>
        <v/>
      </c>
      <c r="AG176" s="2" t="str">
        <f aca="false">IF(AND(AG$4=$G176,AG$6=$F176),$B176,"")</f>
        <v/>
      </c>
      <c r="AI176" s="366"/>
      <c r="AL176" s="367"/>
      <c r="AO176" s="367"/>
      <c r="AP176" s="2" t="str">
        <f aca="false">IF(AT176&gt;0,RANK(AT176,AT$7:AT$423),"")</f>
        <v/>
      </c>
      <c r="AQ176" s="2" t="n">
        <f aca="false">'O_MN, PE_UTA_UGM 2024'!C172</f>
        <v>183</v>
      </c>
      <c r="AR176" s="1421" t="n">
        <v>1819</v>
      </c>
      <c r="AS176" s="2" t="str">
        <f aca="false">IF(AY176&lt;&gt;"",AY176,"")</f>
        <v/>
      </c>
      <c r="AT176" s="1422" t="n">
        <f aca="false">IF(ISNUMBER($AR176),SUMIF(B$7:B$505,AR176,D$7:D$505),"")</f>
        <v>0</v>
      </c>
      <c r="AU176" s="1411" t="n">
        <f aca="false">IF(ISNUMBER($AR176),SUMIF(AD$7:AD$503,$AR176,J$7:J$503),"")</f>
        <v>0</v>
      </c>
      <c r="AV176" s="1411" t="n">
        <f aca="false">IF(ISNUMBER($AR176),SUMIF(AF$7:AF$503,$AR176,L$7:L$503),"")</f>
        <v>0</v>
      </c>
      <c r="AW176" s="1423" t="n">
        <f aca="false">IF(ISNUMBER($AR176),SUMIF(AE$7:AE$503,$AR176,K$7:K$503),"")</f>
        <v>0</v>
      </c>
      <c r="AX176" s="1423" t="n">
        <f aca="false">IF(ISNUMBER($AR176),SUMIF(AG$7:AG$503,$AR176,M$7:M$503),"")</f>
        <v>0</v>
      </c>
      <c r="AY176" s="2" t="str">
        <f aca="false">IF($AT176&gt;0,VLOOKUP($AR176,'O_MN, PE_UTA_UGM 2024'!E172:O588,2),"")</f>
        <v/>
      </c>
      <c r="AZ176" s="1507"/>
      <c r="BA176" s="1507"/>
      <c r="BB176" s="1507" t="str">
        <f aca="false">IF($AT176&gt;0,VLOOKUP($AR176,'O_MN, PE_UTA_UGM 2024'!$E$3:$O$419,BB$6),"")</f>
        <v/>
      </c>
      <c r="BC176" s="1507" t="str">
        <f aca="false">IF($AT176&gt;0,VLOOKUP($AR176,'O_MN, PE_UTA_UGM 2024'!$E$3:$O$419,BC$6),"")</f>
        <v/>
      </c>
      <c r="BD176" s="1507" t="str">
        <f aca="false">IF($AT176&gt;0,VLOOKUP($AR176,'O_MN, PE_UTA_UGM 2024'!$E$3:$O$419,BD$6),"")</f>
        <v/>
      </c>
      <c r="BE176" s="1507" t="str">
        <f aca="false">IF($AT176&gt;0,VLOOKUP($AR176,'O_MN, PE_UTA_UGM 2024'!$E$3:$O$419,BE$6),"")</f>
        <v/>
      </c>
      <c r="BF176" s="1507" t="str">
        <f aca="false">IF($AT176&gt;0,VLOOKUP($AR176,'O_MN, PE_UTA_UGM 2024'!$E$3:$O$419,BF$6),"")</f>
        <v/>
      </c>
      <c r="BG176" s="1507" t="str">
        <f aca="false">IF($AT176&gt;0,VLOOKUP($AR176,'O_MN, PE_UTA_UGM 2024'!$E$3:$O$419,BG$6),"")</f>
        <v/>
      </c>
      <c r="BH176" s="1504"/>
      <c r="BI176" s="1504"/>
      <c r="BJ176" s="1504"/>
      <c r="BK176" s="1504"/>
      <c r="BM176" s="1411"/>
      <c r="BN176" s="1411"/>
      <c r="BO176" s="1425" t="str">
        <f aca="false">IF(ISNUMBER($AU176*BB176*1),$AU176*BB176*1,"")</f>
        <v/>
      </c>
      <c r="BP176" s="1425" t="str">
        <f aca="false">IF(ISNUMBER($AV176*BC176*1),$AV176*BC176*1,"")</f>
        <v/>
      </c>
      <c r="BQ176" s="1425" t="str">
        <f aca="false">IF(ISNUMBER($AU176*BD176*1),$AU176*BD176*1,"")</f>
        <v/>
      </c>
      <c r="BR176" s="1425" t="str">
        <f aca="false">IF(ISNUMBER($AV176*BE176*1),$AV176*BE176*1,"")</f>
        <v/>
      </c>
      <c r="BS176" s="1411" t="str">
        <f aca="false">IF(ISNUMBER($AU176*BF176),$AU176*BF176,"")</f>
        <v/>
      </c>
      <c r="BT176" s="1411" t="str">
        <f aca="false">IF(ISNUMBER($AV176*BG176),$AV176*BG176,"")</f>
        <v/>
      </c>
      <c r="BU176" s="1411"/>
      <c r="BV176" s="1411"/>
      <c r="BW176" s="1411"/>
      <c r="BX176" s="1411"/>
      <c r="BZ176" s="1372"/>
      <c r="CA176" s="1372"/>
      <c r="CB176" s="1426" t="str">
        <f aca="false">IF(ISNUMBER($AW176*BB176),$AW176*BB176,"")</f>
        <v/>
      </c>
      <c r="CC176" s="1426" t="str">
        <f aca="false">IF(ISNUMBER($AX176*BC176),$AX176*BC176,"")</f>
        <v/>
      </c>
      <c r="CD176" s="1426" t="str">
        <f aca="false">IF(ISNUMBER($AW176*BD176),$AW176*BD176,"")</f>
        <v/>
      </c>
      <c r="CE176" s="1426" t="str">
        <f aca="false">IF(ISNUMBER($AX176*BE176),$AX176*BE176,"")</f>
        <v/>
      </c>
      <c r="CF176" s="1372" t="str">
        <f aca="false">IF(ISNUMBER($AW176*BF176),$AW176*BF176,"")</f>
        <v/>
      </c>
      <c r="CG176" s="1372" t="str">
        <f aca="false">IF(ISNUMBER($AX176*BG176),$AX176*BG176,"")</f>
        <v/>
      </c>
      <c r="CH176" s="1438"/>
      <c r="CI176" s="1438"/>
      <c r="CJ176" s="1438"/>
      <c r="CK176" s="1438"/>
      <c r="CU176" s="1411"/>
      <c r="CV176" s="1411"/>
      <c r="CW176" s="1425"/>
      <c r="CX176" s="1425"/>
      <c r="CY176" s="1425"/>
      <c r="CZ176" s="1425"/>
      <c r="DA176" s="1411"/>
      <c r="DB176" s="1411"/>
      <c r="DC176" s="1411"/>
      <c r="DD176" s="1411"/>
      <c r="DE176" s="1411"/>
      <c r="DF176" s="1411"/>
      <c r="DH176" s="1432"/>
      <c r="DI176" s="1432"/>
      <c r="DJ176" s="1437"/>
      <c r="DK176" s="1437"/>
      <c r="DL176" s="1437"/>
      <c r="DM176" s="1437"/>
      <c r="DN176" s="1432"/>
      <c r="DO176" s="1432"/>
      <c r="DP176" s="1432"/>
      <c r="DQ176" s="1432"/>
      <c r="DR176" s="1432"/>
      <c r="DS176" s="1432"/>
      <c r="DT176" s="1316"/>
      <c r="DU176" s="1433"/>
      <c r="DV176" s="1433"/>
      <c r="DW176" s="1433"/>
      <c r="DX176" s="1433"/>
      <c r="DY176" s="1433"/>
      <c r="DZ176" s="1433"/>
      <c r="EA176" s="1433"/>
      <c r="EB176" s="1433"/>
    </row>
    <row r="177" customFormat="false" ht="14.25" hidden="false" customHeight="false" outlineLevel="0" collapsed="false">
      <c r="A177" s="2" t="n">
        <f aca="false">'V_DATOS PAC_SGA'!CC172</f>
        <v>0</v>
      </c>
      <c r="B177" s="2" t="n">
        <f aca="false">IF(OR(A177=0,A177=""),0,IF(I177="IV",CONCATENATE('V_DATOS PAC_SGA'!CC172,"4")+0,CONCATENATE('V_DATOS PAC_SGA'!CC172,"0")+0))</f>
        <v>0</v>
      </c>
      <c r="C177" s="2" t="n">
        <f aca="false">'V_DATOS PAC_SGA'!CD172</f>
        <v>0</v>
      </c>
      <c r="D177" s="1409" t="n">
        <f aca="false">'V_DATOS PAC_SGA'!Y172</f>
        <v>0</v>
      </c>
      <c r="E177" s="1410" t="str">
        <f aca="false">IF('V_DATOS PAC_SGA'!AV172="","Regadio",'V_DATOS PAC_SGA'!AV172)</f>
        <v>Regadio</v>
      </c>
      <c r="F177" s="1411" t="n">
        <f aca="false">'V_DATOS PAC_SGA'!BK172</f>
        <v>0</v>
      </c>
      <c r="G177" s="1412" t="n">
        <f aca="false">'V_DATOS PAC_SGA'!AN172</f>
        <v>0</v>
      </c>
      <c r="H177" s="1413" t="str">
        <f aca="false">IF(B177&gt;0,VLOOKUP(B177,'O_MN, PE_UTA_UGM 2024'!E$3:O$419,10),"")</f>
        <v/>
      </c>
      <c r="I177" s="1359" t="str">
        <f aca="false">IF('V_DATOS PAC_SGA'!BV172="IV",'V_DATOS PAC_SGA'!BV172,"")</f>
        <v/>
      </c>
      <c r="J177" s="2" t="str">
        <f aca="false">IF($A177&gt;0,IF(AND(J$4=$G177,J$6=$F177),$D177*J$5,""),"")</f>
        <v/>
      </c>
      <c r="K177" s="2" t="str">
        <f aca="false">IF($A177&gt;0,IF(AND(K$4=$G177,K$6=$F177),$D177*K$5,""),"")</f>
        <v/>
      </c>
      <c r="L177" s="2" t="str">
        <f aca="false">IF($A177&gt;0,IF(AND(L$4=$G177,L$6=$F177),$D177*L$5,""),"")</f>
        <v/>
      </c>
      <c r="M177" s="2" t="str">
        <f aca="false">IF($A177&gt;0,IF(AND(M$4=$G177,M$6=$F177),$D177*M$5,""),"")</f>
        <v/>
      </c>
      <c r="N177" s="1506" t="n">
        <f aca="false">VLOOKUP(B177,'O_MN, PE_UTA_UGM 2024'!$E$2:$K$419,IF(G177&gt;1,6,7))</f>
        <v>0</v>
      </c>
      <c r="O177" s="1434" t="str">
        <f aca="false">IF($H177=O$4,$D177*$N177,"")</f>
        <v/>
      </c>
      <c r="P177" s="1435" t="str">
        <f aca="false">IF($H177=P$4,$D177*$N177,"")</f>
        <v/>
      </c>
      <c r="Q177" s="1435" t="str">
        <f aca="false">IF($H177=Q$4,$D177*$N177,"")</f>
        <v/>
      </c>
      <c r="R177" s="1435" t="str">
        <f aca="false">IF($H177=R$4,$D177*$N177,"")</f>
        <v/>
      </c>
      <c r="S177" s="1435" t="str">
        <f aca="false">IF($H177=S$4,$D177*$N177,"")</f>
        <v/>
      </c>
      <c r="T177" s="1435" t="str">
        <f aca="false">IF($H177=T$4,$D177*$N177,"")</f>
        <v/>
      </c>
      <c r="U177" s="1436" t="str">
        <f aca="false">IF($H177=U$4,$D177*$N177,"")</f>
        <v/>
      </c>
      <c r="V177" s="1418"/>
      <c r="W177" s="1419"/>
      <c r="X177" s="1419"/>
      <c r="Y177" s="1419"/>
      <c r="Z177" s="1419"/>
      <c r="AA177" s="1419"/>
      <c r="AB177" s="1420"/>
      <c r="AC177" s="1319"/>
      <c r="AD177" s="2" t="str">
        <f aca="false">IF(AND(AD$4=$G177,AD$6=$F177),$B177,"")</f>
        <v/>
      </c>
      <c r="AE177" s="2" t="str">
        <f aca="false">IF(AND(AE$4=$G177,AE$6=$F177),$B177,"")</f>
        <v/>
      </c>
      <c r="AF177" s="2" t="str">
        <f aca="false">IF(AND(AF$4=$G177,AF$6=$F177),$B177,"")</f>
        <v/>
      </c>
      <c r="AG177" s="2" t="str">
        <f aca="false">IF(AND(AG$4=$G177,AG$6=$F177),$B177,"")</f>
        <v/>
      </c>
      <c r="AI177" s="366"/>
      <c r="AL177" s="367"/>
      <c r="AO177" s="367"/>
      <c r="AP177" s="2" t="str">
        <f aca="false">IF(AT177&gt;0,RANK(AT177,AT$7:AT$423),"")</f>
        <v/>
      </c>
      <c r="AQ177" s="2" t="n">
        <f aca="false">'O_MN, PE_UTA_UGM 2024'!C173</f>
        <v>183</v>
      </c>
      <c r="AR177" s="1421" t="n">
        <v>1820</v>
      </c>
      <c r="AS177" s="2" t="str">
        <f aca="false">IF(AY177&lt;&gt;"",AY177,"")</f>
        <v/>
      </c>
      <c r="AT177" s="1422" t="n">
        <f aca="false">IF(ISNUMBER($AR177),SUMIF(B$7:B$505,AR177,D$7:D$505),"")</f>
        <v>0</v>
      </c>
      <c r="AU177" s="1411" t="n">
        <f aca="false">IF(ISNUMBER($AR177),SUMIF(AD$7:AD$503,$AR177,J$7:J$503),"")</f>
        <v>0</v>
      </c>
      <c r="AV177" s="1411" t="n">
        <f aca="false">IF(ISNUMBER($AR177),SUMIF(AF$7:AF$503,$AR177,L$7:L$503),"")</f>
        <v>0</v>
      </c>
      <c r="AW177" s="1423" t="n">
        <f aca="false">IF(ISNUMBER($AR177),SUMIF(AE$7:AE$503,$AR177,K$7:K$503),"")</f>
        <v>0</v>
      </c>
      <c r="AX177" s="1423" t="n">
        <f aca="false">IF(ISNUMBER($AR177),SUMIF(AG$7:AG$503,$AR177,M$7:M$503),"")</f>
        <v>0</v>
      </c>
      <c r="AY177" s="2" t="str">
        <f aca="false">IF($AT177&gt;0,VLOOKUP($AR177,'O_MN, PE_UTA_UGM 2024'!E173:O589,2),"")</f>
        <v/>
      </c>
      <c r="AZ177" s="1507"/>
      <c r="BA177" s="1507"/>
      <c r="BB177" s="1507" t="str">
        <f aca="false">IF($AT177&gt;0,VLOOKUP($AR177,'O_MN, PE_UTA_UGM 2024'!$E$3:$O$419,BB$6),"")</f>
        <v/>
      </c>
      <c r="BC177" s="1507" t="str">
        <f aca="false">IF($AT177&gt;0,VLOOKUP($AR177,'O_MN, PE_UTA_UGM 2024'!$E$3:$O$419,BC$6),"")</f>
        <v/>
      </c>
      <c r="BD177" s="1507" t="str">
        <f aca="false">IF($AT177&gt;0,VLOOKUP($AR177,'O_MN, PE_UTA_UGM 2024'!$E$3:$O$419,BD$6),"")</f>
        <v/>
      </c>
      <c r="BE177" s="1507" t="str">
        <f aca="false">IF($AT177&gt;0,VLOOKUP($AR177,'O_MN, PE_UTA_UGM 2024'!$E$3:$O$419,BE$6),"")</f>
        <v/>
      </c>
      <c r="BF177" s="1507" t="str">
        <f aca="false">IF($AT177&gt;0,VLOOKUP($AR177,'O_MN, PE_UTA_UGM 2024'!$E$3:$O$419,BF$6),"")</f>
        <v/>
      </c>
      <c r="BG177" s="1507" t="str">
        <f aca="false">IF($AT177&gt;0,VLOOKUP($AR177,'O_MN, PE_UTA_UGM 2024'!$E$3:$O$419,BG$6),"")</f>
        <v/>
      </c>
      <c r="BH177" s="1504"/>
      <c r="BI177" s="1504"/>
      <c r="BJ177" s="1504"/>
      <c r="BK177" s="1504"/>
      <c r="BM177" s="1411"/>
      <c r="BN177" s="1411"/>
      <c r="BO177" s="1425" t="str">
        <f aca="false">IF(ISNUMBER($AU177*BB177*1),$AU177*BB177*1,"")</f>
        <v/>
      </c>
      <c r="BP177" s="1425" t="str">
        <f aca="false">IF(ISNUMBER($AV177*BC177*1),$AV177*BC177*1,"")</f>
        <v/>
      </c>
      <c r="BQ177" s="1425" t="str">
        <f aca="false">IF(ISNUMBER($AU177*BD177*1),$AU177*BD177*1,"")</f>
        <v/>
      </c>
      <c r="BR177" s="1425" t="str">
        <f aca="false">IF(ISNUMBER($AV177*BE177*1),$AV177*BE177*1,"")</f>
        <v/>
      </c>
      <c r="BS177" s="1411" t="str">
        <f aca="false">IF(ISNUMBER($AU177*BF177),$AU177*BF177,"")</f>
        <v/>
      </c>
      <c r="BT177" s="1411" t="str">
        <f aca="false">IF(ISNUMBER($AV177*BG177),$AV177*BG177,"")</f>
        <v/>
      </c>
      <c r="BU177" s="1411"/>
      <c r="BV177" s="1411"/>
      <c r="BW177" s="1411"/>
      <c r="BX177" s="1411"/>
      <c r="BZ177" s="1372"/>
      <c r="CA177" s="1372"/>
      <c r="CB177" s="1426" t="str">
        <f aca="false">IF(ISNUMBER($AW177*BB177),$AW177*BB177,"")</f>
        <v/>
      </c>
      <c r="CC177" s="1426" t="str">
        <f aca="false">IF(ISNUMBER($AX177*BC177),$AX177*BC177,"")</f>
        <v/>
      </c>
      <c r="CD177" s="1426" t="str">
        <f aca="false">IF(ISNUMBER($AW177*BD177),$AW177*BD177,"")</f>
        <v/>
      </c>
      <c r="CE177" s="1426" t="str">
        <f aca="false">IF(ISNUMBER($AX177*BE177),$AX177*BE177,"")</f>
        <v/>
      </c>
      <c r="CF177" s="1372" t="str">
        <f aca="false">IF(ISNUMBER($AW177*BF177),$AW177*BF177,"")</f>
        <v/>
      </c>
      <c r="CG177" s="1372" t="str">
        <f aca="false">IF(ISNUMBER($AX177*BG177),$AX177*BG177,"")</f>
        <v/>
      </c>
      <c r="CH177" s="1438"/>
      <c r="CI177" s="1438"/>
      <c r="CJ177" s="1438"/>
      <c r="CK177" s="1438"/>
      <c r="CU177" s="1411"/>
      <c r="CV177" s="1411"/>
      <c r="CW177" s="1425"/>
      <c r="CX177" s="1425"/>
      <c r="CY177" s="1425"/>
      <c r="CZ177" s="1425"/>
      <c r="DA177" s="1411"/>
      <c r="DB177" s="1411"/>
      <c r="DC177" s="1411"/>
      <c r="DD177" s="1411"/>
      <c r="DE177" s="1411"/>
      <c r="DF177" s="1411"/>
      <c r="DH177" s="1432"/>
      <c r="DI177" s="1432"/>
      <c r="DJ177" s="1437"/>
      <c r="DK177" s="1437"/>
      <c r="DL177" s="1437"/>
      <c r="DM177" s="1437"/>
      <c r="DN177" s="1432"/>
      <c r="DO177" s="1432"/>
      <c r="DP177" s="1432"/>
      <c r="DQ177" s="1432"/>
      <c r="DR177" s="1432"/>
      <c r="DS177" s="1432"/>
      <c r="DT177" s="1316"/>
      <c r="DU177" s="1433"/>
      <c r="DV177" s="1433"/>
      <c r="DW177" s="1433"/>
      <c r="DX177" s="1433"/>
      <c r="DY177" s="1433"/>
      <c r="DZ177" s="1433"/>
      <c r="EA177" s="1433"/>
      <c r="EB177" s="1433"/>
    </row>
    <row r="178" customFormat="false" ht="14.25" hidden="false" customHeight="false" outlineLevel="0" collapsed="false">
      <c r="A178" s="2" t="n">
        <f aca="false">'V_DATOS PAC_SGA'!CC173</f>
        <v>0</v>
      </c>
      <c r="B178" s="2" t="n">
        <f aca="false">IF(OR(A178=0,A178=""),0,IF(I178="IV",CONCATENATE('V_DATOS PAC_SGA'!CC173,"4")+0,CONCATENATE('V_DATOS PAC_SGA'!CC173,"0")+0))</f>
        <v>0</v>
      </c>
      <c r="C178" s="2" t="n">
        <f aca="false">'V_DATOS PAC_SGA'!CD173</f>
        <v>0</v>
      </c>
      <c r="D178" s="1409" t="n">
        <f aca="false">'V_DATOS PAC_SGA'!Y173</f>
        <v>0</v>
      </c>
      <c r="E178" s="1410" t="str">
        <f aca="false">IF('V_DATOS PAC_SGA'!AV173="","Regadio",'V_DATOS PAC_SGA'!AV173)</f>
        <v>Regadio</v>
      </c>
      <c r="F178" s="1411" t="n">
        <f aca="false">'V_DATOS PAC_SGA'!BK173</f>
        <v>0</v>
      </c>
      <c r="G178" s="1412" t="n">
        <f aca="false">'V_DATOS PAC_SGA'!AN173</f>
        <v>0</v>
      </c>
      <c r="H178" s="1413" t="str">
        <f aca="false">IF(B178&gt;0,VLOOKUP(B178,'O_MN, PE_UTA_UGM 2024'!E$3:O$419,10),"")</f>
        <v/>
      </c>
      <c r="I178" s="1359" t="str">
        <f aca="false">IF('V_DATOS PAC_SGA'!BV173="IV",'V_DATOS PAC_SGA'!BV173,"")</f>
        <v/>
      </c>
      <c r="J178" s="2" t="str">
        <f aca="false">IF($A178&gt;0,IF(AND(J$4=$G178,J$6=$F178),$D178*J$5,""),"")</f>
        <v/>
      </c>
      <c r="K178" s="2" t="str">
        <f aca="false">IF($A178&gt;0,IF(AND(K$4=$G178,K$6=$F178),$D178*K$5,""),"")</f>
        <v/>
      </c>
      <c r="L178" s="2" t="str">
        <f aca="false">IF($A178&gt;0,IF(AND(L$4=$G178,L$6=$F178),$D178*L$5,""),"")</f>
        <v/>
      </c>
      <c r="M178" s="2" t="str">
        <f aca="false">IF($A178&gt;0,IF(AND(M$4=$G178,M$6=$F178),$D178*M$5,""),"")</f>
        <v/>
      </c>
      <c r="N178" s="1506" t="n">
        <f aca="false">VLOOKUP(B178,'O_MN, PE_UTA_UGM 2024'!$E$2:$K$419,IF(G178&gt;1,6,7))</f>
        <v>0</v>
      </c>
      <c r="O178" s="1434" t="str">
        <f aca="false">IF($H178=O$4,$D178*$N178,"")</f>
        <v/>
      </c>
      <c r="P178" s="1435" t="str">
        <f aca="false">IF($H178=P$4,$D178*$N178,"")</f>
        <v/>
      </c>
      <c r="Q178" s="1435" t="str">
        <f aca="false">IF($H178=Q$4,$D178*$N178,"")</f>
        <v/>
      </c>
      <c r="R178" s="1435" t="str">
        <f aca="false">IF($H178=R$4,$D178*$N178,"")</f>
        <v/>
      </c>
      <c r="S178" s="1435" t="str">
        <f aca="false">IF($H178=S$4,$D178*$N178,"")</f>
        <v/>
      </c>
      <c r="T178" s="1435" t="str">
        <f aca="false">IF($H178=T$4,$D178*$N178,"")</f>
        <v/>
      </c>
      <c r="U178" s="1436" t="str">
        <f aca="false">IF($H178=U$4,$D178*$N178,"")</f>
        <v/>
      </c>
      <c r="V178" s="1418"/>
      <c r="W178" s="1419"/>
      <c r="X178" s="1419"/>
      <c r="Y178" s="1419"/>
      <c r="Z178" s="1419"/>
      <c r="AA178" s="1419"/>
      <c r="AB178" s="1420"/>
      <c r="AC178" s="1319"/>
      <c r="AD178" s="2" t="str">
        <f aca="false">IF(AND(AD$4=$G178,AD$6=$F178),$B178,"")</f>
        <v/>
      </c>
      <c r="AE178" s="2" t="str">
        <f aca="false">IF(AND(AE$4=$G178,AE$6=$F178),$B178,"")</f>
        <v/>
      </c>
      <c r="AF178" s="2" t="str">
        <f aca="false">IF(AND(AF$4=$G178,AF$6=$F178),$B178,"")</f>
        <v/>
      </c>
      <c r="AG178" s="2" t="str">
        <f aca="false">IF(AND(AG$4=$G178,AG$6=$F178),$B178,"")</f>
        <v/>
      </c>
      <c r="AI178" s="366"/>
      <c r="AL178" s="367"/>
      <c r="AO178" s="367"/>
      <c r="AP178" s="2" t="str">
        <f aca="false">IF(AT178&gt;0,RANK(AT178,AT$7:AT$423),"")</f>
        <v/>
      </c>
      <c r="AQ178" s="2" t="n">
        <f aca="false">'O_MN, PE_UTA_UGM 2024'!C174</f>
        <v>183</v>
      </c>
      <c r="AR178" s="1421" t="n">
        <v>1824</v>
      </c>
      <c r="AS178" s="2" t="str">
        <f aca="false">IF(AY178&lt;&gt;"",AY178,"")</f>
        <v/>
      </c>
      <c r="AT178" s="1422" t="n">
        <f aca="false">IF(ISNUMBER($AR178),SUMIF(B$7:B$505,AR178,D$7:D$505),"")</f>
        <v>0</v>
      </c>
      <c r="AU178" s="1411" t="n">
        <f aca="false">IF(ISNUMBER($AR178),SUMIF(AD$7:AD$503,$AR178,J$7:J$503),"")</f>
        <v>0</v>
      </c>
      <c r="AV178" s="1411" t="n">
        <f aca="false">IF(ISNUMBER($AR178),SUMIF(AF$7:AF$503,$AR178,L$7:L$503),"")</f>
        <v>0</v>
      </c>
      <c r="AW178" s="1423" t="n">
        <f aca="false">IF(ISNUMBER($AR178),SUMIF(AE$7:AE$503,$AR178,K$7:K$503),"")</f>
        <v>0</v>
      </c>
      <c r="AX178" s="1423" t="n">
        <f aca="false">IF(ISNUMBER($AR178),SUMIF(AG$7:AG$503,$AR178,M$7:M$503),"")</f>
        <v>0</v>
      </c>
      <c r="AY178" s="2" t="str">
        <f aca="false">IF($AT178&gt;0,VLOOKUP($AR178,'O_MN, PE_UTA_UGM 2024'!E174:O590,2),"")</f>
        <v/>
      </c>
      <c r="AZ178" s="1507"/>
      <c r="BA178" s="1507"/>
      <c r="BB178" s="1507" t="str">
        <f aca="false">IF($AT178&gt;0,VLOOKUP($AR178,'O_MN, PE_UTA_UGM 2024'!$E$3:$O$419,BB$6),"")</f>
        <v/>
      </c>
      <c r="BC178" s="1507" t="str">
        <f aca="false">IF($AT178&gt;0,VLOOKUP($AR178,'O_MN, PE_UTA_UGM 2024'!$E$3:$O$419,BC$6),"")</f>
        <v/>
      </c>
      <c r="BD178" s="1507" t="str">
        <f aca="false">IF($AT178&gt;0,VLOOKUP($AR178,'O_MN, PE_UTA_UGM 2024'!$E$3:$O$419,BD$6),"")</f>
        <v/>
      </c>
      <c r="BE178" s="1507" t="str">
        <f aca="false">IF($AT178&gt;0,VLOOKUP($AR178,'O_MN, PE_UTA_UGM 2024'!$E$3:$O$419,BE$6),"")</f>
        <v/>
      </c>
      <c r="BF178" s="1507" t="str">
        <f aca="false">IF($AT178&gt;0,VLOOKUP($AR178,'O_MN, PE_UTA_UGM 2024'!$E$3:$O$419,BF$6),"")</f>
        <v/>
      </c>
      <c r="BG178" s="1507" t="str">
        <f aca="false">IF($AT178&gt;0,VLOOKUP($AR178,'O_MN, PE_UTA_UGM 2024'!$E$3:$O$419,BG$6),"")</f>
        <v/>
      </c>
      <c r="BH178" s="1504"/>
      <c r="BI178" s="1504"/>
      <c r="BJ178" s="1504"/>
      <c r="BK178" s="1504"/>
      <c r="BM178" s="1411"/>
      <c r="BN178" s="1411"/>
      <c r="BO178" s="1425" t="str">
        <f aca="false">IF(ISNUMBER($AU178*BB178*1),$AU178*BB178*1,"")</f>
        <v/>
      </c>
      <c r="BP178" s="1425" t="str">
        <f aca="false">IF(ISNUMBER($AV178*BC178*1),$AV178*BC178*1,"")</f>
        <v/>
      </c>
      <c r="BQ178" s="1425" t="str">
        <f aca="false">IF(ISNUMBER($AU178*BD178*1),$AU178*BD178*1,"")</f>
        <v/>
      </c>
      <c r="BR178" s="1425" t="str">
        <f aca="false">IF(ISNUMBER($AV178*BE178*1),$AV178*BE178*1,"")</f>
        <v/>
      </c>
      <c r="BS178" s="1411" t="str">
        <f aca="false">IF(ISNUMBER($AU178*BF178),$AU178*BF178,"")</f>
        <v/>
      </c>
      <c r="BT178" s="1411" t="str">
        <f aca="false">IF(ISNUMBER($AV178*BG178),$AV178*BG178,"")</f>
        <v/>
      </c>
      <c r="BU178" s="1411"/>
      <c r="BV178" s="1411"/>
      <c r="BW178" s="1411"/>
      <c r="BX178" s="1411"/>
      <c r="BZ178" s="1372"/>
      <c r="CA178" s="1372"/>
      <c r="CB178" s="1426" t="str">
        <f aca="false">IF(ISNUMBER($AW178*BB178),$AW178*BB178,"")</f>
        <v/>
      </c>
      <c r="CC178" s="1426" t="str">
        <f aca="false">IF(ISNUMBER($AX178*BC178),$AX178*BC178,"")</f>
        <v/>
      </c>
      <c r="CD178" s="1426" t="str">
        <f aca="false">IF(ISNUMBER($AW178*BD178),$AW178*BD178,"")</f>
        <v/>
      </c>
      <c r="CE178" s="1426" t="str">
        <f aca="false">IF(ISNUMBER($AX178*BE178),$AX178*BE178,"")</f>
        <v/>
      </c>
      <c r="CF178" s="1372" t="str">
        <f aca="false">IF(ISNUMBER($AW178*BF178),$AW178*BF178,"")</f>
        <v/>
      </c>
      <c r="CG178" s="1372" t="str">
        <f aca="false">IF(ISNUMBER($AX178*BG178),$AX178*BG178,"")</f>
        <v/>
      </c>
      <c r="CH178" s="1438"/>
      <c r="CI178" s="1438"/>
      <c r="CJ178" s="1438"/>
      <c r="CK178" s="1438"/>
      <c r="CU178" s="1411"/>
      <c r="CV178" s="1411"/>
      <c r="CW178" s="1425"/>
      <c r="CX178" s="1425"/>
      <c r="CY178" s="1425"/>
      <c r="CZ178" s="1425"/>
      <c r="DA178" s="1411"/>
      <c r="DB178" s="1411"/>
      <c r="DC178" s="1411"/>
      <c r="DD178" s="1411"/>
      <c r="DE178" s="1411"/>
      <c r="DF178" s="1411"/>
      <c r="DH178" s="1432"/>
      <c r="DI178" s="1432"/>
      <c r="DJ178" s="1437"/>
      <c r="DK178" s="1437"/>
      <c r="DL178" s="1437"/>
      <c r="DM178" s="1437"/>
      <c r="DN178" s="1432"/>
      <c r="DO178" s="1432"/>
      <c r="DP178" s="1432"/>
      <c r="DQ178" s="1432"/>
      <c r="DR178" s="1432"/>
      <c r="DS178" s="1432"/>
      <c r="DT178" s="1316"/>
      <c r="DU178" s="1433"/>
      <c r="DV178" s="1433"/>
      <c r="DW178" s="1433"/>
      <c r="DX178" s="1433"/>
      <c r="DY178" s="1433"/>
      <c r="DZ178" s="1433"/>
      <c r="EA178" s="1433"/>
      <c r="EB178" s="1433"/>
    </row>
    <row r="179" customFormat="false" ht="14.25" hidden="false" customHeight="false" outlineLevel="0" collapsed="false">
      <c r="A179" s="2" t="n">
        <f aca="false">'V_DATOS PAC_SGA'!CC174</f>
        <v>0</v>
      </c>
      <c r="B179" s="2" t="n">
        <f aca="false">IF(OR(A179=0,A179=""),0,IF(I179="IV",CONCATENATE('V_DATOS PAC_SGA'!CC174,"4")+0,CONCATENATE('V_DATOS PAC_SGA'!CC174,"0")+0))</f>
        <v>0</v>
      </c>
      <c r="C179" s="2" t="n">
        <f aca="false">'V_DATOS PAC_SGA'!CD174</f>
        <v>0</v>
      </c>
      <c r="D179" s="1409" t="n">
        <f aca="false">'V_DATOS PAC_SGA'!Y174</f>
        <v>0</v>
      </c>
      <c r="E179" s="1410" t="str">
        <f aca="false">IF('V_DATOS PAC_SGA'!AV174="","Regadio",'V_DATOS PAC_SGA'!AV174)</f>
        <v>Regadio</v>
      </c>
      <c r="F179" s="1411" t="n">
        <f aca="false">'V_DATOS PAC_SGA'!BK174</f>
        <v>0</v>
      </c>
      <c r="G179" s="1412" t="n">
        <f aca="false">'V_DATOS PAC_SGA'!AN174</f>
        <v>0</v>
      </c>
      <c r="H179" s="1413" t="str">
        <f aca="false">IF(B179&gt;0,VLOOKUP(B179,'O_MN, PE_UTA_UGM 2024'!E$3:O$419,10),"")</f>
        <v/>
      </c>
      <c r="I179" s="1359" t="str">
        <f aca="false">IF('V_DATOS PAC_SGA'!BV174="IV",'V_DATOS PAC_SGA'!BV174,"")</f>
        <v/>
      </c>
      <c r="J179" s="2" t="str">
        <f aca="false">IF($A179&gt;0,IF(AND(J$4=$G179,J$6=$F179),$D179*J$5,""),"")</f>
        <v/>
      </c>
      <c r="K179" s="2" t="str">
        <f aca="false">IF($A179&gt;0,IF(AND(K$4=$G179,K$6=$F179),$D179*K$5,""),"")</f>
        <v/>
      </c>
      <c r="L179" s="2" t="str">
        <f aca="false">IF($A179&gt;0,IF(AND(L$4=$G179,L$6=$F179),$D179*L$5,""),"")</f>
        <v/>
      </c>
      <c r="M179" s="2" t="str">
        <f aca="false">IF($A179&gt;0,IF(AND(M$4=$G179,M$6=$F179),$D179*M$5,""),"")</f>
        <v/>
      </c>
      <c r="N179" s="1506" t="n">
        <f aca="false">VLOOKUP(B179,'O_MN, PE_UTA_UGM 2024'!$E$2:$K$419,IF(G179&gt;1,6,7))</f>
        <v>0</v>
      </c>
      <c r="O179" s="1434" t="str">
        <f aca="false">IF($H179=O$4,$D179*$N179,"")</f>
        <v/>
      </c>
      <c r="P179" s="1435" t="str">
        <f aca="false">IF($H179=P$4,$D179*$N179,"")</f>
        <v/>
      </c>
      <c r="Q179" s="1435" t="str">
        <f aca="false">IF($H179=Q$4,$D179*$N179,"")</f>
        <v/>
      </c>
      <c r="R179" s="1435" t="str">
        <f aca="false">IF($H179=R$4,$D179*$N179,"")</f>
        <v/>
      </c>
      <c r="S179" s="1435" t="str">
        <f aca="false">IF($H179=S$4,$D179*$N179,"")</f>
        <v/>
      </c>
      <c r="T179" s="1435" t="str">
        <f aca="false">IF($H179=T$4,$D179*$N179,"")</f>
        <v/>
      </c>
      <c r="U179" s="1436" t="str">
        <f aca="false">IF($H179=U$4,$D179*$N179,"")</f>
        <v/>
      </c>
      <c r="V179" s="1418"/>
      <c r="W179" s="1419"/>
      <c r="X179" s="1419"/>
      <c r="Y179" s="1419"/>
      <c r="Z179" s="1419"/>
      <c r="AA179" s="1419"/>
      <c r="AB179" s="1420"/>
      <c r="AC179" s="1319"/>
      <c r="AD179" s="2" t="str">
        <f aca="false">IF(AND(AD$4=$G179,AD$6=$F179),$B179,"")</f>
        <v/>
      </c>
      <c r="AE179" s="2" t="str">
        <f aca="false">IF(AND(AE$4=$G179,AE$6=$F179),$B179,"")</f>
        <v/>
      </c>
      <c r="AF179" s="2" t="str">
        <f aca="false">IF(AND(AF$4=$G179,AF$6=$F179),$B179,"")</f>
        <v/>
      </c>
      <c r="AG179" s="2" t="str">
        <f aca="false">IF(AND(AG$4=$G179,AG$6=$F179),$B179,"")</f>
        <v/>
      </c>
      <c r="AI179" s="366"/>
      <c r="AL179" s="367"/>
      <c r="AO179" s="367"/>
      <c r="AP179" s="2" t="str">
        <f aca="false">IF(AT179&gt;0,RANK(AT179,AT$7:AT$423),"")</f>
        <v/>
      </c>
      <c r="AQ179" s="2" t="n">
        <f aca="false">'O_MN, PE_UTA_UGM 2024'!C175</f>
        <v>184</v>
      </c>
      <c r="AR179" s="1421" t="n">
        <v>1829</v>
      </c>
      <c r="AS179" s="2" t="str">
        <f aca="false">IF(AY179&lt;&gt;"",AY179,"")</f>
        <v/>
      </c>
      <c r="AT179" s="1422" t="n">
        <f aca="false">IF(ISNUMBER($AR179),SUMIF(B$7:B$505,AR179,D$7:D$505),"")</f>
        <v>0</v>
      </c>
      <c r="AU179" s="1411" t="n">
        <f aca="false">IF(ISNUMBER($AR179),SUMIF(AD$7:AD$503,$AR179,J$7:J$503),"")</f>
        <v>0</v>
      </c>
      <c r="AV179" s="1411" t="n">
        <f aca="false">IF(ISNUMBER($AR179),SUMIF(AF$7:AF$503,$AR179,L$7:L$503),"")</f>
        <v>0</v>
      </c>
      <c r="AW179" s="1423" t="n">
        <f aca="false">IF(ISNUMBER($AR179),SUMIF(AE$7:AE$503,$AR179,K$7:K$503),"")</f>
        <v>0</v>
      </c>
      <c r="AX179" s="1423" t="n">
        <f aca="false">IF(ISNUMBER($AR179),SUMIF(AG$7:AG$503,$AR179,M$7:M$503),"")</f>
        <v>0</v>
      </c>
      <c r="AY179" s="2" t="str">
        <f aca="false">IF($AT179&gt;0,VLOOKUP($AR179,'O_MN, PE_UTA_UGM 2024'!E175:O591,2),"")</f>
        <v/>
      </c>
      <c r="AZ179" s="1507"/>
      <c r="BA179" s="1507"/>
      <c r="BB179" s="1507" t="str">
        <f aca="false">IF($AT179&gt;0,VLOOKUP($AR179,'O_MN, PE_UTA_UGM 2024'!$E$3:$O$419,BB$6),"")</f>
        <v/>
      </c>
      <c r="BC179" s="1507" t="str">
        <f aca="false">IF($AT179&gt;0,VLOOKUP($AR179,'O_MN, PE_UTA_UGM 2024'!$E$3:$O$419,BC$6),"")</f>
        <v/>
      </c>
      <c r="BD179" s="1507" t="str">
        <f aca="false">IF($AT179&gt;0,VLOOKUP($AR179,'O_MN, PE_UTA_UGM 2024'!$E$3:$O$419,BD$6),"")</f>
        <v/>
      </c>
      <c r="BE179" s="1507" t="str">
        <f aca="false">IF($AT179&gt;0,VLOOKUP($AR179,'O_MN, PE_UTA_UGM 2024'!$E$3:$O$419,BE$6),"")</f>
        <v/>
      </c>
      <c r="BF179" s="1507" t="str">
        <f aca="false">IF($AT179&gt;0,VLOOKUP($AR179,'O_MN, PE_UTA_UGM 2024'!$E$3:$O$419,BF$6),"")</f>
        <v/>
      </c>
      <c r="BG179" s="1507" t="str">
        <f aca="false">IF($AT179&gt;0,VLOOKUP($AR179,'O_MN, PE_UTA_UGM 2024'!$E$3:$O$419,BG$6),"")</f>
        <v/>
      </c>
      <c r="BH179" s="1504"/>
      <c r="BI179" s="1504"/>
      <c r="BJ179" s="1504"/>
      <c r="BK179" s="1504"/>
      <c r="BM179" s="1411"/>
      <c r="BN179" s="1411"/>
      <c r="BO179" s="1425" t="str">
        <f aca="false">IF(ISNUMBER($AU179*BB179*1),$AU179*BB179*1,"")</f>
        <v/>
      </c>
      <c r="BP179" s="1425" t="str">
        <f aca="false">IF(ISNUMBER($AV179*BC179*1),$AV179*BC179*1,"")</f>
        <v/>
      </c>
      <c r="BQ179" s="1425" t="str">
        <f aca="false">IF(ISNUMBER($AU179*BD179*1),$AU179*BD179*1,"")</f>
        <v/>
      </c>
      <c r="BR179" s="1425" t="str">
        <f aca="false">IF(ISNUMBER($AV179*BE179*1),$AV179*BE179*1,"")</f>
        <v/>
      </c>
      <c r="BS179" s="1411" t="str">
        <f aca="false">IF(ISNUMBER($AU179*BF179),$AU179*BF179,"")</f>
        <v/>
      </c>
      <c r="BT179" s="1411" t="str">
        <f aca="false">IF(ISNUMBER($AV179*BG179),$AV179*BG179,"")</f>
        <v/>
      </c>
      <c r="BU179" s="1411"/>
      <c r="BV179" s="1411"/>
      <c r="BW179" s="1411"/>
      <c r="BX179" s="1411"/>
      <c r="BZ179" s="1372"/>
      <c r="CA179" s="1372"/>
      <c r="CB179" s="1426" t="str">
        <f aca="false">IF(ISNUMBER($AW179*BB179),$AW179*BB179,"")</f>
        <v/>
      </c>
      <c r="CC179" s="1426" t="str">
        <f aca="false">IF(ISNUMBER($AX179*BC179),$AX179*BC179,"")</f>
        <v/>
      </c>
      <c r="CD179" s="1426" t="str">
        <f aca="false">IF(ISNUMBER($AW179*BD179),$AW179*BD179,"")</f>
        <v/>
      </c>
      <c r="CE179" s="1426" t="str">
        <f aca="false">IF(ISNUMBER($AX179*BE179),$AX179*BE179,"")</f>
        <v/>
      </c>
      <c r="CF179" s="1372" t="str">
        <f aca="false">IF(ISNUMBER($AW179*BF179),$AW179*BF179,"")</f>
        <v/>
      </c>
      <c r="CG179" s="1372" t="str">
        <f aca="false">IF(ISNUMBER($AX179*BG179),$AX179*BG179,"")</f>
        <v/>
      </c>
      <c r="CH179" s="1438"/>
      <c r="CI179" s="1438"/>
      <c r="CJ179" s="1438"/>
      <c r="CK179" s="1438"/>
      <c r="CU179" s="1411"/>
      <c r="CV179" s="1411"/>
      <c r="CW179" s="1425"/>
      <c r="CX179" s="1425"/>
      <c r="CY179" s="1425"/>
      <c r="CZ179" s="1425"/>
      <c r="DA179" s="1411"/>
      <c r="DB179" s="1411"/>
      <c r="DC179" s="1411"/>
      <c r="DD179" s="1411"/>
      <c r="DE179" s="1411"/>
      <c r="DF179" s="1411"/>
      <c r="DH179" s="1432"/>
      <c r="DI179" s="1432"/>
      <c r="DJ179" s="1437"/>
      <c r="DK179" s="1437"/>
      <c r="DL179" s="1437"/>
      <c r="DM179" s="1437"/>
      <c r="DN179" s="1432"/>
      <c r="DO179" s="1432"/>
      <c r="DP179" s="1432"/>
      <c r="DQ179" s="1432"/>
      <c r="DR179" s="1432"/>
      <c r="DS179" s="1432"/>
      <c r="DT179" s="1316"/>
      <c r="DU179" s="1433"/>
      <c r="DV179" s="1433"/>
      <c r="DW179" s="1433"/>
      <c r="DX179" s="1433"/>
      <c r="DY179" s="1433"/>
      <c r="DZ179" s="1433"/>
      <c r="EA179" s="1433"/>
      <c r="EB179" s="1433"/>
    </row>
    <row r="180" customFormat="false" ht="14.25" hidden="false" customHeight="false" outlineLevel="0" collapsed="false">
      <c r="A180" s="2" t="n">
        <f aca="false">'V_DATOS PAC_SGA'!CC175</f>
        <v>0</v>
      </c>
      <c r="B180" s="2" t="n">
        <f aca="false">IF(OR(A180=0,A180=""),0,IF(I180="IV",CONCATENATE('V_DATOS PAC_SGA'!CC175,"4")+0,CONCATENATE('V_DATOS PAC_SGA'!CC175,"0")+0))</f>
        <v>0</v>
      </c>
      <c r="C180" s="2" t="n">
        <f aca="false">'V_DATOS PAC_SGA'!CD175</f>
        <v>0</v>
      </c>
      <c r="D180" s="1409" t="n">
        <f aca="false">'V_DATOS PAC_SGA'!Y175</f>
        <v>0</v>
      </c>
      <c r="E180" s="1410" t="str">
        <f aca="false">IF('V_DATOS PAC_SGA'!AV175="","Regadio",'V_DATOS PAC_SGA'!AV175)</f>
        <v>Regadio</v>
      </c>
      <c r="F180" s="1411" t="n">
        <f aca="false">'V_DATOS PAC_SGA'!BK175</f>
        <v>0</v>
      </c>
      <c r="G180" s="1412" t="n">
        <f aca="false">'V_DATOS PAC_SGA'!AN175</f>
        <v>0</v>
      </c>
      <c r="H180" s="1413" t="str">
        <f aca="false">IF(B180&gt;0,VLOOKUP(B180,'O_MN, PE_UTA_UGM 2024'!E$3:O$419,10),"")</f>
        <v/>
      </c>
      <c r="I180" s="1359" t="str">
        <f aca="false">IF('V_DATOS PAC_SGA'!BV175="IV",'V_DATOS PAC_SGA'!BV175,"")</f>
        <v/>
      </c>
      <c r="J180" s="2" t="str">
        <f aca="false">IF($A180&gt;0,IF(AND(J$4=$G180,J$6=$F180),$D180*J$5,""),"")</f>
        <v/>
      </c>
      <c r="K180" s="2" t="str">
        <f aca="false">IF($A180&gt;0,IF(AND(K$4=$G180,K$6=$F180),$D180*K$5,""),"")</f>
        <v/>
      </c>
      <c r="L180" s="2" t="str">
        <f aca="false">IF($A180&gt;0,IF(AND(L$4=$G180,L$6=$F180),$D180*L$5,""),"")</f>
        <v/>
      </c>
      <c r="M180" s="2" t="str">
        <f aca="false">IF($A180&gt;0,IF(AND(M$4=$G180,M$6=$F180),$D180*M$5,""),"")</f>
        <v/>
      </c>
      <c r="N180" s="1506" t="n">
        <f aca="false">VLOOKUP(B180,'O_MN, PE_UTA_UGM 2024'!$E$2:$K$419,IF(G180&gt;1,6,7))</f>
        <v>0</v>
      </c>
      <c r="O180" s="1434" t="str">
        <f aca="false">IF($H180=O$4,$D180*$N180,"")</f>
        <v/>
      </c>
      <c r="P180" s="1435" t="str">
        <f aca="false">IF($H180=P$4,$D180*$N180,"")</f>
        <v/>
      </c>
      <c r="Q180" s="1435" t="str">
        <f aca="false">IF($H180=Q$4,$D180*$N180,"")</f>
        <v/>
      </c>
      <c r="R180" s="1435" t="str">
        <f aca="false">IF($H180=R$4,$D180*$N180,"")</f>
        <v/>
      </c>
      <c r="S180" s="1435" t="str">
        <f aca="false">IF($H180=S$4,$D180*$N180,"")</f>
        <v/>
      </c>
      <c r="T180" s="1435" t="str">
        <f aca="false">IF($H180=T$4,$D180*$N180,"")</f>
        <v/>
      </c>
      <c r="U180" s="1436" t="str">
        <f aca="false">IF($H180=U$4,$D180*$N180,"")</f>
        <v/>
      </c>
      <c r="V180" s="1418"/>
      <c r="W180" s="1419"/>
      <c r="X180" s="1419"/>
      <c r="Y180" s="1419"/>
      <c r="Z180" s="1419"/>
      <c r="AA180" s="1419"/>
      <c r="AB180" s="1420"/>
      <c r="AC180" s="1319"/>
      <c r="AD180" s="2" t="str">
        <f aca="false">IF(AND(AD$4=$G180,AD$6=$F180),$B180,"")</f>
        <v/>
      </c>
      <c r="AE180" s="2" t="str">
        <f aca="false">IF(AND(AE$4=$G180,AE$6=$F180),$B180,"")</f>
        <v/>
      </c>
      <c r="AF180" s="2" t="str">
        <f aca="false">IF(AND(AF$4=$G180,AF$6=$F180),$B180,"")</f>
        <v/>
      </c>
      <c r="AG180" s="2" t="str">
        <f aca="false">IF(AND(AG$4=$G180,AG$6=$F180),$B180,"")</f>
        <v/>
      </c>
      <c r="AI180" s="366"/>
      <c r="AL180" s="367"/>
      <c r="AO180" s="367"/>
      <c r="AP180" s="2" t="str">
        <f aca="false">IF(AT180&gt;0,RANK(AT180,AT$7:AT$423),"")</f>
        <v/>
      </c>
      <c r="AQ180" s="2" t="n">
        <f aca="false">'O_MN, PE_UTA_UGM 2024'!C176</f>
        <v>184</v>
      </c>
      <c r="AR180" s="1421" t="n">
        <v>1830</v>
      </c>
      <c r="AS180" s="2" t="str">
        <f aca="false">IF(AY180&lt;&gt;"",AY180,"")</f>
        <v/>
      </c>
      <c r="AT180" s="1422" t="n">
        <f aca="false">IF(ISNUMBER($AR180),SUMIF(B$7:B$505,AR180,D$7:D$505),"")</f>
        <v>0</v>
      </c>
      <c r="AU180" s="1411" t="n">
        <f aca="false">IF(ISNUMBER($AR180),SUMIF(AD$7:AD$503,$AR180,J$7:J$503),"")</f>
        <v>0</v>
      </c>
      <c r="AV180" s="1411" t="n">
        <f aca="false">IF(ISNUMBER($AR180),SUMIF(AF$7:AF$503,$AR180,L$7:L$503),"")</f>
        <v>0</v>
      </c>
      <c r="AW180" s="1423" t="n">
        <f aca="false">IF(ISNUMBER($AR180),SUMIF(AE$7:AE$503,$AR180,K$7:K$503),"")</f>
        <v>0</v>
      </c>
      <c r="AX180" s="1423" t="n">
        <f aca="false">IF(ISNUMBER($AR180),SUMIF(AG$7:AG$503,$AR180,M$7:M$503),"")</f>
        <v>0</v>
      </c>
      <c r="AY180" s="2" t="str">
        <f aca="false">IF($AT180&gt;0,VLOOKUP($AR180,'O_MN, PE_UTA_UGM 2024'!E176:O592,2),"")</f>
        <v/>
      </c>
      <c r="AZ180" s="1507"/>
      <c r="BA180" s="1507"/>
      <c r="BB180" s="1507" t="str">
        <f aca="false">IF($AT180&gt;0,VLOOKUP($AR180,'O_MN, PE_UTA_UGM 2024'!$E$3:$O$419,BB$6),"")</f>
        <v/>
      </c>
      <c r="BC180" s="1507" t="str">
        <f aca="false">IF($AT180&gt;0,VLOOKUP($AR180,'O_MN, PE_UTA_UGM 2024'!$E$3:$O$419,BC$6),"")</f>
        <v/>
      </c>
      <c r="BD180" s="1507" t="str">
        <f aca="false">IF($AT180&gt;0,VLOOKUP($AR180,'O_MN, PE_UTA_UGM 2024'!$E$3:$O$419,BD$6),"")</f>
        <v/>
      </c>
      <c r="BE180" s="1507" t="str">
        <f aca="false">IF($AT180&gt;0,VLOOKUP($AR180,'O_MN, PE_UTA_UGM 2024'!$E$3:$O$419,BE$6),"")</f>
        <v/>
      </c>
      <c r="BF180" s="1507" t="str">
        <f aca="false">IF($AT180&gt;0,VLOOKUP($AR180,'O_MN, PE_UTA_UGM 2024'!$E$3:$O$419,BF$6),"")</f>
        <v/>
      </c>
      <c r="BG180" s="1507" t="str">
        <f aca="false">IF($AT180&gt;0,VLOOKUP($AR180,'O_MN, PE_UTA_UGM 2024'!$E$3:$O$419,BG$6),"")</f>
        <v/>
      </c>
      <c r="BH180" s="1504"/>
      <c r="BI180" s="1504"/>
      <c r="BJ180" s="1504"/>
      <c r="BK180" s="1504"/>
      <c r="BM180" s="1411"/>
      <c r="BN180" s="1411"/>
      <c r="BO180" s="1425" t="str">
        <f aca="false">IF(ISNUMBER($AU180*BB180*1),$AU180*BB180*1,"")</f>
        <v/>
      </c>
      <c r="BP180" s="1425" t="str">
        <f aca="false">IF(ISNUMBER($AV180*BC180*1),$AV180*BC180*1,"")</f>
        <v/>
      </c>
      <c r="BQ180" s="1425" t="str">
        <f aca="false">IF(ISNUMBER($AU180*BD180*1),$AU180*BD180*1,"")</f>
        <v/>
      </c>
      <c r="BR180" s="1425" t="str">
        <f aca="false">IF(ISNUMBER($AV180*BE180*1),$AV180*BE180*1,"")</f>
        <v/>
      </c>
      <c r="BS180" s="1411" t="str">
        <f aca="false">IF(ISNUMBER($AU180*BF180),$AU180*BF180,"")</f>
        <v/>
      </c>
      <c r="BT180" s="1411" t="str">
        <f aca="false">IF(ISNUMBER($AV180*BG180),$AV180*BG180,"")</f>
        <v/>
      </c>
      <c r="BU180" s="1411"/>
      <c r="BV180" s="1411"/>
      <c r="BW180" s="1411"/>
      <c r="BX180" s="1411"/>
      <c r="BZ180" s="1372"/>
      <c r="CA180" s="1372"/>
      <c r="CB180" s="1426" t="str">
        <f aca="false">IF(ISNUMBER($AW180*BB180),$AW180*BB180,"")</f>
        <v/>
      </c>
      <c r="CC180" s="1426" t="str">
        <f aca="false">IF(ISNUMBER($AX180*BC180),$AX180*BC180,"")</f>
        <v/>
      </c>
      <c r="CD180" s="1426" t="str">
        <f aca="false">IF(ISNUMBER($AW180*BD180),$AW180*BD180,"")</f>
        <v/>
      </c>
      <c r="CE180" s="1426" t="str">
        <f aca="false">IF(ISNUMBER($AX180*BE180),$AX180*BE180,"")</f>
        <v/>
      </c>
      <c r="CF180" s="1372" t="str">
        <f aca="false">IF(ISNUMBER($AW180*BF180),$AW180*BF180,"")</f>
        <v/>
      </c>
      <c r="CG180" s="1372" t="str">
        <f aca="false">IF(ISNUMBER($AX180*BG180),$AX180*BG180,"")</f>
        <v/>
      </c>
      <c r="CH180" s="1438"/>
      <c r="CI180" s="1438"/>
      <c r="CJ180" s="1438"/>
      <c r="CK180" s="1438"/>
      <c r="CU180" s="1411"/>
      <c r="CV180" s="1411"/>
      <c r="CW180" s="1425"/>
      <c r="CX180" s="1425"/>
      <c r="CY180" s="1425"/>
      <c r="CZ180" s="1425"/>
      <c r="DA180" s="1411"/>
      <c r="DB180" s="1411"/>
      <c r="DC180" s="1411"/>
      <c r="DD180" s="1411"/>
      <c r="DE180" s="1411"/>
      <c r="DF180" s="1411"/>
      <c r="DH180" s="1432"/>
      <c r="DI180" s="1432"/>
      <c r="DJ180" s="1437"/>
      <c r="DK180" s="1437"/>
      <c r="DL180" s="1437"/>
      <c r="DM180" s="1437"/>
      <c r="DN180" s="1432"/>
      <c r="DO180" s="1432"/>
      <c r="DP180" s="1432"/>
      <c r="DQ180" s="1432"/>
      <c r="DR180" s="1432"/>
      <c r="DS180" s="1432"/>
      <c r="DT180" s="1316"/>
      <c r="DU180" s="1433"/>
      <c r="DV180" s="1433"/>
      <c r="DW180" s="1433"/>
      <c r="DX180" s="1433"/>
      <c r="DY180" s="1433"/>
      <c r="DZ180" s="1433"/>
      <c r="EA180" s="1433"/>
      <c r="EB180" s="1433"/>
    </row>
    <row r="181" customFormat="false" ht="14.25" hidden="false" customHeight="false" outlineLevel="0" collapsed="false">
      <c r="A181" s="2" t="n">
        <f aca="false">'V_DATOS PAC_SGA'!CC176</f>
        <v>0</v>
      </c>
      <c r="B181" s="2" t="n">
        <f aca="false">IF(OR(A181=0,A181=""),0,IF(I181="IV",CONCATENATE('V_DATOS PAC_SGA'!CC176,"4")+0,CONCATENATE('V_DATOS PAC_SGA'!CC176,"0")+0))</f>
        <v>0</v>
      </c>
      <c r="C181" s="2" t="n">
        <f aca="false">'V_DATOS PAC_SGA'!CD176</f>
        <v>0</v>
      </c>
      <c r="D181" s="1409" t="n">
        <f aca="false">'V_DATOS PAC_SGA'!Y176</f>
        <v>0</v>
      </c>
      <c r="E181" s="1410" t="str">
        <f aca="false">IF('V_DATOS PAC_SGA'!AV176="","Regadio",'V_DATOS PAC_SGA'!AV176)</f>
        <v>Regadio</v>
      </c>
      <c r="F181" s="1411" t="n">
        <f aca="false">'V_DATOS PAC_SGA'!BK176</f>
        <v>0</v>
      </c>
      <c r="G181" s="1412" t="n">
        <f aca="false">'V_DATOS PAC_SGA'!AN176</f>
        <v>0</v>
      </c>
      <c r="H181" s="1413" t="str">
        <f aca="false">IF(B181&gt;0,VLOOKUP(B181,'O_MN, PE_UTA_UGM 2024'!E$3:O$419,10),"")</f>
        <v/>
      </c>
      <c r="I181" s="1359" t="str">
        <f aca="false">IF('V_DATOS PAC_SGA'!BV176="IV",'V_DATOS PAC_SGA'!BV176,"")</f>
        <v/>
      </c>
      <c r="J181" s="2" t="str">
        <f aca="false">IF($A181&gt;0,IF(AND(J$4=$G181,J$6=$F181),$D181*J$5,""),"")</f>
        <v/>
      </c>
      <c r="K181" s="2" t="str">
        <f aca="false">IF($A181&gt;0,IF(AND(K$4=$G181,K$6=$F181),$D181*K$5,""),"")</f>
        <v/>
      </c>
      <c r="L181" s="2" t="str">
        <f aca="false">IF($A181&gt;0,IF(AND(L$4=$G181,L$6=$F181),$D181*L$5,""),"")</f>
        <v/>
      </c>
      <c r="M181" s="2" t="str">
        <f aca="false">IF($A181&gt;0,IF(AND(M$4=$G181,M$6=$F181),$D181*M$5,""),"")</f>
        <v/>
      </c>
      <c r="N181" s="1506" t="n">
        <f aca="false">VLOOKUP(B181,'O_MN, PE_UTA_UGM 2024'!$E$2:$K$419,IF(G181&gt;1,6,7))</f>
        <v>0</v>
      </c>
      <c r="O181" s="1434" t="str">
        <f aca="false">IF($H181=O$4,$D181*$N181,"")</f>
        <v/>
      </c>
      <c r="P181" s="1435" t="str">
        <f aca="false">IF($H181=P$4,$D181*$N181,"")</f>
        <v/>
      </c>
      <c r="Q181" s="1435" t="str">
        <f aca="false">IF($H181=Q$4,$D181*$N181,"")</f>
        <v/>
      </c>
      <c r="R181" s="1435" t="str">
        <f aca="false">IF($H181=R$4,$D181*$N181,"")</f>
        <v/>
      </c>
      <c r="S181" s="1435" t="str">
        <f aca="false">IF($H181=S$4,$D181*$N181,"")</f>
        <v/>
      </c>
      <c r="T181" s="1435" t="str">
        <f aca="false">IF($H181=T$4,$D181*$N181,"")</f>
        <v/>
      </c>
      <c r="U181" s="1436" t="str">
        <f aca="false">IF($H181=U$4,$D181*$N181,"")</f>
        <v/>
      </c>
      <c r="V181" s="1418"/>
      <c r="W181" s="1419"/>
      <c r="X181" s="1419"/>
      <c r="Y181" s="1419"/>
      <c r="Z181" s="1419"/>
      <c r="AA181" s="1419"/>
      <c r="AB181" s="1420"/>
      <c r="AC181" s="1319"/>
      <c r="AD181" s="2" t="str">
        <f aca="false">IF(AND(AD$4=$G181,AD$6=$F181),$B181,"")</f>
        <v/>
      </c>
      <c r="AE181" s="2" t="str">
        <f aca="false">IF(AND(AE$4=$G181,AE$6=$F181),$B181,"")</f>
        <v/>
      </c>
      <c r="AF181" s="2" t="str">
        <f aca="false">IF(AND(AF$4=$G181,AF$6=$F181),$B181,"")</f>
        <v/>
      </c>
      <c r="AG181" s="2" t="str">
        <f aca="false">IF(AND(AG$4=$G181,AG$6=$F181),$B181,"")</f>
        <v/>
      </c>
      <c r="AI181" s="366"/>
      <c r="AL181" s="367"/>
      <c r="AO181" s="367"/>
      <c r="AP181" s="2" t="str">
        <f aca="false">IF(AT181&gt;0,RANK(AT181,AT$7:AT$423),"")</f>
        <v/>
      </c>
      <c r="AQ181" s="2" t="n">
        <f aca="false">'O_MN, PE_UTA_UGM 2024'!C177</f>
        <v>184</v>
      </c>
      <c r="AR181" s="1421" t="n">
        <v>1834</v>
      </c>
      <c r="AS181" s="2" t="str">
        <f aca="false">IF(AY181&lt;&gt;"",AY181,"")</f>
        <v/>
      </c>
      <c r="AT181" s="1422" t="n">
        <f aca="false">IF(ISNUMBER($AR181),SUMIF(B$7:B$505,AR181,D$7:D$505),"")</f>
        <v>0</v>
      </c>
      <c r="AU181" s="1411" t="n">
        <f aca="false">IF(ISNUMBER($AR181),SUMIF(AD$7:AD$503,$AR181,J$7:J$503),"")</f>
        <v>0</v>
      </c>
      <c r="AV181" s="1411" t="n">
        <f aca="false">IF(ISNUMBER($AR181),SUMIF(AF$7:AF$503,$AR181,L$7:L$503),"")</f>
        <v>0</v>
      </c>
      <c r="AW181" s="1423" t="n">
        <f aca="false">IF(ISNUMBER($AR181),SUMIF(AE$7:AE$503,$AR181,K$7:K$503),"")</f>
        <v>0</v>
      </c>
      <c r="AX181" s="1423" t="n">
        <f aca="false">IF(ISNUMBER($AR181),SUMIF(AG$7:AG$503,$AR181,M$7:M$503),"")</f>
        <v>0</v>
      </c>
      <c r="AY181" s="2" t="str">
        <f aca="false">IF($AT181&gt;0,VLOOKUP($AR181,'O_MN, PE_UTA_UGM 2024'!E177:O593,2),"")</f>
        <v/>
      </c>
      <c r="AZ181" s="1507"/>
      <c r="BA181" s="1507"/>
      <c r="BB181" s="1507" t="str">
        <f aca="false">IF($AT181&gt;0,VLOOKUP($AR181,'O_MN, PE_UTA_UGM 2024'!$E$3:$O$419,BB$6),"")</f>
        <v/>
      </c>
      <c r="BC181" s="1507" t="str">
        <f aca="false">IF($AT181&gt;0,VLOOKUP($AR181,'O_MN, PE_UTA_UGM 2024'!$E$3:$O$419,BC$6),"")</f>
        <v/>
      </c>
      <c r="BD181" s="1507" t="str">
        <f aca="false">IF($AT181&gt;0,VLOOKUP($AR181,'O_MN, PE_UTA_UGM 2024'!$E$3:$O$419,BD$6),"")</f>
        <v/>
      </c>
      <c r="BE181" s="1507" t="str">
        <f aca="false">IF($AT181&gt;0,VLOOKUP($AR181,'O_MN, PE_UTA_UGM 2024'!$E$3:$O$419,BE$6),"")</f>
        <v/>
      </c>
      <c r="BF181" s="1507" t="str">
        <f aca="false">IF($AT181&gt;0,VLOOKUP($AR181,'O_MN, PE_UTA_UGM 2024'!$E$3:$O$419,BF$6),"")</f>
        <v/>
      </c>
      <c r="BG181" s="1507" t="str">
        <f aca="false">IF($AT181&gt;0,VLOOKUP($AR181,'O_MN, PE_UTA_UGM 2024'!$E$3:$O$419,BG$6),"")</f>
        <v/>
      </c>
      <c r="BH181" s="1504"/>
      <c r="BI181" s="1504"/>
      <c r="BJ181" s="1504"/>
      <c r="BK181" s="1504"/>
      <c r="BM181" s="1411"/>
      <c r="BN181" s="1411"/>
      <c r="BO181" s="1425" t="str">
        <f aca="false">IF(ISNUMBER($AU181*BB181*1),$AU181*BB181*1,"")</f>
        <v/>
      </c>
      <c r="BP181" s="1425" t="str">
        <f aca="false">IF(ISNUMBER($AV181*BC181*1),$AV181*BC181*1,"")</f>
        <v/>
      </c>
      <c r="BQ181" s="1425" t="str">
        <f aca="false">IF(ISNUMBER($AU181*BD181*1),$AU181*BD181*1,"")</f>
        <v/>
      </c>
      <c r="BR181" s="1425" t="str">
        <f aca="false">IF(ISNUMBER($AV181*BE181*1),$AV181*BE181*1,"")</f>
        <v/>
      </c>
      <c r="BS181" s="1411" t="str">
        <f aca="false">IF(ISNUMBER($AU181*BF181),$AU181*BF181,"")</f>
        <v/>
      </c>
      <c r="BT181" s="1411" t="str">
        <f aca="false">IF(ISNUMBER($AV181*BG181),$AV181*BG181,"")</f>
        <v/>
      </c>
      <c r="BU181" s="1411"/>
      <c r="BV181" s="1411"/>
      <c r="BW181" s="1411"/>
      <c r="BX181" s="1411"/>
      <c r="BZ181" s="1372"/>
      <c r="CA181" s="1372"/>
      <c r="CB181" s="1426" t="str">
        <f aca="false">IF(ISNUMBER($AW181*BB181),$AW181*BB181,"")</f>
        <v/>
      </c>
      <c r="CC181" s="1426" t="str">
        <f aca="false">IF(ISNUMBER($AX181*BC181),$AX181*BC181,"")</f>
        <v/>
      </c>
      <c r="CD181" s="1426" t="str">
        <f aca="false">IF(ISNUMBER($AW181*BD181),$AW181*BD181,"")</f>
        <v/>
      </c>
      <c r="CE181" s="1426" t="str">
        <f aca="false">IF(ISNUMBER($AX181*BE181),$AX181*BE181,"")</f>
        <v/>
      </c>
      <c r="CF181" s="1372" t="str">
        <f aca="false">IF(ISNUMBER($AW181*BF181),$AW181*BF181,"")</f>
        <v/>
      </c>
      <c r="CG181" s="1372" t="str">
        <f aca="false">IF(ISNUMBER($AX181*BG181),$AX181*BG181,"")</f>
        <v/>
      </c>
      <c r="CH181" s="1438"/>
      <c r="CI181" s="1438"/>
      <c r="CJ181" s="1438"/>
      <c r="CK181" s="1438"/>
      <c r="CU181" s="1411"/>
      <c r="CV181" s="1411"/>
      <c r="CW181" s="1425"/>
      <c r="CX181" s="1425"/>
      <c r="CY181" s="1425"/>
      <c r="CZ181" s="1425"/>
      <c r="DA181" s="1411"/>
      <c r="DB181" s="1411"/>
      <c r="DC181" s="1411"/>
      <c r="DD181" s="1411"/>
      <c r="DE181" s="1411"/>
      <c r="DF181" s="1411"/>
      <c r="DH181" s="1432"/>
      <c r="DI181" s="1432"/>
      <c r="DJ181" s="1437"/>
      <c r="DK181" s="1437"/>
      <c r="DL181" s="1437"/>
      <c r="DM181" s="1437"/>
      <c r="DN181" s="1432"/>
      <c r="DO181" s="1432"/>
      <c r="DP181" s="1432"/>
      <c r="DQ181" s="1432"/>
      <c r="DR181" s="1432"/>
      <c r="DS181" s="1432"/>
      <c r="DT181" s="1316"/>
      <c r="DU181" s="1433"/>
      <c r="DV181" s="1433"/>
      <c r="DW181" s="1433"/>
      <c r="DX181" s="1433"/>
      <c r="DY181" s="1433"/>
      <c r="DZ181" s="1433"/>
      <c r="EA181" s="1433"/>
      <c r="EB181" s="1433"/>
    </row>
    <row r="182" customFormat="false" ht="14.25" hidden="false" customHeight="false" outlineLevel="0" collapsed="false">
      <c r="A182" s="2" t="n">
        <f aca="false">'V_DATOS PAC_SGA'!CC177</f>
        <v>0</v>
      </c>
      <c r="B182" s="2" t="n">
        <f aca="false">IF(OR(A182=0,A182=""),0,IF(I182="IV",CONCATENATE('V_DATOS PAC_SGA'!CC177,"4")+0,CONCATENATE('V_DATOS PAC_SGA'!CC177,"0")+0))</f>
        <v>0</v>
      </c>
      <c r="C182" s="2" t="n">
        <f aca="false">'V_DATOS PAC_SGA'!CD177</f>
        <v>0</v>
      </c>
      <c r="D182" s="1409" t="n">
        <f aca="false">'V_DATOS PAC_SGA'!Y177</f>
        <v>0</v>
      </c>
      <c r="E182" s="1410" t="str">
        <f aca="false">IF('V_DATOS PAC_SGA'!AV177="","Regadio",'V_DATOS PAC_SGA'!AV177)</f>
        <v>Regadio</v>
      </c>
      <c r="F182" s="1411" t="n">
        <f aca="false">'V_DATOS PAC_SGA'!BK177</f>
        <v>0</v>
      </c>
      <c r="G182" s="1412" t="n">
        <f aca="false">'V_DATOS PAC_SGA'!AN177</f>
        <v>0</v>
      </c>
      <c r="H182" s="1413" t="str">
        <f aca="false">IF(B182&gt;0,VLOOKUP(B182,'O_MN, PE_UTA_UGM 2024'!E$3:O$419,10),"")</f>
        <v/>
      </c>
      <c r="I182" s="1359" t="str">
        <f aca="false">IF('V_DATOS PAC_SGA'!BV177="IV",'V_DATOS PAC_SGA'!BV177,"")</f>
        <v/>
      </c>
      <c r="J182" s="2" t="str">
        <f aca="false">IF($A182&gt;0,IF(AND(J$4=$G182,J$6=$F182),$D182*J$5,""),"")</f>
        <v/>
      </c>
      <c r="K182" s="2" t="str">
        <f aca="false">IF($A182&gt;0,IF(AND(K$4=$G182,K$6=$F182),$D182*K$5,""),"")</f>
        <v/>
      </c>
      <c r="L182" s="2" t="str">
        <f aca="false">IF($A182&gt;0,IF(AND(L$4=$G182,L$6=$F182),$D182*L$5,""),"")</f>
        <v/>
      </c>
      <c r="M182" s="2" t="str">
        <f aca="false">IF($A182&gt;0,IF(AND(M$4=$G182,M$6=$F182),$D182*M$5,""),"")</f>
        <v/>
      </c>
      <c r="N182" s="1506" t="n">
        <f aca="false">VLOOKUP(B182,'O_MN, PE_UTA_UGM 2024'!$E$2:$K$419,IF(G182&gt;1,6,7))</f>
        <v>0</v>
      </c>
      <c r="O182" s="1434" t="str">
        <f aca="false">IF($H182=O$4,$D182*$N182,"")</f>
        <v/>
      </c>
      <c r="P182" s="1435" t="str">
        <f aca="false">IF($H182=P$4,$D182*$N182,"")</f>
        <v/>
      </c>
      <c r="Q182" s="1435" t="str">
        <f aca="false">IF($H182=Q$4,$D182*$N182,"")</f>
        <v/>
      </c>
      <c r="R182" s="1435" t="str">
        <f aca="false">IF($H182=R$4,$D182*$N182,"")</f>
        <v/>
      </c>
      <c r="S182" s="1435" t="str">
        <f aca="false">IF($H182=S$4,$D182*$N182,"")</f>
        <v/>
      </c>
      <c r="T182" s="1435" t="str">
        <f aca="false">IF($H182=T$4,$D182*$N182,"")</f>
        <v/>
      </c>
      <c r="U182" s="1436" t="str">
        <f aca="false">IF($H182=U$4,$D182*$N182,"")</f>
        <v/>
      </c>
      <c r="V182" s="1418"/>
      <c r="W182" s="1419"/>
      <c r="X182" s="1419"/>
      <c r="Y182" s="1419"/>
      <c r="Z182" s="1419"/>
      <c r="AA182" s="1419"/>
      <c r="AB182" s="1420"/>
      <c r="AC182" s="1319"/>
      <c r="AD182" s="2" t="str">
        <f aca="false">IF(AND(AD$4=$G182,AD$6=$F182),$B182,"")</f>
        <v/>
      </c>
      <c r="AE182" s="2" t="str">
        <f aca="false">IF(AND(AE$4=$G182,AE$6=$F182),$B182,"")</f>
        <v/>
      </c>
      <c r="AF182" s="2" t="str">
        <f aca="false">IF(AND(AF$4=$G182,AF$6=$F182),$B182,"")</f>
        <v/>
      </c>
      <c r="AG182" s="2" t="str">
        <f aca="false">IF(AND(AG$4=$G182,AG$6=$F182),$B182,"")</f>
        <v/>
      </c>
      <c r="AI182" s="366"/>
      <c r="AL182" s="367"/>
      <c r="AO182" s="367"/>
      <c r="AP182" s="2" t="str">
        <f aca="false">IF(AT182&gt;0,RANK(AT182,AT$7:AT$423),"")</f>
        <v/>
      </c>
      <c r="AQ182" s="2" t="n">
        <f aca="false">'O_MN, PE_UTA_UGM 2024'!C178</f>
        <v>185</v>
      </c>
      <c r="AR182" s="1421" t="n">
        <v>1839</v>
      </c>
      <c r="AS182" s="2" t="str">
        <f aca="false">IF(AY182&lt;&gt;"",AY182,"")</f>
        <v/>
      </c>
      <c r="AT182" s="1422" t="n">
        <f aca="false">IF(ISNUMBER($AR182),SUMIF(B$7:B$505,AR182,D$7:D$505),"")</f>
        <v>0</v>
      </c>
      <c r="AU182" s="1411" t="n">
        <f aca="false">IF(ISNUMBER($AR182),SUMIF(AD$7:AD$503,$AR182,J$7:J$503),"")</f>
        <v>0</v>
      </c>
      <c r="AV182" s="1411" t="n">
        <f aca="false">IF(ISNUMBER($AR182),SUMIF(AF$7:AF$503,$AR182,L$7:L$503),"")</f>
        <v>0</v>
      </c>
      <c r="AW182" s="1423" t="n">
        <f aca="false">IF(ISNUMBER($AR182),SUMIF(AE$7:AE$503,$AR182,K$7:K$503),"")</f>
        <v>0</v>
      </c>
      <c r="AX182" s="1423" t="n">
        <f aca="false">IF(ISNUMBER($AR182),SUMIF(AG$7:AG$503,$AR182,M$7:M$503),"")</f>
        <v>0</v>
      </c>
      <c r="AY182" s="2" t="str">
        <f aca="false">IF($AT182&gt;0,VLOOKUP($AR182,'O_MN, PE_UTA_UGM 2024'!E178:O594,2),"")</f>
        <v/>
      </c>
      <c r="AZ182" s="1507"/>
      <c r="BA182" s="1507"/>
      <c r="BB182" s="1507" t="str">
        <f aca="false">IF($AT182&gt;0,VLOOKUP($AR182,'O_MN, PE_UTA_UGM 2024'!$E$3:$O$419,BB$6),"")</f>
        <v/>
      </c>
      <c r="BC182" s="1507" t="str">
        <f aca="false">IF($AT182&gt;0,VLOOKUP($AR182,'O_MN, PE_UTA_UGM 2024'!$E$3:$O$419,BC$6),"")</f>
        <v/>
      </c>
      <c r="BD182" s="1507" t="str">
        <f aca="false">IF($AT182&gt;0,VLOOKUP($AR182,'O_MN, PE_UTA_UGM 2024'!$E$3:$O$419,BD$6),"")</f>
        <v/>
      </c>
      <c r="BE182" s="1507" t="str">
        <f aca="false">IF($AT182&gt;0,VLOOKUP($AR182,'O_MN, PE_UTA_UGM 2024'!$E$3:$O$419,BE$6),"")</f>
        <v/>
      </c>
      <c r="BF182" s="1507" t="str">
        <f aca="false">IF($AT182&gt;0,VLOOKUP($AR182,'O_MN, PE_UTA_UGM 2024'!$E$3:$O$419,BF$6),"")</f>
        <v/>
      </c>
      <c r="BG182" s="1507" t="str">
        <f aca="false">IF($AT182&gt;0,VLOOKUP($AR182,'O_MN, PE_UTA_UGM 2024'!$E$3:$O$419,BG$6),"")</f>
        <v/>
      </c>
      <c r="BH182" s="1504"/>
      <c r="BI182" s="1504"/>
      <c r="BJ182" s="1504"/>
      <c r="BK182" s="1504"/>
      <c r="BM182" s="1411"/>
      <c r="BN182" s="1411"/>
      <c r="BO182" s="1425" t="str">
        <f aca="false">IF(ISNUMBER($AU182*BB182*1),$AU182*BB182*1,"")</f>
        <v/>
      </c>
      <c r="BP182" s="1425" t="str">
        <f aca="false">IF(ISNUMBER($AV182*BC182*1),$AV182*BC182*1,"")</f>
        <v/>
      </c>
      <c r="BQ182" s="1425" t="str">
        <f aca="false">IF(ISNUMBER($AU182*BD182*1),$AU182*BD182*1,"")</f>
        <v/>
      </c>
      <c r="BR182" s="1425" t="str">
        <f aca="false">IF(ISNUMBER($AV182*BE182*1),$AV182*BE182*1,"")</f>
        <v/>
      </c>
      <c r="BS182" s="1411" t="str">
        <f aca="false">IF(ISNUMBER($AU182*BF182),$AU182*BF182,"")</f>
        <v/>
      </c>
      <c r="BT182" s="1411" t="str">
        <f aca="false">IF(ISNUMBER($AV182*BG182),$AV182*BG182,"")</f>
        <v/>
      </c>
      <c r="BU182" s="1411"/>
      <c r="BV182" s="1411"/>
      <c r="BW182" s="1411"/>
      <c r="BX182" s="1411"/>
      <c r="BZ182" s="1372"/>
      <c r="CA182" s="1372"/>
      <c r="CB182" s="1426" t="str">
        <f aca="false">IF(ISNUMBER($AW182*BB182),$AW182*BB182,"")</f>
        <v/>
      </c>
      <c r="CC182" s="1426" t="str">
        <f aca="false">IF(ISNUMBER($AX182*BC182),$AX182*BC182,"")</f>
        <v/>
      </c>
      <c r="CD182" s="1426" t="str">
        <f aca="false">IF(ISNUMBER($AW182*BD182),$AW182*BD182,"")</f>
        <v/>
      </c>
      <c r="CE182" s="1426" t="str">
        <f aca="false">IF(ISNUMBER($AX182*BE182),$AX182*BE182,"")</f>
        <v/>
      </c>
      <c r="CF182" s="1372" t="str">
        <f aca="false">IF(ISNUMBER($AW182*BF182),$AW182*BF182,"")</f>
        <v/>
      </c>
      <c r="CG182" s="1372" t="str">
        <f aca="false">IF(ISNUMBER($AX182*BG182),$AX182*BG182,"")</f>
        <v/>
      </c>
      <c r="CH182" s="1438"/>
      <c r="CI182" s="1438"/>
      <c r="CJ182" s="1438"/>
      <c r="CK182" s="1438"/>
      <c r="CU182" s="1411"/>
      <c r="CV182" s="1411"/>
      <c r="CW182" s="1425"/>
      <c r="CX182" s="1425"/>
      <c r="CY182" s="1425"/>
      <c r="CZ182" s="1425"/>
      <c r="DA182" s="1411"/>
      <c r="DB182" s="1411"/>
      <c r="DC182" s="1411"/>
      <c r="DD182" s="1411"/>
      <c r="DE182" s="1411"/>
      <c r="DF182" s="1411"/>
      <c r="DH182" s="1432"/>
      <c r="DI182" s="1432"/>
      <c r="DJ182" s="1437"/>
      <c r="DK182" s="1437"/>
      <c r="DL182" s="1437"/>
      <c r="DM182" s="1437"/>
      <c r="DN182" s="1432"/>
      <c r="DO182" s="1432"/>
      <c r="DP182" s="1432"/>
      <c r="DQ182" s="1432"/>
      <c r="DR182" s="1432"/>
      <c r="DS182" s="1432"/>
      <c r="DT182" s="1316"/>
      <c r="DU182" s="1433"/>
      <c r="DV182" s="1433"/>
      <c r="DW182" s="1433"/>
      <c r="DX182" s="1433"/>
      <c r="DY182" s="1433"/>
      <c r="DZ182" s="1433"/>
      <c r="EA182" s="1433"/>
      <c r="EB182" s="1433"/>
    </row>
    <row r="183" customFormat="false" ht="14.25" hidden="false" customHeight="false" outlineLevel="0" collapsed="false">
      <c r="A183" s="2" t="n">
        <f aca="false">'V_DATOS PAC_SGA'!CC178</f>
        <v>0</v>
      </c>
      <c r="B183" s="2" t="n">
        <f aca="false">IF(OR(A183=0,A183=""),0,IF(I183="IV",CONCATENATE('V_DATOS PAC_SGA'!CC178,"4")+0,CONCATENATE('V_DATOS PAC_SGA'!CC178,"0")+0))</f>
        <v>0</v>
      </c>
      <c r="C183" s="2" t="n">
        <f aca="false">'V_DATOS PAC_SGA'!CD178</f>
        <v>0</v>
      </c>
      <c r="D183" s="1409" t="n">
        <f aca="false">'V_DATOS PAC_SGA'!Y178</f>
        <v>0</v>
      </c>
      <c r="E183" s="1410" t="str">
        <f aca="false">IF('V_DATOS PAC_SGA'!AV178="","Regadio",'V_DATOS PAC_SGA'!AV178)</f>
        <v>Regadio</v>
      </c>
      <c r="F183" s="1411" t="n">
        <f aca="false">'V_DATOS PAC_SGA'!BK178</f>
        <v>0</v>
      </c>
      <c r="G183" s="1412" t="n">
        <f aca="false">'V_DATOS PAC_SGA'!AN178</f>
        <v>0</v>
      </c>
      <c r="H183" s="1413" t="str">
        <f aca="false">IF(B183&gt;0,VLOOKUP(B183,'O_MN, PE_UTA_UGM 2024'!E$3:O$419,10),"")</f>
        <v/>
      </c>
      <c r="I183" s="1359" t="str">
        <f aca="false">IF('V_DATOS PAC_SGA'!BV178="IV",'V_DATOS PAC_SGA'!BV178,"")</f>
        <v/>
      </c>
      <c r="J183" s="2" t="str">
        <f aca="false">IF($A183&gt;0,IF(AND(J$4=$G183,J$6=$F183),$D183*J$5,""),"")</f>
        <v/>
      </c>
      <c r="K183" s="2" t="str">
        <f aca="false">IF($A183&gt;0,IF(AND(K$4=$G183,K$6=$F183),$D183*K$5,""),"")</f>
        <v/>
      </c>
      <c r="L183" s="2" t="str">
        <f aca="false">IF($A183&gt;0,IF(AND(L$4=$G183,L$6=$F183),$D183*L$5,""),"")</f>
        <v/>
      </c>
      <c r="M183" s="2" t="str">
        <f aca="false">IF($A183&gt;0,IF(AND(M$4=$G183,M$6=$F183),$D183*M$5,""),"")</f>
        <v/>
      </c>
      <c r="N183" s="1506" t="n">
        <f aca="false">VLOOKUP(B183,'O_MN, PE_UTA_UGM 2024'!$E$2:$K$419,IF(G183&gt;1,6,7))</f>
        <v>0</v>
      </c>
      <c r="O183" s="1434" t="str">
        <f aca="false">IF($H183=O$4,$D183*$N183,"")</f>
        <v/>
      </c>
      <c r="P183" s="1435" t="str">
        <f aca="false">IF($H183=P$4,$D183*$N183,"")</f>
        <v/>
      </c>
      <c r="Q183" s="1435" t="str">
        <f aca="false">IF($H183=Q$4,$D183*$N183,"")</f>
        <v/>
      </c>
      <c r="R183" s="1435" t="str">
        <f aca="false">IF($H183=R$4,$D183*$N183,"")</f>
        <v/>
      </c>
      <c r="S183" s="1435" t="str">
        <f aca="false">IF($H183=S$4,$D183*$N183,"")</f>
        <v/>
      </c>
      <c r="T183" s="1435" t="str">
        <f aca="false">IF($H183=T$4,$D183*$N183,"")</f>
        <v/>
      </c>
      <c r="U183" s="1436" t="str">
        <f aca="false">IF($H183=U$4,$D183*$N183,"")</f>
        <v/>
      </c>
      <c r="V183" s="1418"/>
      <c r="W183" s="1419"/>
      <c r="X183" s="1419"/>
      <c r="Y183" s="1419"/>
      <c r="Z183" s="1419"/>
      <c r="AA183" s="1419"/>
      <c r="AB183" s="1420"/>
      <c r="AC183" s="1319"/>
      <c r="AD183" s="2" t="str">
        <f aca="false">IF(AND(AD$4=$G183,AD$6=$F183),$B183,"")</f>
        <v/>
      </c>
      <c r="AE183" s="2" t="str">
        <f aca="false">IF(AND(AE$4=$G183,AE$6=$F183),$B183,"")</f>
        <v/>
      </c>
      <c r="AF183" s="2" t="str">
        <f aca="false">IF(AND(AF$4=$G183,AF$6=$F183),$B183,"")</f>
        <v/>
      </c>
      <c r="AG183" s="2" t="str">
        <f aca="false">IF(AND(AG$4=$G183,AG$6=$F183),$B183,"")</f>
        <v/>
      </c>
      <c r="AI183" s="366"/>
      <c r="AL183" s="367"/>
      <c r="AO183" s="367"/>
      <c r="AP183" s="2" t="str">
        <f aca="false">IF(AT183&gt;0,RANK(AT183,AT$7:AT$423),"")</f>
        <v/>
      </c>
      <c r="AQ183" s="2" t="n">
        <f aca="false">'O_MN, PE_UTA_UGM 2024'!C179</f>
        <v>185</v>
      </c>
      <c r="AR183" s="1421" t="n">
        <v>1840</v>
      </c>
      <c r="AS183" s="2" t="str">
        <f aca="false">IF(AY183&lt;&gt;"",AY183,"")</f>
        <v/>
      </c>
      <c r="AT183" s="1422" t="n">
        <f aca="false">IF(ISNUMBER($AR183),SUMIF(B$7:B$505,AR183,D$7:D$505),"")</f>
        <v>0</v>
      </c>
      <c r="AU183" s="1411" t="n">
        <f aca="false">IF(ISNUMBER($AR183),SUMIF(AD$7:AD$503,$AR183,J$7:J$503),"")</f>
        <v>0</v>
      </c>
      <c r="AV183" s="1411" t="n">
        <f aca="false">IF(ISNUMBER($AR183),SUMIF(AF$7:AF$503,$AR183,L$7:L$503),"")</f>
        <v>0</v>
      </c>
      <c r="AW183" s="1423" t="n">
        <f aca="false">IF(ISNUMBER($AR183),SUMIF(AE$7:AE$503,$AR183,K$7:K$503),"")</f>
        <v>0</v>
      </c>
      <c r="AX183" s="1423" t="n">
        <f aca="false">IF(ISNUMBER($AR183),SUMIF(AG$7:AG$503,$AR183,M$7:M$503),"")</f>
        <v>0</v>
      </c>
      <c r="AY183" s="2" t="str">
        <f aca="false">IF($AT183&gt;0,VLOOKUP($AR183,'O_MN, PE_UTA_UGM 2024'!E179:O595,2),"")</f>
        <v/>
      </c>
      <c r="AZ183" s="1507"/>
      <c r="BA183" s="1507"/>
      <c r="BB183" s="1507" t="str">
        <f aca="false">IF($AT183&gt;0,VLOOKUP($AR183,'O_MN, PE_UTA_UGM 2024'!$E$3:$O$419,BB$6),"")</f>
        <v/>
      </c>
      <c r="BC183" s="1507" t="str">
        <f aca="false">IF($AT183&gt;0,VLOOKUP($AR183,'O_MN, PE_UTA_UGM 2024'!$E$3:$O$419,BC$6),"")</f>
        <v/>
      </c>
      <c r="BD183" s="1507" t="str">
        <f aca="false">IF($AT183&gt;0,VLOOKUP($AR183,'O_MN, PE_UTA_UGM 2024'!$E$3:$O$419,BD$6),"")</f>
        <v/>
      </c>
      <c r="BE183" s="1507" t="str">
        <f aca="false">IF($AT183&gt;0,VLOOKUP($AR183,'O_MN, PE_UTA_UGM 2024'!$E$3:$O$419,BE$6),"")</f>
        <v/>
      </c>
      <c r="BF183" s="1507" t="str">
        <f aca="false">IF($AT183&gt;0,VLOOKUP($AR183,'O_MN, PE_UTA_UGM 2024'!$E$3:$O$419,BF$6),"")</f>
        <v/>
      </c>
      <c r="BG183" s="1507" t="str">
        <f aca="false">IF($AT183&gt;0,VLOOKUP($AR183,'O_MN, PE_UTA_UGM 2024'!$E$3:$O$419,BG$6),"")</f>
        <v/>
      </c>
      <c r="BH183" s="1504"/>
      <c r="BI183" s="1504"/>
      <c r="BJ183" s="1504"/>
      <c r="BK183" s="1504"/>
      <c r="BM183" s="1411"/>
      <c r="BN183" s="1411"/>
      <c r="BO183" s="1425" t="str">
        <f aca="false">IF(ISNUMBER($AU183*BB183*1),$AU183*BB183*1,"")</f>
        <v/>
      </c>
      <c r="BP183" s="1425" t="str">
        <f aca="false">IF(ISNUMBER($AV183*BC183*1),$AV183*BC183*1,"")</f>
        <v/>
      </c>
      <c r="BQ183" s="1425" t="str">
        <f aca="false">IF(ISNUMBER($AU183*BD183*1),$AU183*BD183*1,"")</f>
        <v/>
      </c>
      <c r="BR183" s="1425" t="str">
        <f aca="false">IF(ISNUMBER($AV183*BE183*1),$AV183*BE183*1,"")</f>
        <v/>
      </c>
      <c r="BS183" s="1411" t="str">
        <f aca="false">IF(ISNUMBER($AU183*BF183),$AU183*BF183,"")</f>
        <v/>
      </c>
      <c r="BT183" s="1411" t="str">
        <f aca="false">IF(ISNUMBER($AV183*BG183),$AV183*BG183,"")</f>
        <v/>
      </c>
      <c r="BU183" s="1411"/>
      <c r="BV183" s="1411"/>
      <c r="BW183" s="1411"/>
      <c r="BX183" s="1411"/>
      <c r="BZ183" s="1372"/>
      <c r="CA183" s="1372"/>
      <c r="CB183" s="1426" t="str">
        <f aca="false">IF(ISNUMBER($AW183*BB183),$AW183*BB183,"")</f>
        <v/>
      </c>
      <c r="CC183" s="1426" t="str">
        <f aca="false">IF(ISNUMBER($AX183*BC183),$AX183*BC183,"")</f>
        <v/>
      </c>
      <c r="CD183" s="1426" t="str">
        <f aca="false">IF(ISNUMBER($AW183*BD183),$AW183*BD183,"")</f>
        <v/>
      </c>
      <c r="CE183" s="1426" t="str">
        <f aca="false">IF(ISNUMBER($AX183*BE183),$AX183*BE183,"")</f>
        <v/>
      </c>
      <c r="CF183" s="1372" t="str">
        <f aca="false">IF(ISNUMBER($AW183*BF183),$AW183*BF183,"")</f>
        <v/>
      </c>
      <c r="CG183" s="1372" t="str">
        <f aca="false">IF(ISNUMBER($AX183*BG183),$AX183*BG183,"")</f>
        <v/>
      </c>
      <c r="CH183" s="1438"/>
      <c r="CI183" s="1438"/>
      <c r="CJ183" s="1438"/>
      <c r="CK183" s="1438"/>
      <c r="CU183" s="1411"/>
      <c r="CV183" s="1411"/>
      <c r="CW183" s="1425"/>
      <c r="CX183" s="1425"/>
      <c r="CY183" s="1425"/>
      <c r="CZ183" s="1425"/>
      <c r="DA183" s="1411"/>
      <c r="DB183" s="1411"/>
      <c r="DC183" s="1411"/>
      <c r="DD183" s="1411"/>
      <c r="DE183" s="1411"/>
      <c r="DF183" s="1411"/>
      <c r="DH183" s="1432"/>
      <c r="DI183" s="1432"/>
      <c r="DJ183" s="1437"/>
      <c r="DK183" s="1437"/>
      <c r="DL183" s="1437"/>
      <c r="DM183" s="1437"/>
      <c r="DN183" s="1432"/>
      <c r="DO183" s="1432"/>
      <c r="DP183" s="1432"/>
      <c r="DQ183" s="1432"/>
      <c r="DR183" s="1432"/>
      <c r="DS183" s="1432"/>
      <c r="DT183" s="1316"/>
      <c r="DU183" s="1433"/>
      <c r="DV183" s="1433"/>
      <c r="DW183" s="1433"/>
      <c r="DX183" s="1433"/>
      <c r="DY183" s="1433"/>
      <c r="DZ183" s="1433"/>
      <c r="EA183" s="1433"/>
      <c r="EB183" s="1433"/>
    </row>
    <row r="184" customFormat="false" ht="14.25" hidden="false" customHeight="false" outlineLevel="0" collapsed="false">
      <c r="A184" s="2" t="n">
        <f aca="false">'V_DATOS PAC_SGA'!CC179</f>
        <v>0</v>
      </c>
      <c r="B184" s="2" t="n">
        <f aca="false">IF(OR(A184=0,A184=""),0,IF(I184="IV",CONCATENATE('V_DATOS PAC_SGA'!CC179,"4")+0,CONCATENATE('V_DATOS PAC_SGA'!CC179,"0")+0))</f>
        <v>0</v>
      </c>
      <c r="C184" s="2" t="n">
        <f aca="false">'V_DATOS PAC_SGA'!CD179</f>
        <v>0</v>
      </c>
      <c r="D184" s="1409" t="n">
        <f aca="false">'V_DATOS PAC_SGA'!Y179</f>
        <v>0</v>
      </c>
      <c r="E184" s="1410" t="str">
        <f aca="false">IF('V_DATOS PAC_SGA'!AV179="","Regadio",'V_DATOS PAC_SGA'!AV179)</f>
        <v>Regadio</v>
      </c>
      <c r="F184" s="1411" t="n">
        <f aca="false">'V_DATOS PAC_SGA'!BK179</f>
        <v>0</v>
      </c>
      <c r="G184" s="1412" t="n">
        <f aca="false">'V_DATOS PAC_SGA'!AN179</f>
        <v>0</v>
      </c>
      <c r="H184" s="1413" t="str">
        <f aca="false">IF(B184&gt;0,VLOOKUP(B184,'O_MN, PE_UTA_UGM 2024'!E$3:O$419,10),"")</f>
        <v/>
      </c>
      <c r="I184" s="1359" t="str">
        <f aca="false">IF('V_DATOS PAC_SGA'!BV179="IV",'V_DATOS PAC_SGA'!BV179,"")</f>
        <v/>
      </c>
      <c r="J184" s="2" t="str">
        <f aca="false">IF($A184&gt;0,IF(AND(J$4=$G184,J$6=$F184),$D184*J$5,""),"")</f>
        <v/>
      </c>
      <c r="K184" s="2" t="str">
        <f aca="false">IF($A184&gt;0,IF(AND(K$4=$G184,K$6=$F184),$D184*K$5,""),"")</f>
        <v/>
      </c>
      <c r="L184" s="2" t="str">
        <f aca="false">IF($A184&gt;0,IF(AND(L$4=$G184,L$6=$F184),$D184*L$5,""),"")</f>
        <v/>
      </c>
      <c r="M184" s="2" t="str">
        <f aca="false">IF($A184&gt;0,IF(AND(M$4=$G184,M$6=$F184),$D184*M$5,""),"")</f>
        <v/>
      </c>
      <c r="N184" s="1506" t="n">
        <f aca="false">VLOOKUP(B184,'O_MN, PE_UTA_UGM 2024'!$E$2:$K$419,IF(G184&gt;1,6,7))</f>
        <v>0</v>
      </c>
      <c r="O184" s="1434" t="str">
        <f aca="false">IF($H184=O$4,$D184*$N184,"")</f>
        <v/>
      </c>
      <c r="P184" s="1435" t="str">
        <f aca="false">IF($H184=P$4,$D184*$N184,"")</f>
        <v/>
      </c>
      <c r="Q184" s="1435" t="str">
        <f aca="false">IF($H184=Q$4,$D184*$N184,"")</f>
        <v/>
      </c>
      <c r="R184" s="1435" t="str">
        <f aca="false">IF($H184=R$4,$D184*$N184,"")</f>
        <v/>
      </c>
      <c r="S184" s="1435" t="str">
        <f aca="false">IF($H184=S$4,$D184*$N184,"")</f>
        <v/>
      </c>
      <c r="T184" s="1435" t="str">
        <f aca="false">IF($H184=T$4,$D184*$N184,"")</f>
        <v/>
      </c>
      <c r="U184" s="1436" t="str">
        <f aca="false">IF($H184=U$4,$D184*$N184,"")</f>
        <v/>
      </c>
      <c r="V184" s="1418"/>
      <c r="W184" s="1419"/>
      <c r="X184" s="1419"/>
      <c r="Y184" s="1419"/>
      <c r="Z184" s="1419"/>
      <c r="AA184" s="1419"/>
      <c r="AB184" s="1420"/>
      <c r="AC184" s="1319"/>
      <c r="AD184" s="2" t="str">
        <f aca="false">IF(AND(AD$4=$G184,AD$6=$F184),$B184,"")</f>
        <v/>
      </c>
      <c r="AE184" s="2" t="str">
        <f aca="false">IF(AND(AE$4=$G184,AE$6=$F184),$B184,"")</f>
        <v/>
      </c>
      <c r="AF184" s="2" t="str">
        <f aca="false">IF(AND(AF$4=$G184,AF$6=$F184),$B184,"")</f>
        <v/>
      </c>
      <c r="AG184" s="2" t="str">
        <f aca="false">IF(AND(AG$4=$G184,AG$6=$F184),$B184,"")</f>
        <v/>
      </c>
      <c r="AI184" s="366"/>
      <c r="AL184" s="367"/>
      <c r="AO184" s="367"/>
      <c r="AP184" s="2" t="str">
        <f aca="false">IF(AT184&gt;0,RANK(AT184,AT$7:AT$423),"")</f>
        <v/>
      </c>
      <c r="AQ184" s="2" t="n">
        <f aca="false">'O_MN, PE_UTA_UGM 2024'!C180</f>
        <v>185</v>
      </c>
      <c r="AR184" s="1421" t="n">
        <v>1844</v>
      </c>
      <c r="AS184" s="2" t="str">
        <f aca="false">IF(AY184&lt;&gt;"",AY184,"")</f>
        <v/>
      </c>
      <c r="AT184" s="1422" t="n">
        <f aca="false">IF(ISNUMBER($AR184),SUMIF(B$7:B$505,AR184,D$7:D$505),"")</f>
        <v>0</v>
      </c>
      <c r="AU184" s="1411" t="n">
        <f aca="false">IF(ISNUMBER($AR184),SUMIF(AD$7:AD$503,$AR184,J$7:J$503),"")</f>
        <v>0</v>
      </c>
      <c r="AV184" s="1411" t="n">
        <f aca="false">IF(ISNUMBER($AR184),SUMIF(AF$7:AF$503,$AR184,L$7:L$503),"")</f>
        <v>0</v>
      </c>
      <c r="AW184" s="1423" t="n">
        <f aca="false">IF(ISNUMBER($AR184),SUMIF(AE$7:AE$503,$AR184,K$7:K$503),"")</f>
        <v>0</v>
      </c>
      <c r="AX184" s="1423" t="n">
        <f aca="false">IF(ISNUMBER($AR184),SUMIF(AG$7:AG$503,$AR184,M$7:M$503),"")</f>
        <v>0</v>
      </c>
      <c r="AY184" s="2" t="str">
        <f aca="false">IF($AT184&gt;0,VLOOKUP($AR184,'O_MN, PE_UTA_UGM 2024'!E180:O596,2),"")</f>
        <v/>
      </c>
      <c r="AZ184" s="1507"/>
      <c r="BA184" s="1507"/>
      <c r="BB184" s="1507" t="str">
        <f aca="false">IF($AT184&gt;0,VLOOKUP($AR184,'O_MN, PE_UTA_UGM 2024'!$E$3:$O$419,BB$6),"")</f>
        <v/>
      </c>
      <c r="BC184" s="1507" t="str">
        <f aca="false">IF($AT184&gt;0,VLOOKUP($AR184,'O_MN, PE_UTA_UGM 2024'!$E$3:$O$419,BC$6),"")</f>
        <v/>
      </c>
      <c r="BD184" s="1507" t="str">
        <f aca="false">IF($AT184&gt;0,VLOOKUP($AR184,'O_MN, PE_UTA_UGM 2024'!$E$3:$O$419,BD$6),"")</f>
        <v/>
      </c>
      <c r="BE184" s="1507" t="str">
        <f aca="false">IF($AT184&gt;0,VLOOKUP($AR184,'O_MN, PE_UTA_UGM 2024'!$E$3:$O$419,BE$6),"")</f>
        <v/>
      </c>
      <c r="BF184" s="1507" t="str">
        <f aca="false">IF($AT184&gt;0,VLOOKUP($AR184,'O_MN, PE_UTA_UGM 2024'!$E$3:$O$419,BF$6),"")</f>
        <v/>
      </c>
      <c r="BG184" s="1507" t="str">
        <f aca="false">IF($AT184&gt;0,VLOOKUP($AR184,'O_MN, PE_UTA_UGM 2024'!$E$3:$O$419,BG$6),"")</f>
        <v/>
      </c>
      <c r="BH184" s="1504"/>
      <c r="BI184" s="1504"/>
      <c r="BJ184" s="1504"/>
      <c r="BK184" s="1504"/>
      <c r="BM184" s="1411"/>
      <c r="BN184" s="1411"/>
      <c r="BO184" s="1425" t="str">
        <f aca="false">IF(ISNUMBER($AU184*BB184*1),$AU184*BB184*1,"")</f>
        <v/>
      </c>
      <c r="BP184" s="1425" t="str">
        <f aca="false">IF(ISNUMBER($AV184*BC184*1),$AV184*BC184*1,"")</f>
        <v/>
      </c>
      <c r="BQ184" s="1425" t="str">
        <f aca="false">IF(ISNUMBER($AU184*BD184*1),$AU184*BD184*1,"")</f>
        <v/>
      </c>
      <c r="BR184" s="1425" t="str">
        <f aca="false">IF(ISNUMBER($AV184*BE184*1),$AV184*BE184*1,"")</f>
        <v/>
      </c>
      <c r="BS184" s="1411" t="str">
        <f aca="false">IF(ISNUMBER($AU184*BF184),$AU184*BF184,"")</f>
        <v/>
      </c>
      <c r="BT184" s="1411" t="str">
        <f aca="false">IF(ISNUMBER($AV184*BG184),$AV184*BG184,"")</f>
        <v/>
      </c>
      <c r="BU184" s="1411"/>
      <c r="BV184" s="1411"/>
      <c r="BW184" s="1411"/>
      <c r="BX184" s="1411"/>
      <c r="BZ184" s="1372"/>
      <c r="CA184" s="1372"/>
      <c r="CB184" s="1426" t="str">
        <f aca="false">IF(ISNUMBER($AW184*BB184),$AW184*BB184,"")</f>
        <v/>
      </c>
      <c r="CC184" s="1426" t="str">
        <f aca="false">IF(ISNUMBER($AX184*BC184),$AX184*BC184,"")</f>
        <v/>
      </c>
      <c r="CD184" s="1426" t="str">
        <f aca="false">IF(ISNUMBER($AW184*BD184),$AW184*BD184,"")</f>
        <v/>
      </c>
      <c r="CE184" s="1426" t="str">
        <f aca="false">IF(ISNUMBER($AX184*BE184),$AX184*BE184,"")</f>
        <v/>
      </c>
      <c r="CF184" s="1372" t="str">
        <f aca="false">IF(ISNUMBER($AW184*BF184),$AW184*BF184,"")</f>
        <v/>
      </c>
      <c r="CG184" s="1372" t="str">
        <f aca="false">IF(ISNUMBER($AX184*BG184),$AX184*BG184,"")</f>
        <v/>
      </c>
      <c r="CH184" s="1438"/>
      <c r="CI184" s="1438"/>
      <c r="CJ184" s="1438"/>
      <c r="CK184" s="1438"/>
      <c r="CU184" s="1411"/>
      <c r="CV184" s="1411"/>
      <c r="CW184" s="1425"/>
      <c r="CX184" s="1425"/>
      <c r="CY184" s="1425"/>
      <c r="CZ184" s="1425"/>
      <c r="DA184" s="1411"/>
      <c r="DB184" s="1411"/>
      <c r="DC184" s="1411"/>
      <c r="DD184" s="1411"/>
      <c r="DE184" s="1411"/>
      <c r="DF184" s="1411"/>
      <c r="DH184" s="1432"/>
      <c r="DI184" s="1432"/>
      <c r="DJ184" s="1437"/>
      <c r="DK184" s="1437"/>
      <c r="DL184" s="1437"/>
      <c r="DM184" s="1437"/>
      <c r="DN184" s="1432"/>
      <c r="DO184" s="1432"/>
      <c r="DP184" s="1432"/>
      <c r="DQ184" s="1432"/>
      <c r="DR184" s="1432"/>
      <c r="DS184" s="1432"/>
      <c r="DT184" s="1316"/>
      <c r="DU184" s="1433"/>
      <c r="DV184" s="1433"/>
      <c r="DW184" s="1433"/>
      <c r="DX184" s="1433"/>
      <c r="DY184" s="1433"/>
      <c r="DZ184" s="1433"/>
      <c r="EA184" s="1433"/>
      <c r="EB184" s="1433"/>
    </row>
    <row r="185" customFormat="false" ht="14.25" hidden="false" customHeight="false" outlineLevel="0" collapsed="false">
      <c r="A185" s="2" t="n">
        <f aca="false">'V_DATOS PAC_SGA'!CC180</f>
        <v>0</v>
      </c>
      <c r="B185" s="2" t="n">
        <f aca="false">IF(OR(A185=0,A185=""),0,IF(I185="IV",CONCATENATE('V_DATOS PAC_SGA'!CC180,"4")+0,CONCATENATE('V_DATOS PAC_SGA'!CC180,"0")+0))</f>
        <v>0</v>
      </c>
      <c r="C185" s="2" t="n">
        <f aca="false">'V_DATOS PAC_SGA'!CD180</f>
        <v>0</v>
      </c>
      <c r="D185" s="1409" t="n">
        <f aca="false">'V_DATOS PAC_SGA'!Y180</f>
        <v>0</v>
      </c>
      <c r="E185" s="1410" t="str">
        <f aca="false">IF('V_DATOS PAC_SGA'!AV180="","Regadio",'V_DATOS PAC_SGA'!AV180)</f>
        <v>Regadio</v>
      </c>
      <c r="F185" s="1411" t="n">
        <f aca="false">'V_DATOS PAC_SGA'!BK180</f>
        <v>0</v>
      </c>
      <c r="G185" s="1412" t="n">
        <f aca="false">'V_DATOS PAC_SGA'!AN180</f>
        <v>0</v>
      </c>
      <c r="H185" s="1413" t="str">
        <f aca="false">IF(B185&gt;0,VLOOKUP(B185,'O_MN, PE_UTA_UGM 2024'!E$3:O$419,10),"")</f>
        <v/>
      </c>
      <c r="I185" s="1359" t="str">
        <f aca="false">IF('V_DATOS PAC_SGA'!BV180="IV",'V_DATOS PAC_SGA'!BV180,"")</f>
        <v/>
      </c>
      <c r="J185" s="2" t="str">
        <f aca="false">IF($A185&gt;0,IF(AND(J$4=$G185,J$6=$F185),$D185*J$5,""),"")</f>
        <v/>
      </c>
      <c r="K185" s="2" t="str">
        <f aca="false">IF($A185&gt;0,IF(AND(K$4=$G185,K$6=$F185),$D185*K$5,""),"")</f>
        <v/>
      </c>
      <c r="L185" s="2" t="str">
        <f aca="false">IF($A185&gt;0,IF(AND(L$4=$G185,L$6=$F185),$D185*L$5,""),"")</f>
        <v/>
      </c>
      <c r="M185" s="2" t="str">
        <f aca="false">IF($A185&gt;0,IF(AND(M$4=$G185,M$6=$F185),$D185*M$5,""),"")</f>
        <v/>
      </c>
      <c r="N185" s="1506" t="n">
        <f aca="false">VLOOKUP(B185,'O_MN, PE_UTA_UGM 2024'!$E$2:$K$419,IF(G185&gt;1,6,7))</f>
        <v>0</v>
      </c>
      <c r="O185" s="1434" t="str">
        <f aca="false">IF($H185=O$4,$D185*$N185,"")</f>
        <v/>
      </c>
      <c r="P185" s="1435" t="str">
        <f aca="false">IF($H185=P$4,$D185*$N185,"")</f>
        <v/>
      </c>
      <c r="Q185" s="1435" t="str">
        <f aca="false">IF($H185=Q$4,$D185*$N185,"")</f>
        <v/>
      </c>
      <c r="R185" s="1435" t="str">
        <f aca="false">IF($H185=R$4,$D185*$N185,"")</f>
        <v/>
      </c>
      <c r="S185" s="1435" t="str">
        <f aca="false">IF($H185=S$4,$D185*$N185,"")</f>
        <v/>
      </c>
      <c r="T185" s="1435" t="str">
        <f aca="false">IF($H185=T$4,$D185*$N185,"")</f>
        <v/>
      </c>
      <c r="U185" s="1436" t="str">
        <f aca="false">IF($H185=U$4,$D185*$N185,"")</f>
        <v/>
      </c>
      <c r="V185" s="1418"/>
      <c r="W185" s="1419"/>
      <c r="X185" s="1419"/>
      <c r="Y185" s="1419"/>
      <c r="Z185" s="1419"/>
      <c r="AA185" s="1419"/>
      <c r="AB185" s="1420"/>
      <c r="AC185" s="1319"/>
      <c r="AD185" s="2" t="str">
        <f aca="false">IF(AND(AD$4=$G185,AD$6=$F185),$B185,"")</f>
        <v/>
      </c>
      <c r="AE185" s="2" t="str">
        <f aca="false">IF(AND(AE$4=$G185,AE$6=$F185),$B185,"")</f>
        <v/>
      </c>
      <c r="AF185" s="2" t="str">
        <f aca="false">IF(AND(AF$4=$G185,AF$6=$F185),$B185,"")</f>
        <v/>
      </c>
      <c r="AG185" s="2" t="str">
        <f aca="false">IF(AND(AG$4=$G185,AG$6=$F185),$B185,"")</f>
        <v/>
      </c>
      <c r="AI185" s="366"/>
      <c r="AL185" s="367"/>
      <c r="AO185" s="367"/>
      <c r="AP185" s="2" t="str">
        <f aca="false">IF(AT185&gt;0,RANK(AT185,AT$7:AT$423),"")</f>
        <v/>
      </c>
      <c r="AQ185" s="2" t="n">
        <f aca="false">'O_MN, PE_UTA_UGM 2024'!C181</f>
        <v>186</v>
      </c>
      <c r="AR185" s="1421" t="n">
        <v>1849</v>
      </c>
      <c r="AS185" s="2" t="str">
        <f aca="false">IF(AY185&lt;&gt;"",AY185,"")</f>
        <v/>
      </c>
      <c r="AT185" s="1422" t="n">
        <f aca="false">IF(ISNUMBER($AR185),SUMIF(B$7:B$505,AR185,D$7:D$505),"")</f>
        <v>0</v>
      </c>
      <c r="AU185" s="1411" t="n">
        <f aca="false">IF(ISNUMBER($AR185),SUMIF(AD$7:AD$503,$AR185,J$7:J$503),"")</f>
        <v>0</v>
      </c>
      <c r="AV185" s="1411" t="n">
        <f aca="false">IF(ISNUMBER($AR185),SUMIF(AF$7:AF$503,$AR185,L$7:L$503),"")</f>
        <v>0</v>
      </c>
      <c r="AW185" s="1423" t="n">
        <f aca="false">IF(ISNUMBER($AR185),SUMIF(AE$7:AE$503,$AR185,K$7:K$503),"")</f>
        <v>0</v>
      </c>
      <c r="AX185" s="1423" t="n">
        <f aca="false">IF(ISNUMBER($AR185),SUMIF(AG$7:AG$503,$AR185,M$7:M$503),"")</f>
        <v>0</v>
      </c>
      <c r="AY185" s="2" t="str">
        <f aca="false">IF($AT185&gt;0,VLOOKUP($AR185,'O_MN, PE_UTA_UGM 2024'!E181:O597,2),"")</f>
        <v/>
      </c>
      <c r="AZ185" s="1507"/>
      <c r="BA185" s="1507"/>
      <c r="BB185" s="1507" t="str">
        <f aca="false">IF($AT185&gt;0,VLOOKUP($AR185,'O_MN, PE_UTA_UGM 2024'!$E$3:$O$419,BB$6),"")</f>
        <v/>
      </c>
      <c r="BC185" s="1507" t="str">
        <f aca="false">IF($AT185&gt;0,VLOOKUP($AR185,'O_MN, PE_UTA_UGM 2024'!$E$3:$O$419,BC$6),"")</f>
        <v/>
      </c>
      <c r="BD185" s="1507" t="str">
        <f aca="false">IF($AT185&gt;0,VLOOKUP($AR185,'O_MN, PE_UTA_UGM 2024'!$E$3:$O$419,BD$6),"")</f>
        <v/>
      </c>
      <c r="BE185" s="1507" t="str">
        <f aca="false">IF($AT185&gt;0,VLOOKUP($AR185,'O_MN, PE_UTA_UGM 2024'!$E$3:$O$419,BE$6),"")</f>
        <v/>
      </c>
      <c r="BF185" s="1507" t="str">
        <f aca="false">IF($AT185&gt;0,VLOOKUP($AR185,'O_MN, PE_UTA_UGM 2024'!$E$3:$O$419,BF$6),"")</f>
        <v/>
      </c>
      <c r="BG185" s="1507" t="str">
        <f aca="false">IF($AT185&gt;0,VLOOKUP($AR185,'O_MN, PE_UTA_UGM 2024'!$E$3:$O$419,BG$6),"")</f>
        <v/>
      </c>
      <c r="BH185" s="1504"/>
      <c r="BI185" s="1504"/>
      <c r="BJ185" s="1504"/>
      <c r="BK185" s="1504"/>
      <c r="BM185" s="1411"/>
      <c r="BN185" s="1411"/>
      <c r="BO185" s="1425" t="str">
        <f aca="false">IF(ISNUMBER($AU185*BB185*1),$AU185*BB185*1,"")</f>
        <v/>
      </c>
      <c r="BP185" s="1425" t="str">
        <f aca="false">IF(ISNUMBER($AV185*BC185*1),$AV185*BC185*1,"")</f>
        <v/>
      </c>
      <c r="BQ185" s="1425" t="str">
        <f aca="false">IF(ISNUMBER($AU185*BD185*1),$AU185*BD185*1,"")</f>
        <v/>
      </c>
      <c r="BR185" s="1425" t="str">
        <f aca="false">IF(ISNUMBER($AV185*BE185*1),$AV185*BE185*1,"")</f>
        <v/>
      </c>
      <c r="BS185" s="1411" t="str">
        <f aca="false">IF(ISNUMBER($AU185*BF185),$AU185*BF185,"")</f>
        <v/>
      </c>
      <c r="BT185" s="1411" t="str">
        <f aca="false">IF(ISNUMBER($AV185*BG185),$AV185*BG185,"")</f>
        <v/>
      </c>
      <c r="BU185" s="1411"/>
      <c r="BV185" s="1411"/>
      <c r="BW185" s="1411"/>
      <c r="BX185" s="1411"/>
      <c r="BZ185" s="1372"/>
      <c r="CA185" s="1372"/>
      <c r="CB185" s="1426" t="str">
        <f aca="false">IF(ISNUMBER($AW185*BB185),$AW185*BB185,"")</f>
        <v/>
      </c>
      <c r="CC185" s="1426" t="str">
        <f aca="false">IF(ISNUMBER($AX185*BC185),$AX185*BC185,"")</f>
        <v/>
      </c>
      <c r="CD185" s="1426" t="str">
        <f aca="false">IF(ISNUMBER($AW185*BD185),$AW185*BD185,"")</f>
        <v/>
      </c>
      <c r="CE185" s="1426" t="str">
        <f aca="false">IF(ISNUMBER($AX185*BE185),$AX185*BE185,"")</f>
        <v/>
      </c>
      <c r="CF185" s="1372" t="str">
        <f aca="false">IF(ISNUMBER($AW185*BF185),$AW185*BF185,"")</f>
        <v/>
      </c>
      <c r="CG185" s="1372" t="str">
        <f aca="false">IF(ISNUMBER($AX185*BG185),$AX185*BG185,"")</f>
        <v/>
      </c>
      <c r="CH185" s="1438"/>
      <c r="CI185" s="1438"/>
      <c r="CJ185" s="1438"/>
      <c r="CK185" s="1438"/>
      <c r="CU185" s="1411"/>
      <c r="CV185" s="1411"/>
      <c r="CW185" s="1425"/>
      <c r="CX185" s="1425"/>
      <c r="CY185" s="1425"/>
      <c r="CZ185" s="1425"/>
      <c r="DA185" s="1411"/>
      <c r="DB185" s="1411"/>
      <c r="DC185" s="1411"/>
      <c r="DD185" s="1411"/>
      <c r="DE185" s="1411"/>
      <c r="DF185" s="1411"/>
      <c r="DH185" s="1432"/>
      <c r="DI185" s="1432"/>
      <c r="DJ185" s="1437"/>
      <c r="DK185" s="1437"/>
      <c r="DL185" s="1437"/>
      <c r="DM185" s="1437"/>
      <c r="DN185" s="1432"/>
      <c r="DO185" s="1432"/>
      <c r="DP185" s="1432"/>
      <c r="DQ185" s="1432"/>
      <c r="DR185" s="1432"/>
      <c r="DS185" s="1432"/>
      <c r="DT185" s="1316"/>
      <c r="DU185" s="1433"/>
      <c r="DV185" s="1433"/>
      <c r="DW185" s="1433"/>
      <c r="DX185" s="1433"/>
      <c r="DY185" s="1433"/>
      <c r="DZ185" s="1433"/>
      <c r="EA185" s="1433"/>
      <c r="EB185" s="1433"/>
    </row>
    <row r="186" customFormat="false" ht="14.25" hidden="false" customHeight="false" outlineLevel="0" collapsed="false">
      <c r="A186" s="2" t="n">
        <f aca="false">'V_DATOS PAC_SGA'!CC181</f>
        <v>0</v>
      </c>
      <c r="B186" s="2" t="n">
        <f aca="false">IF(OR(A186=0,A186=""),0,IF(I186="IV",CONCATENATE('V_DATOS PAC_SGA'!CC181,"4")+0,CONCATENATE('V_DATOS PAC_SGA'!CC181,"0")+0))</f>
        <v>0</v>
      </c>
      <c r="C186" s="2" t="n">
        <f aca="false">'V_DATOS PAC_SGA'!CD181</f>
        <v>0</v>
      </c>
      <c r="D186" s="1409" t="n">
        <f aca="false">'V_DATOS PAC_SGA'!Y181</f>
        <v>0</v>
      </c>
      <c r="E186" s="1410" t="str">
        <f aca="false">IF('V_DATOS PAC_SGA'!AV181="","Regadio",'V_DATOS PAC_SGA'!AV181)</f>
        <v>Regadio</v>
      </c>
      <c r="F186" s="1411" t="n">
        <f aca="false">'V_DATOS PAC_SGA'!BK181</f>
        <v>0</v>
      </c>
      <c r="G186" s="1412" t="n">
        <f aca="false">'V_DATOS PAC_SGA'!AN181</f>
        <v>0</v>
      </c>
      <c r="H186" s="1413" t="str">
        <f aca="false">IF(B186&gt;0,VLOOKUP(B186,'O_MN, PE_UTA_UGM 2024'!E$3:O$419,10),"")</f>
        <v/>
      </c>
      <c r="I186" s="1359" t="str">
        <f aca="false">IF('V_DATOS PAC_SGA'!BV181="IV",'V_DATOS PAC_SGA'!BV181,"")</f>
        <v/>
      </c>
      <c r="J186" s="2" t="str">
        <f aca="false">IF($A186&gt;0,IF(AND(J$4=$G186,J$6=$F186),$D186*J$5,""),"")</f>
        <v/>
      </c>
      <c r="K186" s="2" t="str">
        <f aca="false">IF($A186&gt;0,IF(AND(K$4=$G186,K$6=$F186),$D186*K$5,""),"")</f>
        <v/>
      </c>
      <c r="L186" s="2" t="str">
        <f aca="false">IF($A186&gt;0,IF(AND(L$4=$G186,L$6=$F186),$D186*L$5,""),"")</f>
        <v/>
      </c>
      <c r="M186" s="2" t="str">
        <f aca="false">IF($A186&gt;0,IF(AND(M$4=$G186,M$6=$F186),$D186*M$5,""),"")</f>
        <v/>
      </c>
      <c r="N186" s="1506" t="n">
        <f aca="false">VLOOKUP(B186,'O_MN, PE_UTA_UGM 2024'!$E$2:$K$419,IF(G186&gt;1,6,7))</f>
        <v>0</v>
      </c>
      <c r="O186" s="1434" t="str">
        <f aca="false">IF($H186=O$4,$D186*$N186,"")</f>
        <v/>
      </c>
      <c r="P186" s="1435" t="str">
        <f aca="false">IF($H186=P$4,$D186*$N186,"")</f>
        <v/>
      </c>
      <c r="Q186" s="1435" t="str">
        <f aca="false">IF($H186=Q$4,$D186*$N186,"")</f>
        <v/>
      </c>
      <c r="R186" s="1435" t="str">
        <f aca="false">IF($H186=R$4,$D186*$N186,"")</f>
        <v/>
      </c>
      <c r="S186" s="1435" t="str">
        <f aca="false">IF($H186=S$4,$D186*$N186,"")</f>
        <v/>
      </c>
      <c r="T186" s="1435" t="str">
        <f aca="false">IF($H186=T$4,$D186*$N186,"")</f>
        <v/>
      </c>
      <c r="U186" s="1436" t="str">
        <f aca="false">IF($H186=U$4,$D186*$N186,"")</f>
        <v/>
      </c>
      <c r="V186" s="1418"/>
      <c r="W186" s="1419"/>
      <c r="X186" s="1419"/>
      <c r="Y186" s="1419"/>
      <c r="Z186" s="1419"/>
      <c r="AA186" s="1419"/>
      <c r="AB186" s="1420"/>
      <c r="AC186" s="1319"/>
      <c r="AD186" s="2" t="str">
        <f aca="false">IF(AND(AD$4=$G186,AD$6=$F186),$B186,"")</f>
        <v/>
      </c>
      <c r="AE186" s="2" t="str">
        <f aca="false">IF(AND(AE$4=$G186,AE$6=$F186),$B186,"")</f>
        <v/>
      </c>
      <c r="AF186" s="2" t="str">
        <f aca="false">IF(AND(AF$4=$G186,AF$6=$F186),$B186,"")</f>
        <v/>
      </c>
      <c r="AG186" s="2" t="str">
        <f aca="false">IF(AND(AG$4=$G186,AG$6=$F186),$B186,"")</f>
        <v/>
      </c>
      <c r="AI186" s="366"/>
      <c r="AL186" s="367"/>
      <c r="AO186" s="367"/>
      <c r="AP186" s="2" t="str">
        <f aca="false">IF(AT186&gt;0,RANK(AT186,AT$7:AT$423),"")</f>
        <v/>
      </c>
      <c r="AQ186" s="2" t="n">
        <f aca="false">'O_MN, PE_UTA_UGM 2024'!C182</f>
        <v>186</v>
      </c>
      <c r="AR186" s="1421" t="n">
        <v>1850</v>
      </c>
      <c r="AS186" s="2" t="str">
        <f aca="false">IF(AY186&lt;&gt;"",AY186,"")</f>
        <v/>
      </c>
      <c r="AT186" s="1422" t="n">
        <f aca="false">IF(ISNUMBER($AR186),SUMIF(B$7:B$505,AR186,D$7:D$505),"")</f>
        <v>0</v>
      </c>
      <c r="AU186" s="1411" t="n">
        <f aca="false">IF(ISNUMBER($AR186),SUMIF(AD$7:AD$503,$AR186,J$7:J$503),"")</f>
        <v>0</v>
      </c>
      <c r="AV186" s="1411" t="n">
        <f aca="false">IF(ISNUMBER($AR186),SUMIF(AF$7:AF$503,$AR186,L$7:L$503),"")</f>
        <v>0</v>
      </c>
      <c r="AW186" s="1423" t="n">
        <f aca="false">IF(ISNUMBER($AR186),SUMIF(AE$7:AE$503,$AR186,K$7:K$503),"")</f>
        <v>0</v>
      </c>
      <c r="AX186" s="1423" t="n">
        <f aca="false">IF(ISNUMBER($AR186),SUMIF(AG$7:AG$503,$AR186,M$7:M$503),"")</f>
        <v>0</v>
      </c>
      <c r="AY186" s="2" t="str">
        <f aca="false">IF($AT186&gt;0,VLOOKUP($AR186,'O_MN, PE_UTA_UGM 2024'!E182:O598,2),"")</f>
        <v/>
      </c>
      <c r="AZ186" s="1507"/>
      <c r="BA186" s="1507"/>
      <c r="BB186" s="1507" t="str">
        <f aca="false">IF($AT186&gt;0,VLOOKUP($AR186,'O_MN, PE_UTA_UGM 2024'!$E$3:$O$419,BB$6),"")</f>
        <v/>
      </c>
      <c r="BC186" s="1507" t="str">
        <f aca="false">IF($AT186&gt;0,VLOOKUP($AR186,'O_MN, PE_UTA_UGM 2024'!$E$3:$O$419,BC$6),"")</f>
        <v/>
      </c>
      <c r="BD186" s="1507" t="str">
        <f aca="false">IF($AT186&gt;0,VLOOKUP($AR186,'O_MN, PE_UTA_UGM 2024'!$E$3:$O$419,BD$6),"")</f>
        <v/>
      </c>
      <c r="BE186" s="1507" t="str">
        <f aca="false">IF($AT186&gt;0,VLOOKUP($AR186,'O_MN, PE_UTA_UGM 2024'!$E$3:$O$419,BE$6),"")</f>
        <v/>
      </c>
      <c r="BF186" s="1507" t="str">
        <f aca="false">IF($AT186&gt;0,VLOOKUP($AR186,'O_MN, PE_UTA_UGM 2024'!$E$3:$O$419,BF$6),"")</f>
        <v/>
      </c>
      <c r="BG186" s="1507" t="str">
        <f aca="false">IF($AT186&gt;0,VLOOKUP($AR186,'O_MN, PE_UTA_UGM 2024'!$E$3:$O$419,BG$6),"")</f>
        <v/>
      </c>
      <c r="BH186" s="1504"/>
      <c r="BI186" s="1504"/>
      <c r="BJ186" s="1504"/>
      <c r="BK186" s="1504"/>
      <c r="BM186" s="1411"/>
      <c r="BN186" s="1411"/>
      <c r="BO186" s="1425" t="str">
        <f aca="false">IF(ISNUMBER($AU186*BB186*1),$AU186*BB186*1,"")</f>
        <v/>
      </c>
      <c r="BP186" s="1425" t="str">
        <f aca="false">IF(ISNUMBER($AV186*BC186*1),$AV186*BC186*1,"")</f>
        <v/>
      </c>
      <c r="BQ186" s="1425" t="str">
        <f aca="false">IF(ISNUMBER($AU186*BD186*1),$AU186*BD186*1,"")</f>
        <v/>
      </c>
      <c r="BR186" s="1425" t="str">
        <f aca="false">IF(ISNUMBER($AV186*BE186*1),$AV186*BE186*1,"")</f>
        <v/>
      </c>
      <c r="BS186" s="1411" t="str">
        <f aca="false">IF(ISNUMBER($AU186*BF186),$AU186*BF186,"")</f>
        <v/>
      </c>
      <c r="BT186" s="1411" t="str">
        <f aca="false">IF(ISNUMBER($AV186*BG186),$AV186*BG186,"")</f>
        <v/>
      </c>
      <c r="BU186" s="1411"/>
      <c r="BV186" s="1411"/>
      <c r="BW186" s="1411"/>
      <c r="BX186" s="1411"/>
      <c r="BZ186" s="1372"/>
      <c r="CA186" s="1372"/>
      <c r="CB186" s="1426" t="str">
        <f aca="false">IF(ISNUMBER($AW186*BB186),$AW186*BB186,"")</f>
        <v/>
      </c>
      <c r="CC186" s="1426" t="str">
        <f aca="false">IF(ISNUMBER($AX186*BC186),$AX186*BC186,"")</f>
        <v/>
      </c>
      <c r="CD186" s="1426" t="str">
        <f aca="false">IF(ISNUMBER($AW186*BD186),$AW186*BD186,"")</f>
        <v/>
      </c>
      <c r="CE186" s="1426" t="str">
        <f aca="false">IF(ISNUMBER($AX186*BE186),$AX186*BE186,"")</f>
        <v/>
      </c>
      <c r="CF186" s="1372" t="str">
        <f aca="false">IF(ISNUMBER($AW186*BF186),$AW186*BF186,"")</f>
        <v/>
      </c>
      <c r="CG186" s="1372" t="str">
        <f aca="false">IF(ISNUMBER($AX186*BG186),$AX186*BG186,"")</f>
        <v/>
      </c>
      <c r="CH186" s="1438"/>
      <c r="CI186" s="1438"/>
      <c r="CJ186" s="1438"/>
      <c r="CK186" s="1438"/>
      <c r="CU186" s="1411"/>
      <c r="CV186" s="1411"/>
      <c r="CW186" s="1425"/>
      <c r="CX186" s="1425"/>
      <c r="CY186" s="1425"/>
      <c r="CZ186" s="1425"/>
      <c r="DA186" s="1411"/>
      <c r="DB186" s="1411"/>
      <c r="DC186" s="1411"/>
      <c r="DD186" s="1411"/>
      <c r="DE186" s="1411"/>
      <c r="DF186" s="1411"/>
      <c r="DH186" s="1432"/>
      <c r="DI186" s="1432"/>
      <c r="DJ186" s="1437"/>
      <c r="DK186" s="1437"/>
      <c r="DL186" s="1437"/>
      <c r="DM186" s="1437"/>
      <c r="DN186" s="1432"/>
      <c r="DO186" s="1432"/>
      <c r="DP186" s="1432"/>
      <c r="DQ186" s="1432"/>
      <c r="DR186" s="1432"/>
      <c r="DS186" s="1432"/>
      <c r="DT186" s="1316"/>
      <c r="DU186" s="1433"/>
      <c r="DV186" s="1433"/>
      <c r="DW186" s="1433"/>
      <c r="DX186" s="1433"/>
      <c r="DY186" s="1433"/>
      <c r="DZ186" s="1433"/>
      <c r="EA186" s="1433"/>
      <c r="EB186" s="1433"/>
    </row>
    <row r="187" customFormat="false" ht="14.25" hidden="false" customHeight="false" outlineLevel="0" collapsed="false">
      <c r="A187" s="2" t="n">
        <f aca="false">'V_DATOS PAC_SGA'!CC182</f>
        <v>0</v>
      </c>
      <c r="B187" s="2" t="n">
        <f aca="false">IF(OR(A187=0,A187=""),0,IF(I187="IV",CONCATENATE('V_DATOS PAC_SGA'!CC182,"4")+0,CONCATENATE('V_DATOS PAC_SGA'!CC182,"0")+0))</f>
        <v>0</v>
      </c>
      <c r="C187" s="2" t="n">
        <f aca="false">'V_DATOS PAC_SGA'!CD182</f>
        <v>0</v>
      </c>
      <c r="D187" s="1409" t="n">
        <f aca="false">'V_DATOS PAC_SGA'!Y182</f>
        <v>0</v>
      </c>
      <c r="E187" s="1410" t="str">
        <f aca="false">IF('V_DATOS PAC_SGA'!AV182="","Regadio",'V_DATOS PAC_SGA'!AV182)</f>
        <v>Regadio</v>
      </c>
      <c r="F187" s="1411" t="n">
        <f aca="false">'V_DATOS PAC_SGA'!BK182</f>
        <v>0</v>
      </c>
      <c r="G187" s="1412" t="n">
        <f aca="false">'V_DATOS PAC_SGA'!AN182</f>
        <v>0</v>
      </c>
      <c r="H187" s="1413" t="str">
        <f aca="false">IF(B187&gt;0,VLOOKUP(B187,'O_MN, PE_UTA_UGM 2024'!E$3:O$419,10),"")</f>
        <v/>
      </c>
      <c r="I187" s="1359" t="str">
        <f aca="false">IF('V_DATOS PAC_SGA'!BV182="IV",'V_DATOS PAC_SGA'!BV182,"")</f>
        <v/>
      </c>
      <c r="J187" s="2" t="str">
        <f aca="false">IF($A187&gt;0,IF(AND(J$4=$G187,J$6=$F187),$D187*J$5,""),"")</f>
        <v/>
      </c>
      <c r="K187" s="2" t="str">
        <f aca="false">IF($A187&gt;0,IF(AND(K$4=$G187,K$6=$F187),$D187*K$5,""),"")</f>
        <v/>
      </c>
      <c r="L187" s="2" t="str">
        <f aca="false">IF($A187&gt;0,IF(AND(L$4=$G187,L$6=$F187),$D187*L$5,""),"")</f>
        <v/>
      </c>
      <c r="M187" s="2" t="str">
        <f aca="false">IF($A187&gt;0,IF(AND(M$4=$G187,M$6=$F187),$D187*M$5,""),"")</f>
        <v/>
      </c>
      <c r="N187" s="1506" t="n">
        <f aca="false">VLOOKUP(B187,'O_MN, PE_UTA_UGM 2024'!$E$2:$K$419,IF(G187&gt;1,6,7))</f>
        <v>0</v>
      </c>
      <c r="O187" s="1434" t="str">
        <f aca="false">IF($H187=O$4,$D187*$N187,"")</f>
        <v/>
      </c>
      <c r="P187" s="1435" t="str">
        <f aca="false">IF($H187=P$4,$D187*$N187,"")</f>
        <v/>
      </c>
      <c r="Q187" s="1435" t="str">
        <f aca="false">IF($H187=Q$4,$D187*$N187,"")</f>
        <v/>
      </c>
      <c r="R187" s="1435" t="str">
        <f aca="false">IF($H187=R$4,$D187*$N187,"")</f>
        <v/>
      </c>
      <c r="S187" s="1435" t="str">
        <f aca="false">IF($H187=S$4,$D187*$N187,"")</f>
        <v/>
      </c>
      <c r="T187" s="1435" t="str">
        <f aca="false">IF($H187=T$4,$D187*$N187,"")</f>
        <v/>
      </c>
      <c r="U187" s="1436" t="str">
        <f aca="false">IF($H187=U$4,$D187*$N187,"")</f>
        <v/>
      </c>
      <c r="V187" s="1418"/>
      <c r="W187" s="1419"/>
      <c r="X187" s="1419"/>
      <c r="Y187" s="1419"/>
      <c r="Z187" s="1419"/>
      <c r="AA187" s="1419"/>
      <c r="AB187" s="1420"/>
      <c r="AC187" s="1319"/>
      <c r="AD187" s="2" t="str">
        <f aca="false">IF(AND(AD$4=$G187,AD$6=$F187),$B187,"")</f>
        <v/>
      </c>
      <c r="AE187" s="2" t="str">
        <f aca="false">IF(AND(AE$4=$G187,AE$6=$F187),$B187,"")</f>
        <v/>
      </c>
      <c r="AF187" s="2" t="str">
        <f aca="false">IF(AND(AF$4=$G187,AF$6=$F187),$B187,"")</f>
        <v/>
      </c>
      <c r="AG187" s="2" t="str">
        <f aca="false">IF(AND(AG$4=$G187,AG$6=$F187),$B187,"")</f>
        <v/>
      </c>
      <c r="AI187" s="366"/>
      <c r="AL187" s="367"/>
      <c r="AO187" s="367"/>
      <c r="AP187" s="2" t="str">
        <f aca="false">IF(AT187&gt;0,RANK(AT187,AT$7:AT$423),"")</f>
        <v/>
      </c>
      <c r="AQ187" s="2" t="n">
        <f aca="false">'O_MN, PE_UTA_UGM 2024'!C183</f>
        <v>186</v>
      </c>
      <c r="AR187" s="1421" t="n">
        <v>1854</v>
      </c>
      <c r="AS187" s="2" t="str">
        <f aca="false">IF(AY187&lt;&gt;"",AY187,"")</f>
        <v/>
      </c>
      <c r="AT187" s="1422" t="n">
        <f aca="false">IF(ISNUMBER($AR187),SUMIF(B$7:B$505,AR187,D$7:D$505),"")</f>
        <v>0</v>
      </c>
      <c r="AU187" s="1411" t="n">
        <f aca="false">IF(ISNUMBER($AR187),SUMIF(AD$7:AD$503,$AR187,J$7:J$503),"")</f>
        <v>0</v>
      </c>
      <c r="AV187" s="1411" t="n">
        <f aca="false">IF(ISNUMBER($AR187),SUMIF(AF$7:AF$503,$AR187,L$7:L$503),"")</f>
        <v>0</v>
      </c>
      <c r="AW187" s="1423" t="n">
        <f aca="false">IF(ISNUMBER($AR187),SUMIF(AE$7:AE$503,$AR187,K$7:K$503),"")</f>
        <v>0</v>
      </c>
      <c r="AX187" s="1423" t="n">
        <f aca="false">IF(ISNUMBER($AR187),SUMIF(AG$7:AG$503,$AR187,M$7:M$503),"")</f>
        <v>0</v>
      </c>
      <c r="AY187" s="2" t="str">
        <f aca="false">IF($AT187&gt;0,VLOOKUP($AR187,'O_MN, PE_UTA_UGM 2024'!E183:O599,2),"")</f>
        <v/>
      </c>
      <c r="AZ187" s="1507"/>
      <c r="BA187" s="1507"/>
      <c r="BB187" s="1507" t="str">
        <f aca="false">IF($AT187&gt;0,VLOOKUP($AR187,'O_MN, PE_UTA_UGM 2024'!$E$3:$O$419,BB$6),"")</f>
        <v/>
      </c>
      <c r="BC187" s="1507" t="str">
        <f aca="false">IF($AT187&gt;0,VLOOKUP($AR187,'O_MN, PE_UTA_UGM 2024'!$E$3:$O$419,BC$6),"")</f>
        <v/>
      </c>
      <c r="BD187" s="1507" t="str">
        <f aca="false">IF($AT187&gt;0,VLOOKUP($AR187,'O_MN, PE_UTA_UGM 2024'!$E$3:$O$419,BD$6),"")</f>
        <v/>
      </c>
      <c r="BE187" s="1507" t="str">
        <f aca="false">IF($AT187&gt;0,VLOOKUP($AR187,'O_MN, PE_UTA_UGM 2024'!$E$3:$O$419,BE$6),"")</f>
        <v/>
      </c>
      <c r="BF187" s="1507" t="str">
        <f aca="false">IF($AT187&gt;0,VLOOKUP($AR187,'O_MN, PE_UTA_UGM 2024'!$E$3:$O$419,BF$6),"")</f>
        <v/>
      </c>
      <c r="BG187" s="1507" t="str">
        <f aca="false">IF($AT187&gt;0,VLOOKUP($AR187,'O_MN, PE_UTA_UGM 2024'!$E$3:$O$419,BG$6),"")</f>
        <v/>
      </c>
      <c r="BH187" s="1504"/>
      <c r="BI187" s="1504"/>
      <c r="BJ187" s="1504"/>
      <c r="BK187" s="1504"/>
      <c r="BM187" s="1411"/>
      <c r="BN187" s="1411"/>
      <c r="BO187" s="1425" t="str">
        <f aca="false">IF(ISNUMBER($AU187*BB187*1),$AU187*BB187*1,"")</f>
        <v/>
      </c>
      <c r="BP187" s="1425" t="str">
        <f aca="false">IF(ISNUMBER($AV187*BC187*1),$AV187*BC187*1,"")</f>
        <v/>
      </c>
      <c r="BQ187" s="1425" t="str">
        <f aca="false">IF(ISNUMBER($AU187*BD187*1),$AU187*BD187*1,"")</f>
        <v/>
      </c>
      <c r="BR187" s="1425" t="str">
        <f aca="false">IF(ISNUMBER($AV187*BE187*1),$AV187*BE187*1,"")</f>
        <v/>
      </c>
      <c r="BS187" s="1411" t="str">
        <f aca="false">IF(ISNUMBER($AU187*BF187),$AU187*BF187,"")</f>
        <v/>
      </c>
      <c r="BT187" s="1411" t="str">
        <f aca="false">IF(ISNUMBER($AV187*BG187),$AV187*BG187,"")</f>
        <v/>
      </c>
      <c r="BU187" s="1411"/>
      <c r="BV187" s="1411"/>
      <c r="BW187" s="1411"/>
      <c r="BX187" s="1411"/>
      <c r="BZ187" s="1372"/>
      <c r="CA187" s="1372"/>
      <c r="CB187" s="1426" t="str">
        <f aca="false">IF(ISNUMBER($AW187*BB187),$AW187*BB187,"")</f>
        <v/>
      </c>
      <c r="CC187" s="1426" t="str">
        <f aca="false">IF(ISNUMBER($AX187*BC187),$AX187*BC187,"")</f>
        <v/>
      </c>
      <c r="CD187" s="1426" t="str">
        <f aca="false">IF(ISNUMBER($AW187*BD187),$AW187*BD187,"")</f>
        <v/>
      </c>
      <c r="CE187" s="1426" t="str">
        <f aca="false">IF(ISNUMBER($AX187*BE187),$AX187*BE187,"")</f>
        <v/>
      </c>
      <c r="CF187" s="1372" t="str">
        <f aca="false">IF(ISNUMBER($AW187*BF187),$AW187*BF187,"")</f>
        <v/>
      </c>
      <c r="CG187" s="1372" t="str">
        <f aca="false">IF(ISNUMBER($AX187*BG187),$AX187*BG187,"")</f>
        <v/>
      </c>
      <c r="CH187" s="1438"/>
      <c r="CI187" s="1438"/>
      <c r="CJ187" s="1438"/>
      <c r="CK187" s="1438"/>
      <c r="CU187" s="1411"/>
      <c r="CV187" s="1411"/>
      <c r="CW187" s="1425"/>
      <c r="CX187" s="1425"/>
      <c r="CY187" s="1425"/>
      <c r="CZ187" s="1425"/>
      <c r="DA187" s="1411"/>
      <c r="DB187" s="1411"/>
      <c r="DC187" s="1411"/>
      <c r="DD187" s="1411"/>
      <c r="DE187" s="1411"/>
      <c r="DF187" s="1411"/>
      <c r="DH187" s="1432"/>
      <c r="DI187" s="1432"/>
      <c r="DJ187" s="1437"/>
      <c r="DK187" s="1437"/>
      <c r="DL187" s="1437"/>
      <c r="DM187" s="1437"/>
      <c r="DN187" s="1432"/>
      <c r="DO187" s="1432"/>
      <c r="DP187" s="1432"/>
      <c r="DQ187" s="1432"/>
      <c r="DR187" s="1432"/>
      <c r="DS187" s="1432"/>
      <c r="DT187" s="1316"/>
      <c r="DU187" s="1433"/>
      <c r="DV187" s="1433"/>
      <c r="DW187" s="1433"/>
      <c r="DX187" s="1433"/>
      <c r="DY187" s="1433"/>
      <c r="DZ187" s="1433"/>
      <c r="EA187" s="1433"/>
      <c r="EB187" s="1433"/>
    </row>
    <row r="188" customFormat="false" ht="14.25" hidden="false" customHeight="false" outlineLevel="0" collapsed="false">
      <c r="A188" s="2" t="n">
        <f aca="false">'V_DATOS PAC_SGA'!CC183</f>
        <v>0</v>
      </c>
      <c r="B188" s="2" t="n">
        <f aca="false">IF(OR(A188=0,A188=""),0,IF(I188="IV",CONCATENATE('V_DATOS PAC_SGA'!CC183,"4")+0,CONCATENATE('V_DATOS PAC_SGA'!CC183,"0")+0))</f>
        <v>0</v>
      </c>
      <c r="C188" s="2" t="n">
        <f aca="false">'V_DATOS PAC_SGA'!CD183</f>
        <v>0</v>
      </c>
      <c r="D188" s="1409" t="n">
        <f aca="false">'V_DATOS PAC_SGA'!Y183</f>
        <v>0</v>
      </c>
      <c r="E188" s="1410" t="str">
        <f aca="false">IF('V_DATOS PAC_SGA'!AV183="","Regadio",'V_DATOS PAC_SGA'!AV183)</f>
        <v>Regadio</v>
      </c>
      <c r="F188" s="1411" t="n">
        <f aca="false">'V_DATOS PAC_SGA'!BK183</f>
        <v>0</v>
      </c>
      <c r="G188" s="1412" t="n">
        <f aca="false">'V_DATOS PAC_SGA'!AN183</f>
        <v>0</v>
      </c>
      <c r="H188" s="1413" t="str">
        <f aca="false">IF(B188&gt;0,VLOOKUP(B188,'O_MN, PE_UTA_UGM 2024'!E$3:O$419,10),"")</f>
        <v/>
      </c>
      <c r="I188" s="1359" t="str">
        <f aca="false">IF('V_DATOS PAC_SGA'!BV183="IV",'V_DATOS PAC_SGA'!BV183,"")</f>
        <v/>
      </c>
      <c r="J188" s="2" t="str">
        <f aca="false">IF($A188&gt;0,IF(AND(J$4=$G188,J$6=$F188),$D188*J$5,""),"")</f>
        <v/>
      </c>
      <c r="K188" s="2" t="str">
        <f aca="false">IF($A188&gt;0,IF(AND(K$4=$G188,K$6=$F188),$D188*K$5,""),"")</f>
        <v/>
      </c>
      <c r="L188" s="2" t="str">
        <f aca="false">IF($A188&gt;0,IF(AND(L$4=$G188,L$6=$F188),$D188*L$5,""),"")</f>
        <v/>
      </c>
      <c r="M188" s="2" t="str">
        <f aca="false">IF($A188&gt;0,IF(AND(M$4=$G188,M$6=$F188),$D188*M$5,""),"")</f>
        <v/>
      </c>
      <c r="N188" s="1506" t="n">
        <f aca="false">VLOOKUP(B188,'O_MN, PE_UTA_UGM 2024'!$E$2:$K$419,IF(G188&gt;1,6,7))</f>
        <v>0</v>
      </c>
      <c r="O188" s="1434" t="str">
        <f aca="false">IF($H188=O$4,$D188*$N188,"")</f>
        <v/>
      </c>
      <c r="P188" s="1435" t="str">
        <f aca="false">IF($H188=P$4,$D188*$N188,"")</f>
        <v/>
      </c>
      <c r="Q188" s="1435" t="str">
        <f aca="false">IF($H188=Q$4,$D188*$N188,"")</f>
        <v/>
      </c>
      <c r="R188" s="1435" t="str">
        <f aca="false">IF($H188=R$4,$D188*$N188,"")</f>
        <v/>
      </c>
      <c r="S188" s="1435" t="str">
        <f aca="false">IF($H188=S$4,$D188*$N188,"")</f>
        <v/>
      </c>
      <c r="T188" s="1435" t="str">
        <f aca="false">IF($H188=T$4,$D188*$N188,"")</f>
        <v/>
      </c>
      <c r="U188" s="1436" t="str">
        <f aca="false">IF($H188=U$4,$D188*$N188,"")</f>
        <v/>
      </c>
      <c r="V188" s="1418"/>
      <c r="W188" s="1419"/>
      <c r="X188" s="1419"/>
      <c r="Y188" s="1419"/>
      <c r="Z188" s="1419"/>
      <c r="AA188" s="1419"/>
      <c r="AB188" s="1420"/>
      <c r="AC188" s="1319"/>
      <c r="AD188" s="2" t="str">
        <f aca="false">IF(AND(AD$4=$G188,AD$6=$F188),$B188,"")</f>
        <v/>
      </c>
      <c r="AE188" s="2" t="str">
        <f aca="false">IF(AND(AE$4=$G188,AE$6=$F188),$B188,"")</f>
        <v/>
      </c>
      <c r="AF188" s="2" t="str">
        <f aca="false">IF(AND(AF$4=$G188,AF$6=$F188),$B188,"")</f>
        <v/>
      </c>
      <c r="AG188" s="2" t="str">
        <f aca="false">IF(AND(AG$4=$G188,AG$6=$F188),$B188,"")</f>
        <v/>
      </c>
      <c r="AI188" s="366"/>
      <c r="AL188" s="367"/>
      <c r="AO188" s="367"/>
      <c r="AP188" s="2" t="str">
        <f aca="false">IF(AT188&gt;0,RANK(AT188,AT$7:AT$423),"")</f>
        <v/>
      </c>
      <c r="AQ188" s="2" t="n">
        <f aca="false">'O_MN, PE_UTA_UGM 2024'!C184</f>
        <v>187</v>
      </c>
      <c r="AR188" s="1421" t="n">
        <v>1859</v>
      </c>
      <c r="AS188" s="2" t="str">
        <f aca="false">IF(AY188&lt;&gt;"",AY188,"")</f>
        <v/>
      </c>
      <c r="AT188" s="1422" t="n">
        <f aca="false">IF(ISNUMBER($AR188),SUMIF(B$7:B$505,AR188,D$7:D$505),"")</f>
        <v>0</v>
      </c>
      <c r="AU188" s="1411" t="n">
        <f aca="false">IF(ISNUMBER($AR188),SUMIF(AD$7:AD$503,$AR188,J$7:J$503),"")</f>
        <v>0</v>
      </c>
      <c r="AV188" s="1411" t="n">
        <f aca="false">IF(ISNUMBER($AR188),SUMIF(AF$7:AF$503,$AR188,L$7:L$503),"")</f>
        <v>0</v>
      </c>
      <c r="AW188" s="1423" t="n">
        <f aca="false">IF(ISNUMBER($AR188),SUMIF(AE$7:AE$503,$AR188,K$7:K$503),"")</f>
        <v>0</v>
      </c>
      <c r="AX188" s="1423" t="n">
        <f aca="false">IF(ISNUMBER($AR188),SUMIF(AG$7:AG$503,$AR188,M$7:M$503),"")</f>
        <v>0</v>
      </c>
      <c r="AY188" s="2" t="str">
        <f aca="false">IF($AT188&gt;0,VLOOKUP($AR188,'O_MN, PE_UTA_UGM 2024'!E184:O600,2),"")</f>
        <v/>
      </c>
      <c r="AZ188" s="1507"/>
      <c r="BA188" s="1507"/>
      <c r="BB188" s="1507" t="str">
        <f aca="false">IF($AT188&gt;0,VLOOKUP($AR188,'O_MN, PE_UTA_UGM 2024'!$E$3:$O$419,BB$6),"")</f>
        <v/>
      </c>
      <c r="BC188" s="1507" t="str">
        <f aca="false">IF($AT188&gt;0,VLOOKUP($AR188,'O_MN, PE_UTA_UGM 2024'!$E$3:$O$419,BC$6),"")</f>
        <v/>
      </c>
      <c r="BD188" s="1507" t="str">
        <f aca="false">IF($AT188&gt;0,VLOOKUP($AR188,'O_MN, PE_UTA_UGM 2024'!$E$3:$O$419,BD$6),"")</f>
        <v/>
      </c>
      <c r="BE188" s="1507" t="str">
        <f aca="false">IF($AT188&gt;0,VLOOKUP($AR188,'O_MN, PE_UTA_UGM 2024'!$E$3:$O$419,BE$6),"")</f>
        <v/>
      </c>
      <c r="BF188" s="1507" t="str">
        <f aca="false">IF($AT188&gt;0,VLOOKUP($AR188,'O_MN, PE_UTA_UGM 2024'!$E$3:$O$419,BF$6),"")</f>
        <v/>
      </c>
      <c r="BG188" s="1507" t="str">
        <f aca="false">IF($AT188&gt;0,VLOOKUP($AR188,'O_MN, PE_UTA_UGM 2024'!$E$3:$O$419,BG$6),"")</f>
        <v/>
      </c>
      <c r="BH188" s="1504"/>
      <c r="BI188" s="1504"/>
      <c r="BJ188" s="1504"/>
      <c r="BK188" s="1504"/>
      <c r="BM188" s="1411"/>
      <c r="BN188" s="1411"/>
      <c r="BO188" s="1425" t="str">
        <f aca="false">IF(ISNUMBER($AU188*BB188*1),$AU188*BB188*1,"")</f>
        <v/>
      </c>
      <c r="BP188" s="1425" t="str">
        <f aca="false">IF(ISNUMBER($AV188*BC188*1),$AV188*BC188*1,"")</f>
        <v/>
      </c>
      <c r="BQ188" s="1425" t="str">
        <f aca="false">IF(ISNUMBER($AU188*BD188*1),$AU188*BD188*1,"")</f>
        <v/>
      </c>
      <c r="BR188" s="1425" t="str">
        <f aca="false">IF(ISNUMBER($AV188*BE188*1),$AV188*BE188*1,"")</f>
        <v/>
      </c>
      <c r="BS188" s="1411" t="str">
        <f aca="false">IF(ISNUMBER($AU188*BF188),$AU188*BF188,"")</f>
        <v/>
      </c>
      <c r="BT188" s="1411" t="str">
        <f aca="false">IF(ISNUMBER($AV188*BG188),$AV188*BG188,"")</f>
        <v/>
      </c>
      <c r="BU188" s="1411"/>
      <c r="BV188" s="1411"/>
      <c r="BW188" s="1411"/>
      <c r="BX188" s="1411"/>
      <c r="BZ188" s="1372"/>
      <c r="CA188" s="1372"/>
      <c r="CB188" s="1426" t="str">
        <f aca="false">IF(ISNUMBER($AW188*BB188),$AW188*BB188,"")</f>
        <v/>
      </c>
      <c r="CC188" s="1426" t="str">
        <f aca="false">IF(ISNUMBER($AX188*BC188),$AX188*BC188,"")</f>
        <v/>
      </c>
      <c r="CD188" s="1426" t="str">
        <f aca="false">IF(ISNUMBER($AW188*BD188),$AW188*BD188,"")</f>
        <v/>
      </c>
      <c r="CE188" s="1426" t="str">
        <f aca="false">IF(ISNUMBER($AX188*BE188),$AX188*BE188,"")</f>
        <v/>
      </c>
      <c r="CF188" s="1372" t="str">
        <f aca="false">IF(ISNUMBER($AW188*BF188),$AW188*BF188,"")</f>
        <v/>
      </c>
      <c r="CG188" s="1372" t="str">
        <f aca="false">IF(ISNUMBER($AX188*BG188),$AX188*BG188,"")</f>
        <v/>
      </c>
      <c r="CH188" s="1438"/>
      <c r="CI188" s="1438"/>
      <c r="CJ188" s="1438"/>
      <c r="CK188" s="1438"/>
      <c r="CU188" s="1411"/>
      <c r="CV188" s="1411"/>
      <c r="CW188" s="1425"/>
      <c r="CX188" s="1425"/>
      <c r="CY188" s="1425"/>
      <c r="CZ188" s="1425"/>
      <c r="DA188" s="1411"/>
      <c r="DB188" s="1411"/>
      <c r="DC188" s="1411"/>
      <c r="DD188" s="1411"/>
      <c r="DE188" s="1411"/>
      <c r="DF188" s="1411"/>
      <c r="DH188" s="1432"/>
      <c r="DI188" s="1432"/>
      <c r="DJ188" s="1437"/>
      <c r="DK188" s="1437"/>
      <c r="DL188" s="1437"/>
      <c r="DM188" s="1437"/>
      <c r="DN188" s="1432"/>
      <c r="DO188" s="1432"/>
      <c r="DP188" s="1432"/>
      <c r="DQ188" s="1432"/>
      <c r="DR188" s="1432"/>
      <c r="DS188" s="1432"/>
      <c r="DT188" s="1316"/>
      <c r="DU188" s="1433"/>
      <c r="DV188" s="1433"/>
      <c r="DW188" s="1433"/>
      <c r="DX188" s="1433"/>
      <c r="DY188" s="1433"/>
      <c r="DZ188" s="1433"/>
      <c r="EA188" s="1433"/>
      <c r="EB188" s="1433"/>
    </row>
    <row r="189" customFormat="false" ht="14.25" hidden="false" customHeight="false" outlineLevel="0" collapsed="false">
      <c r="A189" s="2" t="n">
        <f aca="false">'V_DATOS PAC_SGA'!CC184</f>
        <v>0</v>
      </c>
      <c r="B189" s="2" t="n">
        <f aca="false">IF(OR(A189=0,A189=""),0,IF(I189="IV",CONCATENATE('V_DATOS PAC_SGA'!CC184,"4")+0,CONCATENATE('V_DATOS PAC_SGA'!CC184,"0")+0))</f>
        <v>0</v>
      </c>
      <c r="C189" s="2" t="n">
        <f aca="false">'V_DATOS PAC_SGA'!CD184</f>
        <v>0</v>
      </c>
      <c r="D189" s="1409" t="n">
        <f aca="false">'V_DATOS PAC_SGA'!Y184</f>
        <v>0</v>
      </c>
      <c r="E189" s="1410" t="str">
        <f aca="false">IF('V_DATOS PAC_SGA'!AV184="","Regadio",'V_DATOS PAC_SGA'!AV184)</f>
        <v>Regadio</v>
      </c>
      <c r="F189" s="1411" t="n">
        <f aca="false">'V_DATOS PAC_SGA'!BK184</f>
        <v>0</v>
      </c>
      <c r="G189" s="1412" t="n">
        <f aca="false">'V_DATOS PAC_SGA'!AN184</f>
        <v>0</v>
      </c>
      <c r="H189" s="1413" t="str">
        <f aca="false">IF(B189&gt;0,VLOOKUP(B189,'O_MN, PE_UTA_UGM 2024'!E$3:O$419,10),"")</f>
        <v/>
      </c>
      <c r="I189" s="1359" t="str">
        <f aca="false">IF('V_DATOS PAC_SGA'!BV184="IV",'V_DATOS PAC_SGA'!BV184,"")</f>
        <v/>
      </c>
      <c r="J189" s="2" t="str">
        <f aca="false">IF($A189&gt;0,IF(AND(J$4=$G189,J$6=$F189),$D189*J$5,""),"")</f>
        <v/>
      </c>
      <c r="K189" s="2" t="str">
        <f aca="false">IF($A189&gt;0,IF(AND(K$4=$G189,K$6=$F189),$D189*K$5,""),"")</f>
        <v/>
      </c>
      <c r="L189" s="2" t="str">
        <f aca="false">IF($A189&gt;0,IF(AND(L$4=$G189,L$6=$F189),$D189*L$5,""),"")</f>
        <v/>
      </c>
      <c r="M189" s="2" t="str">
        <f aca="false">IF($A189&gt;0,IF(AND(M$4=$G189,M$6=$F189),$D189*M$5,""),"")</f>
        <v/>
      </c>
      <c r="N189" s="1506" t="n">
        <f aca="false">VLOOKUP(B189,'O_MN, PE_UTA_UGM 2024'!$E$2:$K$419,IF(G189&gt;1,6,7))</f>
        <v>0</v>
      </c>
      <c r="O189" s="1434" t="str">
        <f aca="false">IF($H189=O$4,$D189*$N189,"")</f>
        <v/>
      </c>
      <c r="P189" s="1435" t="str">
        <f aca="false">IF($H189=P$4,$D189*$N189,"")</f>
        <v/>
      </c>
      <c r="Q189" s="1435" t="str">
        <f aca="false">IF($H189=Q$4,$D189*$N189,"")</f>
        <v/>
      </c>
      <c r="R189" s="1435" t="str">
        <f aca="false">IF($H189=R$4,$D189*$N189,"")</f>
        <v/>
      </c>
      <c r="S189" s="1435" t="str">
        <f aca="false">IF($H189=S$4,$D189*$N189,"")</f>
        <v/>
      </c>
      <c r="T189" s="1435" t="str">
        <f aca="false">IF($H189=T$4,$D189*$N189,"")</f>
        <v/>
      </c>
      <c r="U189" s="1436" t="str">
        <f aca="false">IF($H189=U$4,$D189*$N189,"")</f>
        <v/>
      </c>
      <c r="V189" s="1418"/>
      <c r="W189" s="1419"/>
      <c r="X189" s="1419"/>
      <c r="Y189" s="1419"/>
      <c r="Z189" s="1419"/>
      <c r="AA189" s="1419"/>
      <c r="AB189" s="1420"/>
      <c r="AC189" s="1319"/>
      <c r="AD189" s="2" t="str">
        <f aca="false">IF(AND(AD$4=$G189,AD$6=$F189),$B189,"")</f>
        <v/>
      </c>
      <c r="AE189" s="2" t="str">
        <f aca="false">IF(AND(AE$4=$G189,AE$6=$F189),$B189,"")</f>
        <v/>
      </c>
      <c r="AF189" s="2" t="str">
        <f aca="false">IF(AND(AF$4=$G189,AF$6=$F189),$B189,"")</f>
        <v/>
      </c>
      <c r="AG189" s="2" t="str">
        <f aca="false">IF(AND(AG$4=$G189,AG$6=$F189),$B189,"")</f>
        <v/>
      </c>
      <c r="AI189" s="366"/>
      <c r="AL189" s="367"/>
      <c r="AO189" s="367"/>
      <c r="AP189" s="2" t="str">
        <f aca="false">IF(AT189&gt;0,RANK(AT189,AT$7:AT$423),"")</f>
        <v/>
      </c>
      <c r="AQ189" s="2" t="n">
        <f aca="false">'O_MN, PE_UTA_UGM 2024'!C185</f>
        <v>187</v>
      </c>
      <c r="AR189" s="1421" t="n">
        <v>1860</v>
      </c>
      <c r="AS189" s="2" t="str">
        <f aca="false">IF(AY189&lt;&gt;"",AY189,"")</f>
        <v/>
      </c>
      <c r="AT189" s="1422" t="n">
        <f aca="false">IF(ISNUMBER($AR189),SUMIF(B$7:B$505,AR189,D$7:D$505),"")</f>
        <v>0</v>
      </c>
      <c r="AU189" s="1411" t="n">
        <f aca="false">IF(ISNUMBER($AR189),SUMIF(AD$7:AD$503,$AR189,J$7:J$503),"")</f>
        <v>0</v>
      </c>
      <c r="AV189" s="1411" t="n">
        <f aca="false">IF(ISNUMBER($AR189),SUMIF(AF$7:AF$503,$AR189,L$7:L$503),"")</f>
        <v>0</v>
      </c>
      <c r="AW189" s="1423" t="n">
        <f aca="false">IF(ISNUMBER($AR189),SUMIF(AE$7:AE$503,$AR189,K$7:K$503),"")</f>
        <v>0</v>
      </c>
      <c r="AX189" s="1423" t="n">
        <f aca="false">IF(ISNUMBER($AR189),SUMIF(AG$7:AG$503,$AR189,M$7:M$503),"")</f>
        <v>0</v>
      </c>
      <c r="AY189" s="2" t="str">
        <f aca="false">IF($AT189&gt;0,VLOOKUP($AR189,'O_MN, PE_UTA_UGM 2024'!E185:O601,2),"")</f>
        <v/>
      </c>
      <c r="AZ189" s="1507"/>
      <c r="BA189" s="1507"/>
      <c r="BB189" s="1507" t="str">
        <f aca="false">IF($AT189&gt;0,VLOOKUP($AR189,'O_MN, PE_UTA_UGM 2024'!$E$3:$O$419,BB$6),"")</f>
        <v/>
      </c>
      <c r="BC189" s="1507" t="str">
        <f aca="false">IF($AT189&gt;0,VLOOKUP($AR189,'O_MN, PE_UTA_UGM 2024'!$E$3:$O$419,BC$6),"")</f>
        <v/>
      </c>
      <c r="BD189" s="1507" t="str">
        <f aca="false">IF($AT189&gt;0,VLOOKUP($AR189,'O_MN, PE_UTA_UGM 2024'!$E$3:$O$419,BD$6),"")</f>
        <v/>
      </c>
      <c r="BE189" s="1507" t="str">
        <f aca="false">IF($AT189&gt;0,VLOOKUP($AR189,'O_MN, PE_UTA_UGM 2024'!$E$3:$O$419,BE$6),"")</f>
        <v/>
      </c>
      <c r="BF189" s="1507" t="str">
        <f aca="false">IF($AT189&gt;0,VLOOKUP($AR189,'O_MN, PE_UTA_UGM 2024'!$E$3:$O$419,BF$6),"")</f>
        <v/>
      </c>
      <c r="BG189" s="1507" t="str">
        <f aca="false">IF($AT189&gt;0,VLOOKUP($AR189,'O_MN, PE_UTA_UGM 2024'!$E$3:$O$419,BG$6),"")</f>
        <v/>
      </c>
      <c r="BH189" s="1504"/>
      <c r="BI189" s="1504"/>
      <c r="BJ189" s="1504"/>
      <c r="BK189" s="1504"/>
      <c r="BM189" s="1411"/>
      <c r="BN189" s="1411"/>
      <c r="BO189" s="1425" t="str">
        <f aca="false">IF(ISNUMBER($AU189*BB189*1),$AU189*BB189*1,"")</f>
        <v/>
      </c>
      <c r="BP189" s="1425" t="str">
        <f aca="false">IF(ISNUMBER($AV189*BC189*1),$AV189*BC189*1,"")</f>
        <v/>
      </c>
      <c r="BQ189" s="1425" t="str">
        <f aca="false">IF(ISNUMBER($AU189*BD189*1),$AU189*BD189*1,"")</f>
        <v/>
      </c>
      <c r="BR189" s="1425" t="str">
        <f aca="false">IF(ISNUMBER($AV189*BE189*1),$AV189*BE189*1,"")</f>
        <v/>
      </c>
      <c r="BS189" s="1411" t="str">
        <f aca="false">IF(ISNUMBER($AU189*BF189),$AU189*BF189,"")</f>
        <v/>
      </c>
      <c r="BT189" s="1411" t="str">
        <f aca="false">IF(ISNUMBER($AV189*BG189),$AV189*BG189,"")</f>
        <v/>
      </c>
      <c r="BU189" s="1411"/>
      <c r="BV189" s="1411"/>
      <c r="BW189" s="1411"/>
      <c r="BX189" s="1411"/>
      <c r="BZ189" s="1372"/>
      <c r="CA189" s="1372"/>
      <c r="CB189" s="1426" t="str">
        <f aca="false">IF(ISNUMBER($AW189*BB189),$AW189*BB189,"")</f>
        <v/>
      </c>
      <c r="CC189" s="1426" t="str">
        <f aca="false">IF(ISNUMBER($AX189*BC189),$AX189*BC189,"")</f>
        <v/>
      </c>
      <c r="CD189" s="1426" t="str">
        <f aca="false">IF(ISNUMBER($AW189*BD189),$AW189*BD189,"")</f>
        <v/>
      </c>
      <c r="CE189" s="1426" t="str">
        <f aca="false">IF(ISNUMBER($AX189*BE189),$AX189*BE189,"")</f>
        <v/>
      </c>
      <c r="CF189" s="1372" t="str">
        <f aca="false">IF(ISNUMBER($AW189*BF189),$AW189*BF189,"")</f>
        <v/>
      </c>
      <c r="CG189" s="1372" t="str">
        <f aca="false">IF(ISNUMBER($AX189*BG189),$AX189*BG189,"")</f>
        <v/>
      </c>
      <c r="CH189" s="1438"/>
      <c r="CI189" s="1438"/>
      <c r="CJ189" s="1438"/>
      <c r="CK189" s="1438"/>
      <c r="CU189" s="1411"/>
      <c r="CV189" s="1411"/>
      <c r="CW189" s="1425"/>
      <c r="CX189" s="1425"/>
      <c r="CY189" s="1425"/>
      <c r="CZ189" s="1425"/>
      <c r="DA189" s="1411"/>
      <c r="DB189" s="1411"/>
      <c r="DC189" s="1411"/>
      <c r="DD189" s="1411"/>
      <c r="DE189" s="1411"/>
      <c r="DF189" s="1411"/>
      <c r="DH189" s="1432"/>
      <c r="DI189" s="1432"/>
      <c r="DJ189" s="1437"/>
      <c r="DK189" s="1437"/>
      <c r="DL189" s="1437"/>
      <c r="DM189" s="1437"/>
      <c r="DN189" s="1432"/>
      <c r="DO189" s="1432"/>
      <c r="DP189" s="1432"/>
      <c r="DQ189" s="1432"/>
      <c r="DR189" s="1432"/>
      <c r="DS189" s="1432"/>
      <c r="DT189" s="1316"/>
      <c r="DU189" s="1433"/>
      <c r="DV189" s="1433"/>
      <c r="DW189" s="1433"/>
      <c r="DX189" s="1433"/>
      <c r="DY189" s="1433"/>
      <c r="DZ189" s="1433"/>
      <c r="EA189" s="1433"/>
      <c r="EB189" s="1433"/>
    </row>
    <row r="190" customFormat="false" ht="14.25" hidden="false" customHeight="false" outlineLevel="0" collapsed="false">
      <c r="A190" s="2" t="n">
        <f aca="false">'V_DATOS PAC_SGA'!CC185</f>
        <v>0</v>
      </c>
      <c r="B190" s="2" t="n">
        <f aca="false">IF(OR(A190=0,A190=""),0,IF(I190="IV",CONCATENATE('V_DATOS PAC_SGA'!CC185,"4")+0,CONCATENATE('V_DATOS PAC_SGA'!CC185,"0")+0))</f>
        <v>0</v>
      </c>
      <c r="C190" s="2" t="n">
        <f aca="false">'V_DATOS PAC_SGA'!CD185</f>
        <v>0</v>
      </c>
      <c r="D190" s="1409" t="n">
        <f aca="false">'V_DATOS PAC_SGA'!Y185</f>
        <v>0</v>
      </c>
      <c r="E190" s="1410" t="str">
        <f aca="false">IF('V_DATOS PAC_SGA'!AV185="","Regadio",'V_DATOS PAC_SGA'!AV185)</f>
        <v>Regadio</v>
      </c>
      <c r="F190" s="1411" t="n">
        <f aca="false">'V_DATOS PAC_SGA'!BK185</f>
        <v>0</v>
      </c>
      <c r="G190" s="1412" t="n">
        <f aca="false">'V_DATOS PAC_SGA'!AN185</f>
        <v>0</v>
      </c>
      <c r="H190" s="1413" t="str">
        <f aca="false">IF(B190&gt;0,VLOOKUP(B190,'O_MN, PE_UTA_UGM 2024'!E$3:O$419,10),"")</f>
        <v/>
      </c>
      <c r="I190" s="1359" t="str">
        <f aca="false">IF('V_DATOS PAC_SGA'!BV185="IV",'V_DATOS PAC_SGA'!BV185,"")</f>
        <v/>
      </c>
      <c r="J190" s="2" t="str">
        <f aca="false">IF($A190&gt;0,IF(AND(J$4=$G190,J$6=$F190),$D190*J$5,""),"")</f>
        <v/>
      </c>
      <c r="K190" s="2" t="str">
        <f aca="false">IF($A190&gt;0,IF(AND(K$4=$G190,K$6=$F190),$D190*K$5,""),"")</f>
        <v/>
      </c>
      <c r="L190" s="2" t="str">
        <f aca="false">IF($A190&gt;0,IF(AND(L$4=$G190,L$6=$F190),$D190*L$5,""),"")</f>
        <v/>
      </c>
      <c r="M190" s="2" t="str">
        <f aca="false">IF($A190&gt;0,IF(AND(M$4=$G190,M$6=$F190),$D190*M$5,""),"")</f>
        <v/>
      </c>
      <c r="N190" s="1506" t="n">
        <f aca="false">VLOOKUP(B190,'O_MN, PE_UTA_UGM 2024'!$E$2:$K$419,IF(G190&gt;1,6,7))</f>
        <v>0</v>
      </c>
      <c r="O190" s="1434" t="str">
        <f aca="false">IF($H190=O$4,$D190*$N190,"")</f>
        <v/>
      </c>
      <c r="P190" s="1435" t="str">
        <f aca="false">IF($H190=P$4,$D190*$N190,"")</f>
        <v/>
      </c>
      <c r="Q190" s="1435" t="str">
        <f aca="false">IF($H190=Q$4,$D190*$N190,"")</f>
        <v/>
      </c>
      <c r="R190" s="1435" t="str">
        <f aca="false">IF($H190=R$4,$D190*$N190,"")</f>
        <v/>
      </c>
      <c r="S190" s="1435" t="str">
        <f aca="false">IF($H190=S$4,$D190*$N190,"")</f>
        <v/>
      </c>
      <c r="T190" s="1435" t="str">
        <f aca="false">IF($H190=T$4,$D190*$N190,"")</f>
        <v/>
      </c>
      <c r="U190" s="1436" t="str">
        <f aca="false">IF($H190=U$4,$D190*$N190,"")</f>
        <v/>
      </c>
      <c r="V190" s="1418"/>
      <c r="W190" s="1419"/>
      <c r="X190" s="1419"/>
      <c r="Y190" s="1419"/>
      <c r="Z190" s="1419"/>
      <c r="AA190" s="1419"/>
      <c r="AB190" s="1420"/>
      <c r="AC190" s="1319"/>
      <c r="AD190" s="2" t="str">
        <f aca="false">IF(AND(AD$4=$G190,AD$6=$F190),$B190,"")</f>
        <v/>
      </c>
      <c r="AE190" s="2" t="str">
        <f aca="false">IF(AND(AE$4=$G190,AE$6=$F190),$B190,"")</f>
        <v/>
      </c>
      <c r="AF190" s="2" t="str">
        <f aca="false">IF(AND(AF$4=$G190,AF$6=$F190),$B190,"")</f>
        <v/>
      </c>
      <c r="AG190" s="2" t="str">
        <f aca="false">IF(AND(AG$4=$G190,AG$6=$F190),$B190,"")</f>
        <v/>
      </c>
      <c r="AI190" s="366"/>
      <c r="AL190" s="367"/>
      <c r="AO190" s="367"/>
      <c r="AP190" s="2" t="str">
        <f aca="false">IF(AT190&gt;0,RANK(AT190,AT$7:AT$423),"")</f>
        <v/>
      </c>
      <c r="AQ190" s="2" t="n">
        <f aca="false">'O_MN, PE_UTA_UGM 2024'!C186</f>
        <v>187</v>
      </c>
      <c r="AR190" s="1421" t="n">
        <v>1864</v>
      </c>
      <c r="AS190" s="2" t="str">
        <f aca="false">IF(AY190&lt;&gt;"",AY190,"")</f>
        <v/>
      </c>
      <c r="AT190" s="1422" t="n">
        <f aca="false">IF(ISNUMBER($AR190),SUMIF(B$7:B$505,AR190,D$7:D$505),"")</f>
        <v>0</v>
      </c>
      <c r="AU190" s="1411" t="n">
        <f aca="false">IF(ISNUMBER($AR190),SUMIF(AD$7:AD$503,$AR190,J$7:J$503),"")</f>
        <v>0</v>
      </c>
      <c r="AV190" s="1411" t="n">
        <f aca="false">IF(ISNUMBER($AR190),SUMIF(AF$7:AF$503,$AR190,L$7:L$503),"")</f>
        <v>0</v>
      </c>
      <c r="AW190" s="1423" t="n">
        <f aca="false">IF(ISNUMBER($AR190),SUMIF(AE$7:AE$503,$AR190,K$7:K$503),"")</f>
        <v>0</v>
      </c>
      <c r="AX190" s="1423" t="n">
        <f aca="false">IF(ISNUMBER($AR190),SUMIF(AG$7:AG$503,$AR190,M$7:M$503),"")</f>
        <v>0</v>
      </c>
      <c r="AY190" s="2" t="str">
        <f aca="false">IF($AT190&gt;0,VLOOKUP($AR190,'O_MN, PE_UTA_UGM 2024'!E186:O602,2),"")</f>
        <v/>
      </c>
      <c r="AZ190" s="1507"/>
      <c r="BA190" s="1507"/>
      <c r="BB190" s="1507" t="str">
        <f aca="false">IF($AT190&gt;0,VLOOKUP($AR190,'O_MN, PE_UTA_UGM 2024'!$E$3:$O$419,BB$6),"")</f>
        <v/>
      </c>
      <c r="BC190" s="1507" t="str">
        <f aca="false">IF($AT190&gt;0,VLOOKUP($AR190,'O_MN, PE_UTA_UGM 2024'!$E$3:$O$419,BC$6),"")</f>
        <v/>
      </c>
      <c r="BD190" s="1507" t="str">
        <f aca="false">IF($AT190&gt;0,VLOOKUP($AR190,'O_MN, PE_UTA_UGM 2024'!$E$3:$O$419,BD$6),"")</f>
        <v/>
      </c>
      <c r="BE190" s="1507" t="str">
        <f aca="false">IF($AT190&gt;0,VLOOKUP($AR190,'O_MN, PE_UTA_UGM 2024'!$E$3:$O$419,BE$6),"")</f>
        <v/>
      </c>
      <c r="BF190" s="1507" t="str">
        <f aca="false">IF($AT190&gt;0,VLOOKUP($AR190,'O_MN, PE_UTA_UGM 2024'!$E$3:$O$419,BF$6),"")</f>
        <v/>
      </c>
      <c r="BG190" s="1507" t="str">
        <f aca="false">IF($AT190&gt;0,VLOOKUP($AR190,'O_MN, PE_UTA_UGM 2024'!$E$3:$O$419,BG$6),"")</f>
        <v/>
      </c>
      <c r="BH190" s="1504"/>
      <c r="BI190" s="1504"/>
      <c r="BJ190" s="1504"/>
      <c r="BK190" s="1504"/>
      <c r="BM190" s="1411"/>
      <c r="BN190" s="1411"/>
      <c r="BO190" s="1425" t="str">
        <f aca="false">IF(ISNUMBER($AU190*BB190*1),$AU190*BB190*1,"")</f>
        <v/>
      </c>
      <c r="BP190" s="1425" t="str">
        <f aca="false">IF(ISNUMBER($AV190*BC190*1),$AV190*BC190*1,"")</f>
        <v/>
      </c>
      <c r="BQ190" s="1425" t="str">
        <f aca="false">IF(ISNUMBER($AU190*BD190*1),$AU190*BD190*1,"")</f>
        <v/>
      </c>
      <c r="BR190" s="1425" t="str">
        <f aca="false">IF(ISNUMBER($AV190*BE190*1),$AV190*BE190*1,"")</f>
        <v/>
      </c>
      <c r="BS190" s="1411" t="str">
        <f aca="false">IF(ISNUMBER($AU190*BF190),$AU190*BF190,"")</f>
        <v/>
      </c>
      <c r="BT190" s="1411" t="str">
        <f aca="false">IF(ISNUMBER($AV190*BG190),$AV190*BG190,"")</f>
        <v/>
      </c>
      <c r="BU190" s="1411"/>
      <c r="BV190" s="1411"/>
      <c r="BW190" s="1411"/>
      <c r="BX190" s="1411"/>
      <c r="BZ190" s="1372"/>
      <c r="CA190" s="1372"/>
      <c r="CB190" s="1426" t="str">
        <f aca="false">IF(ISNUMBER($AW190*BB190),$AW190*BB190,"")</f>
        <v/>
      </c>
      <c r="CC190" s="1426" t="str">
        <f aca="false">IF(ISNUMBER($AX190*BC190),$AX190*BC190,"")</f>
        <v/>
      </c>
      <c r="CD190" s="1426" t="str">
        <f aca="false">IF(ISNUMBER($AW190*BD190),$AW190*BD190,"")</f>
        <v/>
      </c>
      <c r="CE190" s="1426" t="str">
        <f aca="false">IF(ISNUMBER($AX190*BE190),$AX190*BE190,"")</f>
        <v/>
      </c>
      <c r="CF190" s="1372" t="str">
        <f aca="false">IF(ISNUMBER($AW190*BF190),$AW190*BF190,"")</f>
        <v/>
      </c>
      <c r="CG190" s="1372" t="str">
        <f aca="false">IF(ISNUMBER($AX190*BG190),$AX190*BG190,"")</f>
        <v/>
      </c>
      <c r="CH190" s="1438"/>
      <c r="CI190" s="1438"/>
      <c r="CJ190" s="1438"/>
      <c r="CK190" s="1438"/>
      <c r="CU190" s="1411"/>
      <c r="CV190" s="1411"/>
      <c r="CW190" s="1425"/>
      <c r="CX190" s="1425"/>
      <c r="CY190" s="1425"/>
      <c r="CZ190" s="1425"/>
      <c r="DA190" s="1411"/>
      <c r="DB190" s="1411"/>
      <c r="DC190" s="1411"/>
      <c r="DD190" s="1411"/>
      <c r="DE190" s="1411"/>
      <c r="DF190" s="1411"/>
      <c r="DH190" s="1432"/>
      <c r="DI190" s="1432"/>
      <c r="DJ190" s="1437"/>
      <c r="DK190" s="1437"/>
      <c r="DL190" s="1437"/>
      <c r="DM190" s="1437"/>
      <c r="DN190" s="1432"/>
      <c r="DO190" s="1432"/>
      <c r="DP190" s="1432"/>
      <c r="DQ190" s="1432"/>
      <c r="DR190" s="1432"/>
      <c r="DS190" s="1432"/>
      <c r="DT190" s="1316"/>
      <c r="DU190" s="1433"/>
      <c r="DV190" s="1433"/>
      <c r="DW190" s="1433"/>
      <c r="DX190" s="1433"/>
      <c r="DY190" s="1433"/>
      <c r="DZ190" s="1433"/>
      <c r="EA190" s="1433"/>
      <c r="EB190" s="1433"/>
    </row>
    <row r="191" customFormat="false" ht="14.25" hidden="false" customHeight="false" outlineLevel="0" collapsed="false">
      <c r="A191" s="2" t="n">
        <f aca="false">'V_DATOS PAC_SGA'!CC186</f>
        <v>0</v>
      </c>
      <c r="B191" s="2" t="n">
        <f aca="false">IF(OR(A191=0,A191=""),0,IF(I191="IV",CONCATENATE('V_DATOS PAC_SGA'!CC186,"4")+0,CONCATENATE('V_DATOS PAC_SGA'!CC186,"0")+0))</f>
        <v>0</v>
      </c>
      <c r="C191" s="2" t="n">
        <f aca="false">'V_DATOS PAC_SGA'!CD186</f>
        <v>0</v>
      </c>
      <c r="D191" s="1409" t="n">
        <f aca="false">'V_DATOS PAC_SGA'!Y186</f>
        <v>0</v>
      </c>
      <c r="E191" s="1410" t="str">
        <f aca="false">IF('V_DATOS PAC_SGA'!AV186="","Regadio",'V_DATOS PAC_SGA'!AV186)</f>
        <v>Regadio</v>
      </c>
      <c r="F191" s="1411" t="n">
        <f aca="false">'V_DATOS PAC_SGA'!BK186</f>
        <v>0</v>
      </c>
      <c r="G191" s="1412" t="n">
        <f aca="false">'V_DATOS PAC_SGA'!AN186</f>
        <v>0</v>
      </c>
      <c r="H191" s="1413" t="str">
        <f aca="false">IF(B191&gt;0,VLOOKUP(B191,'O_MN, PE_UTA_UGM 2024'!E$3:O$419,10),"")</f>
        <v/>
      </c>
      <c r="I191" s="1359" t="str">
        <f aca="false">IF('V_DATOS PAC_SGA'!BV186="IV",'V_DATOS PAC_SGA'!BV186,"")</f>
        <v/>
      </c>
      <c r="J191" s="2" t="str">
        <f aca="false">IF($A191&gt;0,IF(AND(J$4=$G191,J$6=$F191),$D191*J$5,""),"")</f>
        <v/>
      </c>
      <c r="K191" s="2" t="str">
        <f aca="false">IF($A191&gt;0,IF(AND(K$4=$G191,K$6=$F191),$D191*K$5,""),"")</f>
        <v/>
      </c>
      <c r="L191" s="2" t="str">
        <f aca="false">IF($A191&gt;0,IF(AND(L$4=$G191,L$6=$F191),$D191*L$5,""),"")</f>
        <v/>
      </c>
      <c r="M191" s="2" t="str">
        <f aca="false">IF($A191&gt;0,IF(AND(M$4=$G191,M$6=$F191),$D191*M$5,""),"")</f>
        <v/>
      </c>
      <c r="N191" s="1506" t="n">
        <f aca="false">VLOOKUP(B191,'O_MN, PE_UTA_UGM 2024'!$E$2:$K$419,IF(G191&gt;1,6,7))</f>
        <v>0</v>
      </c>
      <c r="O191" s="1434" t="str">
        <f aca="false">IF($H191=O$4,$D191*$N191,"")</f>
        <v/>
      </c>
      <c r="P191" s="1435" t="str">
        <f aca="false">IF($H191=P$4,$D191*$N191,"")</f>
        <v/>
      </c>
      <c r="Q191" s="1435" t="str">
        <f aca="false">IF($H191=Q$4,$D191*$N191,"")</f>
        <v/>
      </c>
      <c r="R191" s="1435" t="str">
        <f aca="false">IF($H191=R$4,$D191*$N191,"")</f>
        <v/>
      </c>
      <c r="S191" s="1435" t="str">
        <f aca="false">IF($H191=S$4,$D191*$N191,"")</f>
        <v/>
      </c>
      <c r="T191" s="1435" t="str">
        <f aca="false">IF($H191=T$4,$D191*$N191,"")</f>
        <v/>
      </c>
      <c r="U191" s="1436" t="str">
        <f aca="false">IF($H191=U$4,$D191*$N191,"")</f>
        <v/>
      </c>
      <c r="V191" s="1418"/>
      <c r="W191" s="1419"/>
      <c r="X191" s="1419"/>
      <c r="Y191" s="1419"/>
      <c r="Z191" s="1419"/>
      <c r="AA191" s="1419"/>
      <c r="AB191" s="1420"/>
      <c r="AC191" s="1319"/>
      <c r="AD191" s="2" t="str">
        <f aca="false">IF(AND(AD$4=$G191,AD$6=$F191),$B191,"")</f>
        <v/>
      </c>
      <c r="AE191" s="2" t="str">
        <f aca="false">IF(AND(AE$4=$G191,AE$6=$F191),$B191,"")</f>
        <v/>
      </c>
      <c r="AF191" s="2" t="str">
        <f aca="false">IF(AND(AF$4=$G191,AF$6=$F191),$B191,"")</f>
        <v/>
      </c>
      <c r="AG191" s="2" t="str">
        <f aca="false">IF(AND(AG$4=$G191,AG$6=$F191),$B191,"")</f>
        <v/>
      </c>
      <c r="AI191" s="366"/>
      <c r="AL191" s="367"/>
      <c r="AO191" s="367"/>
      <c r="AP191" s="2" t="str">
        <f aca="false">IF(AT191&gt;0,RANK(AT191,AT$7:AT$423),"")</f>
        <v/>
      </c>
      <c r="AQ191" s="2" t="n">
        <f aca="false">'O_MN, PE_UTA_UGM 2024'!C187</f>
        <v>189</v>
      </c>
      <c r="AR191" s="1421" t="n">
        <v>1869</v>
      </c>
      <c r="AS191" s="2" t="str">
        <f aca="false">IF(AY191&lt;&gt;"",AY191,"")</f>
        <v/>
      </c>
      <c r="AT191" s="1422" t="n">
        <f aca="false">IF(ISNUMBER($AR191),SUMIF(B$7:B$505,AR191,D$7:D$505),"")</f>
        <v>0</v>
      </c>
      <c r="AU191" s="1411" t="n">
        <f aca="false">IF(ISNUMBER($AR191),SUMIF(AD$7:AD$503,$AR191,J$7:J$503),"")</f>
        <v>0</v>
      </c>
      <c r="AV191" s="1411" t="n">
        <f aca="false">IF(ISNUMBER($AR191),SUMIF(AF$7:AF$503,$AR191,L$7:L$503),"")</f>
        <v>0</v>
      </c>
      <c r="AW191" s="1423" t="n">
        <f aca="false">IF(ISNUMBER($AR191),SUMIF(AE$7:AE$503,$AR191,K$7:K$503),"")</f>
        <v>0</v>
      </c>
      <c r="AX191" s="1423" t="n">
        <f aca="false">IF(ISNUMBER($AR191),SUMIF(AG$7:AG$503,$AR191,M$7:M$503),"")</f>
        <v>0</v>
      </c>
      <c r="AY191" s="2" t="str">
        <f aca="false">IF($AT191&gt;0,VLOOKUP($AR191,'O_MN, PE_UTA_UGM 2024'!E187:O603,2),"")</f>
        <v/>
      </c>
      <c r="AZ191" s="1507"/>
      <c r="BA191" s="1507"/>
      <c r="BB191" s="1507" t="str">
        <f aca="false">IF($AT191&gt;0,VLOOKUP($AR191,'O_MN, PE_UTA_UGM 2024'!$E$3:$O$419,BB$6),"")</f>
        <v/>
      </c>
      <c r="BC191" s="1507" t="str">
        <f aca="false">IF($AT191&gt;0,VLOOKUP($AR191,'O_MN, PE_UTA_UGM 2024'!$E$3:$O$419,BC$6),"")</f>
        <v/>
      </c>
      <c r="BD191" s="1507" t="str">
        <f aca="false">IF($AT191&gt;0,VLOOKUP($AR191,'O_MN, PE_UTA_UGM 2024'!$E$3:$O$419,BD$6),"")</f>
        <v/>
      </c>
      <c r="BE191" s="1507" t="str">
        <f aca="false">IF($AT191&gt;0,VLOOKUP($AR191,'O_MN, PE_UTA_UGM 2024'!$E$3:$O$419,BE$6),"")</f>
        <v/>
      </c>
      <c r="BF191" s="1507" t="str">
        <f aca="false">IF($AT191&gt;0,VLOOKUP($AR191,'O_MN, PE_UTA_UGM 2024'!$E$3:$O$419,BF$6),"")</f>
        <v/>
      </c>
      <c r="BG191" s="1507" t="str">
        <f aca="false">IF($AT191&gt;0,VLOOKUP($AR191,'O_MN, PE_UTA_UGM 2024'!$E$3:$O$419,BG$6),"")</f>
        <v/>
      </c>
      <c r="BH191" s="1504"/>
      <c r="BI191" s="1504"/>
      <c r="BJ191" s="1504"/>
      <c r="BK191" s="1504"/>
      <c r="BM191" s="1411"/>
      <c r="BN191" s="1411"/>
      <c r="BO191" s="1425" t="str">
        <f aca="false">IF(ISNUMBER($AU191*BB191*1),$AU191*BB191*1,"")</f>
        <v/>
      </c>
      <c r="BP191" s="1425" t="str">
        <f aca="false">IF(ISNUMBER($AV191*BC191*1),$AV191*BC191*1,"")</f>
        <v/>
      </c>
      <c r="BQ191" s="1425" t="str">
        <f aca="false">IF(ISNUMBER($AU191*BD191*1),$AU191*BD191*1,"")</f>
        <v/>
      </c>
      <c r="BR191" s="1425" t="str">
        <f aca="false">IF(ISNUMBER($AV191*BE191*1),$AV191*BE191*1,"")</f>
        <v/>
      </c>
      <c r="BS191" s="1411" t="str">
        <f aca="false">IF(ISNUMBER($AU191*BF191),$AU191*BF191,"")</f>
        <v/>
      </c>
      <c r="BT191" s="1411" t="str">
        <f aca="false">IF(ISNUMBER($AV191*BG191),$AV191*BG191,"")</f>
        <v/>
      </c>
      <c r="BU191" s="1411"/>
      <c r="BV191" s="1411"/>
      <c r="BW191" s="1411"/>
      <c r="BX191" s="1411"/>
      <c r="BZ191" s="1372"/>
      <c r="CA191" s="1372"/>
      <c r="CB191" s="1426" t="str">
        <f aca="false">IF(ISNUMBER($AW191*BB191),$AW191*BB191,"")</f>
        <v/>
      </c>
      <c r="CC191" s="1426" t="str">
        <f aca="false">IF(ISNUMBER($AX191*BC191),$AX191*BC191,"")</f>
        <v/>
      </c>
      <c r="CD191" s="1426" t="str">
        <f aca="false">IF(ISNUMBER($AW191*BD191),$AW191*BD191,"")</f>
        <v/>
      </c>
      <c r="CE191" s="1426" t="str">
        <f aca="false">IF(ISNUMBER($AX191*BE191),$AX191*BE191,"")</f>
        <v/>
      </c>
      <c r="CF191" s="1372" t="str">
        <f aca="false">IF(ISNUMBER($AW191*BF191),$AW191*BF191,"")</f>
        <v/>
      </c>
      <c r="CG191" s="1372" t="str">
        <f aca="false">IF(ISNUMBER($AX191*BG191),$AX191*BG191,"")</f>
        <v/>
      </c>
      <c r="CH191" s="1438"/>
      <c r="CI191" s="1438"/>
      <c r="CJ191" s="1438"/>
      <c r="CK191" s="1438"/>
      <c r="CU191" s="1411"/>
      <c r="CV191" s="1411"/>
      <c r="CW191" s="1425"/>
      <c r="CX191" s="1425"/>
      <c r="CY191" s="1425"/>
      <c r="CZ191" s="1425"/>
      <c r="DA191" s="1411"/>
      <c r="DB191" s="1411"/>
      <c r="DC191" s="1411"/>
      <c r="DD191" s="1411"/>
      <c r="DE191" s="1411"/>
      <c r="DF191" s="1411"/>
      <c r="DH191" s="1432"/>
      <c r="DI191" s="1432"/>
      <c r="DJ191" s="1437"/>
      <c r="DK191" s="1437"/>
      <c r="DL191" s="1437"/>
      <c r="DM191" s="1437"/>
      <c r="DN191" s="1432"/>
      <c r="DO191" s="1432"/>
      <c r="DP191" s="1432"/>
      <c r="DQ191" s="1432"/>
      <c r="DR191" s="1432"/>
      <c r="DS191" s="1432"/>
      <c r="DT191" s="1316"/>
      <c r="DU191" s="1433"/>
      <c r="DV191" s="1433"/>
      <c r="DW191" s="1433"/>
      <c r="DX191" s="1433"/>
      <c r="DY191" s="1433"/>
      <c r="DZ191" s="1433"/>
      <c r="EA191" s="1433"/>
      <c r="EB191" s="1433"/>
    </row>
    <row r="192" customFormat="false" ht="14.25" hidden="false" customHeight="false" outlineLevel="0" collapsed="false">
      <c r="A192" s="2" t="n">
        <f aca="false">'V_DATOS PAC_SGA'!CC187</f>
        <v>0</v>
      </c>
      <c r="B192" s="2" t="n">
        <f aca="false">IF(OR(A192=0,A192=""),0,IF(I192="IV",CONCATENATE('V_DATOS PAC_SGA'!CC187,"4")+0,CONCATENATE('V_DATOS PAC_SGA'!CC187,"0")+0))</f>
        <v>0</v>
      </c>
      <c r="C192" s="2" t="n">
        <f aca="false">'V_DATOS PAC_SGA'!CD187</f>
        <v>0</v>
      </c>
      <c r="D192" s="1409" t="n">
        <f aca="false">'V_DATOS PAC_SGA'!Y187</f>
        <v>0</v>
      </c>
      <c r="E192" s="1410" t="str">
        <f aca="false">IF('V_DATOS PAC_SGA'!AV187="","Regadio",'V_DATOS PAC_SGA'!AV187)</f>
        <v>Regadio</v>
      </c>
      <c r="F192" s="1411" t="n">
        <f aca="false">'V_DATOS PAC_SGA'!BK187</f>
        <v>0</v>
      </c>
      <c r="G192" s="1412" t="n">
        <f aca="false">'V_DATOS PAC_SGA'!AN187</f>
        <v>0</v>
      </c>
      <c r="H192" s="1413" t="str">
        <f aca="false">IF(B192&gt;0,VLOOKUP(B192,'O_MN, PE_UTA_UGM 2024'!E$3:O$419,10),"")</f>
        <v/>
      </c>
      <c r="I192" s="1359" t="str">
        <f aca="false">IF('V_DATOS PAC_SGA'!BV187="IV",'V_DATOS PAC_SGA'!BV187,"")</f>
        <v/>
      </c>
      <c r="J192" s="2" t="str">
        <f aca="false">IF($A192&gt;0,IF(AND(J$4=$G192,J$6=$F192),$D192*J$5,""),"")</f>
        <v/>
      </c>
      <c r="K192" s="2" t="str">
        <f aca="false">IF($A192&gt;0,IF(AND(K$4=$G192,K$6=$F192),$D192*K$5,""),"")</f>
        <v/>
      </c>
      <c r="L192" s="2" t="str">
        <f aca="false">IF($A192&gt;0,IF(AND(L$4=$G192,L$6=$F192),$D192*L$5,""),"")</f>
        <v/>
      </c>
      <c r="M192" s="2" t="str">
        <f aca="false">IF($A192&gt;0,IF(AND(M$4=$G192,M$6=$F192),$D192*M$5,""),"")</f>
        <v/>
      </c>
      <c r="N192" s="1506" t="n">
        <f aca="false">VLOOKUP(B192,'O_MN, PE_UTA_UGM 2024'!$E$2:$K$419,IF(G192&gt;1,6,7))</f>
        <v>0</v>
      </c>
      <c r="O192" s="1434" t="str">
        <f aca="false">IF($H192=O$4,$D192*$N192,"")</f>
        <v/>
      </c>
      <c r="P192" s="1435" t="str">
        <f aca="false">IF($H192=P$4,$D192*$N192,"")</f>
        <v/>
      </c>
      <c r="Q192" s="1435" t="str">
        <f aca="false">IF($H192=Q$4,$D192*$N192,"")</f>
        <v/>
      </c>
      <c r="R192" s="1435" t="str">
        <f aca="false">IF($H192=R$4,$D192*$N192,"")</f>
        <v/>
      </c>
      <c r="S192" s="1435" t="str">
        <f aca="false">IF($H192=S$4,$D192*$N192,"")</f>
        <v/>
      </c>
      <c r="T192" s="1435" t="str">
        <f aca="false">IF($H192=T$4,$D192*$N192,"")</f>
        <v/>
      </c>
      <c r="U192" s="1436" t="str">
        <f aca="false">IF($H192=U$4,$D192*$N192,"")</f>
        <v/>
      </c>
      <c r="V192" s="1418"/>
      <c r="W192" s="1419"/>
      <c r="X192" s="1419"/>
      <c r="Y192" s="1419"/>
      <c r="Z192" s="1419"/>
      <c r="AA192" s="1419"/>
      <c r="AB192" s="1420"/>
      <c r="AC192" s="1319"/>
      <c r="AD192" s="2" t="str">
        <f aca="false">IF(AND(AD$4=$G192,AD$6=$F192),$B192,"")</f>
        <v/>
      </c>
      <c r="AE192" s="2" t="str">
        <f aca="false">IF(AND(AE$4=$G192,AE$6=$F192),$B192,"")</f>
        <v/>
      </c>
      <c r="AF192" s="2" t="str">
        <f aca="false">IF(AND(AF$4=$G192,AF$6=$F192),$B192,"")</f>
        <v/>
      </c>
      <c r="AG192" s="2" t="str">
        <f aca="false">IF(AND(AG$4=$G192,AG$6=$F192),$B192,"")</f>
        <v/>
      </c>
      <c r="AI192" s="366"/>
      <c r="AL192" s="367"/>
      <c r="AO192" s="367"/>
      <c r="AP192" s="2" t="str">
        <f aca="false">IF(AT192&gt;0,RANK(AT192,AT$7:AT$423),"")</f>
        <v/>
      </c>
      <c r="AQ192" s="2" t="n">
        <f aca="false">'O_MN, PE_UTA_UGM 2024'!C188</f>
        <v>189</v>
      </c>
      <c r="AR192" s="1421" t="n">
        <v>1870</v>
      </c>
      <c r="AS192" s="2" t="str">
        <f aca="false">IF(AY192&lt;&gt;"",AY192,"")</f>
        <v/>
      </c>
      <c r="AT192" s="1422" t="n">
        <f aca="false">IF(ISNUMBER($AR192),SUMIF(B$7:B$505,AR192,D$7:D$505),"")</f>
        <v>0</v>
      </c>
      <c r="AU192" s="1411" t="n">
        <f aca="false">IF(ISNUMBER($AR192),SUMIF(AD$7:AD$503,$AR192,J$7:J$503),"")</f>
        <v>0</v>
      </c>
      <c r="AV192" s="1411" t="n">
        <f aca="false">IF(ISNUMBER($AR192),SUMIF(AF$7:AF$503,$AR192,L$7:L$503),"")</f>
        <v>0</v>
      </c>
      <c r="AW192" s="1423" t="n">
        <f aca="false">IF(ISNUMBER($AR192),SUMIF(AE$7:AE$503,$AR192,K$7:K$503),"")</f>
        <v>0</v>
      </c>
      <c r="AX192" s="1423" t="n">
        <f aca="false">IF(ISNUMBER($AR192),SUMIF(AG$7:AG$503,$AR192,M$7:M$503),"")</f>
        <v>0</v>
      </c>
      <c r="AY192" s="2" t="str">
        <f aca="false">IF($AT192&gt;0,VLOOKUP($AR192,'O_MN, PE_UTA_UGM 2024'!E188:O604,2),"")</f>
        <v/>
      </c>
      <c r="AZ192" s="1507"/>
      <c r="BA192" s="1507"/>
      <c r="BB192" s="1507" t="str">
        <f aca="false">IF($AT192&gt;0,VLOOKUP($AR192,'O_MN, PE_UTA_UGM 2024'!$E$3:$O$419,BB$6),"")</f>
        <v/>
      </c>
      <c r="BC192" s="1507" t="str">
        <f aca="false">IF($AT192&gt;0,VLOOKUP($AR192,'O_MN, PE_UTA_UGM 2024'!$E$3:$O$419,BC$6),"")</f>
        <v/>
      </c>
      <c r="BD192" s="1507" t="str">
        <f aca="false">IF($AT192&gt;0,VLOOKUP($AR192,'O_MN, PE_UTA_UGM 2024'!$E$3:$O$419,BD$6),"")</f>
        <v/>
      </c>
      <c r="BE192" s="1507" t="str">
        <f aca="false">IF($AT192&gt;0,VLOOKUP($AR192,'O_MN, PE_UTA_UGM 2024'!$E$3:$O$419,BE$6),"")</f>
        <v/>
      </c>
      <c r="BF192" s="1507" t="str">
        <f aca="false">IF($AT192&gt;0,VLOOKUP($AR192,'O_MN, PE_UTA_UGM 2024'!$E$3:$O$419,BF$6),"")</f>
        <v/>
      </c>
      <c r="BG192" s="1507" t="str">
        <f aca="false">IF($AT192&gt;0,VLOOKUP($AR192,'O_MN, PE_UTA_UGM 2024'!$E$3:$O$419,BG$6),"")</f>
        <v/>
      </c>
      <c r="BH192" s="1504"/>
      <c r="BI192" s="1504"/>
      <c r="BJ192" s="1504"/>
      <c r="BK192" s="1504"/>
      <c r="BM192" s="1411"/>
      <c r="BN192" s="1411"/>
      <c r="BO192" s="1425" t="str">
        <f aca="false">IF(ISNUMBER($AU192*BB192*1),$AU192*BB192*1,"")</f>
        <v/>
      </c>
      <c r="BP192" s="1425" t="str">
        <f aca="false">IF(ISNUMBER($AV192*BC192*1),$AV192*BC192*1,"")</f>
        <v/>
      </c>
      <c r="BQ192" s="1425" t="str">
        <f aca="false">IF(ISNUMBER($AU192*BD192*1),$AU192*BD192*1,"")</f>
        <v/>
      </c>
      <c r="BR192" s="1425" t="str">
        <f aca="false">IF(ISNUMBER($AV192*BE192*1),$AV192*BE192*1,"")</f>
        <v/>
      </c>
      <c r="BS192" s="1411" t="str">
        <f aca="false">IF(ISNUMBER($AU192*BF192),$AU192*BF192,"")</f>
        <v/>
      </c>
      <c r="BT192" s="1411" t="str">
        <f aca="false">IF(ISNUMBER($AV192*BG192),$AV192*BG192,"")</f>
        <v/>
      </c>
      <c r="BU192" s="1411"/>
      <c r="BV192" s="1411"/>
      <c r="BW192" s="1411"/>
      <c r="BX192" s="1411"/>
      <c r="BZ192" s="1372"/>
      <c r="CA192" s="1372"/>
      <c r="CB192" s="1426" t="str">
        <f aca="false">IF(ISNUMBER($AW192*BB192),$AW192*BB192,"")</f>
        <v/>
      </c>
      <c r="CC192" s="1426" t="str">
        <f aca="false">IF(ISNUMBER($AX192*BC192),$AX192*BC192,"")</f>
        <v/>
      </c>
      <c r="CD192" s="1426" t="str">
        <f aca="false">IF(ISNUMBER($AW192*BD192),$AW192*BD192,"")</f>
        <v/>
      </c>
      <c r="CE192" s="1426" t="str">
        <f aca="false">IF(ISNUMBER($AX192*BE192),$AX192*BE192,"")</f>
        <v/>
      </c>
      <c r="CF192" s="1372" t="str">
        <f aca="false">IF(ISNUMBER($AW192*BF192),$AW192*BF192,"")</f>
        <v/>
      </c>
      <c r="CG192" s="1372" t="str">
        <f aca="false">IF(ISNUMBER($AX192*BG192),$AX192*BG192,"")</f>
        <v/>
      </c>
      <c r="CH192" s="1438"/>
      <c r="CI192" s="1438"/>
      <c r="CJ192" s="1438"/>
      <c r="CK192" s="1438"/>
      <c r="CU192" s="1411"/>
      <c r="CV192" s="1411"/>
      <c r="CW192" s="1425"/>
      <c r="CX192" s="1425"/>
      <c r="CY192" s="1425"/>
      <c r="CZ192" s="1425"/>
      <c r="DA192" s="1411"/>
      <c r="DB192" s="1411"/>
      <c r="DC192" s="1411"/>
      <c r="DD192" s="1411"/>
      <c r="DE192" s="1411"/>
      <c r="DF192" s="1411"/>
      <c r="DH192" s="1432"/>
      <c r="DI192" s="1432"/>
      <c r="DJ192" s="1437"/>
      <c r="DK192" s="1437"/>
      <c r="DL192" s="1437"/>
      <c r="DM192" s="1437"/>
      <c r="DN192" s="1432"/>
      <c r="DO192" s="1432"/>
      <c r="DP192" s="1432"/>
      <c r="DQ192" s="1432"/>
      <c r="DR192" s="1432"/>
      <c r="DS192" s="1432"/>
      <c r="DT192" s="1316"/>
      <c r="DU192" s="1433"/>
      <c r="DV192" s="1433"/>
      <c r="DW192" s="1433"/>
      <c r="DX192" s="1433"/>
      <c r="DY192" s="1433"/>
      <c r="DZ192" s="1433"/>
      <c r="EA192" s="1433"/>
      <c r="EB192" s="1433"/>
    </row>
    <row r="193" customFormat="false" ht="14.25" hidden="false" customHeight="false" outlineLevel="0" collapsed="false">
      <c r="A193" s="2" t="n">
        <f aca="false">'V_DATOS PAC_SGA'!CC188</f>
        <v>0</v>
      </c>
      <c r="B193" s="2" t="n">
        <f aca="false">IF(OR(A193=0,A193=""),0,IF(I193="IV",CONCATENATE('V_DATOS PAC_SGA'!CC188,"4")+0,CONCATENATE('V_DATOS PAC_SGA'!CC188,"0")+0))</f>
        <v>0</v>
      </c>
      <c r="C193" s="2" t="n">
        <f aca="false">'V_DATOS PAC_SGA'!CD188</f>
        <v>0</v>
      </c>
      <c r="D193" s="1409" t="n">
        <f aca="false">'V_DATOS PAC_SGA'!Y188</f>
        <v>0</v>
      </c>
      <c r="E193" s="1410" t="str">
        <f aca="false">IF('V_DATOS PAC_SGA'!AV188="","Regadio",'V_DATOS PAC_SGA'!AV188)</f>
        <v>Regadio</v>
      </c>
      <c r="F193" s="1411" t="n">
        <f aca="false">'V_DATOS PAC_SGA'!BK188</f>
        <v>0</v>
      </c>
      <c r="G193" s="1412" t="n">
        <f aca="false">'V_DATOS PAC_SGA'!AN188</f>
        <v>0</v>
      </c>
      <c r="H193" s="1413" t="str">
        <f aca="false">IF(B193&gt;0,VLOOKUP(B193,'O_MN, PE_UTA_UGM 2024'!E$3:O$419,10),"")</f>
        <v/>
      </c>
      <c r="I193" s="1359" t="str">
        <f aca="false">IF('V_DATOS PAC_SGA'!BV188="IV",'V_DATOS PAC_SGA'!BV188,"")</f>
        <v/>
      </c>
      <c r="J193" s="2" t="str">
        <f aca="false">IF($A193&gt;0,IF(AND(J$4=$G193,J$6=$F193),$D193*J$5,""),"")</f>
        <v/>
      </c>
      <c r="K193" s="2" t="str">
        <f aca="false">IF($A193&gt;0,IF(AND(K$4=$G193,K$6=$F193),$D193*K$5,""),"")</f>
        <v/>
      </c>
      <c r="L193" s="2" t="str">
        <f aca="false">IF($A193&gt;0,IF(AND(L$4=$G193,L$6=$F193),$D193*L$5,""),"")</f>
        <v/>
      </c>
      <c r="M193" s="2" t="str">
        <f aca="false">IF($A193&gt;0,IF(AND(M$4=$G193,M$6=$F193),$D193*M$5,""),"")</f>
        <v/>
      </c>
      <c r="N193" s="1506" t="n">
        <f aca="false">VLOOKUP(B193,'O_MN, PE_UTA_UGM 2024'!$E$2:$K$419,IF(G193&gt;1,6,7))</f>
        <v>0</v>
      </c>
      <c r="O193" s="1434" t="str">
        <f aca="false">IF($H193=O$4,$D193*$N193,"")</f>
        <v/>
      </c>
      <c r="P193" s="1435" t="str">
        <f aca="false">IF($H193=P$4,$D193*$N193,"")</f>
        <v/>
      </c>
      <c r="Q193" s="1435" t="str">
        <f aca="false">IF($H193=Q$4,$D193*$N193,"")</f>
        <v/>
      </c>
      <c r="R193" s="1435" t="str">
        <f aca="false">IF($H193=R$4,$D193*$N193,"")</f>
        <v/>
      </c>
      <c r="S193" s="1435" t="str">
        <f aca="false">IF($H193=S$4,$D193*$N193,"")</f>
        <v/>
      </c>
      <c r="T193" s="1435" t="str">
        <f aca="false">IF($H193=T$4,$D193*$N193,"")</f>
        <v/>
      </c>
      <c r="U193" s="1436" t="str">
        <f aca="false">IF($H193=U$4,$D193*$N193,"")</f>
        <v/>
      </c>
      <c r="V193" s="1418"/>
      <c r="W193" s="1419"/>
      <c r="X193" s="1419"/>
      <c r="Y193" s="1419"/>
      <c r="Z193" s="1419"/>
      <c r="AA193" s="1419"/>
      <c r="AB193" s="1420"/>
      <c r="AC193" s="1319"/>
      <c r="AD193" s="2" t="str">
        <f aca="false">IF(AND(AD$4=$G193,AD$6=$F193),$B193,"")</f>
        <v/>
      </c>
      <c r="AE193" s="2" t="str">
        <f aca="false">IF(AND(AE$4=$G193,AE$6=$F193),$B193,"")</f>
        <v/>
      </c>
      <c r="AF193" s="2" t="str">
        <f aca="false">IF(AND(AF$4=$G193,AF$6=$F193),$B193,"")</f>
        <v/>
      </c>
      <c r="AG193" s="2" t="str">
        <f aca="false">IF(AND(AG$4=$G193,AG$6=$F193),$B193,"")</f>
        <v/>
      </c>
      <c r="AI193" s="366"/>
      <c r="AL193" s="367"/>
      <c r="AO193" s="367"/>
      <c r="AP193" s="2" t="str">
        <f aca="false">IF(AT193&gt;0,RANK(AT193,AT$7:AT$423),"")</f>
        <v/>
      </c>
      <c r="AQ193" s="2" t="n">
        <f aca="false">'O_MN, PE_UTA_UGM 2024'!C189</f>
        <v>189</v>
      </c>
      <c r="AR193" s="1421" t="n">
        <v>1874</v>
      </c>
      <c r="AS193" s="2" t="str">
        <f aca="false">IF(AY193&lt;&gt;"",AY193,"")</f>
        <v/>
      </c>
      <c r="AT193" s="1422" t="n">
        <f aca="false">IF(ISNUMBER($AR193),SUMIF(B$7:B$505,AR193,D$7:D$505),"")</f>
        <v>0</v>
      </c>
      <c r="AU193" s="1411" t="n">
        <f aca="false">IF(ISNUMBER($AR193),SUMIF(AD$7:AD$503,$AR193,J$7:J$503),"")</f>
        <v>0</v>
      </c>
      <c r="AV193" s="1411" t="n">
        <f aca="false">IF(ISNUMBER($AR193),SUMIF(AF$7:AF$503,$AR193,L$7:L$503),"")</f>
        <v>0</v>
      </c>
      <c r="AW193" s="1423" t="n">
        <f aca="false">IF(ISNUMBER($AR193),SUMIF(AE$7:AE$503,$AR193,K$7:K$503),"")</f>
        <v>0</v>
      </c>
      <c r="AX193" s="1423" t="n">
        <f aca="false">IF(ISNUMBER($AR193),SUMIF(AG$7:AG$503,$AR193,M$7:M$503),"")</f>
        <v>0</v>
      </c>
      <c r="AY193" s="2" t="str">
        <f aca="false">IF($AT193&gt;0,VLOOKUP($AR193,'O_MN, PE_UTA_UGM 2024'!E189:O605,2),"")</f>
        <v/>
      </c>
      <c r="AZ193" s="1507"/>
      <c r="BA193" s="1507"/>
      <c r="BB193" s="1507" t="str">
        <f aca="false">IF($AT193&gt;0,VLOOKUP($AR193,'O_MN, PE_UTA_UGM 2024'!$E$3:$O$419,BB$6),"")</f>
        <v/>
      </c>
      <c r="BC193" s="1507" t="str">
        <f aca="false">IF($AT193&gt;0,VLOOKUP($AR193,'O_MN, PE_UTA_UGM 2024'!$E$3:$O$419,BC$6),"")</f>
        <v/>
      </c>
      <c r="BD193" s="1507" t="str">
        <f aca="false">IF($AT193&gt;0,VLOOKUP($AR193,'O_MN, PE_UTA_UGM 2024'!$E$3:$O$419,BD$6),"")</f>
        <v/>
      </c>
      <c r="BE193" s="1507" t="str">
        <f aca="false">IF($AT193&gt;0,VLOOKUP($AR193,'O_MN, PE_UTA_UGM 2024'!$E$3:$O$419,BE$6),"")</f>
        <v/>
      </c>
      <c r="BF193" s="1507" t="str">
        <f aca="false">IF($AT193&gt;0,VLOOKUP($AR193,'O_MN, PE_UTA_UGM 2024'!$E$3:$O$419,BF$6),"")</f>
        <v/>
      </c>
      <c r="BG193" s="1507" t="str">
        <f aca="false">IF($AT193&gt;0,VLOOKUP($AR193,'O_MN, PE_UTA_UGM 2024'!$E$3:$O$419,BG$6),"")</f>
        <v/>
      </c>
      <c r="BH193" s="1504"/>
      <c r="BI193" s="1504"/>
      <c r="BJ193" s="1504"/>
      <c r="BK193" s="1504"/>
      <c r="BM193" s="1411"/>
      <c r="BN193" s="1411"/>
      <c r="BO193" s="1425" t="str">
        <f aca="false">IF(ISNUMBER($AU193*BB193*1),$AU193*BB193*1,"")</f>
        <v/>
      </c>
      <c r="BP193" s="1425" t="str">
        <f aca="false">IF(ISNUMBER($AV193*BC193*1),$AV193*BC193*1,"")</f>
        <v/>
      </c>
      <c r="BQ193" s="1425" t="str">
        <f aca="false">IF(ISNUMBER($AU193*BD193*1),$AU193*BD193*1,"")</f>
        <v/>
      </c>
      <c r="BR193" s="1425" t="str">
        <f aca="false">IF(ISNUMBER($AV193*BE193*1),$AV193*BE193*1,"")</f>
        <v/>
      </c>
      <c r="BS193" s="1411" t="str">
        <f aca="false">IF(ISNUMBER($AU193*BF193),$AU193*BF193,"")</f>
        <v/>
      </c>
      <c r="BT193" s="1411" t="str">
        <f aca="false">IF(ISNUMBER($AV193*BG193),$AV193*BG193,"")</f>
        <v/>
      </c>
      <c r="BU193" s="1411"/>
      <c r="BV193" s="1411"/>
      <c r="BW193" s="1411"/>
      <c r="BX193" s="1411"/>
      <c r="BZ193" s="1372"/>
      <c r="CA193" s="1372"/>
      <c r="CB193" s="1426" t="str">
        <f aca="false">IF(ISNUMBER($AW193*BB193),$AW193*BB193,"")</f>
        <v/>
      </c>
      <c r="CC193" s="1426" t="str">
        <f aca="false">IF(ISNUMBER($AX193*BC193),$AX193*BC193,"")</f>
        <v/>
      </c>
      <c r="CD193" s="1426" t="str">
        <f aca="false">IF(ISNUMBER($AW193*BD193),$AW193*BD193,"")</f>
        <v/>
      </c>
      <c r="CE193" s="1426" t="str">
        <f aca="false">IF(ISNUMBER($AX193*BE193),$AX193*BE193,"")</f>
        <v/>
      </c>
      <c r="CF193" s="1372" t="str">
        <f aca="false">IF(ISNUMBER($AW193*BF193),$AW193*BF193,"")</f>
        <v/>
      </c>
      <c r="CG193" s="1372" t="str">
        <f aca="false">IF(ISNUMBER($AX193*BG193),$AX193*BG193,"")</f>
        <v/>
      </c>
      <c r="CH193" s="1438"/>
      <c r="CI193" s="1438"/>
      <c r="CJ193" s="1438"/>
      <c r="CK193" s="1438"/>
      <c r="CU193" s="1411"/>
      <c r="CV193" s="1411"/>
      <c r="CW193" s="1425"/>
      <c r="CX193" s="1425"/>
      <c r="CY193" s="1425"/>
      <c r="CZ193" s="1425"/>
      <c r="DA193" s="1411"/>
      <c r="DB193" s="1411"/>
      <c r="DC193" s="1411"/>
      <c r="DD193" s="1411"/>
      <c r="DE193" s="1411"/>
      <c r="DF193" s="1411"/>
      <c r="DH193" s="1432"/>
      <c r="DI193" s="1432"/>
      <c r="DJ193" s="1437"/>
      <c r="DK193" s="1437"/>
      <c r="DL193" s="1437"/>
      <c r="DM193" s="1437"/>
      <c r="DN193" s="1432"/>
      <c r="DO193" s="1432"/>
      <c r="DP193" s="1432"/>
      <c r="DQ193" s="1432"/>
      <c r="DR193" s="1432"/>
      <c r="DS193" s="1432"/>
      <c r="DT193" s="1316"/>
      <c r="DU193" s="1433"/>
      <c r="DV193" s="1433"/>
      <c r="DW193" s="1433"/>
      <c r="DX193" s="1433"/>
      <c r="DY193" s="1433"/>
      <c r="DZ193" s="1433"/>
      <c r="EA193" s="1433"/>
      <c r="EB193" s="1433"/>
    </row>
    <row r="194" customFormat="false" ht="14.25" hidden="false" customHeight="false" outlineLevel="0" collapsed="false">
      <c r="A194" s="2" t="n">
        <f aca="false">'V_DATOS PAC_SGA'!CC189</f>
        <v>0</v>
      </c>
      <c r="B194" s="2" t="n">
        <f aca="false">IF(OR(A194=0,A194=""),0,IF(I194="IV",CONCATENATE('V_DATOS PAC_SGA'!CC189,"4")+0,CONCATENATE('V_DATOS PAC_SGA'!CC189,"0")+0))</f>
        <v>0</v>
      </c>
      <c r="C194" s="2" t="n">
        <f aca="false">'V_DATOS PAC_SGA'!CD189</f>
        <v>0</v>
      </c>
      <c r="D194" s="1409" t="n">
        <f aca="false">'V_DATOS PAC_SGA'!Y189</f>
        <v>0</v>
      </c>
      <c r="E194" s="1410" t="str">
        <f aca="false">IF('V_DATOS PAC_SGA'!AV189="","Regadio",'V_DATOS PAC_SGA'!AV189)</f>
        <v>Regadio</v>
      </c>
      <c r="F194" s="1411" t="n">
        <f aca="false">'V_DATOS PAC_SGA'!BK189</f>
        <v>0</v>
      </c>
      <c r="G194" s="1412" t="n">
        <f aca="false">'V_DATOS PAC_SGA'!AN189</f>
        <v>0</v>
      </c>
      <c r="H194" s="1413" t="str">
        <f aca="false">IF(B194&gt;0,VLOOKUP(B194,'O_MN, PE_UTA_UGM 2024'!E$3:O$419,10),"")</f>
        <v/>
      </c>
      <c r="I194" s="1359" t="str">
        <f aca="false">IF('V_DATOS PAC_SGA'!BV189="IV",'V_DATOS PAC_SGA'!BV189,"")</f>
        <v/>
      </c>
      <c r="J194" s="2" t="str">
        <f aca="false">IF($A194&gt;0,IF(AND(J$4=$G194,J$6=$F194),$D194*J$5,""),"")</f>
        <v/>
      </c>
      <c r="K194" s="2" t="str">
        <f aca="false">IF($A194&gt;0,IF(AND(K$4=$G194,K$6=$F194),$D194*K$5,""),"")</f>
        <v/>
      </c>
      <c r="L194" s="2" t="str">
        <f aca="false">IF($A194&gt;0,IF(AND(L$4=$G194,L$6=$F194),$D194*L$5,""),"")</f>
        <v/>
      </c>
      <c r="M194" s="2" t="str">
        <f aca="false">IF($A194&gt;0,IF(AND(M$4=$G194,M$6=$F194),$D194*M$5,""),"")</f>
        <v/>
      </c>
      <c r="N194" s="1506" t="n">
        <f aca="false">VLOOKUP(B194,'O_MN, PE_UTA_UGM 2024'!$E$2:$K$419,IF(G194&gt;1,6,7))</f>
        <v>0</v>
      </c>
      <c r="O194" s="1434" t="str">
        <f aca="false">IF($H194=O$4,$D194*$N194,"")</f>
        <v/>
      </c>
      <c r="P194" s="1435" t="str">
        <f aca="false">IF($H194=P$4,$D194*$N194,"")</f>
        <v/>
      </c>
      <c r="Q194" s="1435" t="str">
        <f aca="false">IF($H194=Q$4,$D194*$N194,"")</f>
        <v/>
      </c>
      <c r="R194" s="1435" t="str">
        <f aca="false">IF($H194=R$4,$D194*$N194,"")</f>
        <v/>
      </c>
      <c r="S194" s="1435" t="str">
        <f aca="false">IF($H194=S$4,$D194*$N194,"")</f>
        <v/>
      </c>
      <c r="T194" s="1435" t="str">
        <f aca="false">IF($H194=T$4,$D194*$N194,"")</f>
        <v/>
      </c>
      <c r="U194" s="1436" t="str">
        <f aca="false">IF($H194=U$4,$D194*$N194,"")</f>
        <v/>
      </c>
      <c r="V194" s="1418"/>
      <c r="W194" s="1419"/>
      <c r="X194" s="1419"/>
      <c r="Y194" s="1419"/>
      <c r="Z194" s="1419"/>
      <c r="AA194" s="1419"/>
      <c r="AB194" s="1420"/>
      <c r="AC194" s="1319"/>
      <c r="AD194" s="2" t="str">
        <f aca="false">IF(AND(AD$4=$G194,AD$6=$F194),$B194,"")</f>
        <v/>
      </c>
      <c r="AE194" s="2" t="str">
        <f aca="false">IF(AND(AE$4=$G194,AE$6=$F194),$B194,"")</f>
        <v/>
      </c>
      <c r="AF194" s="2" t="str">
        <f aca="false">IF(AND(AF$4=$G194,AF$6=$F194),$B194,"")</f>
        <v/>
      </c>
      <c r="AG194" s="2" t="str">
        <f aca="false">IF(AND(AG$4=$G194,AG$6=$F194),$B194,"")</f>
        <v/>
      </c>
      <c r="AI194" s="366"/>
      <c r="AL194" s="367"/>
      <c r="AO194" s="367"/>
      <c r="AP194" s="2" t="str">
        <f aca="false">IF(AT194&gt;0,RANK(AT194,AT$7:AT$423),"")</f>
        <v/>
      </c>
      <c r="AQ194" s="2" t="n">
        <f aca="false">'O_MN, PE_UTA_UGM 2024'!C190</f>
        <v>190</v>
      </c>
      <c r="AR194" s="1421" t="n">
        <v>1879</v>
      </c>
      <c r="AS194" s="2" t="str">
        <f aca="false">IF(AY194&lt;&gt;"",AY194,"")</f>
        <v/>
      </c>
      <c r="AT194" s="1422" t="n">
        <f aca="false">IF(ISNUMBER($AR194),SUMIF(B$7:B$505,AR194,D$7:D$505),"")</f>
        <v>0</v>
      </c>
      <c r="AU194" s="1411" t="n">
        <f aca="false">IF(ISNUMBER($AR194),SUMIF(AD$7:AD$503,$AR194,J$7:J$503),"")</f>
        <v>0</v>
      </c>
      <c r="AV194" s="1411" t="n">
        <f aca="false">IF(ISNUMBER($AR194),SUMIF(AF$7:AF$503,$AR194,L$7:L$503),"")</f>
        <v>0</v>
      </c>
      <c r="AW194" s="1423" t="n">
        <f aca="false">IF(ISNUMBER($AR194),SUMIF(AE$7:AE$503,$AR194,K$7:K$503),"")</f>
        <v>0</v>
      </c>
      <c r="AX194" s="1423" t="n">
        <f aca="false">IF(ISNUMBER($AR194),SUMIF(AG$7:AG$503,$AR194,M$7:M$503),"")</f>
        <v>0</v>
      </c>
      <c r="AY194" s="2" t="str">
        <f aca="false">IF($AT194&gt;0,VLOOKUP($AR194,'O_MN, PE_UTA_UGM 2024'!E190:O606,2),"")</f>
        <v/>
      </c>
      <c r="AZ194" s="1507"/>
      <c r="BA194" s="1507"/>
      <c r="BB194" s="1507" t="str">
        <f aca="false">IF($AT194&gt;0,VLOOKUP($AR194,'O_MN, PE_UTA_UGM 2024'!$E$3:$O$419,BB$6),"")</f>
        <v/>
      </c>
      <c r="BC194" s="1507" t="str">
        <f aca="false">IF($AT194&gt;0,VLOOKUP($AR194,'O_MN, PE_UTA_UGM 2024'!$E$3:$O$419,BC$6),"")</f>
        <v/>
      </c>
      <c r="BD194" s="1507" t="str">
        <f aca="false">IF($AT194&gt;0,VLOOKUP($AR194,'O_MN, PE_UTA_UGM 2024'!$E$3:$O$419,BD$6),"")</f>
        <v/>
      </c>
      <c r="BE194" s="1507" t="str">
        <f aca="false">IF($AT194&gt;0,VLOOKUP($AR194,'O_MN, PE_UTA_UGM 2024'!$E$3:$O$419,BE$6),"")</f>
        <v/>
      </c>
      <c r="BF194" s="1507" t="str">
        <f aca="false">IF($AT194&gt;0,VLOOKUP($AR194,'O_MN, PE_UTA_UGM 2024'!$E$3:$O$419,BF$6),"")</f>
        <v/>
      </c>
      <c r="BG194" s="1507" t="str">
        <f aca="false">IF($AT194&gt;0,VLOOKUP($AR194,'O_MN, PE_UTA_UGM 2024'!$E$3:$O$419,BG$6),"")</f>
        <v/>
      </c>
      <c r="BH194" s="1504"/>
      <c r="BI194" s="1504"/>
      <c r="BJ194" s="1504"/>
      <c r="BK194" s="1504"/>
      <c r="BM194" s="1411"/>
      <c r="BN194" s="1411"/>
      <c r="BO194" s="1425" t="str">
        <f aca="false">IF(ISNUMBER($AU194*BB194*1),$AU194*BB194*1,"")</f>
        <v/>
      </c>
      <c r="BP194" s="1425" t="str">
        <f aca="false">IF(ISNUMBER($AV194*BC194*1),$AV194*BC194*1,"")</f>
        <v/>
      </c>
      <c r="BQ194" s="1425" t="str">
        <f aca="false">IF(ISNUMBER($AU194*BD194*1),$AU194*BD194*1,"")</f>
        <v/>
      </c>
      <c r="BR194" s="1425" t="str">
        <f aca="false">IF(ISNUMBER($AV194*BE194*1),$AV194*BE194*1,"")</f>
        <v/>
      </c>
      <c r="BS194" s="1411" t="str">
        <f aca="false">IF(ISNUMBER($AU194*BF194),$AU194*BF194,"")</f>
        <v/>
      </c>
      <c r="BT194" s="1411" t="str">
        <f aca="false">IF(ISNUMBER($AV194*BG194),$AV194*BG194,"")</f>
        <v/>
      </c>
      <c r="BU194" s="1411"/>
      <c r="BV194" s="1411"/>
      <c r="BW194" s="1411"/>
      <c r="BX194" s="1411"/>
      <c r="BZ194" s="1372"/>
      <c r="CA194" s="1372"/>
      <c r="CB194" s="1426" t="str">
        <f aca="false">IF(ISNUMBER($AW194*BB194),$AW194*BB194,"")</f>
        <v/>
      </c>
      <c r="CC194" s="1426" t="str">
        <f aca="false">IF(ISNUMBER($AX194*BC194),$AX194*BC194,"")</f>
        <v/>
      </c>
      <c r="CD194" s="1426" t="str">
        <f aca="false">IF(ISNUMBER($AW194*BD194),$AW194*BD194,"")</f>
        <v/>
      </c>
      <c r="CE194" s="1426" t="str">
        <f aca="false">IF(ISNUMBER($AX194*BE194),$AX194*BE194,"")</f>
        <v/>
      </c>
      <c r="CF194" s="1372" t="str">
        <f aca="false">IF(ISNUMBER($AW194*BF194),$AW194*BF194,"")</f>
        <v/>
      </c>
      <c r="CG194" s="1372" t="str">
        <f aca="false">IF(ISNUMBER($AX194*BG194),$AX194*BG194,"")</f>
        <v/>
      </c>
      <c r="CH194" s="1438"/>
      <c r="CI194" s="1438"/>
      <c r="CJ194" s="1438"/>
      <c r="CK194" s="1438"/>
      <c r="CU194" s="1411"/>
      <c r="CV194" s="1411"/>
      <c r="CW194" s="1425"/>
      <c r="CX194" s="1425"/>
      <c r="CY194" s="1425"/>
      <c r="CZ194" s="1425"/>
      <c r="DA194" s="1411"/>
      <c r="DB194" s="1411"/>
      <c r="DC194" s="1411"/>
      <c r="DD194" s="1411"/>
      <c r="DE194" s="1411"/>
      <c r="DF194" s="1411"/>
      <c r="DH194" s="1432"/>
      <c r="DI194" s="1432"/>
      <c r="DJ194" s="1437"/>
      <c r="DK194" s="1437"/>
      <c r="DL194" s="1437"/>
      <c r="DM194" s="1437"/>
      <c r="DN194" s="1432"/>
      <c r="DO194" s="1432"/>
      <c r="DP194" s="1432"/>
      <c r="DQ194" s="1432"/>
      <c r="DR194" s="1432"/>
      <c r="DS194" s="1432"/>
      <c r="DT194" s="1316"/>
      <c r="DU194" s="1433"/>
      <c r="DV194" s="1433"/>
      <c r="DW194" s="1433"/>
      <c r="DX194" s="1433"/>
      <c r="DY194" s="1433"/>
      <c r="DZ194" s="1433"/>
      <c r="EA194" s="1433"/>
      <c r="EB194" s="1433"/>
    </row>
    <row r="195" customFormat="false" ht="14.25" hidden="false" customHeight="false" outlineLevel="0" collapsed="false">
      <c r="A195" s="2" t="n">
        <f aca="false">'V_DATOS PAC_SGA'!CC190</f>
        <v>0</v>
      </c>
      <c r="B195" s="2" t="n">
        <f aca="false">IF(OR(A195=0,A195=""),0,IF(I195="IV",CONCATENATE('V_DATOS PAC_SGA'!CC190,"4")+0,CONCATENATE('V_DATOS PAC_SGA'!CC190,"0")+0))</f>
        <v>0</v>
      </c>
      <c r="C195" s="2" t="n">
        <f aca="false">'V_DATOS PAC_SGA'!CD190</f>
        <v>0</v>
      </c>
      <c r="D195" s="1409" t="n">
        <f aca="false">'V_DATOS PAC_SGA'!Y190</f>
        <v>0</v>
      </c>
      <c r="E195" s="1410" t="str">
        <f aca="false">IF('V_DATOS PAC_SGA'!AV190="","Regadio",'V_DATOS PAC_SGA'!AV190)</f>
        <v>Regadio</v>
      </c>
      <c r="F195" s="1411" t="n">
        <f aca="false">'V_DATOS PAC_SGA'!BK190</f>
        <v>0</v>
      </c>
      <c r="G195" s="1412" t="n">
        <f aca="false">'V_DATOS PAC_SGA'!AN190</f>
        <v>0</v>
      </c>
      <c r="H195" s="1413" t="str">
        <f aca="false">IF(B195&gt;0,VLOOKUP(B195,'O_MN, PE_UTA_UGM 2024'!E$3:O$419,10),"")</f>
        <v/>
      </c>
      <c r="I195" s="1359" t="str">
        <f aca="false">IF('V_DATOS PAC_SGA'!BV190="IV",'V_DATOS PAC_SGA'!BV190,"")</f>
        <v/>
      </c>
      <c r="J195" s="2" t="str">
        <f aca="false">IF($A195&gt;0,IF(AND(J$4=$G195,J$6=$F195),$D195*J$5,""),"")</f>
        <v/>
      </c>
      <c r="K195" s="2" t="str">
        <f aca="false">IF($A195&gt;0,IF(AND(K$4=$G195,K$6=$F195),$D195*K$5,""),"")</f>
        <v/>
      </c>
      <c r="L195" s="2" t="str">
        <f aca="false">IF($A195&gt;0,IF(AND(L$4=$G195,L$6=$F195),$D195*L$5,""),"")</f>
        <v/>
      </c>
      <c r="M195" s="2" t="str">
        <f aca="false">IF($A195&gt;0,IF(AND(M$4=$G195,M$6=$F195),$D195*M$5,""),"")</f>
        <v/>
      </c>
      <c r="N195" s="1506" t="n">
        <f aca="false">VLOOKUP(B195,'O_MN, PE_UTA_UGM 2024'!$E$2:$K$419,IF(G195&gt;1,6,7))</f>
        <v>0</v>
      </c>
      <c r="O195" s="1434" t="str">
        <f aca="false">IF($H195=O$4,$D195*$N195,"")</f>
        <v/>
      </c>
      <c r="P195" s="1435" t="str">
        <f aca="false">IF($H195=P$4,$D195*$N195,"")</f>
        <v/>
      </c>
      <c r="Q195" s="1435" t="str">
        <f aca="false">IF($H195=Q$4,$D195*$N195,"")</f>
        <v/>
      </c>
      <c r="R195" s="1435" t="str">
        <f aca="false">IF($H195=R$4,$D195*$N195,"")</f>
        <v/>
      </c>
      <c r="S195" s="1435" t="str">
        <f aca="false">IF($H195=S$4,$D195*$N195,"")</f>
        <v/>
      </c>
      <c r="T195" s="1435" t="str">
        <f aca="false">IF($H195=T$4,$D195*$N195,"")</f>
        <v/>
      </c>
      <c r="U195" s="1436" t="str">
        <f aca="false">IF($H195=U$4,$D195*$N195,"")</f>
        <v/>
      </c>
      <c r="V195" s="1418"/>
      <c r="W195" s="1419"/>
      <c r="X195" s="1419"/>
      <c r="Y195" s="1419"/>
      <c r="Z195" s="1419"/>
      <c r="AA195" s="1419"/>
      <c r="AB195" s="1420"/>
      <c r="AC195" s="1319"/>
      <c r="AD195" s="2" t="str">
        <f aca="false">IF(AND(AD$4=$G195,AD$6=$F195),$B195,"")</f>
        <v/>
      </c>
      <c r="AE195" s="2" t="str">
        <f aca="false">IF(AND(AE$4=$G195,AE$6=$F195),$B195,"")</f>
        <v/>
      </c>
      <c r="AF195" s="2" t="str">
        <f aca="false">IF(AND(AF$4=$G195,AF$6=$F195),$B195,"")</f>
        <v/>
      </c>
      <c r="AG195" s="2" t="str">
        <f aca="false">IF(AND(AG$4=$G195,AG$6=$F195),$B195,"")</f>
        <v/>
      </c>
      <c r="AI195" s="366"/>
      <c r="AL195" s="367"/>
      <c r="AO195" s="367"/>
      <c r="AP195" s="2" t="str">
        <f aca="false">IF(AT195&gt;0,RANK(AT195,AT$7:AT$423),"")</f>
        <v/>
      </c>
      <c r="AQ195" s="2" t="n">
        <f aca="false">'O_MN, PE_UTA_UGM 2024'!C191</f>
        <v>190</v>
      </c>
      <c r="AR195" s="1421" t="n">
        <v>1890</v>
      </c>
      <c r="AS195" s="2" t="str">
        <f aca="false">IF(AY195&lt;&gt;"",AY195,"")</f>
        <v/>
      </c>
      <c r="AT195" s="1422" t="n">
        <f aca="false">IF(ISNUMBER($AR195),SUMIF(B$7:B$505,AR195,D$7:D$505),"")</f>
        <v>0</v>
      </c>
      <c r="AU195" s="1411" t="n">
        <f aca="false">IF(ISNUMBER($AR195),SUMIF(AD$7:AD$503,$AR195,J$7:J$503),"")</f>
        <v>0</v>
      </c>
      <c r="AV195" s="1411" t="n">
        <f aca="false">IF(ISNUMBER($AR195),SUMIF(AF$7:AF$503,$AR195,L$7:L$503),"")</f>
        <v>0</v>
      </c>
      <c r="AW195" s="1423" t="n">
        <f aca="false">IF(ISNUMBER($AR195),SUMIF(AE$7:AE$503,$AR195,K$7:K$503),"")</f>
        <v>0</v>
      </c>
      <c r="AX195" s="1423" t="n">
        <f aca="false">IF(ISNUMBER($AR195),SUMIF(AG$7:AG$503,$AR195,M$7:M$503),"")</f>
        <v>0</v>
      </c>
      <c r="AY195" s="2" t="str">
        <f aca="false">IF($AT195&gt;0,VLOOKUP($AR195,'O_MN, PE_UTA_UGM 2024'!E191:O607,2),"")</f>
        <v/>
      </c>
      <c r="AZ195" s="1507"/>
      <c r="BA195" s="1507"/>
      <c r="BB195" s="1507" t="str">
        <f aca="false">IF($AT195&gt;0,VLOOKUP($AR195,'O_MN, PE_UTA_UGM 2024'!$E$3:$O$419,BB$6),"")</f>
        <v/>
      </c>
      <c r="BC195" s="1507" t="str">
        <f aca="false">IF($AT195&gt;0,VLOOKUP($AR195,'O_MN, PE_UTA_UGM 2024'!$E$3:$O$419,BC$6),"")</f>
        <v/>
      </c>
      <c r="BD195" s="1507" t="str">
        <f aca="false">IF($AT195&gt;0,VLOOKUP($AR195,'O_MN, PE_UTA_UGM 2024'!$E$3:$O$419,BD$6),"")</f>
        <v/>
      </c>
      <c r="BE195" s="1507" t="str">
        <f aca="false">IF($AT195&gt;0,VLOOKUP($AR195,'O_MN, PE_UTA_UGM 2024'!$E$3:$O$419,BE$6),"")</f>
        <v/>
      </c>
      <c r="BF195" s="1507" t="str">
        <f aca="false">IF($AT195&gt;0,VLOOKUP($AR195,'O_MN, PE_UTA_UGM 2024'!$E$3:$O$419,BF$6),"")</f>
        <v/>
      </c>
      <c r="BG195" s="1507" t="str">
        <f aca="false">IF($AT195&gt;0,VLOOKUP($AR195,'O_MN, PE_UTA_UGM 2024'!$E$3:$O$419,BG$6),"")</f>
        <v/>
      </c>
      <c r="BH195" s="1504"/>
      <c r="BI195" s="1504"/>
      <c r="BJ195" s="1504"/>
      <c r="BK195" s="1504"/>
      <c r="BM195" s="1411"/>
      <c r="BN195" s="1411"/>
      <c r="BO195" s="1425" t="str">
        <f aca="false">IF(ISNUMBER($AU195*BB195*1),$AU195*BB195*1,"")</f>
        <v/>
      </c>
      <c r="BP195" s="1425" t="str">
        <f aca="false">IF(ISNUMBER($AV195*BC195*1),$AV195*BC195*1,"")</f>
        <v/>
      </c>
      <c r="BQ195" s="1425" t="str">
        <f aca="false">IF(ISNUMBER($AU195*BD195*1),$AU195*BD195*1,"")</f>
        <v/>
      </c>
      <c r="BR195" s="1425" t="str">
        <f aca="false">IF(ISNUMBER($AV195*BE195*1),$AV195*BE195*1,"")</f>
        <v/>
      </c>
      <c r="BS195" s="1411" t="str">
        <f aca="false">IF(ISNUMBER($AU195*BF195),$AU195*BF195,"")</f>
        <v/>
      </c>
      <c r="BT195" s="1411" t="str">
        <f aca="false">IF(ISNUMBER($AV195*BG195),$AV195*BG195,"")</f>
        <v/>
      </c>
      <c r="BU195" s="1411"/>
      <c r="BV195" s="1411"/>
      <c r="BW195" s="1411"/>
      <c r="BX195" s="1411"/>
      <c r="BZ195" s="1372"/>
      <c r="CA195" s="1372"/>
      <c r="CB195" s="1426" t="str">
        <f aca="false">IF(ISNUMBER($AW195*BB195),$AW195*BB195,"")</f>
        <v/>
      </c>
      <c r="CC195" s="1426" t="str">
        <f aca="false">IF(ISNUMBER($AX195*BC195),$AX195*BC195,"")</f>
        <v/>
      </c>
      <c r="CD195" s="1426" t="str">
        <f aca="false">IF(ISNUMBER($AW195*BD195),$AW195*BD195,"")</f>
        <v/>
      </c>
      <c r="CE195" s="1426" t="str">
        <f aca="false">IF(ISNUMBER($AX195*BE195),$AX195*BE195,"")</f>
        <v/>
      </c>
      <c r="CF195" s="1372" t="str">
        <f aca="false">IF(ISNUMBER($AW195*BF195),$AW195*BF195,"")</f>
        <v/>
      </c>
      <c r="CG195" s="1372" t="str">
        <f aca="false">IF(ISNUMBER($AX195*BG195),$AX195*BG195,"")</f>
        <v/>
      </c>
      <c r="CH195" s="1438"/>
      <c r="CI195" s="1438"/>
      <c r="CJ195" s="1438"/>
      <c r="CK195" s="1438"/>
      <c r="CU195" s="1411"/>
      <c r="CV195" s="1411"/>
      <c r="CW195" s="1425"/>
      <c r="CX195" s="1425"/>
      <c r="CY195" s="1425"/>
      <c r="CZ195" s="1425"/>
      <c r="DA195" s="1411"/>
      <c r="DB195" s="1411"/>
      <c r="DC195" s="1411"/>
      <c r="DD195" s="1411"/>
      <c r="DE195" s="1411"/>
      <c r="DF195" s="1411"/>
      <c r="DH195" s="1432"/>
      <c r="DI195" s="1432"/>
      <c r="DJ195" s="1437"/>
      <c r="DK195" s="1437"/>
      <c r="DL195" s="1437"/>
      <c r="DM195" s="1437"/>
      <c r="DN195" s="1432"/>
      <c r="DO195" s="1432"/>
      <c r="DP195" s="1432"/>
      <c r="DQ195" s="1432"/>
      <c r="DR195" s="1432"/>
      <c r="DS195" s="1432"/>
      <c r="DT195" s="1316"/>
      <c r="DU195" s="1433"/>
      <c r="DV195" s="1433"/>
      <c r="DW195" s="1433"/>
      <c r="DX195" s="1433"/>
      <c r="DY195" s="1433"/>
      <c r="DZ195" s="1433"/>
      <c r="EA195" s="1433"/>
      <c r="EB195" s="1433"/>
    </row>
    <row r="196" customFormat="false" ht="14.25" hidden="false" customHeight="false" outlineLevel="0" collapsed="false">
      <c r="A196" s="2" t="n">
        <f aca="false">'V_DATOS PAC_SGA'!CC191</f>
        <v>0</v>
      </c>
      <c r="B196" s="2" t="n">
        <f aca="false">IF(OR(A196=0,A196=""),0,IF(I196="IV",CONCATENATE('V_DATOS PAC_SGA'!CC191,"4")+0,CONCATENATE('V_DATOS PAC_SGA'!CC191,"0")+0))</f>
        <v>0</v>
      </c>
      <c r="C196" s="2" t="n">
        <f aca="false">'V_DATOS PAC_SGA'!CD191</f>
        <v>0</v>
      </c>
      <c r="D196" s="1409" t="n">
        <f aca="false">'V_DATOS PAC_SGA'!Y191</f>
        <v>0</v>
      </c>
      <c r="E196" s="1410" t="str">
        <f aca="false">IF('V_DATOS PAC_SGA'!AV191="","Regadio",'V_DATOS PAC_SGA'!AV191)</f>
        <v>Regadio</v>
      </c>
      <c r="F196" s="1411" t="n">
        <f aca="false">'V_DATOS PAC_SGA'!BK191</f>
        <v>0</v>
      </c>
      <c r="G196" s="1412" t="n">
        <f aca="false">'V_DATOS PAC_SGA'!AN191</f>
        <v>0</v>
      </c>
      <c r="H196" s="1413" t="str">
        <f aca="false">IF(B196&gt;0,VLOOKUP(B196,'O_MN, PE_UTA_UGM 2024'!E$3:O$419,10),"")</f>
        <v/>
      </c>
      <c r="I196" s="1359" t="str">
        <f aca="false">IF('V_DATOS PAC_SGA'!BV191="IV",'V_DATOS PAC_SGA'!BV191,"")</f>
        <v/>
      </c>
      <c r="J196" s="2" t="str">
        <f aca="false">IF($A196&gt;0,IF(AND(J$4=$G196,J$6=$F196),$D196*J$5,""),"")</f>
        <v/>
      </c>
      <c r="K196" s="2" t="str">
        <f aca="false">IF($A196&gt;0,IF(AND(K$4=$G196,K$6=$F196),$D196*K$5,""),"")</f>
        <v/>
      </c>
      <c r="L196" s="2" t="str">
        <f aca="false">IF($A196&gt;0,IF(AND(L$4=$G196,L$6=$F196),$D196*L$5,""),"")</f>
        <v/>
      </c>
      <c r="M196" s="2" t="str">
        <f aca="false">IF($A196&gt;0,IF(AND(M$4=$G196,M$6=$F196),$D196*M$5,""),"")</f>
        <v/>
      </c>
      <c r="N196" s="1506" t="n">
        <f aca="false">VLOOKUP(B196,'O_MN, PE_UTA_UGM 2024'!$E$2:$K$419,IF(G196&gt;1,6,7))</f>
        <v>0</v>
      </c>
      <c r="O196" s="1434" t="str">
        <f aca="false">IF($H196=O$4,$D196*$N196,"")</f>
        <v/>
      </c>
      <c r="P196" s="1435" t="str">
        <f aca="false">IF($H196=P$4,$D196*$N196,"")</f>
        <v/>
      </c>
      <c r="Q196" s="1435" t="str">
        <f aca="false">IF($H196=Q$4,$D196*$N196,"")</f>
        <v/>
      </c>
      <c r="R196" s="1435" t="str">
        <f aca="false">IF($H196=R$4,$D196*$N196,"")</f>
        <v/>
      </c>
      <c r="S196" s="1435" t="str">
        <f aca="false">IF($H196=S$4,$D196*$N196,"")</f>
        <v/>
      </c>
      <c r="T196" s="1435" t="str">
        <f aca="false">IF($H196=T$4,$D196*$N196,"")</f>
        <v/>
      </c>
      <c r="U196" s="1436" t="str">
        <f aca="false">IF($H196=U$4,$D196*$N196,"")</f>
        <v/>
      </c>
      <c r="V196" s="1418"/>
      <c r="W196" s="1419"/>
      <c r="X196" s="1419"/>
      <c r="Y196" s="1419"/>
      <c r="Z196" s="1419"/>
      <c r="AA196" s="1419"/>
      <c r="AB196" s="1420"/>
      <c r="AC196" s="1319"/>
      <c r="AD196" s="2" t="str">
        <f aca="false">IF(AND(AD$4=$G196,AD$6=$F196),$B196,"")</f>
        <v/>
      </c>
      <c r="AE196" s="2" t="str">
        <f aca="false">IF(AND(AE$4=$G196,AE$6=$F196),$B196,"")</f>
        <v/>
      </c>
      <c r="AF196" s="2" t="str">
        <f aca="false">IF(AND(AF$4=$G196,AF$6=$F196),$B196,"")</f>
        <v/>
      </c>
      <c r="AG196" s="2" t="str">
        <f aca="false">IF(AND(AG$4=$G196,AG$6=$F196),$B196,"")</f>
        <v/>
      </c>
      <c r="AI196" s="366"/>
      <c r="AL196" s="367"/>
      <c r="AO196" s="367"/>
      <c r="AP196" s="2" t="str">
        <f aca="false">IF(AT196&gt;0,RANK(AT196,AT$7:AT$423),"")</f>
        <v/>
      </c>
      <c r="AQ196" s="2" t="n">
        <f aca="false">'O_MN, PE_UTA_UGM 2024'!C192</f>
        <v>190</v>
      </c>
      <c r="AR196" s="1421" t="n">
        <v>1894</v>
      </c>
      <c r="AS196" s="2" t="str">
        <f aca="false">IF(AY196&lt;&gt;"",AY196,"")</f>
        <v/>
      </c>
      <c r="AT196" s="1422" t="n">
        <f aca="false">IF(ISNUMBER($AR196),SUMIF(B$7:B$505,AR196,D$7:D$505),"")</f>
        <v>0</v>
      </c>
      <c r="AU196" s="1411" t="n">
        <f aca="false">IF(ISNUMBER($AR196),SUMIF(AD$7:AD$503,$AR196,J$7:J$503),"")</f>
        <v>0</v>
      </c>
      <c r="AV196" s="1411" t="n">
        <f aca="false">IF(ISNUMBER($AR196),SUMIF(AF$7:AF$503,$AR196,L$7:L$503),"")</f>
        <v>0</v>
      </c>
      <c r="AW196" s="1423" t="n">
        <f aca="false">IF(ISNUMBER($AR196),SUMIF(AE$7:AE$503,$AR196,K$7:K$503),"")</f>
        <v>0</v>
      </c>
      <c r="AX196" s="1423" t="n">
        <f aca="false">IF(ISNUMBER($AR196),SUMIF(AG$7:AG$503,$AR196,M$7:M$503),"")</f>
        <v>0</v>
      </c>
      <c r="AY196" s="2" t="str">
        <f aca="false">IF($AT196&gt;0,VLOOKUP($AR196,'O_MN, PE_UTA_UGM 2024'!E192:O608,2),"")</f>
        <v/>
      </c>
      <c r="AZ196" s="1507"/>
      <c r="BA196" s="1507"/>
      <c r="BB196" s="1507" t="str">
        <f aca="false">IF($AT196&gt;0,VLOOKUP($AR196,'O_MN, PE_UTA_UGM 2024'!$E$3:$O$419,BB$6),"")</f>
        <v/>
      </c>
      <c r="BC196" s="1507" t="str">
        <f aca="false">IF($AT196&gt;0,VLOOKUP($AR196,'O_MN, PE_UTA_UGM 2024'!$E$3:$O$419,BC$6),"")</f>
        <v/>
      </c>
      <c r="BD196" s="1507" t="str">
        <f aca="false">IF($AT196&gt;0,VLOOKUP($AR196,'O_MN, PE_UTA_UGM 2024'!$E$3:$O$419,BD$6),"")</f>
        <v/>
      </c>
      <c r="BE196" s="1507" t="str">
        <f aca="false">IF($AT196&gt;0,VLOOKUP($AR196,'O_MN, PE_UTA_UGM 2024'!$E$3:$O$419,BE$6),"")</f>
        <v/>
      </c>
      <c r="BF196" s="1507" t="str">
        <f aca="false">IF($AT196&gt;0,VLOOKUP($AR196,'O_MN, PE_UTA_UGM 2024'!$E$3:$O$419,BF$6),"")</f>
        <v/>
      </c>
      <c r="BG196" s="1507" t="str">
        <f aca="false">IF($AT196&gt;0,VLOOKUP($AR196,'O_MN, PE_UTA_UGM 2024'!$E$3:$O$419,BG$6),"")</f>
        <v/>
      </c>
      <c r="BH196" s="1504"/>
      <c r="BI196" s="1504"/>
      <c r="BJ196" s="1504"/>
      <c r="BK196" s="1504"/>
      <c r="BM196" s="1411"/>
      <c r="BN196" s="1411"/>
      <c r="BO196" s="1425" t="str">
        <f aca="false">IF(ISNUMBER($AU196*BB196*1),$AU196*BB196*1,"")</f>
        <v/>
      </c>
      <c r="BP196" s="1425" t="str">
        <f aca="false">IF(ISNUMBER($AV196*BC196*1),$AV196*BC196*1,"")</f>
        <v/>
      </c>
      <c r="BQ196" s="1425" t="str">
        <f aca="false">IF(ISNUMBER($AU196*BD196*1),$AU196*BD196*1,"")</f>
        <v/>
      </c>
      <c r="BR196" s="1425" t="str">
        <f aca="false">IF(ISNUMBER($AV196*BE196*1),$AV196*BE196*1,"")</f>
        <v/>
      </c>
      <c r="BS196" s="1411" t="str">
        <f aca="false">IF(ISNUMBER($AU196*BF196),$AU196*BF196,"")</f>
        <v/>
      </c>
      <c r="BT196" s="1411" t="str">
        <f aca="false">IF(ISNUMBER($AV196*BG196),$AV196*BG196,"")</f>
        <v/>
      </c>
      <c r="BU196" s="1411"/>
      <c r="BV196" s="1411"/>
      <c r="BW196" s="1411"/>
      <c r="BX196" s="1411"/>
      <c r="BZ196" s="1372"/>
      <c r="CA196" s="1372"/>
      <c r="CB196" s="1426" t="str">
        <f aca="false">IF(ISNUMBER($AW196*BB196),$AW196*BB196,"")</f>
        <v/>
      </c>
      <c r="CC196" s="1426" t="str">
        <f aca="false">IF(ISNUMBER($AX196*BC196),$AX196*BC196,"")</f>
        <v/>
      </c>
      <c r="CD196" s="1426" t="str">
        <f aca="false">IF(ISNUMBER($AW196*BD196),$AW196*BD196,"")</f>
        <v/>
      </c>
      <c r="CE196" s="1426" t="str">
        <f aca="false">IF(ISNUMBER($AX196*BE196),$AX196*BE196,"")</f>
        <v/>
      </c>
      <c r="CF196" s="1372" t="str">
        <f aca="false">IF(ISNUMBER($AW196*BF196),$AW196*BF196,"")</f>
        <v/>
      </c>
      <c r="CG196" s="1372" t="str">
        <f aca="false">IF(ISNUMBER($AX196*BG196),$AX196*BG196,"")</f>
        <v/>
      </c>
      <c r="CH196" s="1438"/>
      <c r="CI196" s="1438"/>
      <c r="CJ196" s="1438"/>
      <c r="CK196" s="1438"/>
      <c r="CU196" s="1411"/>
      <c r="CV196" s="1411"/>
      <c r="CW196" s="1425"/>
      <c r="CX196" s="1425"/>
      <c r="CY196" s="1425"/>
      <c r="CZ196" s="1425"/>
      <c r="DA196" s="1411"/>
      <c r="DB196" s="1411"/>
      <c r="DC196" s="1411"/>
      <c r="DD196" s="1411"/>
      <c r="DE196" s="1411"/>
      <c r="DF196" s="1411"/>
      <c r="DH196" s="1432"/>
      <c r="DI196" s="1432"/>
      <c r="DJ196" s="1437"/>
      <c r="DK196" s="1437"/>
      <c r="DL196" s="1437"/>
      <c r="DM196" s="1437"/>
      <c r="DN196" s="1432"/>
      <c r="DO196" s="1432"/>
      <c r="DP196" s="1432"/>
      <c r="DQ196" s="1432"/>
      <c r="DR196" s="1432"/>
      <c r="DS196" s="1432"/>
      <c r="DT196" s="1316"/>
      <c r="DU196" s="1433"/>
      <c r="DV196" s="1433"/>
      <c r="DW196" s="1433"/>
      <c r="DX196" s="1433"/>
      <c r="DY196" s="1433"/>
      <c r="DZ196" s="1433"/>
      <c r="EA196" s="1433"/>
      <c r="EB196" s="1433"/>
    </row>
    <row r="197" customFormat="false" ht="14.25" hidden="false" customHeight="false" outlineLevel="0" collapsed="false">
      <c r="A197" s="2" t="n">
        <f aca="false">'V_DATOS PAC_SGA'!CC192</f>
        <v>0</v>
      </c>
      <c r="B197" s="2" t="n">
        <f aca="false">IF(OR(A197=0,A197=""),0,IF(I197="IV",CONCATENATE('V_DATOS PAC_SGA'!CC192,"4")+0,CONCATENATE('V_DATOS PAC_SGA'!CC192,"0")+0))</f>
        <v>0</v>
      </c>
      <c r="C197" s="2" t="n">
        <f aca="false">'V_DATOS PAC_SGA'!CD192</f>
        <v>0</v>
      </c>
      <c r="D197" s="1409" t="n">
        <f aca="false">'V_DATOS PAC_SGA'!Y192</f>
        <v>0</v>
      </c>
      <c r="E197" s="1410" t="str">
        <f aca="false">IF('V_DATOS PAC_SGA'!AV192="","Regadio",'V_DATOS PAC_SGA'!AV192)</f>
        <v>Regadio</v>
      </c>
      <c r="F197" s="1411" t="n">
        <f aca="false">'V_DATOS PAC_SGA'!BK192</f>
        <v>0</v>
      </c>
      <c r="G197" s="1412" t="n">
        <f aca="false">'V_DATOS PAC_SGA'!AN192</f>
        <v>0</v>
      </c>
      <c r="H197" s="1413" t="str">
        <f aca="false">IF(B197&gt;0,VLOOKUP(B197,'O_MN, PE_UTA_UGM 2024'!E$3:O$419,10),"")</f>
        <v/>
      </c>
      <c r="I197" s="1359" t="str">
        <f aca="false">IF('V_DATOS PAC_SGA'!BV192="IV",'V_DATOS PAC_SGA'!BV192,"")</f>
        <v/>
      </c>
      <c r="J197" s="2" t="str">
        <f aca="false">IF($A197&gt;0,IF(AND(J$4=$G197,J$6=$F197),$D197*J$5,""),"")</f>
        <v/>
      </c>
      <c r="K197" s="2" t="str">
        <f aca="false">IF($A197&gt;0,IF(AND(K$4=$G197,K$6=$F197),$D197*K$5,""),"")</f>
        <v/>
      </c>
      <c r="L197" s="2" t="str">
        <f aca="false">IF($A197&gt;0,IF(AND(L$4=$G197,L$6=$F197),$D197*L$5,""),"")</f>
        <v/>
      </c>
      <c r="M197" s="2" t="str">
        <f aca="false">IF($A197&gt;0,IF(AND(M$4=$G197,M$6=$F197),$D197*M$5,""),"")</f>
        <v/>
      </c>
      <c r="N197" s="1506" t="n">
        <f aca="false">VLOOKUP(B197,'O_MN, PE_UTA_UGM 2024'!$E$2:$K$419,IF(G197&gt;1,6,7))</f>
        <v>0</v>
      </c>
      <c r="O197" s="1434" t="str">
        <f aca="false">IF($H197=O$4,$D197*$N197,"")</f>
        <v/>
      </c>
      <c r="P197" s="1435" t="str">
        <f aca="false">IF($H197=P$4,$D197*$N197,"")</f>
        <v/>
      </c>
      <c r="Q197" s="1435" t="str">
        <f aca="false">IF($H197=Q$4,$D197*$N197,"")</f>
        <v/>
      </c>
      <c r="R197" s="1435" t="str">
        <f aca="false">IF($H197=R$4,$D197*$N197,"")</f>
        <v/>
      </c>
      <c r="S197" s="1435" t="str">
        <f aca="false">IF($H197=S$4,$D197*$N197,"")</f>
        <v/>
      </c>
      <c r="T197" s="1435" t="str">
        <f aca="false">IF($H197=T$4,$D197*$N197,"")</f>
        <v/>
      </c>
      <c r="U197" s="1436" t="str">
        <f aca="false">IF($H197=U$4,$D197*$N197,"")</f>
        <v/>
      </c>
      <c r="V197" s="1418"/>
      <c r="W197" s="1419"/>
      <c r="X197" s="1419"/>
      <c r="Y197" s="1419"/>
      <c r="Z197" s="1419"/>
      <c r="AA197" s="1419"/>
      <c r="AB197" s="1420"/>
      <c r="AC197" s="1319"/>
      <c r="AD197" s="2" t="str">
        <f aca="false">IF(AND(AD$4=$G197,AD$6=$F197),$B197,"")</f>
        <v/>
      </c>
      <c r="AE197" s="2" t="str">
        <f aca="false">IF(AND(AE$4=$G197,AE$6=$F197),$B197,"")</f>
        <v/>
      </c>
      <c r="AF197" s="2" t="str">
        <f aca="false">IF(AND(AF$4=$G197,AF$6=$F197),$B197,"")</f>
        <v/>
      </c>
      <c r="AG197" s="2" t="str">
        <f aca="false">IF(AND(AG$4=$G197,AG$6=$F197),$B197,"")</f>
        <v/>
      </c>
      <c r="AI197" s="366"/>
      <c r="AL197" s="367"/>
      <c r="AO197" s="367"/>
      <c r="AP197" s="2" t="str">
        <f aca="false">IF(AT197&gt;0,RANK(AT197,AT$7:AT$423),"")</f>
        <v/>
      </c>
      <c r="AQ197" s="2" t="n">
        <f aca="false">'O_MN, PE_UTA_UGM 2024'!C193</f>
        <v>191</v>
      </c>
      <c r="AR197" s="1421" t="n">
        <v>1899</v>
      </c>
      <c r="AS197" s="2" t="str">
        <f aca="false">IF(AY197&lt;&gt;"",AY197,"")</f>
        <v/>
      </c>
      <c r="AT197" s="1422" t="n">
        <f aca="false">IF(ISNUMBER($AR197),SUMIF(B$7:B$505,AR197,D$7:D$505),"")</f>
        <v>0</v>
      </c>
      <c r="AU197" s="1411" t="n">
        <f aca="false">IF(ISNUMBER($AR197),SUMIF(AD$7:AD$503,$AR197,J$7:J$503),"")</f>
        <v>0</v>
      </c>
      <c r="AV197" s="1411" t="n">
        <f aca="false">IF(ISNUMBER($AR197),SUMIF(AF$7:AF$503,$AR197,L$7:L$503),"")</f>
        <v>0</v>
      </c>
      <c r="AW197" s="1423" t="n">
        <f aca="false">IF(ISNUMBER($AR197),SUMIF(AE$7:AE$503,$AR197,K$7:K$503),"")</f>
        <v>0</v>
      </c>
      <c r="AX197" s="1423" t="n">
        <f aca="false">IF(ISNUMBER($AR197),SUMIF(AG$7:AG$503,$AR197,M$7:M$503),"")</f>
        <v>0</v>
      </c>
      <c r="AY197" s="2" t="str">
        <f aca="false">IF($AT197&gt;0,VLOOKUP($AR197,'O_MN, PE_UTA_UGM 2024'!E193:O609,2),"")</f>
        <v/>
      </c>
      <c r="AZ197" s="1507"/>
      <c r="BA197" s="1507"/>
      <c r="BB197" s="1507" t="str">
        <f aca="false">IF($AT197&gt;0,VLOOKUP($AR197,'O_MN, PE_UTA_UGM 2024'!$E$3:$O$419,BB$6),"")</f>
        <v/>
      </c>
      <c r="BC197" s="1507" t="str">
        <f aca="false">IF($AT197&gt;0,VLOOKUP($AR197,'O_MN, PE_UTA_UGM 2024'!$E$3:$O$419,BC$6),"")</f>
        <v/>
      </c>
      <c r="BD197" s="1507" t="str">
        <f aca="false">IF($AT197&gt;0,VLOOKUP($AR197,'O_MN, PE_UTA_UGM 2024'!$E$3:$O$419,BD$6),"")</f>
        <v/>
      </c>
      <c r="BE197" s="1507" t="str">
        <f aca="false">IF($AT197&gt;0,VLOOKUP($AR197,'O_MN, PE_UTA_UGM 2024'!$E$3:$O$419,BE$6),"")</f>
        <v/>
      </c>
      <c r="BF197" s="1507" t="str">
        <f aca="false">IF($AT197&gt;0,VLOOKUP($AR197,'O_MN, PE_UTA_UGM 2024'!$E$3:$O$419,BF$6),"")</f>
        <v/>
      </c>
      <c r="BG197" s="1507" t="str">
        <f aca="false">IF($AT197&gt;0,VLOOKUP($AR197,'O_MN, PE_UTA_UGM 2024'!$E$3:$O$419,BG$6),"")</f>
        <v/>
      </c>
      <c r="BH197" s="1504"/>
      <c r="BI197" s="1504"/>
      <c r="BJ197" s="1504"/>
      <c r="BK197" s="1504"/>
      <c r="BM197" s="1411"/>
      <c r="BN197" s="1411"/>
      <c r="BO197" s="1425" t="str">
        <f aca="false">IF(ISNUMBER($AU197*BB197*1),$AU197*BB197*1,"")</f>
        <v/>
      </c>
      <c r="BP197" s="1425" t="str">
        <f aca="false">IF(ISNUMBER($AV197*BC197*1),$AV197*BC197*1,"")</f>
        <v/>
      </c>
      <c r="BQ197" s="1425" t="str">
        <f aca="false">IF(ISNUMBER($AU197*BD197*1),$AU197*BD197*1,"")</f>
        <v/>
      </c>
      <c r="BR197" s="1425" t="str">
        <f aca="false">IF(ISNUMBER($AV197*BE197*1),$AV197*BE197*1,"")</f>
        <v/>
      </c>
      <c r="BS197" s="1411" t="str">
        <f aca="false">IF(ISNUMBER($AU197*BF197),$AU197*BF197,"")</f>
        <v/>
      </c>
      <c r="BT197" s="1411" t="str">
        <f aca="false">IF(ISNUMBER($AV197*BG197),$AV197*BG197,"")</f>
        <v/>
      </c>
      <c r="BU197" s="1411"/>
      <c r="BV197" s="1411"/>
      <c r="BW197" s="1411"/>
      <c r="BX197" s="1411"/>
      <c r="BZ197" s="1372"/>
      <c r="CA197" s="1372"/>
      <c r="CB197" s="1426" t="str">
        <f aca="false">IF(ISNUMBER($AW197*BB197),$AW197*BB197,"")</f>
        <v/>
      </c>
      <c r="CC197" s="1426" t="str">
        <f aca="false">IF(ISNUMBER($AX197*BC197),$AX197*BC197,"")</f>
        <v/>
      </c>
      <c r="CD197" s="1426" t="str">
        <f aca="false">IF(ISNUMBER($AW197*BD197),$AW197*BD197,"")</f>
        <v/>
      </c>
      <c r="CE197" s="1426" t="str">
        <f aca="false">IF(ISNUMBER($AX197*BE197),$AX197*BE197,"")</f>
        <v/>
      </c>
      <c r="CF197" s="1372" t="str">
        <f aca="false">IF(ISNUMBER($AW197*BF197),$AW197*BF197,"")</f>
        <v/>
      </c>
      <c r="CG197" s="1372" t="str">
        <f aca="false">IF(ISNUMBER($AX197*BG197),$AX197*BG197,"")</f>
        <v/>
      </c>
      <c r="CH197" s="1438"/>
      <c r="CI197" s="1438"/>
      <c r="CJ197" s="1438"/>
      <c r="CK197" s="1438"/>
      <c r="CU197" s="1411"/>
      <c r="CV197" s="1411"/>
      <c r="CW197" s="1425"/>
      <c r="CX197" s="1425"/>
      <c r="CY197" s="1425"/>
      <c r="CZ197" s="1425"/>
      <c r="DA197" s="1411"/>
      <c r="DB197" s="1411"/>
      <c r="DC197" s="1411"/>
      <c r="DD197" s="1411"/>
      <c r="DE197" s="1411"/>
      <c r="DF197" s="1411"/>
      <c r="DH197" s="1432"/>
      <c r="DI197" s="1432"/>
      <c r="DJ197" s="1437"/>
      <c r="DK197" s="1437"/>
      <c r="DL197" s="1437"/>
      <c r="DM197" s="1437"/>
      <c r="DN197" s="1432"/>
      <c r="DO197" s="1432"/>
      <c r="DP197" s="1432"/>
      <c r="DQ197" s="1432"/>
      <c r="DR197" s="1432"/>
      <c r="DS197" s="1432"/>
      <c r="DT197" s="1316"/>
      <c r="DU197" s="1433"/>
      <c r="DV197" s="1433"/>
      <c r="DW197" s="1433"/>
      <c r="DX197" s="1433"/>
      <c r="DY197" s="1433"/>
      <c r="DZ197" s="1433"/>
      <c r="EA197" s="1433"/>
      <c r="EB197" s="1433"/>
    </row>
    <row r="198" customFormat="false" ht="14.25" hidden="false" customHeight="false" outlineLevel="0" collapsed="false">
      <c r="A198" s="2" t="n">
        <f aca="false">'V_DATOS PAC_SGA'!CC193</f>
        <v>0</v>
      </c>
      <c r="B198" s="2" t="n">
        <f aca="false">IF(OR(A198=0,A198=""),0,IF(I198="IV",CONCATENATE('V_DATOS PAC_SGA'!CC193,"4")+0,CONCATENATE('V_DATOS PAC_SGA'!CC193,"0")+0))</f>
        <v>0</v>
      </c>
      <c r="C198" s="2" t="n">
        <f aca="false">'V_DATOS PAC_SGA'!CD193</f>
        <v>0</v>
      </c>
      <c r="D198" s="1409" t="n">
        <f aca="false">'V_DATOS PAC_SGA'!Y193</f>
        <v>0</v>
      </c>
      <c r="E198" s="1410" t="str">
        <f aca="false">IF('V_DATOS PAC_SGA'!AV193="","Regadio",'V_DATOS PAC_SGA'!AV193)</f>
        <v>Regadio</v>
      </c>
      <c r="F198" s="1411" t="n">
        <f aca="false">'V_DATOS PAC_SGA'!BK193</f>
        <v>0</v>
      </c>
      <c r="G198" s="1412" t="n">
        <f aca="false">'V_DATOS PAC_SGA'!AN193</f>
        <v>0</v>
      </c>
      <c r="H198" s="1413" t="str">
        <f aca="false">IF(B198&gt;0,VLOOKUP(B198,'O_MN, PE_UTA_UGM 2024'!E$3:O$419,10),"")</f>
        <v/>
      </c>
      <c r="I198" s="1359" t="str">
        <f aca="false">IF('V_DATOS PAC_SGA'!BV193="IV",'V_DATOS PAC_SGA'!BV193,"")</f>
        <v/>
      </c>
      <c r="J198" s="2" t="str">
        <f aca="false">IF($A198&gt;0,IF(AND(J$4=$G198,J$6=$F198),$D198*J$5,""),"")</f>
        <v/>
      </c>
      <c r="K198" s="2" t="str">
        <f aca="false">IF($A198&gt;0,IF(AND(K$4=$G198,K$6=$F198),$D198*K$5,""),"")</f>
        <v/>
      </c>
      <c r="L198" s="2" t="str">
        <f aca="false">IF($A198&gt;0,IF(AND(L$4=$G198,L$6=$F198),$D198*L$5,""),"")</f>
        <v/>
      </c>
      <c r="M198" s="2" t="str">
        <f aca="false">IF($A198&gt;0,IF(AND(M$4=$G198,M$6=$F198),$D198*M$5,""),"")</f>
        <v/>
      </c>
      <c r="N198" s="1506" t="n">
        <f aca="false">VLOOKUP(B198,'O_MN, PE_UTA_UGM 2024'!$E$2:$K$419,IF(G198&gt;1,6,7))</f>
        <v>0</v>
      </c>
      <c r="O198" s="1434" t="str">
        <f aca="false">IF($H198=O$4,$D198*$N198,"")</f>
        <v/>
      </c>
      <c r="P198" s="1435" t="str">
        <f aca="false">IF($H198=P$4,$D198*$N198,"")</f>
        <v/>
      </c>
      <c r="Q198" s="1435" t="str">
        <f aca="false">IF($H198=Q$4,$D198*$N198,"")</f>
        <v/>
      </c>
      <c r="R198" s="1435" t="str">
        <f aca="false">IF($H198=R$4,$D198*$N198,"")</f>
        <v/>
      </c>
      <c r="S198" s="1435" t="str">
        <f aca="false">IF($H198=S$4,$D198*$N198,"")</f>
        <v/>
      </c>
      <c r="T198" s="1435" t="str">
        <f aca="false">IF($H198=T$4,$D198*$N198,"")</f>
        <v/>
      </c>
      <c r="U198" s="1436" t="str">
        <f aca="false">IF($H198=U$4,$D198*$N198,"")</f>
        <v/>
      </c>
      <c r="V198" s="1418"/>
      <c r="W198" s="1419"/>
      <c r="X198" s="1419"/>
      <c r="Y198" s="1419"/>
      <c r="Z198" s="1419"/>
      <c r="AA198" s="1419"/>
      <c r="AB198" s="1420"/>
      <c r="AC198" s="1319"/>
      <c r="AD198" s="2" t="str">
        <f aca="false">IF(AND(AD$4=$G198,AD$6=$F198),$B198,"")</f>
        <v/>
      </c>
      <c r="AE198" s="2" t="str">
        <f aca="false">IF(AND(AE$4=$G198,AE$6=$F198),$B198,"")</f>
        <v/>
      </c>
      <c r="AF198" s="2" t="str">
        <f aca="false">IF(AND(AF$4=$G198,AF$6=$F198),$B198,"")</f>
        <v/>
      </c>
      <c r="AG198" s="2" t="str">
        <f aca="false">IF(AND(AG$4=$G198,AG$6=$F198),$B198,"")</f>
        <v/>
      </c>
      <c r="AI198" s="366"/>
      <c r="AL198" s="367"/>
      <c r="AO198" s="367"/>
      <c r="AP198" s="2" t="str">
        <f aca="false">IF(AT198&gt;0,RANK(AT198,AT$7:AT$423),"")</f>
        <v/>
      </c>
      <c r="AQ198" s="2" t="n">
        <f aca="false">'O_MN, PE_UTA_UGM 2024'!C194</f>
        <v>191</v>
      </c>
      <c r="AR198" s="1421" t="n">
        <v>1900</v>
      </c>
      <c r="AS198" s="2" t="str">
        <f aca="false">IF(AY198&lt;&gt;"",AY198,"")</f>
        <v/>
      </c>
      <c r="AT198" s="1422" t="n">
        <f aca="false">IF(ISNUMBER($AR198),SUMIF(B$7:B$505,AR198,D$7:D$505),"")</f>
        <v>0</v>
      </c>
      <c r="AU198" s="1411" t="n">
        <f aca="false">IF(ISNUMBER($AR198),SUMIF(AD$7:AD$503,$AR198,J$7:J$503),"")</f>
        <v>0</v>
      </c>
      <c r="AV198" s="1411" t="n">
        <f aca="false">IF(ISNUMBER($AR198),SUMIF(AF$7:AF$503,$AR198,L$7:L$503),"")</f>
        <v>0</v>
      </c>
      <c r="AW198" s="1423" t="n">
        <f aca="false">IF(ISNUMBER($AR198),SUMIF(AE$7:AE$503,$AR198,K$7:K$503),"")</f>
        <v>0</v>
      </c>
      <c r="AX198" s="1423" t="n">
        <f aca="false">IF(ISNUMBER($AR198),SUMIF(AG$7:AG$503,$AR198,M$7:M$503),"")</f>
        <v>0</v>
      </c>
      <c r="AY198" s="2" t="str">
        <f aca="false">IF($AT198&gt;0,VLOOKUP($AR198,'O_MN, PE_UTA_UGM 2024'!E194:O610,2),"")</f>
        <v/>
      </c>
      <c r="AZ198" s="1507"/>
      <c r="BA198" s="1507"/>
      <c r="BB198" s="1507" t="str">
        <f aca="false">IF($AT198&gt;0,VLOOKUP($AR198,'O_MN, PE_UTA_UGM 2024'!$E$3:$O$419,BB$6),"")</f>
        <v/>
      </c>
      <c r="BC198" s="1507" t="str">
        <f aca="false">IF($AT198&gt;0,VLOOKUP($AR198,'O_MN, PE_UTA_UGM 2024'!$E$3:$O$419,BC$6),"")</f>
        <v/>
      </c>
      <c r="BD198" s="1507" t="str">
        <f aca="false">IF($AT198&gt;0,VLOOKUP($AR198,'O_MN, PE_UTA_UGM 2024'!$E$3:$O$419,BD$6),"")</f>
        <v/>
      </c>
      <c r="BE198" s="1507" t="str">
        <f aca="false">IF($AT198&gt;0,VLOOKUP($AR198,'O_MN, PE_UTA_UGM 2024'!$E$3:$O$419,BE$6),"")</f>
        <v/>
      </c>
      <c r="BF198" s="1507" t="str">
        <f aca="false">IF($AT198&gt;0,VLOOKUP($AR198,'O_MN, PE_UTA_UGM 2024'!$E$3:$O$419,BF$6),"")</f>
        <v/>
      </c>
      <c r="BG198" s="1507" t="str">
        <f aca="false">IF($AT198&gt;0,VLOOKUP($AR198,'O_MN, PE_UTA_UGM 2024'!$E$3:$O$419,BG$6),"")</f>
        <v/>
      </c>
      <c r="BH198" s="1504"/>
      <c r="BI198" s="1504"/>
      <c r="BJ198" s="1504"/>
      <c r="BK198" s="1504"/>
      <c r="BM198" s="1411"/>
      <c r="BN198" s="1411"/>
      <c r="BO198" s="1425" t="str">
        <f aca="false">IF(ISNUMBER($AU198*BB198*1),$AU198*BB198*1,"")</f>
        <v/>
      </c>
      <c r="BP198" s="1425" t="str">
        <f aca="false">IF(ISNUMBER($AV198*BC198*1),$AV198*BC198*1,"")</f>
        <v/>
      </c>
      <c r="BQ198" s="1425" t="str">
        <f aca="false">IF(ISNUMBER($AU198*BD198*1),$AU198*BD198*1,"")</f>
        <v/>
      </c>
      <c r="BR198" s="1425" t="str">
        <f aca="false">IF(ISNUMBER($AV198*BE198*1),$AV198*BE198*1,"")</f>
        <v/>
      </c>
      <c r="BS198" s="1411" t="str">
        <f aca="false">IF(ISNUMBER($AU198*BF198),$AU198*BF198,"")</f>
        <v/>
      </c>
      <c r="BT198" s="1411" t="str">
        <f aca="false">IF(ISNUMBER($AV198*BG198),$AV198*BG198,"")</f>
        <v/>
      </c>
      <c r="BU198" s="1411"/>
      <c r="BV198" s="1411"/>
      <c r="BW198" s="1411"/>
      <c r="BX198" s="1411"/>
      <c r="BZ198" s="1372"/>
      <c r="CA198" s="1372"/>
      <c r="CB198" s="1426" t="str">
        <f aca="false">IF(ISNUMBER($AW198*BB198),$AW198*BB198,"")</f>
        <v/>
      </c>
      <c r="CC198" s="1426" t="str">
        <f aca="false">IF(ISNUMBER($AX198*BC198),$AX198*BC198,"")</f>
        <v/>
      </c>
      <c r="CD198" s="1426" t="str">
        <f aca="false">IF(ISNUMBER($AW198*BD198),$AW198*BD198,"")</f>
        <v/>
      </c>
      <c r="CE198" s="1426" t="str">
        <f aca="false">IF(ISNUMBER($AX198*BE198),$AX198*BE198,"")</f>
        <v/>
      </c>
      <c r="CF198" s="1372" t="str">
        <f aca="false">IF(ISNUMBER($AW198*BF198),$AW198*BF198,"")</f>
        <v/>
      </c>
      <c r="CG198" s="1372" t="str">
        <f aca="false">IF(ISNUMBER($AX198*BG198),$AX198*BG198,"")</f>
        <v/>
      </c>
      <c r="CH198" s="1438"/>
      <c r="CI198" s="1438"/>
      <c r="CJ198" s="1438"/>
      <c r="CK198" s="1438"/>
      <c r="CU198" s="1411"/>
      <c r="CV198" s="1411"/>
      <c r="CW198" s="1425"/>
      <c r="CX198" s="1425"/>
      <c r="CY198" s="1425"/>
      <c r="CZ198" s="1425"/>
      <c r="DA198" s="1411"/>
      <c r="DB198" s="1411"/>
      <c r="DC198" s="1411"/>
      <c r="DD198" s="1411"/>
      <c r="DE198" s="1411"/>
      <c r="DF198" s="1411"/>
      <c r="DH198" s="1432"/>
      <c r="DI198" s="1432"/>
      <c r="DJ198" s="1437"/>
      <c r="DK198" s="1437"/>
      <c r="DL198" s="1437"/>
      <c r="DM198" s="1437"/>
      <c r="DN198" s="1432"/>
      <c r="DO198" s="1432"/>
      <c r="DP198" s="1432"/>
      <c r="DQ198" s="1432"/>
      <c r="DR198" s="1432"/>
      <c r="DS198" s="1432"/>
      <c r="DT198" s="1316"/>
      <c r="DU198" s="1433"/>
      <c r="DV198" s="1433"/>
      <c r="DW198" s="1433"/>
      <c r="DX198" s="1433"/>
      <c r="DY198" s="1433"/>
      <c r="DZ198" s="1433"/>
      <c r="EA198" s="1433"/>
      <c r="EB198" s="1433"/>
    </row>
    <row r="199" customFormat="false" ht="14.25" hidden="false" customHeight="false" outlineLevel="0" collapsed="false">
      <c r="A199" s="2" t="n">
        <f aca="false">'V_DATOS PAC_SGA'!CC194</f>
        <v>0</v>
      </c>
      <c r="B199" s="2" t="n">
        <f aca="false">IF(OR(A199=0,A199=""),0,IF(I199="IV",CONCATENATE('V_DATOS PAC_SGA'!CC194,"4")+0,CONCATENATE('V_DATOS PAC_SGA'!CC194,"0")+0))</f>
        <v>0</v>
      </c>
      <c r="C199" s="2" t="n">
        <f aca="false">'V_DATOS PAC_SGA'!CD194</f>
        <v>0</v>
      </c>
      <c r="D199" s="1409" t="n">
        <f aca="false">'V_DATOS PAC_SGA'!Y194</f>
        <v>0</v>
      </c>
      <c r="E199" s="1410" t="str">
        <f aca="false">IF('V_DATOS PAC_SGA'!AV194="","Regadio",'V_DATOS PAC_SGA'!AV194)</f>
        <v>Regadio</v>
      </c>
      <c r="F199" s="1411" t="n">
        <f aca="false">'V_DATOS PAC_SGA'!BK194</f>
        <v>0</v>
      </c>
      <c r="G199" s="1412" t="n">
        <f aca="false">'V_DATOS PAC_SGA'!AN194</f>
        <v>0</v>
      </c>
      <c r="H199" s="1413" t="str">
        <f aca="false">IF(B199&gt;0,VLOOKUP(B199,'O_MN, PE_UTA_UGM 2024'!E$3:O$419,10),"")</f>
        <v/>
      </c>
      <c r="I199" s="1359" t="str">
        <f aca="false">IF('V_DATOS PAC_SGA'!BV194="IV",'V_DATOS PAC_SGA'!BV194,"")</f>
        <v/>
      </c>
      <c r="J199" s="2" t="str">
        <f aca="false">IF($A199&gt;0,IF(AND(J$4=$G199,J$6=$F199),$D199*J$5,""),"")</f>
        <v/>
      </c>
      <c r="K199" s="2" t="str">
        <f aca="false">IF($A199&gt;0,IF(AND(K$4=$G199,K$6=$F199),$D199*K$5,""),"")</f>
        <v/>
      </c>
      <c r="L199" s="2" t="str">
        <f aca="false">IF($A199&gt;0,IF(AND(L$4=$G199,L$6=$F199),$D199*L$5,""),"")</f>
        <v/>
      </c>
      <c r="M199" s="2" t="str">
        <f aca="false">IF($A199&gt;0,IF(AND(M$4=$G199,M$6=$F199),$D199*M$5,""),"")</f>
        <v/>
      </c>
      <c r="N199" s="1506" t="n">
        <f aca="false">VLOOKUP(B199,'O_MN, PE_UTA_UGM 2024'!$E$2:$K$419,IF(G199&gt;1,6,7))</f>
        <v>0</v>
      </c>
      <c r="O199" s="1434" t="str">
        <f aca="false">IF($H199=O$4,$D199*$N199,"")</f>
        <v/>
      </c>
      <c r="P199" s="1435" t="str">
        <f aca="false">IF($H199=P$4,$D199*$N199,"")</f>
        <v/>
      </c>
      <c r="Q199" s="1435" t="str">
        <f aca="false">IF($H199=Q$4,$D199*$N199,"")</f>
        <v/>
      </c>
      <c r="R199" s="1435" t="str">
        <f aca="false">IF($H199=R$4,$D199*$N199,"")</f>
        <v/>
      </c>
      <c r="S199" s="1435" t="str">
        <f aca="false">IF($H199=S$4,$D199*$N199,"")</f>
        <v/>
      </c>
      <c r="T199" s="1435" t="str">
        <f aca="false">IF($H199=T$4,$D199*$N199,"")</f>
        <v/>
      </c>
      <c r="U199" s="1436" t="str">
        <f aca="false">IF($H199=U$4,$D199*$N199,"")</f>
        <v/>
      </c>
      <c r="V199" s="1418"/>
      <c r="W199" s="1419"/>
      <c r="X199" s="1419"/>
      <c r="Y199" s="1419"/>
      <c r="Z199" s="1419"/>
      <c r="AA199" s="1419"/>
      <c r="AB199" s="1420"/>
      <c r="AC199" s="1319"/>
      <c r="AD199" s="2" t="str">
        <f aca="false">IF(AND(AD$4=$G199,AD$6=$F199),$B199,"")</f>
        <v/>
      </c>
      <c r="AE199" s="2" t="str">
        <f aca="false">IF(AND(AE$4=$G199,AE$6=$F199),$B199,"")</f>
        <v/>
      </c>
      <c r="AF199" s="2" t="str">
        <f aca="false">IF(AND(AF$4=$G199,AF$6=$F199),$B199,"")</f>
        <v/>
      </c>
      <c r="AG199" s="2" t="str">
        <f aca="false">IF(AND(AG$4=$G199,AG$6=$F199),$B199,"")</f>
        <v/>
      </c>
      <c r="AI199" s="366"/>
      <c r="AL199" s="367"/>
      <c r="AO199" s="367"/>
      <c r="AP199" s="2" t="str">
        <f aca="false">IF(AT199&gt;0,RANK(AT199,AT$7:AT$423),"")</f>
        <v/>
      </c>
      <c r="AQ199" s="2" t="n">
        <f aca="false">'O_MN, PE_UTA_UGM 2024'!C195</f>
        <v>191</v>
      </c>
      <c r="AR199" s="1421" t="n">
        <v>1904</v>
      </c>
      <c r="AS199" s="2" t="str">
        <f aca="false">IF(AY199&lt;&gt;"",AY199,"")</f>
        <v/>
      </c>
      <c r="AT199" s="1422" t="n">
        <f aca="false">IF(ISNUMBER($AR199),SUMIF(B$7:B$505,AR199,D$7:D$505),"")</f>
        <v>0</v>
      </c>
      <c r="AU199" s="1411" t="n">
        <f aca="false">IF(ISNUMBER($AR199),SUMIF(AD$7:AD$503,$AR199,J$7:J$503),"")</f>
        <v>0</v>
      </c>
      <c r="AV199" s="1411" t="n">
        <f aca="false">IF(ISNUMBER($AR199),SUMIF(AF$7:AF$503,$AR199,L$7:L$503),"")</f>
        <v>0</v>
      </c>
      <c r="AW199" s="1423" t="n">
        <f aca="false">IF(ISNUMBER($AR199),SUMIF(AE$7:AE$503,$AR199,K$7:K$503),"")</f>
        <v>0</v>
      </c>
      <c r="AX199" s="1423" t="n">
        <f aca="false">IF(ISNUMBER($AR199),SUMIF(AG$7:AG$503,$AR199,M$7:M$503),"")</f>
        <v>0</v>
      </c>
      <c r="AY199" s="2" t="str">
        <f aca="false">IF($AT199&gt;0,VLOOKUP($AR199,'O_MN, PE_UTA_UGM 2024'!E195:O611,2),"")</f>
        <v/>
      </c>
      <c r="AZ199" s="1507"/>
      <c r="BA199" s="1507"/>
      <c r="BB199" s="1507" t="str">
        <f aca="false">IF($AT199&gt;0,VLOOKUP($AR199,'O_MN, PE_UTA_UGM 2024'!$E$3:$O$419,BB$6),"")</f>
        <v/>
      </c>
      <c r="BC199" s="1507" t="str">
        <f aca="false">IF($AT199&gt;0,VLOOKUP($AR199,'O_MN, PE_UTA_UGM 2024'!$E$3:$O$419,BC$6),"")</f>
        <v/>
      </c>
      <c r="BD199" s="1507" t="str">
        <f aca="false">IF($AT199&gt;0,VLOOKUP($AR199,'O_MN, PE_UTA_UGM 2024'!$E$3:$O$419,BD$6),"")</f>
        <v/>
      </c>
      <c r="BE199" s="1507" t="str">
        <f aca="false">IF($AT199&gt;0,VLOOKUP($AR199,'O_MN, PE_UTA_UGM 2024'!$E$3:$O$419,BE$6),"")</f>
        <v/>
      </c>
      <c r="BF199" s="1507" t="str">
        <f aca="false">IF($AT199&gt;0,VLOOKUP($AR199,'O_MN, PE_UTA_UGM 2024'!$E$3:$O$419,BF$6),"")</f>
        <v/>
      </c>
      <c r="BG199" s="1507" t="str">
        <f aca="false">IF($AT199&gt;0,VLOOKUP($AR199,'O_MN, PE_UTA_UGM 2024'!$E$3:$O$419,BG$6),"")</f>
        <v/>
      </c>
      <c r="BH199" s="1504"/>
      <c r="BI199" s="1504"/>
      <c r="BJ199" s="1504"/>
      <c r="BK199" s="1504"/>
      <c r="BM199" s="1411"/>
      <c r="BN199" s="1411"/>
      <c r="BO199" s="1425" t="str">
        <f aca="false">IF(ISNUMBER($AU199*BB199*1),$AU199*BB199*1,"")</f>
        <v/>
      </c>
      <c r="BP199" s="1425" t="str">
        <f aca="false">IF(ISNUMBER($AV199*BC199*1),$AV199*BC199*1,"")</f>
        <v/>
      </c>
      <c r="BQ199" s="1425" t="str">
        <f aca="false">IF(ISNUMBER($AU199*BD199*1),$AU199*BD199*1,"")</f>
        <v/>
      </c>
      <c r="BR199" s="1425" t="str">
        <f aca="false">IF(ISNUMBER($AV199*BE199*1),$AV199*BE199*1,"")</f>
        <v/>
      </c>
      <c r="BS199" s="1411" t="str">
        <f aca="false">IF(ISNUMBER($AU199*BF199),$AU199*BF199,"")</f>
        <v/>
      </c>
      <c r="BT199" s="1411" t="str">
        <f aca="false">IF(ISNUMBER($AV199*BG199),$AV199*BG199,"")</f>
        <v/>
      </c>
      <c r="BU199" s="1411"/>
      <c r="BV199" s="1411"/>
      <c r="BW199" s="1411"/>
      <c r="BX199" s="1411"/>
      <c r="BZ199" s="1372"/>
      <c r="CA199" s="1372"/>
      <c r="CB199" s="1426" t="str">
        <f aca="false">IF(ISNUMBER($AW199*BB199),$AW199*BB199,"")</f>
        <v/>
      </c>
      <c r="CC199" s="1426" t="str">
        <f aca="false">IF(ISNUMBER($AX199*BC199),$AX199*BC199,"")</f>
        <v/>
      </c>
      <c r="CD199" s="1426" t="str">
        <f aca="false">IF(ISNUMBER($AW199*BD199),$AW199*BD199,"")</f>
        <v/>
      </c>
      <c r="CE199" s="1426" t="str">
        <f aca="false">IF(ISNUMBER($AX199*BE199),$AX199*BE199,"")</f>
        <v/>
      </c>
      <c r="CF199" s="1372" t="str">
        <f aca="false">IF(ISNUMBER($AW199*BF199),$AW199*BF199,"")</f>
        <v/>
      </c>
      <c r="CG199" s="1372" t="str">
        <f aca="false">IF(ISNUMBER($AX199*BG199),$AX199*BG199,"")</f>
        <v/>
      </c>
      <c r="CH199" s="1438"/>
      <c r="CI199" s="1438"/>
      <c r="CJ199" s="1438"/>
      <c r="CK199" s="1438"/>
      <c r="CU199" s="1411"/>
      <c r="CV199" s="1411"/>
      <c r="CW199" s="1425"/>
      <c r="CX199" s="1425"/>
      <c r="CY199" s="1425"/>
      <c r="CZ199" s="1425"/>
      <c r="DA199" s="1411"/>
      <c r="DB199" s="1411"/>
      <c r="DC199" s="1411"/>
      <c r="DD199" s="1411"/>
      <c r="DE199" s="1411"/>
      <c r="DF199" s="1411"/>
      <c r="DH199" s="1432"/>
      <c r="DI199" s="1432"/>
      <c r="DJ199" s="1437"/>
      <c r="DK199" s="1437"/>
      <c r="DL199" s="1437"/>
      <c r="DM199" s="1437"/>
      <c r="DN199" s="1432"/>
      <c r="DO199" s="1432"/>
      <c r="DP199" s="1432"/>
      <c r="DQ199" s="1432"/>
      <c r="DR199" s="1432"/>
      <c r="DS199" s="1432"/>
      <c r="DT199" s="1316"/>
      <c r="DU199" s="1433"/>
      <c r="DV199" s="1433"/>
      <c r="DW199" s="1433"/>
      <c r="DX199" s="1433"/>
      <c r="DY199" s="1433"/>
      <c r="DZ199" s="1433"/>
      <c r="EA199" s="1433"/>
      <c r="EB199" s="1433"/>
    </row>
    <row r="200" customFormat="false" ht="14.25" hidden="false" customHeight="false" outlineLevel="0" collapsed="false">
      <c r="A200" s="2" t="n">
        <f aca="false">'V_DATOS PAC_SGA'!CC195</f>
        <v>0</v>
      </c>
      <c r="B200" s="2" t="n">
        <f aca="false">IF(OR(A200=0,A200=""),0,IF(I200="IV",CONCATENATE('V_DATOS PAC_SGA'!CC195,"4")+0,CONCATENATE('V_DATOS PAC_SGA'!CC195,"0")+0))</f>
        <v>0</v>
      </c>
      <c r="C200" s="2" t="n">
        <f aca="false">'V_DATOS PAC_SGA'!CD195</f>
        <v>0</v>
      </c>
      <c r="D200" s="1409" t="n">
        <f aca="false">'V_DATOS PAC_SGA'!Y195</f>
        <v>0</v>
      </c>
      <c r="E200" s="1410" t="str">
        <f aca="false">IF('V_DATOS PAC_SGA'!AV195="","Regadio",'V_DATOS PAC_SGA'!AV195)</f>
        <v>Regadio</v>
      </c>
      <c r="F200" s="1411" t="n">
        <f aca="false">'V_DATOS PAC_SGA'!BK195</f>
        <v>0</v>
      </c>
      <c r="G200" s="1412" t="n">
        <f aca="false">'V_DATOS PAC_SGA'!AN195</f>
        <v>0</v>
      </c>
      <c r="H200" s="1413" t="str">
        <f aca="false">IF(B200&gt;0,VLOOKUP(B200,'O_MN, PE_UTA_UGM 2024'!E$3:O$419,10),"")</f>
        <v/>
      </c>
      <c r="I200" s="1359" t="str">
        <f aca="false">IF('V_DATOS PAC_SGA'!BV195="IV",'V_DATOS PAC_SGA'!BV195,"")</f>
        <v/>
      </c>
      <c r="J200" s="2" t="str">
        <f aca="false">IF($A200&gt;0,IF(AND(J$4=$G200,J$6=$F200),$D200*J$5,""),"")</f>
        <v/>
      </c>
      <c r="K200" s="2" t="str">
        <f aca="false">IF($A200&gt;0,IF(AND(K$4=$G200,K$6=$F200),$D200*K$5,""),"")</f>
        <v/>
      </c>
      <c r="L200" s="2" t="str">
        <f aca="false">IF($A200&gt;0,IF(AND(L$4=$G200,L$6=$F200),$D200*L$5,""),"")</f>
        <v/>
      </c>
      <c r="M200" s="2" t="str">
        <f aca="false">IF($A200&gt;0,IF(AND(M$4=$G200,M$6=$F200),$D200*M$5,""),"")</f>
        <v/>
      </c>
      <c r="N200" s="1506" t="n">
        <f aca="false">VLOOKUP(B200,'O_MN, PE_UTA_UGM 2024'!$E$2:$K$419,IF(G200&gt;1,6,7))</f>
        <v>0</v>
      </c>
      <c r="O200" s="1434" t="str">
        <f aca="false">IF($H200=O$4,$D200*$N200,"")</f>
        <v/>
      </c>
      <c r="P200" s="1435" t="str">
        <f aca="false">IF($H200=P$4,$D200*$N200,"")</f>
        <v/>
      </c>
      <c r="Q200" s="1435" t="str">
        <f aca="false">IF($H200=Q$4,$D200*$N200,"")</f>
        <v/>
      </c>
      <c r="R200" s="1435" t="str">
        <f aca="false">IF($H200=R$4,$D200*$N200,"")</f>
        <v/>
      </c>
      <c r="S200" s="1435" t="str">
        <f aca="false">IF($H200=S$4,$D200*$N200,"")</f>
        <v/>
      </c>
      <c r="T200" s="1435" t="str">
        <f aca="false">IF($H200=T$4,$D200*$N200,"")</f>
        <v/>
      </c>
      <c r="U200" s="1436" t="str">
        <f aca="false">IF($H200=U$4,$D200*$N200,"")</f>
        <v/>
      </c>
      <c r="V200" s="1418"/>
      <c r="W200" s="1419"/>
      <c r="X200" s="1419"/>
      <c r="Y200" s="1419"/>
      <c r="Z200" s="1419"/>
      <c r="AA200" s="1419"/>
      <c r="AB200" s="1420"/>
      <c r="AC200" s="1319"/>
      <c r="AD200" s="2" t="str">
        <f aca="false">IF(AND(AD$4=$G200,AD$6=$F200),$B200,"")</f>
        <v/>
      </c>
      <c r="AE200" s="2" t="str">
        <f aca="false">IF(AND(AE$4=$G200,AE$6=$F200),$B200,"")</f>
        <v/>
      </c>
      <c r="AF200" s="2" t="str">
        <f aca="false">IF(AND(AF$4=$G200,AF$6=$F200),$B200,"")</f>
        <v/>
      </c>
      <c r="AG200" s="2" t="str">
        <f aca="false">IF(AND(AG$4=$G200,AG$6=$F200),$B200,"")</f>
        <v/>
      </c>
      <c r="AI200" s="366"/>
      <c r="AL200" s="367"/>
      <c r="AO200" s="367"/>
      <c r="AP200" s="2" t="str">
        <f aca="false">IF(AT200&gt;0,RANK(AT200,AT$7:AT$423),"")</f>
        <v/>
      </c>
      <c r="AQ200" s="2" t="n">
        <f aca="false">'O_MN, PE_UTA_UGM 2024'!C196</f>
        <v>192</v>
      </c>
      <c r="AR200" s="1421" t="n">
        <v>1909</v>
      </c>
      <c r="AS200" s="2" t="str">
        <f aca="false">IF(AY200&lt;&gt;"",AY200,"")</f>
        <v/>
      </c>
      <c r="AT200" s="1422" t="n">
        <f aca="false">IF(ISNUMBER($AR200),SUMIF(B$7:B$505,AR200,D$7:D$505),"")</f>
        <v>0</v>
      </c>
      <c r="AU200" s="1411" t="n">
        <f aca="false">IF(ISNUMBER($AR200),SUMIF(AD$7:AD$503,$AR200,J$7:J$503),"")</f>
        <v>0</v>
      </c>
      <c r="AV200" s="1411" t="n">
        <f aca="false">IF(ISNUMBER($AR200),SUMIF(AF$7:AF$503,$AR200,L$7:L$503),"")</f>
        <v>0</v>
      </c>
      <c r="AW200" s="1423" t="n">
        <f aca="false">IF(ISNUMBER($AR200),SUMIF(AE$7:AE$503,$AR200,K$7:K$503),"")</f>
        <v>0</v>
      </c>
      <c r="AX200" s="1423" t="n">
        <f aca="false">IF(ISNUMBER($AR200),SUMIF(AG$7:AG$503,$AR200,M$7:M$503),"")</f>
        <v>0</v>
      </c>
      <c r="AY200" s="2" t="str">
        <f aca="false">IF($AT200&gt;0,VLOOKUP($AR200,'O_MN, PE_UTA_UGM 2024'!E196:O612,2),"")</f>
        <v/>
      </c>
      <c r="AZ200" s="1507"/>
      <c r="BA200" s="1507"/>
      <c r="BB200" s="1507" t="str">
        <f aca="false">IF($AT200&gt;0,VLOOKUP($AR200,'O_MN, PE_UTA_UGM 2024'!$E$3:$O$419,BB$6),"")</f>
        <v/>
      </c>
      <c r="BC200" s="1507" t="str">
        <f aca="false">IF($AT200&gt;0,VLOOKUP($AR200,'O_MN, PE_UTA_UGM 2024'!$E$3:$O$419,BC$6),"")</f>
        <v/>
      </c>
      <c r="BD200" s="1507" t="str">
        <f aca="false">IF($AT200&gt;0,VLOOKUP($AR200,'O_MN, PE_UTA_UGM 2024'!$E$3:$O$419,BD$6),"")</f>
        <v/>
      </c>
      <c r="BE200" s="1507" t="str">
        <f aca="false">IF($AT200&gt;0,VLOOKUP($AR200,'O_MN, PE_UTA_UGM 2024'!$E$3:$O$419,BE$6),"")</f>
        <v/>
      </c>
      <c r="BF200" s="1507" t="str">
        <f aca="false">IF($AT200&gt;0,VLOOKUP($AR200,'O_MN, PE_UTA_UGM 2024'!$E$3:$O$419,BF$6),"")</f>
        <v/>
      </c>
      <c r="BG200" s="1507" t="str">
        <f aca="false">IF($AT200&gt;0,VLOOKUP($AR200,'O_MN, PE_UTA_UGM 2024'!$E$3:$O$419,BG$6),"")</f>
        <v/>
      </c>
      <c r="BH200" s="1504"/>
      <c r="BI200" s="1504"/>
      <c r="BJ200" s="1504"/>
      <c r="BK200" s="1504"/>
      <c r="BM200" s="1411"/>
      <c r="BN200" s="1411"/>
      <c r="BO200" s="1425" t="str">
        <f aca="false">IF(ISNUMBER($AU200*BB200*1),$AU200*BB200*1,"")</f>
        <v/>
      </c>
      <c r="BP200" s="1425" t="str">
        <f aca="false">IF(ISNUMBER($AV200*BC200*1),$AV200*BC200*1,"")</f>
        <v/>
      </c>
      <c r="BQ200" s="1425" t="str">
        <f aca="false">IF(ISNUMBER($AU200*BD200*1),$AU200*BD200*1,"")</f>
        <v/>
      </c>
      <c r="BR200" s="1425" t="str">
        <f aca="false">IF(ISNUMBER($AV200*BE200*1),$AV200*BE200*1,"")</f>
        <v/>
      </c>
      <c r="BS200" s="1411" t="str">
        <f aca="false">IF(ISNUMBER($AU200*BF200),$AU200*BF200,"")</f>
        <v/>
      </c>
      <c r="BT200" s="1411" t="str">
        <f aca="false">IF(ISNUMBER($AV200*BG200),$AV200*BG200,"")</f>
        <v/>
      </c>
      <c r="BU200" s="1411"/>
      <c r="BV200" s="1411"/>
      <c r="BW200" s="1411"/>
      <c r="BX200" s="1411"/>
      <c r="BZ200" s="1372"/>
      <c r="CA200" s="1372"/>
      <c r="CB200" s="1426" t="str">
        <f aca="false">IF(ISNUMBER($AW200*BB200),$AW200*BB200,"")</f>
        <v/>
      </c>
      <c r="CC200" s="1426" t="str">
        <f aca="false">IF(ISNUMBER($AX200*BC200),$AX200*BC200,"")</f>
        <v/>
      </c>
      <c r="CD200" s="1426" t="str">
        <f aca="false">IF(ISNUMBER($AW200*BD200),$AW200*BD200,"")</f>
        <v/>
      </c>
      <c r="CE200" s="1426" t="str">
        <f aca="false">IF(ISNUMBER($AX200*BE200),$AX200*BE200,"")</f>
        <v/>
      </c>
      <c r="CF200" s="1372" t="str">
        <f aca="false">IF(ISNUMBER($AW200*BF200),$AW200*BF200,"")</f>
        <v/>
      </c>
      <c r="CG200" s="1372" t="str">
        <f aca="false">IF(ISNUMBER($AX200*BG200),$AX200*BG200,"")</f>
        <v/>
      </c>
      <c r="CH200" s="1438"/>
      <c r="CI200" s="1438"/>
      <c r="CJ200" s="1438"/>
      <c r="CK200" s="1438"/>
      <c r="CU200" s="1411"/>
      <c r="CV200" s="1411"/>
      <c r="CW200" s="1425"/>
      <c r="CX200" s="1425"/>
      <c r="CY200" s="1425"/>
      <c r="CZ200" s="1425"/>
      <c r="DA200" s="1411"/>
      <c r="DB200" s="1411"/>
      <c r="DC200" s="1411"/>
      <c r="DD200" s="1411"/>
      <c r="DE200" s="1411"/>
      <c r="DF200" s="1411"/>
      <c r="DH200" s="1432"/>
      <c r="DI200" s="1432"/>
      <c r="DJ200" s="1437"/>
      <c r="DK200" s="1437"/>
      <c r="DL200" s="1437"/>
      <c r="DM200" s="1437"/>
      <c r="DN200" s="1432"/>
      <c r="DO200" s="1432"/>
      <c r="DP200" s="1432"/>
      <c r="DQ200" s="1432"/>
      <c r="DR200" s="1432"/>
      <c r="DS200" s="1432"/>
      <c r="DT200" s="1316"/>
      <c r="DU200" s="1433"/>
      <c r="DV200" s="1433"/>
      <c r="DW200" s="1433"/>
      <c r="DX200" s="1433"/>
      <c r="DY200" s="1433"/>
      <c r="DZ200" s="1433"/>
      <c r="EA200" s="1433"/>
      <c r="EB200" s="1433"/>
    </row>
    <row r="201" customFormat="false" ht="14.25" hidden="false" customHeight="false" outlineLevel="0" collapsed="false">
      <c r="A201" s="2" t="n">
        <f aca="false">'V_DATOS PAC_SGA'!CC196</f>
        <v>0</v>
      </c>
      <c r="B201" s="2" t="n">
        <f aca="false">IF(OR(A201=0,A201=""),0,IF(I201="IV",CONCATENATE('V_DATOS PAC_SGA'!CC196,"4")+0,CONCATENATE('V_DATOS PAC_SGA'!CC196,"0")+0))</f>
        <v>0</v>
      </c>
      <c r="C201" s="2" t="n">
        <f aca="false">'V_DATOS PAC_SGA'!CD196</f>
        <v>0</v>
      </c>
      <c r="D201" s="1409" t="n">
        <f aca="false">'V_DATOS PAC_SGA'!Y196</f>
        <v>0</v>
      </c>
      <c r="E201" s="1410" t="str">
        <f aca="false">IF('V_DATOS PAC_SGA'!AV196="","Regadio",'V_DATOS PAC_SGA'!AV196)</f>
        <v>Regadio</v>
      </c>
      <c r="F201" s="1411" t="n">
        <f aca="false">'V_DATOS PAC_SGA'!BK196</f>
        <v>0</v>
      </c>
      <c r="G201" s="1412" t="n">
        <f aca="false">'V_DATOS PAC_SGA'!AN196</f>
        <v>0</v>
      </c>
      <c r="H201" s="1413" t="str">
        <f aca="false">IF(B201&gt;0,VLOOKUP(B201,'O_MN, PE_UTA_UGM 2024'!E$3:O$419,10),"")</f>
        <v/>
      </c>
      <c r="I201" s="1359" t="str">
        <f aca="false">IF('V_DATOS PAC_SGA'!BV196="IV",'V_DATOS PAC_SGA'!BV196,"")</f>
        <v/>
      </c>
      <c r="J201" s="2" t="str">
        <f aca="false">IF($A201&gt;0,IF(AND(J$4=$G201,J$6=$F201),$D201*J$5,""),"")</f>
        <v/>
      </c>
      <c r="K201" s="2" t="str">
        <f aca="false">IF($A201&gt;0,IF(AND(K$4=$G201,K$6=$F201),$D201*K$5,""),"")</f>
        <v/>
      </c>
      <c r="L201" s="2" t="str">
        <f aca="false">IF($A201&gt;0,IF(AND(L$4=$G201,L$6=$F201),$D201*L$5,""),"")</f>
        <v/>
      </c>
      <c r="M201" s="2" t="str">
        <f aca="false">IF($A201&gt;0,IF(AND(M$4=$G201,M$6=$F201),$D201*M$5,""),"")</f>
        <v/>
      </c>
      <c r="N201" s="1506" t="n">
        <f aca="false">VLOOKUP(B201,'O_MN, PE_UTA_UGM 2024'!$E$2:$K$419,IF(G201&gt;1,6,7))</f>
        <v>0</v>
      </c>
      <c r="O201" s="1434" t="str">
        <f aca="false">IF($H201=O$4,$D201*$N201,"")</f>
        <v/>
      </c>
      <c r="P201" s="1435" t="str">
        <f aca="false">IF($H201=P$4,$D201*$N201,"")</f>
        <v/>
      </c>
      <c r="Q201" s="1435" t="str">
        <f aca="false">IF($H201=Q$4,$D201*$N201,"")</f>
        <v/>
      </c>
      <c r="R201" s="1435" t="str">
        <f aca="false">IF($H201=R$4,$D201*$N201,"")</f>
        <v/>
      </c>
      <c r="S201" s="1435" t="str">
        <f aca="false">IF($H201=S$4,$D201*$N201,"")</f>
        <v/>
      </c>
      <c r="T201" s="1435" t="str">
        <f aca="false">IF($H201=T$4,$D201*$N201,"")</f>
        <v/>
      </c>
      <c r="U201" s="1436" t="str">
        <f aca="false">IF($H201=U$4,$D201*$N201,"")</f>
        <v/>
      </c>
      <c r="V201" s="1418"/>
      <c r="W201" s="1419"/>
      <c r="X201" s="1419"/>
      <c r="Y201" s="1419"/>
      <c r="Z201" s="1419"/>
      <c r="AA201" s="1419"/>
      <c r="AB201" s="1420"/>
      <c r="AC201" s="1319"/>
      <c r="AD201" s="2" t="str">
        <f aca="false">IF(AND(AD$4=$G201,AD$6=$F201),$B201,"")</f>
        <v/>
      </c>
      <c r="AE201" s="2" t="str">
        <f aca="false">IF(AND(AE$4=$G201,AE$6=$F201),$B201,"")</f>
        <v/>
      </c>
      <c r="AF201" s="2" t="str">
        <f aca="false">IF(AND(AF$4=$G201,AF$6=$F201),$B201,"")</f>
        <v/>
      </c>
      <c r="AG201" s="2" t="str">
        <f aca="false">IF(AND(AG$4=$G201,AG$6=$F201),$B201,"")</f>
        <v/>
      </c>
      <c r="AI201" s="366"/>
      <c r="AL201" s="367"/>
      <c r="AO201" s="367"/>
      <c r="AP201" s="2" t="str">
        <f aca="false">IF(AT201&gt;0,RANK(AT201,AT$7:AT$423),"")</f>
        <v/>
      </c>
      <c r="AQ201" s="2" t="n">
        <f aca="false">'O_MN, PE_UTA_UGM 2024'!C197</f>
        <v>192</v>
      </c>
      <c r="AR201" s="1421" t="n">
        <v>1910</v>
      </c>
      <c r="AS201" s="2" t="str">
        <f aca="false">IF(AY201&lt;&gt;"",AY201,"")</f>
        <v/>
      </c>
      <c r="AT201" s="1422" t="n">
        <f aca="false">IF(ISNUMBER($AR201),SUMIF(B$7:B$505,AR201,D$7:D$505),"")</f>
        <v>0</v>
      </c>
      <c r="AU201" s="1411" t="n">
        <f aca="false">IF(ISNUMBER($AR201),SUMIF(AD$7:AD$503,$AR201,J$7:J$503),"")</f>
        <v>0</v>
      </c>
      <c r="AV201" s="1411" t="n">
        <f aca="false">IF(ISNUMBER($AR201),SUMIF(AF$7:AF$503,$AR201,L$7:L$503),"")</f>
        <v>0</v>
      </c>
      <c r="AW201" s="1423" t="n">
        <f aca="false">IF(ISNUMBER($AR201),SUMIF(AE$7:AE$503,$AR201,K$7:K$503),"")</f>
        <v>0</v>
      </c>
      <c r="AX201" s="1423" t="n">
        <f aca="false">IF(ISNUMBER($AR201),SUMIF(AG$7:AG$503,$AR201,M$7:M$503),"")</f>
        <v>0</v>
      </c>
      <c r="AY201" s="2" t="str">
        <f aca="false">IF($AT201&gt;0,VLOOKUP($AR201,'O_MN, PE_UTA_UGM 2024'!E197:O613,2),"")</f>
        <v/>
      </c>
      <c r="AZ201" s="1507"/>
      <c r="BA201" s="1507"/>
      <c r="BB201" s="1507" t="str">
        <f aca="false">IF($AT201&gt;0,VLOOKUP($AR201,'O_MN, PE_UTA_UGM 2024'!$E$3:$O$419,BB$6),"")</f>
        <v/>
      </c>
      <c r="BC201" s="1507" t="str">
        <f aca="false">IF($AT201&gt;0,VLOOKUP($AR201,'O_MN, PE_UTA_UGM 2024'!$E$3:$O$419,BC$6),"")</f>
        <v/>
      </c>
      <c r="BD201" s="1507" t="str">
        <f aca="false">IF($AT201&gt;0,VLOOKUP($AR201,'O_MN, PE_UTA_UGM 2024'!$E$3:$O$419,BD$6),"")</f>
        <v/>
      </c>
      <c r="BE201" s="1507" t="str">
        <f aca="false">IF($AT201&gt;0,VLOOKUP($AR201,'O_MN, PE_UTA_UGM 2024'!$E$3:$O$419,BE$6),"")</f>
        <v/>
      </c>
      <c r="BF201" s="1507" t="str">
        <f aca="false">IF($AT201&gt;0,VLOOKUP($AR201,'O_MN, PE_UTA_UGM 2024'!$E$3:$O$419,BF$6),"")</f>
        <v/>
      </c>
      <c r="BG201" s="1507" t="str">
        <f aca="false">IF($AT201&gt;0,VLOOKUP($AR201,'O_MN, PE_UTA_UGM 2024'!$E$3:$O$419,BG$6),"")</f>
        <v/>
      </c>
      <c r="BH201" s="1504"/>
      <c r="BI201" s="1504"/>
      <c r="BJ201" s="1504"/>
      <c r="BK201" s="1504"/>
      <c r="BM201" s="1411"/>
      <c r="BN201" s="1411"/>
      <c r="BO201" s="1425" t="str">
        <f aca="false">IF(ISNUMBER($AU201*BB201*1),$AU201*BB201*1,"")</f>
        <v/>
      </c>
      <c r="BP201" s="1425" t="str">
        <f aca="false">IF(ISNUMBER($AV201*BC201*1),$AV201*BC201*1,"")</f>
        <v/>
      </c>
      <c r="BQ201" s="1425" t="str">
        <f aca="false">IF(ISNUMBER($AU201*BD201*1),$AU201*BD201*1,"")</f>
        <v/>
      </c>
      <c r="BR201" s="1425" t="str">
        <f aca="false">IF(ISNUMBER($AV201*BE201*1),$AV201*BE201*1,"")</f>
        <v/>
      </c>
      <c r="BS201" s="1411" t="str">
        <f aca="false">IF(ISNUMBER($AU201*BF201),$AU201*BF201,"")</f>
        <v/>
      </c>
      <c r="BT201" s="1411" t="str">
        <f aca="false">IF(ISNUMBER($AV201*BG201),$AV201*BG201,"")</f>
        <v/>
      </c>
      <c r="BU201" s="1411"/>
      <c r="BV201" s="1411"/>
      <c r="BW201" s="1411"/>
      <c r="BX201" s="1411"/>
      <c r="BZ201" s="1372"/>
      <c r="CA201" s="1372"/>
      <c r="CB201" s="1426" t="str">
        <f aca="false">IF(ISNUMBER($AW201*BB201),$AW201*BB201,"")</f>
        <v/>
      </c>
      <c r="CC201" s="1426" t="str">
        <f aca="false">IF(ISNUMBER($AX201*BC201),$AX201*BC201,"")</f>
        <v/>
      </c>
      <c r="CD201" s="1426" t="str">
        <f aca="false">IF(ISNUMBER($AW201*BD201),$AW201*BD201,"")</f>
        <v/>
      </c>
      <c r="CE201" s="1426" t="str">
        <f aca="false">IF(ISNUMBER($AX201*BE201),$AX201*BE201,"")</f>
        <v/>
      </c>
      <c r="CF201" s="1372" t="str">
        <f aca="false">IF(ISNUMBER($AW201*BF201),$AW201*BF201,"")</f>
        <v/>
      </c>
      <c r="CG201" s="1372" t="str">
        <f aca="false">IF(ISNUMBER($AX201*BG201),$AX201*BG201,"")</f>
        <v/>
      </c>
      <c r="CH201" s="1438"/>
      <c r="CI201" s="1438"/>
      <c r="CJ201" s="1438"/>
      <c r="CK201" s="1438"/>
      <c r="CU201" s="1411"/>
      <c r="CV201" s="1411"/>
      <c r="CW201" s="1425"/>
      <c r="CX201" s="1425"/>
      <c r="CY201" s="1425"/>
      <c r="CZ201" s="1425"/>
      <c r="DA201" s="1411"/>
      <c r="DB201" s="1411"/>
      <c r="DC201" s="1411"/>
      <c r="DD201" s="1411"/>
      <c r="DE201" s="1411"/>
      <c r="DF201" s="1411"/>
      <c r="DH201" s="1432"/>
      <c r="DI201" s="1432"/>
      <c r="DJ201" s="1437"/>
      <c r="DK201" s="1437"/>
      <c r="DL201" s="1437"/>
      <c r="DM201" s="1437"/>
      <c r="DN201" s="1432"/>
      <c r="DO201" s="1432"/>
      <c r="DP201" s="1432"/>
      <c r="DQ201" s="1432"/>
      <c r="DR201" s="1432"/>
      <c r="DS201" s="1432"/>
      <c r="DT201" s="1316"/>
      <c r="DU201" s="1433"/>
      <c r="DV201" s="1433"/>
      <c r="DW201" s="1433"/>
      <c r="DX201" s="1433"/>
      <c r="DY201" s="1433"/>
      <c r="DZ201" s="1433"/>
      <c r="EA201" s="1433"/>
      <c r="EB201" s="1433"/>
    </row>
    <row r="202" customFormat="false" ht="14.25" hidden="false" customHeight="false" outlineLevel="0" collapsed="false">
      <c r="A202" s="2" t="n">
        <f aca="false">'V_DATOS PAC_SGA'!CC197</f>
        <v>0</v>
      </c>
      <c r="B202" s="2" t="n">
        <f aca="false">IF(OR(A202=0,A202=""),0,IF(I202="IV",CONCATENATE('V_DATOS PAC_SGA'!CC197,"4")+0,CONCATENATE('V_DATOS PAC_SGA'!CC197,"0")+0))</f>
        <v>0</v>
      </c>
      <c r="C202" s="2" t="n">
        <f aca="false">'V_DATOS PAC_SGA'!CD197</f>
        <v>0</v>
      </c>
      <c r="D202" s="1409" t="n">
        <f aca="false">'V_DATOS PAC_SGA'!Y197</f>
        <v>0</v>
      </c>
      <c r="E202" s="1410" t="str">
        <f aca="false">IF('V_DATOS PAC_SGA'!AV197="","Regadio",'V_DATOS PAC_SGA'!AV197)</f>
        <v>Regadio</v>
      </c>
      <c r="F202" s="1411" t="n">
        <f aca="false">'V_DATOS PAC_SGA'!BK197</f>
        <v>0</v>
      </c>
      <c r="G202" s="1412" t="n">
        <f aca="false">'V_DATOS PAC_SGA'!AN197</f>
        <v>0</v>
      </c>
      <c r="H202" s="1413" t="str">
        <f aca="false">IF(B202&gt;0,VLOOKUP(B202,'O_MN, PE_UTA_UGM 2024'!E$3:O$419,10),"")</f>
        <v/>
      </c>
      <c r="I202" s="1359" t="str">
        <f aca="false">IF('V_DATOS PAC_SGA'!BV197="IV",'V_DATOS PAC_SGA'!BV197,"")</f>
        <v/>
      </c>
      <c r="J202" s="2" t="str">
        <f aca="false">IF($A202&gt;0,IF(AND(J$4=$G202,J$6=$F202),$D202*J$5,""),"")</f>
        <v/>
      </c>
      <c r="K202" s="2" t="str">
        <f aca="false">IF($A202&gt;0,IF(AND(K$4=$G202,K$6=$F202),$D202*K$5,""),"")</f>
        <v/>
      </c>
      <c r="L202" s="2" t="str">
        <f aca="false">IF($A202&gt;0,IF(AND(L$4=$G202,L$6=$F202),$D202*L$5,""),"")</f>
        <v/>
      </c>
      <c r="M202" s="2" t="str">
        <f aca="false">IF($A202&gt;0,IF(AND(M$4=$G202,M$6=$F202),$D202*M$5,""),"")</f>
        <v/>
      </c>
      <c r="N202" s="1506" t="n">
        <f aca="false">VLOOKUP(B202,'O_MN, PE_UTA_UGM 2024'!$E$2:$K$419,IF(G202&gt;1,6,7))</f>
        <v>0</v>
      </c>
      <c r="O202" s="1434" t="str">
        <f aca="false">IF($H202=O$4,$D202*$N202,"")</f>
        <v/>
      </c>
      <c r="P202" s="1435" t="str">
        <f aca="false">IF($H202=P$4,$D202*$N202,"")</f>
        <v/>
      </c>
      <c r="Q202" s="1435" t="str">
        <f aca="false">IF($H202=Q$4,$D202*$N202,"")</f>
        <v/>
      </c>
      <c r="R202" s="1435" t="str">
        <f aca="false">IF($H202=R$4,$D202*$N202,"")</f>
        <v/>
      </c>
      <c r="S202" s="1435" t="str">
        <f aca="false">IF($H202=S$4,$D202*$N202,"")</f>
        <v/>
      </c>
      <c r="T202" s="1435" t="str">
        <f aca="false">IF($H202=T$4,$D202*$N202,"")</f>
        <v/>
      </c>
      <c r="U202" s="1436" t="str">
        <f aca="false">IF($H202=U$4,$D202*$N202,"")</f>
        <v/>
      </c>
      <c r="V202" s="1418"/>
      <c r="W202" s="1419"/>
      <c r="X202" s="1419"/>
      <c r="Y202" s="1419"/>
      <c r="Z202" s="1419"/>
      <c r="AA202" s="1419"/>
      <c r="AB202" s="1420"/>
      <c r="AC202" s="1319"/>
      <c r="AD202" s="2" t="str">
        <f aca="false">IF(AND(AD$4=$G202,AD$6=$F202),$B202,"")</f>
        <v/>
      </c>
      <c r="AE202" s="2" t="str">
        <f aca="false">IF(AND(AE$4=$G202,AE$6=$F202),$B202,"")</f>
        <v/>
      </c>
      <c r="AF202" s="2" t="str">
        <f aca="false">IF(AND(AF$4=$G202,AF$6=$F202),$B202,"")</f>
        <v/>
      </c>
      <c r="AG202" s="2" t="str">
        <f aca="false">IF(AND(AG$4=$G202,AG$6=$F202),$B202,"")</f>
        <v/>
      </c>
      <c r="AI202" s="366"/>
      <c r="AL202" s="367"/>
      <c r="AO202" s="367"/>
      <c r="AP202" s="2" t="str">
        <f aca="false">IF(AT202&gt;0,RANK(AT202,AT$7:AT$423),"")</f>
        <v/>
      </c>
      <c r="AQ202" s="2" t="n">
        <f aca="false">'O_MN, PE_UTA_UGM 2024'!C198</f>
        <v>192</v>
      </c>
      <c r="AR202" s="1421" t="n">
        <v>1914</v>
      </c>
      <c r="AS202" s="2" t="str">
        <f aca="false">IF(AY202&lt;&gt;"",AY202,"")</f>
        <v/>
      </c>
      <c r="AT202" s="1422" t="n">
        <f aca="false">IF(ISNUMBER($AR202),SUMIF(B$7:B$505,AR202,D$7:D$505),"")</f>
        <v>0</v>
      </c>
      <c r="AU202" s="1411" t="n">
        <f aca="false">IF(ISNUMBER($AR202),SUMIF(AD$7:AD$503,$AR202,J$7:J$503),"")</f>
        <v>0</v>
      </c>
      <c r="AV202" s="1411" t="n">
        <f aca="false">IF(ISNUMBER($AR202),SUMIF(AF$7:AF$503,$AR202,L$7:L$503),"")</f>
        <v>0</v>
      </c>
      <c r="AW202" s="1423" t="n">
        <f aca="false">IF(ISNUMBER($AR202),SUMIF(AE$7:AE$503,$AR202,K$7:K$503),"")</f>
        <v>0</v>
      </c>
      <c r="AX202" s="1423" t="n">
        <f aca="false">IF(ISNUMBER($AR202),SUMIF(AG$7:AG$503,$AR202,M$7:M$503),"")</f>
        <v>0</v>
      </c>
      <c r="AY202" s="2" t="str">
        <f aca="false">IF($AT202&gt;0,VLOOKUP($AR202,'O_MN, PE_UTA_UGM 2024'!E198:O614,2),"")</f>
        <v/>
      </c>
      <c r="AZ202" s="1507"/>
      <c r="BA202" s="1507"/>
      <c r="BB202" s="1507" t="str">
        <f aca="false">IF($AT202&gt;0,VLOOKUP($AR202,'O_MN, PE_UTA_UGM 2024'!$E$3:$O$419,BB$6),"")</f>
        <v/>
      </c>
      <c r="BC202" s="1507" t="str">
        <f aca="false">IF($AT202&gt;0,VLOOKUP($AR202,'O_MN, PE_UTA_UGM 2024'!$E$3:$O$419,BC$6),"")</f>
        <v/>
      </c>
      <c r="BD202" s="1507" t="str">
        <f aca="false">IF($AT202&gt;0,VLOOKUP($AR202,'O_MN, PE_UTA_UGM 2024'!$E$3:$O$419,BD$6),"")</f>
        <v/>
      </c>
      <c r="BE202" s="1507" t="str">
        <f aca="false">IF($AT202&gt;0,VLOOKUP($AR202,'O_MN, PE_UTA_UGM 2024'!$E$3:$O$419,BE$6),"")</f>
        <v/>
      </c>
      <c r="BF202" s="1507" t="str">
        <f aca="false">IF($AT202&gt;0,VLOOKUP($AR202,'O_MN, PE_UTA_UGM 2024'!$E$3:$O$419,BF$6),"")</f>
        <v/>
      </c>
      <c r="BG202" s="1507" t="str">
        <f aca="false">IF($AT202&gt;0,VLOOKUP($AR202,'O_MN, PE_UTA_UGM 2024'!$E$3:$O$419,BG$6),"")</f>
        <v/>
      </c>
      <c r="BH202" s="1504"/>
      <c r="BI202" s="1504"/>
      <c r="BJ202" s="1504"/>
      <c r="BK202" s="1504"/>
      <c r="BM202" s="1411"/>
      <c r="BN202" s="1411"/>
      <c r="BO202" s="1425" t="str">
        <f aca="false">IF(ISNUMBER($AU202*BB202*1),$AU202*BB202*1,"")</f>
        <v/>
      </c>
      <c r="BP202" s="1425" t="str">
        <f aca="false">IF(ISNUMBER($AV202*BC202*1),$AV202*BC202*1,"")</f>
        <v/>
      </c>
      <c r="BQ202" s="1425" t="str">
        <f aca="false">IF(ISNUMBER($AU202*BD202*1),$AU202*BD202*1,"")</f>
        <v/>
      </c>
      <c r="BR202" s="1425" t="str">
        <f aca="false">IF(ISNUMBER($AV202*BE202*1),$AV202*BE202*1,"")</f>
        <v/>
      </c>
      <c r="BS202" s="1411" t="str">
        <f aca="false">IF(ISNUMBER($AU202*BF202),$AU202*BF202,"")</f>
        <v/>
      </c>
      <c r="BT202" s="1411" t="str">
        <f aca="false">IF(ISNUMBER($AV202*BG202),$AV202*BG202,"")</f>
        <v/>
      </c>
      <c r="BU202" s="1411"/>
      <c r="BV202" s="1411"/>
      <c r="BW202" s="1411"/>
      <c r="BX202" s="1411"/>
      <c r="BZ202" s="1372"/>
      <c r="CA202" s="1372"/>
      <c r="CB202" s="1426" t="str">
        <f aca="false">IF(ISNUMBER($AW202*BB202),$AW202*BB202,"")</f>
        <v/>
      </c>
      <c r="CC202" s="1426" t="str">
        <f aca="false">IF(ISNUMBER($AX202*BC202),$AX202*BC202,"")</f>
        <v/>
      </c>
      <c r="CD202" s="1426" t="str">
        <f aca="false">IF(ISNUMBER($AW202*BD202),$AW202*BD202,"")</f>
        <v/>
      </c>
      <c r="CE202" s="1426" t="str">
        <f aca="false">IF(ISNUMBER($AX202*BE202),$AX202*BE202,"")</f>
        <v/>
      </c>
      <c r="CF202" s="1372" t="str">
        <f aca="false">IF(ISNUMBER($AW202*BF202),$AW202*BF202,"")</f>
        <v/>
      </c>
      <c r="CG202" s="1372" t="str">
        <f aca="false">IF(ISNUMBER($AX202*BG202),$AX202*BG202,"")</f>
        <v/>
      </c>
      <c r="CH202" s="1438"/>
      <c r="CI202" s="1438"/>
      <c r="CJ202" s="1438"/>
      <c r="CK202" s="1438"/>
      <c r="CU202" s="1411"/>
      <c r="CV202" s="1411"/>
      <c r="CW202" s="1425"/>
      <c r="CX202" s="1425"/>
      <c r="CY202" s="1425"/>
      <c r="CZ202" s="1425"/>
      <c r="DA202" s="1411"/>
      <c r="DB202" s="1411"/>
      <c r="DC202" s="1411"/>
      <c r="DD202" s="1411"/>
      <c r="DE202" s="1411"/>
      <c r="DF202" s="1411"/>
      <c r="DH202" s="1432"/>
      <c r="DI202" s="1432"/>
      <c r="DJ202" s="1437"/>
      <c r="DK202" s="1437"/>
      <c r="DL202" s="1437"/>
      <c r="DM202" s="1437"/>
      <c r="DN202" s="1432"/>
      <c r="DO202" s="1432"/>
      <c r="DP202" s="1432"/>
      <c r="DQ202" s="1432"/>
      <c r="DR202" s="1432"/>
      <c r="DS202" s="1432"/>
      <c r="DT202" s="1316"/>
      <c r="DU202" s="1433"/>
      <c r="DV202" s="1433"/>
      <c r="DW202" s="1433"/>
      <c r="DX202" s="1433"/>
      <c r="DY202" s="1433"/>
      <c r="DZ202" s="1433"/>
      <c r="EA202" s="1433"/>
      <c r="EB202" s="1433"/>
    </row>
    <row r="203" customFormat="false" ht="14.25" hidden="false" customHeight="false" outlineLevel="0" collapsed="false">
      <c r="A203" s="2" t="n">
        <f aca="false">'V_DATOS PAC_SGA'!CC198</f>
        <v>0</v>
      </c>
      <c r="B203" s="2" t="n">
        <f aca="false">IF(OR(A203=0,A203=""),0,IF(I203="IV",CONCATENATE('V_DATOS PAC_SGA'!CC198,"4")+0,CONCATENATE('V_DATOS PAC_SGA'!CC198,"0")+0))</f>
        <v>0</v>
      </c>
      <c r="C203" s="2" t="n">
        <f aca="false">'V_DATOS PAC_SGA'!CD198</f>
        <v>0</v>
      </c>
      <c r="D203" s="1409" t="n">
        <f aca="false">'V_DATOS PAC_SGA'!Y198</f>
        <v>0</v>
      </c>
      <c r="E203" s="1410" t="str">
        <f aca="false">IF('V_DATOS PAC_SGA'!AV198="","Regadio",'V_DATOS PAC_SGA'!AV198)</f>
        <v>Regadio</v>
      </c>
      <c r="F203" s="1411" t="n">
        <f aca="false">'V_DATOS PAC_SGA'!BK198</f>
        <v>0</v>
      </c>
      <c r="G203" s="1412" t="n">
        <f aca="false">'V_DATOS PAC_SGA'!AN198</f>
        <v>0</v>
      </c>
      <c r="H203" s="1413" t="str">
        <f aca="false">IF(B203&gt;0,VLOOKUP(B203,'O_MN, PE_UTA_UGM 2024'!E$3:O$419,10),"")</f>
        <v/>
      </c>
      <c r="I203" s="1359" t="str">
        <f aca="false">IF('V_DATOS PAC_SGA'!BV198="IV",'V_DATOS PAC_SGA'!BV198,"")</f>
        <v/>
      </c>
      <c r="J203" s="2" t="str">
        <f aca="false">IF($A203&gt;0,IF(AND(J$4=$G203,J$6=$F203),$D203*J$5,""),"")</f>
        <v/>
      </c>
      <c r="K203" s="2" t="str">
        <f aca="false">IF($A203&gt;0,IF(AND(K$4=$G203,K$6=$F203),$D203*K$5,""),"")</f>
        <v/>
      </c>
      <c r="L203" s="2" t="str">
        <f aca="false">IF($A203&gt;0,IF(AND(L$4=$G203,L$6=$F203),$D203*L$5,""),"")</f>
        <v/>
      </c>
      <c r="M203" s="2" t="str">
        <f aca="false">IF($A203&gt;0,IF(AND(M$4=$G203,M$6=$F203),$D203*M$5,""),"")</f>
        <v/>
      </c>
      <c r="N203" s="1506" t="n">
        <f aca="false">VLOOKUP(B203,'O_MN, PE_UTA_UGM 2024'!$E$2:$K$419,IF(G203&gt;1,6,7))</f>
        <v>0</v>
      </c>
      <c r="O203" s="1434" t="str">
        <f aca="false">IF($H203=O$4,$D203*$N203,"")</f>
        <v/>
      </c>
      <c r="P203" s="1435" t="str">
        <f aca="false">IF($H203=P$4,$D203*$N203,"")</f>
        <v/>
      </c>
      <c r="Q203" s="1435" t="str">
        <f aca="false">IF($H203=Q$4,$D203*$N203,"")</f>
        <v/>
      </c>
      <c r="R203" s="1435" t="str">
        <f aca="false">IF($H203=R$4,$D203*$N203,"")</f>
        <v/>
      </c>
      <c r="S203" s="1435" t="str">
        <f aca="false">IF($H203=S$4,$D203*$N203,"")</f>
        <v/>
      </c>
      <c r="T203" s="1435" t="str">
        <f aca="false">IF($H203=T$4,$D203*$N203,"")</f>
        <v/>
      </c>
      <c r="U203" s="1436" t="str">
        <f aca="false">IF($H203=U$4,$D203*$N203,"")</f>
        <v/>
      </c>
      <c r="V203" s="1418"/>
      <c r="W203" s="1419"/>
      <c r="X203" s="1419"/>
      <c r="Y203" s="1419"/>
      <c r="Z203" s="1419"/>
      <c r="AA203" s="1419"/>
      <c r="AB203" s="1420"/>
      <c r="AC203" s="1319"/>
      <c r="AD203" s="2" t="str">
        <f aca="false">IF(AND(AD$4=$G203,AD$6=$F203),$B203,"")</f>
        <v/>
      </c>
      <c r="AE203" s="2" t="str">
        <f aca="false">IF(AND(AE$4=$G203,AE$6=$F203),$B203,"")</f>
        <v/>
      </c>
      <c r="AF203" s="2" t="str">
        <f aca="false">IF(AND(AF$4=$G203,AF$6=$F203),$B203,"")</f>
        <v/>
      </c>
      <c r="AG203" s="2" t="str">
        <f aca="false">IF(AND(AG$4=$G203,AG$6=$F203),$B203,"")</f>
        <v/>
      </c>
      <c r="AI203" s="366"/>
      <c r="AL203" s="367"/>
      <c r="AO203" s="367"/>
      <c r="AP203" s="2" t="str">
        <f aca="false">IF(AT203&gt;0,RANK(AT203,AT$7:AT$423),"")</f>
        <v/>
      </c>
      <c r="AQ203" s="2" t="n">
        <f aca="false">'O_MN, PE_UTA_UGM 2024'!C199</f>
        <v>193</v>
      </c>
      <c r="AR203" s="1421" t="n">
        <v>1919</v>
      </c>
      <c r="AS203" s="2" t="str">
        <f aca="false">IF(AY203&lt;&gt;"",AY203,"")</f>
        <v/>
      </c>
      <c r="AT203" s="1422" t="n">
        <f aca="false">IF(ISNUMBER($AR203),SUMIF(B$7:B$505,AR203,D$7:D$505),"")</f>
        <v>0</v>
      </c>
      <c r="AU203" s="1411" t="n">
        <f aca="false">IF(ISNUMBER($AR203),SUMIF(AD$7:AD$503,$AR203,J$7:J$503),"")</f>
        <v>0</v>
      </c>
      <c r="AV203" s="1411" t="n">
        <f aca="false">IF(ISNUMBER($AR203),SUMIF(AF$7:AF$503,$AR203,L$7:L$503),"")</f>
        <v>0</v>
      </c>
      <c r="AW203" s="1423" t="n">
        <f aca="false">IF(ISNUMBER($AR203),SUMIF(AE$7:AE$503,$AR203,K$7:K$503),"")</f>
        <v>0</v>
      </c>
      <c r="AX203" s="1423" t="n">
        <f aca="false">IF(ISNUMBER($AR203),SUMIF(AG$7:AG$503,$AR203,M$7:M$503),"")</f>
        <v>0</v>
      </c>
      <c r="AY203" s="2" t="str">
        <f aca="false">IF($AT203&gt;0,VLOOKUP($AR203,'O_MN, PE_UTA_UGM 2024'!E199:O615,2),"")</f>
        <v/>
      </c>
      <c r="AZ203" s="1507"/>
      <c r="BA203" s="1507"/>
      <c r="BB203" s="1507" t="str">
        <f aca="false">IF($AT203&gt;0,VLOOKUP($AR203,'O_MN, PE_UTA_UGM 2024'!$E$3:$O$419,BB$6),"")</f>
        <v/>
      </c>
      <c r="BC203" s="1507" t="str">
        <f aca="false">IF($AT203&gt;0,VLOOKUP($AR203,'O_MN, PE_UTA_UGM 2024'!$E$3:$O$419,BC$6),"")</f>
        <v/>
      </c>
      <c r="BD203" s="1507" t="str">
        <f aca="false">IF($AT203&gt;0,VLOOKUP($AR203,'O_MN, PE_UTA_UGM 2024'!$E$3:$O$419,BD$6),"")</f>
        <v/>
      </c>
      <c r="BE203" s="1507" t="str">
        <f aca="false">IF($AT203&gt;0,VLOOKUP($AR203,'O_MN, PE_UTA_UGM 2024'!$E$3:$O$419,BE$6),"")</f>
        <v/>
      </c>
      <c r="BF203" s="1507" t="str">
        <f aca="false">IF($AT203&gt;0,VLOOKUP($AR203,'O_MN, PE_UTA_UGM 2024'!$E$3:$O$419,BF$6),"")</f>
        <v/>
      </c>
      <c r="BG203" s="1507" t="str">
        <f aca="false">IF($AT203&gt;0,VLOOKUP($AR203,'O_MN, PE_UTA_UGM 2024'!$E$3:$O$419,BG$6),"")</f>
        <v/>
      </c>
      <c r="BH203" s="1504"/>
      <c r="BI203" s="1504"/>
      <c r="BJ203" s="1504"/>
      <c r="BK203" s="1504"/>
      <c r="BM203" s="1411"/>
      <c r="BN203" s="1411"/>
      <c r="BO203" s="1425" t="str">
        <f aca="false">IF(ISNUMBER($AU203*BB203*1),$AU203*BB203*1,"")</f>
        <v/>
      </c>
      <c r="BP203" s="1425" t="str">
        <f aca="false">IF(ISNUMBER($AV203*BC203*1),$AV203*BC203*1,"")</f>
        <v/>
      </c>
      <c r="BQ203" s="1425" t="str">
        <f aca="false">IF(ISNUMBER($AU203*BD203*1),$AU203*BD203*1,"")</f>
        <v/>
      </c>
      <c r="BR203" s="1425" t="str">
        <f aca="false">IF(ISNUMBER($AV203*BE203*1),$AV203*BE203*1,"")</f>
        <v/>
      </c>
      <c r="BS203" s="1411" t="str">
        <f aca="false">IF(ISNUMBER($AU203*BF203),$AU203*BF203,"")</f>
        <v/>
      </c>
      <c r="BT203" s="1411" t="str">
        <f aca="false">IF(ISNUMBER($AV203*BG203),$AV203*BG203,"")</f>
        <v/>
      </c>
      <c r="BU203" s="1411"/>
      <c r="BV203" s="1411"/>
      <c r="BW203" s="1411"/>
      <c r="BX203" s="1411"/>
      <c r="BZ203" s="1372"/>
      <c r="CA203" s="1372"/>
      <c r="CB203" s="1426" t="str">
        <f aca="false">IF(ISNUMBER($AW203*BB203),$AW203*BB203,"")</f>
        <v/>
      </c>
      <c r="CC203" s="1426" t="str">
        <f aca="false">IF(ISNUMBER($AX203*BC203),$AX203*BC203,"")</f>
        <v/>
      </c>
      <c r="CD203" s="1426" t="str">
        <f aca="false">IF(ISNUMBER($AW203*BD203),$AW203*BD203,"")</f>
        <v/>
      </c>
      <c r="CE203" s="1426" t="str">
        <f aca="false">IF(ISNUMBER($AX203*BE203),$AX203*BE203,"")</f>
        <v/>
      </c>
      <c r="CF203" s="1372" t="str">
        <f aca="false">IF(ISNUMBER($AW203*BF203),$AW203*BF203,"")</f>
        <v/>
      </c>
      <c r="CG203" s="1372" t="str">
        <f aca="false">IF(ISNUMBER($AX203*BG203),$AX203*BG203,"")</f>
        <v/>
      </c>
      <c r="CH203" s="1438"/>
      <c r="CI203" s="1438"/>
      <c r="CJ203" s="1438"/>
      <c r="CK203" s="1438"/>
      <c r="CU203" s="1411"/>
      <c r="CV203" s="1411"/>
      <c r="CW203" s="1425"/>
      <c r="CX203" s="1425"/>
      <c r="CY203" s="1425"/>
      <c r="CZ203" s="1425"/>
      <c r="DA203" s="1411"/>
      <c r="DB203" s="1411"/>
      <c r="DC203" s="1411"/>
      <c r="DD203" s="1411"/>
      <c r="DE203" s="1411"/>
      <c r="DF203" s="1411"/>
      <c r="DH203" s="1432"/>
      <c r="DI203" s="1432"/>
      <c r="DJ203" s="1437"/>
      <c r="DK203" s="1437"/>
      <c r="DL203" s="1437"/>
      <c r="DM203" s="1437"/>
      <c r="DN203" s="1432"/>
      <c r="DO203" s="1432"/>
      <c r="DP203" s="1432"/>
      <c r="DQ203" s="1432"/>
      <c r="DR203" s="1432"/>
      <c r="DS203" s="1432"/>
      <c r="DT203" s="1316"/>
      <c r="DU203" s="1433"/>
      <c r="DV203" s="1433"/>
      <c r="DW203" s="1433"/>
      <c r="DX203" s="1433"/>
      <c r="DY203" s="1433"/>
      <c r="DZ203" s="1433"/>
      <c r="EA203" s="1433"/>
      <c r="EB203" s="1433"/>
    </row>
    <row r="204" customFormat="false" ht="14.25" hidden="false" customHeight="false" outlineLevel="0" collapsed="false">
      <c r="A204" s="2" t="n">
        <f aca="false">'V_DATOS PAC_SGA'!CC199</f>
        <v>0</v>
      </c>
      <c r="B204" s="2" t="n">
        <f aca="false">IF(OR(A204=0,A204=""),0,IF(I204="IV",CONCATENATE('V_DATOS PAC_SGA'!CC199,"4")+0,CONCATENATE('V_DATOS PAC_SGA'!CC199,"0")+0))</f>
        <v>0</v>
      </c>
      <c r="C204" s="2" t="n">
        <f aca="false">'V_DATOS PAC_SGA'!CD199</f>
        <v>0</v>
      </c>
      <c r="D204" s="1409" t="n">
        <f aca="false">'V_DATOS PAC_SGA'!Y199</f>
        <v>0</v>
      </c>
      <c r="E204" s="1410" t="str">
        <f aca="false">IF('V_DATOS PAC_SGA'!AV199="","Regadio",'V_DATOS PAC_SGA'!AV199)</f>
        <v>Regadio</v>
      </c>
      <c r="F204" s="1411" t="n">
        <f aca="false">'V_DATOS PAC_SGA'!BK199</f>
        <v>0</v>
      </c>
      <c r="G204" s="1412" t="n">
        <f aca="false">'V_DATOS PAC_SGA'!AN199</f>
        <v>0</v>
      </c>
      <c r="H204" s="1413" t="str">
        <f aca="false">IF(B204&gt;0,VLOOKUP(B204,'O_MN, PE_UTA_UGM 2024'!E$3:O$419,10),"")</f>
        <v/>
      </c>
      <c r="I204" s="1359" t="str">
        <f aca="false">IF('V_DATOS PAC_SGA'!BV199="IV",'V_DATOS PAC_SGA'!BV199,"")</f>
        <v/>
      </c>
      <c r="J204" s="2" t="str">
        <f aca="false">IF($A204&gt;0,IF(AND(J$4=$G204,J$6=$F204),$D204*J$5,""),"")</f>
        <v/>
      </c>
      <c r="K204" s="2" t="str">
        <f aca="false">IF($A204&gt;0,IF(AND(K$4=$G204,K$6=$F204),$D204*K$5,""),"")</f>
        <v/>
      </c>
      <c r="L204" s="2" t="str">
        <f aca="false">IF($A204&gt;0,IF(AND(L$4=$G204,L$6=$F204),$D204*L$5,""),"")</f>
        <v/>
      </c>
      <c r="M204" s="2" t="str">
        <f aca="false">IF($A204&gt;0,IF(AND(M$4=$G204,M$6=$F204),$D204*M$5,""),"")</f>
        <v/>
      </c>
      <c r="N204" s="1506" t="n">
        <f aca="false">VLOOKUP(B204,'O_MN, PE_UTA_UGM 2024'!$E$2:$K$419,IF(G204&gt;1,6,7))</f>
        <v>0</v>
      </c>
      <c r="O204" s="1434" t="str">
        <f aca="false">IF($H204=O$4,$D204*$N204,"")</f>
        <v/>
      </c>
      <c r="P204" s="1435" t="str">
        <f aca="false">IF($H204=P$4,$D204*$N204,"")</f>
        <v/>
      </c>
      <c r="Q204" s="1435" t="str">
        <f aca="false">IF($H204=Q$4,$D204*$N204,"")</f>
        <v/>
      </c>
      <c r="R204" s="1435" t="str">
        <f aca="false">IF($H204=R$4,$D204*$N204,"")</f>
        <v/>
      </c>
      <c r="S204" s="1435" t="str">
        <f aca="false">IF($H204=S$4,$D204*$N204,"")</f>
        <v/>
      </c>
      <c r="T204" s="1435" t="str">
        <f aca="false">IF($H204=T$4,$D204*$N204,"")</f>
        <v/>
      </c>
      <c r="U204" s="1436" t="str">
        <f aca="false">IF($H204=U$4,$D204*$N204,"")</f>
        <v/>
      </c>
      <c r="V204" s="1418"/>
      <c r="W204" s="1419"/>
      <c r="X204" s="1419"/>
      <c r="Y204" s="1419"/>
      <c r="Z204" s="1419"/>
      <c r="AA204" s="1419"/>
      <c r="AB204" s="1420"/>
      <c r="AC204" s="1319"/>
      <c r="AD204" s="2" t="str">
        <f aca="false">IF(AND(AD$4=$G204,AD$6=$F204),$B204,"")</f>
        <v/>
      </c>
      <c r="AE204" s="2" t="str">
        <f aca="false">IF(AND(AE$4=$G204,AE$6=$F204),$B204,"")</f>
        <v/>
      </c>
      <c r="AF204" s="2" t="str">
        <f aca="false">IF(AND(AF$4=$G204,AF$6=$F204),$B204,"")</f>
        <v/>
      </c>
      <c r="AG204" s="2" t="str">
        <f aca="false">IF(AND(AG$4=$G204,AG$6=$F204),$B204,"")</f>
        <v/>
      </c>
      <c r="AI204" s="366"/>
      <c r="AL204" s="367"/>
      <c r="AO204" s="367"/>
      <c r="AP204" s="2" t="str">
        <f aca="false">IF(AT204&gt;0,RANK(AT204,AT$7:AT$423),"")</f>
        <v/>
      </c>
      <c r="AQ204" s="2" t="n">
        <f aca="false">'O_MN, PE_UTA_UGM 2024'!C200</f>
        <v>193</v>
      </c>
      <c r="AR204" s="1421" t="n">
        <v>1920</v>
      </c>
      <c r="AS204" s="2" t="str">
        <f aca="false">IF(AY204&lt;&gt;"",AY204,"")</f>
        <v/>
      </c>
      <c r="AT204" s="1422" t="n">
        <f aca="false">IF(ISNUMBER($AR204),SUMIF(B$7:B$505,AR204,D$7:D$505),"")</f>
        <v>0</v>
      </c>
      <c r="AU204" s="1411" t="n">
        <f aca="false">IF(ISNUMBER($AR204),SUMIF(AD$7:AD$503,$AR204,J$7:J$503),"")</f>
        <v>0</v>
      </c>
      <c r="AV204" s="1411" t="n">
        <f aca="false">IF(ISNUMBER($AR204),SUMIF(AF$7:AF$503,$AR204,L$7:L$503),"")</f>
        <v>0</v>
      </c>
      <c r="AW204" s="1423" t="n">
        <f aca="false">IF(ISNUMBER($AR204),SUMIF(AE$7:AE$503,$AR204,K$7:K$503),"")</f>
        <v>0</v>
      </c>
      <c r="AX204" s="1423" t="n">
        <f aca="false">IF(ISNUMBER($AR204),SUMIF(AG$7:AG$503,$AR204,M$7:M$503),"")</f>
        <v>0</v>
      </c>
      <c r="AY204" s="2" t="str">
        <f aca="false">IF($AT204&gt;0,VLOOKUP($AR204,'O_MN, PE_UTA_UGM 2024'!E200:O616,2),"")</f>
        <v/>
      </c>
      <c r="AZ204" s="1507"/>
      <c r="BA204" s="1507"/>
      <c r="BB204" s="1507" t="str">
        <f aca="false">IF($AT204&gt;0,VLOOKUP($AR204,'O_MN, PE_UTA_UGM 2024'!$E$3:$O$419,BB$6),"")</f>
        <v/>
      </c>
      <c r="BC204" s="1507" t="str">
        <f aca="false">IF($AT204&gt;0,VLOOKUP($AR204,'O_MN, PE_UTA_UGM 2024'!$E$3:$O$419,BC$6),"")</f>
        <v/>
      </c>
      <c r="BD204" s="1507" t="str">
        <f aca="false">IF($AT204&gt;0,VLOOKUP($AR204,'O_MN, PE_UTA_UGM 2024'!$E$3:$O$419,BD$6),"")</f>
        <v/>
      </c>
      <c r="BE204" s="1507" t="str">
        <f aca="false">IF($AT204&gt;0,VLOOKUP($AR204,'O_MN, PE_UTA_UGM 2024'!$E$3:$O$419,BE$6),"")</f>
        <v/>
      </c>
      <c r="BF204" s="1507" t="str">
        <f aca="false">IF($AT204&gt;0,VLOOKUP($AR204,'O_MN, PE_UTA_UGM 2024'!$E$3:$O$419,BF$6),"")</f>
        <v/>
      </c>
      <c r="BG204" s="1507" t="str">
        <f aca="false">IF($AT204&gt;0,VLOOKUP($AR204,'O_MN, PE_UTA_UGM 2024'!$E$3:$O$419,BG$6),"")</f>
        <v/>
      </c>
      <c r="BH204" s="1504"/>
      <c r="BI204" s="1504"/>
      <c r="BJ204" s="1504"/>
      <c r="BK204" s="1504"/>
      <c r="BM204" s="1411"/>
      <c r="BN204" s="1411"/>
      <c r="BO204" s="1425" t="str">
        <f aca="false">IF(ISNUMBER($AU204*BB204*1),$AU204*BB204*1,"")</f>
        <v/>
      </c>
      <c r="BP204" s="1425" t="str">
        <f aca="false">IF(ISNUMBER($AV204*BC204*1),$AV204*BC204*1,"")</f>
        <v/>
      </c>
      <c r="BQ204" s="1425" t="str">
        <f aca="false">IF(ISNUMBER($AU204*BD204*1),$AU204*BD204*1,"")</f>
        <v/>
      </c>
      <c r="BR204" s="1425" t="str">
        <f aca="false">IF(ISNUMBER($AV204*BE204*1),$AV204*BE204*1,"")</f>
        <v/>
      </c>
      <c r="BS204" s="1411" t="str">
        <f aca="false">IF(ISNUMBER($AU204*BF204),$AU204*BF204,"")</f>
        <v/>
      </c>
      <c r="BT204" s="1411" t="str">
        <f aca="false">IF(ISNUMBER($AV204*BG204),$AV204*BG204,"")</f>
        <v/>
      </c>
      <c r="BU204" s="1411"/>
      <c r="BV204" s="1411"/>
      <c r="BW204" s="1411"/>
      <c r="BX204" s="1411"/>
      <c r="BZ204" s="1372"/>
      <c r="CA204" s="1372"/>
      <c r="CB204" s="1426" t="str">
        <f aca="false">IF(ISNUMBER($AW204*BB204),$AW204*BB204,"")</f>
        <v/>
      </c>
      <c r="CC204" s="1426" t="str">
        <f aca="false">IF(ISNUMBER($AX204*BC204),$AX204*BC204,"")</f>
        <v/>
      </c>
      <c r="CD204" s="1426" t="str">
        <f aca="false">IF(ISNUMBER($AW204*BD204),$AW204*BD204,"")</f>
        <v/>
      </c>
      <c r="CE204" s="1426" t="str">
        <f aca="false">IF(ISNUMBER($AX204*BE204),$AX204*BE204,"")</f>
        <v/>
      </c>
      <c r="CF204" s="1372" t="str">
        <f aca="false">IF(ISNUMBER($AW204*BF204),$AW204*BF204,"")</f>
        <v/>
      </c>
      <c r="CG204" s="1372" t="str">
        <f aca="false">IF(ISNUMBER($AX204*BG204),$AX204*BG204,"")</f>
        <v/>
      </c>
      <c r="CH204" s="1438"/>
      <c r="CI204" s="1438"/>
      <c r="CJ204" s="1438"/>
      <c r="CK204" s="1438"/>
      <c r="CU204" s="1411"/>
      <c r="CV204" s="1411"/>
      <c r="CW204" s="1425"/>
      <c r="CX204" s="1425"/>
      <c r="CY204" s="1425"/>
      <c r="CZ204" s="1425"/>
      <c r="DA204" s="1411"/>
      <c r="DB204" s="1411"/>
      <c r="DC204" s="1411"/>
      <c r="DD204" s="1411"/>
      <c r="DE204" s="1411"/>
      <c r="DF204" s="1411"/>
      <c r="DH204" s="1432"/>
      <c r="DI204" s="1432"/>
      <c r="DJ204" s="1437"/>
      <c r="DK204" s="1437"/>
      <c r="DL204" s="1437"/>
      <c r="DM204" s="1437"/>
      <c r="DN204" s="1432"/>
      <c r="DO204" s="1432"/>
      <c r="DP204" s="1432"/>
      <c r="DQ204" s="1432"/>
      <c r="DR204" s="1432"/>
      <c r="DS204" s="1432"/>
      <c r="DT204" s="1316"/>
      <c r="DU204" s="1433"/>
      <c r="DV204" s="1433"/>
      <c r="DW204" s="1433"/>
      <c r="DX204" s="1433"/>
      <c r="DY204" s="1433"/>
      <c r="DZ204" s="1433"/>
      <c r="EA204" s="1433"/>
      <c r="EB204" s="1433"/>
    </row>
    <row r="205" customFormat="false" ht="14.25" hidden="false" customHeight="false" outlineLevel="0" collapsed="false">
      <c r="A205" s="2" t="n">
        <f aca="false">'V_DATOS PAC_SGA'!CC200</f>
        <v>0</v>
      </c>
      <c r="B205" s="2" t="n">
        <f aca="false">IF(OR(A205=0,A205=""),0,IF(I205="IV",CONCATENATE('V_DATOS PAC_SGA'!CC200,"4")+0,CONCATENATE('V_DATOS PAC_SGA'!CC200,"0")+0))</f>
        <v>0</v>
      </c>
      <c r="C205" s="2" t="n">
        <f aca="false">'V_DATOS PAC_SGA'!CD200</f>
        <v>0</v>
      </c>
      <c r="D205" s="1409" t="n">
        <f aca="false">'V_DATOS PAC_SGA'!Y200</f>
        <v>0</v>
      </c>
      <c r="E205" s="1410" t="str">
        <f aca="false">IF('V_DATOS PAC_SGA'!AV200="","Regadio",'V_DATOS PAC_SGA'!AV200)</f>
        <v>Regadio</v>
      </c>
      <c r="F205" s="1411" t="n">
        <f aca="false">'V_DATOS PAC_SGA'!BK200</f>
        <v>0</v>
      </c>
      <c r="G205" s="1412" t="n">
        <f aca="false">'V_DATOS PAC_SGA'!AN200</f>
        <v>0</v>
      </c>
      <c r="H205" s="1413" t="str">
        <f aca="false">IF(B205&gt;0,VLOOKUP(B205,'O_MN, PE_UTA_UGM 2024'!E$3:O$419,10),"")</f>
        <v/>
      </c>
      <c r="I205" s="1359" t="str">
        <f aca="false">IF('V_DATOS PAC_SGA'!BV200="IV",'V_DATOS PAC_SGA'!BV200,"")</f>
        <v/>
      </c>
      <c r="J205" s="2" t="str">
        <f aca="false">IF($A205&gt;0,IF(AND(J$4=$G205,J$6=$F205),$D205*J$5,""),"")</f>
        <v/>
      </c>
      <c r="K205" s="2" t="str">
        <f aca="false">IF($A205&gt;0,IF(AND(K$4=$G205,K$6=$F205),$D205*K$5,""),"")</f>
        <v/>
      </c>
      <c r="L205" s="2" t="str">
        <f aca="false">IF($A205&gt;0,IF(AND(L$4=$G205,L$6=$F205),$D205*L$5,""),"")</f>
        <v/>
      </c>
      <c r="M205" s="2" t="str">
        <f aca="false">IF($A205&gt;0,IF(AND(M$4=$G205,M$6=$F205),$D205*M$5,""),"")</f>
        <v/>
      </c>
      <c r="N205" s="1506" t="n">
        <f aca="false">VLOOKUP(B205,'O_MN, PE_UTA_UGM 2024'!$E$2:$K$419,IF(G205&gt;1,6,7))</f>
        <v>0</v>
      </c>
      <c r="O205" s="1434" t="str">
        <f aca="false">IF($H205=O$4,$D205*$N205,"")</f>
        <v/>
      </c>
      <c r="P205" s="1435" t="str">
        <f aca="false">IF($H205=P$4,$D205*$N205,"")</f>
        <v/>
      </c>
      <c r="Q205" s="1435" t="str">
        <f aca="false">IF($H205=Q$4,$D205*$N205,"")</f>
        <v/>
      </c>
      <c r="R205" s="1435" t="str">
        <f aca="false">IF($H205=R$4,$D205*$N205,"")</f>
        <v/>
      </c>
      <c r="S205" s="1435" t="str">
        <f aca="false">IF($H205=S$4,$D205*$N205,"")</f>
        <v/>
      </c>
      <c r="T205" s="1435" t="str">
        <f aca="false">IF($H205=T$4,$D205*$N205,"")</f>
        <v/>
      </c>
      <c r="U205" s="1436" t="str">
        <f aca="false">IF($H205=U$4,$D205*$N205,"")</f>
        <v/>
      </c>
      <c r="V205" s="1418"/>
      <c r="W205" s="1419"/>
      <c r="X205" s="1419"/>
      <c r="Y205" s="1419"/>
      <c r="Z205" s="1419"/>
      <c r="AA205" s="1419"/>
      <c r="AB205" s="1420"/>
      <c r="AC205" s="1319"/>
      <c r="AD205" s="2" t="str">
        <f aca="false">IF(AND(AD$4=$G205,AD$6=$F205),$B205,"")</f>
        <v/>
      </c>
      <c r="AE205" s="2" t="str">
        <f aca="false">IF(AND(AE$4=$G205,AE$6=$F205),$B205,"")</f>
        <v/>
      </c>
      <c r="AF205" s="2" t="str">
        <f aca="false">IF(AND(AF$4=$G205,AF$6=$F205),$B205,"")</f>
        <v/>
      </c>
      <c r="AG205" s="2" t="str">
        <f aca="false">IF(AND(AG$4=$G205,AG$6=$F205),$B205,"")</f>
        <v/>
      </c>
      <c r="AI205" s="366"/>
      <c r="AL205" s="367"/>
      <c r="AO205" s="367"/>
      <c r="AP205" s="2" t="str">
        <f aca="false">IF(AT205&gt;0,RANK(AT205,AT$7:AT$423),"")</f>
        <v/>
      </c>
      <c r="AQ205" s="2" t="n">
        <f aca="false">'O_MN, PE_UTA_UGM 2024'!C201</f>
        <v>193</v>
      </c>
      <c r="AR205" s="1421" t="n">
        <v>1924</v>
      </c>
      <c r="AS205" s="2" t="str">
        <f aca="false">IF(AY205&lt;&gt;"",AY205,"")</f>
        <v/>
      </c>
      <c r="AT205" s="1422" t="n">
        <f aca="false">IF(ISNUMBER($AR205),SUMIF(B$7:B$505,AR205,D$7:D$505),"")</f>
        <v>0</v>
      </c>
      <c r="AU205" s="1411" t="n">
        <f aca="false">IF(ISNUMBER($AR205),SUMIF(AD$7:AD$503,$AR205,J$7:J$503),"")</f>
        <v>0</v>
      </c>
      <c r="AV205" s="1411" t="n">
        <f aca="false">IF(ISNUMBER($AR205),SUMIF(AF$7:AF$503,$AR205,L$7:L$503),"")</f>
        <v>0</v>
      </c>
      <c r="AW205" s="1423" t="n">
        <f aca="false">IF(ISNUMBER($AR205),SUMIF(AE$7:AE$503,$AR205,K$7:K$503),"")</f>
        <v>0</v>
      </c>
      <c r="AX205" s="1423" t="n">
        <f aca="false">IF(ISNUMBER($AR205),SUMIF(AG$7:AG$503,$AR205,M$7:M$503),"")</f>
        <v>0</v>
      </c>
      <c r="AY205" s="2" t="str">
        <f aca="false">IF($AT205&gt;0,VLOOKUP($AR205,'O_MN, PE_UTA_UGM 2024'!E201:O617,2),"")</f>
        <v/>
      </c>
      <c r="AZ205" s="1507"/>
      <c r="BA205" s="1507"/>
      <c r="BB205" s="1507" t="str">
        <f aca="false">IF($AT205&gt;0,VLOOKUP($AR205,'O_MN, PE_UTA_UGM 2024'!$E$3:$O$419,BB$6),"")</f>
        <v/>
      </c>
      <c r="BC205" s="1507" t="str">
        <f aca="false">IF($AT205&gt;0,VLOOKUP($AR205,'O_MN, PE_UTA_UGM 2024'!$E$3:$O$419,BC$6),"")</f>
        <v/>
      </c>
      <c r="BD205" s="1507" t="str">
        <f aca="false">IF($AT205&gt;0,VLOOKUP($AR205,'O_MN, PE_UTA_UGM 2024'!$E$3:$O$419,BD$6),"")</f>
        <v/>
      </c>
      <c r="BE205" s="1507" t="str">
        <f aca="false">IF($AT205&gt;0,VLOOKUP($AR205,'O_MN, PE_UTA_UGM 2024'!$E$3:$O$419,BE$6),"")</f>
        <v/>
      </c>
      <c r="BF205" s="1507" t="str">
        <f aca="false">IF($AT205&gt;0,VLOOKUP($AR205,'O_MN, PE_UTA_UGM 2024'!$E$3:$O$419,BF$6),"")</f>
        <v/>
      </c>
      <c r="BG205" s="1507" t="str">
        <f aca="false">IF($AT205&gt;0,VLOOKUP($AR205,'O_MN, PE_UTA_UGM 2024'!$E$3:$O$419,BG$6),"")</f>
        <v/>
      </c>
      <c r="BH205" s="1504"/>
      <c r="BI205" s="1504"/>
      <c r="BJ205" s="1504"/>
      <c r="BK205" s="1504"/>
      <c r="BM205" s="1411"/>
      <c r="BN205" s="1411"/>
      <c r="BO205" s="1425" t="str">
        <f aca="false">IF(ISNUMBER($AU205*BB205*1),$AU205*BB205*1,"")</f>
        <v/>
      </c>
      <c r="BP205" s="1425" t="str">
        <f aca="false">IF(ISNUMBER($AV205*BC205*1),$AV205*BC205*1,"")</f>
        <v/>
      </c>
      <c r="BQ205" s="1425" t="str">
        <f aca="false">IF(ISNUMBER($AU205*BD205*1),$AU205*BD205*1,"")</f>
        <v/>
      </c>
      <c r="BR205" s="1425" t="str">
        <f aca="false">IF(ISNUMBER($AV205*BE205*1),$AV205*BE205*1,"")</f>
        <v/>
      </c>
      <c r="BS205" s="1411" t="str">
        <f aca="false">IF(ISNUMBER($AU205*BF205),$AU205*BF205,"")</f>
        <v/>
      </c>
      <c r="BT205" s="1411" t="str">
        <f aca="false">IF(ISNUMBER($AV205*BG205),$AV205*BG205,"")</f>
        <v/>
      </c>
      <c r="BU205" s="1411"/>
      <c r="BV205" s="1411"/>
      <c r="BW205" s="1411"/>
      <c r="BX205" s="1411"/>
      <c r="BZ205" s="1372"/>
      <c r="CA205" s="1372"/>
      <c r="CB205" s="1426" t="str">
        <f aca="false">IF(ISNUMBER($AW205*BB205),$AW205*BB205,"")</f>
        <v/>
      </c>
      <c r="CC205" s="1426" t="str">
        <f aca="false">IF(ISNUMBER($AX205*BC205),$AX205*BC205,"")</f>
        <v/>
      </c>
      <c r="CD205" s="1426" t="str">
        <f aca="false">IF(ISNUMBER($AW205*BD205),$AW205*BD205,"")</f>
        <v/>
      </c>
      <c r="CE205" s="1426" t="str">
        <f aca="false">IF(ISNUMBER($AX205*BE205),$AX205*BE205,"")</f>
        <v/>
      </c>
      <c r="CF205" s="1372" t="str">
        <f aca="false">IF(ISNUMBER($AW205*BF205),$AW205*BF205,"")</f>
        <v/>
      </c>
      <c r="CG205" s="1372" t="str">
        <f aca="false">IF(ISNUMBER($AX205*BG205),$AX205*BG205,"")</f>
        <v/>
      </c>
      <c r="CH205" s="1438"/>
      <c r="CI205" s="1438"/>
      <c r="CJ205" s="1438"/>
      <c r="CK205" s="1438"/>
      <c r="CU205" s="1411"/>
      <c r="CV205" s="1411"/>
      <c r="CW205" s="1425"/>
      <c r="CX205" s="1425"/>
      <c r="CY205" s="1425"/>
      <c r="CZ205" s="1425"/>
      <c r="DA205" s="1411"/>
      <c r="DB205" s="1411"/>
      <c r="DC205" s="1411"/>
      <c r="DD205" s="1411"/>
      <c r="DE205" s="1411"/>
      <c r="DF205" s="1411"/>
      <c r="DH205" s="1432"/>
      <c r="DI205" s="1432"/>
      <c r="DJ205" s="1437"/>
      <c r="DK205" s="1437"/>
      <c r="DL205" s="1437"/>
      <c r="DM205" s="1437"/>
      <c r="DN205" s="1432"/>
      <c r="DO205" s="1432"/>
      <c r="DP205" s="1432"/>
      <c r="DQ205" s="1432"/>
      <c r="DR205" s="1432"/>
      <c r="DS205" s="1432"/>
      <c r="DT205" s="1316"/>
      <c r="DU205" s="1433"/>
      <c r="DV205" s="1433"/>
      <c r="DW205" s="1433"/>
      <c r="DX205" s="1433"/>
      <c r="DY205" s="1433"/>
      <c r="DZ205" s="1433"/>
      <c r="EA205" s="1433"/>
      <c r="EB205" s="1433"/>
    </row>
    <row r="206" customFormat="false" ht="14.25" hidden="false" customHeight="false" outlineLevel="0" collapsed="false">
      <c r="A206" s="2" t="n">
        <f aca="false">'V_DATOS PAC_SGA'!CC201</f>
        <v>0</v>
      </c>
      <c r="B206" s="2" t="n">
        <f aca="false">IF(OR(A206=0,A206=""),0,IF(I206="IV",CONCATENATE('V_DATOS PAC_SGA'!CC201,"4")+0,CONCATENATE('V_DATOS PAC_SGA'!CC201,"0")+0))</f>
        <v>0</v>
      </c>
      <c r="C206" s="2" t="n">
        <f aca="false">'V_DATOS PAC_SGA'!CD201</f>
        <v>0</v>
      </c>
      <c r="D206" s="1409" t="n">
        <f aca="false">'V_DATOS PAC_SGA'!Y201</f>
        <v>0</v>
      </c>
      <c r="E206" s="1410" t="str">
        <f aca="false">IF('V_DATOS PAC_SGA'!AV201="","Regadio",'V_DATOS PAC_SGA'!AV201)</f>
        <v>Regadio</v>
      </c>
      <c r="F206" s="1411" t="n">
        <f aca="false">'V_DATOS PAC_SGA'!BK201</f>
        <v>0</v>
      </c>
      <c r="G206" s="1412" t="n">
        <f aca="false">'V_DATOS PAC_SGA'!AN201</f>
        <v>0</v>
      </c>
      <c r="H206" s="1413" t="str">
        <f aca="false">IF(B206&gt;0,VLOOKUP(B206,'O_MN, PE_UTA_UGM 2024'!E$3:O$419,10),"")</f>
        <v/>
      </c>
      <c r="I206" s="1359" t="str">
        <f aca="false">IF('V_DATOS PAC_SGA'!BV201="IV",'V_DATOS PAC_SGA'!BV201,"")</f>
        <v/>
      </c>
      <c r="J206" s="2" t="str">
        <f aca="false">IF($A206&gt;0,IF(AND(J$4=$G206,J$6=$F206),$D206*J$5,""),"")</f>
        <v/>
      </c>
      <c r="K206" s="2" t="str">
        <f aca="false">IF($A206&gt;0,IF(AND(K$4=$G206,K$6=$F206),$D206*K$5,""),"")</f>
        <v/>
      </c>
      <c r="L206" s="2" t="str">
        <f aca="false">IF($A206&gt;0,IF(AND(L$4=$G206,L$6=$F206),$D206*L$5,""),"")</f>
        <v/>
      </c>
      <c r="M206" s="2" t="str">
        <f aca="false">IF($A206&gt;0,IF(AND(M$4=$G206,M$6=$F206),$D206*M$5,""),"")</f>
        <v/>
      </c>
      <c r="N206" s="1506" t="n">
        <f aca="false">VLOOKUP(B206,'O_MN, PE_UTA_UGM 2024'!$E$2:$K$419,IF(G206&gt;1,6,7))</f>
        <v>0</v>
      </c>
      <c r="O206" s="1434" t="str">
        <f aca="false">IF($H206=O$4,$D206*$N206,"")</f>
        <v/>
      </c>
      <c r="P206" s="1435" t="str">
        <f aca="false">IF($H206=P$4,$D206*$N206,"")</f>
        <v/>
      </c>
      <c r="Q206" s="1435" t="str">
        <f aca="false">IF($H206=Q$4,$D206*$N206,"")</f>
        <v/>
      </c>
      <c r="R206" s="1435" t="str">
        <f aca="false">IF($H206=R$4,$D206*$N206,"")</f>
        <v/>
      </c>
      <c r="S206" s="1435" t="str">
        <f aca="false">IF($H206=S$4,$D206*$N206,"")</f>
        <v/>
      </c>
      <c r="T206" s="1435" t="str">
        <f aca="false">IF($H206=T$4,$D206*$N206,"")</f>
        <v/>
      </c>
      <c r="U206" s="1436" t="str">
        <f aca="false">IF($H206=U$4,$D206*$N206,"")</f>
        <v/>
      </c>
      <c r="V206" s="1418"/>
      <c r="W206" s="1419"/>
      <c r="X206" s="1419"/>
      <c r="Y206" s="1419"/>
      <c r="Z206" s="1419"/>
      <c r="AA206" s="1419"/>
      <c r="AB206" s="1420"/>
      <c r="AC206" s="1319"/>
      <c r="AD206" s="2" t="str">
        <f aca="false">IF(AND(AD$4=$G206,AD$6=$F206),$B206,"")</f>
        <v/>
      </c>
      <c r="AE206" s="2" t="str">
        <f aca="false">IF(AND(AE$4=$G206,AE$6=$F206),$B206,"")</f>
        <v/>
      </c>
      <c r="AF206" s="2" t="str">
        <f aca="false">IF(AND(AF$4=$G206,AF$6=$F206),$B206,"")</f>
        <v/>
      </c>
      <c r="AG206" s="2" t="str">
        <f aca="false">IF(AND(AG$4=$G206,AG$6=$F206),$B206,"")</f>
        <v/>
      </c>
      <c r="AI206" s="366"/>
      <c r="AL206" s="367"/>
      <c r="AO206" s="367"/>
      <c r="AP206" s="2" t="str">
        <f aca="false">IF(AT206&gt;0,RANK(AT206,AT$7:AT$423),"")</f>
        <v/>
      </c>
      <c r="AQ206" s="2" t="n">
        <f aca="false">'O_MN, PE_UTA_UGM 2024'!C202</f>
        <v>194</v>
      </c>
      <c r="AR206" s="1421" t="n">
        <v>1929</v>
      </c>
      <c r="AS206" s="2" t="str">
        <f aca="false">IF(AY206&lt;&gt;"",AY206,"")</f>
        <v/>
      </c>
      <c r="AT206" s="1422" t="n">
        <f aca="false">IF(ISNUMBER($AR206),SUMIF(B$7:B$505,AR206,D$7:D$505),"")</f>
        <v>0</v>
      </c>
      <c r="AU206" s="1411" t="n">
        <f aca="false">IF(ISNUMBER($AR206),SUMIF(AD$7:AD$503,$AR206,J$7:J$503),"")</f>
        <v>0</v>
      </c>
      <c r="AV206" s="1411" t="n">
        <f aca="false">IF(ISNUMBER($AR206),SUMIF(AF$7:AF$503,$AR206,L$7:L$503),"")</f>
        <v>0</v>
      </c>
      <c r="AW206" s="1423" t="n">
        <f aca="false">IF(ISNUMBER($AR206),SUMIF(AE$7:AE$503,$AR206,K$7:K$503),"")</f>
        <v>0</v>
      </c>
      <c r="AX206" s="1423" t="n">
        <f aca="false">IF(ISNUMBER($AR206),SUMIF(AG$7:AG$503,$AR206,M$7:M$503),"")</f>
        <v>0</v>
      </c>
      <c r="AY206" s="2" t="str">
        <f aca="false">IF($AT206&gt;0,VLOOKUP($AR206,'O_MN, PE_UTA_UGM 2024'!E202:O618,2),"")</f>
        <v/>
      </c>
      <c r="AZ206" s="1507"/>
      <c r="BA206" s="1507"/>
      <c r="BB206" s="1507" t="str">
        <f aca="false">IF($AT206&gt;0,VLOOKUP($AR206,'O_MN, PE_UTA_UGM 2024'!$E$3:$O$419,BB$6),"")</f>
        <v/>
      </c>
      <c r="BC206" s="1507" t="str">
        <f aca="false">IF($AT206&gt;0,VLOOKUP($AR206,'O_MN, PE_UTA_UGM 2024'!$E$3:$O$419,BC$6),"")</f>
        <v/>
      </c>
      <c r="BD206" s="1507" t="str">
        <f aca="false">IF($AT206&gt;0,VLOOKUP($AR206,'O_MN, PE_UTA_UGM 2024'!$E$3:$O$419,BD$6),"")</f>
        <v/>
      </c>
      <c r="BE206" s="1507" t="str">
        <f aca="false">IF($AT206&gt;0,VLOOKUP($AR206,'O_MN, PE_UTA_UGM 2024'!$E$3:$O$419,BE$6),"")</f>
        <v/>
      </c>
      <c r="BF206" s="1507" t="str">
        <f aca="false">IF($AT206&gt;0,VLOOKUP($AR206,'O_MN, PE_UTA_UGM 2024'!$E$3:$O$419,BF$6),"")</f>
        <v/>
      </c>
      <c r="BG206" s="1507" t="str">
        <f aca="false">IF($AT206&gt;0,VLOOKUP($AR206,'O_MN, PE_UTA_UGM 2024'!$E$3:$O$419,BG$6),"")</f>
        <v/>
      </c>
      <c r="BH206" s="1504"/>
      <c r="BI206" s="1504"/>
      <c r="BJ206" s="1504"/>
      <c r="BK206" s="1504"/>
      <c r="BM206" s="1411"/>
      <c r="BN206" s="1411"/>
      <c r="BO206" s="1425" t="str">
        <f aca="false">IF(ISNUMBER($AU206*BB206*1),$AU206*BB206*1,"")</f>
        <v/>
      </c>
      <c r="BP206" s="1425" t="str">
        <f aca="false">IF(ISNUMBER($AV206*BC206*1),$AV206*BC206*1,"")</f>
        <v/>
      </c>
      <c r="BQ206" s="1425" t="str">
        <f aca="false">IF(ISNUMBER($AU206*BD206*1),$AU206*BD206*1,"")</f>
        <v/>
      </c>
      <c r="BR206" s="1425" t="str">
        <f aca="false">IF(ISNUMBER($AV206*BE206*1),$AV206*BE206*1,"")</f>
        <v/>
      </c>
      <c r="BS206" s="1411" t="str">
        <f aca="false">IF(ISNUMBER($AU206*BF206),$AU206*BF206,"")</f>
        <v/>
      </c>
      <c r="BT206" s="1411" t="str">
        <f aca="false">IF(ISNUMBER($AV206*BG206),$AV206*BG206,"")</f>
        <v/>
      </c>
      <c r="BU206" s="1411"/>
      <c r="BV206" s="1411"/>
      <c r="BW206" s="1411"/>
      <c r="BX206" s="1411"/>
      <c r="BZ206" s="1372"/>
      <c r="CA206" s="1372"/>
      <c r="CB206" s="1426" t="str">
        <f aca="false">IF(ISNUMBER($AW206*BB206),$AW206*BB206,"")</f>
        <v/>
      </c>
      <c r="CC206" s="1426" t="str">
        <f aca="false">IF(ISNUMBER($AX206*BC206),$AX206*BC206,"")</f>
        <v/>
      </c>
      <c r="CD206" s="1426" t="str">
        <f aca="false">IF(ISNUMBER($AW206*BD206),$AW206*BD206,"")</f>
        <v/>
      </c>
      <c r="CE206" s="1426" t="str">
        <f aca="false">IF(ISNUMBER($AX206*BE206),$AX206*BE206,"")</f>
        <v/>
      </c>
      <c r="CF206" s="1372" t="str">
        <f aca="false">IF(ISNUMBER($AW206*BF206),$AW206*BF206,"")</f>
        <v/>
      </c>
      <c r="CG206" s="1372" t="str">
        <f aca="false">IF(ISNUMBER($AX206*BG206),$AX206*BG206,"")</f>
        <v/>
      </c>
      <c r="CH206" s="1438"/>
      <c r="CI206" s="1438"/>
      <c r="CJ206" s="1438"/>
      <c r="CK206" s="1438"/>
      <c r="CU206" s="1411"/>
      <c r="CV206" s="1411"/>
      <c r="CW206" s="1425"/>
      <c r="CX206" s="1425"/>
      <c r="CY206" s="1425"/>
      <c r="CZ206" s="1425"/>
      <c r="DA206" s="1411"/>
      <c r="DB206" s="1411"/>
      <c r="DC206" s="1411"/>
      <c r="DD206" s="1411"/>
      <c r="DE206" s="1411"/>
      <c r="DF206" s="1411"/>
      <c r="DH206" s="1432"/>
      <c r="DI206" s="1432"/>
      <c r="DJ206" s="1437"/>
      <c r="DK206" s="1437"/>
      <c r="DL206" s="1437"/>
      <c r="DM206" s="1437"/>
      <c r="DN206" s="1432"/>
      <c r="DO206" s="1432"/>
      <c r="DP206" s="1432"/>
      <c r="DQ206" s="1432"/>
      <c r="DR206" s="1432"/>
      <c r="DS206" s="1432"/>
      <c r="DT206" s="1316"/>
      <c r="DU206" s="1433"/>
      <c r="DV206" s="1433"/>
      <c r="DW206" s="1433"/>
      <c r="DX206" s="1433"/>
      <c r="DY206" s="1433"/>
      <c r="DZ206" s="1433"/>
      <c r="EA206" s="1433"/>
      <c r="EB206" s="1433"/>
    </row>
    <row r="207" customFormat="false" ht="14.25" hidden="false" customHeight="false" outlineLevel="0" collapsed="false">
      <c r="A207" s="2" t="n">
        <f aca="false">'V_DATOS PAC_SGA'!CC202</f>
        <v>0</v>
      </c>
      <c r="B207" s="2" t="n">
        <f aca="false">IF(OR(A207=0,A207=""),0,IF(I207="IV",CONCATENATE('V_DATOS PAC_SGA'!CC202,"4")+0,CONCATENATE('V_DATOS PAC_SGA'!CC202,"0")+0))</f>
        <v>0</v>
      </c>
      <c r="C207" s="2" t="n">
        <f aca="false">'V_DATOS PAC_SGA'!CD202</f>
        <v>0</v>
      </c>
      <c r="D207" s="1409" t="n">
        <f aca="false">'V_DATOS PAC_SGA'!Y202</f>
        <v>0</v>
      </c>
      <c r="E207" s="1410" t="str">
        <f aca="false">IF('V_DATOS PAC_SGA'!AV202="","Regadio",'V_DATOS PAC_SGA'!AV202)</f>
        <v>Regadio</v>
      </c>
      <c r="F207" s="1411" t="n">
        <f aca="false">'V_DATOS PAC_SGA'!BK202</f>
        <v>0</v>
      </c>
      <c r="G207" s="1412" t="n">
        <f aca="false">'V_DATOS PAC_SGA'!AN202</f>
        <v>0</v>
      </c>
      <c r="H207" s="1413" t="str">
        <f aca="false">IF(B207&gt;0,VLOOKUP(B207,'O_MN, PE_UTA_UGM 2024'!E$3:O$419,10),"")</f>
        <v/>
      </c>
      <c r="I207" s="1359" t="str">
        <f aca="false">IF('V_DATOS PAC_SGA'!BV202="IV",'V_DATOS PAC_SGA'!BV202,"")</f>
        <v/>
      </c>
      <c r="J207" s="2" t="str">
        <f aca="false">IF($A207&gt;0,IF(AND(J$4=$G207,J$6=$F207),$D207*J$5,""),"")</f>
        <v/>
      </c>
      <c r="K207" s="2" t="str">
        <f aca="false">IF($A207&gt;0,IF(AND(K$4=$G207,K$6=$F207),$D207*K$5,""),"")</f>
        <v/>
      </c>
      <c r="L207" s="2" t="str">
        <f aca="false">IF($A207&gt;0,IF(AND(L$4=$G207,L$6=$F207),$D207*L$5,""),"")</f>
        <v/>
      </c>
      <c r="M207" s="2" t="str">
        <f aca="false">IF($A207&gt;0,IF(AND(M$4=$G207,M$6=$F207),$D207*M$5,""),"")</f>
        <v/>
      </c>
      <c r="N207" s="1506" t="n">
        <f aca="false">VLOOKUP(B207,'O_MN, PE_UTA_UGM 2024'!$E$2:$K$419,IF(G207&gt;1,6,7))</f>
        <v>0</v>
      </c>
      <c r="O207" s="1434" t="str">
        <f aca="false">IF($H207=O$4,$D207*$N207,"")</f>
        <v/>
      </c>
      <c r="P207" s="1435" t="str">
        <f aca="false">IF($H207=P$4,$D207*$N207,"")</f>
        <v/>
      </c>
      <c r="Q207" s="1435" t="str">
        <f aca="false">IF($H207=Q$4,$D207*$N207,"")</f>
        <v/>
      </c>
      <c r="R207" s="1435" t="str">
        <f aca="false">IF($H207=R$4,$D207*$N207,"")</f>
        <v/>
      </c>
      <c r="S207" s="1435" t="str">
        <f aca="false">IF($H207=S$4,$D207*$N207,"")</f>
        <v/>
      </c>
      <c r="T207" s="1435" t="str">
        <f aca="false">IF($H207=T$4,$D207*$N207,"")</f>
        <v/>
      </c>
      <c r="U207" s="1436" t="str">
        <f aca="false">IF($H207=U$4,$D207*$N207,"")</f>
        <v/>
      </c>
      <c r="V207" s="1418"/>
      <c r="W207" s="1419"/>
      <c r="X207" s="1419"/>
      <c r="Y207" s="1419"/>
      <c r="Z207" s="1419"/>
      <c r="AA207" s="1419"/>
      <c r="AB207" s="1420"/>
      <c r="AC207" s="1319"/>
      <c r="AD207" s="2" t="str">
        <f aca="false">IF(AND(AD$4=$G207,AD$6=$F207),$B207,"")</f>
        <v/>
      </c>
      <c r="AE207" s="2" t="str">
        <f aca="false">IF(AND(AE$4=$G207,AE$6=$F207),$B207,"")</f>
        <v/>
      </c>
      <c r="AF207" s="2" t="str">
        <f aca="false">IF(AND(AF$4=$G207,AF$6=$F207),$B207,"")</f>
        <v/>
      </c>
      <c r="AG207" s="2" t="str">
        <f aca="false">IF(AND(AG$4=$G207,AG$6=$F207),$B207,"")</f>
        <v/>
      </c>
      <c r="AI207" s="366"/>
      <c r="AL207" s="367"/>
      <c r="AO207" s="367"/>
      <c r="AP207" s="2" t="str">
        <f aca="false">IF(AT207&gt;0,RANK(AT207,AT$7:AT$423),"")</f>
        <v/>
      </c>
      <c r="AQ207" s="2" t="n">
        <f aca="false">'O_MN, PE_UTA_UGM 2024'!C203</f>
        <v>197</v>
      </c>
      <c r="AR207" s="1421" t="n">
        <v>1930</v>
      </c>
      <c r="AS207" s="2" t="str">
        <f aca="false">IF(AY207&lt;&gt;"",AY207,"")</f>
        <v/>
      </c>
      <c r="AT207" s="1422" t="n">
        <f aca="false">IF(ISNUMBER($AR207),SUMIF(B$7:B$505,AR207,D$7:D$505),"")</f>
        <v>0</v>
      </c>
      <c r="AU207" s="1411" t="n">
        <f aca="false">IF(ISNUMBER($AR207),SUMIF(AD$7:AD$503,$AR207,J$7:J$503),"")</f>
        <v>0</v>
      </c>
      <c r="AV207" s="1411" t="n">
        <f aca="false">IF(ISNUMBER($AR207),SUMIF(AF$7:AF$503,$AR207,L$7:L$503),"")</f>
        <v>0</v>
      </c>
      <c r="AW207" s="1423" t="n">
        <f aca="false">IF(ISNUMBER($AR207),SUMIF(AE$7:AE$503,$AR207,K$7:K$503),"")</f>
        <v>0</v>
      </c>
      <c r="AX207" s="1423" t="n">
        <f aca="false">IF(ISNUMBER($AR207),SUMIF(AG$7:AG$503,$AR207,M$7:M$503),"")</f>
        <v>0</v>
      </c>
      <c r="AY207" s="2" t="str">
        <f aca="false">IF($AT207&gt;0,VLOOKUP($AR207,'O_MN, PE_UTA_UGM 2024'!E203:O619,2),"")</f>
        <v/>
      </c>
      <c r="AZ207" s="1507"/>
      <c r="BA207" s="1507"/>
      <c r="BB207" s="1507" t="str">
        <f aca="false">IF($AT207&gt;0,VLOOKUP($AR207,'O_MN, PE_UTA_UGM 2024'!$E$3:$O$419,BB$6),"")</f>
        <v/>
      </c>
      <c r="BC207" s="1507" t="str">
        <f aca="false">IF($AT207&gt;0,VLOOKUP($AR207,'O_MN, PE_UTA_UGM 2024'!$E$3:$O$419,BC$6),"")</f>
        <v/>
      </c>
      <c r="BD207" s="1507" t="str">
        <f aca="false">IF($AT207&gt;0,VLOOKUP($AR207,'O_MN, PE_UTA_UGM 2024'!$E$3:$O$419,BD$6),"")</f>
        <v/>
      </c>
      <c r="BE207" s="1507" t="str">
        <f aca="false">IF($AT207&gt;0,VLOOKUP($AR207,'O_MN, PE_UTA_UGM 2024'!$E$3:$O$419,BE$6),"")</f>
        <v/>
      </c>
      <c r="BF207" s="1507" t="str">
        <f aca="false">IF($AT207&gt;0,VLOOKUP($AR207,'O_MN, PE_UTA_UGM 2024'!$E$3:$O$419,BF$6),"")</f>
        <v/>
      </c>
      <c r="BG207" s="1507" t="str">
        <f aca="false">IF($AT207&gt;0,VLOOKUP($AR207,'O_MN, PE_UTA_UGM 2024'!$E$3:$O$419,BG$6),"")</f>
        <v/>
      </c>
      <c r="BH207" s="1504"/>
      <c r="BI207" s="1504"/>
      <c r="BJ207" s="1504"/>
      <c r="BK207" s="1504"/>
      <c r="BM207" s="1411"/>
      <c r="BN207" s="1411"/>
      <c r="BO207" s="1425" t="str">
        <f aca="false">IF(ISNUMBER($AU207*BB207*1),$AU207*BB207*1,"")</f>
        <v/>
      </c>
      <c r="BP207" s="1425" t="str">
        <f aca="false">IF(ISNUMBER($AV207*BC207*1),$AV207*BC207*1,"")</f>
        <v/>
      </c>
      <c r="BQ207" s="1425" t="str">
        <f aca="false">IF(ISNUMBER($AU207*BD207*1),$AU207*BD207*1,"")</f>
        <v/>
      </c>
      <c r="BR207" s="1425" t="str">
        <f aca="false">IF(ISNUMBER($AV207*BE207*1),$AV207*BE207*1,"")</f>
        <v/>
      </c>
      <c r="BS207" s="1411" t="str">
        <f aca="false">IF(ISNUMBER($AU207*BF207),$AU207*BF207,"")</f>
        <v/>
      </c>
      <c r="BT207" s="1411" t="str">
        <f aca="false">IF(ISNUMBER($AV207*BG207),$AV207*BG207,"")</f>
        <v/>
      </c>
      <c r="BU207" s="1411"/>
      <c r="BV207" s="1411"/>
      <c r="BW207" s="1411"/>
      <c r="BX207" s="1411"/>
      <c r="BZ207" s="1372"/>
      <c r="CA207" s="1372"/>
      <c r="CB207" s="1426" t="str">
        <f aca="false">IF(ISNUMBER($AW207*BB207),$AW207*BB207,"")</f>
        <v/>
      </c>
      <c r="CC207" s="1426" t="str">
        <f aca="false">IF(ISNUMBER($AX207*BC207),$AX207*BC207,"")</f>
        <v/>
      </c>
      <c r="CD207" s="1426" t="str">
        <f aca="false">IF(ISNUMBER($AW207*BD207),$AW207*BD207,"")</f>
        <v/>
      </c>
      <c r="CE207" s="1426" t="str">
        <f aca="false">IF(ISNUMBER($AX207*BE207),$AX207*BE207,"")</f>
        <v/>
      </c>
      <c r="CF207" s="1372" t="str">
        <f aca="false">IF(ISNUMBER($AW207*BF207),$AW207*BF207,"")</f>
        <v/>
      </c>
      <c r="CG207" s="1372" t="str">
        <f aca="false">IF(ISNUMBER($AX207*BG207),$AX207*BG207,"")</f>
        <v/>
      </c>
      <c r="CH207" s="1438"/>
      <c r="CI207" s="1438"/>
      <c r="CJ207" s="1438"/>
      <c r="CK207" s="1438"/>
      <c r="CU207" s="1411"/>
      <c r="CV207" s="1411"/>
      <c r="CW207" s="1425"/>
      <c r="CX207" s="1425"/>
      <c r="CY207" s="1425"/>
      <c r="CZ207" s="1425"/>
      <c r="DA207" s="1411"/>
      <c r="DB207" s="1411"/>
      <c r="DC207" s="1411"/>
      <c r="DD207" s="1411"/>
      <c r="DE207" s="1411"/>
      <c r="DF207" s="1411"/>
      <c r="DH207" s="1432"/>
      <c r="DI207" s="1432"/>
      <c r="DJ207" s="1437"/>
      <c r="DK207" s="1437"/>
      <c r="DL207" s="1437"/>
      <c r="DM207" s="1437"/>
      <c r="DN207" s="1432"/>
      <c r="DO207" s="1432"/>
      <c r="DP207" s="1432"/>
      <c r="DQ207" s="1432"/>
      <c r="DR207" s="1432"/>
      <c r="DS207" s="1432"/>
      <c r="DT207" s="1316"/>
      <c r="DU207" s="1433"/>
      <c r="DV207" s="1433"/>
      <c r="DW207" s="1433"/>
      <c r="DX207" s="1433"/>
      <c r="DY207" s="1433"/>
      <c r="DZ207" s="1433"/>
      <c r="EA207" s="1433"/>
      <c r="EB207" s="1433"/>
    </row>
    <row r="208" customFormat="false" ht="14.25" hidden="false" customHeight="false" outlineLevel="0" collapsed="false">
      <c r="A208" s="2" t="n">
        <f aca="false">'V_DATOS PAC_SGA'!CC203</f>
        <v>0</v>
      </c>
      <c r="B208" s="2" t="n">
        <f aca="false">IF(OR(A208=0,A208=""),0,IF(I208="IV",CONCATENATE('V_DATOS PAC_SGA'!CC203,"4")+0,CONCATENATE('V_DATOS PAC_SGA'!CC203,"0")+0))</f>
        <v>0</v>
      </c>
      <c r="C208" s="2" t="n">
        <f aca="false">'V_DATOS PAC_SGA'!CD203</f>
        <v>0</v>
      </c>
      <c r="D208" s="1409" t="n">
        <f aca="false">'V_DATOS PAC_SGA'!Y203</f>
        <v>0</v>
      </c>
      <c r="E208" s="1410" t="str">
        <f aca="false">IF('V_DATOS PAC_SGA'!AV203="","Regadio",'V_DATOS PAC_SGA'!AV203)</f>
        <v>Regadio</v>
      </c>
      <c r="F208" s="1411" t="n">
        <f aca="false">'V_DATOS PAC_SGA'!BK203</f>
        <v>0</v>
      </c>
      <c r="G208" s="1412" t="n">
        <f aca="false">'V_DATOS PAC_SGA'!AN203</f>
        <v>0</v>
      </c>
      <c r="H208" s="1413" t="str">
        <f aca="false">IF(B208&gt;0,VLOOKUP(B208,'O_MN, PE_UTA_UGM 2024'!E$3:O$419,10),"")</f>
        <v/>
      </c>
      <c r="I208" s="1359" t="str">
        <f aca="false">IF('V_DATOS PAC_SGA'!BV203="IV",'V_DATOS PAC_SGA'!BV203,"")</f>
        <v/>
      </c>
      <c r="J208" s="2" t="str">
        <f aca="false">IF($A208&gt;0,IF(AND(J$4=$G208,J$6=$F208),$D208*J$5,""),"")</f>
        <v/>
      </c>
      <c r="K208" s="2" t="str">
        <f aca="false">IF($A208&gt;0,IF(AND(K$4=$G208,K$6=$F208),$D208*K$5,""),"")</f>
        <v/>
      </c>
      <c r="L208" s="2" t="str">
        <f aca="false">IF($A208&gt;0,IF(AND(L$4=$G208,L$6=$F208),$D208*L$5,""),"")</f>
        <v/>
      </c>
      <c r="M208" s="2" t="str">
        <f aca="false">IF($A208&gt;0,IF(AND(M$4=$G208,M$6=$F208),$D208*M$5,""),"")</f>
        <v/>
      </c>
      <c r="N208" s="1506" t="n">
        <f aca="false">VLOOKUP(B208,'O_MN, PE_UTA_UGM 2024'!$E$2:$K$419,IF(G208&gt;1,6,7))</f>
        <v>0</v>
      </c>
      <c r="O208" s="1434" t="str">
        <f aca="false">IF($H208=O$4,$D208*$N208,"")</f>
        <v/>
      </c>
      <c r="P208" s="1435" t="str">
        <f aca="false">IF($H208=P$4,$D208*$N208,"")</f>
        <v/>
      </c>
      <c r="Q208" s="1435" t="str">
        <f aca="false">IF($H208=Q$4,$D208*$N208,"")</f>
        <v/>
      </c>
      <c r="R208" s="1435" t="str">
        <f aca="false">IF($H208=R$4,$D208*$N208,"")</f>
        <v/>
      </c>
      <c r="S208" s="1435" t="str">
        <f aca="false">IF($H208=S$4,$D208*$N208,"")</f>
        <v/>
      </c>
      <c r="T208" s="1435" t="str">
        <f aca="false">IF($H208=T$4,$D208*$N208,"")</f>
        <v/>
      </c>
      <c r="U208" s="1436" t="str">
        <f aca="false">IF($H208=U$4,$D208*$N208,"")</f>
        <v/>
      </c>
      <c r="V208" s="1418"/>
      <c r="W208" s="1419"/>
      <c r="X208" s="1419"/>
      <c r="Y208" s="1419"/>
      <c r="Z208" s="1419"/>
      <c r="AA208" s="1419"/>
      <c r="AB208" s="1420"/>
      <c r="AC208" s="1319"/>
      <c r="AD208" s="2" t="str">
        <f aca="false">IF(AND(AD$4=$G208,AD$6=$F208),$B208,"")</f>
        <v/>
      </c>
      <c r="AE208" s="2" t="str">
        <f aca="false">IF(AND(AE$4=$G208,AE$6=$F208),$B208,"")</f>
        <v/>
      </c>
      <c r="AF208" s="2" t="str">
        <f aca="false">IF(AND(AF$4=$G208,AF$6=$F208),$B208,"")</f>
        <v/>
      </c>
      <c r="AG208" s="2" t="str">
        <f aca="false">IF(AND(AG$4=$G208,AG$6=$F208),$B208,"")</f>
        <v/>
      </c>
      <c r="AI208" s="366"/>
      <c r="AL208" s="367"/>
      <c r="AO208" s="367"/>
      <c r="AP208" s="2" t="str">
        <f aca="false">IF(AT208&gt;0,RANK(AT208,AT$7:AT$423),"")</f>
        <v/>
      </c>
      <c r="AQ208" s="2" t="n">
        <f aca="false">'O_MN, PE_UTA_UGM 2024'!C204</f>
        <v>197</v>
      </c>
      <c r="AR208" s="1421" t="n">
        <v>1934</v>
      </c>
      <c r="AS208" s="2" t="str">
        <f aca="false">IF(AY208&lt;&gt;"",AY208,"")</f>
        <v/>
      </c>
      <c r="AT208" s="1422" t="n">
        <f aca="false">IF(ISNUMBER($AR208),SUMIF(B$7:B$505,AR208,D$7:D$505),"")</f>
        <v>0</v>
      </c>
      <c r="AU208" s="1411" t="n">
        <f aca="false">IF(ISNUMBER($AR208),SUMIF(AD$7:AD$503,$AR208,J$7:J$503),"")</f>
        <v>0</v>
      </c>
      <c r="AV208" s="1411" t="n">
        <f aca="false">IF(ISNUMBER($AR208),SUMIF(AF$7:AF$503,$AR208,L$7:L$503),"")</f>
        <v>0</v>
      </c>
      <c r="AW208" s="1423" t="n">
        <f aca="false">IF(ISNUMBER($AR208),SUMIF(AE$7:AE$503,$AR208,K$7:K$503),"")</f>
        <v>0</v>
      </c>
      <c r="AX208" s="1423" t="n">
        <f aca="false">IF(ISNUMBER($AR208),SUMIF(AG$7:AG$503,$AR208,M$7:M$503),"")</f>
        <v>0</v>
      </c>
      <c r="AY208" s="2" t="str">
        <f aca="false">IF($AT208&gt;0,VLOOKUP($AR208,'O_MN, PE_UTA_UGM 2024'!E204:O620,2),"")</f>
        <v/>
      </c>
      <c r="AZ208" s="1507"/>
      <c r="BA208" s="1507"/>
      <c r="BB208" s="1507" t="str">
        <f aca="false">IF($AT208&gt;0,VLOOKUP($AR208,'O_MN, PE_UTA_UGM 2024'!$E$3:$O$419,BB$6),"")</f>
        <v/>
      </c>
      <c r="BC208" s="1507" t="str">
        <f aca="false">IF($AT208&gt;0,VLOOKUP($AR208,'O_MN, PE_UTA_UGM 2024'!$E$3:$O$419,BC$6),"")</f>
        <v/>
      </c>
      <c r="BD208" s="1507" t="str">
        <f aca="false">IF($AT208&gt;0,VLOOKUP($AR208,'O_MN, PE_UTA_UGM 2024'!$E$3:$O$419,BD$6),"")</f>
        <v/>
      </c>
      <c r="BE208" s="1507" t="str">
        <f aca="false">IF($AT208&gt;0,VLOOKUP($AR208,'O_MN, PE_UTA_UGM 2024'!$E$3:$O$419,BE$6),"")</f>
        <v/>
      </c>
      <c r="BF208" s="1507" t="str">
        <f aca="false">IF($AT208&gt;0,VLOOKUP($AR208,'O_MN, PE_UTA_UGM 2024'!$E$3:$O$419,BF$6),"")</f>
        <v/>
      </c>
      <c r="BG208" s="1507" t="str">
        <f aca="false">IF($AT208&gt;0,VLOOKUP($AR208,'O_MN, PE_UTA_UGM 2024'!$E$3:$O$419,BG$6),"")</f>
        <v/>
      </c>
      <c r="BH208" s="1504"/>
      <c r="BI208" s="1504"/>
      <c r="BJ208" s="1504"/>
      <c r="BK208" s="1504"/>
      <c r="BM208" s="1411"/>
      <c r="BN208" s="1411"/>
      <c r="BO208" s="1425" t="str">
        <f aca="false">IF(ISNUMBER($AU208*BB208*1),$AU208*BB208*1,"")</f>
        <v/>
      </c>
      <c r="BP208" s="1425" t="str">
        <f aca="false">IF(ISNUMBER($AV208*BC208*1),$AV208*BC208*1,"")</f>
        <v/>
      </c>
      <c r="BQ208" s="1425" t="str">
        <f aca="false">IF(ISNUMBER($AU208*BD208*1),$AU208*BD208*1,"")</f>
        <v/>
      </c>
      <c r="BR208" s="1425" t="str">
        <f aca="false">IF(ISNUMBER($AV208*BE208*1),$AV208*BE208*1,"")</f>
        <v/>
      </c>
      <c r="BS208" s="1411" t="str">
        <f aca="false">IF(ISNUMBER($AU208*BF208),$AU208*BF208,"")</f>
        <v/>
      </c>
      <c r="BT208" s="1411" t="str">
        <f aca="false">IF(ISNUMBER($AV208*BG208),$AV208*BG208,"")</f>
        <v/>
      </c>
      <c r="BU208" s="1411"/>
      <c r="BV208" s="1411"/>
      <c r="BW208" s="1411"/>
      <c r="BX208" s="1411"/>
      <c r="BZ208" s="1372"/>
      <c r="CA208" s="1372"/>
      <c r="CB208" s="1426" t="str">
        <f aca="false">IF(ISNUMBER($AW208*BB208),$AW208*BB208,"")</f>
        <v/>
      </c>
      <c r="CC208" s="1426" t="str">
        <f aca="false">IF(ISNUMBER($AX208*BC208),$AX208*BC208,"")</f>
        <v/>
      </c>
      <c r="CD208" s="1426" t="str">
        <f aca="false">IF(ISNUMBER($AW208*BD208),$AW208*BD208,"")</f>
        <v/>
      </c>
      <c r="CE208" s="1426" t="str">
        <f aca="false">IF(ISNUMBER($AX208*BE208),$AX208*BE208,"")</f>
        <v/>
      </c>
      <c r="CF208" s="1372" t="str">
        <f aca="false">IF(ISNUMBER($AW208*BF208),$AW208*BF208,"")</f>
        <v/>
      </c>
      <c r="CG208" s="1372" t="str">
        <f aca="false">IF(ISNUMBER($AX208*BG208),$AX208*BG208,"")</f>
        <v/>
      </c>
      <c r="CH208" s="1438"/>
      <c r="CI208" s="1438"/>
      <c r="CJ208" s="1438"/>
      <c r="CK208" s="1438"/>
      <c r="CU208" s="1411"/>
      <c r="CV208" s="1411"/>
      <c r="CW208" s="1425"/>
      <c r="CX208" s="1425"/>
      <c r="CY208" s="1425"/>
      <c r="CZ208" s="1425"/>
      <c r="DA208" s="1411"/>
      <c r="DB208" s="1411"/>
      <c r="DC208" s="1411"/>
      <c r="DD208" s="1411"/>
      <c r="DE208" s="1411"/>
      <c r="DF208" s="1411"/>
      <c r="DH208" s="1432"/>
      <c r="DI208" s="1432"/>
      <c r="DJ208" s="1437"/>
      <c r="DK208" s="1437"/>
      <c r="DL208" s="1437"/>
      <c r="DM208" s="1437"/>
      <c r="DN208" s="1432"/>
      <c r="DO208" s="1432"/>
      <c r="DP208" s="1432"/>
      <c r="DQ208" s="1432"/>
      <c r="DR208" s="1432"/>
      <c r="DS208" s="1432"/>
      <c r="DT208" s="1316"/>
      <c r="DU208" s="1433"/>
      <c r="DV208" s="1433"/>
      <c r="DW208" s="1433"/>
      <c r="DX208" s="1433"/>
      <c r="DY208" s="1433"/>
      <c r="DZ208" s="1433"/>
      <c r="EA208" s="1433"/>
      <c r="EB208" s="1433"/>
    </row>
    <row r="209" customFormat="false" ht="14.25" hidden="false" customHeight="false" outlineLevel="0" collapsed="false">
      <c r="A209" s="2" t="n">
        <f aca="false">'V_DATOS PAC_SGA'!CC204</f>
        <v>0</v>
      </c>
      <c r="B209" s="2" t="n">
        <f aca="false">IF(OR(A209=0,A209=""),0,IF(I209="IV",CONCATENATE('V_DATOS PAC_SGA'!CC204,"4")+0,CONCATENATE('V_DATOS PAC_SGA'!CC204,"0")+0))</f>
        <v>0</v>
      </c>
      <c r="C209" s="2" t="n">
        <f aca="false">'V_DATOS PAC_SGA'!CD204</f>
        <v>0</v>
      </c>
      <c r="D209" s="1409" t="n">
        <f aca="false">'V_DATOS PAC_SGA'!Y204</f>
        <v>0</v>
      </c>
      <c r="E209" s="1410" t="str">
        <f aca="false">IF('V_DATOS PAC_SGA'!AV204="","Regadio",'V_DATOS PAC_SGA'!AV204)</f>
        <v>Regadio</v>
      </c>
      <c r="F209" s="1411" t="n">
        <f aca="false">'V_DATOS PAC_SGA'!BK204</f>
        <v>0</v>
      </c>
      <c r="G209" s="1412" t="n">
        <f aca="false">'V_DATOS PAC_SGA'!AN204</f>
        <v>0</v>
      </c>
      <c r="H209" s="1413" t="str">
        <f aca="false">IF(B209&gt;0,VLOOKUP(B209,'O_MN, PE_UTA_UGM 2024'!E$3:O$419,10),"")</f>
        <v/>
      </c>
      <c r="I209" s="1359" t="str">
        <f aca="false">IF('V_DATOS PAC_SGA'!BV204="IV",'V_DATOS PAC_SGA'!BV204,"")</f>
        <v/>
      </c>
      <c r="J209" s="2" t="str">
        <f aca="false">IF($A209&gt;0,IF(AND(J$4=$G209,J$6=$F209),$D209*J$5,""),"")</f>
        <v/>
      </c>
      <c r="K209" s="2" t="str">
        <f aca="false">IF($A209&gt;0,IF(AND(K$4=$G209,K$6=$F209),$D209*K$5,""),"")</f>
        <v/>
      </c>
      <c r="L209" s="2" t="str">
        <f aca="false">IF($A209&gt;0,IF(AND(L$4=$G209,L$6=$F209),$D209*L$5,""),"")</f>
        <v/>
      </c>
      <c r="M209" s="2" t="str">
        <f aca="false">IF($A209&gt;0,IF(AND(M$4=$G209,M$6=$F209),$D209*M$5,""),"")</f>
        <v/>
      </c>
      <c r="N209" s="1506" t="n">
        <f aca="false">VLOOKUP(B209,'O_MN, PE_UTA_UGM 2024'!$E$2:$K$419,IF(G209&gt;1,6,7))</f>
        <v>0</v>
      </c>
      <c r="O209" s="1434" t="str">
        <f aca="false">IF($H209=O$4,$D209*$N209,"")</f>
        <v/>
      </c>
      <c r="P209" s="1435" t="str">
        <f aca="false">IF($H209=P$4,$D209*$N209,"")</f>
        <v/>
      </c>
      <c r="Q209" s="1435" t="str">
        <f aca="false">IF($H209=Q$4,$D209*$N209,"")</f>
        <v/>
      </c>
      <c r="R209" s="1435" t="str">
        <f aca="false">IF($H209=R$4,$D209*$N209,"")</f>
        <v/>
      </c>
      <c r="S209" s="1435" t="str">
        <f aca="false">IF($H209=S$4,$D209*$N209,"")</f>
        <v/>
      </c>
      <c r="T209" s="1435" t="str">
        <f aca="false">IF($H209=T$4,$D209*$N209,"")</f>
        <v/>
      </c>
      <c r="U209" s="1436" t="str">
        <f aca="false">IF($H209=U$4,$D209*$N209,"")</f>
        <v/>
      </c>
      <c r="V209" s="1418"/>
      <c r="W209" s="1419"/>
      <c r="X209" s="1419"/>
      <c r="Y209" s="1419"/>
      <c r="Z209" s="1419"/>
      <c r="AA209" s="1419"/>
      <c r="AB209" s="1420"/>
      <c r="AC209" s="1319"/>
      <c r="AD209" s="2" t="str">
        <f aca="false">IF(AND(AD$4=$G209,AD$6=$F209),$B209,"")</f>
        <v/>
      </c>
      <c r="AE209" s="2" t="str">
        <f aca="false">IF(AND(AE$4=$G209,AE$6=$F209),$B209,"")</f>
        <v/>
      </c>
      <c r="AF209" s="2" t="str">
        <f aca="false">IF(AND(AF$4=$G209,AF$6=$F209),$B209,"")</f>
        <v/>
      </c>
      <c r="AG209" s="2" t="str">
        <f aca="false">IF(AND(AG$4=$G209,AG$6=$F209),$B209,"")</f>
        <v/>
      </c>
      <c r="AI209" s="366"/>
      <c r="AL209" s="367"/>
      <c r="AO209" s="367"/>
      <c r="AP209" s="2" t="str">
        <f aca="false">IF(AT209&gt;0,RANK(AT209,AT$7:AT$423),"")</f>
        <v/>
      </c>
      <c r="AQ209" s="2" t="n">
        <f aca="false">'O_MN, PE_UTA_UGM 2024'!C205</f>
        <v>197</v>
      </c>
      <c r="AR209" s="1421" t="n">
        <v>1939</v>
      </c>
      <c r="AS209" s="2" t="str">
        <f aca="false">IF(AY209&lt;&gt;"",AY209,"")</f>
        <v/>
      </c>
      <c r="AT209" s="1422" t="n">
        <f aca="false">IF(ISNUMBER($AR209),SUMIF(B$7:B$505,AR209,D$7:D$505),"")</f>
        <v>0</v>
      </c>
      <c r="AU209" s="1411" t="n">
        <f aca="false">IF(ISNUMBER($AR209),SUMIF(AD$7:AD$503,$AR209,J$7:J$503),"")</f>
        <v>0</v>
      </c>
      <c r="AV209" s="1411" t="n">
        <f aca="false">IF(ISNUMBER($AR209),SUMIF(AF$7:AF$503,$AR209,L$7:L$503),"")</f>
        <v>0</v>
      </c>
      <c r="AW209" s="1423" t="n">
        <f aca="false">IF(ISNUMBER($AR209),SUMIF(AE$7:AE$503,$AR209,K$7:K$503),"")</f>
        <v>0</v>
      </c>
      <c r="AX209" s="1423" t="n">
        <f aca="false">IF(ISNUMBER($AR209),SUMIF(AG$7:AG$503,$AR209,M$7:M$503),"")</f>
        <v>0</v>
      </c>
      <c r="AY209" s="2" t="str">
        <f aca="false">IF($AT209&gt;0,VLOOKUP($AR209,'O_MN, PE_UTA_UGM 2024'!E205:O621,2),"")</f>
        <v/>
      </c>
      <c r="AZ209" s="1507"/>
      <c r="BA209" s="1507"/>
      <c r="BB209" s="1507" t="str">
        <f aca="false">IF($AT209&gt;0,VLOOKUP($AR209,'O_MN, PE_UTA_UGM 2024'!$E$3:$O$419,BB$6),"")</f>
        <v/>
      </c>
      <c r="BC209" s="1507" t="str">
        <f aca="false">IF($AT209&gt;0,VLOOKUP($AR209,'O_MN, PE_UTA_UGM 2024'!$E$3:$O$419,BC$6),"")</f>
        <v/>
      </c>
      <c r="BD209" s="1507" t="str">
        <f aca="false">IF($AT209&gt;0,VLOOKUP($AR209,'O_MN, PE_UTA_UGM 2024'!$E$3:$O$419,BD$6),"")</f>
        <v/>
      </c>
      <c r="BE209" s="1507" t="str">
        <f aca="false">IF($AT209&gt;0,VLOOKUP($AR209,'O_MN, PE_UTA_UGM 2024'!$E$3:$O$419,BE$6),"")</f>
        <v/>
      </c>
      <c r="BF209" s="1507" t="str">
        <f aca="false">IF($AT209&gt;0,VLOOKUP($AR209,'O_MN, PE_UTA_UGM 2024'!$E$3:$O$419,BF$6),"")</f>
        <v/>
      </c>
      <c r="BG209" s="1507" t="str">
        <f aca="false">IF($AT209&gt;0,VLOOKUP($AR209,'O_MN, PE_UTA_UGM 2024'!$E$3:$O$419,BG$6),"")</f>
        <v/>
      </c>
      <c r="BH209" s="1504"/>
      <c r="BI209" s="1504"/>
      <c r="BJ209" s="1504"/>
      <c r="BK209" s="1504"/>
      <c r="BM209" s="1411"/>
      <c r="BN209" s="1411"/>
      <c r="BO209" s="1425" t="str">
        <f aca="false">IF(ISNUMBER($AU209*BB209*1),$AU209*BB209*1,"")</f>
        <v/>
      </c>
      <c r="BP209" s="1425" t="str">
        <f aca="false">IF(ISNUMBER($AV209*BC209*1),$AV209*BC209*1,"")</f>
        <v/>
      </c>
      <c r="BQ209" s="1425" t="str">
        <f aca="false">IF(ISNUMBER($AU209*BD209*1),$AU209*BD209*1,"")</f>
        <v/>
      </c>
      <c r="BR209" s="1425" t="str">
        <f aca="false">IF(ISNUMBER($AV209*BE209*1),$AV209*BE209*1,"")</f>
        <v/>
      </c>
      <c r="BS209" s="1411" t="str">
        <f aca="false">IF(ISNUMBER($AU209*BF209),$AU209*BF209,"")</f>
        <v/>
      </c>
      <c r="BT209" s="1411" t="str">
        <f aca="false">IF(ISNUMBER($AV209*BG209),$AV209*BG209,"")</f>
        <v/>
      </c>
      <c r="BU209" s="1411"/>
      <c r="BV209" s="1411"/>
      <c r="BW209" s="1411"/>
      <c r="BX209" s="1411"/>
      <c r="BZ209" s="1372"/>
      <c r="CA209" s="1372"/>
      <c r="CB209" s="1426" t="str">
        <f aca="false">IF(ISNUMBER($AW209*BB209),$AW209*BB209,"")</f>
        <v/>
      </c>
      <c r="CC209" s="1426" t="str">
        <f aca="false">IF(ISNUMBER($AX209*BC209),$AX209*BC209,"")</f>
        <v/>
      </c>
      <c r="CD209" s="1426" t="str">
        <f aca="false">IF(ISNUMBER($AW209*BD209),$AW209*BD209,"")</f>
        <v/>
      </c>
      <c r="CE209" s="1426" t="str">
        <f aca="false">IF(ISNUMBER($AX209*BE209),$AX209*BE209,"")</f>
        <v/>
      </c>
      <c r="CF209" s="1372" t="str">
        <f aca="false">IF(ISNUMBER($AW209*BF209),$AW209*BF209,"")</f>
        <v/>
      </c>
      <c r="CG209" s="1372" t="str">
        <f aca="false">IF(ISNUMBER($AX209*BG209),$AX209*BG209,"")</f>
        <v/>
      </c>
      <c r="CH209" s="1438"/>
      <c r="CI209" s="1438"/>
      <c r="CJ209" s="1438"/>
      <c r="CK209" s="1438"/>
      <c r="CU209" s="1411"/>
      <c r="CV209" s="1411"/>
      <c r="CW209" s="1425"/>
      <c r="CX209" s="1425"/>
      <c r="CY209" s="1425"/>
      <c r="CZ209" s="1425"/>
      <c r="DA209" s="1411"/>
      <c r="DB209" s="1411"/>
      <c r="DC209" s="1411"/>
      <c r="DD209" s="1411"/>
      <c r="DE209" s="1411"/>
      <c r="DF209" s="1411"/>
      <c r="DH209" s="1432"/>
      <c r="DI209" s="1432"/>
      <c r="DJ209" s="1437"/>
      <c r="DK209" s="1437"/>
      <c r="DL209" s="1437"/>
      <c r="DM209" s="1437"/>
      <c r="DN209" s="1432"/>
      <c r="DO209" s="1432"/>
      <c r="DP209" s="1432"/>
      <c r="DQ209" s="1432"/>
      <c r="DR209" s="1432"/>
      <c r="DS209" s="1432"/>
      <c r="DT209" s="1316"/>
      <c r="DU209" s="1433"/>
      <c r="DV209" s="1433"/>
      <c r="DW209" s="1433"/>
      <c r="DX209" s="1433"/>
      <c r="DY209" s="1433"/>
      <c r="DZ209" s="1433"/>
      <c r="EA209" s="1433"/>
      <c r="EB209" s="1433"/>
    </row>
    <row r="210" customFormat="false" ht="14.25" hidden="false" customHeight="false" outlineLevel="0" collapsed="false">
      <c r="A210" s="2" t="n">
        <f aca="false">'V_DATOS PAC_SGA'!CC205</f>
        <v>0</v>
      </c>
      <c r="B210" s="2" t="n">
        <f aca="false">IF(OR(A210=0,A210=""),0,IF(I210="IV",CONCATENATE('V_DATOS PAC_SGA'!CC205,"4")+0,CONCATENATE('V_DATOS PAC_SGA'!CC205,"0")+0))</f>
        <v>0</v>
      </c>
      <c r="C210" s="2" t="n">
        <f aca="false">'V_DATOS PAC_SGA'!CD205</f>
        <v>0</v>
      </c>
      <c r="D210" s="1409" t="n">
        <f aca="false">'V_DATOS PAC_SGA'!Y205</f>
        <v>0</v>
      </c>
      <c r="E210" s="1410" t="str">
        <f aca="false">IF('V_DATOS PAC_SGA'!AV205="","Regadio",'V_DATOS PAC_SGA'!AV205)</f>
        <v>Regadio</v>
      </c>
      <c r="F210" s="1411" t="n">
        <f aca="false">'V_DATOS PAC_SGA'!BK205</f>
        <v>0</v>
      </c>
      <c r="G210" s="1412" t="n">
        <f aca="false">'V_DATOS PAC_SGA'!AN205</f>
        <v>0</v>
      </c>
      <c r="H210" s="1413" t="str">
        <f aca="false">IF(B210&gt;0,VLOOKUP(B210,'O_MN, PE_UTA_UGM 2024'!E$3:O$419,10),"")</f>
        <v/>
      </c>
      <c r="I210" s="1359" t="str">
        <f aca="false">IF('V_DATOS PAC_SGA'!BV205="IV",'V_DATOS PAC_SGA'!BV205,"")</f>
        <v/>
      </c>
      <c r="J210" s="2" t="str">
        <f aca="false">IF($A210&gt;0,IF(AND(J$4=$G210,J$6=$F210),$D210*J$5,""),"")</f>
        <v/>
      </c>
      <c r="K210" s="2" t="str">
        <f aca="false">IF($A210&gt;0,IF(AND(K$4=$G210,K$6=$F210),$D210*K$5,""),"")</f>
        <v/>
      </c>
      <c r="L210" s="2" t="str">
        <f aca="false">IF($A210&gt;0,IF(AND(L$4=$G210,L$6=$F210),$D210*L$5,""),"")</f>
        <v/>
      </c>
      <c r="M210" s="2" t="str">
        <f aca="false">IF($A210&gt;0,IF(AND(M$4=$G210,M$6=$F210),$D210*M$5,""),"")</f>
        <v/>
      </c>
      <c r="N210" s="1506" t="n">
        <f aca="false">VLOOKUP(B210,'O_MN, PE_UTA_UGM 2024'!$E$2:$K$419,IF(G210&gt;1,6,7))</f>
        <v>0</v>
      </c>
      <c r="O210" s="1434" t="str">
        <f aca="false">IF($H210=O$4,$D210*$N210,"")</f>
        <v/>
      </c>
      <c r="P210" s="1435" t="str">
        <f aca="false">IF($H210=P$4,$D210*$N210,"")</f>
        <v/>
      </c>
      <c r="Q210" s="1435" t="str">
        <f aca="false">IF($H210=Q$4,$D210*$N210,"")</f>
        <v/>
      </c>
      <c r="R210" s="1435" t="str">
        <f aca="false">IF($H210=R$4,$D210*$N210,"")</f>
        <v/>
      </c>
      <c r="S210" s="1435" t="str">
        <f aca="false">IF($H210=S$4,$D210*$N210,"")</f>
        <v/>
      </c>
      <c r="T210" s="1435" t="str">
        <f aca="false">IF($H210=T$4,$D210*$N210,"")</f>
        <v/>
      </c>
      <c r="U210" s="1436" t="str">
        <f aca="false">IF($H210=U$4,$D210*$N210,"")</f>
        <v/>
      </c>
      <c r="V210" s="1418"/>
      <c r="W210" s="1419"/>
      <c r="X210" s="1419"/>
      <c r="Y210" s="1419"/>
      <c r="Z210" s="1419"/>
      <c r="AA210" s="1419"/>
      <c r="AB210" s="1420"/>
      <c r="AC210" s="1319"/>
      <c r="AD210" s="2" t="str">
        <f aca="false">IF(AND(AD$4=$G210,AD$6=$F210),$B210,"")</f>
        <v/>
      </c>
      <c r="AE210" s="2" t="str">
        <f aca="false">IF(AND(AE$4=$G210,AE$6=$F210),$B210,"")</f>
        <v/>
      </c>
      <c r="AF210" s="2" t="str">
        <f aca="false">IF(AND(AF$4=$G210,AF$6=$F210),$B210,"")</f>
        <v/>
      </c>
      <c r="AG210" s="2" t="str">
        <f aca="false">IF(AND(AG$4=$G210,AG$6=$F210),$B210,"")</f>
        <v/>
      </c>
      <c r="AI210" s="366"/>
      <c r="AL210" s="367"/>
      <c r="AO210" s="367"/>
      <c r="AP210" s="2" t="str">
        <f aca="false">IF(AT210&gt;0,RANK(AT210,AT$7:AT$423),"")</f>
        <v/>
      </c>
      <c r="AQ210" s="2" t="n">
        <f aca="false">'O_MN, PE_UTA_UGM 2024'!C206</f>
        <v>200</v>
      </c>
      <c r="AR210" s="1421" t="n">
        <v>1940</v>
      </c>
      <c r="AS210" s="2" t="str">
        <f aca="false">IF(AY210&lt;&gt;"",AY210,"")</f>
        <v/>
      </c>
      <c r="AT210" s="1422" t="n">
        <f aca="false">IF(ISNUMBER($AR210),SUMIF(B$7:B$505,AR210,D$7:D$505),"")</f>
        <v>0</v>
      </c>
      <c r="AU210" s="1411" t="n">
        <f aca="false">IF(ISNUMBER($AR210),SUMIF(AD$7:AD$503,$AR210,J$7:J$503),"")</f>
        <v>0</v>
      </c>
      <c r="AV210" s="1411" t="n">
        <f aca="false">IF(ISNUMBER($AR210),SUMIF(AF$7:AF$503,$AR210,L$7:L$503),"")</f>
        <v>0</v>
      </c>
      <c r="AW210" s="1423" t="n">
        <f aca="false">IF(ISNUMBER($AR210),SUMIF(AE$7:AE$503,$AR210,K$7:K$503),"")</f>
        <v>0</v>
      </c>
      <c r="AX210" s="1423" t="n">
        <f aca="false">IF(ISNUMBER($AR210),SUMIF(AG$7:AG$503,$AR210,M$7:M$503),"")</f>
        <v>0</v>
      </c>
      <c r="AY210" s="2" t="str">
        <f aca="false">IF($AT210&gt;0,VLOOKUP($AR210,'O_MN, PE_UTA_UGM 2024'!E206:O622,2),"")</f>
        <v/>
      </c>
      <c r="AZ210" s="1507"/>
      <c r="BA210" s="1507"/>
      <c r="BB210" s="1507" t="str">
        <f aca="false">IF($AT210&gt;0,VLOOKUP($AR210,'O_MN, PE_UTA_UGM 2024'!$E$3:$O$419,BB$6),"")</f>
        <v/>
      </c>
      <c r="BC210" s="1507" t="str">
        <f aca="false">IF($AT210&gt;0,VLOOKUP($AR210,'O_MN, PE_UTA_UGM 2024'!$E$3:$O$419,BC$6),"")</f>
        <v/>
      </c>
      <c r="BD210" s="1507" t="str">
        <f aca="false">IF($AT210&gt;0,VLOOKUP($AR210,'O_MN, PE_UTA_UGM 2024'!$E$3:$O$419,BD$6),"")</f>
        <v/>
      </c>
      <c r="BE210" s="1507" t="str">
        <f aca="false">IF($AT210&gt;0,VLOOKUP($AR210,'O_MN, PE_UTA_UGM 2024'!$E$3:$O$419,BE$6),"")</f>
        <v/>
      </c>
      <c r="BF210" s="1507" t="str">
        <f aca="false">IF($AT210&gt;0,VLOOKUP($AR210,'O_MN, PE_UTA_UGM 2024'!$E$3:$O$419,BF$6),"")</f>
        <v/>
      </c>
      <c r="BG210" s="1507" t="str">
        <f aca="false">IF($AT210&gt;0,VLOOKUP($AR210,'O_MN, PE_UTA_UGM 2024'!$E$3:$O$419,BG$6),"")</f>
        <v/>
      </c>
      <c r="BH210" s="1504"/>
      <c r="BI210" s="1504"/>
      <c r="BJ210" s="1504"/>
      <c r="BK210" s="1504"/>
      <c r="BM210" s="1411"/>
      <c r="BN210" s="1411"/>
      <c r="BO210" s="1425" t="str">
        <f aca="false">IF(ISNUMBER($AU210*BB210*1),$AU210*BB210*1,"")</f>
        <v/>
      </c>
      <c r="BP210" s="1425" t="str">
        <f aca="false">IF(ISNUMBER($AV210*BC210*1),$AV210*BC210*1,"")</f>
        <v/>
      </c>
      <c r="BQ210" s="1425" t="str">
        <f aca="false">IF(ISNUMBER($AU210*BD210*1),$AU210*BD210*1,"")</f>
        <v/>
      </c>
      <c r="BR210" s="1425" t="str">
        <f aca="false">IF(ISNUMBER($AV210*BE210*1),$AV210*BE210*1,"")</f>
        <v/>
      </c>
      <c r="BS210" s="1411" t="str">
        <f aca="false">IF(ISNUMBER($AU210*BF210),$AU210*BF210,"")</f>
        <v/>
      </c>
      <c r="BT210" s="1411" t="str">
        <f aca="false">IF(ISNUMBER($AV210*BG210),$AV210*BG210,"")</f>
        <v/>
      </c>
      <c r="BU210" s="1411"/>
      <c r="BV210" s="1411"/>
      <c r="BW210" s="1411"/>
      <c r="BX210" s="1411"/>
      <c r="BZ210" s="1372"/>
      <c r="CA210" s="1372"/>
      <c r="CB210" s="1426" t="str">
        <f aca="false">IF(ISNUMBER($AW210*BB210),$AW210*BB210,"")</f>
        <v/>
      </c>
      <c r="CC210" s="1426" t="str">
        <f aca="false">IF(ISNUMBER($AX210*BC210),$AX210*BC210,"")</f>
        <v/>
      </c>
      <c r="CD210" s="1426" t="str">
        <f aca="false">IF(ISNUMBER($AW210*BD210),$AW210*BD210,"")</f>
        <v/>
      </c>
      <c r="CE210" s="1426" t="str">
        <f aca="false">IF(ISNUMBER($AX210*BE210),$AX210*BE210,"")</f>
        <v/>
      </c>
      <c r="CF210" s="1372" t="str">
        <f aca="false">IF(ISNUMBER($AW210*BF210),$AW210*BF210,"")</f>
        <v/>
      </c>
      <c r="CG210" s="1372" t="str">
        <f aca="false">IF(ISNUMBER($AX210*BG210),$AX210*BG210,"")</f>
        <v/>
      </c>
      <c r="CH210" s="1438"/>
      <c r="CI210" s="1438"/>
      <c r="CJ210" s="1438"/>
      <c r="CK210" s="1438"/>
      <c r="CU210" s="1411"/>
      <c r="CV210" s="1411"/>
      <c r="CW210" s="1425"/>
      <c r="CX210" s="1425"/>
      <c r="CY210" s="1425"/>
      <c r="CZ210" s="1425"/>
      <c r="DA210" s="1411"/>
      <c r="DB210" s="1411"/>
      <c r="DC210" s="1411"/>
      <c r="DD210" s="1411"/>
      <c r="DE210" s="1411"/>
      <c r="DF210" s="1411"/>
      <c r="DH210" s="1432"/>
      <c r="DI210" s="1432"/>
      <c r="DJ210" s="1437"/>
      <c r="DK210" s="1437"/>
      <c r="DL210" s="1437"/>
      <c r="DM210" s="1437"/>
      <c r="DN210" s="1432"/>
      <c r="DO210" s="1432"/>
      <c r="DP210" s="1432"/>
      <c r="DQ210" s="1432"/>
      <c r="DR210" s="1432"/>
      <c r="DS210" s="1432"/>
      <c r="DT210" s="1316"/>
      <c r="DU210" s="1433"/>
      <c r="DV210" s="1433"/>
      <c r="DW210" s="1433"/>
      <c r="DX210" s="1433"/>
      <c r="DY210" s="1433"/>
      <c r="DZ210" s="1433"/>
      <c r="EA210" s="1433"/>
      <c r="EB210" s="1433"/>
    </row>
    <row r="211" customFormat="false" ht="14.25" hidden="false" customHeight="false" outlineLevel="0" collapsed="false">
      <c r="A211" s="2" t="n">
        <f aca="false">'V_DATOS PAC_SGA'!CC206</f>
        <v>0</v>
      </c>
      <c r="B211" s="2" t="n">
        <f aca="false">IF(OR(A211=0,A211=""),0,IF(I211="IV",CONCATENATE('V_DATOS PAC_SGA'!CC206,"4")+0,CONCATENATE('V_DATOS PAC_SGA'!CC206,"0")+0))</f>
        <v>0</v>
      </c>
      <c r="C211" s="2" t="n">
        <f aca="false">'V_DATOS PAC_SGA'!CD206</f>
        <v>0</v>
      </c>
      <c r="D211" s="1409" t="n">
        <f aca="false">'V_DATOS PAC_SGA'!Y206</f>
        <v>0</v>
      </c>
      <c r="E211" s="1410" t="str">
        <f aca="false">IF('V_DATOS PAC_SGA'!AV206="","Regadio",'V_DATOS PAC_SGA'!AV206)</f>
        <v>Regadio</v>
      </c>
      <c r="F211" s="1411" t="n">
        <f aca="false">'V_DATOS PAC_SGA'!BK206</f>
        <v>0</v>
      </c>
      <c r="G211" s="1412" t="n">
        <f aca="false">'V_DATOS PAC_SGA'!AN206</f>
        <v>0</v>
      </c>
      <c r="H211" s="1413" t="str">
        <f aca="false">IF(B211&gt;0,VLOOKUP(B211,'O_MN, PE_UTA_UGM 2024'!E$3:O$419,10),"")</f>
        <v/>
      </c>
      <c r="I211" s="1359" t="str">
        <f aca="false">IF('V_DATOS PAC_SGA'!BV206="IV",'V_DATOS PAC_SGA'!BV206,"")</f>
        <v/>
      </c>
      <c r="J211" s="2" t="str">
        <f aca="false">IF($A211&gt;0,IF(AND(J$4=$G211,J$6=$F211),$D211*J$5,""),"")</f>
        <v/>
      </c>
      <c r="K211" s="2" t="str">
        <f aca="false">IF($A211&gt;0,IF(AND(K$4=$G211,K$6=$F211),$D211*K$5,""),"")</f>
        <v/>
      </c>
      <c r="L211" s="2" t="str">
        <f aca="false">IF($A211&gt;0,IF(AND(L$4=$G211,L$6=$F211),$D211*L$5,""),"")</f>
        <v/>
      </c>
      <c r="M211" s="2" t="str">
        <f aca="false">IF($A211&gt;0,IF(AND(M$4=$G211,M$6=$F211),$D211*M$5,""),"")</f>
        <v/>
      </c>
      <c r="N211" s="1506" t="n">
        <f aca="false">VLOOKUP(B211,'O_MN, PE_UTA_UGM 2024'!$E$2:$K$419,IF(G211&gt;1,6,7))</f>
        <v>0</v>
      </c>
      <c r="O211" s="1434" t="str">
        <f aca="false">IF($H211=O$4,$D211*$N211,"")</f>
        <v/>
      </c>
      <c r="P211" s="1435" t="str">
        <f aca="false">IF($H211=P$4,$D211*$N211,"")</f>
        <v/>
      </c>
      <c r="Q211" s="1435" t="str">
        <f aca="false">IF($H211=Q$4,$D211*$N211,"")</f>
        <v/>
      </c>
      <c r="R211" s="1435" t="str">
        <f aca="false">IF($H211=R$4,$D211*$N211,"")</f>
        <v/>
      </c>
      <c r="S211" s="1435" t="str">
        <f aca="false">IF($H211=S$4,$D211*$N211,"")</f>
        <v/>
      </c>
      <c r="T211" s="1435" t="str">
        <f aca="false">IF($H211=T$4,$D211*$N211,"")</f>
        <v/>
      </c>
      <c r="U211" s="1436" t="str">
        <f aca="false">IF($H211=U$4,$D211*$N211,"")</f>
        <v/>
      </c>
      <c r="V211" s="1418"/>
      <c r="W211" s="1419"/>
      <c r="X211" s="1419"/>
      <c r="Y211" s="1419"/>
      <c r="Z211" s="1419"/>
      <c r="AA211" s="1419"/>
      <c r="AB211" s="1420"/>
      <c r="AC211" s="1319"/>
      <c r="AD211" s="2" t="str">
        <f aca="false">IF(AND(AD$4=$G211,AD$6=$F211),$B211,"")</f>
        <v/>
      </c>
      <c r="AE211" s="2" t="str">
        <f aca="false">IF(AND(AE$4=$G211,AE$6=$F211),$B211,"")</f>
        <v/>
      </c>
      <c r="AF211" s="2" t="str">
        <f aca="false">IF(AND(AF$4=$G211,AF$6=$F211),$B211,"")</f>
        <v/>
      </c>
      <c r="AG211" s="2" t="str">
        <f aca="false">IF(AND(AG$4=$G211,AG$6=$F211),$B211,"")</f>
        <v/>
      </c>
      <c r="AI211" s="366"/>
      <c r="AL211" s="367"/>
      <c r="AO211" s="367"/>
      <c r="AP211" s="2" t="str">
        <f aca="false">IF(AT211&gt;0,RANK(AT211,AT$7:AT$423),"")</f>
        <v/>
      </c>
      <c r="AQ211" s="2" t="n">
        <f aca="false">'O_MN, PE_UTA_UGM 2024'!C207</f>
        <v>201</v>
      </c>
      <c r="AR211" s="1421" t="n">
        <v>1970</v>
      </c>
      <c r="AS211" s="2" t="str">
        <f aca="false">IF(AY211&lt;&gt;"",AY211,"")</f>
        <v/>
      </c>
      <c r="AT211" s="1422" t="n">
        <f aca="false">IF(ISNUMBER($AR211),SUMIF(B$7:B$505,AR211,D$7:D$505),"")</f>
        <v>0</v>
      </c>
      <c r="AU211" s="1411" t="n">
        <f aca="false">IF(ISNUMBER($AR211),SUMIF(AD$7:AD$503,$AR211,J$7:J$503),"")</f>
        <v>0</v>
      </c>
      <c r="AV211" s="1411" t="n">
        <f aca="false">IF(ISNUMBER($AR211),SUMIF(AF$7:AF$503,$AR211,L$7:L$503),"")</f>
        <v>0</v>
      </c>
      <c r="AW211" s="1423" t="n">
        <f aca="false">IF(ISNUMBER($AR211),SUMIF(AE$7:AE$503,$AR211,K$7:K$503),"")</f>
        <v>0</v>
      </c>
      <c r="AX211" s="1423" t="n">
        <f aca="false">IF(ISNUMBER($AR211),SUMIF(AG$7:AG$503,$AR211,M$7:M$503),"")</f>
        <v>0</v>
      </c>
      <c r="AY211" s="2" t="str">
        <f aca="false">IF($AT211&gt;0,VLOOKUP($AR211,'O_MN, PE_UTA_UGM 2024'!E207:O623,2),"")</f>
        <v/>
      </c>
      <c r="AZ211" s="1507"/>
      <c r="BA211" s="1507"/>
      <c r="BB211" s="1507" t="str">
        <f aca="false">IF($AT211&gt;0,VLOOKUP($AR211,'O_MN, PE_UTA_UGM 2024'!$E$3:$O$419,BB$6),"")</f>
        <v/>
      </c>
      <c r="BC211" s="1507" t="str">
        <f aca="false">IF($AT211&gt;0,VLOOKUP($AR211,'O_MN, PE_UTA_UGM 2024'!$E$3:$O$419,BC$6),"")</f>
        <v/>
      </c>
      <c r="BD211" s="1507" t="str">
        <f aca="false">IF($AT211&gt;0,VLOOKUP($AR211,'O_MN, PE_UTA_UGM 2024'!$E$3:$O$419,BD$6),"")</f>
        <v/>
      </c>
      <c r="BE211" s="1507" t="str">
        <f aca="false">IF($AT211&gt;0,VLOOKUP($AR211,'O_MN, PE_UTA_UGM 2024'!$E$3:$O$419,BE$6),"")</f>
        <v/>
      </c>
      <c r="BF211" s="1507" t="str">
        <f aca="false">IF($AT211&gt;0,VLOOKUP($AR211,'O_MN, PE_UTA_UGM 2024'!$E$3:$O$419,BF$6),"")</f>
        <v/>
      </c>
      <c r="BG211" s="1507" t="str">
        <f aca="false">IF($AT211&gt;0,VLOOKUP($AR211,'O_MN, PE_UTA_UGM 2024'!$E$3:$O$419,BG$6),"")</f>
        <v/>
      </c>
      <c r="BH211" s="1504"/>
      <c r="BI211" s="1504"/>
      <c r="BJ211" s="1504"/>
      <c r="BK211" s="1504"/>
      <c r="BM211" s="1411"/>
      <c r="BN211" s="1411"/>
      <c r="BO211" s="1425" t="str">
        <f aca="false">IF(ISNUMBER($AU211*BB211*1),$AU211*BB211*1,"")</f>
        <v/>
      </c>
      <c r="BP211" s="1425" t="str">
        <f aca="false">IF(ISNUMBER($AV211*BC211*1),$AV211*BC211*1,"")</f>
        <v/>
      </c>
      <c r="BQ211" s="1425" t="str">
        <f aca="false">IF(ISNUMBER($AU211*BD211*1),$AU211*BD211*1,"")</f>
        <v/>
      </c>
      <c r="BR211" s="1425" t="str">
        <f aca="false">IF(ISNUMBER($AV211*BE211*1),$AV211*BE211*1,"")</f>
        <v/>
      </c>
      <c r="BS211" s="1411" t="str">
        <f aca="false">IF(ISNUMBER($AU211*BF211),$AU211*BF211,"")</f>
        <v/>
      </c>
      <c r="BT211" s="1411" t="str">
        <f aca="false">IF(ISNUMBER($AV211*BG211),$AV211*BG211,"")</f>
        <v/>
      </c>
      <c r="BU211" s="1411"/>
      <c r="BV211" s="1411"/>
      <c r="BW211" s="1411"/>
      <c r="BX211" s="1411"/>
      <c r="BZ211" s="1372"/>
      <c r="CA211" s="1372"/>
      <c r="CB211" s="1426" t="str">
        <f aca="false">IF(ISNUMBER($AW211*BB211),$AW211*BB211,"")</f>
        <v/>
      </c>
      <c r="CC211" s="1426" t="str">
        <f aca="false">IF(ISNUMBER($AX211*BC211),$AX211*BC211,"")</f>
        <v/>
      </c>
      <c r="CD211" s="1426" t="str">
        <f aca="false">IF(ISNUMBER($AW211*BD211),$AW211*BD211,"")</f>
        <v/>
      </c>
      <c r="CE211" s="1426" t="str">
        <f aca="false">IF(ISNUMBER($AX211*BE211),$AX211*BE211,"")</f>
        <v/>
      </c>
      <c r="CF211" s="1372" t="str">
        <f aca="false">IF(ISNUMBER($AW211*BF211),$AW211*BF211,"")</f>
        <v/>
      </c>
      <c r="CG211" s="1372" t="str">
        <f aca="false">IF(ISNUMBER($AX211*BG211),$AX211*BG211,"")</f>
        <v/>
      </c>
      <c r="CH211" s="1438"/>
      <c r="CI211" s="1438"/>
      <c r="CJ211" s="1438"/>
      <c r="CK211" s="1438"/>
      <c r="CU211" s="1411"/>
      <c r="CV211" s="1411"/>
      <c r="CW211" s="1425"/>
      <c r="CX211" s="1425"/>
      <c r="CY211" s="1425"/>
      <c r="CZ211" s="1425"/>
      <c r="DA211" s="1411"/>
      <c r="DB211" s="1411"/>
      <c r="DC211" s="1411"/>
      <c r="DD211" s="1411"/>
      <c r="DE211" s="1411"/>
      <c r="DF211" s="1411"/>
      <c r="DH211" s="1432"/>
      <c r="DI211" s="1432"/>
      <c r="DJ211" s="1437"/>
      <c r="DK211" s="1437"/>
      <c r="DL211" s="1437"/>
      <c r="DM211" s="1437"/>
      <c r="DN211" s="1432"/>
      <c r="DO211" s="1432"/>
      <c r="DP211" s="1432"/>
      <c r="DQ211" s="1432"/>
      <c r="DR211" s="1432"/>
      <c r="DS211" s="1432"/>
      <c r="DT211" s="1316"/>
      <c r="DU211" s="1433"/>
      <c r="DV211" s="1433"/>
      <c r="DW211" s="1433"/>
      <c r="DX211" s="1433"/>
      <c r="DY211" s="1433"/>
      <c r="DZ211" s="1433"/>
      <c r="EA211" s="1433"/>
      <c r="EB211" s="1433"/>
    </row>
    <row r="212" customFormat="false" ht="14.25" hidden="false" customHeight="false" outlineLevel="0" collapsed="false">
      <c r="A212" s="2" t="n">
        <f aca="false">'V_DATOS PAC_SGA'!CC207</f>
        <v>0</v>
      </c>
      <c r="B212" s="2" t="n">
        <f aca="false">IF(OR(A212=0,A212=""),0,IF(I212="IV",CONCATENATE('V_DATOS PAC_SGA'!CC207,"4")+0,CONCATENATE('V_DATOS PAC_SGA'!CC207,"0")+0))</f>
        <v>0</v>
      </c>
      <c r="C212" s="2" t="n">
        <f aca="false">'V_DATOS PAC_SGA'!CD207</f>
        <v>0</v>
      </c>
      <c r="D212" s="1409" t="n">
        <f aca="false">'V_DATOS PAC_SGA'!Y207</f>
        <v>0</v>
      </c>
      <c r="E212" s="1410" t="str">
        <f aca="false">IF('V_DATOS PAC_SGA'!AV207="","Regadio",'V_DATOS PAC_SGA'!AV207)</f>
        <v>Regadio</v>
      </c>
      <c r="F212" s="1411" t="n">
        <f aca="false">'V_DATOS PAC_SGA'!BK207</f>
        <v>0</v>
      </c>
      <c r="G212" s="1412" t="n">
        <f aca="false">'V_DATOS PAC_SGA'!AN207</f>
        <v>0</v>
      </c>
      <c r="H212" s="1413" t="str">
        <f aca="false">IF(B212&gt;0,VLOOKUP(B212,'O_MN, PE_UTA_UGM 2024'!E$3:O$419,10),"")</f>
        <v/>
      </c>
      <c r="I212" s="1359" t="str">
        <f aca="false">IF('V_DATOS PAC_SGA'!BV207="IV",'V_DATOS PAC_SGA'!BV207,"")</f>
        <v/>
      </c>
      <c r="J212" s="2" t="str">
        <f aca="false">IF($A212&gt;0,IF(AND(J$4=$G212,J$6=$F212),$D212*J$5,""),"")</f>
        <v/>
      </c>
      <c r="K212" s="2" t="str">
        <f aca="false">IF($A212&gt;0,IF(AND(K$4=$G212,K$6=$F212),$D212*K$5,""),"")</f>
        <v/>
      </c>
      <c r="L212" s="2" t="str">
        <f aca="false">IF($A212&gt;0,IF(AND(L$4=$G212,L$6=$F212),$D212*L$5,""),"")</f>
        <v/>
      </c>
      <c r="M212" s="2" t="str">
        <f aca="false">IF($A212&gt;0,IF(AND(M$4=$G212,M$6=$F212),$D212*M$5,""),"")</f>
        <v/>
      </c>
      <c r="N212" s="1506" t="n">
        <f aca="false">VLOOKUP(B212,'O_MN, PE_UTA_UGM 2024'!$E$2:$K$419,IF(G212&gt;1,6,7))</f>
        <v>0</v>
      </c>
      <c r="O212" s="1434" t="str">
        <f aca="false">IF($H212=O$4,$D212*$N212,"")</f>
        <v/>
      </c>
      <c r="P212" s="1435" t="str">
        <f aca="false">IF($H212=P$4,$D212*$N212,"")</f>
        <v/>
      </c>
      <c r="Q212" s="1435" t="str">
        <f aca="false">IF($H212=Q$4,$D212*$N212,"")</f>
        <v/>
      </c>
      <c r="R212" s="1435" t="str">
        <f aca="false">IF($H212=R$4,$D212*$N212,"")</f>
        <v/>
      </c>
      <c r="S212" s="1435" t="str">
        <f aca="false">IF($H212=S$4,$D212*$N212,"")</f>
        <v/>
      </c>
      <c r="T212" s="1435" t="str">
        <f aca="false">IF($H212=T$4,$D212*$N212,"")</f>
        <v/>
      </c>
      <c r="U212" s="1436" t="str">
        <f aca="false">IF($H212=U$4,$D212*$N212,"")</f>
        <v/>
      </c>
      <c r="V212" s="1418"/>
      <c r="W212" s="1419"/>
      <c r="X212" s="1419"/>
      <c r="Y212" s="1419"/>
      <c r="Z212" s="1419"/>
      <c r="AA212" s="1419"/>
      <c r="AB212" s="1420"/>
      <c r="AC212" s="1319"/>
      <c r="AD212" s="2" t="str">
        <f aca="false">IF(AND(AD$4=$G212,AD$6=$F212),$B212,"")</f>
        <v/>
      </c>
      <c r="AE212" s="2" t="str">
        <f aca="false">IF(AND(AE$4=$G212,AE$6=$F212),$B212,"")</f>
        <v/>
      </c>
      <c r="AF212" s="2" t="str">
        <f aca="false">IF(AND(AF$4=$G212,AF$6=$F212),$B212,"")</f>
        <v/>
      </c>
      <c r="AG212" s="2" t="str">
        <f aca="false">IF(AND(AG$4=$G212,AG$6=$F212),$B212,"")</f>
        <v/>
      </c>
      <c r="AI212" s="366"/>
      <c r="AL212" s="367"/>
      <c r="AO212" s="367"/>
      <c r="AP212" s="2" t="str">
        <f aca="false">IF(AT212&gt;0,RANK(AT212,AT$7:AT$423),"")</f>
        <v/>
      </c>
      <c r="AQ212" s="2" t="n">
        <f aca="false">'O_MN, PE_UTA_UGM 2024'!C208</f>
        <v>202</v>
      </c>
      <c r="AR212" s="1421" t="n">
        <v>1974</v>
      </c>
      <c r="AS212" s="2" t="str">
        <f aca="false">IF(AY212&lt;&gt;"",AY212,"")</f>
        <v/>
      </c>
      <c r="AT212" s="1422" t="n">
        <f aca="false">IF(ISNUMBER($AR212),SUMIF(B$7:B$505,AR212,D$7:D$505),"")</f>
        <v>0</v>
      </c>
      <c r="AU212" s="1411" t="n">
        <f aca="false">IF(ISNUMBER($AR212),SUMIF(AD$7:AD$503,$AR212,J$7:J$503),"")</f>
        <v>0</v>
      </c>
      <c r="AV212" s="1411" t="n">
        <f aca="false">IF(ISNUMBER($AR212),SUMIF(AF$7:AF$503,$AR212,L$7:L$503),"")</f>
        <v>0</v>
      </c>
      <c r="AW212" s="1423" t="n">
        <f aca="false">IF(ISNUMBER($AR212),SUMIF(AE$7:AE$503,$AR212,K$7:K$503),"")</f>
        <v>0</v>
      </c>
      <c r="AX212" s="1423" t="n">
        <f aca="false">IF(ISNUMBER($AR212),SUMIF(AG$7:AG$503,$AR212,M$7:M$503),"")</f>
        <v>0</v>
      </c>
      <c r="AY212" s="2" t="str">
        <f aca="false">IF($AT212&gt;0,VLOOKUP($AR212,'O_MN, PE_UTA_UGM 2024'!E208:O624,2),"")</f>
        <v/>
      </c>
      <c r="AZ212" s="1507"/>
      <c r="BA212" s="1507"/>
      <c r="BB212" s="1507" t="str">
        <f aca="false">IF($AT212&gt;0,VLOOKUP($AR212,'O_MN, PE_UTA_UGM 2024'!$E$3:$O$419,BB$6),"")</f>
        <v/>
      </c>
      <c r="BC212" s="1507" t="str">
        <f aca="false">IF($AT212&gt;0,VLOOKUP($AR212,'O_MN, PE_UTA_UGM 2024'!$E$3:$O$419,BC$6),"")</f>
        <v/>
      </c>
      <c r="BD212" s="1507" t="str">
        <f aca="false">IF($AT212&gt;0,VLOOKUP($AR212,'O_MN, PE_UTA_UGM 2024'!$E$3:$O$419,BD$6),"")</f>
        <v/>
      </c>
      <c r="BE212" s="1507" t="str">
        <f aca="false">IF($AT212&gt;0,VLOOKUP($AR212,'O_MN, PE_UTA_UGM 2024'!$E$3:$O$419,BE$6),"")</f>
        <v/>
      </c>
      <c r="BF212" s="1507" t="str">
        <f aca="false">IF($AT212&gt;0,VLOOKUP($AR212,'O_MN, PE_UTA_UGM 2024'!$E$3:$O$419,BF$6),"")</f>
        <v/>
      </c>
      <c r="BG212" s="1507" t="str">
        <f aca="false">IF($AT212&gt;0,VLOOKUP($AR212,'O_MN, PE_UTA_UGM 2024'!$E$3:$O$419,BG$6),"")</f>
        <v/>
      </c>
      <c r="BH212" s="1504"/>
      <c r="BI212" s="1504"/>
      <c r="BJ212" s="1504"/>
      <c r="BK212" s="1504"/>
      <c r="BM212" s="1411"/>
      <c r="BN212" s="1411"/>
      <c r="BO212" s="1425" t="str">
        <f aca="false">IF(ISNUMBER($AU212*BB212*1),$AU212*BB212*1,"")</f>
        <v/>
      </c>
      <c r="BP212" s="1425" t="str">
        <f aca="false">IF(ISNUMBER($AV212*BC212*1),$AV212*BC212*1,"")</f>
        <v/>
      </c>
      <c r="BQ212" s="1425" t="str">
        <f aca="false">IF(ISNUMBER($AU212*BD212*1),$AU212*BD212*1,"")</f>
        <v/>
      </c>
      <c r="BR212" s="1425" t="str">
        <f aca="false">IF(ISNUMBER($AV212*BE212*1),$AV212*BE212*1,"")</f>
        <v/>
      </c>
      <c r="BS212" s="1411" t="str">
        <f aca="false">IF(ISNUMBER($AU212*BF212),$AU212*BF212,"")</f>
        <v/>
      </c>
      <c r="BT212" s="1411" t="str">
        <f aca="false">IF(ISNUMBER($AV212*BG212),$AV212*BG212,"")</f>
        <v/>
      </c>
      <c r="BU212" s="1411"/>
      <c r="BV212" s="1411"/>
      <c r="BW212" s="1411"/>
      <c r="BX212" s="1411"/>
      <c r="BZ212" s="1372"/>
      <c r="CA212" s="1372"/>
      <c r="CB212" s="1426" t="str">
        <f aca="false">IF(ISNUMBER($AW212*BB212),$AW212*BB212,"")</f>
        <v/>
      </c>
      <c r="CC212" s="1426" t="str">
        <f aca="false">IF(ISNUMBER($AX212*BC212),$AX212*BC212,"")</f>
        <v/>
      </c>
      <c r="CD212" s="1426" t="str">
        <f aca="false">IF(ISNUMBER($AW212*BD212),$AW212*BD212,"")</f>
        <v/>
      </c>
      <c r="CE212" s="1426" t="str">
        <f aca="false">IF(ISNUMBER($AX212*BE212),$AX212*BE212,"")</f>
        <v/>
      </c>
      <c r="CF212" s="1372" t="str">
        <f aca="false">IF(ISNUMBER($AW212*BF212),$AW212*BF212,"")</f>
        <v/>
      </c>
      <c r="CG212" s="1372" t="str">
        <f aca="false">IF(ISNUMBER($AX212*BG212),$AX212*BG212,"")</f>
        <v/>
      </c>
      <c r="CH212" s="1438"/>
      <c r="CI212" s="1438"/>
      <c r="CJ212" s="1438"/>
      <c r="CK212" s="1438"/>
      <c r="CU212" s="1411"/>
      <c r="CV212" s="1411"/>
      <c r="CW212" s="1425"/>
      <c r="CX212" s="1425"/>
      <c r="CY212" s="1425"/>
      <c r="CZ212" s="1425"/>
      <c r="DA212" s="1411"/>
      <c r="DB212" s="1411"/>
      <c r="DC212" s="1411"/>
      <c r="DD212" s="1411"/>
      <c r="DE212" s="1411"/>
      <c r="DF212" s="1411"/>
      <c r="DH212" s="1432"/>
      <c r="DI212" s="1432"/>
      <c r="DJ212" s="1437"/>
      <c r="DK212" s="1437"/>
      <c r="DL212" s="1437"/>
      <c r="DM212" s="1437"/>
      <c r="DN212" s="1432"/>
      <c r="DO212" s="1432"/>
      <c r="DP212" s="1432"/>
      <c r="DQ212" s="1432"/>
      <c r="DR212" s="1432"/>
      <c r="DS212" s="1432"/>
      <c r="DT212" s="1316"/>
      <c r="DU212" s="1433"/>
      <c r="DV212" s="1433"/>
      <c r="DW212" s="1433"/>
      <c r="DX212" s="1433"/>
      <c r="DY212" s="1433"/>
      <c r="DZ212" s="1433"/>
      <c r="EA212" s="1433"/>
      <c r="EB212" s="1433"/>
    </row>
    <row r="213" customFormat="false" ht="14.25" hidden="false" customHeight="false" outlineLevel="0" collapsed="false">
      <c r="A213" s="2" t="n">
        <f aca="false">'V_DATOS PAC_SGA'!CC208</f>
        <v>0</v>
      </c>
      <c r="B213" s="2" t="n">
        <f aca="false">IF(OR(A213=0,A213=""),0,IF(I213="IV",CONCATENATE('V_DATOS PAC_SGA'!CC208,"4")+0,CONCATENATE('V_DATOS PAC_SGA'!CC208,"0")+0))</f>
        <v>0</v>
      </c>
      <c r="C213" s="2" t="n">
        <f aca="false">'V_DATOS PAC_SGA'!CD208</f>
        <v>0</v>
      </c>
      <c r="D213" s="1409" t="n">
        <f aca="false">'V_DATOS PAC_SGA'!Y208</f>
        <v>0</v>
      </c>
      <c r="E213" s="1410" t="str">
        <f aca="false">IF('V_DATOS PAC_SGA'!AV208="","Regadio",'V_DATOS PAC_SGA'!AV208)</f>
        <v>Regadio</v>
      </c>
      <c r="F213" s="1411" t="n">
        <f aca="false">'V_DATOS PAC_SGA'!BK208</f>
        <v>0</v>
      </c>
      <c r="G213" s="1412" t="n">
        <f aca="false">'V_DATOS PAC_SGA'!AN208</f>
        <v>0</v>
      </c>
      <c r="H213" s="1413" t="str">
        <f aca="false">IF(B213&gt;0,VLOOKUP(B213,'O_MN, PE_UTA_UGM 2024'!E$3:O$419,10),"")</f>
        <v/>
      </c>
      <c r="I213" s="1359" t="str">
        <f aca="false">IF('V_DATOS PAC_SGA'!BV208="IV",'V_DATOS PAC_SGA'!BV208,"")</f>
        <v/>
      </c>
      <c r="J213" s="2" t="str">
        <f aca="false">IF($A213&gt;0,IF(AND(J$4=$G213,J$6=$F213),$D213*J$5,""),"")</f>
        <v/>
      </c>
      <c r="K213" s="2" t="str">
        <f aca="false">IF($A213&gt;0,IF(AND(K$4=$G213,K$6=$F213),$D213*K$5,""),"")</f>
        <v/>
      </c>
      <c r="L213" s="2" t="str">
        <f aca="false">IF($A213&gt;0,IF(AND(L$4=$G213,L$6=$F213),$D213*L$5,""),"")</f>
        <v/>
      </c>
      <c r="M213" s="2" t="str">
        <f aca="false">IF($A213&gt;0,IF(AND(M$4=$G213,M$6=$F213),$D213*M$5,""),"")</f>
        <v/>
      </c>
      <c r="N213" s="1506" t="n">
        <f aca="false">VLOOKUP(B213,'O_MN, PE_UTA_UGM 2024'!$E$2:$K$419,IF(G213&gt;1,6,7))</f>
        <v>0</v>
      </c>
      <c r="O213" s="1434" t="str">
        <f aca="false">IF($H213=O$4,$D213*$N213,"")</f>
        <v/>
      </c>
      <c r="P213" s="1435" t="str">
        <f aca="false">IF($H213=P$4,$D213*$N213,"")</f>
        <v/>
      </c>
      <c r="Q213" s="1435" t="str">
        <f aca="false">IF($H213=Q$4,$D213*$N213,"")</f>
        <v/>
      </c>
      <c r="R213" s="1435" t="str">
        <f aca="false">IF($H213=R$4,$D213*$N213,"")</f>
        <v/>
      </c>
      <c r="S213" s="1435" t="str">
        <f aca="false">IF($H213=S$4,$D213*$N213,"")</f>
        <v/>
      </c>
      <c r="T213" s="1435" t="str">
        <f aca="false">IF($H213=T$4,$D213*$N213,"")</f>
        <v/>
      </c>
      <c r="U213" s="1436" t="str">
        <f aca="false">IF($H213=U$4,$D213*$N213,"")</f>
        <v/>
      </c>
      <c r="V213" s="1418"/>
      <c r="W213" s="1419"/>
      <c r="X213" s="1419"/>
      <c r="Y213" s="1419"/>
      <c r="Z213" s="1419"/>
      <c r="AA213" s="1419"/>
      <c r="AB213" s="1420"/>
      <c r="AC213" s="1319"/>
      <c r="AD213" s="2" t="str">
        <f aca="false">IF(AND(AD$4=$G213,AD$6=$F213),$B213,"")</f>
        <v/>
      </c>
      <c r="AE213" s="2" t="str">
        <f aca="false">IF(AND(AE$4=$G213,AE$6=$F213),$B213,"")</f>
        <v/>
      </c>
      <c r="AF213" s="2" t="str">
        <f aca="false">IF(AND(AF$4=$G213,AF$6=$F213),$B213,"")</f>
        <v/>
      </c>
      <c r="AG213" s="2" t="str">
        <f aca="false">IF(AND(AG$4=$G213,AG$6=$F213),$B213,"")</f>
        <v/>
      </c>
      <c r="AI213" s="366"/>
      <c r="AL213" s="367"/>
      <c r="AO213" s="367"/>
      <c r="AP213" s="2" t="str">
        <f aca="false">IF(AT213&gt;0,RANK(AT213,AT$7:AT$423),"")</f>
        <v/>
      </c>
      <c r="AQ213" s="2" t="n">
        <f aca="false">'O_MN, PE_UTA_UGM 2024'!C209</f>
        <v>203</v>
      </c>
      <c r="AR213" s="1421" t="n">
        <v>1979</v>
      </c>
      <c r="AS213" s="2" t="str">
        <f aca="false">IF(AY213&lt;&gt;"",AY213,"")</f>
        <v/>
      </c>
      <c r="AT213" s="1422" t="n">
        <f aca="false">IF(ISNUMBER($AR213),SUMIF(B$7:B$505,AR213,D$7:D$505),"")</f>
        <v>0</v>
      </c>
      <c r="AU213" s="1411" t="n">
        <f aca="false">IF(ISNUMBER($AR213),SUMIF(AD$7:AD$503,$AR213,J$7:J$503),"")</f>
        <v>0</v>
      </c>
      <c r="AV213" s="1411" t="n">
        <f aca="false">IF(ISNUMBER($AR213),SUMIF(AF$7:AF$503,$AR213,L$7:L$503),"")</f>
        <v>0</v>
      </c>
      <c r="AW213" s="1423" t="n">
        <f aca="false">IF(ISNUMBER($AR213),SUMIF(AE$7:AE$503,$AR213,K$7:K$503),"")</f>
        <v>0</v>
      </c>
      <c r="AX213" s="1423" t="n">
        <f aca="false">IF(ISNUMBER($AR213),SUMIF(AG$7:AG$503,$AR213,M$7:M$503),"")</f>
        <v>0</v>
      </c>
      <c r="AY213" s="2" t="str">
        <f aca="false">IF($AT213&gt;0,VLOOKUP($AR213,'O_MN, PE_UTA_UGM 2024'!E209:O625,2),"")</f>
        <v/>
      </c>
      <c r="AZ213" s="1507"/>
      <c r="BA213" s="1507"/>
      <c r="BB213" s="1507" t="str">
        <f aca="false">IF($AT213&gt;0,VLOOKUP($AR213,'O_MN, PE_UTA_UGM 2024'!$E$3:$O$419,BB$6),"")</f>
        <v/>
      </c>
      <c r="BC213" s="1507" t="str">
        <f aca="false">IF($AT213&gt;0,VLOOKUP($AR213,'O_MN, PE_UTA_UGM 2024'!$E$3:$O$419,BC$6),"")</f>
        <v/>
      </c>
      <c r="BD213" s="1507" t="str">
        <f aca="false">IF($AT213&gt;0,VLOOKUP($AR213,'O_MN, PE_UTA_UGM 2024'!$E$3:$O$419,BD$6),"")</f>
        <v/>
      </c>
      <c r="BE213" s="1507" t="str">
        <f aca="false">IF($AT213&gt;0,VLOOKUP($AR213,'O_MN, PE_UTA_UGM 2024'!$E$3:$O$419,BE$6),"")</f>
        <v/>
      </c>
      <c r="BF213" s="1507" t="str">
        <f aca="false">IF($AT213&gt;0,VLOOKUP($AR213,'O_MN, PE_UTA_UGM 2024'!$E$3:$O$419,BF$6),"")</f>
        <v/>
      </c>
      <c r="BG213" s="1507" t="str">
        <f aca="false">IF($AT213&gt;0,VLOOKUP($AR213,'O_MN, PE_UTA_UGM 2024'!$E$3:$O$419,BG$6),"")</f>
        <v/>
      </c>
      <c r="BH213" s="1504"/>
      <c r="BI213" s="1504"/>
      <c r="BJ213" s="1504"/>
      <c r="BK213" s="1504"/>
      <c r="BM213" s="1411"/>
      <c r="BN213" s="1411"/>
      <c r="BO213" s="1425" t="str">
        <f aca="false">IF(ISNUMBER($AU213*BB213*1),$AU213*BB213*1,"")</f>
        <v/>
      </c>
      <c r="BP213" s="1425" t="str">
        <f aca="false">IF(ISNUMBER($AV213*BC213*1),$AV213*BC213*1,"")</f>
        <v/>
      </c>
      <c r="BQ213" s="1425" t="str">
        <f aca="false">IF(ISNUMBER($AU213*BD213*1),$AU213*BD213*1,"")</f>
        <v/>
      </c>
      <c r="BR213" s="1425" t="str">
        <f aca="false">IF(ISNUMBER($AV213*BE213*1),$AV213*BE213*1,"")</f>
        <v/>
      </c>
      <c r="BS213" s="1411" t="str">
        <f aca="false">IF(ISNUMBER($AU213*BF213),$AU213*BF213,"")</f>
        <v/>
      </c>
      <c r="BT213" s="1411" t="str">
        <f aca="false">IF(ISNUMBER($AV213*BG213),$AV213*BG213,"")</f>
        <v/>
      </c>
      <c r="BU213" s="1411"/>
      <c r="BV213" s="1411"/>
      <c r="BW213" s="1411"/>
      <c r="BX213" s="1411"/>
      <c r="BZ213" s="1372"/>
      <c r="CA213" s="1372"/>
      <c r="CB213" s="1426" t="str">
        <f aca="false">IF(ISNUMBER($AW213*BB213),$AW213*BB213,"")</f>
        <v/>
      </c>
      <c r="CC213" s="1426" t="str">
        <f aca="false">IF(ISNUMBER($AX213*BC213),$AX213*BC213,"")</f>
        <v/>
      </c>
      <c r="CD213" s="1426" t="str">
        <f aca="false">IF(ISNUMBER($AW213*BD213),$AW213*BD213,"")</f>
        <v/>
      </c>
      <c r="CE213" s="1426" t="str">
        <f aca="false">IF(ISNUMBER($AX213*BE213),$AX213*BE213,"")</f>
        <v/>
      </c>
      <c r="CF213" s="1372" t="str">
        <f aca="false">IF(ISNUMBER($AW213*BF213),$AW213*BF213,"")</f>
        <v/>
      </c>
      <c r="CG213" s="1372" t="str">
        <f aca="false">IF(ISNUMBER($AX213*BG213),$AX213*BG213,"")</f>
        <v/>
      </c>
      <c r="CH213" s="1438"/>
      <c r="CI213" s="1438"/>
      <c r="CJ213" s="1438"/>
      <c r="CK213" s="1438"/>
      <c r="CU213" s="1411"/>
      <c r="CV213" s="1411"/>
      <c r="CW213" s="1425"/>
      <c r="CX213" s="1425"/>
      <c r="CY213" s="1425"/>
      <c r="CZ213" s="1425"/>
      <c r="DA213" s="1411"/>
      <c r="DB213" s="1411"/>
      <c r="DC213" s="1411"/>
      <c r="DD213" s="1411"/>
      <c r="DE213" s="1411"/>
      <c r="DF213" s="1411"/>
      <c r="DH213" s="1432"/>
      <c r="DI213" s="1432"/>
      <c r="DJ213" s="1437"/>
      <c r="DK213" s="1437"/>
      <c r="DL213" s="1437"/>
      <c r="DM213" s="1437"/>
      <c r="DN213" s="1432"/>
      <c r="DO213" s="1432"/>
      <c r="DP213" s="1432"/>
      <c r="DQ213" s="1432"/>
      <c r="DR213" s="1432"/>
      <c r="DS213" s="1432"/>
      <c r="DT213" s="1316"/>
      <c r="DU213" s="1433"/>
      <c r="DV213" s="1433"/>
      <c r="DW213" s="1433"/>
      <c r="DX213" s="1433"/>
      <c r="DY213" s="1433"/>
      <c r="DZ213" s="1433"/>
      <c r="EA213" s="1433"/>
      <c r="EB213" s="1433"/>
    </row>
    <row r="214" customFormat="false" ht="14.25" hidden="false" customHeight="false" outlineLevel="0" collapsed="false">
      <c r="A214" s="2" t="n">
        <f aca="false">'V_DATOS PAC_SGA'!CC209</f>
        <v>0</v>
      </c>
      <c r="B214" s="2" t="n">
        <f aca="false">IF(OR(A214=0,A214=""),0,IF(I214="IV",CONCATENATE('V_DATOS PAC_SGA'!CC209,"4")+0,CONCATENATE('V_DATOS PAC_SGA'!CC209,"0")+0))</f>
        <v>0</v>
      </c>
      <c r="C214" s="2" t="n">
        <f aca="false">'V_DATOS PAC_SGA'!CD209</f>
        <v>0</v>
      </c>
      <c r="D214" s="1409" t="n">
        <f aca="false">'V_DATOS PAC_SGA'!Y209</f>
        <v>0</v>
      </c>
      <c r="E214" s="1410" t="str">
        <f aca="false">IF('V_DATOS PAC_SGA'!AV209="","Regadio",'V_DATOS PAC_SGA'!AV209)</f>
        <v>Regadio</v>
      </c>
      <c r="F214" s="1411" t="n">
        <f aca="false">'V_DATOS PAC_SGA'!BK209</f>
        <v>0</v>
      </c>
      <c r="G214" s="1412" t="n">
        <f aca="false">'V_DATOS PAC_SGA'!AN209</f>
        <v>0</v>
      </c>
      <c r="H214" s="1413" t="str">
        <f aca="false">IF(B214&gt;0,VLOOKUP(B214,'O_MN, PE_UTA_UGM 2024'!E$3:O$419,10),"")</f>
        <v/>
      </c>
      <c r="I214" s="1359" t="str">
        <f aca="false">IF('V_DATOS PAC_SGA'!BV209="IV",'V_DATOS PAC_SGA'!BV209,"")</f>
        <v/>
      </c>
      <c r="J214" s="2" t="str">
        <f aca="false">IF($A214&gt;0,IF(AND(J$4=$G214,J$6=$F214),$D214*J$5,""),"")</f>
        <v/>
      </c>
      <c r="K214" s="2" t="str">
        <f aca="false">IF($A214&gt;0,IF(AND(K$4=$G214,K$6=$F214),$D214*K$5,""),"")</f>
        <v/>
      </c>
      <c r="L214" s="2" t="str">
        <f aca="false">IF($A214&gt;0,IF(AND(L$4=$G214,L$6=$F214),$D214*L$5,""),"")</f>
        <v/>
      </c>
      <c r="M214" s="2" t="str">
        <f aca="false">IF($A214&gt;0,IF(AND(M$4=$G214,M$6=$F214),$D214*M$5,""),"")</f>
        <v/>
      </c>
      <c r="N214" s="1506" t="n">
        <f aca="false">VLOOKUP(B214,'O_MN, PE_UTA_UGM 2024'!$E$2:$K$419,IF(G214&gt;1,6,7))</f>
        <v>0</v>
      </c>
      <c r="O214" s="1434" t="str">
        <f aca="false">IF($H214=O$4,$D214*$N214,"")</f>
        <v/>
      </c>
      <c r="P214" s="1435" t="str">
        <f aca="false">IF($H214=P$4,$D214*$N214,"")</f>
        <v/>
      </c>
      <c r="Q214" s="1435" t="str">
        <f aca="false">IF($H214=Q$4,$D214*$N214,"")</f>
        <v/>
      </c>
      <c r="R214" s="1435" t="str">
        <f aca="false">IF($H214=R$4,$D214*$N214,"")</f>
        <v/>
      </c>
      <c r="S214" s="1435" t="str">
        <f aca="false">IF($H214=S$4,$D214*$N214,"")</f>
        <v/>
      </c>
      <c r="T214" s="1435" t="str">
        <f aca="false">IF($H214=T$4,$D214*$N214,"")</f>
        <v/>
      </c>
      <c r="U214" s="1436" t="str">
        <f aca="false">IF($H214=U$4,$D214*$N214,"")</f>
        <v/>
      </c>
      <c r="V214" s="1418"/>
      <c r="W214" s="1419"/>
      <c r="X214" s="1419"/>
      <c r="Y214" s="1419"/>
      <c r="Z214" s="1419"/>
      <c r="AA214" s="1419"/>
      <c r="AB214" s="1420"/>
      <c r="AC214" s="1319"/>
      <c r="AD214" s="2" t="str">
        <f aca="false">IF(AND(AD$4=$G214,AD$6=$F214),$B214,"")</f>
        <v/>
      </c>
      <c r="AE214" s="2" t="str">
        <f aca="false">IF(AND(AE$4=$G214,AE$6=$F214),$B214,"")</f>
        <v/>
      </c>
      <c r="AF214" s="2" t="str">
        <f aca="false">IF(AND(AF$4=$G214,AF$6=$F214),$B214,"")</f>
        <v/>
      </c>
      <c r="AG214" s="2" t="str">
        <f aca="false">IF(AND(AG$4=$G214,AG$6=$F214),$B214,"")</f>
        <v/>
      </c>
      <c r="AI214" s="366"/>
      <c r="AL214" s="367"/>
      <c r="AO214" s="367"/>
      <c r="AP214" s="2" t="str">
        <f aca="false">IF(AT214&gt;0,RANK(AT214,AT$7:AT$423),"")</f>
        <v/>
      </c>
      <c r="AQ214" s="2" t="n">
        <f aca="false">'O_MN, PE_UTA_UGM 2024'!C210</f>
        <v>204</v>
      </c>
      <c r="AR214" s="1421" t="n">
        <v>2000</v>
      </c>
      <c r="AS214" s="2" t="str">
        <f aca="false">IF(AY214&lt;&gt;"",AY214,"")</f>
        <v/>
      </c>
      <c r="AT214" s="1422" t="n">
        <f aca="false">IF(ISNUMBER($AR214),SUMIF(B$7:B$505,AR214,D$7:D$505),"")</f>
        <v>0</v>
      </c>
      <c r="AU214" s="1411" t="n">
        <f aca="false">IF(ISNUMBER($AR214),SUMIF(AD$7:AD$503,$AR214,J$7:J$503),"")</f>
        <v>0</v>
      </c>
      <c r="AV214" s="1411" t="n">
        <f aca="false">IF(ISNUMBER($AR214),SUMIF(AF$7:AF$503,$AR214,L$7:L$503),"")</f>
        <v>0</v>
      </c>
      <c r="AW214" s="1423" t="n">
        <f aca="false">IF(ISNUMBER($AR214),SUMIF(AE$7:AE$503,$AR214,K$7:K$503),"")</f>
        <v>0</v>
      </c>
      <c r="AX214" s="1423" t="n">
        <f aca="false">IF(ISNUMBER($AR214),SUMIF(AG$7:AG$503,$AR214,M$7:M$503),"")</f>
        <v>0</v>
      </c>
      <c r="AY214" s="2" t="str">
        <f aca="false">IF($AT214&gt;0,VLOOKUP($AR214,'O_MN, PE_UTA_UGM 2024'!E210:O626,2),"")</f>
        <v/>
      </c>
      <c r="AZ214" s="1507"/>
      <c r="BA214" s="1507"/>
      <c r="BB214" s="1507" t="str">
        <f aca="false">IF($AT214&gt;0,VLOOKUP($AR214,'O_MN, PE_UTA_UGM 2024'!$E$3:$O$419,BB$6),"")</f>
        <v/>
      </c>
      <c r="BC214" s="1507" t="str">
        <f aca="false">IF($AT214&gt;0,VLOOKUP($AR214,'O_MN, PE_UTA_UGM 2024'!$E$3:$O$419,BC$6),"")</f>
        <v/>
      </c>
      <c r="BD214" s="1507" t="str">
        <f aca="false">IF($AT214&gt;0,VLOOKUP($AR214,'O_MN, PE_UTA_UGM 2024'!$E$3:$O$419,BD$6),"")</f>
        <v/>
      </c>
      <c r="BE214" s="1507" t="str">
        <f aca="false">IF($AT214&gt;0,VLOOKUP($AR214,'O_MN, PE_UTA_UGM 2024'!$E$3:$O$419,BE$6),"")</f>
        <v/>
      </c>
      <c r="BF214" s="1507" t="str">
        <f aca="false">IF($AT214&gt;0,VLOOKUP($AR214,'O_MN, PE_UTA_UGM 2024'!$E$3:$O$419,BF$6),"")</f>
        <v/>
      </c>
      <c r="BG214" s="1507" t="str">
        <f aca="false">IF($AT214&gt;0,VLOOKUP($AR214,'O_MN, PE_UTA_UGM 2024'!$E$3:$O$419,BG$6),"")</f>
        <v/>
      </c>
      <c r="BH214" s="1504"/>
      <c r="BI214" s="1504"/>
      <c r="BJ214" s="1504"/>
      <c r="BK214" s="1504"/>
      <c r="BM214" s="1411"/>
      <c r="BN214" s="1411"/>
      <c r="BO214" s="1425" t="str">
        <f aca="false">IF(ISNUMBER($AU214*BB214*1),$AU214*BB214*1,"")</f>
        <v/>
      </c>
      <c r="BP214" s="1425" t="str">
        <f aca="false">IF(ISNUMBER($AV214*BC214*1),$AV214*BC214*1,"")</f>
        <v/>
      </c>
      <c r="BQ214" s="1425" t="str">
        <f aca="false">IF(ISNUMBER($AU214*BD214*1),$AU214*BD214*1,"")</f>
        <v/>
      </c>
      <c r="BR214" s="1425" t="str">
        <f aca="false">IF(ISNUMBER($AV214*BE214*1),$AV214*BE214*1,"")</f>
        <v/>
      </c>
      <c r="BS214" s="1411" t="str">
        <f aca="false">IF(ISNUMBER($AU214*BF214),$AU214*BF214,"")</f>
        <v/>
      </c>
      <c r="BT214" s="1411" t="str">
        <f aca="false">IF(ISNUMBER($AV214*BG214),$AV214*BG214,"")</f>
        <v/>
      </c>
      <c r="BU214" s="1411"/>
      <c r="BV214" s="1411"/>
      <c r="BW214" s="1411"/>
      <c r="BX214" s="1411"/>
      <c r="BZ214" s="1372"/>
      <c r="CA214" s="1372"/>
      <c r="CB214" s="1426" t="str">
        <f aca="false">IF(ISNUMBER($AW214*BB214),$AW214*BB214,"")</f>
        <v/>
      </c>
      <c r="CC214" s="1426" t="str">
        <f aca="false">IF(ISNUMBER($AX214*BC214),$AX214*BC214,"")</f>
        <v/>
      </c>
      <c r="CD214" s="1426" t="str">
        <f aca="false">IF(ISNUMBER($AW214*BD214),$AW214*BD214,"")</f>
        <v/>
      </c>
      <c r="CE214" s="1426" t="str">
        <f aca="false">IF(ISNUMBER($AX214*BE214),$AX214*BE214,"")</f>
        <v/>
      </c>
      <c r="CF214" s="1372" t="str">
        <f aca="false">IF(ISNUMBER($AW214*BF214),$AW214*BF214,"")</f>
        <v/>
      </c>
      <c r="CG214" s="1372" t="str">
        <f aca="false">IF(ISNUMBER($AX214*BG214),$AX214*BG214,"")</f>
        <v/>
      </c>
      <c r="CH214" s="1438"/>
      <c r="CI214" s="1438"/>
      <c r="CJ214" s="1438"/>
      <c r="CK214" s="1438"/>
      <c r="CU214" s="1411"/>
      <c r="CV214" s="1411"/>
      <c r="CW214" s="1425"/>
      <c r="CX214" s="1425"/>
      <c r="CY214" s="1425"/>
      <c r="CZ214" s="1425"/>
      <c r="DA214" s="1411"/>
      <c r="DB214" s="1411"/>
      <c r="DC214" s="1411"/>
      <c r="DD214" s="1411"/>
      <c r="DE214" s="1411"/>
      <c r="DF214" s="1411"/>
      <c r="DH214" s="1432"/>
      <c r="DI214" s="1432"/>
      <c r="DJ214" s="1437"/>
      <c r="DK214" s="1437"/>
      <c r="DL214" s="1437"/>
      <c r="DM214" s="1437"/>
      <c r="DN214" s="1432"/>
      <c r="DO214" s="1432"/>
      <c r="DP214" s="1432"/>
      <c r="DQ214" s="1432"/>
      <c r="DR214" s="1432"/>
      <c r="DS214" s="1432"/>
      <c r="DT214" s="1316"/>
      <c r="DU214" s="1433"/>
      <c r="DV214" s="1433"/>
      <c r="DW214" s="1433"/>
      <c r="DX214" s="1433"/>
      <c r="DY214" s="1433"/>
      <c r="DZ214" s="1433"/>
      <c r="EA214" s="1433"/>
      <c r="EB214" s="1433"/>
    </row>
    <row r="215" customFormat="false" ht="14.25" hidden="false" customHeight="false" outlineLevel="0" collapsed="false">
      <c r="A215" s="2" t="n">
        <f aca="false">'V_DATOS PAC_SGA'!CC210</f>
        <v>0</v>
      </c>
      <c r="B215" s="2" t="n">
        <f aca="false">IF(OR(A215=0,A215=""),0,IF(I215="IV",CONCATENATE('V_DATOS PAC_SGA'!CC210,"4")+0,CONCATENATE('V_DATOS PAC_SGA'!CC210,"0")+0))</f>
        <v>0</v>
      </c>
      <c r="C215" s="2" t="n">
        <f aca="false">'V_DATOS PAC_SGA'!CD210</f>
        <v>0</v>
      </c>
      <c r="D215" s="1409" t="n">
        <f aca="false">'V_DATOS PAC_SGA'!Y210</f>
        <v>0</v>
      </c>
      <c r="E215" s="1410" t="str">
        <f aca="false">IF('V_DATOS PAC_SGA'!AV210="","Regadio",'V_DATOS PAC_SGA'!AV210)</f>
        <v>Regadio</v>
      </c>
      <c r="F215" s="1411" t="n">
        <f aca="false">'V_DATOS PAC_SGA'!BK210</f>
        <v>0</v>
      </c>
      <c r="G215" s="1412" t="n">
        <f aca="false">'V_DATOS PAC_SGA'!AN210</f>
        <v>0</v>
      </c>
      <c r="H215" s="1413" t="str">
        <f aca="false">IF(B215&gt;0,VLOOKUP(B215,'O_MN, PE_UTA_UGM 2024'!E$3:O$419,10),"")</f>
        <v/>
      </c>
      <c r="I215" s="1359" t="str">
        <f aca="false">IF('V_DATOS PAC_SGA'!BV210="IV",'V_DATOS PAC_SGA'!BV210,"")</f>
        <v/>
      </c>
      <c r="J215" s="2" t="str">
        <f aca="false">IF($A215&gt;0,IF(AND(J$4=$G215,J$6=$F215),$D215*J$5,""),"")</f>
        <v/>
      </c>
      <c r="K215" s="2" t="str">
        <f aca="false">IF($A215&gt;0,IF(AND(K$4=$G215,K$6=$F215),$D215*K$5,""),"")</f>
        <v/>
      </c>
      <c r="L215" s="2" t="str">
        <f aca="false">IF($A215&gt;0,IF(AND(L$4=$G215,L$6=$F215),$D215*L$5,""),"")</f>
        <v/>
      </c>
      <c r="M215" s="2" t="str">
        <f aca="false">IF($A215&gt;0,IF(AND(M$4=$G215,M$6=$F215),$D215*M$5,""),"")</f>
        <v/>
      </c>
      <c r="N215" s="1506" t="n">
        <f aca="false">VLOOKUP(B215,'O_MN, PE_UTA_UGM 2024'!$E$2:$K$419,IF(G215&gt;1,6,7))</f>
        <v>0</v>
      </c>
      <c r="O215" s="1434" t="str">
        <f aca="false">IF($H215=O$4,$D215*$N215,"")</f>
        <v/>
      </c>
      <c r="P215" s="1435" t="str">
        <f aca="false">IF($H215=P$4,$D215*$N215,"")</f>
        <v/>
      </c>
      <c r="Q215" s="1435" t="str">
        <f aca="false">IF($H215=Q$4,$D215*$N215,"")</f>
        <v/>
      </c>
      <c r="R215" s="1435" t="str">
        <f aca="false">IF($H215=R$4,$D215*$N215,"")</f>
        <v/>
      </c>
      <c r="S215" s="1435" t="str">
        <f aca="false">IF($H215=S$4,$D215*$N215,"")</f>
        <v/>
      </c>
      <c r="T215" s="1435" t="str">
        <f aca="false">IF($H215=T$4,$D215*$N215,"")</f>
        <v/>
      </c>
      <c r="U215" s="1436" t="str">
        <f aca="false">IF($H215=U$4,$D215*$N215,"")</f>
        <v/>
      </c>
      <c r="V215" s="1418"/>
      <c r="W215" s="1419"/>
      <c r="X215" s="1419"/>
      <c r="Y215" s="1419"/>
      <c r="Z215" s="1419"/>
      <c r="AA215" s="1419"/>
      <c r="AB215" s="1420"/>
      <c r="AC215" s="1319"/>
      <c r="AD215" s="2" t="str">
        <f aca="false">IF(AND(AD$4=$G215,AD$6=$F215),$B215,"")</f>
        <v/>
      </c>
      <c r="AE215" s="2" t="str">
        <f aca="false">IF(AND(AE$4=$G215,AE$6=$F215),$B215,"")</f>
        <v/>
      </c>
      <c r="AF215" s="2" t="str">
        <f aca="false">IF(AND(AF$4=$G215,AF$6=$F215),$B215,"")</f>
        <v/>
      </c>
      <c r="AG215" s="2" t="str">
        <f aca="false">IF(AND(AG$4=$G215,AG$6=$F215),$B215,"")</f>
        <v/>
      </c>
      <c r="AI215" s="366"/>
      <c r="AL215" s="367"/>
      <c r="AO215" s="367"/>
      <c r="AP215" s="2" t="str">
        <f aca="false">IF(AT215&gt;0,RANK(AT215,AT$7:AT$423),"")</f>
        <v/>
      </c>
      <c r="AQ215" s="2" t="n">
        <f aca="false">'O_MN, PE_UTA_UGM 2024'!C211</f>
        <v>205</v>
      </c>
      <c r="AR215" s="1421" t="n">
        <v>2010</v>
      </c>
      <c r="AS215" s="2" t="str">
        <f aca="false">IF(AY215&lt;&gt;"",AY215,"")</f>
        <v/>
      </c>
      <c r="AT215" s="1422" t="n">
        <f aca="false">IF(ISNUMBER($AR215),SUMIF(B$7:B$505,AR215,D$7:D$505),"")</f>
        <v>0</v>
      </c>
      <c r="AU215" s="1411" t="n">
        <f aca="false">IF(ISNUMBER($AR215),SUMIF(AD$7:AD$503,$AR215,J$7:J$503),"")</f>
        <v>0</v>
      </c>
      <c r="AV215" s="1411" t="n">
        <f aca="false">IF(ISNUMBER($AR215),SUMIF(AF$7:AF$503,$AR215,L$7:L$503),"")</f>
        <v>0</v>
      </c>
      <c r="AW215" s="1423" t="n">
        <f aca="false">IF(ISNUMBER($AR215),SUMIF(AE$7:AE$503,$AR215,K$7:K$503),"")</f>
        <v>0</v>
      </c>
      <c r="AX215" s="1423" t="n">
        <f aca="false">IF(ISNUMBER($AR215),SUMIF(AG$7:AG$503,$AR215,M$7:M$503),"")</f>
        <v>0</v>
      </c>
      <c r="AY215" s="2" t="str">
        <f aca="false">IF($AT215&gt;0,VLOOKUP($AR215,'O_MN, PE_UTA_UGM 2024'!E211:O627,2),"")</f>
        <v/>
      </c>
      <c r="AZ215" s="1507"/>
      <c r="BA215" s="1507"/>
      <c r="BB215" s="1507" t="str">
        <f aca="false">IF($AT215&gt;0,VLOOKUP($AR215,'O_MN, PE_UTA_UGM 2024'!$E$3:$O$419,BB$6),"")</f>
        <v/>
      </c>
      <c r="BC215" s="1507" t="str">
        <f aca="false">IF($AT215&gt;0,VLOOKUP($AR215,'O_MN, PE_UTA_UGM 2024'!$E$3:$O$419,BC$6),"")</f>
        <v/>
      </c>
      <c r="BD215" s="1507" t="str">
        <f aca="false">IF($AT215&gt;0,VLOOKUP($AR215,'O_MN, PE_UTA_UGM 2024'!$E$3:$O$419,BD$6),"")</f>
        <v/>
      </c>
      <c r="BE215" s="1507" t="str">
        <f aca="false">IF($AT215&gt;0,VLOOKUP($AR215,'O_MN, PE_UTA_UGM 2024'!$E$3:$O$419,BE$6),"")</f>
        <v/>
      </c>
      <c r="BF215" s="1507" t="str">
        <f aca="false">IF($AT215&gt;0,VLOOKUP($AR215,'O_MN, PE_UTA_UGM 2024'!$E$3:$O$419,BF$6),"")</f>
        <v/>
      </c>
      <c r="BG215" s="1507" t="str">
        <f aca="false">IF($AT215&gt;0,VLOOKUP($AR215,'O_MN, PE_UTA_UGM 2024'!$E$3:$O$419,BG$6),"")</f>
        <v/>
      </c>
      <c r="BH215" s="1504"/>
      <c r="BI215" s="1504"/>
      <c r="BJ215" s="1504"/>
      <c r="BK215" s="1504"/>
      <c r="BM215" s="1411"/>
      <c r="BN215" s="1411"/>
      <c r="BO215" s="1425" t="str">
        <f aca="false">IF(ISNUMBER($AU215*BB215*1),$AU215*BB215*1,"")</f>
        <v/>
      </c>
      <c r="BP215" s="1425" t="str">
        <f aca="false">IF(ISNUMBER($AV215*BC215*1),$AV215*BC215*1,"")</f>
        <v/>
      </c>
      <c r="BQ215" s="1425" t="str">
        <f aca="false">IF(ISNUMBER($AU215*BD215*1),$AU215*BD215*1,"")</f>
        <v/>
      </c>
      <c r="BR215" s="1425" t="str">
        <f aca="false">IF(ISNUMBER($AV215*BE215*1),$AV215*BE215*1,"")</f>
        <v/>
      </c>
      <c r="BS215" s="1411" t="str">
        <f aca="false">IF(ISNUMBER($AU215*BF215),$AU215*BF215,"")</f>
        <v/>
      </c>
      <c r="BT215" s="1411" t="str">
        <f aca="false">IF(ISNUMBER($AV215*BG215),$AV215*BG215,"")</f>
        <v/>
      </c>
      <c r="BU215" s="1411"/>
      <c r="BV215" s="1411"/>
      <c r="BW215" s="1411"/>
      <c r="BX215" s="1411"/>
      <c r="BZ215" s="1372"/>
      <c r="CA215" s="1372"/>
      <c r="CB215" s="1426" t="str">
        <f aca="false">IF(ISNUMBER($AW215*BB215),$AW215*BB215,"")</f>
        <v/>
      </c>
      <c r="CC215" s="1426" t="str">
        <f aca="false">IF(ISNUMBER($AX215*BC215),$AX215*BC215,"")</f>
        <v/>
      </c>
      <c r="CD215" s="1426" t="str">
        <f aca="false">IF(ISNUMBER($AW215*BD215),$AW215*BD215,"")</f>
        <v/>
      </c>
      <c r="CE215" s="1426" t="str">
        <f aca="false">IF(ISNUMBER($AX215*BE215),$AX215*BE215,"")</f>
        <v/>
      </c>
      <c r="CF215" s="1372" t="str">
        <f aca="false">IF(ISNUMBER($AW215*BF215),$AW215*BF215,"")</f>
        <v/>
      </c>
      <c r="CG215" s="1372" t="str">
        <f aca="false">IF(ISNUMBER($AX215*BG215),$AX215*BG215,"")</f>
        <v/>
      </c>
      <c r="CH215" s="1438"/>
      <c r="CI215" s="1438"/>
      <c r="CJ215" s="1438"/>
      <c r="CK215" s="1438"/>
      <c r="CU215" s="1411"/>
      <c r="CV215" s="1411"/>
      <c r="CW215" s="1425"/>
      <c r="CX215" s="1425"/>
      <c r="CY215" s="1425"/>
      <c r="CZ215" s="1425"/>
      <c r="DA215" s="1411"/>
      <c r="DB215" s="1411"/>
      <c r="DC215" s="1411"/>
      <c r="DD215" s="1411"/>
      <c r="DE215" s="1411"/>
      <c r="DF215" s="1411"/>
      <c r="DH215" s="1432"/>
      <c r="DI215" s="1432"/>
      <c r="DJ215" s="1437"/>
      <c r="DK215" s="1437"/>
      <c r="DL215" s="1437"/>
      <c r="DM215" s="1437"/>
      <c r="DN215" s="1432"/>
      <c r="DO215" s="1432"/>
      <c r="DP215" s="1432"/>
      <c r="DQ215" s="1432"/>
      <c r="DR215" s="1432"/>
      <c r="DS215" s="1432"/>
      <c r="DT215" s="1316"/>
      <c r="DU215" s="1433"/>
      <c r="DV215" s="1433"/>
      <c r="DW215" s="1433"/>
      <c r="DX215" s="1433"/>
      <c r="DY215" s="1433"/>
      <c r="DZ215" s="1433"/>
      <c r="EA215" s="1433"/>
      <c r="EB215" s="1433"/>
    </row>
    <row r="216" customFormat="false" ht="14.25" hidden="false" customHeight="false" outlineLevel="0" collapsed="false">
      <c r="A216" s="2" t="n">
        <f aca="false">'V_DATOS PAC_SGA'!CC211</f>
        <v>0</v>
      </c>
      <c r="B216" s="2" t="n">
        <f aca="false">IF(OR(A216=0,A216=""),0,IF(I216="IV",CONCATENATE('V_DATOS PAC_SGA'!CC211,"4")+0,CONCATENATE('V_DATOS PAC_SGA'!CC211,"0")+0))</f>
        <v>0</v>
      </c>
      <c r="C216" s="2" t="n">
        <f aca="false">'V_DATOS PAC_SGA'!CD211</f>
        <v>0</v>
      </c>
      <c r="D216" s="1409" t="n">
        <f aca="false">'V_DATOS PAC_SGA'!Y211</f>
        <v>0</v>
      </c>
      <c r="E216" s="1410" t="str">
        <f aca="false">IF('V_DATOS PAC_SGA'!AV211="","Regadio",'V_DATOS PAC_SGA'!AV211)</f>
        <v>Regadio</v>
      </c>
      <c r="F216" s="1411" t="n">
        <f aca="false">'V_DATOS PAC_SGA'!BK211</f>
        <v>0</v>
      </c>
      <c r="G216" s="1412" t="n">
        <f aca="false">'V_DATOS PAC_SGA'!AN211</f>
        <v>0</v>
      </c>
      <c r="H216" s="1413" t="str">
        <f aca="false">IF(B216&gt;0,VLOOKUP(B216,'O_MN, PE_UTA_UGM 2024'!E$3:O$419,10),"")</f>
        <v/>
      </c>
      <c r="I216" s="1359" t="str">
        <f aca="false">IF('V_DATOS PAC_SGA'!BV211="IV",'V_DATOS PAC_SGA'!BV211,"")</f>
        <v/>
      </c>
      <c r="J216" s="2" t="str">
        <f aca="false">IF($A216&gt;0,IF(AND(J$4=$G216,J$6=$F216),$D216*J$5,""),"")</f>
        <v/>
      </c>
      <c r="K216" s="2" t="str">
        <f aca="false">IF($A216&gt;0,IF(AND(K$4=$G216,K$6=$F216),$D216*K$5,""),"")</f>
        <v/>
      </c>
      <c r="L216" s="2" t="str">
        <f aca="false">IF($A216&gt;0,IF(AND(L$4=$G216,L$6=$F216),$D216*L$5,""),"")</f>
        <v/>
      </c>
      <c r="M216" s="2" t="str">
        <f aca="false">IF($A216&gt;0,IF(AND(M$4=$G216,M$6=$F216),$D216*M$5,""),"")</f>
        <v/>
      </c>
      <c r="N216" s="1506" t="n">
        <f aca="false">VLOOKUP(B216,'O_MN, PE_UTA_UGM 2024'!$E$2:$K$419,IF(G216&gt;1,6,7))</f>
        <v>0</v>
      </c>
      <c r="O216" s="1434" t="str">
        <f aca="false">IF($H216=O$4,$D216*$N216,"")</f>
        <v/>
      </c>
      <c r="P216" s="1435" t="str">
        <f aca="false">IF($H216=P$4,$D216*$N216,"")</f>
        <v/>
      </c>
      <c r="Q216" s="1435" t="str">
        <f aca="false">IF($H216=Q$4,$D216*$N216,"")</f>
        <v/>
      </c>
      <c r="R216" s="1435" t="str">
        <f aca="false">IF($H216=R$4,$D216*$N216,"")</f>
        <v/>
      </c>
      <c r="S216" s="1435" t="str">
        <f aca="false">IF($H216=S$4,$D216*$N216,"")</f>
        <v/>
      </c>
      <c r="T216" s="1435" t="str">
        <f aca="false">IF($H216=T$4,$D216*$N216,"")</f>
        <v/>
      </c>
      <c r="U216" s="1436" t="str">
        <f aca="false">IF($H216=U$4,$D216*$N216,"")</f>
        <v/>
      </c>
      <c r="V216" s="1418"/>
      <c r="W216" s="1419"/>
      <c r="X216" s="1419"/>
      <c r="Y216" s="1419"/>
      <c r="Z216" s="1419"/>
      <c r="AA216" s="1419"/>
      <c r="AB216" s="1420"/>
      <c r="AC216" s="1319"/>
      <c r="AD216" s="2" t="str">
        <f aca="false">IF(AND(AD$4=$G216,AD$6=$F216),$B216,"")</f>
        <v/>
      </c>
      <c r="AE216" s="2" t="str">
        <f aca="false">IF(AND(AE$4=$G216,AE$6=$F216),$B216,"")</f>
        <v/>
      </c>
      <c r="AF216" s="2" t="str">
        <f aca="false">IF(AND(AF$4=$G216,AF$6=$F216),$B216,"")</f>
        <v/>
      </c>
      <c r="AG216" s="2" t="str">
        <f aca="false">IF(AND(AG$4=$G216,AG$6=$F216),$B216,"")</f>
        <v/>
      </c>
      <c r="AI216" s="366"/>
      <c r="AL216" s="367"/>
      <c r="AO216" s="367"/>
      <c r="AP216" s="2" t="str">
        <f aca="false">IF(AT216&gt;0,RANK(AT216,AT$7:AT$423),"")</f>
        <v/>
      </c>
      <c r="AQ216" s="2" t="n">
        <f aca="false">'O_MN, PE_UTA_UGM 2024'!C212</f>
        <v>206</v>
      </c>
      <c r="AR216" s="1421" t="n">
        <v>2020</v>
      </c>
      <c r="AS216" s="2" t="str">
        <f aca="false">IF(AY216&lt;&gt;"",AY216,"")</f>
        <v/>
      </c>
      <c r="AT216" s="1422" t="n">
        <f aca="false">IF(ISNUMBER($AR216),SUMIF(B$7:B$505,AR216,D$7:D$505),"")</f>
        <v>0</v>
      </c>
      <c r="AU216" s="1411" t="n">
        <f aca="false">IF(ISNUMBER($AR216),SUMIF(AD$7:AD$503,$AR216,J$7:J$503),"")</f>
        <v>0</v>
      </c>
      <c r="AV216" s="1411" t="n">
        <f aca="false">IF(ISNUMBER($AR216),SUMIF(AF$7:AF$503,$AR216,L$7:L$503),"")</f>
        <v>0</v>
      </c>
      <c r="AW216" s="1423" t="n">
        <f aca="false">IF(ISNUMBER($AR216),SUMIF(AE$7:AE$503,$AR216,K$7:K$503),"")</f>
        <v>0</v>
      </c>
      <c r="AX216" s="1423" t="n">
        <f aca="false">IF(ISNUMBER($AR216),SUMIF(AG$7:AG$503,$AR216,M$7:M$503),"")</f>
        <v>0</v>
      </c>
      <c r="AY216" s="2" t="str">
        <f aca="false">IF($AT216&gt;0,VLOOKUP($AR216,'O_MN, PE_UTA_UGM 2024'!E212:O628,2),"")</f>
        <v/>
      </c>
      <c r="AZ216" s="1507"/>
      <c r="BA216" s="1507"/>
      <c r="BB216" s="1507" t="str">
        <f aca="false">IF($AT216&gt;0,VLOOKUP($AR216,'O_MN, PE_UTA_UGM 2024'!$E$3:$O$419,BB$6),"")</f>
        <v/>
      </c>
      <c r="BC216" s="1507" t="str">
        <f aca="false">IF($AT216&gt;0,VLOOKUP($AR216,'O_MN, PE_UTA_UGM 2024'!$E$3:$O$419,BC$6),"")</f>
        <v/>
      </c>
      <c r="BD216" s="1507" t="str">
        <f aca="false">IF($AT216&gt;0,VLOOKUP($AR216,'O_MN, PE_UTA_UGM 2024'!$E$3:$O$419,BD$6),"")</f>
        <v/>
      </c>
      <c r="BE216" s="1507" t="str">
        <f aca="false">IF($AT216&gt;0,VLOOKUP($AR216,'O_MN, PE_UTA_UGM 2024'!$E$3:$O$419,BE$6),"")</f>
        <v/>
      </c>
      <c r="BF216" s="1507" t="str">
        <f aca="false">IF($AT216&gt;0,VLOOKUP($AR216,'O_MN, PE_UTA_UGM 2024'!$E$3:$O$419,BF$6),"")</f>
        <v/>
      </c>
      <c r="BG216" s="1507" t="str">
        <f aca="false">IF($AT216&gt;0,VLOOKUP($AR216,'O_MN, PE_UTA_UGM 2024'!$E$3:$O$419,BG$6),"")</f>
        <v/>
      </c>
      <c r="BH216" s="1504"/>
      <c r="BI216" s="1504"/>
      <c r="BJ216" s="1504"/>
      <c r="BK216" s="1504"/>
      <c r="BM216" s="1411"/>
      <c r="BN216" s="1411"/>
      <c r="BO216" s="1425" t="str">
        <f aca="false">IF(ISNUMBER($AU216*BB216*1),$AU216*BB216*1,"")</f>
        <v/>
      </c>
      <c r="BP216" s="1425" t="str">
        <f aca="false">IF(ISNUMBER($AV216*BC216*1),$AV216*BC216*1,"")</f>
        <v/>
      </c>
      <c r="BQ216" s="1425" t="str">
        <f aca="false">IF(ISNUMBER($AU216*BD216*1),$AU216*BD216*1,"")</f>
        <v/>
      </c>
      <c r="BR216" s="1425" t="str">
        <f aca="false">IF(ISNUMBER($AV216*BE216*1),$AV216*BE216*1,"")</f>
        <v/>
      </c>
      <c r="BS216" s="1411" t="str">
        <f aca="false">IF(ISNUMBER($AU216*BF216),$AU216*BF216,"")</f>
        <v/>
      </c>
      <c r="BT216" s="1411" t="str">
        <f aca="false">IF(ISNUMBER($AV216*BG216),$AV216*BG216,"")</f>
        <v/>
      </c>
      <c r="BU216" s="1411"/>
      <c r="BV216" s="1411"/>
      <c r="BW216" s="1411"/>
      <c r="BX216" s="1411"/>
      <c r="BZ216" s="1372"/>
      <c r="CA216" s="1372"/>
      <c r="CB216" s="1426" t="str">
        <f aca="false">IF(ISNUMBER($AW216*BB216),$AW216*BB216,"")</f>
        <v/>
      </c>
      <c r="CC216" s="1426" t="str">
        <f aca="false">IF(ISNUMBER($AX216*BC216),$AX216*BC216,"")</f>
        <v/>
      </c>
      <c r="CD216" s="1426" t="str">
        <f aca="false">IF(ISNUMBER($AW216*BD216),$AW216*BD216,"")</f>
        <v/>
      </c>
      <c r="CE216" s="1426" t="str">
        <f aca="false">IF(ISNUMBER($AX216*BE216),$AX216*BE216,"")</f>
        <v/>
      </c>
      <c r="CF216" s="1372" t="str">
        <f aca="false">IF(ISNUMBER($AW216*BF216),$AW216*BF216,"")</f>
        <v/>
      </c>
      <c r="CG216" s="1372" t="str">
        <f aca="false">IF(ISNUMBER($AX216*BG216),$AX216*BG216,"")</f>
        <v/>
      </c>
      <c r="CH216" s="1438"/>
      <c r="CI216" s="1438"/>
      <c r="CJ216" s="1438"/>
      <c r="CK216" s="1438"/>
      <c r="CU216" s="1411"/>
      <c r="CV216" s="1411"/>
      <c r="CW216" s="1425"/>
      <c r="CX216" s="1425"/>
      <c r="CY216" s="1425"/>
      <c r="CZ216" s="1425"/>
      <c r="DA216" s="1411"/>
      <c r="DB216" s="1411"/>
      <c r="DC216" s="1411"/>
      <c r="DD216" s="1411"/>
      <c r="DE216" s="1411"/>
      <c r="DF216" s="1411"/>
      <c r="DH216" s="1432"/>
      <c r="DI216" s="1432"/>
      <c r="DJ216" s="1437"/>
      <c r="DK216" s="1437"/>
      <c r="DL216" s="1437"/>
      <c r="DM216" s="1437"/>
      <c r="DN216" s="1432"/>
      <c r="DO216" s="1432"/>
      <c r="DP216" s="1432"/>
      <c r="DQ216" s="1432"/>
      <c r="DR216" s="1432"/>
      <c r="DS216" s="1432"/>
      <c r="DT216" s="1316"/>
      <c r="DU216" s="1433"/>
      <c r="DV216" s="1433"/>
      <c r="DW216" s="1433"/>
      <c r="DX216" s="1433"/>
      <c r="DY216" s="1433"/>
      <c r="DZ216" s="1433"/>
      <c r="EA216" s="1433"/>
      <c r="EB216" s="1433"/>
    </row>
    <row r="217" customFormat="false" ht="14.25" hidden="false" customHeight="false" outlineLevel="0" collapsed="false">
      <c r="A217" s="2" t="n">
        <f aca="false">'V_DATOS PAC_SGA'!CC212</f>
        <v>0</v>
      </c>
      <c r="B217" s="2" t="n">
        <f aca="false">IF(OR(A217=0,A217=""),0,IF(I217="IV",CONCATENATE('V_DATOS PAC_SGA'!CC212,"4")+0,CONCATENATE('V_DATOS PAC_SGA'!CC212,"0")+0))</f>
        <v>0</v>
      </c>
      <c r="C217" s="2" t="n">
        <f aca="false">'V_DATOS PAC_SGA'!CD212</f>
        <v>0</v>
      </c>
      <c r="D217" s="1409" t="n">
        <f aca="false">'V_DATOS PAC_SGA'!Y212</f>
        <v>0</v>
      </c>
      <c r="E217" s="1410" t="str">
        <f aca="false">IF('V_DATOS PAC_SGA'!AV212="","Regadio",'V_DATOS PAC_SGA'!AV212)</f>
        <v>Regadio</v>
      </c>
      <c r="F217" s="1411" t="n">
        <f aca="false">'V_DATOS PAC_SGA'!BK212</f>
        <v>0</v>
      </c>
      <c r="G217" s="1412" t="n">
        <f aca="false">'V_DATOS PAC_SGA'!AN212</f>
        <v>0</v>
      </c>
      <c r="H217" s="1413" t="str">
        <f aca="false">IF(B217&gt;0,VLOOKUP(B217,'O_MN, PE_UTA_UGM 2024'!E$3:O$419,10),"")</f>
        <v/>
      </c>
      <c r="I217" s="1359" t="str">
        <f aca="false">IF('V_DATOS PAC_SGA'!BV212="IV",'V_DATOS PAC_SGA'!BV212,"")</f>
        <v/>
      </c>
      <c r="J217" s="2" t="str">
        <f aca="false">IF($A217&gt;0,IF(AND(J$4=$G217,J$6=$F217),$D217*J$5,""),"")</f>
        <v/>
      </c>
      <c r="K217" s="2" t="str">
        <f aca="false">IF($A217&gt;0,IF(AND(K$4=$G217,K$6=$F217),$D217*K$5,""),"")</f>
        <v/>
      </c>
      <c r="L217" s="2" t="str">
        <f aca="false">IF($A217&gt;0,IF(AND(L$4=$G217,L$6=$F217),$D217*L$5,""),"")</f>
        <v/>
      </c>
      <c r="M217" s="2" t="str">
        <f aca="false">IF($A217&gt;0,IF(AND(M$4=$G217,M$6=$F217),$D217*M$5,""),"")</f>
        <v/>
      </c>
      <c r="N217" s="1506" t="n">
        <f aca="false">VLOOKUP(B217,'O_MN, PE_UTA_UGM 2024'!$E$2:$K$419,IF(G217&gt;1,6,7))</f>
        <v>0</v>
      </c>
      <c r="O217" s="1434" t="str">
        <f aca="false">IF($H217=O$4,$D217*$N217,"")</f>
        <v/>
      </c>
      <c r="P217" s="1435" t="str">
        <f aca="false">IF($H217=P$4,$D217*$N217,"")</f>
        <v/>
      </c>
      <c r="Q217" s="1435" t="str">
        <f aca="false">IF($H217=Q$4,$D217*$N217,"")</f>
        <v/>
      </c>
      <c r="R217" s="1435" t="str">
        <f aca="false">IF($H217=R$4,$D217*$N217,"")</f>
        <v/>
      </c>
      <c r="S217" s="1435" t="str">
        <f aca="false">IF($H217=S$4,$D217*$N217,"")</f>
        <v/>
      </c>
      <c r="T217" s="1435" t="str">
        <f aca="false">IF($H217=T$4,$D217*$N217,"")</f>
        <v/>
      </c>
      <c r="U217" s="1436" t="str">
        <f aca="false">IF($H217=U$4,$D217*$N217,"")</f>
        <v/>
      </c>
      <c r="V217" s="1418"/>
      <c r="W217" s="1419"/>
      <c r="X217" s="1419"/>
      <c r="Y217" s="1419"/>
      <c r="Z217" s="1419"/>
      <c r="AA217" s="1419"/>
      <c r="AB217" s="1420"/>
      <c r="AC217" s="1319"/>
      <c r="AD217" s="2" t="str">
        <f aca="false">IF(AND(AD$4=$G217,AD$6=$F217),$B217,"")</f>
        <v/>
      </c>
      <c r="AE217" s="2" t="str">
        <f aca="false">IF(AND(AE$4=$G217,AE$6=$F217),$B217,"")</f>
        <v/>
      </c>
      <c r="AF217" s="2" t="str">
        <f aca="false">IF(AND(AF$4=$G217,AF$6=$F217),$B217,"")</f>
        <v/>
      </c>
      <c r="AG217" s="2" t="str">
        <f aca="false">IF(AND(AG$4=$G217,AG$6=$F217),$B217,"")</f>
        <v/>
      </c>
      <c r="AI217" s="366"/>
      <c r="AL217" s="367"/>
      <c r="AO217" s="367"/>
      <c r="AP217" s="2" t="str">
        <f aca="false">IF(AT217&gt;0,RANK(AT217,AT$7:AT$423),"")</f>
        <v/>
      </c>
      <c r="AQ217" s="2" t="n">
        <f aca="false">'O_MN, PE_UTA_UGM 2024'!C213</f>
        <v>207</v>
      </c>
      <c r="AR217" s="1421" t="n">
        <v>2030</v>
      </c>
      <c r="AS217" s="2" t="str">
        <f aca="false">IF(AY217&lt;&gt;"",AY217,"")</f>
        <v/>
      </c>
      <c r="AT217" s="1422" t="n">
        <f aca="false">IF(ISNUMBER($AR217),SUMIF(B$7:B$505,AR217,D$7:D$505),"")</f>
        <v>0</v>
      </c>
      <c r="AU217" s="1411" t="n">
        <f aca="false">IF(ISNUMBER($AR217),SUMIF(AD$7:AD$503,$AR217,J$7:J$503),"")</f>
        <v>0</v>
      </c>
      <c r="AV217" s="1411" t="n">
        <f aca="false">IF(ISNUMBER($AR217),SUMIF(AF$7:AF$503,$AR217,L$7:L$503),"")</f>
        <v>0</v>
      </c>
      <c r="AW217" s="1423" t="n">
        <f aca="false">IF(ISNUMBER($AR217),SUMIF(AE$7:AE$503,$AR217,K$7:K$503),"")</f>
        <v>0</v>
      </c>
      <c r="AX217" s="1423" t="n">
        <f aca="false">IF(ISNUMBER($AR217),SUMIF(AG$7:AG$503,$AR217,M$7:M$503),"")</f>
        <v>0</v>
      </c>
      <c r="AY217" s="2" t="str">
        <f aca="false">IF($AT217&gt;0,VLOOKUP($AR217,'O_MN, PE_UTA_UGM 2024'!E213:O629,2),"")</f>
        <v/>
      </c>
      <c r="AZ217" s="1507"/>
      <c r="BA217" s="1507"/>
      <c r="BB217" s="1507" t="str">
        <f aca="false">IF($AT217&gt;0,VLOOKUP($AR217,'O_MN, PE_UTA_UGM 2024'!$E$3:$O$419,BB$6),"")</f>
        <v/>
      </c>
      <c r="BC217" s="1507" t="str">
        <f aca="false">IF($AT217&gt;0,VLOOKUP($AR217,'O_MN, PE_UTA_UGM 2024'!$E$3:$O$419,BC$6),"")</f>
        <v/>
      </c>
      <c r="BD217" s="1507" t="str">
        <f aca="false">IF($AT217&gt;0,VLOOKUP($AR217,'O_MN, PE_UTA_UGM 2024'!$E$3:$O$419,BD$6),"")</f>
        <v/>
      </c>
      <c r="BE217" s="1507" t="str">
        <f aca="false">IF($AT217&gt;0,VLOOKUP($AR217,'O_MN, PE_UTA_UGM 2024'!$E$3:$O$419,BE$6),"")</f>
        <v/>
      </c>
      <c r="BF217" s="1507" t="str">
        <f aca="false">IF($AT217&gt;0,VLOOKUP($AR217,'O_MN, PE_UTA_UGM 2024'!$E$3:$O$419,BF$6),"")</f>
        <v/>
      </c>
      <c r="BG217" s="1507" t="str">
        <f aca="false">IF($AT217&gt;0,VLOOKUP($AR217,'O_MN, PE_UTA_UGM 2024'!$E$3:$O$419,BG$6),"")</f>
        <v/>
      </c>
      <c r="BH217" s="1504"/>
      <c r="BI217" s="1504"/>
      <c r="BJ217" s="1504"/>
      <c r="BK217" s="1504"/>
      <c r="BM217" s="1411"/>
      <c r="BN217" s="1411"/>
      <c r="BO217" s="1425" t="str">
        <f aca="false">IF(ISNUMBER($AU217*BB217*1),$AU217*BB217*1,"")</f>
        <v/>
      </c>
      <c r="BP217" s="1425" t="str">
        <f aca="false">IF(ISNUMBER($AV217*BC217*1),$AV217*BC217*1,"")</f>
        <v/>
      </c>
      <c r="BQ217" s="1425" t="str">
        <f aca="false">IF(ISNUMBER($AU217*BD217*1),$AU217*BD217*1,"")</f>
        <v/>
      </c>
      <c r="BR217" s="1425" t="str">
        <f aca="false">IF(ISNUMBER($AV217*BE217*1),$AV217*BE217*1,"")</f>
        <v/>
      </c>
      <c r="BS217" s="1411" t="str">
        <f aca="false">IF(ISNUMBER($AU217*BF217),$AU217*BF217,"")</f>
        <v/>
      </c>
      <c r="BT217" s="1411" t="str">
        <f aca="false">IF(ISNUMBER($AV217*BG217),$AV217*BG217,"")</f>
        <v/>
      </c>
      <c r="BU217" s="1411"/>
      <c r="BV217" s="1411"/>
      <c r="BW217" s="1411"/>
      <c r="BX217" s="1411"/>
      <c r="BZ217" s="1372"/>
      <c r="CA217" s="1372"/>
      <c r="CB217" s="1426" t="str">
        <f aca="false">IF(ISNUMBER($AW217*BB217),$AW217*BB217,"")</f>
        <v/>
      </c>
      <c r="CC217" s="1426" t="str">
        <f aca="false">IF(ISNUMBER($AX217*BC217),$AX217*BC217,"")</f>
        <v/>
      </c>
      <c r="CD217" s="1426" t="str">
        <f aca="false">IF(ISNUMBER($AW217*BD217),$AW217*BD217,"")</f>
        <v/>
      </c>
      <c r="CE217" s="1426" t="str">
        <f aca="false">IF(ISNUMBER($AX217*BE217),$AX217*BE217,"")</f>
        <v/>
      </c>
      <c r="CF217" s="1372" t="str">
        <f aca="false">IF(ISNUMBER($AW217*BF217),$AW217*BF217,"")</f>
        <v/>
      </c>
      <c r="CG217" s="1372" t="str">
        <f aca="false">IF(ISNUMBER($AX217*BG217),$AX217*BG217,"")</f>
        <v/>
      </c>
      <c r="CH217" s="1438"/>
      <c r="CI217" s="1438"/>
      <c r="CJ217" s="1438"/>
      <c r="CK217" s="1438"/>
      <c r="CU217" s="1411"/>
      <c r="CV217" s="1411"/>
      <c r="CW217" s="1425"/>
      <c r="CX217" s="1425"/>
      <c r="CY217" s="1425"/>
      <c r="CZ217" s="1425"/>
      <c r="DA217" s="1411"/>
      <c r="DB217" s="1411"/>
      <c r="DC217" s="1411"/>
      <c r="DD217" s="1411"/>
      <c r="DE217" s="1411"/>
      <c r="DF217" s="1411"/>
      <c r="DH217" s="1432"/>
      <c r="DI217" s="1432"/>
      <c r="DJ217" s="1437"/>
      <c r="DK217" s="1437"/>
      <c r="DL217" s="1437"/>
      <c r="DM217" s="1437"/>
      <c r="DN217" s="1432"/>
      <c r="DO217" s="1432"/>
      <c r="DP217" s="1432"/>
      <c r="DQ217" s="1432"/>
      <c r="DR217" s="1432"/>
      <c r="DS217" s="1432"/>
      <c r="DT217" s="1316"/>
      <c r="DU217" s="1433"/>
      <c r="DV217" s="1433"/>
      <c r="DW217" s="1433"/>
      <c r="DX217" s="1433"/>
      <c r="DY217" s="1433"/>
      <c r="DZ217" s="1433"/>
      <c r="EA217" s="1433"/>
      <c r="EB217" s="1433"/>
    </row>
    <row r="218" customFormat="false" ht="14.25" hidden="false" customHeight="false" outlineLevel="0" collapsed="false">
      <c r="A218" s="2" t="n">
        <f aca="false">'V_DATOS PAC_SGA'!CC213</f>
        <v>0</v>
      </c>
      <c r="B218" s="2" t="n">
        <f aca="false">IF(OR(A218=0,A218=""),0,IF(I218="IV",CONCATENATE('V_DATOS PAC_SGA'!CC213,"4")+0,CONCATENATE('V_DATOS PAC_SGA'!CC213,"0")+0))</f>
        <v>0</v>
      </c>
      <c r="C218" s="2" t="n">
        <f aca="false">'V_DATOS PAC_SGA'!CD213</f>
        <v>0</v>
      </c>
      <c r="D218" s="1409" t="n">
        <f aca="false">'V_DATOS PAC_SGA'!Y213</f>
        <v>0</v>
      </c>
      <c r="E218" s="1410" t="str">
        <f aca="false">IF('V_DATOS PAC_SGA'!AV213="","Regadio",'V_DATOS PAC_SGA'!AV213)</f>
        <v>Regadio</v>
      </c>
      <c r="F218" s="1411" t="n">
        <f aca="false">'V_DATOS PAC_SGA'!BK213</f>
        <v>0</v>
      </c>
      <c r="G218" s="1412" t="n">
        <f aca="false">'V_DATOS PAC_SGA'!AN213</f>
        <v>0</v>
      </c>
      <c r="H218" s="1413" t="str">
        <f aca="false">IF(B218&gt;0,VLOOKUP(B218,'O_MN, PE_UTA_UGM 2024'!E$3:O$419,10),"")</f>
        <v/>
      </c>
      <c r="I218" s="1359" t="str">
        <f aca="false">IF('V_DATOS PAC_SGA'!BV213="IV",'V_DATOS PAC_SGA'!BV213,"")</f>
        <v/>
      </c>
      <c r="J218" s="2" t="str">
        <f aca="false">IF($A218&gt;0,IF(AND(J$4=$G218,J$6=$F218),$D218*J$5,""),"")</f>
        <v/>
      </c>
      <c r="K218" s="2" t="str">
        <f aca="false">IF($A218&gt;0,IF(AND(K$4=$G218,K$6=$F218),$D218*K$5,""),"")</f>
        <v/>
      </c>
      <c r="L218" s="2" t="str">
        <f aca="false">IF($A218&gt;0,IF(AND(L$4=$G218,L$6=$F218),$D218*L$5,""),"")</f>
        <v/>
      </c>
      <c r="M218" s="2" t="str">
        <f aca="false">IF($A218&gt;0,IF(AND(M$4=$G218,M$6=$F218),$D218*M$5,""),"")</f>
        <v/>
      </c>
      <c r="N218" s="1506" t="n">
        <f aca="false">VLOOKUP(B218,'O_MN, PE_UTA_UGM 2024'!$E$2:$K$419,IF(G218&gt;1,6,7))</f>
        <v>0</v>
      </c>
      <c r="O218" s="1434" t="str">
        <f aca="false">IF($H218=O$4,$D218*$N218,"")</f>
        <v/>
      </c>
      <c r="P218" s="1435" t="str">
        <f aca="false">IF($H218=P$4,$D218*$N218,"")</f>
        <v/>
      </c>
      <c r="Q218" s="1435" t="str">
        <f aca="false">IF($H218=Q$4,$D218*$N218,"")</f>
        <v/>
      </c>
      <c r="R218" s="1435" t="str">
        <f aca="false">IF($H218=R$4,$D218*$N218,"")</f>
        <v/>
      </c>
      <c r="S218" s="1435" t="str">
        <f aca="false">IF($H218=S$4,$D218*$N218,"")</f>
        <v/>
      </c>
      <c r="T218" s="1435" t="str">
        <f aca="false">IF($H218=T$4,$D218*$N218,"")</f>
        <v/>
      </c>
      <c r="U218" s="1436" t="str">
        <f aca="false">IF($H218=U$4,$D218*$N218,"")</f>
        <v/>
      </c>
      <c r="V218" s="1418"/>
      <c r="W218" s="1419"/>
      <c r="X218" s="1419"/>
      <c r="Y218" s="1419"/>
      <c r="Z218" s="1419"/>
      <c r="AA218" s="1419"/>
      <c r="AB218" s="1420"/>
      <c r="AC218" s="1319"/>
      <c r="AD218" s="2" t="str">
        <f aca="false">IF(AND(AD$4=$G218,AD$6=$F218),$B218,"")</f>
        <v/>
      </c>
      <c r="AE218" s="2" t="str">
        <f aca="false">IF(AND(AE$4=$G218,AE$6=$F218),$B218,"")</f>
        <v/>
      </c>
      <c r="AF218" s="2" t="str">
        <f aca="false">IF(AND(AF$4=$G218,AF$6=$F218),$B218,"")</f>
        <v/>
      </c>
      <c r="AG218" s="2" t="str">
        <f aca="false">IF(AND(AG$4=$G218,AG$6=$F218),$B218,"")</f>
        <v/>
      </c>
      <c r="AI218" s="366"/>
      <c r="AL218" s="367"/>
      <c r="AO218" s="367"/>
      <c r="AP218" s="2" t="str">
        <f aca="false">IF(AT218&gt;0,RANK(AT218,AT$7:AT$423),"")</f>
        <v/>
      </c>
      <c r="AQ218" s="2" t="n">
        <f aca="false">'O_MN, PE_UTA_UGM 2024'!C214</f>
        <v>208</v>
      </c>
      <c r="AR218" s="1421" t="n">
        <v>2040</v>
      </c>
      <c r="AS218" s="2" t="str">
        <f aca="false">IF(AY218&lt;&gt;"",AY218,"")</f>
        <v/>
      </c>
      <c r="AT218" s="1422" t="n">
        <f aca="false">IF(ISNUMBER($AR218),SUMIF(B$7:B$505,AR218,D$7:D$505),"")</f>
        <v>0</v>
      </c>
      <c r="AU218" s="1411" t="n">
        <f aca="false">IF(ISNUMBER($AR218),SUMIF(AD$7:AD$503,$AR218,J$7:J$503),"")</f>
        <v>0</v>
      </c>
      <c r="AV218" s="1411" t="n">
        <f aca="false">IF(ISNUMBER($AR218),SUMIF(AF$7:AF$503,$AR218,L$7:L$503),"")</f>
        <v>0</v>
      </c>
      <c r="AW218" s="1423" t="n">
        <f aca="false">IF(ISNUMBER($AR218),SUMIF(AE$7:AE$503,$AR218,K$7:K$503),"")</f>
        <v>0</v>
      </c>
      <c r="AX218" s="1423" t="n">
        <f aca="false">IF(ISNUMBER($AR218),SUMIF(AG$7:AG$503,$AR218,M$7:M$503),"")</f>
        <v>0</v>
      </c>
      <c r="AY218" s="2" t="str">
        <f aca="false">IF($AT218&gt;0,VLOOKUP($AR218,'O_MN, PE_UTA_UGM 2024'!E214:O630,2),"")</f>
        <v/>
      </c>
      <c r="AZ218" s="1507"/>
      <c r="BA218" s="1507"/>
      <c r="BB218" s="1507" t="str">
        <f aca="false">IF($AT218&gt;0,VLOOKUP($AR218,'O_MN, PE_UTA_UGM 2024'!$E$3:$O$419,BB$6),"")</f>
        <v/>
      </c>
      <c r="BC218" s="1507" t="str">
        <f aca="false">IF($AT218&gt;0,VLOOKUP($AR218,'O_MN, PE_UTA_UGM 2024'!$E$3:$O$419,BC$6),"")</f>
        <v/>
      </c>
      <c r="BD218" s="1507" t="str">
        <f aca="false">IF($AT218&gt;0,VLOOKUP($AR218,'O_MN, PE_UTA_UGM 2024'!$E$3:$O$419,BD$6),"")</f>
        <v/>
      </c>
      <c r="BE218" s="1507" t="str">
        <f aca="false">IF($AT218&gt;0,VLOOKUP($AR218,'O_MN, PE_UTA_UGM 2024'!$E$3:$O$419,BE$6),"")</f>
        <v/>
      </c>
      <c r="BF218" s="1507" t="str">
        <f aca="false">IF($AT218&gt;0,VLOOKUP($AR218,'O_MN, PE_UTA_UGM 2024'!$E$3:$O$419,BF$6),"")</f>
        <v/>
      </c>
      <c r="BG218" s="1507" t="str">
        <f aca="false">IF($AT218&gt;0,VLOOKUP($AR218,'O_MN, PE_UTA_UGM 2024'!$E$3:$O$419,BG$6),"")</f>
        <v/>
      </c>
      <c r="BH218" s="1504"/>
      <c r="BI218" s="1504"/>
      <c r="BJ218" s="1504"/>
      <c r="BK218" s="1504"/>
      <c r="BM218" s="1411"/>
      <c r="BN218" s="1411"/>
      <c r="BO218" s="1425" t="str">
        <f aca="false">IF(ISNUMBER($AU218*BB218*1),$AU218*BB218*1,"")</f>
        <v/>
      </c>
      <c r="BP218" s="1425" t="str">
        <f aca="false">IF(ISNUMBER($AV218*BC218*1),$AV218*BC218*1,"")</f>
        <v/>
      </c>
      <c r="BQ218" s="1425" t="str">
        <f aca="false">IF(ISNUMBER($AU218*BD218*1),$AU218*BD218*1,"")</f>
        <v/>
      </c>
      <c r="BR218" s="1425" t="str">
        <f aca="false">IF(ISNUMBER($AV218*BE218*1),$AV218*BE218*1,"")</f>
        <v/>
      </c>
      <c r="BS218" s="1411" t="str">
        <f aca="false">IF(ISNUMBER($AU218*BF218),$AU218*BF218,"")</f>
        <v/>
      </c>
      <c r="BT218" s="1411" t="str">
        <f aca="false">IF(ISNUMBER($AV218*BG218),$AV218*BG218,"")</f>
        <v/>
      </c>
      <c r="BU218" s="1411"/>
      <c r="BV218" s="1411"/>
      <c r="BW218" s="1411"/>
      <c r="BX218" s="1411"/>
      <c r="BZ218" s="1372"/>
      <c r="CA218" s="1372"/>
      <c r="CB218" s="1426" t="str">
        <f aca="false">IF(ISNUMBER($AW218*BB218),$AW218*BB218,"")</f>
        <v/>
      </c>
      <c r="CC218" s="1426" t="str">
        <f aca="false">IF(ISNUMBER($AX218*BC218),$AX218*BC218,"")</f>
        <v/>
      </c>
      <c r="CD218" s="1426" t="str">
        <f aca="false">IF(ISNUMBER($AW218*BD218),$AW218*BD218,"")</f>
        <v/>
      </c>
      <c r="CE218" s="1426" t="str">
        <f aca="false">IF(ISNUMBER($AX218*BE218),$AX218*BE218,"")</f>
        <v/>
      </c>
      <c r="CF218" s="1372" t="str">
        <f aca="false">IF(ISNUMBER($AW218*BF218),$AW218*BF218,"")</f>
        <v/>
      </c>
      <c r="CG218" s="1372" t="str">
        <f aca="false">IF(ISNUMBER($AX218*BG218),$AX218*BG218,"")</f>
        <v/>
      </c>
      <c r="CH218" s="1438"/>
      <c r="CI218" s="1438"/>
      <c r="CJ218" s="1438"/>
      <c r="CK218" s="1438"/>
      <c r="CU218" s="1411"/>
      <c r="CV218" s="1411"/>
      <c r="CW218" s="1425"/>
      <c r="CX218" s="1425"/>
      <c r="CY218" s="1425"/>
      <c r="CZ218" s="1425"/>
      <c r="DA218" s="1411"/>
      <c r="DB218" s="1411"/>
      <c r="DC218" s="1411"/>
      <c r="DD218" s="1411"/>
      <c r="DE218" s="1411"/>
      <c r="DF218" s="1411"/>
      <c r="DH218" s="1432"/>
      <c r="DI218" s="1432"/>
      <c r="DJ218" s="1437"/>
      <c r="DK218" s="1437"/>
      <c r="DL218" s="1437"/>
      <c r="DM218" s="1437"/>
      <c r="DN218" s="1432"/>
      <c r="DO218" s="1432"/>
      <c r="DP218" s="1432"/>
      <c r="DQ218" s="1432"/>
      <c r="DR218" s="1432"/>
      <c r="DS218" s="1432"/>
      <c r="DT218" s="1316"/>
      <c r="DU218" s="1433"/>
      <c r="DV218" s="1433"/>
      <c r="DW218" s="1433"/>
      <c r="DX218" s="1433"/>
      <c r="DY218" s="1433"/>
      <c r="DZ218" s="1433"/>
      <c r="EA218" s="1433"/>
      <c r="EB218" s="1433"/>
    </row>
    <row r="219" customFormat="false" ht="14.25" hidden="false" customHeight="false" outlineLevel="0" collapsed="false">
      <c r="A219" s="2" t="n">
        <f aca="false">'V_DATOS PAC_SGA'!CC214</f>
        <v>0</v>
      </c>
      <c r="B219" s="2" t="n">
        <f aca="false">IF(OR(A219=0,A219=""),0,IF(I219="IV",CONCATENATE('V_DATOS PAC_SGA'!CC214,"4")+0,CONCATENATE('V_DATOS PAC_SGA'!CC214,"0")+0))</f>
        <v>0</v>
      </c>
      <c r="C219" s="2" t="n">
        <f aca="false">'V_DATOS PAC_SGA'!CD214</f>
        <v>0</v>
      </c>
      <c r="D219" s="1409" t="n">
        <f aca="false">'V_DATOS PAC_SGA'!Y214</f>
        <v>0</v>
      </c>
      <c r="E219" s="1410" t="str">
        <f aca="false">IF('V_DATOS PAC_SGA'!AV214="","Regadio",'V_DATOS PAC_SGA'!AV214)</f>
        <v>Regadio</v>
      </c>
      <c r="F219" s="1411" t="n">
        <f aca="false">'V_DATOS PAC_SGA'!BK214</f>
        <v>0</v>
      </c>
      <c r="G219" s="1412" t="n">
        <f aca="false">'V_DATOS PAC_SGA'!AN214</f>
        <v>0</v>
      </c>
      <c r="H219" s="1413" t="str">
        <f aca="false">IF(B219&gt;0,VLOOKUP(B219,'O_MN, PE_UTA_UGM 2024'!E$3:O$419,10),"")</f>
        <v/>
      </c>
      <c r="I219" s="1359" t="str">
        <f aca="false">IF('V_DATOS PAC_SGA'!BV214="IV",'V_DATOS PAC_SGA'!BV214,"")</f>
        <v/>
      </c>
      <c r="J219" s="2" t="str">
        <f aca="false">IF($A219&gt;0,IF(AND(J$4=$G219,J$6=$F219),$D219*J$5,""),"")</f>
        <v/>
      </c>
      <c r="K219" s="2" t="str">
        <f aca="false">IF($A219&gt;0,IF(AND(K$4=$G219,K$6=$F219),$D219*K$5,""),"")</f>
        <v/>
      </c>
      <c r="L219" s="2" t="str">
        <f aca="false">IF($A219&gt;0,IF(AND(L$4=$G219,L$6=$F219),$D219*L$5,""),"")</f>
        <v/>
      </c>
      <c r="M219" s="2" t="str">
        <f aca="false">IF($A219&gt;0,IF(AND(M$4=$G219,M$6=$F219),$D219*M$5,""),"")</f>
        <v/>
      </c>
      <c r="N219" s="1506" t="n">
        <f aca="false">VLOOKUP(B219,'O_MN, PE_UTA_UGM 2024'!$E$2:$K$419,IF(G219&gt;1,6,7))</f>
        <v>0</v>
      </c>
      <c r="O219" s="1434" t="str">
        <f aca="false">IF($H219=O$4,$D219*$N219,"")</f>
        <v/>
      </c>
      <c r="P219" s="1435" t="str">
        <f aca="false">IF($H219=P$4,$D219*$N219,"")</f>
        <v/>
      </c>
      <c r="Q219" s="1435" t="str">
        <f aca="false">IF($H219=Q$4,$D219*$N219,"")</f>
        <v/>
      </c>
      <c r="R219" s="1435" t="str">
        <f aca="false">IF($H219=R$4,$D219*$N219,"")</f>
        <v/>
      </c>
      <c r="S219" s="1435" t="str">
        <f aca="false">IF($H219=S$4,$D219*$N219,"")</f>
        <v/>
      </c>
      <c r="T219" s="1435" t="str">
        <f aca="false">IF($H219=T$4,$D219*$N219,"")</f>
        <v/>
      </c>
      <c r="U219" s="1436" t="str">
        <f aca="false">IF($H219=U$4,$D219*$N219,"")</f>
        <v/>
      </c>
      <c r="V219" s="1418"/>
      <c r="W219" s="1419"/>
      <c r="X219" s="1419"/>
      <c r="Y219" s="1419"/>
      <c r="Z219" s="1419"/>
      <c r="AA219" s="1419"/>
      <c r="AB219" s="1420"/>
      <c r="AC219" s="1319"/>
      <c r="AD219" s="2" t="str">
        <f aca="false">IF(AND(AD$4=$G219,AD$6=$F219),$B219,"")</f>
        <v/>
      </c>
      <c r="AE219" s="2" t="str">
        <f aca="false">IF(AND(AE$4=$G219,AE$6=$F219),$B219,"")</f>
        <v/>
      </c>
      <c r="AF219" s="2" t="str">
        <f aca="false">IF(AND(AF$4=$G219,AF$6=$F219),$B219,"")</f>
        <v/>
      </c>
      <c r="AG219" s="2" t="str">
        <f aca="false">IF(AND(AG$4=$G219,AG$6=$F219),$B219,"")</f>
        <v/>
      </c>
      <c r="AI219" s="366"/>
      <c r="AL219" s="367"/>
      <c r="AO219" s="367"/>
      <c r="AP219" s="2" t="str">
        <f aca="false">IF(AT219&gt;0,RANK(AT219,AT$7:AT$423),"")</f>
        <v/>
      </c>
      <c r="AQ219" s="2" t="n">
        <f aca="false">'O_MN, PE_UTA_UGM 2024'!C215</f>
        <v>209</v>
      </c>
      <c r="AR219" s="1421" t="n">
        <v>2050</v>
      </c>
      <c r="AS219" s="2" t="str">
        <f aca="false">IF(AY219&lt;&gt;"",AY219,"")</f>
        <v/>
      </c>
      <c r="AT219" s="1422" t="n">
        <f aca="false">IF(ISNUMBER($AR219),SUMIF(B$7:B$505,AR219,D$7:D$505),"")</f>
        <v>0</v>
      </c>
      <c r="AU219" s="1411" t="n">
        <f aca="false">IF(ISNUMBER($AR219),SUMIF(AD$7:AD$503,$AR219,J$7:J$503),"")</f>
        <v>0</v>
      </c>
      <c r="AV219" s="1411" t="n">
        <f aca="false">IF(ISNUMBER($AR219),SUMIF(AF$7:AF$503,$AR219,L$7:L$503),"")</f>
        <v>0</v>
      </c>
      <c r="AW219" s="1423" t="n">
        <f aca="false">IF(ISNUMBER($AR219),SUMIF(AE$7:AE$503,$AR219,K$7:K$503),"")</f>
        <v>0</v>
      </c>
      <c r="AX219" s="1423" t="n">
        <f aca="false">IF(ISNUMBER($AR219),SUMIF(AG$7:AG$503,$AR219,M$7:M$503),"")</f>
        <v>0</v>
      </c>
      <c r="AY219" s="2" t="str">
        <f aca="false">IF($AT219&gt;0,VLOOKUP($AR219,'O_MN, PE_UTA_UGM 2024'!E215:O631,2),"")</f>
        <v/>
      </c>
      <c r="AZ219" s="1507"/>
      <c r="BA219" s="1507"/>
      <c r="BB219" s="1507" t="str">
        <f aca="false">IF($AT219&gt;0,VLOOKUP($AR219,'O_MN, PE_UTA_UGM 2024'!$E$3:$O$419,BB$6),"")</f>
        <v/>
      </c>
      <c r="BC219" s="1507" t="str">
        <f aca="false">IF($AT219&gt;0,VLOOKUP($AR219,'O_MN, PE_UTA_UGM 2024'!$E$3:$O$419,BC$6),"")</f>
        <v/>
      </c>
      <c r="BD219" s="1507" t="str">
        <f aca="false">IF($AT219&gt;0,VLOOKUP($AR219,'O_MN, PE_UTA_UGM 2024'!$E$3:$O$419,BD$6),"")</f>
        <v/>
      </c>
      <c r="BE219" s="1507" t="str">
        <f aca="false">IF($AT219&gt;0,VLOOKUP($AR219,'O_MN, PE_UTA_UGM 2024'!$E$3:$O$419,BE$6),"")</f>
        <v/>
      </c>
      <c r="BF219" s="1507" t="str">
        <f aca="false">IF($AT219&gt;0,VLOOKUP($AR219,'O_MN, PE_UTA_UGM 2024'!$E$3:$O$419,BF$6),"")</f>
        <v/>
      </c>
      <c r="BG219" s="1507" t="str">
        <f aca="false">IF($AT219&gt;0,VLOOKUP($AR219,'O_MN, PE_UTA_UGM 2024'!$E$3:$O$419,BG$6),"")</f>
        <v/>
      </c>
      <c r="BH219" s="1504"/>
      <c r="BI219" s="1504"/>
      <c r="BJ219" s="1504"/>
      <c r="BK219" s="1504"/>
      <c r="BM219" s="1411"/>
      <c r="BN219" s="1411"/>
      <c r="BO219" s="1425" t="str">
        <f aca="false">IF(ISNUMBER($AU219*BB219*1),$AU219*BB219*1,"")</f>
        <v/>
      </c>
      <c r="BP219" s="1425" t="str">
        <f aca="false">IF(ISNUMBER($AV219*BC219*1),$AV219*BC219*1,"")</f>
        <v/>
      </c>
      <c r="BQ219" s="1425" t="str">
        <f aca="false">IF(ISNUMBER($AU219*BD219*1),$AU219*BD219*1,"")</f>
        <v/>
      </c>
      <c r="BR219" s="1425" t="str">
        <f aca="false">IF(ISNUMBER($AV219*BE219*1),$AV219*BE219*1,"")</f>
        <v/>
      </c>
      <c r="BS219" s="1411" t="str">
        <f aca="false">IF(ISNUMBER($AU219*BF219),$AU219*BF219,"")</f>
        <v/>
      </c>
      <c r="BT219" s="1411" t="str">
        <f aca="false">IF(ISNUMBER($AV219*BG219),$AV219*BG219,"")</f>
        <v/>
      </c>
      <c r="BU219" s="1411"/>
      <c r="BV219" s="1411"/>
      <c r="BW219" s="1411"/>
      <c r="BX219" s="1411"/>
      <c r="BZ219" s="1372"/>
      <c r="CA219" s="1372"/>
      <c r="CB219" s="1426" t="str">
        <f aca="false">IF(ISNUMBER($AW219*BB219),$AW219*BB219,"")</f>
        <v/>
      </c>
      <c r="CC219" s="1426" t="str">
        <f aca="false">IF(ISNUMBER($AX219*BC219),$AX219*BC219,"")</f>
        <v/>
      </c>
      <c r="CD219" s="1426" t="str">
        <f aca="false">IF(ISNUMBER($AW219*BD219),$AW219*BD219,"")</f>
        <v/>
      </c>
      <c r="CE219" s="1426" t="str">
        <f aca="false">IF(ISNUMBER($AX219*BE219),$AX219*BE219,"")</f>
        <v/>
      </c>
      <c r="CF219" s="1372" t="str">
        <f aca="false">IF(ISNUMBER($AW219*BF219),$AW219*BF219,"")</f>
        <v/>
      </c>
      <c r="CG219" s="1372" t="str">
        <f aca="false">IF(ISNUMBER($AX219*BG219),$AX219*BG219,"")</f>
        <v/>
      </c>
      <c r="CH219" s="1438"/>
      <c r="CI219" s="1438"/>
      <c r="CJ219" s="1438"/>
      <c r="CK219" s="1438"/>
      <c r="CU219" s="1411"/>
      <c r="CV219" s="1411"/>
      <c r="CW219" s="1425"/>
      <c r="CX219" s="1425"/>
      <c r="CY219" s="1425"/>
      <c r="CZ219" s="1425"/>
      <c r="DA219" s="1411"/>
      <c r="DB219" s="1411"/>
      <c r="DC219" s="1411"/>
      <c r="DD219" s="1411"/>
      <c r="DE219" s="1411"/>
      <c r="DF219" s="1411"/>
      <c r="DH219" s="1432"/>
      <c r="DI219" s="1432"/>
      <c r="DJ219" s="1437"/>
      <c r="DK219" s="1437"/>
      <c r="DL219" s="1437"/>
      <c r="DM219" s="1437"/>
      <c r="DN219" s="1432"/>
      <c r="DO219" s="1432"/>
      <c r="DP219" s="1432"/>
      <c r="DQ219" s="1432"/>
      <c r="DR219" s="1432"/>
      <c r="DS219" s="1432"/>
      <c r="DT219" s="1316"/>
      <c r="DU219" s="1433"/>
      <c r="DV219" s="1433"/>
      <c r="DW219" s="1433"/>
      <c r="DX219" s="1433"/>
      <c r="DY219" s="1433"/>
      <c r="DZ219" s="1433"/>
      <c r="EA219" s="1433"/>
      <c r="EB219" s="1433"/>
    </row>
    <row r="220" customFormat="false" ht="14.25" hidden="false" customHeight="false" outlineLevel="0" collapsed="false">
      <c r="A220" s="2" t="n">
        <f aca="false">'V_DATOS PAC_SGA'!CC215</f>
        <v>0</v>
      </c>
      <c r="B220" s="2" t="n">
        <f aca="false">IF(OR(A220=0,A220=""),0,IF(I220="IV",CONCATENATE('V_DATOS PAC_SGA'!CC215,"4")+0,CONCATENATE('V_DATOS PAC_SGA'!CC215,"0")+0))</f>
        <v>0</v>
      </c>
      <c r="C220" s="2" t="n">
        <f aca="false">'V_DATOS PAC_SGA'!CD215</f>
        <v>0</v>
      </c>
      <c r="D220" s="1409" t="n">
        <f aca="false">'V_DATOS PAC_SGA'!Y215</f>
        <v>0</v>
      </c>
      <c r="E220" s="1410" t="str">
        <f aca="false">IF('V_DATOS PAC_SGA'!AV215="","Regadio",'V_DATOS PAC_SGA'!AV215)</f>
        <v>Regadio</v>
      </c>
      <c r="F220" s="1411" t="n">
        <f aca="false">'V_DATOS PAC_SGA'!BK215</f>
        <v>0</v>
      </c>
      <c r="G220" s="1412" t="n">
        <f aca="false">'V_DATOS PAC_SGA'!AN215</f>
        <v>0</v>
      </c>
      <c r="H220" s="1413" t="str">
        <f aca="false">IF(B220&gt;0,VLOOKUP(B220,'O_MN, PE_UTA_UGM 2024'!E$3:O$419,10),"")</f>
        <v/>
      </c>
      <c r="I220" s="1359" t="str">
        <f aca="false">IF('V_DATOS PAC_SGA'!BV215="IV",'V_DATOS PAC_SGA'!BV215,"")</f>
        <v/>
      </c>
      <c r="J220" s="2" t="str">
        <f aca="false">IF($A220&gt;0,IF(AND(J$4=$G220,J$6=$F220),$D220*J$5,""),"")</f>
        <v/>
      </c>
      <c r="K220" s="2" t="str">
        <f aca="false">IF($A220&gt;0,IF(AND(K$4=$G220,K$6=$F220),$D220*K$5,""),"")</f>
        <v/>
      </c>
      <c r="L220" s="2" t="str">
        <f aca="false">IF($A220&gt;0,IF(AND(L$4=$G220,L$6=$F220),$D220*L$5,""),"")</f>
        <v/>
      </c>
      <c r="M220" s="2" t="str">
        <f aca="false">IF($A220&gt;0,IF(AND(M$4=$G220,M$6=$F220),$D220*M$5,""),"")</f>
        <v/>
      </c>
      <c r="N220" s="1506" t="n">
        <f aca="false">VLOOKUP(B220,'O_MN, PE_UTA_UGM 2024'!$E$2:$K$419,IF(G220&gt;1,6,7))</f>
        <v>0</v>
      </c>
      <c r="O220" s="1434" t="str">
        <f aca="false">IF($H220=O$4,$D220*$N220,"")</f>
        <v/>
      </c>
      <c r="P220" s="1435" t="str">
        <f aca="false">IF($H220=P$4,$D220*$N220,"")</f>
        <v/>
      </c>
      <c r="Q220" s="1435" t="str">
        <f aca="false">IF($H220=Q$4,$D220*$N220,"")</f>
        <v/>
      </c>
      <c r="R220" s="1435" t="str">
        <f aca="false">IF($H220=R$4,$D220*$N220,"")</f>
        <v/>
      </c>
      <c r="S220" s="1435" t="str">
        <f aca="false">IF($H220=S$4,$D220*$N220,"")</f>
        <v/>
      </c>
      <c r="T220" s="1435" t="str">
        <f aca="false">IF($H220=T$4,$D220*$N220,"")</f>
        <v/>
      </c>
      <c r="U220" s="1436" t="str">
        <f aca="false">IF($H220=U$4,$D220*$N220,"")</f>
        <v/>
      </c>
      <c r="V220" s="1418"/>
      <c r="W220" s="1419"/>
      <c r="X220" s="1419"/>
      <c r="Y220" s="1419"/>
      <c r="Z220" s="1419"/>
      <c r="AA220" s="1419"/>
      <c r="AB220" s="1420"/>
      <c r="AC220" s="1319"/>
      <c r="AD220" s="2" t="str">
        <f aca="false">IF(AND(AD$4=$G220,AD$6=$F220),$B220,"")</f>
        <v/>
      </c>
      <c r="AE220" s="2" t="str">
        <f aca="false">IF(AND(AE$4=$G220,AE$6=$F220),$B220,"")</f>
        <v/>
      </c>
      <c r="AF220" s="2" t="str">
        <f aca="false">IF(AND(AF$4=$G220,AF$6=$F220),$B220,"")</f>
        <v/>
      </c>
      <c r="AG220" s="2" t="str">
        <f aca="false">IF(AND(AG$4=$G220,AG$6=$F220),$B220,"")</f>
        <v/>
      </c>
      <c r="AI220" s="366"/>
      <c r="AL220" s="367"/>
      <c r="AO220" s="367"/>
      <c r="AP220" s="2" t="str">
        <f aca="false">IF(AT220&gt;0,RANK(AT220,AT$7:AT$423),"")</f>
        <v/>
      </c>
      <c r="AQ220" s="2" t="n">
        <f aca="false">'O_MN, PE_UTA_UGM 2024'!C216</f>
        <v>210</v>
      </c>
      <c r="AR220" s="1421" t="n">
        <v>2060</v>
      </c>
      <c r="AS220" s="2" t="str">
        <f aca="false">IF(AY220&lt;&gt;"",AY220,"")</f>
        <v/>
      </c>
      <c r="AT220" s="1422" t="n">
        <f aca="false">IF(ISNUMBER($AR220),SUMIF(B$7:B$505,AR220,D$7:D$505),"")</f>
        <v>0</v>
      </c>
      <c r="AU220" s="1411" t="n">
        <f aca="false">IF(ISNUMBER($AR220),SUMIF(AD$7:AD$503,$AR220,J$7:J$503),"")</f>
        <v>0</v>
      </c>
      <c r="AV220" s="1411" t="n">
        <f aca="false">IF(ISNUMBER($AR220),SUMIF(AF$7:AF$503,$AR220,L$7:L$503),"")</f>
        <v>0</v>
      </c>
      <c r="AW220" s="1423" t="n">
        <f aca="false">IF(ISNUMBER($AR220),SUMIF(AE$7:AE$503,$AR220,K$7:K$503),"")</f>
        <v>0</v>
      </c>
      <c r="AX220" s="1423" t="n">
        <f aca="false">IF(ISNUMBER($AR220),SUMIF(AG$7:AG$503,$AR220,M$7:M$503),"")</f>
        <v>0</v>
      </c>
      <c r="AY220" s="2" t="str">
        <f aca="false">IF($AT220&gt;0,VLOOKUP($AR220,'O_MN, PE_UTA_UGM 2024'!E216:O632,2),"")</f>
        <v/>
      </c>
      <c r="AZ220" s="1507"/>
      <c r="BA220" s="1507"/>
      <c r="BB220" s="1507" t="str">
        <f aca="false">IF($AT220&gt;0,VLOOKUP($AR220,'O_MN, PE_UTA_UGM 2024'!$E$3:$O$419,BB$6),"")</f>
        <v/>
      </c>
      <c r="BC220" s="1507" t="str">
        <f aca="false">IF($AT220&gt;0,VLOOKUP($AR220,'O_MN, PE_UTA_UGM 2024'!$E$3:$O$419,BC$6),"")</f>
        <v/>
      </c>
      <c r="BD220" s="1507" t="str">
        <f aca="false">IF($AT220&gt;0,VLOOKUP($AR220,'O_MN, PE_UTA_UGM 2024'!$E$3:$O$419,BD$6),"")</f>
        <v/>
      </c>
      <c r="BE220" s="1507" t="str">
        <f aca="false">IF($AT220&gt;0,VLOOKUP($AR220,'O_MN, PE_UTA_UGM 2024'!$E$3:$O$419,BE$6),"")</f>
        <v/>
      </c>
      <c r="BF220" s="1507" t="str">
        <f aca="false">IF($AT220&gt;0,VLOOKUP($AR220,'O_MN, PE_UTA_UGM 2024'!$E$3:$O$419,BF$6),"")</f>
        <v/>
      </c>
      <c r="BG220" s="1507" t="str">
        <f aca="false">IF($AT220&gt;0,VLOOKUP($AR220,'O_MN, PE_UTA_UGM 2024'!$E$3:$O$419,BG$6),"")</f>
        <v/>
      </c>
      <c r="BH220" s="1504"/>
      <c r="BI220" s="1504"/>
      <c r="BJ220" s="1504"/>
      <c r="BK220" s="1504"/>
      <c r="BM220" s="1411"/>
      <c r="BN220" s="1411"/>
      <c r="BO220" s="1425" t="str">
        <f aca="false">IF(ISNUMBER($AU220*BB220*1),$AU220*BB220*1,"")</f>
        <v/>
      </c>
      <c r="BP220" s="1425" t="str">
        <f aca="false">IF(ISNUMBER($AV220*BC220*1),$AV220*BC220*1,"")</f>
        <v/>
      </c>
      <c r="BQ220" s="1425" t="str">
        <f aca="false">IF(ISNUMBER($AU220*BD220*1),$AU220*BD220*1,"")</f>
        <v/>
      </c>
      <c r="BR220" s="1425" t="str">
        <f aca="false">IF(ISNUMBER($AV220*BE220*1),$AV220*BE220*1,"")</f>
        <v/>
      </c>
      <c r="BS220" s="1411" t="str">
        <f aca="false">IF(ISNUMBER($AU220*BF220),$AU220*BF220,"")</f>
        <v/>
      </c>
      <c r="BT220" s="1411" t="str">
        <f aca="false">IF(ISNUMBER($AV220*BG220),$AV220*BG220,"")</f>
        <v/>
      </c>
      <c r="BU220" s="1411"/>
      <c r="BV220" s="1411"/>
      <c r="BW220" s="1411"/>
      <c r="BX220" s="1411"/>
      <c r="BZ220" s="1372"/>
      <c r="CA220" s="1372"/>
      <c r="CB220" s="1426" t="str">
        <f aca="false">IF(ISNUMBER($AW220*BB220),$AW220*BB220,"")</f>
        <v/>
      </c>
      <c r="CC220" s="1426" t="str">
        <f aca="false">IF(ISNUMBER($AX220*BC220),$AX220*BC220,"")</f>
        <v/>
      </c>
      <c r="CD220" s="1426" t="str">
        <f aca="false">IF(ISNUMBER($AW220*BD220),$AW220*BD220,"")</f>
        <v/>
      </c>
      <c r="CE220" s="1426" t="str">
        <f aca="false">IF(ISNUMBER($AX220*BE220),$AX220*BE220,"")</f>
        <v/>
      </c>
      <c r="CF220" s="1372" t="str">
        <f aca="false">IF(ISNUMBER($AW220*BF220),$AW220*BF220,"")</f>
        <v/>
      </c>
      <c r="CG220" s="1372" t="str">
        <f aca="false">IF(ISNUMBER($AX220*BG220),$AX220*BG220,"")</f>
        <v/>
      </c>
      <c r="CH220" s="1438"/>
      <c r="CI220" s="1438"/>
      <c r="CJ220" s="1438"/>
      <c r="CK220" s="1438"/>
      <c r="CU220" s="1411"/>
      <c r="CV220" s="1411"/>
      <c r="CW220" s="1425"/>
      <c r="CX220" s="1425"/>
      <c r="CY220" s="1425"/>
      <c r="CZ220" s="1425"/>
      <c r="DA220" s="1411"/>
      <c r="DB220" s="1411"/>
      <c r="DC220" s="1411"/>
      <c r="DD220" s="1411"/>
      <c r="DE220" s="1411"/>
      <c r="DF220" s="1411"/>
      <c r="DH220" s="1432"/>
      <c r="DI220" s="1432"/>
      <c r="DJ220" s="1437"/>
      <c r="DK220" s="1437"/>
      <c r="DL220" s="1437"/>
      <c r="DM220" s="1437"/>
      <c r="DN220" s="1432"/>
      <c r="DO220" s="1432"/>
      <c r="DP220" s="1432"/>
      <c r="DQ220" s="1432"/>
      <c r="DR220" s="1432"/>
      <c r="DS220" s="1432"/>
      <c r="DT220" s="1316"/>
      <c r="DU220" s="1433"/>
      <c r="DV220" s="1433"/>
      <c r="DW220" s="1433"/>
      <c r="DX220" s="1433"/>
      <c r="DY220" s="1433"/>
      <c r="DZ220" s="1433"/>
      <c r="EA220" s="1433"/>
      <c r="EB220" s="1433"/>
    </row>
    <row r="221" customFormat="false" ht="14.25" hidden="false" customHeight="false" outlineLevel="0" collapsed="false">
      <c r="A221" s="2" t="n">
        <f aca="false">'V_DATOS PAC_SGA'!CC216</f>
        <v>0</v>
      </c>
      <c r="B221" s="2" t="n">
        <f aca="false">IF(OR(A221=0,A221=""),0,IF(I221="IV",CONCATENATE('V_DATOS PAC_SGA'!CC216,"4")+0,CONCATENATE('V_DATOS PAC_SGA'!CC216,"0")+0))</f>
        <v>0</v>
      </c>
      <c r="C221" s="2" t="n">
        <f aca="false">'V_DATOS PAC_SGA'!CD216</f>
        <v>0</v>
      </c>
      <c r="D221" s="1409" t="n">
        <f aca="false">'V_DATOS PAC_SGA'!Y216</f>
        <v>0</v>
      </c>
      <c r="E221" s="1410" t="str">
        <f aca="false">IF('V_DATOS PAC_SGA'!AV216="","Regadio",'V_DATOS PAC_SGA'!AV216)</f>
        <v>Regadio</v>
      </c>
      <c r="F221" s="1411" t="n">
        <f aca="false">'V_DATOS PAC_SGA'!BK216</f>
        <v>0</v>
      </c>
      <c r="G221" s="1412" t="n">
        <f aca="false">'V_DATOS PAC_SGA'!AN216</f>
        <v>0</v>
      </c>
      <c r="H221" s="1413" t="str">
        <f aca="false">IF(B221&gt;0,VLOOKUP(B221,'O_MN, PE_UTA_UGM 2024'!E$3:O$419,10),"")</f>
        <v/>
      </c>
      <c r="I221" s="1359" t="str">
        <f aca="false">IF('V_DATOS PAC_SGA'!BV216="IV",'V_DATOS PAC_SGA'!BV216,"")</f>
        <v/>
      </c>
      <c r="J221" s="2" t="str">
        <f aca="false">IF($A221&gt;0,IF(AND(J$4=$G221,J$6=$F221),$D221*J$5,""),"")</f>
        <v/>
      </c>
      <c r="K221" s="2" t="str">
        <f aca="false">IF($A221&gt;0,IF(AND(K$4=$G221,K$6=$F221),$D221*K$5,""),"")</f>
        <v/>
      </c>
      <c r="L221" s="2" t="str">
        <f aca="false">IF($A221&gt;0,IF(AND(L$4=$G221,L$6=$F221),$D221*L$5,""),"")</f>
        <v/>
      </c>
      <c r="M221" s="2" t="str">
        <f aca="false">IF($A221&gt;0,IF(AND(M$4=$G221,M$6=$F221),$D221*M$5,""),"")</f>
        <v/>
      </c>
      <c r="N221" s="1506" t="n">
        <f aca="false">VLOOKUP(B221,'O_MN, PE_UTA_UGM 2024'!$E$2:$K$419,IF(G221&gt;1,6,7))</f>
        <v>0</v>
      </c>
      <c r="O221" s="1434" t="str">
        <f aca="false">IF($H221=O$4,$D221*$N221,"")</f>
        <v/>
      </c>
      <c r="P221" s="1435" t="str">
        <f aca="false">IF($H221=P$4,$D221*$N221,"")</f>
        <v/>
      </c>
      <c r="Q221" s="1435" t="str">
        <f aca="false">IF($H221=Q$4,$D221*$N221,"")</f>
        <v/>
      </c>
      <c r="R221" s="1435" t="str">
        <f aca="false">IF($H221=R$4,$D221*$N221,"")</f>
        <v/>
      </c>
      <c r="S221" s="1435" t="str">
        <f aca="false">IF($H221=S$4,$D221*$N221,"")</f>
        <v/>
      </c>
      <c r="T221" s="1435" t="str">
        <f aca="false">IF($H221=T$4,$D221*$N221,"")</f>
        <v/>
      </c>
      <c r="U221" s="1436" t="str">
        <f aca="false">IF($H221=U$4,$D221*$N221,"")</f>
        <v/>
      </c>
      <c r="V221" s="1418"/>
      <c r="W221" s="1419"/>
      <c r="X221" s="1419"/>
      <c r="Y221" s="1419"/>
      <c r="Z221" s="1419"/>
      <c r="AA221" s="1419"/>
      <c r="AB221" s="1420"/>
      <c r="AC221" s="1319"/>
      <c r="AD221" s="2" t="str">
        <f aca="false">IF(AND(AD$4=$G221,AD$6=$F221),$B221,"")</f>
        <v/>
      </c>
      <c r="AE221" s="2" t="str">
        <f aca="false">IF(AND(AE$4=$G221,AE$6=$F221),$B221,"")</f>
        <v/>
      </c>
      <c r="AF221" s="2" t="str">
        <f aca="false">IF(AND(AF$4=$G221,AF$6=$F221),$B221,"")</f>
        <v/>
      </c>
      <c r="AG221" s="2" t="str">
        <f aca="false">IF(AND(AG$4=$G221,AG$6=$F221),$B221,"")</f>
        <v/>
      </c>
      <c r="AI221" s="366"/>
      <c r="AL221" s="367"/>
      <c r="AO221" s="367"/>
      <c r="AP221" s="2" t="str">
        <f aca="false">IF(AT221&gt;0,RANK(AT221,AT$7:AT$423),"")</f>
        <v/>
      </c>
      <c r="AQ221" s="2" t="n">
        <f aca="false">'O_MN, PE_UTA_UGM 2024'!C217</f>
        <v>211</v>
      </c>
      <c r="AR221" s="1421" t="n">
        <v>2070</v>
      </c>
      <c r="AS221" s="2" t="str">
        <f aca="false">IF(AY221&lt;&gt;"",AY221,"")</f>
        <v/>
      </c>
      <c r="AT221" s="1422" t="n">
        <f aca="false">IF(ISNUMBER($AR221),SUMIF(B$7:B$505,AR221,D$7:D$505),"")</f>
        <v>0</v>
      </c>
      <c r="AU221" s="1411" t="n">
        <f aca="false">IF(ISNUMBER($AR221),SUMIF(AD$7:AD$503,$AR221,J$7:J$503),"")</f>
        <v>0</v>
      </c>
      <c r="AV221" s="1411" t="n">
        <f aca="false">IF(ISNUMBER($AR221),SUMIF(AF$7:AF$503,$AR221,L$7:L$503),"")</f>
        <v>0</v>
      </c>
      <c r="AW221" s="1423" t="n">
        <f aca="false">IF(ISNUMBER($AR221),SUMIF(AE$7:AE$503,$AR221,K$7:K$503),"")</f>
        <v>0</v>
      </c>
      <c r="AX221" s="1423" t="n">
        <f aca="false">IF(ISNUMBER($AR221),SUMIF(AG$7:AG$503,$AR221,M$7:M$503),"")</f>
        <v>0</v>
      </c>
      <c r="AY221" s="2" t="str">
        <f aca="false">IF($AT221&gt;0,VLOOKUP($AR221,'O_MN, PE_UTA_UGM 2024'!E217:O633,2),"")</f>
        <v/>
      </c>
      <c r="AZ221" s="1507"/>
      <c r="BA221" s="1507"/>
      <c r="BB221" s="1507" t="str">
        <f aca="false">IF($AT221&gt;0,VLOOKUP($AR221,'O_MN, PE_UTA_UGM 2024'!$E$3:$O$419,BB$6),"")</f>
        <v/>
      </c>
      <c r="BC221" s="1507" t="str">
        <f aca="false">IF($AT221&gt;0,VLOOKUP($AR221,'O_MN, PE_UTA_UGM 2024'!$E$3:$O$419,BC$6),"")</f>
        <v/>
      </c>
      <c r="BD221" s="1507" t="str">
        <f aca="false">IF($AT221&gt;0,VLOOKUP($AR221,'O_MN, PE_UTA_UGM 2024'!$E$3:$O$419,BD$6),"")</f>
        <v/>
      </c>
      <c r="BE221" s="1507" t="str">
        <f aca="false">IF($AT221&gt;0,VLOOKUP($AR221,'O_MN, PE_UTA_UGM 2024'!$E$3:$O$419,BE$6),"")</f>
        <v/>
      </c>
      <c r="BF221" s="1507" t="str">
        <f aca="false">IF($AT221&gt;0,VLOOKUP($AR221,'O_MN, PE_UTA_UGM 2024'!$E$3:$O$419,BF$6),"")</f>
        <v/>
      </c>
      <c r="BG221" s="1507" t="str">
        <f aca="false">IF($AT221&gt;0,VLOOKUP($AR221,'O_MN, PE_UTA_UGM 2024'!$E$3:$O$419,BG$6),"")</f>
        <v/>
      </c>
      <c r="BH221" s="1504"/>
      <c r="BI221" s="1504"/>
      <c r="BJ221" s="1504"/>
      <c r="BK221" s="1504"/>
      <c r="BM221" s="1411"/>
      <c r="BN221" s="1411"/>
      <c r="BO221" s="1425" t="str">
        <f aca="false">IF(ISNUMBER($AU221*BB221*1),$AU221*BB221*1,"")</f>
        <v/>
      </c>
      <c r="BP221" s="1425" t="str">
        <f aca="false">IF(ISNUMBER($AV221*BC221*1),$AV221*BC221*1,"")</f>
        <v/>
      </c>
      <c r="BQ221" s="1425" t="str">
        <f aca="false">IF(ISNUMBER($AU221*BD221*1),$AU221*BD221*1,"")</f>
        <v/>
      </c>
      <c r="BR221" s="1425" t="str">
        <f aca="false">IF(ISNUMBER($AV221*BE221*1),$AV221*BE221*1,"")</f>
        <v/>
      </c>
      <c r="BS221" s="1411" t="str">
        <f aca="false">IF(ISNUMBER($AU221*BF221),$AU221*BF221,"")</f>
        <v/>
      </c>
      <c r="BT221" s="1411" t="str">
        <f aca="false">IF(ISNUMBER($AV221*BG221),$AV221*BG221,"")</f>
        <v/>
      </c>
      <c r="BU221" s="1411"/>
      <c r="BV221" s="1411"/>
      <c r="BW221" s="1411"/>
      <c r="BX221" s="1411"/>
      <c r="BZ221" s="1372"/>
      <c r="CA221" s="1372"/>
      <c r="CB221" s="1426" t="str">
        <f aca="false">IF(ISNUMBER($AW221*BB221),$AW221*BB221,"")</f>
        <v/>
      </c>
      <c r="CC221" s="1426" t="str">
        <f aca="false">IF(ISNUMBER($AX221*BC221),$AX221*BC221,"")</f>
        <v/>
      </c>
      <c r="CD221" s="1426" t="str">
        <f aca="false">IF(ISNUMBER($AW221*BD221),$AW221*BD221,"")</f>
        <v/>
      </c>
      <c r="CE221" s="1426" t="str">
        <f aca="false">IF(ISNUMBER($AX221*BE221),$AX221*BE221,"")</f>
        <v/>
      </c>
      <c r="CF221" s="1372" t="str">
        <f aca="false">IF(ISNUMBER($AW221*BF221),$AW221*BF221,"")</f>
        <v/>
      </c>
      <c r="CG221" s="1372" t="str">
        <f aca="false">IF(ISNUMBER($AX221*BG221),$AX221*BG221,"")</f>
        <v/>
      </c>
      <c r="CH221" s="1438"/>
      <c r="CI221" s="1438"/>
      <c r="CJ221" s="1438"/>
      <c r="CK221" s="1438"/>
      <c r="CU221" s="1411"/>
      <c r="CV221" s="1411"/>
      <c r="CW221" s="1425"/>
      <c r="CX221" s="1425"/>
      <c r="CY221" s="1425"/>
      <c r="CZ221" s="1425"/>
      <c r="DA221" s="1411"/>
      <c r="DB221" s="1411"/>
      <c r="DC221" s="1411"/>
      <c r="DD221" s="1411"/>
      <c r="DE221" s="1411"/>
      <c r="DF221" s="1411"/>
      <c r="DH221" s="1432"/>
      <c r="DI221" s="1432"/>
      <c r="DJ221" s="1437"/>
      <c r="DK221" s="1437"/>
      <c r="DL221" s="1437"/>
      <c r="DM221" s="1437"/>
      <c r="DN221" s="1432"/>
      <c r="DO221" s="1432"/>
      <c r="DP221" s="1432"/>
      <c r="DQ221" s="1432"/>
      <c r="DR221" s="1432"/>
      <c r="DS221" s="1432"/>
      <c r="DT221" s="1316"/>
      <c r="DU221" s="1433"/>
      <c r="DV221" s="1433"/>
      <c r="DW221" s="1433"/>
      <c r="DX221" s="1433"/>
      <c r="DY221" s="1433"/>
      <c r="DZ221" s="1433"/>
      <c r="EA221" s="1433"/>
      <c r="EB221" s="1433"/>
    </row>
    <row r="222" customFormat="false" ht="14.25" hidden="false" customHeight="false" outlineLevel="0" collapsed="false">
      <c r="A222" s="2" t="n">
        <f aca="false">'V_DATOS PAC_SGA'!CC217</f>
        <v>0</v>
      </c>
      <c r="B222" s="2" t="n">
        <f aca="false">IF(OR(A222=0,A222=""),0,IF(I222="IV",CONCATENATE('V_DATOS PAC_SGA'!CC217,"4")+0,CONCATENATE('V_DATOS PAC_SGA'!CC217,"0")+0))</f>
        <v>0</v>
      </c>
      <c r="C222" s="2" t="n">
        <f aca="false">'V_DATOS PAC_SGA'!CD217</f>
        <v>0</v>
      </c>
      <c r="D222" s="1409" t="n">
        <f aca="false">'V_DATOS PAC_SGA'!Y217</f>
        <v>0</v>
      </c>
      <c r="E222" s="1410" t="str">
        <f aca="false">IF('V_DATOS PAC_SGA'!AV217="","Regadio",'V_DATOS PAC_SGA'!AV217)</f>
        <v>Regadio</v>
      </c>
      <c r="F222" s="1411" t="n">
        <f aca="false">'V_DATOS PAC_SGA'!BK217</f>
        <v>0</v>
      </c>
      <c r="G222" s="1412" t="n">
        <f aca="false">'V_DATOS PAC_SGA'!AN217</f>
        <v>0</v>
      </c>
      <c r="H222" s="1413" t="str">
        <f aca="false">IF(B222&gt;0,VLOOKUP(B222,'O_MN, PE_UTA_UGM 2024'!E$3:O$419,10),"")</f>
        <v/>
      </c>
      <c r="I222" s="1359" t="str">
        <f aca="false">IF('V_DATOS PAC_SGA'!BV217="IV",'V_DATOS PAC_SGA'!BV217,"")</f>
        <v/>
      </c>
      <c r="J222" s="2" t="str">
        <f aca="false">IF($A222&gt;0,IF(AND(J$4=$G222,J$6=$F222),$D222*J$5,""),"")</f>
        <v/>
      </c>
      <c r="K222" s="2" t="str">
        <f aca="false">IF($A222&gt;0,IF(AND(K$4=$G222,K$6=$F222),$D222*K$5,""),"")</f>
        <v/>
      </c>
      <c r="L222" s="2" t="str">
        <f aca="false">IF($A222&gt;0,IF(AND(L$4=$G222,L$6=$F222),$D222*L$5,""),"")</f>
        <v/>
      </c>
      <c r="M222" s="2" t="str">
        <f aca="false">IF($A222&gt;0,IF(AND(M$4=$G222,M$6=$F222),$D222*M$5,""),"")</f>
        <v/>
      </c>
      <c r="N222" s="1506" t="n">
        <f aca="false">VLOOKUP(B222,'O_MN, PE_UTA_UGM 2024'!$E$2:$K$419,IF(G222&gt;1,6,7))</f>
        <v>0</v>
      </c>
      <c r="O222" s="1434" t="str">
        <f aca="false">IF($H222=O$4,$D222*$N222,"")</f>
        <v/>
      </c>
      <c r="P222" s="1435" t="str">
        <f aca="false">IF($H222=P$4,$D222*$N222,"")</f>
        <v/>
      </c>
      <c r="Q222" s="1435" t="str">
        <f aca="false">IF($H222=Q$4,$D222*$N222,"")</f>
        <v/>
      </c>
      <c r="R222" s="1435" t="str">
        <f aca="false">IF($H222=R$4,$D222*$N222,"")</f>
        <v/>
      </c>
      <c r="S222" s="1435" t="str">
        <f aca="false">IF($H222=S$4,$D222*$N222,"")</f>
        <v/>
      </c>
      <c r="T222" s="1435" t="str">
        <f aca="false">IF($H222=T$4,$D222*$N222,"")</f>
        <v/>
      </c>
      <c r="U222" s="1436" t="str">
        <f aca="false">IF($H222=U$4,$D222*$N222,"")</f>
        <v/>
      </c>
      <c r="V222" s="1418"/>
      <c r="W222" s="1419"/>
      <c r="X222" s="1419"/>
      <c r="Y222" s="1419"/>
      <c r="Z222" s="1419"/>
      <c r="AA222" s="1419"/>
      <c r="AB222" s="1420"/>
      <c r="AC222" s="1319"/>
      <c r="AD222" s="2" t="str">
        <f aca="false">IF(AND(AD$4=$G222,AD$6=$F222),$B222,"")</f>
        <v/>
      </c>
      <c r="AE222" s="2" t="str">
        <f aca="false">IF(AND(AE$4=$G222,AE$6=$F222),$B222,"")</f>
        <v/>
      </c>
      <c r="AF222" s="2" t="str">
        <f aca="false">IF(AND(AF$4=$G222,AF$6=$F222),$B222,"")</f>
        <v/>
      </c>
      <c r="AG222" s="2" t="str">
        <f aca="false">IF(AND(AG$4=$G222,AG$6=$F222),$B222,"")</f>
        <v/>
      </c>
      <c r="AI222" s="366"/>
      <c r="AL222" s="367"/>
      <c r="AO222" s="367"/>
      <c r="AP222" s="2" t="str">
        <f aca="false">IF(AT222&gt;0,RANK(AT222,AT$7:AT$423),"")</f>
        <v/>
      </c>
      <c r="AQ222" s="2" t="n">
        <f aca="false">'O_MN, PE_UTA_UGM 2024'!C218</f>
        <v>212</v>
      </c>
      <c r="AR222" s="1421" t="n">
        <v>2080</v>
      </c>
      <c r="AS222" s="2" t="str">
        <f aca="false">IF(AY222&lt;&gt;"",AY222,"")</f>
        <v/>
      </c>
      <c r="AT222" s="1422" t="n">
        <f aca="false">IF(ISNUMBER($AR222),SUMIF(B$7:B$505,AR222,D$7:D$505),"")</f>
        <v>0</v>
      </c>
      <c r="AU222" s="1411" t="n">
        <f aca="false">IF(ISNUMBER($AR222),SUMIF(AD$7:AD$503,$AR222,J$7:J$503),"")</f>
        <v>0</v>
      </c>
      <c r="AV222" s="1411" t="n">
        <f aca="false">IF(ISNUMBER($AR222),SUMIF(AF$7:AF$503,$AR222,L$7:L$503),"")</f>
        <v>0</v>
      </c>
      <c r="AW222" s="1423" t="n">
        <f aca="false">IF(ISNUMBER($AR222),SUMIF(AE$7:AE$503,$AR222,K$7:K$503),"")</f>
        <v>0</v>
      </c>
      <c r="AX222" s="1423" t="n">
        <f aca="false">IF(ISNUMBER($AR222),SUMIF(AG$7:AG$503,$AR222,M$7:M$503),"")</f>
        <v>0</v>
      </c>
      <c r="AY222" s="2" t="str">
        <f aca="false">IF($AT222&gt;0,VLOOKUP($AR222,'O_MN, PE_UTA_UGM 2024'!E218:O634,2),"")</f>
        <v/>
      </c>
      <c r="AZ222" s="1507"/>
      <c r="BA222" s="1507"/>
      <c r="BB222" s="1507" t="str">
        <f aca="false">IF($AT222&gt;0,VLOOKUP($AR222,'O_MN, PE_UTA_UGM 2024'!$E$3:$O$419,BB$6),"")</f>
        <v/>
      </c>
      <c r="BC222" s="1507" t="str">
        <f aca="false">IF($AT222&gt;0,VLOOKUP($AR222,'O_MN, PE_UTA_UGM 2024'!$E$3:$O$419,BC$6),"")</f>
        <v/>
      </c>
      <c r="BD222" s="1507" t="str">
        <f aca="false">IF($AT222&gt;0,VLOOKUP($AR222,'O_MN, PE_UTA_UGM 2024'!$E$3:$O$419,BD$6),"")</f>
        <v/>
      </c>
      <c r="BE222" s="1507" t="str">
        <f aca="false">IF($AT222&gt;0,VLOOKUP($AR222,'O_MN, PE_UTA_UGM 2024'!$E$3:$O$419,BE$6),"")</f>
        <v/>
      </c>
      <c r="BF222" s="1507" t="str">
        <f aca="false">IF($AT222&gt;0,VLOOKUP($AR222,'O_MN, PE_UTA_UGM 2024'!$E$3:$O$419,BF$6),"")</f>
        <v/>
      </c>
      <c r="BG222" s="1507" t="str">
        <f aca="false">IF($AT222&gt;0,VLOOKUP($AR222,'O_MN, PE_UTA_UGM 2024'!$E$3:$O$419,BG$6),"")</f>
        <v/>
      </c>
      <c r="BH222" s="1504"/>
      <c r="BI222" s="1504"/>
      <c r="BJ222" s="1504"/>
      <c r="BK222" s="1504"/>
      <c r="BM222" s="1411"/>
      <c r="BN222" s="1411"/>
      <c r="BO222" s="1425" t="str">
        <f aca="false">IF(ISNUMBER($AU222*BB222*1),$AU222*BB222*1,"")</f>
        <v/>
      </c>
      <c r="BP222" s="1425" t="str">
        <f aca="false">IF(ISNUMBER($AV222*BC222*1),$AV222*BC222*1,"")</f>
        <v/>
      </c>
      <c r="BQ222" s="1425" t="str">
        <f aca="false">IF(ISNUMBER($AU222*BD222*1),$AU222*BD222*1,"")</f>
        <v/>
      </c>
      <c r="BR222" s="1425" t="str">
        <f aca="false">IF(ISNUMBER($AV222*BE222*1),$AV222*BE222*1,"")</f>
        <v/>
      </c>
      <c r="BS222" s="1411" t="str">
        <f aca="false">IF(ISNUMBER($AU222*BF222),$AU222*BF222,"")</f>
        <v/>
      </c>
      <c r="BT222" s="1411" t="str">
        <f aca="false">IF(ISNUMBER($AV222*BG222),$AV222*BG222,"")</f>
        <v/>
      </c>
      <c r="BU222" s="1411"/>
      <c r="BV222" s="1411"/>
      <c r="BW222" s="1411"/>
      <c r="BX222" s="1411"/>
      <c r="BZ222" s="1372"/>
      <c r="CA222" s="1372"/>
      <c r="CB222" s="1426" t="str">
        <f aca="false">IF(ISNUMBER($AW222*BB222),$AW222*BB222,"")</f>
        <v/>
      </c>
      <c r="CC222" s="1426" t="str">
        <f aca="false">IF(ISNUMBER($AX222*BC222),$AX222*BC222,"")</f>
        <v/>
      </c>
      <c r="CD222" s="1426" t="str">
        <f aca="false">IF(ISNUMBER($AW222*BD222),$AW222*BD222,"")</f>
        <v/>
      </c>
      <c r="CE222" s="1426" t="str">
        <f aca="false">IF(ISNUMBER($AX222*BE222),$AX222*BE222,"")</f>
        <v/>
      </c>
      <c r="CF222" s="1372" t="str">
        <f aca="false">IF(ISNUMBER($AW222*BF222),$AW222*BF222,"")</f>
        <v/>
      </c>
      <c r="CG222" s="1372" t="str">
        <f aca="false">IF(ISNUMBER($AX222*BG222),$AX222*BG222,"")</f>
        <v/>
      </c>
      <c r="CH222" s="1438"/>
      <c r="CI222" s="1438"/>
      <c r="CJ222" s="1438"/>
      <c r="CK222" s="1438"/>
      <c r="CU222" s="1411"/>
      <c r="CV222" s="1411"/>
      <c r="CW222" s="1425"/>
      <c r="CX222" s="1425"/>
      <c r="CY222" s="1425"/>
      <c r="CZ222" s="1425"/>
      <c r="DA222" s="1411"/>
      <c r="DB222" s="1411"/>
      <c r="DC222" s="1411"/>
      <c r="DD222" s="1411"/>
      <c r="DE222" s="1411"/>
      <c r="DF222" s="1411"/>
      <c r="DH222" s="1432"/>
      <c r="DI222" s="1432"/>
      <c r="DJ222" s="1437"/>
      <c r="DK222" s="1437"/>
      <c r="DL222" s="1437"/>
      <c r="DM222" s="1437"/>
      <c r="DN222" s="1432"/>
      <c r="DO222" s="1432"/>
      <c r="DP222" s="1432"/>
      <c r="DQ222" s="1432"/>
      <c r="DR222" s="1432"/>
      <c r="DS222" s="1432"/>
      <c r="DT222" s="1316"/>
      <c r="DU222" s="1433"/>
      <c r="DV222" s="1433"/>
      <c r="DW222" s="1433"/>
      <c r="DX222" s="1433"/>
      <c r="DY222" s="1433"/>
      <c r="DZ222" s="1433"/>
      <c r="EA222" s="1433"/>
      <c r="EB222" s="1433"/>
    </row>
    <row r="223" customFormat="false" ht="14.25" hidden="false" customHeight="false" outlineLevel="0" collapsed="false">
      <c r="A223" s="2" t="n">
        <f aca="false">'V_DATOS PAC_SGA'!CC218</f>
        <v>0</v>
      </c>
      <c r="B223" s="2" t="n">
        <f aca="false">IF(OR(A223=0,A223=""),0,IF(I223="IV",CONCATENATE('V_DATOS PAC_SGA'!CC218,"4")+0,CONCATENATE('V_DATOS PAC_SGA'!CC218,"0")+0))</f>
        <v>0</v>
      </c>
      <c r="C223" s="2" t="n">
        <f aca="false">'V_DATOS PAC_SGA'!CD218</f>
        <v>0</v>
      </c>
      <c r="D223" s="1409" t="n">
        <f aca="false">'V_DATOS PAC_SGA'!Y218</f>
        <v>0</v>
      </c>
      <c r="E223" s="1410" t="str">
        <f aca="false">IF('V_DATOS PAC_SGA'!AV218="","Regadio",'V_DATOS PAC_SGA'!AV218)</f>
        <v>Regadio</v>
      </c>
      <c r="F223" s="1411" t="n">
        <f aca="false">'V_DATOS PAC_SGA'!BK218</f>
        <v>0</v>
      </c>
      <c r="G223" s="1412" t="n">
        <f aca="false">'V_DATOS PAC_SGA'!AN218</f>
        <v>0</v>
      </c>
      <c r="H223" s="1413" t="str">
        <f aca="false">IF(B223&gt;0,VLOOKUP(B223,'O_MN, PE_UTA_UGM 2024'!E$3:O$419,10),"")</f>
        <v/>
      </c>
      <c r="I223" s="1359" t="str">
        <f aca="false">IF('V_DATOS PAC_SGA'!BV218="IV",'V_DATOS PAC_SGA'!BV218,"")</f>
        <v/>
      </c>
      <c r="J223" s="2" t="str">
        <f aca="false">IF($A223&gt;0,IF(AND(J$4=$G223,J$6=$F223),$D223*J$5,""),"")</f>
        <v/>
      </c>
      <c r="K223" s="2" t="str">
        <f aca="false">IF($A223&gt;0,IF(AND(K$4=$G223,K$6=$F223),$D223*K$5,""),"")</f>
        <v/>
      </c>
      <c r="L223" s="2" t="str">
        <f aca="false">IF($A223&gt;0,IF(AND(L$4=$G223,L$6=$F223),$D223*L$5,""),"")</f>
        <v/>
      </c>
      <c r="M223" s="2" t="str">
        <f aca="false">IF($A223&gt;0,IF(AND(M$4=$G223,M$6=$F223),$D223*M$5,""),"")</f>
        <v/>
      </c>
      <c r="N223" s="1506" t="n">
        <f aca="false">VLOOKUP(B223,'O_MN, PE_UTA_UGM 2024'!$E$2:$K$419,IF(G223&gt;1,6,7))</f>
        <v>0</v>
      </c>
      <c r="O223" s="1434" t="str">
        <f aca="false">IF($H223=O$4,$D223*$N223,"")</f>
        <v/>
      </c>
      <c r="P223" s="1435" t="str">
        <f aca="false">IF($H223=P$4,$D223*$N223,"")</f>
        <v/>
      </c>
      <c r="Q223" s="1435" t="str">
        <f aca="false">IF($H223=Q$4,$D223*$N223,"")</f>
        <v/>
      </c>
      <c r="R223" s="1435" t="str">
        <f aca="false">IF($H223=R$4,$D223*$N223,"")</f>
        <v/>
      </c>
      <c r="S223" s="1435" t="str">
        <f aca="false">IF($H223=S$4,$D223*$N223,"")</f>
        <v/>
      </c>
      <c r="T223" s="1435" t="str">
        <f aca="false">IF($H223=T$4,$D223*$N223,"")</f>
        <v/>
      </c>
      <c r="U223" s="1436" t="str">
        <f aca="false">IF($H223=U$4,$D223*$N223,"")</f>
        <v/>
      </c>
      <c r="V223" s="1418"/>
      <c r="W223" s="1419"/>
      <c r="X223" s="1419"/>
      <c r="Y223" s="1419"/>
      <c r="Z223" s="1419"/>
      <c r="AA223" s="1419"/>
      <c r="AB223" s="1420"/>
      <c r="AC223" s="1319"/>
      <c r="AD223" s="2" t="str">
        <f aca="false">IF(AND(AD$4=$G223,AD$6=$F223),$B223,"")</f>
        <v/>
      </c>
      <c r="AE223" s="2" t="str">
        <f aca="false">IF(AND(AE$4=$G223,AE$6=$F223),$B223,"")</f>
        <v/>
      </c>
      <c r="AF223" s="2" t="str">
        <f aca="false">IF(AND(AF$4=$G223,AF$6=$F223),$B223,"")</f>
        <v/>
      </c>
      <c r="AG223" s="2" t="str">
        <f aca="false">IF(AND(AG$4=$G223,AG$6=$F223),$B223,"")</f>
        <v/>
      </c>
      <c r="AI223" s="366"/>
      <c r="AL223" s="367"/>
      <c r="AO223" s="367"/>
      <c r="AP223" s="2" t="str">
        <f aca="false">IF(AT223&gt;0,RANK(AT223,AT$7:AT$423),"")</f>
        <v/>
      </c>
      <c r="AQ223" s="2" t="n">
        <f aca="false">'O_MN, PE_UTA_UGM 2024'!C219</f>
        <v>213</v>
      </c>
      <c r="AR223" s="1421" t="n">
        <v>2090</v>
      </c>
      <c r="AS223" s="2" t="str">
        <f aca="false">IF(AY223&lt;&gt;"",AY223,"")</f>
        <v/>
      </c>
      <c r="AT223" s="1422" t="n">
        <f aca="false">IF(ISNUMBER($AR223),SUMIF(B$7:B$505,AR223,D$7:D$505),"")</f>
        <v>0</v>
      </c>
      <c r="AU223" s="1411" t="n">
        <f aca="false">IF(ISNUMBER($AR223),SUMIF(AD$7:AD$503,$AR223,J$7:J$503),"")</f>
        <v>0</v>
      </c>
      <c r="AV223" s="1411" t="n">
        <f aca="false">IF(ISNUMBER($AR223),SUMIF(AF$7:AF$503,$AR223,L$7:L$503),"")</f>
        <v>0</v>
      </c>
      <c r="AW223" s="1423" t="n">
        <f aca="false">IF(ISNUMBER($AR223),SUMIF(AE$7:AE$503,$AR223,K$7:K$503),"")</f>
        <v>0</v>
      </c>
      <c r="AX223" s="1423" t="n">
        <f aca="false">IF(ISNUMBER($AR223),SUMIF(AG$7:AG$503,$AR223,M$7:M$503),"")</f>
        <v>0</v>
      </c>
      <c r="AY223" s="2" t="str">
        <f aca="false">IF($AT223&gt;0,VLOOKUP($AR223,'O_MN, PE_UTA_UGM 2024'!E219:O635,2),"")</f>
        <v/>
      </c>
      <c r="AZ223" s="1507"/>
      <c r="BA223" s="1507"/>
      <c r="BB223" s="1507" t="str">
        <f aca="false">IF($AT223&gt;0,VLOOKUP($AR223,'O_MN, PE_UTA_UGM 2024'!$E$3:$O$419,BB$6),"")</f>
        <v/>
      </c>
      <c r="BC223" s="1507" t="str">
        <f aca="false">IF($AT223&gt;0,VLOOKUP($AR223,'O_MN, PE_UTA_UGM 2024'!$E$3:$O$419,BC$6),"")</f>
        <v/>
      </c>
      <c r="BD223" s="1507" t="str">
        <f aca="false">IF($AT223&gt;0,VLOOKUP($AR223,'O_MN, PE_UTA_UGM 2024'!$E$3:$O$419,BD$6),"")</f>
        <v/>
      </c>
      <c r="BE223" s="1507" t="str">
        <f aca="false">IF($AT223&gt;0,VLOOKUP($AR223,'O_MN, PE_UTA_UGM 2024'!$E$3:$O$419,BE$6),"")</f>
        <v/>
      </c>
      <c r="BF223" s="1507" t="str">
        <f aca="false">IF($AT223&gt;0,VLOOKUP($AR223,'O_MN, PE_UTA_UGM 2024'!$E$3:$O$419,BF$6),"")</f>
        <v/>
      </c>
      <c r="BG223" s="1507" t="str">
        <f aca="false">IF($AT223&gt;0,VLOOKUP($AR223,'O_MN, PE_UTA_UGM 2024'!$E$3:$O$419,BG$6),"")</f>
        <v/>
      </c>
      <c r="BH223" s="1504"/>
      <c r="BI223" s="1504"/>
      <c r="BJ223" s="1504"/>
      <c r="BK223" s="1504"/>
      <c r="BM223" s="1411"/>
      <c r="BN223" s="1411"/>
      <c r="BO223" s="1425" t="str">
        <f aca="false">IF(ISNUMBER($AU223*BB223*1),$AU223*BB223*1,"")</f>
        <v/>
      </c>
      <c r="BP223" s="1425" t="str">
        <f aca="false">IF(ISNUMBER($AV223*BC223*1),$AV223*BC223*1,"")</f>
        <v/>
      </c>
      <c r="BQ223" s="1425" t="str">
        <f aca="false">IF(ISNUMBER($AU223*BD223*1),$AU223*BD223*1,"")</f>
        <v/>
      </c>
      <c r="BR223" s="1425" t="str">
        <f aca="false">IF(ISNUMBER($AV223*BE223*1),$AV223*BE223*1,"")</f>
        <v/>
      </c>
      <c r="BS223" s="1411" t="str">
        <f aca="false">IF(ISNUMBER($AU223*BF223),$AU223*BF223,"")</f>
        <v/>
      </c>
      <c r="BT223" s="1411" t="str">
        <f aca="false">IF(ISNUMBER($AV223*BG223),$AV223*BG223,"")</f>
        <v/>
      </c>
      <c r="BU223" s="1411"/>
      <c r="BV223" s="1411"/>
      <c r="BW223" s="1411"/>
      <c r="BX223" s="1411"/>
      <c r="BZ223" s="1372"/>
      <c r="CA223" s="1372"/>
      <c r="CB223" s="1426" t="str">
        <f aca="false">IF(ISNUMBER($AW223*BB223),$AW223*BB223,"")</f>
        <v/>
      </c>
      <c r="CC223" s="1426" t="str">
        <f aca="false">IF(ISNUMBER($AX223*BC223),$AX223*BC223,"")</f>
        <v/>
      </c>
      <c r="CD223" s="1426" t="str">
        <f aca="false">IF(ISNUMBER($AW223*BD223),$AW223*BD223,"")</f>
        <v/>
      </c>
      <c r="CE223" s="1426" t="str">
        <f aca="false">IF(ISNUMBER($AX223*BE223),$AX223*BE223,"")</f>
        <v/>
      </c>
      <c r="CF223" s="1372" t="str">
        <f aca="false">IF(ISNUMBER($AW223*BF223),$AW223*BF223,"")</f>
        <v/>
      </c>
      <c r="CG223" s="1372" t="str">
        <f aca="false">IF(ISNUMBER($AX223*BG223),$AX223*BG223,"")</f>
        <v/>
      </c>
      <c r="CH223" s="1438"/>
      <c r="CI223" s="1438"/>
      <c r="CJ223" s="1438"/>
      <c r="CK223" s="1438"/>
      <c r="CU223" s="1411"/>
      <c r="CV223" s="1411"/>
      <c r="CW223" s="1425"/>
      <c r="CX223" s="1425"/>
      <c r="CY223" s="1425"/>
      <c r="CZ223" s="1425"/>
      <c r="DA223" s="1411"/>
      <c r="DB223" s="1411"/>
      <c r="DC223" s="1411"/>
      <c r="DD223" s="1411"/>
      <c r="DE223" s="1411"/>
      <c r="DF223" s="1411"/>
      <c r="DH223" s="1432"/>
      <c r="DI223" s="1432"/>
      <c r="DJ223" s="1437"/>
      <c r="DK223" s="1437"/>
      <c r="DL223" s="1437"/>
      <c r="DM223" s="1437"/>
      <c r="DN223" s="1432"/>
      <c r="DO223" s="1432"/>
      <c r="DP223" s="1432"/>
      <c r="DQ223" s="1432"/>
      <c r="DR223" s="1432"/>
      <c r="DS223" s="1432"/>
      <c r="DT223" s="1316"/>
      <c r="DU223" s="1433"/>
      <c r="DV223" s="1433"/>
      <c r="DW223" s="1433"/>
      <c r="DX223" s="1433"/>
      <c r="DY223" s="1433"/>
      <c r="DZ223" s="1433"/>
      <c r="EA223" s="1433"/>
      <c r="EB223" s="1433"/>
    </row>
    <row r="224" customFormat="false" ht="14.25" hidden="false" customHeight="false" outlineLevel="0" collapsed="false">
      <c r="A224" s="2" t="n">
        <f aca="false">'V_DATOS PAC_SGA'!CC219</f>
        <v>0</v>
      </c>
      <c r="B224" s="2" t="n">
        <f aca="false">IF(OR(A224=0,A224=""),0,IF(I224="IV",CONCATENATE('V_DATOS PAC_SGA'!CC219,"4")+0,CONCATENATE('V_DATOS PAC_SGA'!CC219,"0")+0))</f>
        <v>0</v>
      </c>
      <c r="C224" s="2" t="n">
        <f aca="false">'V_DATOS PAC_SGA'!CD219</f>
        <v>0</v>
      </c>
      <c r="D224" s="1409" t="n">
        <f aca="false">'V_DATOS PAC_SGA'!Y219</f>
        <v>0</v>
      </c>
      <c r="E224" s="1410" t="str">
        <f aca="false">IF('V_DATOS PAC_SGA'!AV219="","Regadio",'V_DATOS PAC_SGA'!AV219)</f>
        <v>Regadio</v>
      </c>
      <c r="F224" s="1411" t="n">
        <f aca="false">'V_DATOS PAC_SGA'!BK219</f>
        <v>0</v>
      </c>
      <c r="G224" s="1412" t="n">
        <f aca="false">'V_DATOS PAC_SGA'!AN219</f>
        <v>0</v>
      </c>
      <c r="H224" s="1413" t="str">
        <f aca="false">IF(B224&gt;0,VLOOKUP(B224,'O_MN, PE_UTA_UGM 2024'!E$3:O$419,10),"")</f>
        <v/>
      </c>
      <c r="I224" s="1359" t="str">
        <f aca="false">IF('V_DATOS PAC_SGA'!BV219="IV",'V_DATOS PAC_SGA'!BV219,"")</f>
        <v/>
      </c>
      <c r="J224" s="2" t="str">
        <f aca="false">IF($A224&gt;0,IF(AND(J$4=$G224,J$6=$F224),$D224*J$5,""),"")</f>
        <v/>
      </c>
      <c r="K224" s="2" t="str">
        <f aca="false">IF($A224&gt;0,IF(AND(K$4=$G224,K$6=$F224),$D224*K$5,""),"")</f>
        <v/>
      </c>
      <c r="L224" s="2" t="str">
        <f aca="false">IF($A224&gt;0,IF(AND(L$4=$G224,L$6=$F224),$D224*L$5,""),"")</f>
        <v/>
      </c>
      <c r="M224" s="2" t="str">
        <f aca="false">IF($A224&gt;0,IF(AND(M$4=$G224,M$6=$F224),$D224*M$5,""),"")</f>
        <v/>
      </c>
      <c r="N224" s="1506" t="n">
        <f aca="false">VLOOKUP(B224,'O_MN, PE_UTA_UGM 2024'!$E$2:$K$419,IF(G224&gt;1,6,7))</f>
        <v>0</v>
      </c>
      <c r="O224" s="1434" t="str">
        <f aca="false">IF($H224=O$4,$D224*$N224,"")</f>
        <v/>
      </c>
      <c r="P224" s="1435" t="str">
        <f aca="false">IF($H224=P$4,$D224*$N224,"")</f>
        <v/>
      </c>
      <c r="Q224" s="1435" t="str">
        <f aca="false">IF($H224=Q$4,$D224*$N224,"")</f>
        <v/>
      </c>
      <c r="R224" s="1435" t="str">
        <f aca="false">IF($H224=R$4,$D224*$N224,"")</f>
        <v/>
      </c>
      <c r="S224" s="1435" t="str">
        <f aca="false">IF($H224=S$4,$D224*$N224,"")</f>
        <v/>
      </c>
      <c r="T224" s="1435" t="str">
        <f aca="false">IF($H224=T$4,$D224*$N224,"")</f>
        <v/>
      </c>
      <c r="U224" s="1436" t="str">
        <f aca="false">IF($H224=U$4,$D224*$N224,"")</f>
        <v/>
      </c>
      <c r="V224" s="1418"/>
      <c r="W224" s="1419"/>
      <c r="X224" s="1419"/>
      <c r="Y224" s="1419"/>
      <c r="Z224" s="1419"/>
      <c r="AA224" s="1419"/>
      <c r="AB224" s="1420"/>
      <c r="AC224" s="1319"/>
      <c r="AD224" s="2" t="str">
        <f aca="false">IF(AND(AD$4=$G224,AD$6=$F224),$B224,"")</f>
        <v/>
      </c>
      <c r="AE224" s="2" t="str">
        <f aca="false">IF(AND(AE$4=$G224,AE$6=$F224),$B224,"")</f>
        <v/>
      </c>
      <c r="AF224" s="2" t="str">
        <f aca="false">IF(AND(AF$4=$G224,AF$6=$F224),$B224,"")</f>
        <v/>
      </c>
      <c r="AG224" s="2" t="str">
        <f aca="false">IF(AND(AG$4=$G224,AG$6=$F224),$B224,"")</f>
        <v/>
      </c>
      <c r="AI224" s="366"/>
      <c r="AL224" s="367"/>
      <c r="AO224" s="367"/>
      <c r="AP224" s="2" t="str">
        <f aca="false">IF(AT224&gt;0,RANK(AT224,AT$7:AT$423),"")</f>
        <v/>
      </c>
      <c r="AQ224" s="2" t="n">
        <f aca="false">'O_MN, PE_UTA_UGM 2024'!C220</f>
        <v>214</v>
      </c>
      <c r="AR224" s="1421" t="n">
        <v>2100</v>
      </c>
      <c r="AS224" s="2" t="str">
        <f aca="false">IF(AY224&lt;&gt;"",AY224,"")</f>
        <v/>
      </c>
      <c r="AT224" s="1422" t="n">
        <f aca="false">IF(ISNUMBER($AR224),SUMIF(B$7:B$505,AR224,D$7:D$505),"")</f>
        <v>0</v>
      </c>
      <c r="AU224" s="1411" t="n">
        <f aca="false">IF(ISNUMBER($AR224),SUMIF(AD$7:AD$503,$AR224,J$7:J$503),"")</f>
        <v>0</v>
      </c>
      <c r="AV224" s="1411" t="n">
        <f aca="false">IF(ISNUMBER($AR224),SUMIF(AF$7:AF$503,$AR224,L$7:L$503),"")</f>
        <v>0</v>
      </c>
      <c r="AW224" s="1423" t="n">
        <f aca="false">IF(ISNUMBER($AR224),SUMIF(AE$7:AE$503,$AR224,K$7:K$503),"")</f>
        <v>0</v>
      </c>
      <c r="AX224" s="1423" t="n">
        <f aca="false">IF(ISNUMBER($AR224),SUMIF(AG$7:AG$503,$AR224,M$7:M$503),"")</f>
        <v>0</v>
      </c>
      <c r="AY224" s="2" t="str">
        <f aca="false">IF($AT224&gt;0,VLOOKUP($AR224,'O_MN, PE_UTA_UGM 2024'!E220:O636,2),"")</f>
        <v/>
      </c>
      <c r="AZ224" s="1507"/>
      <c r="BA224" s="1507"/>
      <c r="BB224" s="1507" t="str">
        <f aca="false">IF($AT224&gt;0,VLOOKUP($AR224,'O_MN, PE_UTA_UGM 2024'!$E$3:$O$419,BB$6),"")</f>
        <v/>
      </c>
      <c r="BC224" s="1507" t="str">
        <f aca="false">IF($AT224&gt;0,VLOOKUP($AR224,'O_MN, PE_UTA_UGM 2024'!$E$3:$O$419,BC$6),"")</f>
        <v/>
      </c>
      <c r="BD224" s="1507" t="str">
        <f aca="false">IF($AT224&gt;0,VLOOKUP($AR224,'O_MN, PE_UTA_UGM 2024'!$E$3:$O$419,BD$6),"")</f>
        <v/>
      </c>
      <c r="BE224" s="1507" t="str">
        <f aca="false">IF($AT224&gt;0,VLOOKUP($AR224,'O_MN, PE_UTA_UGM 2024'!$E$3:$O$419,BE$6),"")</f>
        <v/>
      </c>
      <c r="BF224" s="1507" t="str">
        <f aca="false">IF($AT224&gt;0,VLOOKUP($AR224,'O_MN, PE_UTA_UGM 2024'!$E$3:$O$419,BF$6),"")</f>
        <v/>
      </c>
      <c r="BG224" s="1507" t="str">
        <f aca="false">IF($AT224&gt;0,VLOOKUP($AR224,'O_MN, PE_UTA_UGM 2024'!$E$3:$O$419,BG$6),"")</f>
        <v/>
      </c>
      <c r="BH224" s="1504"/>
      <c r="BI224" s="1504"/>
      <c r="BJ224" s="1504"/>
      <c r="BK224" s="1504"/>
      <c r="BM224" s="1411"/>
      <c r="BN224" s="1411"/>
      <c r="BO224" s="1425" t="str">
        <f aca="false">IF(ISNUMBER($AU224*BB224*1),$AU224*BB224*1,"")</f>
        <v/>
      </c>
      <c r="BP224" s="1425" t="str">
        <f aca="false">IF(ISNUMBER($AV224*BC224*1),$AV224*BC224*1,"")</f>
        <v/>
      </c>
      <c r="BQ224" s="1425" t="str">
        <f aca="false">IF(ISNUMBER($AU224*BD224*1),$AU224*BD224*1,"")</f>
        <v/>
      </c>
      <c r="BR224" s="1425" t="str">
        <f aca="false">IF(ISNUMBER($AV224*BE224*1),$AV224*BE224*1,"")</f>
        <v/>
      </c>
      <c r="BS224" s="1411" t="str">
        <f aca="false">IF(ISNUMBER($AU224*BF224),$AU224*BF224,"")</f>
        <v/>
      </c>
      <c r="BT224" s="1411" t="str">
        <f aca="false">IF(ISNUMBER($AV224*BG224),$AV224*BG224,"")</f>
        <v/>
      </c>
      <c r="BU224" s="1411"/>
      <c r="BV224" s="1411"/>
      <c r="BW224" s="1411"/>
      <c r="BX224" s="1411"/>
      <c r="BZ224" s="1372"/>
      <c r="CA224" s="1372"/>
      <c r="CB224" s="1426" t="str">
        <f aca="false">IF(ISNUMBER($AW224*BB224),$AW224*BB224,"")</f>
        <v/>
      </c>
      <c r="CC224" s="1426" t="str">
        <f aca="false">IF(ISNUMBER($AX224*BC224),$AX224*BC224,"")</f>
        <v/>
      </c>
      <c r="CD224" s="1426" t="str">
        <f aca="false">IF(ISNUMBER($AW224*BD224),$AW224*BD224,"")</f>
        <v/>
      </c>
      <c r="CE224" s="1426" t="str">
        <f aca="false">IF(ISNUMBER($AX224*BE224),$AX224*BE224,"")</f>
        <v/>
      </c>
      <c r="CF224" s="1372" t="str">
        <f aca="false">IF(ISNUMBER($AW224*BF224),$AW224*BF224,"")</f>
        <v/>
      </c>
      <c r="CG224" s="1372" t="str">
        <f aca="false">IF(ISNUMBER($AX224*BG224),$AX224*BG224,"")</f>
        <v/>
      </c>
      <c r="CH224" s="1438"/>
      <c r="CI224" s="1438"/>
      <c r="CJ224" s="1438"/>
      <c r="CK224" s="1438"/>
      <c r="CU224" s="1411"/>
      <c r="CV224" s="1411"/>
      <c r="CW224" s="1425"/>
      <c r="CX224" s="1425"/>
      <c r="CY224" s="1425"/>
      <c r="CZ224" s="1425"/>
      <c r="DA224" s="1411"/>
      <c r="DB224" s="1411"/>
      <c r="DC224" s="1411"/>
      <c r="DD224" s="1411"/>
      <c r="DE224" s="1411"/>
      <c r="DF224" s="1411"/>
      <c r="DH224" s="1432"/>
      <c r="DI224" s="1432"/>
      <c r="DJ224" s="1437"/>
      <c r="DK224" s="1437"/>
      <c r="DL224" s="1437"/>
      <c r="DM224" s="1437"/>
      <c r="DN224" s="1432"/>
      <c r="DO224" s="1432"/>
      <c r="DP224" s="1432"/>
      <c r="DQ224" s="1432"/>
      <c r="DR224" s="1432"/>
      <c r="DS224" s="1432"/>
      <c r="DT224" s="1316"/>
      <c r="DU224" s="1433"/>
      <c r="DV224" s="1433"/>
      <c r="DW224" s="1433"/>
      <c r="DX224" s="1433"/>
      <c r="DY224" s="1433"/>
      <c r="DZ224" s="1433"/>
      <c r="EA224" s="1433"/>
      <c r="EB224" s="1433"/>
    </row>
    <row r="225" customFormat="false" ht="14.25" hidden="false" customHeight="false" outlineLevel="0" collapsed="false">
      <c r="A225" s="2" t="n">
        <f aca="false">'V_DATOS PAC_SGA'!CC220</f>
        <v>0</v>
      </c>
      <c r="B225" s="2" t="n">
        <f aca="false">IF(OR(A225=0,A225=""),0,IF(I225="IV",CONCATENATE('V_DATOS PAC_SGA'!CC220,"4")+0,CONCATENATE('V_DATOS PAC_SGA'!CC220,"0")+0))</f>
        <v>0</v>
      </c>
      <c r="C225" s="2" t="n">
        <f aca="false">'V_DATOS PAC_SGA'!CD220</f>
        <v>0</v>
      </c>
      <c r="D225" s="1409" t="n">
        <f aca="false">'V_DATOS PAC_SGA'!Y220</f>
        <v>0</v>
      </c>
      <c r="E225" s="1410" t="str">
        <f aca="false">IF('V_DATOS PAC_SGA'!AV220="","Regadio",'V_DATOS PAC_SGA'!AV220)</f>
        <v>Regadio</v>
      </c>
      <c r="F225" s="1411" t="n">
        <f aca="false">'V_DATOS PAC_SGA'!BK220</f>
        <v>0</v>
      </c>
      <c r="G225" s="1412" t="n">
        <f aca="false">'V_DATOS PAC_SGA'!AN220</f>
        <v>0</v>
      </c>
      <c r="H225" s="1413" t="str">
        <f aca="false">IF(B225&gt;0,VLOOKUP(B225,'O_MN, PE_UTA_UGM 2024'!E$3:O$419,10),"")</f>
        <v/>
      </c>
      <c r="I225" s="1359" t="str">
        <f aca="false">IF('V_DATOS PAC_SGA'!BV220="IV",'V_DATOS PAC_SGA'!BV220,"")</f>
        <v/>
      </c>
      <c r="J225" s="2" t="str">
        <f aca="false">IF($A225&gt;0,IF(AND(J$4=$G225,J$6=$F225),$D225*J$5,""),"")</f>
        <v/>
      </c>
      <c r="K225" s="2" t="str">
        <f aca="false">IF($A225&gt;0,IF(AND(K$4=$G225,K$6=$F225),$D225*K$5,""),"")</f>
        <v/>
      </c>
      <c r="L225" s="2" t="str">
        <f aca="false">IF($A225&gt;0,IF(AND(L$4=$G225,L$6=$F225),$D225*L$5,""),"")</f>
        <v/>
      </c>
      <c r="M225" s="2" t="str">
        <f aca="false">IF($A225&gt;0,IF(AND(M$4=$G225,M$6=$F225),$D225*M$5,""),"")</f>
        <v/>
      </c>
      <c r="N225" s="1506" t="n">
        <f aca="false">VLOOKUP(B225,'O_MN, PE_UTA_UGM 2024'!$E$2:$K$419,IF(G225&gt;1,6,7))</f>
        <v>0</v>
      </c>
      <c r="O225" s="1434" t="str">
        <f aca="false">IF($H225=O$4,$D225*$N225,"")</f>
        <v/>
      </c>
      <c r="P225" s="1435" t="str">
        <f aca="false">IF($H225=P$4,$D225*$N225,"")</f>
        <v/>
      </c>
      <c r="Q225" s="1435" t="str">
        <f aca="false">IF($H225=Q$4,$D225*$N225,"")</f>
        <v/>
      </c>
      <c r="R225" s="1435" t="str">
        <f aca="false">IF($H225=R$4,$D225*$N225,"")</f>
        <v/>
      </c>
      <c r="S225" s="1435" t="str">
        <f aca="false">IF($H225=S$4,$D225*$N225,"")</f>
        <v/>
      </c>
      <c r="T225" s="1435" t="str">
        <f aca="false">IF($H225=T$4,$D225*$N225,"")</f>
        <v/>
      </c>
      <c r="U225" s="1436" t="str">
        <f aca="false">IF($H225=U$4,$D225*$N225,"")</f>
        <v/>
      </c>
      <c r="V225" s="1418"/>
      <c r="W225" s="1419"/>
      <c r="X225" s="1419"/>
      <c r="Y225" s="1419"/>
      <c r="Z225" s="1419"/>
      <c r="AA225" s="1419"/>
      <c r="AB225" s="1420"/>
      <c r="AC225" s="1319"/>
      <c r="AD225" s="2" t="str">
        <f aca="false">IF(AND(AD$4=$G225,AD$6=$F225),$B225,"")</f>
        <v/>
      </c>
      <c r="AE225" s="2" t="str">
        <f aca="false">IF(AND(AE$4=$G225,AE$6=$F225),$B225,"")</f>
        <v/>
      </c>
      <c r="AF225" s="2" t="str">
        <f aca="false">IF(AND(AF$4=$G225,AF$6=$F225),$B225,"")</f>
        <v/>
      </c>
      <c r="AG225" s="2" t="str">
        <f aca="false">IF(AND(AG$4=$G225,AG$6=$F225),$B225,"")</f>
        <v/>
      </c>
      <c r="AI225" s="366"/>
      <c r="AL225" s="367"/>
      <c r="AO225" s="367"/>
      <c r="AP225" s="2" t="str">
        <f aca="false">IF(AT225&gt;0,RANK(AT225,AT$7:AT$423),"")</f>
        <v/>
      </c>
      <c r="AQ225" s="2" t="n">
        <f aca="false">'O_MN, PE_UTA_UGM 2024'!C221</f>
        <v>215</v>
      </c>
      <c r="AR225" s="1421" t="n">
        <v>2110</v>
      </c>
      <c r="AS225" s="2" t="str">
        <f aca="false">IF(AY225&lt;&gt;"",AY225,"")</f>
        <v/>
      </c>
      <c r="AT225" s="1422" t="n">
        <f aca="false">IF(ISNUMBER($AR225),SUMIF(B$7:B$505,AR225,D$7:D$505),"")</f>
        <v>0</v>
      </c>
      <c r="AU225" s="1411" t="n">
        <f aca="false">IF(ISNUMBER($AR225),SUMIF(AD$7:AD$503,$AR225,J$7:J$503),"")</f>
        <v>0</v>
      </c>
      <c r="AV225" s="1411" t="n">
        <f aca="false">IF(ISNUMBER($AR225),SUMIF(AF$7:AF$503,$AR225,L$7:L$503),"")</f>
        <v>0</v>
      </c>
      <c r="AW225" s="1423" t="n">
        <f aca="false">IF(ISNUMBER($AR225),SUMIF(AE$7:AE$503,$AR225,K$7:K$503),"")</f>
        <v>0</v>
      </c>
      <c r="AX225" s="1423" t="n">
        <f aca="false">IF(ISNUMBER($AR225),SUMIF(AG$7:AG$503,$AR225,M$7:M$503),"")</f>
        <v>0</v>
      </c>
      <c r="AY225" s="2" t="str">
        <f aca="false">IF($AT225&gt;0,VLOOKUP($AR225,'O_MN, PE_UTA_UGM 2024'!E221:O637,2),"")</f>
        <v/>
      </c>
      <c r="AZ225" s="1507"/>
      <c r="BA225" s="1507"/>
      <c r="BB225" s="1507" t="str">
        <f aca="false">IF($AT225&gt;0,VLOOKUP($AR225,'O_MN, PE_UTA_UGM 2024'!$E$3:$O$419,BB$6),"")</f>
        <v/>
      </c>
      <c r="BC225" s="1507" t="str">
        <f aca="false">IF($AT225&gt;0,VLOOKUP($AR225,'O_MN, PE_UTA_UGM 2024'!$E$3:$O$419,BC$6),"")</f>
        <v/>
      </c>
      <c r="BD225" s="1507" t="str">
        <f aca="false">IF($AT225&gt;0,VLOOKUP($AR225,'O_MN, PE_UTA_UGM 2024'!$E$3:$O$419,BD$6),"")</f>
        <v/>
      </c>
      <c r="BE225" s="1507" t="str">
        <f aca="false">IF($AT225&gt;0,VLOOKUP($AR225,'O_MN, PE_UTA_UGM 2024'!$E$3:$O$419,BE$6),"")</f>
        <v/>
      </c>
      <c r="BF225" s="1507" t="str">
        <f aca="false">IF($AT225&gt;0,VLOOKUP($AR225,'O_MN, PE_UTA_UGM 2024'!$E$3:$O$419,BF$6),"")</f>
        <v/>
      </c>
      <c r="BG225" s="1507" t="str">
        <f aca="false">IF($AT225&gt;0,VLOOKUP($AR225,'O_MN, PE_UTA_UGM 2024'!$E$3:$O$419,BG$6),"")</f>
        <v/>
      </c>
      <c r="BH225" s="1504"/>
      <c r="BI225" s="1504"/>
      <c r="BJ225" s="1504"/>
      <c r="BK225" s="1504"/>
      <c r="BM225" s="1411"/>
      <c r="BN225" s="1411"/>
      <c r="BO225" s="1425" t="str">
        <f aca="false">IF(ISNUMBER($AU225*BB225*1),$AU225*BB225*1,"")</f>
        <v/>
      </c>
      <c r="BP225" s="1425" t="str">
        <f aca="false">IF(ISNUMBER($AV225*BC225*1),$AV225*BC225*1,"")</f>
        <v/>
      </c>
      <c r="BQ225" s="1425" t="str">
        <f aca="false">IF(ISNUMBER($AU225*BD225*1),$AU225*BD225*1,"")</f>
        <v/>
      </c>
      <c r="BR225" s="1425" t="str">
        <f aca="false">IF(ISNUMBER($AV225*BE225*1),$AV225*BE225*1,"")</f>
        <v/>
      </c>
      <c r="BS225" s="1411" t="str">
        <f aca="false">IF(ISNUMBER($AU225*BF225),$AU225*BF225,"")</f>
        <v/>
      </c>
      <c r="BT225" s="1411" t="str">
        <f aca="false">IF(ISNUMBER($AV225*BG225),$AV225*BG225,"")</f>
        <v/>
      </c>
      <c r="BU225" s="1411"/>
      <c r="BV225" s="1411"/>
      <c r="BW225" s="1411"/>
      <c r="BX225" s="1411"/>
      <c r="BZ225" s="1372"/>
      <c r="CA225" s="1372"/>
      <c r="CB225" s="1426" t="str">
        <f aca="false">IF(ISNUMBER($AW225*BB225),$AW225*BB225,"")</f>
        <v/>
      </c>
      <c r="CC225" s="1426" t="str">
        <f aca="false">IF(ISNUMBER($AX225*BC225),$AX225*BC225,"")</f>
        <v/>
      </c>
      <c r="CD225" s="1426" t="str">
        <f aca="false">IF(ISNUMBER($AW225*BD225),$AW225*BD225,"")</f>
        <v/>
      </c>
      <c r="CE225" s="1426" t="str">
        <f aca="false">IF(ISNUMBER($AX225*BE225),$AX225*BE225,"")</f>
        <v/>
      </c>
      <c r="CF225" s="1372" t="str">
        <f aca="false">IF(ISNUMBER($AW225*BF225),$AW225*BF225,"")</f>
        <v/>
      </c>
      <c r="CG225" s="1372" t="str">
        <f aca="false">IF(ISNUMBER($AX225*BG225),$AX225*BG225,"")</f>
        <v/>
      </c>
      <c r="CH225" s="1438"/>
      <c r="CI225" s="1438"/>
      <c r="CJ225" s="1438"/>
      <c r="CK225" s="1438"/>
      <c r="CU225" s="1411"/>
      <c r="CV225" s="1411"/>
      <c r="CW225" s="1425"/>
      <c r="CX225" s="1425"/>
      <c r="CY225" s="1425"/>
      <c r="CZ225" s="1425"/>
      <c r="DA225" s="1411"/>
      <c r="DB225" s="1411"/>
      <c r="DC225" s="1411"/>
      <c r="DD225" s="1411"/>
      <c r="DE225" s="1411"/>
      <c r="DF225" s="1411"/>
      <c r="DH225" s="1432"/>
      <c r="DI225" s="1432"/>
      <c r="DJ225" s="1437"/>
      <c r="DK225" s="1437"/>
      <c r="DL225" s="1437"/>
      <c r="DM225" s="1437"/>
      <c r="DN225" s="1432"/>
      <c r="DO225" s="1432"/>
      <c r="DP225" s="1432"/>
      <c r="DQ225" s="1432"/>
      <c r="DR225" s="1432"/>
      <c r="DS225" s="1432"/>
      <c r="DT225" s="1316"/>
      <c r="DU225" s="1433"/>
      <c r="DV225" s="1433"/>
      <c r="DW225" s="1433"/>
      <c r="DX225" s="1433"/>
      <c r="DY225" s="1433"/>
      <c r="DZ225" s="1433"/>
      <c r="EA225" s="1433"/>
      <c r="EB225" s="1433"/>
    </row>
    <row r="226" customFormat="false" ht="14.25" hidden="false" customHeight="false" outlineLevel="0" collapsed="false">
      <c r="A226" s="2" t="n">
        <f aca="false">'V_DATOS PAC_SGA'!CC221</f>
        <v>0</v>
      </c>
      <c r="B226" s="2" t="n">
        <f aca="false">IF(OR(A226=0,A226=""),0,IF(I226="IV",CONCATENATE('V_DATOS PAC_SGA'!CC221,"4")+0,CONCATENATE('V_DATOS PAC_SGA'!CC221,"0")+0))</f>
        <v>0</v>
      </c>
      <c r="C226" s="2" t="n">
        <f aca="false">'V_DATOS PAC_SGA'!CD221</f>
        <v>0</v>
      </c>
      <c r="D226" s="1409" t="n">
        <f aca="false">'V_DATOS PAC_SGA'!Y221</f>
        <v>0</v>
      </c>
      <c r="E226" s="1410" t="str">
        <f aca="false">IF('V_DATOS PAC_SGA'!AV221="","Regadio",'V_DATOS PAC_SGA'!AV221)</f>
        <v>Regadio</v>
      </c>
      <c r="F226" s="1411" t="n">
        <f aca="false">'V_DATOS PAC_SGA'!BK221</f>
        <v>0</v>
      </c>
      <c r="G226" s="1412" t="n">
        <f aca="false">'V_DATOS PAC_SGA'!AN221</f>
        <v>0</v>
      </c>
      <c r="H226" s="1413" t="str">
        <f aca="false">IF(B226&gt;0,VLOOKUP(B226,'O_MN, PE_UTA_UGM 2024'!E$3:O$419,10),"")</f>
        <v/>
      </c>
      <c r="I226" s="1359" t="str">
        <f aca="false">IF('V_DATOS PAC_SGA'!BV221="IV",'V_DATOS PAC_SGA'!BV221,"")</f>
        <v/>
      </c>
      <c r="J226" s="2" t="str">
        <f aca="false">IF($A226&gt;0,IF(AND(J$4=$G226,J$6=$F226),$D226*J$5,""),"")</f>
        <v/>
      </c>
      <c r="K226" s="2" t="str">
        <f aca="false">IF($A226&gt;0,IF(AND(K$4=$G226,K$6=$F226),$D226*K$5,""),"")</f>
        <v/>
      </c>
      <c r="L226" s="2" t="str">
        <f aca="false">IF($A226&gt;0,IF(AND(L$4=$G226,L$6=$F226),$D226*L$5,""),"")</f>
        <v/>
      </c>
      <c r="M226" s="2" t="str">
        <f aca="false">IF($A226&gt;0,IF(AND(M$4=$G226,M$6=$F226),$D226*M$5,""),"")</f>
        <v/>
      </c>
      <c r="N226" s="1506" t="n">
        <f aca="false">VLOOKUP(B226,'O_MN, PE_UTA_UGM 2024'!$E$2:$K$419,IF(G226&gt;1,6,7))</f>
        <v>0</v>
      </c>
      <c r="O226" s="1434" t="str">
        <f aca="false">IF($H226=O$4,$D226*$N226,"")</f>
        <v/>
      </c>
      <c r="P226" s="1435" t="str">
        <f aca="false">IF($H226=P$4,$D226*$N226,"")</f>
        <v/>
      </c>
      <c r="Q226" s="1435" t="str">
        <f aca="false">IF($H226=Q$4,$D226*$N226,"")</f>
        <v/>
      </c>
      <c r="R226" s="1435" t="str">
        <f aca="false">IF($H226=R$4,$D226*$N226,"")</f>
        <v/>
      </c>
      <c r="S226" s="1435" t="str">
        <f aca="false">IF($H226=S$4,$D226*$N226,"")</f>
        <v/>
      </c>
      <c r="T226" s="1435" t="str">
        <f aca="false">IF($H226=T$4,$D226*$N226,"")</f>
        <v/>
      </c>
      <c r="U226" s="1436" t="str">
        <f aca="false">IF($H226=U$4,$D226*$N226,"")</f>
        <v/>
      </c>
      <c r="V226" s="1418"/>
      <c r="W226" s="1419"/>
      <c r="X226" s="1419"/>
      <c r="Y226" s="1419"/>
      <c r="Z226" s="1419"/>
      <c r="AA226" s="1419"/>
      <c r="AB226" s="1420"/>
      <c r="AC226" s="1319"/>
      <c r="AD226" s="2" t="str">
        <f aca="false">IF(AND(AD$4=$G226,AD$6=$F226),$B226,"")</f>
        <v/>
      </c>
      <c r="AE226" s="2" t="str">
        <f aca="false">IF(AND(AE$4=$G226,AE$6=$F226),$B226,"")</f>
        <v/>
      </c>
      <c r="AF226" s="2" t="str">
        <f aca="false">IF(AND(AF$4=$G226,AF$6=$F226),$B226,"")</f>
        <v/>
      </c>
      <c r="AG226" s="2" t="str">
        <f aca="false">IF(AND(AG$4=$G226,AG$6=$F226),$B226,"")</f>
        <v/>
      </c>
      <c r="AI226" s="366"/>
      <c r="AL226" s="367"/>
      <c r="AO226" s="367"/>
      <c r="AP226" s="2" t="str">
        <f aca="false">IF(AT226&gt;0,RANK(AT226,AT$7:AT$423),"")</f>
        <v/>
      </c>
      <c r="AQ226" s="2" t="n">
        <f aca="false">'O_MN, PE_UTA_UGM 2024'!C222</f>
        <v>215</v>
      </c>
      <c r="AR226" s="1421" t="n">
        <v>2120</v>
      </c>
      <c r="AS226" s="2" t="str">
        <f aca="false">IF(AY226&lt;&gt;"",AY226,"")</f>
        <v/>
      </c>
      <c r="AT226" s="1422" t="n">
        <f aca="false">IF(ISNUMBER($AR226),SUMIF(B$7:B$505,AR226,D$7:D$505),"")</f>
        <v>0</v>
      </c>
      <c r="AU226" s="1411" t="n">
        <f aca="false">IF(ISNUMBER($AR226),SUMIF(AD$7:AD$503,$AR226,J$7:J$503),"")</f>
        <v>0</v>
      </c>
      <c r="AV226" s="1411" t="n">
        <f aca="false">IF(ISNUMBER($AR226),SUMIF(AF$7:AF$503,$AR226,L$7:L$503),"")</f>
        <v>0</v>
      </c>
      <c r="AW226" s="1423" t="n">
        <f aca="false">IF(ISNUMBER($AR226),SUMIF(AE$7:AE$503,$AR226,K$7:K$503),"")</f>
        <v>0</v>
      </c>
      <c r="AX226" s="1423" t="n">
        <f aca="false">IF(ISNUMBER($AR226),SUMIF(AG$7:AG$503,$AR226,M$7:M$503),"")</f>
        <v>0</v>
      </c>
      <c r="AY226" s="2" t="str">
        <f aca="false">IF($AT226&gt;0,VLOOKUP($AR226,'O_MN, PE_UTA_UGM 2024'!E222:O638,2),"")</f>
        <v/>
      </c>
      <c r="AZ226" s="1507"/>
      <c r="BA226" s="1507"/>
      <c r="BB226" s="1507" t="str">
        <f aca="false">IF($AT226&gt;0,VLOOKUP($AR226,'O_MN, PE_UTA_UGM 2024'!$E$3:$O$419,BB$6),"")</f>
        <v/>
      </c>
      <c r="BC226" s="1507" t="str">
        <f aca="false">IF($AT226&gt;0,VLOOKUP($AR226,'O_MN, PE_UTA_UGM 2024'!$E$3:$O$419,BC$6),"")</f>
        <v/>
      </c>
      <c r="BD226" s="1507" t="str">
        <f aca="false">IF($AT226&gt;0,VLOOKUP($AR226,'O_MN, PE_UTA_UGM 2024'!$E$3:$O$419,BD$6),"")</f>
        <v/>
      </c>
      <c r="BE226" s="1507" t="str">
        <f aca="false">IF($AT226&gt;0,VLOOKUP($AR226,'O_MN, PE_UTA_UGM 2024'!$E$3:$O$419,BE$6),"")</f>
        <v/>
      </c>
      <c r="BF226" s="1507" t="str">
        <f aca="false">IF($AT226&gt;0,VLOOKUP($AR226,'O_MN, PE_UTA_UGM 2024'!$E$3:$O$419,BF$6),"")</f>
        <v/>
      </c>
      <c r="BG226" s="1507" t="str">
        <f aca="false">IF($AT226&gt;0,VLOOKUP($AR226,'O_MN, PE_UTA_UGM 2024'!$E$3:$O$419,BG$6),"")</f>
        <v/>
      </c>
      <c r="BH226" s="1504"/>
      <c r="BI226" s="1504"/>
      <c r="BJ226" s="1504"/>
      <c r="BK226" s="1504"/>
      <c r="BM226" s="1411"/>
      <c r="BN226" s="1411"/>
      <c r="BO226" s="1425" t="str">
        <f aca="false">IF(ISNUMBER($AU226*BB226*1),$AU226*BB226*1,"")</f>
        <v/>
      </c>
      <c r="BP226" s="1425" t="str">
        <f aca="false">IF(ISNUMBER($AV226*BC226*1),$AV226*BC226*1,"")</f>
        <v/>
      </c>
      <c r="BQ226" s="1425" t="str">
        <f aca="false">IF(ISNUMBER($AU226*BD226*1),$AU226*BD226*1,"")</f>
        <v/>
      </c>
      <c r="BR226" s="1425" t="str">
        <f aca="false">IF(ISNUMBER($AV226*BE226*1),$AV226*BE226*1,"")</f>
        <v/>
      </c>
      <c r="BS226" s="1411" t="str">
        <f aca="false">IF(ISNUMBER($AU226*BF226),$AU226*BF226,"")</f>
        <v/>
      </c>
      <c r="BT226" s="1411" t="str">
        <f aca="false">IF(ISNUMBER($AV226*BG226),$AV226*BG226,"")</f>
        <v/>
      </c>
      <c r="BU226" s="1411"/>
      <c r="BV226" s="1411"/>
      <c r="BW226" s="1411"/>
      <c r="BX226" s="1411"/>
      <c r="BZ226" s="1372"/>
      <c r="CA226" s="1372"/>
      <c r="CB226" s="1426" t="str">
        <f aca="false">IF(ISNUMBER($AW226*BB226),$AW226*BB226,"")</f>
        <v/>
      </c>
      <c r="CC226" s="1426" t="str">
        <f aca="false">IF(ISNUMBER($AX226*BC226),$AX226*BC226,"")</f>
        <v/>
      </c>
      <c r="CD226" s="1426" t="str">
        <f aca="false">IF(ISNUMBER($AW226*BD226),$AW226*BD226,"")</f>
        <v/>
      </c>
      <c r="CE226" s="1426" t="str">
        <f aca="false">IF(ISNUMBER($AX226*BE226),$AX226*BE226,"")</f>
        <v/>
      </c>
      <c r="CF226" s="1372" t="str">
        <f aca="false">IF(ISNUMBER($AW226*BF226),$AW226*BF226,"")</f>
        <v/>
      </c>
      <c r="CG226" s="1372" t="str">
        <f aca="false">IF(ISNUMBER($AX226*BG226),$AX226*BG226,"")</f>
        <v/>
      </c>
      <c r="CH226" s="1438"/>
      <c r="CI226" s="1438"/>
      <c r="CJ226" s="1438"/>
      <c r="CK226" s="1438"/>
      <c r="CU226" s="1411"/>
      <c r="CV226" s="1411"/>
      <c r="CW226" s="1425"/>
      <c r="CX226" s="1425"/>
      <c r="CY226" s="1425"/>
      <c r="CZ226" s="1425"/>
      <c r="DA226" s="1411"/>
      <c r="DB226" s="1411"/>
      <c r="DC226" s="1411"/>
      <c r="DD226" s="1411"/>
      <c r="DE226" s="1411"/>
      <c r="DF226" s="1411"/>
      <c r="DH226" s="1432"/>
      <c r="DI226" s="1432"/>
      <c r="DJ226" s="1437"/>
      <c r="DK226" s="1437"/>
      <c r="DL226" s="1437"/>
      <c r="DM226" s="1437"/>
      <c r="DN226" s="1432"/>
      <c r="DO226" s="1432"/>
      <c r="DP226" s="1432"/>
      <c r="DQ226" s="1432"/>
      <c r="DR226" s="1432"/>
      <c r="DS226" s="1432"/>
      <c r="DT226" s="1316"/>
      <c r="DU226" s="1433"/>
      <c r="DV226" s="1433"/>
      <c r="DW226" s="1433"/>
      <c r="DX226" s="1433"/>
      <c r="DY226" s="1433"/>
      <c r="DZ226" s="1433"/>
      <c r="EA226" s="1433"/>
      <c r="EB226" s="1433"/>
    </row>
    <row r="227" customFormat="false" ht="14.25" hidden="false" customHeight="false" outlineLevel="0" collapsed="false">
      <c r="A227" s="2" t="n">
        <f aca="false">'V_DATOS PAC_SGA'!CC222</f>
        <v>0</v>
      </c>
      <c r="B227" s="2" t="n">
        <f aca="false">IF(OR(A227=0,A227=""),0,IF(I227="IV",CONCATENATE('V_DATOS PAC_SGA'!CC222,"4")+0,CONCATENATE('V_DATOS PAC_SGA'!CC222,"0")+0))</f>
        <v>0</v>
      </c>
      <c r="C227" s="2" t="n">
        <f aca="false">'V_DATOS PAC_SGA'!CD222</f>
        <v>0</v>
      </c>
      <c r="D227" s="1409" t="n">
        <f aca="false">'V_DATOS PAC_SGA'!Y222</f>
        <v>0</v>
      </c>
      <c r="E227" s="1410" t="str">
        <f aca="false">IF('V_DATOS PAC_SGA'!AV222="","Regadio",'V_DATOS PAC_SGA'!AV222)</f>
        <v>Regadio</v>
      </c>
      <c r="F227" s="1411" t="n">
        <f aca="false">'V_DATOS PAC_SGA'!BK222</f>
        <v>0</v>
      </c>
      <c r="G227" s="1412" t="n">
        <f aca="false">'V_DATOS PAC_SGA'!AN222</f>
        <v>0</v>
      </c>
      <c r="H227" s="1413" t="str">
        <f aca="false">IF(B227&gt;0,VLOOKUP(B227,'O_MN, PE_UTA_UGM 2024'!E$3:O$419,10),"")</f>
        <v/>
      </c>
      <c r="I227" s="1359" t="str">
        <f aca="false">IF('V_DATOS PAC_SGA'!BV222="IV",'V_DATOS PAC_SGA'!BV222,"")</f>
        <v/>
      </c>
      <c r="J227" s="2" t="str">
        <f aca="false">IF($A227&gt;0,IF(AND(J$4=$G227,J$6=$F227),$D227*J$5,""),"")</f>
        <v/>
      </c>
      <c r="K227" s="2" t="str">
        <f aca="false">IF($A227&gt;0,IF(AND(K$4=$G227,K$6=$F227),$D227*K$5,""),"")</f>
        <v/>
      </c>
      <c r="L227" s="2" t="str">
        <f aca="false">IF($A227&gt;0,IF(AND(L$4=$G227,L$6=$F227),$D227*L$5,""),"")</f>
        <v/>
      </c>
      <c r="M227" s="2" t="str">
        <f aca="false">IF($A227&gt;0,IF(AND(M$4=$G227,M$6=$F227),$D227*M$5,""),"")</f>
        <v/>
      </c>
      <c r="N227" s="1506" t="n">
        <f aca="false">VLOOKUP(B227,'O_MN, PE_UTA_UGM 2024'!$E$2:$K$419,IF(G227&gt;1,6,7))</f>
        <v>0</v>
      </c>
      <c r="O227" s="1434" t="str">
        <f aca="false">IF($H227=O$4,$D227*$N227,"")</f>
        <v/>
      </c>
      <c r="P227" s="1435" t="str">
        <f aca="false">IF($H227=P$4,$D227*$N227,"")</f>
        <v/>
      </c>
      <c r="Q227" s="1435" t="str">
        <f aca="false">IF($H227=Q$4,$D227*$N227,"")</f>
        <v/>
      </c>
      <c r="R227" s="1435" t="str">
        <f aca="false">IF($H227=R$4,$D227*$N227,"")</f>
        <v/>
      </c>
      <c r="S227" s="1435" t="str">
        <f aca="false">IF($H227=S$4,$D227*$N227,"")</f>
        <v/>
      </c>
      <c r="T227" s="1435" t="str">
        <f aca="false">IF($H227=T$4,$D227*$N227,"")</f>
        <v/>
      </c>
      <c r="U227" s="1436" t="str">
        <f aca="false">IF($H227=U$4,$D227*$N227,"")</f>
        <v/>
      </c>
      <c r="V227" s="1418"/>
      <c r="W227" s="1419"/>
      <c r="X227" s="1419"/>
      <c r="Y227" s="1419"/>
      <c r="Z227" s="1419"/>
      <c r="AA227" s="1419"/>
      <c r="AB227" s="1420"/>
      <c r="AC227" s="1319"/>
      <c r="AD227" s="2" t="str">
        <f aca="false">IF(AND(AD$4=$G227,AD$6=$F227),$B227,"")</f>
        <v/>
      </c>
      <c r="AE227" s="2" t="str">
        <f aca="false">IF(AND(AE$4=$G227,AE$6=$F227),$B227,"")</f>
        <v/>
      </c>
      <c r="AF227" s="2" t="str">
        <f aca="false">IF(AND(AF$4=$G227,AF$6=$F227),$B227,"")</f>
        <v/>
      </c>
      <c r="AG227" s="2" t="str">
        <f aca="false">IF(AND(AG$4=$G227,AG$6=$F227),$B227,"")</f>
        <v/>
      </c>
      <c r="AI227" s="366"/>
      <c r="AL227" s="367"/>
      <c r="AO227" s="367"/>
      <c r="AP227" s="2" t="str">
        <f aca="false">IF(AT227&gt;0,RANK(AT227,AT$7:AT$423),"")</f>
        <v/>
      </c>
      <c r="AQ227" s="2" t="n">
        <f aca="false">'O_MN, PE_UTA_UGM 2024'!C223</f>
        <v>215</v>
      </c>
      <c r="AR227" s="1421" t="n">
        <v>2130</v>
      </c>
      <c r="AS227" s="2" t="str">
        <f aca="false">IF(AY227&lt;&gt;"",AY227,"")</f>
        <v/>
      </c>
      <c r="AT227" s="1422" t="n">
        <f aca="false">IF(ISNUMBER($AR227),SUMIF(B$7:B$505,AR227,D$7:D$505),"")</f>
        <v>0</v>
      </c>
      <c r="AU227" s="1411" t="n">
        <f aca="false">IF(ISNUMBER($AR227),SUMIF(AD$7:AD$503,$AR227,J$7:J$503),"")</f>
        <v>0</v>
      </c>
      <c r="AV227" s="1411" t="n">
        <f aca="false">IF(ISNUMBER($AR227),SUMIF(AF$7:AF$503,$AR227,L$7:L$503),"")</f>
        <v>0</v>
      </c>
      <c r="AW227" s="1423" t="n">
        <f aca="false">IF(ISNUMBER($AR227),SUMIF(AE$7:AE$503,$AR227,K$7:K$503),"")</f>
        <v>0</v>
      </c>
      <c r="AX227" s="1423" t="n">
        <f aca="false">IF(ISNUMBER($AR227),SUMIF(AG$7:AG$503,$AR227,M$7:M$503),"")</f>
        <v>0</v>
      </c>
      <c r="AY227" s="2" t="str">
        <f aca="false">IF($AT227&gt;0,VLOOKUP($AR227,'O_MN, PE_UTA_UGM 2024'!E223:O639,2),"")</f>
        <v/>
      </c>
      <c r="AZ227" s="1507"/>
      <c r="BA227" s="1507"/>
      <c r="BB227" s="1507" t="str">
        <f aca="false">IF($AT227&gt;0,VLOOKUP($AR227,'O_MN, PE_UTA_UGM 2024'!$E$3:$O$419,BB$6),"")</f>
        <v/>
      </c>
      <c r="BC227" s="1507" t="str">
        <f aca="false">IF($AT227&gt;0,VLOOKUP($AR227,'O_MN, PE_UTA_UGM 2024'!$E$3:$O$419,BC$6),"")</f>
        <v/>
      </c>
      <c r="BD227" s="1507" t="str">
        <f aca="false">IF($AT227&gt;0,VLOOKUP($AR227,'O_MN, PE_UTA_UGM 2024'!$E$3:$O$419,BD$6),"")</f>
        <v/>
      </c>
      <c r="BE227" s="1507" t="str">
        <f aca="false">IF($AT227&gt;0,VLOOKUP($AR227,'O_MN, PE_UTA_UGM 2024'!$E$3:$O$419,BE$6),"")</f>
        <v/>
      </c>
      <c r="BF227" s="1507" t="str">
        <f aca="false">IF($AT227&gt;0,VLOOKUP($AR227,'O_MN, PE_UTA_UGM 2024'!$E$3:$O$419,BF$6),"")</f>
        <v/>
      </c>
      <c r="BG227" s="1507" t="str">
        <f aca="false">IF($AT227&gt;0,VLOOKUP($AR227,'O_MN, PE_UTA_UGM 2024'!$E$3:$O$419,BG$6),"")</f>
        <v/>
      </c>
      <c r="BH227" s="1504"/>
      <c r="BI227" s="1504"/>
      <c r="BJ227" s="1504"/>
      <c r="BK227" s="1504"/>
      <c r="BM227" s="1411"/>
      <c r="BN227" s="1411"/>
      <c r="BO227" s="1425" t="str">
        <f aca="false">IF(ISNUMBER($AU227*BB227*1),$AU227*BB227*1,"")</f>
        <v/>
      </c>
      <c r="BP227" s="1425" t="str">
        <f aca="false">IF(ISNUMBER($AV227*BC227*1),$AV227*BC227*1,"")</f>
        <v/>
      </c>
      <c r="BQ227" s="1425" t="str">
        <f aca="false">IF(ISNUMBER($AU227*BD227*1),$AU227*BD227*1,"")</f>
        <v/>
      </c>
      <c r="BR227" s="1425" t="str">
        <f aca="false">IF(ISNUMBER($AV227*BE227*1),$AV227*BE227*1,"")</f>
        <v/>
      </c>
      <c r="BS227" s="1411" t="str">
        <f aca="false">IF(ISNUMBER($AU227*BF227),$AU227*BF227,"")</f>
        <v/>
      </c>
      <c r="BT227" s="1411" t="str">
        <f aca="false">IF(ISNUMBER($AV227*BG227),$AV227*BG227,"")</f>
        <v/>
      </c>
      <c r="BU227" s="1411"/>
      <c r="BV227" s="1411"/>
      <c r="BW227" s="1411"/>
      <c r="BX227" s="1411"/>
      <c r="BZ227" s="1372"/>
      <c r="CA227" s="1372"/>
      <c r="CB227" s="1426" t="str">
        <f aca="false">IF(ISNUMBER($AW227*BB227),$AW227*BB227,"")</f>
        <v/>
      </c>
      <c r="CC227" s="1426" t="str">
        <f aca="false">IF(ISNUMBER($AX227*BC227),$AX227*BC227,"")</f>
        <v/>
      </c>
      <c r="CD227" s="1426" t="str">
        <f aca="false">IF(ISNUMBER($AW227*BD227),$AW227*BD227,"")</f>
        <v/>
      </c>
      <c r="CE227" s="1426" t="str">
        <f aca="false">IF(ISNUMBER($AX227*BE227),$AX227*BE227,"")</f>
        <v/>
      </c>
      <c r="CF227" s="1372" t="str">
        <f aca="false">IF(ISNUMBER($AW227*BF227),$AW227*BF227,"")</f>
        <v/>
      </c>
      <c r="CG227" s="1372" t="str">
        <f aca="false">IF(ISNUMBER($AX227*BG227),$AX227*BG227,"")</f>
        <v/>
      </c>
      <c r="CH227" s="1438"/>
      <c r="CI227" s="1438"/>
      <c r="CJ227" s="1438"/>
      <c r="CK227" s="1438"/>
      <c r="CU227" s="1411"/>
      <c r="CV227" s="1411"/>
      <c r="CW227" s="1425"/>
      <c r="CX227" s="1425"/>
      <c r="CY227" s="1425"/>
      <c r="CZ227" s="1425"/>
      <c r="DA227" s="1411"/>
      <c r="DB227" s="1411"/>
      <c r="DC227" s="1411"/>
      <c r="DD227" s="1411"/>
      <c r="DE227" s="1411"/>
      <c r="DF227" s="1411"/>
      <c r="DH227" s="1432"/>
      <c r="DI227" s="1432"/>
      <c r="DJ227" s="1437"/>
      <c r="DK227" s="1437"/>
      <c r="DL227" s="1437"/>
      <c r="DM227" s="1437"/>
      <c r="DN227" s="1432"/>
      <c r="DO227" s="1432"/>
      <c r="DP227" s="1432"/>
      <c r="DQ227" s="1432"/>
      <c r="DR227" s="1432"/>
      <c r="DS227" s="1432"/>
      <c r="DT227" s="1316"/>
      <c r="DU227" s="1433"/>
      <c r="DV227" s="1433"/>
      <c r="DW227" s="1433"/>
      <c r="DX227" s="1433"/>
      <c r="DY227" s="1433"/>
      <c r="DZ227" s="1433"/>
      <c r="EA227" s="1433"/>
      <c r="EB227" s="1433"/>
    </row>
    <row r="228" customFormat="false" ht="14.25" hidden="false" customHeight="false" outlineLevel="0" collapsed="false">
      <c r="A228" s="2" t="n">
        <f aca="false">'V_DATOS PAC_SGA'!CC223</f>
        <v>0</v>
      </c>
      <c r="B228" s="2" t="n">
        <f aca="false">IF(OR(A228=0,A228=""),0,IF(I228="IV",CONCATENATE('V_DATOS PAC_SGA'!CC223,"4")+0,CONCATENATE('V_DATOS PAC_SGA'!CC223,"0")+0))</f>
        <v>0</v>
      </c>
      <c r="C228" s="2" t="n">
        <f aca="false">'V_DATOS PAC_SGA'!CD223</f>
        <v>0</v>
      </c>
      <c r="D228" s="1409" t="n">
        <f aca="false">'V_DATOS PAC_SGA'!Y223</f>
        <v>0</v>
      </c>
      <c r="E228" s="1410" t="str">
        <f aca="false">IF('V_DATOS PAC_SGA'!AV223="","Regadio",'V_DATOS PAC_SGA'!AV223)</f>
        <v>Regadio</v>
      </c>
      <c r="F228" s="1411" t="n">
        <f aca="false">'V_DATOS PAC_SGA'!BK223</f>
        <v>0</v>
      </c>
      <c r="G228" s="1412" t="n">
        <f aca="false">'V_DATOS PAC_SGA'!AN223</f>
        <v>0</v>
      </c>
      <c r="H228" s="1413" t="str">
        <f aca="false">IF(B228&gt;0,VLOOKUP(B228,'O_MN, PE_UTA_UGM 2024'!E$3:O$419,10),"")</f>
        <v/>
      </c>
      <c r="I228" s="1359" t="str">
        <f aca="false">IF('V_DATOS PAC_SGA'!BV223="IV",'V_DATOS PAC_SGA'!BV223,"")</f>
        <v/>
      </c>
      <c r="J228" s="2" t="str">
        <f aca="false">IF($A228&gt;0,IF(AND(J$4=$G228,J$6=$F228),$D228*J$5,""),"")</f>
        <v/>
      </c>
      <c r="K228" s="2" t="str">
        <f aca="false">IF($A228&gt;0,IF(AND(K$4=$G228,K$6=$F228),$D228*K$5,""),"")</f>
        <v/>
      </c>
      <c r="L228" s="2" t="str">
        <f aca="false">IF($A228&gt;0,IF(AND(L$4=$G228,L$6=$F228),$D228*L$5,""),"")</f>
        <v/>
      </c>
      <c r="M228" s="2" t="str">
        <f aca="false">IF($A228&gt;0,IF(AND(M$4=$G228,M$6=$F228),$D228*M$5,""),"")</f>
        <v/>
      </c>
      <c r="N228" s="1506" t="n">
        <f aca="false">VLOOKUP(B228,'O_MN, PE_UTA_UGM 2024'!$E$2:$K$419,IF(G228&gt;1,6,7))</f>
        <v>0</v>
      </c>
      <c r="O228" s="1434" t="str">
        <f aca="false">IF($H228=O$4,$D228*$N228,"")</f>
        <v/>
      </c>
      <c r="P228" s="1435" t="str">
        <f aca="false">IF($H228=P$4,$D228*$N228,"")</f>
        <v/>
      </c>
      <c r="Q228" s="1435" t="str">
        <f aca="false">IF($H228=Q$4,$D228*$N228,"")</f>
        <v/>
      </c>
      <c r="R228" s="1435" t="str">
        <f aca="false">IF($H228=R$4,$D228*$N228,"")</f>
        <v/>
      </c>
      <c r="S228" s="1435" t="str">
        <f aca="false">IF($H228=S$4,$D228*$N228,"")</f>
        <v/>
      </c>
      <c r="T228" s="1435" t="str">
        <f aca="false">IF($H228=T$4,$D228*$N228,"")</f>
        <v/>
      </c>
      <c r="U228" s="1436" t="str">
        <f aca="false">IF($H228=U$4,$D228*$N228,"")</f>
        <v/>
      </c>
      <c r="V228" s="1418"/>
      <c r="W228" s="1419"/>
      <c r="X228" s="1419"/>
      <c r="Y228" s="1419"/>
      <c r="Z228" s="1419"/>
      <c r="AA228" s="1419"/>
      <c r="AB228" s="1420"/>
      <c r="AC228" s="1319"/>
      <c r="AD228" s="2" t="str">
        <f aca="false">IF(AND(AD$4=$G228,AD$6=$F228),$B228,"")</f>
        <v/>
      </c>
      <c r="AE228" s="2" t="str">
        <f aca="false">IF(AND(AE$4=$G228,AE$6=$F228),$B228,"")</f>
        <v/>
      </c>
      <c r="AF228" s="2" t="str">
        <f aca="false">IF(AND(AF$4=$G228,AF$6=$F228),$B228,"")</f>
        <v/>
      </c>
      <c r="AG228" s="2" t="str">
        <f aca="false">IF(AND(AG$4=$G228,AG$6=$F228),$B228,"")</f>
        <v/>
      </c>
      <c r="AI228" s="366"/>
      <c r="AL228" s="367"/>
      <c r="AO228" s="367"/>
      <c r="AP228" s="2" t="str">
        <f aca="false">IF(AT228&gt;0,RANK(AT228,AT$7:AT$423),"")</f>
        <v/>
      </c>
      <c r="AQ228" s="2" t="n">
        <f aca="false">'O_MN, PE_UTA_UGM 2024'!C224</f>
        <v>216</v>
      </c>
      <c r="AR228" s="1421" t="n">
        <v>2140</v>
      </c>
      <c r="AS228" s="2" t="str">
        <f aca="false">IF(AY228&lt;&gt;"",AY228,"")</f>
        <v/>
      </c>
      <c r="AT228" s="1422" t="n">
        <f aca="false">IF(ISNUMBER($AR228),SUMIF(B$7:B$505,AR228,D$7:D$505),"")</f>
        <v>0</v>
      </c>
      <c r="AU228" s="1411" t="n">
        <f aca="false">IF(ISNUMBER($AR228),SUMIF(AD$7:AD$503,$AR228,J$7:J$503),"")</f>
        <v>0</v>
      </c>
      <c r="AV228" s="1411" t="n">
        <f aca="false">IF(ISNUMBER($AR228),SUMIF(AF$7:AF$503,$AR228,L$7:L$503),"")</f>
        <v>0</v>
      </c>
      <c r="AW228" s="1423" t="n">
        <f aca="false">IF(ISNUMBER($AR228),SUMIF(AE$7:AE$503,$AR228,K$7:K$503),"")</f>
        <v>0</v>
      </c>
      <c r="AX228" s="1423" t="n">
        <f aca="false">IF(ISNUMBER($AR228),SUMIF(AG$7:AG$503,$AR228,M$7:M$503),"")</f>
        <v>0</v>
      </c>
      <c r="AY228" s="2" t="str">
        <f aca="false">IF($AT228&gt;0,VLOOKUP($AR228,'O_MN, PE_UTA_UGM 2024'!E224:O640,2),"")</f>
        <v/>
      </c>
      <c r="AZ228" s="1507"/>
      <c r="BA228" s="1507"/>
      <c r="BB228" s="1507" t="str">
        <f aca="false">IF($AT228&gt;0,VLOOKUP($AR228,'O_MN, PE_UTA_UGM 2024'!$E$3:$O$419,BB$6),"")</f>
        <v/>
      </c>
      <c r="BC228" s="1507" t="str">
        <f aca="false">IF($AT228&gt;0,VLOOKUP($AR228,'O_MN, PE_UTA_UGM 2024'!$E$3:$O$419,BC$6),"")</f>
        <v/>
      </c>
      <c r="BD228" s="1507" t="str">
        <f aca="false">IF($AT228&gt;0,VLOOKUP($AR228,'O_MN, PE_UTA_UGM 2024'!$E$3:$O$419,BD$6),"")</f>
        <v/>
      </c>
      <c r="BE228" s="1507" t="str">
        <f aca="false">IF($AT228&gt;0,VLOOKUP($AR228,'O_MN, PE_UTA_UGM 2024'!$E$3:$O$419,BE$6),"")</f>
        <v/>
      </c>
      <c r="BF228" s="1507" t="str">
        <f aca="false">IF($AT228&gt;0,VLOOKUP($AR228,'O_MN, PE_UTA_UGM 2024'!$E$3:$O$419,BF$6),"")</f>
        <v/>
      </c>
      <c r="BG228" s="1507" t="str">
        <f aca="false">IF($AT228&gt;0,VLOOKUP($AR228,'O_MN, PE_UTA_UGM 2024'!$E$3:$O$419,BG$6),"")</f>
        <v/>
      </c>
      <c r="BH228" s="1504"/>
      <c r="BI228" s="1504"/>
      <c r="BJ228" s="1504"/>
      <c r="BK228" s="1504"/>
      <c r="BM228" s="1411"/>
      <c r="BN228" s="1411"/>
      <c r="BO228" s="1425" t="str">
        <f aca="false">IF(ISNUMBER($AU228*BB228*1),$AU228*BB228*1,"")</f>
        <v/>
      </c>
      <c r="BP228" s="1425" t="str">
        <f aca="false">IF(ISNUMBER($AV228*BC228*1),$AV228*BC228*1,"")</f>
        <v/>
      </c>
      <c r="BQ228" s="1425" t="str">
        <f aca="false">IF(ISNUMBER($AU228*BD228*1),$AU228*BD228*1,"")</f>
        <v/>
      </c>
      <c r="BR228" s="1425" t="str">
        <f aca="false">IF(ISNUMBER($AV228*BE228*1),$AV228*BE228*1,"")</f>
        <v/>
      </c>
      <c r="BS228" s="1411" t="str">
        <f aca="false">IF(ISNUMBER($AU228*BF228),$AU228*BF228,"")</f>
        <v/>
      </c>
      <c r="BT228" s="1411" t="str">
        <f aca="false">IF(ISNUMBER($AV228*BG228),$AV228*BG228,"")</f>
        <v/>
      </c>
      <c r="BU228" s="1411"/>
      <c r="BV228" s="1411"/>
      <c r="BW228" s="1411"/>
      <c r="BX228" s="1411"/>
      <c r="BZ228" s="1372"/>
      <c r="CA228" s="1372"/>
      <c r="CB228" s="1426" t="str">
        <f aca="false">IF(ISNUMBER($AW228*BB228),$AW228*BB228,"")</f>
        <v/>
      </c>
      <c r="CC228" s="1426" t="str">
        <f aca="false">IF(ISNUMBER($AX228*BC228),$AX228*BC228,"")</f>
        <v/>
      </c>
      <c r="CD228" s="1426" t="str">
        <f aca="false">IF(ISNUMBER($AW228*BD228),$AW228*BD228,"")</f>
        <v/>
      </c>
      <c r="CE228" s="1426" t="str">
        <f aca="false">IF(ISNUMBER($AX228*BE228),$AX228*BE228,"")</f>
        <v/>
      </c>
      <c r="CF228" s="1372" t="str">
        <f aca="false">IF(ISNUMBER($AW228*BF228),$AW228*BF228,"")</f>
        <v/>
      </c>
      <c r="CG228" s="1372" t="str">
        <f aca="false">IF(ISNUMBER($AX228*BG228),$AX228*BG228,"")</f>
        <v/>
      </c>
      <c r="CH228" s="1438"/>
      <c r="CI228" s="1438"/>
      <c r="CJ228" s="1438"/>
      <c r="CK228" s="1438"/>
      <c r="CU228" s="1411"/>
      <c r="CV228" s="1411"/>
      <c r="CW228" s="1425"/>
      <c r="CX228" s="1425"/>
      <c r="CY228" s="1425"/>
      <c r="CZ228" s="1425"/>
      <c r="DA228" s="1411"/>
      <c r="DB228" s="1411"/>
      <c r="DC228" s="1411"/>
      <c r="DD228" s="1411"/>
      <c r="DE228" s="1411"/>
      <c r="DF228" s="1411"/>
      <c r="DH228" s="1432"/>
      <c r="DI228" s="1432"/>
      <c r="DJ228" s="1437"/>
      <c r="DK228" s="1437"/>
      <c r="DL228" s="1437"/>
      <c r="DM228" s="1437"/>
      <c r="DN228" s="1432"/>
      <c r="DO228" s="1432"/>
      <c r="DP228" s="1432"/>
      <c r="DQ228" s="1432"/>
      <c r="DR228" s="1432"/>
      <c r="DS228" s="1432"/>
      <c r="DT228" s="1316"/>
      <c r="DU228" s="1433"/>
      <c r="DV228" s="1433"/>
      <c r="DW228" s="1433"/>
      <c r="DX228" s="1433"/>
      <c r="DY228" s="1433"/>
      <c r="DZ228" s="1433"/>
      <c r="EA228" s="1433"/>
      <c r="EB228" s="1433"/>
    </row>
    <row r="229" customFormat="false" ht="14.25" hidden="false" customHeight="false" outlineLevel="0" collapsed="false">
      <c r="A229" s="2" t="n">
        <f aca="false">'V_DATOS PAC_SGA'!CC224</f>
        <v>0</v>
      </c>
      <c r="B229" s="2" t="n">
        <f aca="false">IF(OR(A229=0,A229=""),0,IF(I229="IV",CONCATENATE('V_DATOS PAC_SGA'!CC224,"4")+0,CONCATENATE('V_DATOS PAC_SGA'!CC224,"0")+0))</f>
        <v>0</v>
      </c>
      <c r="C229" s="2" t="n">
        <f aca="false">'V_DATOS PAC_SGA'!CD224</f>
        <v>0</v>
      </c>
      <c r="D229" s="1409" t="n">
        <f aca="false">'V_DATOS PAC_SGA'!Y224</f>
        <v>0</v>
      </c>
      <c r="E229" s="1410" t="str">
        <f aca="false">IF('V_DATOS PAC_SGA'!AV224="","Regadio",'V_DATOS PAC_SGA'!AV224)</f>
        <v>Regadio</v>
      </c>
      <c r="F229" s="1411" t="n">
        <f aca="false">'V_DATOS PAC_SGA'!BK224</f>
        <v>0</v>
      </c>
      <c r="G229" s="1412" t="n">
        <f aca="false">'V_DATOS PAC_SGA'!AN224</f>
        <v>0</v>
      </c>
      <c r="H229" s="1413" t="str">
        <f aca="false">IF(B229&gt;0,VLOOKUP(B229,'O_MN, PE_UTA_UGM 2024'!E$3:O$419,10),"")</f>
        <v/>
      </c>
      <c r="I229" s="1359" t="str">
        <f aca="false">IF('V_DATOS PAC_SGA'!BV224="IV",'V_DATOS PAC_SGA'!BV224,"")</f>
        <v/>
      </c>
      <c r="J229" s="2" t="str">
        <f aca="false">IF($A229&gt;0,IF(AND(J$4=$G229,J$6=$F229),$D229*J$5,""),"")</f>
        <v/>
      </c>
      <c r="K229" s="2" t="str">
        <f aca="false">IF($A229&gt;0,IF(AND(K$4=$G229,K$6=$F229),$D229*K$5,""),"")</f>
        <v/>
      </c>
      <c r="L229" s="2" t="str">
        <f aca="false">IF($A229&gt;0,IF(AND(L$4=$G229,L$6=$F229),$D229*L$5,""),"")</f>
        <v/>
      </c>
      <c r="M229" s="2" t="str">
        <f aca="false">IF($A229&gt;0,IF(AND(M$4=$G229,M$6=$F229),$D229*M$5,""),"")</f>
        <v/>
      </c>
      <c r="N229" s="1506" t="n">
        <f aca="false">VLOOKUP(B229,'O_MN, PE_UTA_UGM 2024'!$E$2:$K$419,IF(G229&gt;1,6,7))</f>
        <v>0</v>
      </c>
      <c r="O229" s="1434" t="str">
        <f aca="false">IF($H229=O$4,$D229*$N229,"")</f>
        <v/>
      </c>
      <c r="P229" s="1435" t="str">
        <f aca="false">IF($H229=P$4,$D229*$N229,"")</f>
        <v/>
      </c>
      <c r="Q229" s="1435" t="str">
        <f aca="false">IF($H229=Q$4,$D229*$N229,"")</f>
        <v/>
      </c>
      <c r="R229" s="1435" t="str">
        <f aca="false">IF($H229=R$4,$D229*$N229,"")</f>
        <v/>
      </c>
      <c r="S229" s="1435" t="str">
        <f aca="false">IF($H229=S$4,$D229*$N229,"")</f>
        <v/>
      </c>
      <c r="T229" s="1435" t="str">
        <f aca="false">IF($H229=T$4,$D229*$N229,"")</f>
        <v/>
      </c>
      <c r="U229" s="1436" t="str">
        <f aca="false">IF($H229=U$4,$D229*$N229,"")</f>
        <v/>
      </c>
      <c r="V229" s="1418"/>
      <c r="W229" s="1419"/>
      <c r="X229" s="1419"/>
      <c r="Y229" s="1419"/>
      <c r="Z229" s="1419"/>
      <c r="AA229" s="1419"/>
      <c r="AB229" s="1420"/>
      <c r="AC229" s="1319"/>
      <c r="AD229" s="2" t="str">
        <f aca="false">IF(AND(AD$4=$G229,AD$6=$F229),$B229,"")</f>
        <v/>
      </c>
      <c r="AE229" s="2" t="str">
        <f aca="false">IF(AND(AE$4=$G229,AE$6=$F229),$B229,"")</f>
        <v/>
      </c>
      <c r="AF229" s="2" t="str">
        <f aca="false">IF(AND(AF$4=$G229,AF$6=$F229),$B229,"")</f>
        <v/>
      </c>
      <c r="AG229" s="2" t="str">
        <f aca="false">IF(AND(AG$4=$G229,AG$6=$F229),$B229,"")</f>
        <v/>
      </c>
      <c r="AI229" s="366"/>
      <c r="AL229" s="367"/>
      <c r="AO229" s="367"/>
      <c r="AP229" s="2" t="str">
        <f aca="false">IF(AT229&gt;0,RANK(AT229,AT$7:AT$423),"")</f>
        <v/>
      </c>
      <c r="AQ229" s="2" t="n">
        <f aca="false">'O_MN, PE_UTA_UGM 2024'!C225</f>
        <v>216</v>
      </c>
      <c r="AR229" s="1421" t="n">
        <v>2150</v>
      </c>
      <c r="AS229" s="2" t="str">
        <f aca="false">IF(AY229&lt;&gt;"",AY229,"")</f>
        <v/>
      </c>
      <c r="AT229" s="1422" t="n">
        <f aca="false">IF(ISNUMBER($AR229),SUMIF(B$7:B$505,AR229,D$7:D$505),"")</f>
        <v>0</v>
      </c>
      <c r="AU229" s="1411" t="n">
        <f aca="false">IF(ISNUMBER($AR229),SUMIF(AD$7:AD$503,$AR229,J$7:J$503),"")</f>
        <v>0</v>
      </c>
      <c r="AV229" s="1411" t="n">
        <f aca="false">IF(ISNUMBER($AR229),SUMIF(AF$7:AF$503,$AR229,L$7:L$503),"")</f>
        <v>0</v>
      </c>
      <c r="AW229" s="1423" t="n">
        <f aca="false">IF(ISNUMBER($AR229),SUMIF(AE$7:AE$503,$AR229,K$7:K$503),"")</f>
        <v>0</v>
      </c>
      <c r="AX229" s="1423" t="n">
        <f aca="false">IF(ISNUMBER($AR229),SUMIF(AG$7:AG$503,$AR229,M$7:M$503),"")</f>
        <v>0</v>
      </c>
      <c r="AY229" s="2" t="str">
        <f aca="false">IF($AT229&gt;0,VLOOKUP($AR229,'O_MN, PE_UTA_UGM 2024'!E225:O641,2),"")</f>
        <v/>
      </c>
      <c r="AZ229" s="1507"/>
      <c r="BA229" s="1507"/>
      <c r="BB229" s="1507" t="str">
        <f aca="false">IF($AT229&gt;0,VLOOKUP($AR229,'O_MN, PE_UTA_UGM 2024'!$E$3:$O$419,BB$6),"")</f>
        <v/>
      </c>
      <c r="BC229" s="1507" t="str">
        <f aca="false">IF($AT229&gt;0,VLOOKUP($AR229,'O_MN, PE_UTA_UGM 2024'!$E$3:$O$419,BC$6),"")</f>
        <v/>
      </c>
      <c r="BD229" s="1507" t="str">
        <f aca="false">IF($AT229&gt;0,VLOOKUP($AR229,'O_MN, PE_UTA_UGM 2024'!$E$3:$O$419,BD$6),"")</f>
        <v/>
      </c>
      <c r="BE229" s="1507" t="str">
        <f aca="false">IF($AT229&gt;0,VLOOKUP($AR229,'O_MN, PE_UTA_UGM 2024'!$E$3:$O$419,BE$6),"")</f>
        <v/>
      </c>
      <c r="BF229" s="1507" t="str">
        <f aca="false">IF($AT229&gt;0,VLOOKUP($AR229,'O_MN, PE_UTA_UGM 2024'!$E$3:$O$419,BF$6),"")</f>
        <v/>
      </c>
      <c r="BG229" s="1507" t="str">
        <f aca="false">IF($AT229&gt;0,VLOOKUP($AR229,'O_MN, PE_UTA_UGM 2024'!$E$3:$O$419,BG$6),"")</f>
        <v/>
      </c>
      <c r="BH229" s="1504"/>
      <c r="BI229" s="1504"/>
      <c r="BJ229" s="1504"/>
      <c r="BK229" s="1504"/>
      <c r="BM229" s="1411"/>
      <c r="BN229" s="1411"/>
      <c r="BO229" s="1425" t="str">
        <f aca="false">IF(ISNUMBER($AU229*BB229*1),$AU229*BB229*1,"")</f>
        <v/>
      </c>
      <c r="BP229" s="1425" t="str">
        <f aca="false">IF(ISNUMBER($AV229*BC229*1),$AV229*BC229*1,"")</f>
        <v/>
      </c>
      <c r="BQ229" s="1425" t="str">
        <f aca="false">IF(ISNUMBER($AU229*BD229*1),$AU229*BD229*1,"")</f>
        <v/>
      </c>
      <c r="BR229" s="1425" t="str">
        <f aca="false">IF(ISNUMBER($AV229*BE229*1),$AV229*BE229*1,"")</f>
        <v/>
      </c>
      <c r="BS229" s="1411" t="str">
        <f aca="false">IF(ISNUMBER($AU229*BF229),$AU229*BF229,"")</f>
        <v/>
      </c>
      <c r="BT229" s="1411" t="str">
        <f aca="false">IF(ISNUMBER($AV229*BG229),$AV229*BG229,"")</f>
        <v/>
      </c>
      <c r="BU229" s="1411"/>
      <c r="BV229" s="1411"/>
      <c r="BW229" s="1411"/>
      <c r="BX229" s="1411"/>
      <c r="BZ229" s="1372"/>
      <c r="CA229" s="1372"/>
      <c r="CB229" s="1426" t="str">
        <f aca="false">IF(ISNUMBER($AW229*BB229),$AW229*BB229,"")</f>
        <v/>
      </c>
      <c r="CC229" s="1426" t="str">
        <f aca="false">IF(ISNUMBER($AX229*BC229),$AX229*BC229,"")</f>
        <v/>
      </c>
      <c r="CD229" s="1426" t="str">
        <f aca="false">IF(ISNUMBER($AW229*BD229),$AW229*BD229,"")</f>
        <v/>
      </c>
      <c r="CE229" s="1426" t="str">
        <f aca="false">IF(ISNUMBER($AX229*BE229),$AX229*BE229,"")</f>
        <v/>
      </c>
      <c r="CF229" s="1372" t="str">
        <f aca="false">IF(ISNUMBER($AW229*BF229),$AW229*BF229,"")</f>
        <v/>
      </c>
      <c r="CG229" s="1372" t="str">
        <f aca="false">IF(ISNUMBER($AX229*BG229),$AX229*BG229,"")</f>
        <v/>
      </c>
      <c r="CH229" s="1438"/>
      <c r="CI229" s="1438"/>
      <c r="CJ229" s="1438"/>
      <c r="CK229" s="1438"/>
      <c r="CU229" s="1411"/>
      <c r="CV229" s="1411"/>
      <c r="CW229" s="1425"/>
      <c r="CX229" s="1425"/>
      <c r="CY229" s="1425"/>
      <c r="CZ229" s="1425"/>
      <c r="DA229" s="1411"/>
      <c r="DB229" s="1411"/>
      <c r="DC229" s="1411"/>
      <c r="DD229" s="1411"/>
      <c r="DE229" s="1411"/>
      <c r="DF229" s="1411"/>
      <c r="DH229" s="1432"/>
      <c r="DI229" s="1432"/>
      <c r="DJ229" s="1437"/>
      <c r="DK229" s="1437"/>
      <c r="DL229" s="1437"/>
      <c r="DM229" s="1437"/>
      <c r="DN229" s="1432"/>
      <c r="DO229" s="1432"/>
      <c r="DP229" s="1432"/>
      <c r="DQ229" s="1432"/>
      <c r="DR229" s="1432"/>
      <c r="DS229" s="1432"/>
      <c r="DT229" s="1316"/>
      <c r="DU229" s="1433"/>
      <c r="DV229" s="1433"/>
      <c r="DW229" s="1433"/>
      <c r="DX229" s="1433"/>
      <c r="DY229" s="1433"/>
      <c r="DZ229" s="1433"/>
      <c r="EA229" s="1433"/>
      <c r="EB229" s="1433"/>
    </row>
    <row r="230" customFormat="false" ht="14.25" hidden="false" customHeight="false" outlineLevel="0" collapsed="false">
      <c r="A230" s="2" t="n">
        <f aca="false">'V_DATOS PAC_SGA'!CC225</f>
        <v>0</v>
      </c>
      <c r="B230" s="2" t="n">
        <f aca="false">IF(OR(A230=0,A230=""),0,IF(I230="IV",CONCATENATE('V_DATOS PAC_SGA'!CC225,"4")+0,CONCATENATE('V_DATOS PAC_SGA'!CC225,"0")+0))</f>
        <v>0</v>
      </c>
      <c r="C230" s="2" t="n">
        <f aca="false">'V_DATOS PAC_SGA'!CD225</f>
        <v>0</v>
      </c>
      <c r="D230" s="1409" t="n">
        <f aca="false">'V_DATOS PAC_SGA'!Y225</f>
        <v>0</v>
      </c>
      <c r="E230" s="1410" t="str">
        <f aca="false">IF('V_DATOS PAC_SGA'!AV225="","Regadio",'V_DATOS PAC_SGA'!AV225)</f>
        <v>Regadio</v>
      </c>
      <c r="F230" s="1411" t="n">
        <f aca="false">'V_DATOS PAC_SGA'!BK225</f>
        <v>0</v>
      </c>
      <c r="G230" s="1412" t="n">
        <f aca="false">'V_DATOS PAC_SGA'!AN225</f>
        <v>0</v>
      </c>
      <c r="H230" s="1413" t="str">
        <f aca="false">IF(B230&gt;0,VLOOKUP(B230,'O_MN, PE_UTA_UGM 2024'!E$3:O$419,10),"")</f>
        <v/>
      </c>
      <c r="I230" s="1359" t="str">
        <f aca="false">IF('V_DATOS PAC_SGA'!BV225="IV",'V_DATOS PAC_SGA'!BV225,"")</f>
        <v/>
      </c>
      <c r="J230" s="2" t="str">
        <f aca="false">IF($A230&gt;0,IF(AND(J$4=$G230,J$6=$F230),$D230*J$5,""),"")</f>
        <v/>
      </c>
      <c r="K230" s="2" t="str">
        <f aca="false">IF($A230&gt;0,IF(AND(K$4=$G230,K$6=$F230),$D230*K$5,""),"")</f>
        <v/>
      </c>
      <c r="L230" s="2" t="str">
        <f aca="false">IF($A230&gt;0,IF(AND(L$4=$G230,L$6=$F230),$D230*L$5,""),"")</f>
        <v/>
      </c>
      <c r="M230" s="2" t="str">
        <f aca="false">IF($A230&gt;0,IF(AND(M$4=$G230,M$6=$F230),$D230*M$5,""),"")</f>
        <v/>
      </c>
      <c r="N230" s="1506" t="n">
        <f aca="false">VLOOKUP(B230,'O_MN, PE_UTA_UGM 2024'!$E$2:$K$419,IF(G230&gt;1,6,7))</f>
        <v>0</v>
      </c>
      <c r="O230" s="1434" t="str">
        <f aca="false">IF($H230=O$4,$D230*$N230,"")</f>
        <v/>
      </c>
      <c r="P230" s="1435" t="str">
        <f aca="false">IF($H230=P$4,$D230*$N230,"")</f>
        <v/>
      </c>
      <c r="Q230" s="1435" t="str">
        <f aca="false">IF($H230=Q$4,$D230*$N230,"")</f>
        <v/>
      </c>
      <c r="R230" s="1435" t="str">
        <f aca="false">IF($H230=R$4,$D230*$N230,"")</f>
        <v/>
      </c>
      <c r="S230" s="1435" t="str">
        <f aca="false">IF($H230=S$4,$D230*$N230,"")</f>
        <v/>
      </c>
      <c r="T230" s="1435" t="str">
        <f aca="false">IF($H230=T$4,$D230*$N230,"")</f>
        <v/>
      </c>
      <c r="U230" s="1436" t="str">
        <f aca="false">IF($H230=U$4,$D230*$N230,"")</f>
        <v/>
      </c>
      <c r="V230" s="1418"/>
      <c r="W230" s="1419"/>
      <c r="X230" s="1419"/>
      <c r="Y230" s="1419"/>
      <c r="Z230" s="1419"/>
      <c r="AA230" s="1419"/>
      <c r="AB230" s="1420"/>
      <c r="AC230" s="1319"/>
      <c r="AD230" s="2" t="str">
        <f aca="false">IF(AND(AD$4=$G230,AD$6=$F230),$B230,"")</f>
        <v/>
      </c>
      <c r="AE230" s="2" t="str">
        <f aca="false">IF(AND(AE$4=$G230,AE$6=$F230),$B230,"")</f>
        <v/>
      </c>
      <c r="AF230" s="2" t="str">
        <f aca="false">IF(AND(AF$4=$G230,AF$6=$F230),$B230,"")</f>
        <v/>
      </c>
      <c r="AG230" s="2" t="str">
        <f aca="false">IF(AND(AG$4=$G230,AG$6=$F230),$B230,"")</f>
        <v/>
      </c>
      <c r="AI230" s="366"/>
      <c r="AL230" s="367"/>
      <c r="AO230" s="367"/>
      <c r="AP230" s="2" t="str">
        <f aca="false">IF(AT230&gt;0,RANK(AT230,AT$7:AT$423),"")</f>
        <v/>
      </c>
      <c r="AQ230" s="2" t="n">
        <f aca="false">'O_MN, PE_UTA_UGM 2024'!C226</f>
        <v>216</v>
      </c>
      <c r="AR230" s="1421" t="n">
        <v>2154</v>
      </c>
      <c r="AS230" s="2" t="str">
        <f aca="false">IF(AY230&lt;&gt;"",AY230,"")</f>
        <v/>
      </c>
      <c r="AT230" s="1422" t="n">
        <f aca="false">IF(ISNUMBER($AR230),SUMIF(B$7:B$505,AR230,D$7:D$505),"")</f>
        <v>0</v>
      </c>
      <c r="AU230" s="1411" t="n">
        <f aca="false">IF(ISNUMBER($AR230),SUMIF(AD$7:AD$503,$AR230,J$7:J$503),"")</f>
        <v>0</v>
      </c>
      <c r="AV230" s="1411" t="n">
        <f aca="false">IF(ISNUMBER($AR230),SUMIF(AF$7:AF$503,$AR230,L$7:L$503),"")</f>
        <v>0</v>
      </c>
      <c r="AW230" s="1423" t="n">
        <f aca="false">IF(ISNUMBER($AR230),SUMIF(AE$7:AE$503,$AR230,K$7:K$503),"")</f>
        <v>0</v>
      </c>
      <c r="AX230" s="1423" t="n">
        <f aca="false">IF(ISNUMBER($AR230),SUMIF(AG$7:AG$503,$AR230,M$7:M$503),"")</f>
        <v>0</v>
      </c>
      <c r="AY230" s="2" t="str">
        <f aca="false">IF($AT230&gt;0,VLOOKUP($AR230,'O_MN, PE_UTA_UGM 2024'!E226:O642,2),"")</f>
        <v/>
      </c>
      <c r="AZ230" s="1507"/>
      <c r="BA230" s="1507"/>
      <c r="BB230" s="1507" t="str">
        <f aca="false">IF($AT230&gt;0,VLOOKUP($AR230,'O_MN, PE_UTA_UGM 2024'!$E$3:$O$419,BB$6),"")</f>
        <v/>
      </c>
      <c r="BC230" s="1507" t="str">
        <f aca="false">IF($AT230&gt;0,VLOOKUP($AR230,'O_MN, PE_UTA_UGM 2024'!$E$3:$O$419,BC$6),"")</f>
        <v/>
      </c>
      <c r="BD230" s="1507" t="str">
        <f aca="false">IF($AT230&gt;0,VLOOKUP($AR230,'O_MN, PE_UTA_UGM 2024'!$E$3:$O$419,BD$6),"")</f>
        <v/>
      </c>
      <c r="BE230" s="1507" t="str">
        <f aca="false">IF($AT230&gt;0,VLOOKUP($AR230,'O_MN, PE_UTA_UGM 2024'!$E$3:$O$419,BE$6),"")</f>
        <v/>
      </c>
      <c r="BF230" s="1507" t="str">
        <f aca="false">IF($AT230&gt;0,VLOOKUP($AR230,'O_MN, PE_UTA_UGM 2024'!$E$3:$O$419,BF$6),"")</f>
        <v/>
      </c>
      <c r="BG230" s="1507" t="str">
        <f aca="false">IF($AT230&gt;0,VLOOKUP($AR230,'O_MN, PE_UTA_UGM 2024'!$E$3:$O$419,BG$6),"")</f>
        <v/>
      </c>
      <c r="BH230" s="1504"/>
      <c r="BI230" s="1504"/>
      <c r="BJ230" s="1504"/>
      <c r="BK230" s="1504"/>
      <c r="BM230" s="1411"/>
      <c r="BN230" s="1411"/>
      <c r="BO230" s="1425" t="str">
        <f aca="false">IF(ISNUMBER($AU230*BB230*1),$AU230*BB230*1,"")</f>
        <v/>
      </c>
      <c r="BP230" s="1425" t="str">
        <f aca="false">IF(ISNUMBER($AV230*BC230*1),$AV230*BC230*1,"")</f>
        <v/>
      </c>
      <c r="BQ230" s="1425" t="str">
        <f aca="false">IF(ISNUMBER($AU230*BD230*1),$AU230*BD230*1,"")</f>
        <v/>
      </c>
      <c r="BR230" s="1425" t="str">
        <f aca="false">IF(ISNUMBER($AV230*BE230*1),$AV230*BE230*1,"")</f>
        <v/>
      </c>
      <c r="BS230" s="1411" t="str">
        <f aca="false">IF(ISNUMBER($AU230*BF230),$AU230*BF230,"")</f>
        <v/>
      </c>
      <c r="BT230" s="1411" t="str">
        <f aca="false">IF(ISNUMBER($AV230*BG230),$AV230*BG230,"")</f>
        <v/>
      </c>
      <c r="BU230" s="1411"/>
      <c r="BV230" s="1411"/>
      <c r="BW230" s="1411"/>
      <c r="BX230" s="1411"/>
      <c r="BZ230" s="1372"/>
      <c r="CA230" s="1372"/>
      <c r="CB230" s="1426" t="str">
        <f aca="false">IF(ISNUMBER($AW230*BB230),$AW230*BB230,"")</f>
        <v/>
      </c>
      <c r="CC230" s="1426" t="str">
        <f aca="false">IF(ISNUMBER($AX230*BC230),$AX230*BC230,"")</f>
        <v/>
      </c>
      <c r="CD230" s="1426" t="str">
        <f aca="false">IF(ISNUMBER($AW230*BD230),$AW230*BD230,"")</f>
        <v/>
      </c>
      <c r="CE230" s="1426" t="str">
        <f aca="false">IF(ISNUMBER($AX230*BE230),$AX230*BE230,"")</f>
        <v/>
      </c>
      <c r="CF230" s="1372" t="str">
        <f aca="false">IF(ISNUMBER($AW230*BF230),$AW230*BF230,"")</f>
        <v/>
      </c>
      <c r="CG230" s="1372" t="str">
        <f aca="false">IF(ISNUMBER($AX230*BG230),$AX230*BG230,"")</f>
        <v/>
      </c>
      <c r="CH230" s="1438"/>
      <c r="CI230" s="1438"/>
      <c r="CJ230" s="1438"/>
      <c r="CK230" s="1438"/>
      <c r="CU230" s="1411"/>
      <c r="CV230" s="1411"/>
      <c r="CW230" s="1425"/>
      <c r="CX230" s="1425"/>
      <c r="CY230" s="1425"/>
      <c r="CZ230" s="1425"/>
      <c r="DA230" s="1411"/>
      <c r="DB230" s="1411"/>
      <c r="DC230" s="1411"/>
      <c r="DD230" s="1411"/>
      <c r="DE230" s="1411"/>
      <c r="DF230" s="1411"/>
      <c r="DH230" s="1432"/>
      <c r="DI230" s="1432"/>
      <c r="DJ230" s="1437"/>
      <c r="DK230" s="1437"/>
      <c r="DL230" s="1437"/>
      <c r="DM230" s="1437"/>
      <c r="DN230" s="1432"/>
      <c r="DO230" s="1432"/>
      <c r="DP230" s="1432"/>
      <c r="DQ230" s="1432"/>
      <c r="DR230" s="1432"/>
      <c r="DS230" s="1432"/>
      <c r="DT230" s="1316"/>
      <c r="DU230" s="1433"/>
      <c r="DV230" s="1433"/>
      <c r="DW230" s="1433"/>
      <c r="DX230" s="1433"/>
      <c r="DY230" s="1433"/>
      <c r="DZ230" s="1433"/>
      <c r="EA230" s="1433"/>
      <c r="EB230" s="1433"/>
    </row>
    <row r="231" customFormat="false" ht="14.25" hidden="false" customHeight="false" outlineLevel="0" collapsed="false">
      <c r="A231" s="2" t="n">
        <f aca="false">'V_DATOS PAC_SGA'!CC226</f>
        <v>0</v>
      </c>
      <c r="B231" s="2" t="n">
        <f aca="false">IF(OR(A231=0,A231=""),0,IF(I231="IV",CONCATENATE('V_DATOS PAC_SGA'!CC226,"4")+0,CONCATENATE('V_DATOS PAC_SGA'!CC226,"0")+0))</f>
        <v>0</v>
      </c>
      <c r="C231" s="2" t="n">
        <f aca="false">'V_DATOS PAC_SGA'!CD226</f>
        <v>0</v>
      </c>
      <c r="D231" s="1409" t="n">
        <f aca="false">'V_DATOS PAC_SGA'!Y226</f>
        <v>0</v>
      </c>
      <c r="E231" s="1410" t="str">
        <f aca="false">IF('V_DATOS PAC_SGA'!AV226="","Regadio",'V_DATOS PAC_SGA'!AV226)</f>
        <v>Regadio</v>
      </c>
      <c r="F231" s="1411" t="n">
        <f aca="false">'V_DATOS PAC_SGA'!BK226</f>
        <v>0</v>
      </c>
      <c r="G231" s="1412" t="n">
        <f aca="false">'V_DATOS PAC_SGA'!AN226</f>
        <v>0</v>
      </c>
      <c r="H231" s="1413" t="str">
        <f aca="false">IF(B231&gt;0,VLOOKUP(B231,'O_MN, PE_UTA_UGM 2024'!E$3:O$419,10),"")</f>
        <v/>
      </c>
      <c r="I231" s="1359" t="str">
        <f aca="false">IF('V_DATOS PAC_SGA'!BV226="IV",'V_DATOS PAC_SGA'!BV226,"")</f>
        <v/>
      </c>
      <c r="J231" s="2" t="str">
        <f aca="false">IF($A231&gt;0,IF(AND(J$4=$G231,J$6=$F231),$D231*J$5,""),"")</f>
        <v/>
      </c>
      <c r="K231" s="2" t="str">
        <f aca="false">IF($A231&gt;0,IF(AND(K$4=$G231,K$6=$F231),$D231*K$5,""),"")</f>
        <v/>
      </c>
      <c r="L231" s="2" t="str">
        <f aca="false">IF($A231&gt;0,IF(AND(L$4=$G231,L$6=$F231),$D231*L$5,""),"")</f>
        <v/>
      </c>
      <c r="M231" s="2" t="str">
        <f aca="false">IF($A231&gt;0,IF(AND(M$4=$G231,M$6=$F231),$D231*M$5,""),"")</f>
        <v/>
      </c>
      <c r="N231" s="1506" t="n">
        <f aca="false">VLOOKUP(B231,'O_MN, PE_UTA_UGM 2024'!$E$2:$K$419,IF(G231&gt;1,6,7))</f>
        <v>0</v>
      </c>
      <c r="O231" s="1434" t="str">
        <f aca="false">IF($H231=O$4,$D231*$N231,"")</f>
        <v/>
      </c>
      <c r="P231" s="1435" t="str">
        <f aca="false">IF($H231=P$4,$D231*$N231,"")</f>
        <v/>
      </c>
      <c r="Q231" s="1435" t="str">
        <f aca="false">IF($H231=Q$4,$D231*$N231,"")</f>
        <v/>
      </c>
      <c r="R231" s="1435" t="str">
        <f aca="false">IF($H231=R$4,$D231*$N231,"")</f>
        <v/>
      </c>
      <c r="S231" s="1435" t="str">
        <f aca="false">IF($H231=S$4,$D231*$N231,"")</f>
        <v/>
      </c>
      <c r="T231" s="1435" t="str">
        <f aca="false">IF($H231=T$4,$D231*$N231,"")</f>
        <v/>
      </c>
      <c r="U231" s="1436" t="str">
        <f aca="false">IF($H231=U$4,$D231*$N231,"")</f>
        <v/>
      </c>
      <c r="V231" s="1418"/>
      <c r="W231" s="1419"/>
      <c r="X231" s="1419"/>
      <c r="Y231" s="1419"/>
      <c r="Z231" s="1419"/>
      <c r="AA231" s="1419"/>
      <c r="AB231" s="1420"/>
      <c r="AC231" s="1319"/>
      <c r="AD231" s="2" t="str">
        <f aca="false">IF(AND(AD$4=$G231,AD$6=$F231),$B231,"")</f>
        <v/>
      </c>
      <c r="AE231" s="2" t="str">
        <f aca="false">IF(AND(AE$4=$G231,AE$6=$F231),$B231,"")</f>
        <v/>
      </c>
      <c r="AF231" s="2" t="str">
        <f aca="false">IF(AND(AF$4=$G231,AF$6=$F231),$B231,"")</f>
        <v/>
      </c>
      <c r="AG231" s="2" t="str">
        <f aca="false">IF(AND(AG$4=$G231,AG$6=$F231),$B231,"")</f>
        <v/>
      </c>
      <c r="AI231" s="366"/>
      <c r="AL231" s="367"/>
      <c r="AO231" s="367"/>
      <c r="AP231" s="2" t="str">
        <f aca="false">IF(AT231&gt;0,RANK(AT231,AT$7:AT$423),"")</f>
        <v/>
      </c>
      <c r="AQ231" s="2" t="n">
        <f aca="false">'O_MN, PE_UTA_UGM 2024'!C227</f>
        <v>217</v>
      </c>
      <c r="AR231" s="1421" t="n">
        <v>2159</v>
      </c>
      <c r="AS231" s="2" t="str">
        <f aca="false">IF(AY231&lt;&gt;"",AY231,"")</f>
        <v/>
      </c>
      <c r="AT231" s="1422" t="n">
        <f aca="false">IF(ISNUMBER($AR231),SUMIF(B$7:B$505,AR231,D$7:D$505),"")</f>
        <v>0</v>
      </c>
      <c r="AU231" s="1411" t="n">
        <f aca="false">IF(ISNUMBER($AR231),SUMIF(AD$7:AD$503,$AR231,J$7:J$503),"")</f>
        <v>0</v>
      </c>
      <c r="AV231" s="1411" t="n">
        <f aca="false">IF(ISNUMBER($AR231),SUMIF(AF$7:AF$503,$AR231,L$7:L$503),"")</f>
        <v>0</v>
      </c>
      <c r="AW231" s="1423" t="n">
        <f aca="false">IF(ISNUMBER($AR231),SUMIF(AE$7:AE$503,$AR231,K$7:K$503),"")</f>
        <v>0</v>
      </c>
      <c r="AX231" s="1423" t="n">
        <f aca="false">IF(ISNUMBER($AR231),SUMIF(AG$7:AG$503,$AR231,M$7:M$503),"")</f>
        <v>0</v>
      </c>
      <c r="AY231" s="2" t="str">
        <f aca="false">IF($AT231&gt;0,VLOOKUP($AR231,'O_MN, PE_UTA_UGM 2024'!E227:O643,2),"")</f>
        <v/>
      </c>
      <c r="AZ231" s="1507"/>
      <c r="BA231" s="1507"/>
      <c r="BB231" s="1507" t="str">
        <f aca="false">IF($AT231&gt;0,VLOOKUP($AR231,'O_MN, PE_UTA_UGM 2024'!$E$3:$O$419,BB$6),"")</f>
        <v/>
      </c>
      <c r="BC231" s="1507" t="str">
        <f aca="false">IF($AT231&gt;0,VLOOKUP($AR231,'O_MN, PE_UTA_UGM 2024'!$E$3:$O$419,BC$6),"")</f>
        <v/>
      </c>
      <c r="BD231" s="1507" t="str">
        <f aca="false">IF($AT231&gt;0,VLOOKUP($AR231,'O_MN, PE_UTA_UGM 2024'!$E$3:$O$419,BD$6),"")</f>
        <v/>
      </c>
      <c r="BE231" s="1507" t="str">
        <f aca="false">IF($AT231&gt;0,VLOOKUP($AR231,'O_MN, PE_UTA_UGM 2024'!$E$3:$O$419,BE$6),"")</f>
        <v/>
      </c>
      <c r="BF231" s="1507" t="str">
        <f aca="false">IF($AT231&gt;0,VLOOKUP($AR231,'O_MN, PE_UTA_UGM 2024'!$E$3:$O$419,BF$6),"")</f>
        <v/>
      </c>
      <c r="BG231" s="1507" t="str">
        <f aca="false">IF($AT231&gt;0,VLOOKUP($AR231,'O_MN, PE_UTA_UGM 2024'!$E$3:$O$419,BG$6),"")</f>
        <v/>
      </c>
      <c r="BH231" s="1504"/>
      <c r="BI231" s="1504"/>
      <c r="BJ231" s="1504"/>
      <c r="BK231" s="1504"/>
      <c r="BM231" s="1411"/>
      <c r="BN231" s="1411"/>
      <c r="BO231" s="1425" t="str">
        <f aca="false">IF(ISNUMBER($AU231*BB231*1),$AU231*BB231*1,"")</f>
        <v/>
      </c>
      <c r="BP231" s="1425" t="str">
        <f aca="false">IF(ISNUMBER($AV231*BC231*1),$AV231*BC231*1,"")</f>
        <v/>
      </c>
      <c r="BQ231" s="1425" t="str">
        <f aca="false">IF(ISNUMBER($AU231*BD231*1),$AU231*BD231*1,"")</f>
        <v/>
      </c>
      <c r="BR231" s="1425" t="str">
        <f aca="false">IF(ISNUMBER($AV231*BE231*1),$AV231*BE231*1,"")</f>
        <v/>
      </c>
      <c r="BS231" s="1411" t="str">
        <f aca="false">IF(ISNUMBER($AU231*BF231),$AU231*BF231,"")</f>
        <v/>
      </c>
      <c r="BT231" s="1411" t="str">
        <f aca="false">IF(ISNUMBER($AV231*BG231),$AV231*BG231,"")</f>
        <v/>
      </c>
      <c r="BU231" s="1411"/>
      <c r="BV231" s="1411"/>
      <c r="BW231" s="1411"/>
      <c r="BX231" s="1411"/>
      <c r="BZ231" s="1372"/>
      <c r="CA231" s="1372"/>
      <c r="CB231" s="1426" t="str">
        <f aca="false">IF(ISNUMBER($AW231*BB231),$AW231*BB231,"")</f>
        <v/>
      </c>
      <c r="CC231" s="1426" t="str">
        <f aca="false">IF(ISNUMBER($AX231*BC231),$AX231*BC231,"")</f>
        <v/>
      </c>
      <c r="CD231" s="1426" t="str">
        <f aca="false">IF(ISNUMBER($AW231*BD231),$AW231*BD231,"")</f>
        <v/>
      </c>
      <c r="CE231" s="1426" t="str">
        <f aca="false">IF(ISNUMBER($AX231*BE231),$AX231*BE231,"")</f>
        <v/>
      </c>
      <c r="CF231" s="1372" t="str">
        <f aca="false">IF(ISNUMBER($AW231*BF231),$AW231*BF231,"")</f>
        <v/>
      </c>
      <c r="CG231" s="1372" t="str">
        <f aca="false">IF(ISNUMBER($AX231*BG231),$AX231*BG231,"")</f>
        <v/>
      </c>
      <c r="CH231" s="1438"/>
      <c r="CI231" s="1438"/>
      <c r="CJ231" s="1438"/>
      <c r="CK231" s="1438"/>
      <c r="CU231" s="1411"/>
      <c r="CV231" s="1411"/>
      <c r="CW231" s="1425"/>
      <c r="CX231" s="1425"/>
      <c r="CY231" s="1425"/>
      <c r="CZ231" s="1425"/>
      <c r="DA231" s="1411"/>
      <c r="DB231" s="1411"/>
      <c r="DC231" s="1411"/>
      <c r="DD231" s="1411"/>
      <c r="DE231" s="1411"/>
      <c r="DF231" s="1411"/>
      <c r="DH231" s="1432"/>
      <c r="DI231" s="1432"/>
      <c r="DJ231" s="1437"/>
      <c r="DK231" s="1437"/>
      <c r="DL231" s="1437"/>
      <c r="DM231" s="1437"/>
      <c r="DN231" s="1432"/>
      <c r="DO231" s="1432"/>
      <c r="DP231" s="1432"/>
      <c r="DQ231" s="1432"/>
      <c r="DR231" s="1432"/>
      <c r="DS231" s="1432"/>
      <c r="DT231" s="1316"/>
      <c r="DU231" s="1433"/>
      <c r="DV231" s="1433"/>
      <c r="DW231" s="1433"/>
      <c r="DX231" s="1433"/>
      <c r="DY231" s="1433"/>
      <c r="DZ231" s="1433"/>
      <c r="EA231" s="1433"/>
      <c r="EB231" s="1433"/>
    </row>
    <row r="232" customFormat="false" ht="14.25" hidden="false" customHeight="false" outlineLevel="0" collapsed="false">
      <c r="A232" s="2" t="n">
        <f aca="false">'V_DATOS PAC_SGA'!CC227</f>
        <v>0</v>
      </c>
      <c r="B232" s="2" t="n">
        <f aca="false">IF(OR(A232=0,A232=""),0,IF(I232="IV",CONCATENATE('V_DATOS PAC_SGA'!CC227,"4")+0,CONCATENATE('V_DATOS PAC_SGA'!CC227,"0")+0))</f>
        <v>0</v>
      </c>
      <c r="C232" s="2" t="n">
        <f aca="false">'V_DATOS PAC_SGA'!CD227</f>
        <v>0</v>
      </c>
      <c r="D232" s="1409" t="n">
        <f aca="false">'V_DATOS PAC_SGA'!Y227</f>
        <v>0</v>
      </c>
      <c r="E232" s="1410" t="str">
        <f aca="false">IF('V_DATOS PAC_SGA'!AV227="","Regadio",'V_DATOS PAC_SGA'!AV227)</f>
        <v>Regadio</v>
      </c>
      <c r="F232" s="1411" t="n">
        <f aca="false">'V_DATOS PAC_SGA'!BK227</f>
        <v>0</v>
      </c>
      <c r="G232" s="1412" t="n">
        <f aca="false">'V_DATOS PAC_SGA'!AN227</f>
        <v>0</v>
      </c>
      <c r="H232" s="1413" t="str">
        <f aca="false">IF(B232&gt;0,VLOOKUP(B232,'O_MN, PE_UTA_UGM 2024'!E$3:O$419,10),"")</f>
        <v/>
      </c>
      <c r="I232" s="1359" t="str">
        <f aca="false">IF('V_DATOS PAC_SGA'!BV227="IV",'V_DATOS PAC_SGA'!BV227,"")</f>
        <v/>
      </c>
      <c r="J232" s="2" t="str">
        <f aca="false">IF($A232&gt;0,IF(AND(J$4=$G232,J$6=$F232),$D232*J$5,""),"")</f>
        <v/>
      </c>
      <c r="K232" s="2" t="str">
        <f aca="false">IF($A232&gt;0,IF(AND(K$4=$G232,K$6=$F232),$D232*K$5,""),"")</f>
        <v/>
      </c>
      <c r="L232" s="2" t="str">
        <f aca="false">IF($A232&gt;0,IF(AND(L$4=$G232,L$6=$F232),$D232*L$5,""),"")</f>
        <v/>
      </c>
      <c r="M232" s="2" t="str">
        <f aca="false">IF($A232&gt;0,IF(AND(M$4=$G232,M$6=$F232),$D232*M$5,""),"")</f>
        <v/>
      </c>
      <c r="N232" s="1506" t="n">
        <f aca="false">VLOOKUP(B232,'O_MN, PE_UTA_UGM 2024'!$E$2:$K$419,IF(G232&gt;1,6,7))</f>
        <v>0</v>
      </c>
      <c r="O232" s="1434" t="str">
        <f aca="false">IF($H232=O$4,$D232*$N232,"")</f>
        <v/>
      </c>
      <c r="P232" s="1435" t="str">
        <f aca="false">IF($H232=P$4,$D232*$N232,"")</f>
        <v/>
      </c>
      <c r="Q232" s="1435" t="str">
        <f aca="false">IF($H232=Q$4,$D232*$N232,"")</f>
        <v/>
      </c>
      <c r="R232" s="1435" t="str">
        <f aca="false">IF($H232=R$4,$D232*$N232,"")</f>
        <v/>
      </c>
      <c r="S232" s="1435" t="str">
        <f aca="false">IF($H232=S$4,$D232*$N232,"")</f>
        <v/>
      </c>
      <c r="T232" s="1435" t="str">
        <f aca="false">IF($H232=T$4,$D232*$N232,"")</f>
        <v/>
      </c>
      <c r="U232" s="1436" t="str">
        <f aca="false">IF($H232=U$4,$D232*$N232,"")</f>
        <v/>
      </c>
      <c r="V232" s="1418"/>
      <c r="W232" s="1419"/>
      <c r="X232" s="1419"/>
      <c r="Y232" s="1419"/>
      <c r="Z232" s="1419"/>
      <c r="AA232" s="1419"/>
      <c r="AB232" s="1420"/>
      <c r="AC232" s="1319"/>
      <c r="AD232" s="2" t="str">
        <f aca="false">IF(AND(AD$4=$G232,AD$6=$F232),$B232,"")</f>
        <v/>
      </c>
      <c r="AE232" s="2" t="str">
        <f aca="false">IF(AND(AE$4=$G232,AE$6=$F232),$B232,"")</f>
        <v/>
      </c>
      <c r="AF232" s="2" t="str">
        <f aca="false">IF(AND(AF$4=$G232,AF$6=$F232),$B232,"")</f>
        <v/>
      </c>
      <c r="AG232" s="2" t="str">
        <f aca="false">IF(AND(AG$4=$G232,AG$6=$F232),$B232,"")</f>
        <v/>
      </c>
      <c r="AI232" s="366"/>
      <c r="AL232" s="367"/>
      <c r="AO232" s="367"/>
      <c r="AP232" s="2" t="str">
        <f aca="false">IF(AT232&gt;0,RANK(AT232,AT$7:AT$423),"")</f>
        <v/>
      </c>
      <c r="AQ232" s="2" t="n">
        <f aca="false">'O_MN, PE_UTA_UGM 2024'!C228</f>
        <v>217</v>
      </c>
      <c r="AR232" s="1421" t="n">
        <v>2160</v>
      </c>
      <c r="AS232" s="2" t="str">
        <f aca="false">IF(AY232&lt;&gt;"",AY232,"")</f>
        <v/>
      </c>
      <c r="AT232" s="1422" t="n">
        <f aca="false">IF(ISNUMBER($AR232),SUMIF(B$7:B$505,AR232,D$7:D$505),"")</f>
        <v>0</v>
      </c>
      <c r="AU232" s="1411" t="n">
        <f aca="false">IF(ISNUMBER($AR232),SUMIF(AD$7:AD$503,$AR232,J$7:J$503),"")</f>
        <v>0</v>
      </c>
      <c r="AV232" s="1411" t="n">
        <f aca="false">IF(ISNUMBER($AR232),SUMIF(AF$7:AF$503,$AR232,L$7:L$503),"")</f>
        <v>0</v>
      </c>
      <c r="AW232" s="1423" t="n">
        <f aca="false">IF(ISNUMBER($AR232),SUMIF(AE$7:AE$503,$AR232,K$7:K$503),"")</f>
        <v>0</v>
      </c>
      <c r="AX232" s="1423" t="n">
        <f aca="false">IF(ISNUMBER($AR232),SUMIF(AG$7:AG$503,$AR232,M$7:M$503),"")</f>
        <v>0</v>
      </c>
      <c r="AY232" s="2" t="str">
        <f aca="false">IF($AT232&gt;0,VLOOKUP($AR232,'O_MN, PE_UTA_UGM 2024'!E228:O644,2),"")</f>
        <v/>
      </c>
      <c r="AZ232" s="1507"/>
      <c r="BA232" s="1507"/>
      <c r="BB232" s="1507" t="str">
        <f aca="false">IF($AT232&gt;0,VLOOKUP($AR232,'O_MN, PE_UTA_UGM 2024'!$E$3:$O$419,BB$6),"")</f>
        <v/>
      </c>
      <c r="BC232" s="1507" t="str">
        <f aca="false">IF($AT232&gt;0,VLOOKUP($AR232,'O_MN, PE_UTA_UGM 2024'!$E$3:$O$419,BC$6),"")</f>
        <v/>
      </c>
      <c r="BD232" s="1507" t="str">
        <f aca="false">IF($AT232&gt;0,VLOOKUP($AR232,'O_MN, PE_UTA_UGM 2024'!$E$3:$O$419,BD$6),"")</f>
        <v/>
      </c>
      <c r="BE232" s="1507" t="str">
        <f aca="false">IF($AT232&gt;0,VLOOKUP($AR232,'O_MN, PE_UTA_UGM 2024'!$E$3:$O$419,BE$6),"")</f>
        <v/>
      </c>
      <c r="BF232" s="1507" t="str">
        <f aca="false">IF($AT232&gt;0,VLOOKUP($AR232,'O_MN, PE_UTA_UGM 2024'!$E$3:$O$419,BF$6),"")</f>
        <v/>
      </c>
      <c r="BG232" s="1507" t="str">
        <f aca="false">IF($AT232&gt;0,VLOOKUP($AR232,'O_MN, PE_UTA_UGM 2024'!$E$3:$O$419,BG$6),"")</f>
        <v/>
      </c>
      <c r="BH232" s="1504"/>
      <c r="BI232" s="1504"/>
      <c r="BJ232" s="1504"/>
      <c r="BK232" s="1504"/>
      <c r="BM232" s="1411"/>
      <c r="BN232" s="1411"/>
      <c r="BO232" s="1425" t="str">
        <f aca="false">IF(ISNUMBER($AU232*BB232*1),$AU232*BB232*1,"")</f>
        <v/>
      </c>
      <c r="BP232" s="1425" t="str">
        <f aca="false">IF(ISNUMBER($AV232*BC232*1),$AV232*BC232*1,"")</f>
        <v/>
      </c>
      <c r="BQ232" s="1425" t="str">
        <f aca="false">IF(ISNUMBER($AU232*BD232*1),$AU232*BD232*1,"")</f>
        <v/>
      </c>
      <c r="BR232" s="1425" t="str">
        <f aca="false">IF(ISNUMBER($AV232*BE232*1),$AV232*BE232*1,"")</f>
        <v/>
      </c>
      <c r="BS232" s="1411" t="str">
        <f aca="false">IF(ISNUMBER($AU232*BF232),$AU232*BF232,"")</f>
        <v/>
      </c>
      <c r="BT232" s="1411" t="str">
        <f aca="false">IF(ISNUMBER($AV232*BG232),$AV232*BG232,"")</f>
        <v/>
      </c>
      <c r="BU232" s="1411"/>
      <c r="BV232" s="1411"/>
      <c r="BW232" s="1411"/>
      <c r="BX232" s="1411"/>
      <c r="BZ232" s="1372"/>
      <c r="CA232" s="1372"/>
      <c r="CB232" s="1426" t="str">
        <f aca="false">IF(ISNUMBER($AW232*BB232),$AW232*BB232,"")</f>
        <v/>
      </c>
      <c r="CC232" s="1426" t="str">
        <f aca="false">IF(ISNUMBER($AX232*BC232),$AX232*BC232,"")</f>
        <v/>
      </c>
      <c r="CD232" s="1426" t="str">
        <f aca="false">IF(ISNUMBER($AW232*BD232),$AW232*BD232,"")</f>
        <v/>
      </c>
      <c r="CE232" s="1426" t="str">
        <f aca="false">IF(ISNUMBER($AX232*BE232),$AX232*BE232,"")</f>
        <v/>
      </c>
      <c r="CF232" s="1372" t="str">
        <f aca="false">IF(ISNUMBER($AW232*BF232),$AW232*BF232,"")</f>
        <v/>
      </c>
      <c r="CG232" s="1372" t="str">
        <f aca="false">IF(ISNUMBER($AX232*BG232),$AX232*BG232,"")</f>
        <v/>
      </c>
      <c r="CH232" s="1438"/>
      <c r="CI232" s="1438"/>
      <c r="CJ232" s="1438"/>
      <c r="CK232" s="1438"/>
      <c r="CU232" s="1411"/>
      <c r="CV232" s="1411"/>
      <c r="CW232" s="1425"/>
      <c r="CX232" s="1425"/>
      <c r="CY232" s="1425"/>
      <c r="CZ232" s="1425"/>
      <c r="DA232" s="1411"/>
      <c r="DB232" s="1411"/>
      <c r="DC232" s="1411"/>
      <c r="DD232" s="1411"/>
      <c r="DE232" s="1411"/>
      <c r="DF232" s="1411"/>
      <c r="DH232" s="1432"/>
      <c r="DI232" s="1432"/>
      <c r="DJ232" s="1437"/>
      <c r="DK232" s="1437"/>
      <c r="DL232" s="1437"/>
      <c r="DM232" s="1437"/>
      <c r="DN232" s="1432"/>
      <c r="DO232" s="1432"/>
      <c r="DP232" s="1432"/>
      <c r="DQ232" s="1432"/>
      <c r="DR232" s="1432"/>
      <c r="DS232" s="1432"/>
      <c r="DT232" s="1316"/>
      <c r="DU232" s="1433"/>
      <c r="DV232" s="1433"/>
      <c r="DW232" s="1433"/>
      <c r="DX232" s="1433"/>
      <c r="DY232" s="1433"/>
      <c r="DZ232" s="1433"/>
      <c r="EA232" s="1433"/>
      <c r="EB232" s="1433"/>
    </row>
    <row r="233" customFormat="false" ht="14.25" hidden="false" customHeight="false" outlineLevel="0" collapsed="false">
      <c r="A233" s="2" t="n">
        <f aca="false">'V_DATOS PAC_SGA'!CC228</f>
        <v>0</v>
      </c>
      <c r="B233" s="2" t="n">
        <f aca="false">IF(OR(A233=0,A233=""),0,IF(I233="IV",CONCATENATE('V_DATOS PAC_SGA'!CC228,"4")+0,CONCATENATE('V_DATOS PAC_SGA'!CC228,"0")+0))</f>
        <v>0</v>
      </c>
      <c r="C233" s="2" t="n">
        <f aca="false">'V_DATOS PAC_SGA'!CD228</f>
        <v>0</v>
      </c>
      <c r="D233" s="1409" t="n">
        <f aca="false">'V_DATOS PAC_SGA'!Y228</f>
        <v>0</v>
      </c>
      <c r="E233" s="1410" t="str">
        <f aca="false">IF('V_DATOS PAC_SGA'!AV228="","Regadio",'V_DATOS PAC_SGA'!AV228)</f>
        <v>Regadio</v>
      </c>
      <c r="F233" s="1411" t="n">
        <f aca="false">'V_DATOS PAC_SGA'!BK228</f>
        <v>0</v>
      </c>
      <c r="G233" s="1412" t="n">
        <f aca="false">'V_DATOS PAC_SGA'!AN228</f>
        <v>0</v>
      </c>
      <c r="H233" s="1413" t="str">
        <f aca="false">IF(B233&gt;0,VLOOKUP(B233,'O_MN, PE_UTA_UGM 2024'!E$3:O$419,10),"")</f>
        <v/>
      </c>
      <c r="I233" s="1359" t="str">
        <f aca="false">IF('V_DATOS PAC_SGA'!BV228="IV",'V_DATOS PAC_SGA'!BV228,"")</f>
        <v/>
      </c>
      <c r="J233" s="2" t="str">
        <f aca="false">IF($A233&gt;0,IF(AND(J$4=$G233,J$6=$F233),$D233*J$5,""),"")</f>
        <v/>
      </c>
      <c r="K233" s="2" t="str">
        <f aca="false">IF($A233&gt;0,IF(AND(K$4=$G233,K$6=$F233),$D233*K$5,""),"")</f>
        <v/>
      </c>
      <c r="L233" s="2" t="str">
        <f aca="false">IF($A233&gt;0,IF(AND(L$4=$G233,L$6=$F233),$D233*L$5,""),"")</f>
        <v/>
      </c>
      <c r="M233" s="2" t="str">
        <f aca="false">IF($A233&gt;0,IF(AND(M$4=$G233,M$6=$F233),$D233*M$5,""),"")</f>
        <v/>
      </c>
      <c r="N233" s="1506" t="n">
        <f aca="false">VLOOKUP(B233,'O_MN, PE_UTA_UGM 2024'!$E$2:$K$419,IF(G233&gt;1,6,7))</f>
        <v>0</v>
      </c>
      <c r="O233" s="1434" t="str">
        <f aca="false">IF($H233=O$4,$D233*$N233,"")</f>
        <v/>
      </c>
      <c r="P233" s="1435" t="str">
        <f aca="false">IF($H233=P$4,$D233*$N233,"")</f>
        <v/>
      </c>
      <c r="Q233" s="1435" t="str">
        <f aca="false">IF($H233=Q$4,$D233*$N233,"")</f>
        <v/>
      </c>
      <c r="R233" s="1435" t="str">
        <f aca="false">IF($H233=R$4,$D233*$N233,"")</f>
        <v/>
      </c>
      <c r="S233" s="1435" t="str">
        <f aca="false">IF($H233=S$4,$D233*$N233,"")</f>
        <v/>
      </c>
      <c r="T233" s="1435" t="str">
        <f aca="false">IF($H233=T$4,$D233*$N233,"")</f>
        <v/>
      </c>
      <c r="U233" s="1436" t="str">
        <f aca="false">IF($H233=U$4,$D233*$N233,"")</f>
        <v/>
      </c>
      <c r="V233" s="1418"/>
      <c r="W233" s="1419"/>
      <c r="X233" s="1419"/>
      <c r="Y233" s="1419"/>
      <c r="Z233" s="1419"/>
      <c r="AA233" s="1419"/>
      <c r="AB233" s="1420"/>
      <c r="AC233" s="1319"/>
      <c r="AD233" s="2" t="str">
        <f aca="false">IF(AND(AD$4=$G233,AD$6=$F233),$B233,"")</f>
        <v/>
      </c>
      <c r="AE233" s="2" t="str">
        <f aca="false">IF(AND(AE$4=$G233,AE$6=$F233),$B233,"")</f>
        <v/>
      </c>
      <c r="AF233" s="2" t="str">
        <f aca="false">IF(AND(AF$4=$G233,AF$6=$F233),$B233,"")</f>
        <v/>
      </c>
      <c r="AG233" s="2" t="str">
        <f aca="false">IF(AND(AG$4=$G233,AG$6=$F233),$B233,"")</f>
        <v/>
      </c>
      <c r="AI233" s="366"/>
      <c r="AL233" s="367"/>
      <c r="AO233" s="367"/>
      <c r="AP233" s="2" t="str">
        <f aca="false">IF(AT233&gt;0,RANK(AT233,AT$7:AT$423),"")</f>
        <v/>
      </c>
      <c r="AQ233" s="2" t="n">
        <f aca="false">'O_MN, PE_UTA_UGM 2024'!C229</f>
        <v>217</v>
      </c>
      <c r="AR233" s="1421" t="n">
        <v>2164</v>
      </c>
      <c r="AS233" s="2" t="str">
        <f aca="false">IF(AY233&lt;&gt;"",AY233,"")</f>
        <v/>
      </c>
      <c r="AT233" s="1422" t="n">
        <f aca="false">IF(ISNUMBER($AR233),SUMIF(B$7:B$505,AR233,D$7:D$505),"")</f>
        <v>0</v>
      </c>
      <c r="AU233" s="1411" t="n">
        <f aca="false">IF(ISNUMBER($AR233),SUMIF(AD$7:AD$503,$AR233,J$7:J$503),"")</f>
        <v>0</v>
      </c>
      <c r="AV233" s="1411" t="n">
        <f aca="false">IF(ISNUMBER($AR233),SUMIF(AF$7:AF$503,$AR233,L$7:L$503),"")</f>
        <v>0</v>
      </c>
      <c r="AW233" s="1423" t="n">
        <f aca="false">IF(ISNUMBER($AR233),SUMIF(AE$7:AE$503,$AR233,K$7:K$503),"")</f>
        <v>0</v>
      </c>
      <c r="AX233" s="1423" t="n">
        <f aca="false">IF(ISNUMBER($AR233),SUMIF(AG$7:AG$503,$AR233,M$7:M$503),"")</f>
        <v>0</v>
      </c>
      <c r="AY233" s="2" t="str">
        <f aca="false">IF($AT233&gt;0,VLOOKUP($AR233,'O_MN, PE_UTA_UGM 2024'!E229:O645,2),"")</f>
        <v/>
      </c>
      <c r="AZ233" s="1507"/>
      <c r="BA233" s="1507"/>
      <c r="BB233" s="1507" t="str">
        <f aca="false">IF($AT233&gt;0,VLOOKUP($AR233,'O_MN, PE_UTA_UGM 2024'!$E$3:$O$419,BB$6),"")</f>
        <v/>
      </c>
      <c r="BC233" s="1507" t="str">
        <f aca="false">IF($AT233&gt;0,VLOOKUP($AR233,'O_MN, PE_UTA_UGM 2024'!$E$3:$O$419,BC$6),"")</f>
        <v/>
      </c>
      <c r="BD233" s="1507" t="str">
        <f aca="false">IF($AT233&gt;0,VLOOKUP($AR233,'O_MN, PE_UTA_UGM 2024'!$E$3:$O$419,BD$6),"")</f>
        <v/>
      </c>
      <c r="BE233" s="1507" t="str">
        <f aca="false">IF($AT233&gt;0,VLOOKUP($AR233,'O_MN, PE_UTA_UGM 2024'!$E$3:$O$419,BE$6),"")</f>
        <v/>
      </c>
      <c r="BF233" s="1507" t="str">
        <f aca="false">IF($AT233&gt;0,VLOOKUP($AR233,'O_MN, PE_UTA_UGM 2024'!$E$3:$O$419,BF$6),"")</f>
        <v/>
      </c>
      <c r="BG233" s="1507" t="str">
        <f aca="false">IF($AT233&gt;0,VLOOKUP($AR233,'O_MN, PE_UTA_UGM 2024'!$E$3:$O$419,BG$6),"")</f>
        <v/>
      </c>
      <c r="BH233" s="1504"/>
      <c r="BI233" s="1504"/>
      <c r="BJ233" s="1504"/>
      <c r="BK233" s="1504"/>
      <c r="BM233" s="1411"/>
      <c r="BN233" s="1411"/>
      <c r="BO233" s="1425" t="str">
        <f aca="false">IF(ISNUMBER($AU233*BB233*1),$AU233*BB233*1,"")</f>
        <v/>
      </c>
      <c r="BP233" s="1425" t="str">
        <f aca="false">IF(ISNUMBER($AV233*BC233*1),$AV233*BC233*1,"")</f>
        <v/>
      </c>
      <c r="BQ233" s="1425" t="str">
        <f aca="false">IF(ISNUMBER($AU233*BD233*1),$AU233*BD233*1,"")</f>
        <v/>
      </c>
      <c r="BR233" s="1425" t="str">
        <f aca="false">IF(ISNUMBER($AV233*BE233*1),$AV233*BE233*1,"")</f>
        <v/>
      </c>
      <c r="BS233" s="1411" t="str">
        <f aca="false">IF(ISNUMBER($AU233*BF233),$AU233*BF233,"")</f>
        <v/>
      </c>
      <c r="BT233" s="1411" t="str">
        <f aca="false">IF(ISNUMBER($AV233*BG233),$AV233*BG233,"")</f>
        <v/>
      </c>
      <c r="BU233" s="1411"/>
      <c r="BV233" s="1411"/>
      <c r="BW233" s="1411"/>
      <c r="BX233" s="1411"/>
      <c r="BZ233" s="1372"/>
      <c r="CA233" s="1372"/>
      <c r="CB233" s="1426" t="str">
        <f aca="false">IF(ISNUMBER($AW233*BB233),$AW233*BB233,"")</f>
        <v/>
      </c>
      <c r="CC233" s="1426" t="str">
        <f aca="false">IF(ISNUMBER($AX233*BC233),$AX233*BC233,"")</f>
        <v/>
      </c>
      <c r="CD233" s="1426" t="str">
        <f aca="false">IF(ISNUMBER($AW233*BD233),$AW233*BD233,"")</f>
        <v/>
      </c>
      <c r="CE233" s="1426" t="str">
        <f aca="false">IF(ISNUMBER($AX233*BE233),$AX233*BE233,"")</f>
        <v/>
      </c>
      <c r="CF233" s="1372" t="str">
        <f aca="false">IF(ISNUMBER($AW233*BF233),$AW233*BF233,"")</f>
        <v/>
      </c>
      <c r="CG233" s="1372" t="str">
        <f aca="false">IF(ISNUMBER($AX233*BG233),$AX233*BG233,"")</f>
        <v/>
      </c>
      <c r="CH233" s="1438"/>
      <c r="CI233" s="1438"/>
      <c r="CJ233" s="1438"/>
      <c r="CK233" s="1438"/>
      <c r="CU233" s="1411"/>
      <c r="CV233" s="1411"/>
      <c r="CW233" s="1425"/>
      <c r="CX233" s="1425"/>
      <c r="CY233" s="1425"/>
      <c r="CZ233" s="1425"/>
      <c r="DA233" s="1411"/>
      <c r="DB233" s="1411"/>
      <c r="DC233" s="1411"/>
      <c r="DD233" s="1411"/>
      <c r="DE233" s="1411"/>
      <c r="DF233" s="1411"/>
      <c r="DH233" s="1432"/>
      <c r="DI233" s="1432"/>
      <c r="DJ233" s="1437"/>
      <c r="DK233" s="1437"/>
      <c r="DL233" s="1437"/>
      <c r="DM233" s="1437"/>
      <c r="DN233" s="1432"/>
      <c r="DO233" s="1432"/>
      <c r="DP233" s="1432"/>
      <c r="DQ233" s="1432"/>
      <c r="DR233" s="1432"/>
      <c r="DS233" s="1432"/>
      <c r="DT233" s="1316"/>
      <c r="DU233" s="1433"/>
      <c r="DV233" s="1433"/>
      <c r="DW233" s="1433"/>
      <c r="DX233" s="1433"/>
      <c r="DY233" s="1433"/>
      <c r="DZ233" s="1433"/>
      <c r="EA233" s="1433"/>
      <c r="EB233" s="1433"/>
    </row>
    <row r="234" customFormat="false" ht="14.25" hidden="false" customHeight="false" outlineLevel="0" collapsed="false">
      <c r="A234" s="2" t="n">
        <f aca="false">'V_DATOS PAC_SGA'!CC229</f>
        <v>0</v>
      </c>
      <c r="B234" s="2" t="n">
        <f aca="false">IF(OR(A234=0,A234=""),0,IF(I234="IV",CONCATENATE('V_DATOS PAC_SGA'!CC229,"4")+0,CONCATENATE('V_DATOS PAC_SGA'!CC229,"0")+0))</f>
        <v>0</v>
      </c>
      <c r="C234" s="2" t="n">
        <f aca="false">'V_DATOS PAC_SGA'!CD229</f>
        <v>0</v>
      </c>
      <c r="D234" s="1409" t="n">
        <f aca="false">'V_DATOS PAC_SGA'!Y229</f>
        <v>0</v>
      </c>
      <c r="E234" s="1410" t="str">
        <f aca="false">IF('V_DATOS PAC_SGA'!AV229="","Regadio",'V_DATOS PAC_SGA'!AV229)</f>
        <v>Regadio</v>
      </c>
      <c r="F234" s="1411" t="n">
        <f aca="false">'V_DATOS PAC_SGA'!BK229</f>
        <v>0</v>
      </c>
      <c r="G234" s="1412" t="n">
        <f aca="false">'V_DATOS PAC_SGA'!AN229</f>
        <v>0</v>
      </c>
      <c r="H234" s="1413" t="str">
        <f aca="false">IF(B234&gt;0,VLOOKUP(B234,'O_MN, PE_UTA_UGM 2024'!E$3:O$419,10),"")</f>
        <v/>
      </c>
      <c r="I234" s="1359" t="str">
        <f aca="false">IF('V_DATOS PAC_SGA'!BV229="IV",'V_DATOS PAC_SGA'!BV229,"")</f>
        <v/>
      </c>
      <c r="J234" s="2" t="str">
        <f aca="false">IF($A234&gt;0,IF(AND(J$4=$G234,J$6=$F234),$D234*J$5,""),"")</f>
        <v/>
      </c>
      <c r="K234" s="2" t="str">
        <f aca="false">IF($A234&gt;0,IF(AND(K$4=$G234,K$6=$F234),$D234*K$5,""),"")</f>
        <v/>
      </c>
      <c r="L234" s="2" t="str">
        <f aca="false">IF($A234&gt;0,IF(AND(L$4=$G234,L$6=$F234),$D234*L$5,""),"")</f>
        <v/>
      </c>
      <c r="M234" s="2" t="str">
        <f aca="false">IF($A234&gt;0,IF(AND(M$4=$G234,M$6=$F234),$D234*M$5,""),"")</f>
        <v/>
      </c>
      <c r="N234" s="1506" t="n">
        <f aca="false">VLOOKUP(B234,'O_MN, PE_UTA_UGM 2024'!$E$2:$K$419,IF(G234&gt;1,6,7))</f>
        <v>0</v>
      </c>
      <c r="O234" s="1434" t="str">
        <f aca="false">IF($H234=O$4,$D234*$N234,"")</f>
        <v/>
      </c>
      <c r="P234" s="1435" t="str">
        <f aca="false">IF($H234=P$4,$D234*$N234,"")</f>
        <v/>
      </c>
      <c r="Q234" s="1435" t="str">
        <f aca="false">IF($H234=Q$4,$D234*$N234,"")</f>
        <v/>
      </c>
      <c r="R234" s="1435" t="str">
        <f aca="false">IF($H234=R$4,$D234*$N234,"")</f>
        <v/>
      </c>
      <c r="S234" s="1435" t="str">
        <f aca="false">IF($H234=S$4,$D234*$N234,"")</f>
        <v/>
      </c>
      <c r="T234" s="1435" t="str">
        <f aca="false">IF($H234=T$4,$D234*$N234,"")</f>
        <v/>
      </c>
      <c r="U234" s="1436" t="str">
        <f aca="false">IF($H234=U$4,$D234*$N234,"")</f>
        <v/>
      </c>
      <c r="V234" s="1418"/>
      <c r="W234" s="1419"/>
      <c r="X234" s="1419"/>
      <c r="Y234" s="1419"/>
      <c r="Z234" s="1419"/>
      <c r="AA234" s="1419"/>
      <c r="AB234" s="1420"/>
      <c r="AC234" s="1319"/>
      <c r="AD234" s="2" t="str">
        <f aca="false">IF(AND(AD$4=$G234,AD$6=$F234),$B234,"")</f>
        <v/>
      </c>
      <c r="AE234" s="2" t="str">
        <f aca="false">IF(AND(AE$4=$G234,AE$6=$F234),$B234,"")</f>
        <v/>
      </c>
      <c r="AF234" s="2" t="str">
        <f aca="false">IF(AND(AF$4=$G234,AF$6=$F234),$B234,"")</f>
        <v/>
      </c>
      <c r="AG234" s="2" t="str">
        <f aca="false">IF(AND(AG$4=$G234,AG$6=$F234),$B234,"")</f>
        <v/>
      </c>
      <c r="AI234" s="366"/>
      <c r="AL234" s="367"/>
      <c r="AO234" s="367"/>
      <c r="AP234" s="2" t="str">
        <f aca="false">IF(AT234&gt;0,RANK(AT234,AT$7:AT$423),"")</f>
        <v/>
      </c>
      <c r="AQ234" s="2" t="n">
        <f aca="false">'O_MN, PE_UTA_UGM 2024'!C230</f>
        <v>218</v>
      </c>
      <c r="AR234" s="1421" t="n">
        <v>2169</v>
      </c>
      <c r="AS234" s="2" t="str">
        <f aca="false">IF(AY234&lt;&gt;"",AY234,"")</f>
        <v/>
      </c>
      <c r="AT234" s="1422" t="n">
        <f aca="false">IF(ISNUMBER($AR234),SUMIF(B$7:B$505,AR234,D$7:D$505),"")</f>
        <v>0</v>
      </c>
      <c r="AU234" s="1411" t="n">
        <f aca="false">IF(ISNUMBER($AR234),SUMIF(AD$7:AD$503,$AR234,J$7:J$503),"")</f>
        <v>0</v>
      </c>
      <c r="AV234" s="1411" t="n">
        <f aca="false">IF(ISNUMBER($AR234),SUMIF(AF$7:AF$503,$AR234,L$7:L$503),"")</f>
        <v>0</v>
      </c>
      <c r="AW234" s="1423" t="n">
        <f aca="false">IF(ISNUMBER($AR234),SUMIF(AE$7:AE$503,$AR234,K$7:K$503),"")</f>
        <v>0</v>
      </c>
      <c r="AX234" s="1423" t="n">
        <f aca="false">IF(ISNUMBER($AR234),SUMIF(AG$7:AG$503,$AR234,M$7:M$503),"")</f>
        <v>0</v>
      </c>
      <c r="AY234" s="2" t="str">
        <f aca="false">IF($AT234&gt;0,VLOOKUP($AR234,'O_MN, PE_UTA_UGM 2024'!E230:O646,2),"")</f>
        <v/>
      </c>
      <c r="AZ234" s="1507"/>
      <c r="BA234" s="1507"/>
      <c r="BB234" s="1507" t="str">
        <f aca="false">IF($AT234&gt;0,VLOOKUP($AR234,'O_MN, PE_UTA_UGM 2024'!$E$3:$O$419,BB$6),"")</f>
        <v/>
      </c>
      <c r="BC234" s="1507" t="str">
        <f aca="false">IF($AT234&gt;0,VLOOKUP($AR234,'O_MN, PE_UTA_UGM 2024'!$E$3:$O$419,BC$6),"")</f>
        <v/>
      </c>
      <c r="BD234" s="1507" t="str">
        <f aca="false">IF($AT234&gt;0,VLOOKUP($AR234,'O_MN, PE_UTA_UGM 2024'!$E$3:$O$419,BD$6),"")</f>
        <v/>
      </c>
      <c r="BE234" s="1507" t="str">
        <f aca="false">IF($AT234&gt;0,VLOOKUP($AR234,'O_MN, PE_UTA_UGM 2024'!$E$3:$O$419,BE$6),"")</f>
        <v/>
      </c>
      <c r="BF234" s="1507" t="str">
        <f aca="false">IF($AT234&gt;0,VLOOKUP($AR234,'O_MN, PE_UTA_UGM 2024'!$E$3:$O$419,BF$6),"")</f>
        <v/>
      </c>
      <c r="BG234" s="1507" t="str">
        <f aca="false">IF($AT234&gt;0,VLOOKUP($AR234,'O_MN, PE_UTA_UGM 2024'!$E$3:$O$419,BG$6),"")</f>
        <v/>
      </c>
      <c r="BH234" s="1504"/>
      <c r="BI234" s="1504"/>
      <c r="BJ234" s="1504"/>
      <c r="BK234" s="1504"/>
      <c r="BM234" s="1411"/>
      <c r="BN234" s="1411"/>
      <c r="BO234" s="1425" t="str">
        <f aca="false">IF(ISNUMBER($AU234*BB234*1),$AU234*BB234*1,"")</f>
        <v/>
      </c>
      <c r="BP234" s="1425" t="str">
        <f aca="false">IF(ISNUMBER($AV234*BC234*1),$AV234*BC234*1,"")</f>
        <v/>
      </c>
      <c r="BQ234" s="1425" t="str">
        <f aca="false">IF(ISNUMBER($AU234*BD234*1),$AU234*BD234*1,"")</f>
        <v/>
      </c>
      <c r="BR234" s="1425" t="str">
        <f aca="false">IF(ISNUMBER($AV234*BE234*1),$AV234*BE234*1,"")</f>
        <v/>
      </c>
      <c r="BS234" s="1411" t="str">
        <f aca="false">IF(ISNUMBER($AU234*BF234),$AU234*BF234,"")</f>
        <v/>
      </c>
      <c r="BT234" s="1411" t="str">
        <f aca="false">IF(ISNUMBER($AV234*BG234),$AV234*BG234,"")</f>
        <v/>
      </c>
      <c r="BU234" s="1411"/>
      <c r="BV234" s="1411"/>
      <c r="BW234" s="1411"/>
      <c r="BX234" s="1411"/>
      <c r="BZ234" s="1372"/>
      <c r="CA234" s="1372"/>
      <c r="CB234" s="1426" t="str">
        <f aca="false">IF(ISNUMBER($AW234*BB234),$AW234*BB234,"")</f>
        <v/>
      </c>
      <c r="CC234" s="1426" t="str">
        <f aca="false">IF(ISNUMBER($AX234*BC234),$AX234*BC234,"")</f>
        <v/>
      </c>
      <c r="CD234" s="1426" t="str">
        <f aca="false">IF(ISNUMBER($AW234*BD234),$AW234*BD234,"")</f>
        <v/>
      </c>
      <c r="CE234" s="1426" t="str">
        <f aca="false">IF(ISNUMBER($AX234*BE234),$AX234*BE234,"")</f>
        <v/>
      </c>
      <c r="CF234" s="1372" t="str">
        <f aca="false">IF(ISNUMBER($AW234*BF234),$AW234*BF234,"")</f>
        <v/>
      </c>
      <c r="CG234" s="1372" t="str">
        <f aca="false">IF(ISNUMBER($AX234*BG234),$AX234*BG234,"")</f>
        <v/>
      </c>
      <c r="CH234" s="1438"/>
      <c r="CI234" s="1438"/>
      <c r="CJ234" s="1438"/>
      <c r="CK234" s="1438"/>
      <c r="CU234" s="1411"/>
      <c r="CV234" s="1411"/>
      <c r="CW234" s="1425"/>
      <c r="CX234" s="1425"/>
      <c r="CY234" s="1425"/>
      <c r="CZ234" s="1425"/>
      <c r="DA234" s="1411"/>
      <c r="DB234" s="1411"/>
      <c r="DC234" s="1411"/>
      <c r="DD234" s="1411"/>
      <c r="DE234" s="1411"/>
      <c r="DF234" s="1411"/>
      <c r="DH234" s="1432"/>
      <c r="DI234" s="1432"/>
      <c r="DJ234" s="1437"/>
      <c r="DK234" s="1437"/>
      <c r="DL234" s="1437"/>
      <c r="DM234" s="1437"/>
      <c r="DN234" s="1432"/>
      <c r="DO234" s="1432"/>
      <c r="DP234" s="1432"/>
      <c r="DQ234" s="1432"/>
      <c r="DR234" s="1432"/>
      <c r="DS234" s="1432"/>
      <c r="DT234" s="1316"/>
      <c r="DU234" s="1433"/>
      <c r="DV234" s="1433"/>
      <c r="DW234" s="1433"/>
      <c r="DX234" s="1433"/>
      <c r="DY234" s="1433"/>
      <c r="DZ234" s="1433"/>
      <c r="EA234" s="1433"/>
      <c r="EB234" s="1433"/>
    </row>
    <row r="235" customFormat="false" ht="14.25" hidden="false" customHeight="false" outlineLevel="0" collapsed="false">
      <c r="A235" s="2" t="n">
        <f aca="false">'V_DATOS PAC_SGA'!CC230</f>
        <v>0</v>
      </c>
      <c r="B235" s="2" t="n">
        <f aca="false">IF(OR(A235=0,A235=""),0,IF(I235="IV",CONCATENATE('V_DATOS PAC_SGA'!CC230,"4")+0,CONCATENATE('V_DATOS PAC_SGA'!CC230,"0")+0))</f>
        <v>0</v>
      </c>
      <c r="C235" s="2" t="n">
        <f aca="false">'V_DATOS PAC_SGA'!CD230</f>
        <v>0</v>
      </c>
      <c r="D235" s="1409" t="n">
        <f aca="false">'V_DATOS PAC_SGA'!Y230</f>
        <v>0</v>
      </c>
      <c r="E235" s="1410" t="str">
        <f aca="false">IF('V_DATOS PAC_SGA'!AV230="","Regadio",'V_DATOS PAC_SGA'!AV230)</f>
        <v>Regadio</v>
      </c>
      <c r="F235" s="1411" t="n">
        <f aca="false">'V_DATOS PAC_SGA'!BK230</f>
        <v>0</v>
      </c>
      <c r="G235" s="1412" t="n">
        <f aca="false">'V_DATOS PAC_SGA'!AN230</f>
        <v>0</v>
      </c>
      <c r="H235" s="1413" t="str">
        <f aca="false">IF(B235&gt;0,VLOOKUP(B235,'O_MN, PE_UTA_UGM 2024'!E$3:O$419,10),"")</f>
        <v/>
      </c>
      <c r="I235" s="1359" t="str">
        <f aca="false">IF('V_DATOS PAC_SGA'!BV230="IV",'V_DATOS PAC_SGA'!BV230,"")</f>
        <v/>
      </c>
      <c r="J235" s="2" t="str">
        <f aca="false">IF($A235&gt;0,IF(AND(J$4=$G235,J$6=$F235),$D235*J$5,""),"")</f>
        <v/>
      </c>
      <c r="K235" s="2" t="str">
        <f aca="false">IF($A235&gt;0,IF(AND(K$4=$G235,K$6=$F235),$D235*K$5,""),"")</f>
        <v/>
      </c>
      <c r="L235" s="2" t="str">
        <f aca="false">IF($A235&gt;0,IF(AND(L$4=$G235,L$6=$F235),$D235*L$5,""),"")</f>
        <v/>
      </c>
      <c r="M235" s="2" t="str">
        <f aca="false">IF($A235&gt;0,IF(AND(M$4=$G235,M$6=$F235),$D235*M$5,""),"")</f>
        <v/>
      </c>
      <c r="N235" s="1506" t="n">
        <f aca="false">VLOOKUP(B235,'O_MN, PE_UTA_UGM 2024'!$E$2:$K$419,IF(G235&gt;1,6,7))</f>
        <v>0</v>
      </c>
      <c r="O235" s="1434" t="str">
        <f aca="false">IF($H235=O$4,$D235*$N235,"")</f>
        <v/>
      </c>
      <c r="P235" s="1435" t="str">
        <f aca="false">IF($H235=P$4,$D235*$N235,"")</f>
        <v/>
      </c>
      <c r="Q235" s="1435" t="str">
        <f aca="false">IF($H235=Q$4,$D235*$N235,"")</f>
        <v/>
      </c>
      <c r="R235" s="1435" t="str">
        <f aca="false">IF($H235=R$4,$D235*$N235,"")</f>
        <v/>
      </c>
      <c r="S235" s="1435" t="str">
        <f aca="false">IF($H235=S$4,$D235*$N235,"")</f>
        <v/>
      </c>
      <c r="T235" s="1435" t="str">
        <f aca="false">IF($H235=T$4,$D235*$N235,"")</f>
        <v/>
      </c>
      <c r="U235" s="1436" t="str">
        <f aca="false">IF($H235=U$4,$D235*$N235,"")</f>
        <v/>
      </c>
      <c r="V235" s="1418"/>
      <c r="W235" s="1419"/>
      <c r="X235" s="1419"/>
      <c r="Y235" s="1419"/>
      <c r="Z235" s="1419"/>
      <c r="AA235" s="1419"/>
      <c r="AB235" s="1420"/>
      <c r="AC235" s="1319"/>
      <c r="AD235" s="2" t="str">
        <f aca="false">IF(AND(AD$4=$G235,AD$6=$F235),$B235,"")</f>
        <v/>
      </c>
      <c r="AE235" s="2" t="str">
        <f aca="false">IF(AND(AE$4=$G235,AE$6=$F235),$B235,"")</f>
        <v/>
      </c>
      <c r="AF235" s="2" t="str">
        <f aca="false">IF(AND(AF$4=$G235,AF$6=$F235),$B235,"")</f>
        <v/>
      </c>
      <c r="AG235" s="2" t="str">
        <f aca="false">IF(AND(AG$4=$G235,AG$6=$F235),$B235,"")</f>
        <v/>
      </c>
      <c r="AI235" s="366"/>
      <c r="AL235" s="367"/>
      <c r="AO235" s="367"/>
      <c r="AP235" s="2" t="str">
        <f aca="false">IF(AT235&gt;0,RANK(AT235,AT$7:AT$423),"")</f>
        <v/>
      </c>
      <c r="AQ235" s="2" t="n">
        <f aca="false">'O_MN, PE_UTA_UGM 2024'!C231</f>
        <v>218</v>
      </c>
      <c r="AR235" s="1421" t="n">
        <v>2170</v>
      </c>
      <c r="AS235" s="2" t="str">
        <f aca="false">IF(AY235&lt;&gt;"",AY235,"")</f>
        <v/>
      </c>
      <c r="AT235" s="1422" t="n">
        <f aca="false">IF(ISNUMBER($AR235),SUMIF(B$7:B$505,AR235,D$7:D$505),"")</f>
        <v>0</v>
      </c>
      <c r="AU235" s="1411" t="n">
        <f aca="false">IF(ISNUMBER($AR235),SUMIF(AD$7:AD$503,$AR235,J$7:J$503),"")</f>
        <v>0</v>
      </c>
      <c r="AV235" s="1411" t="n">
        <f aca="false">IF(ISNUMBER($AR235),SUMIF(AF$7:AF$503,$AR235,L$7:L$503),"")</f>
        <v>0</v>
      </c>
      <c r="AW235" s="1423" t="n">
        <f aca="false">IF(ISNUMBER($AR235),SUMIF(AE$7:AE$503,$AR235,K$7:K$503),"")</f>
        <v>0</v>
      </c>
      <c r="AX235" s="1423" t="n">
        <f aca="false">IF(ISNUMBER($AR235),SUMIF(AG$7:AG$503,$AR235,M$7:M$503),"")</f>
        <v>0</v>
      </c>
      <c r="AY235" s="2" t="str">
        <f aca="false">IF($AT235&gt;0,VLOOKUP($AR235,'O_MN, PE_UTA_UGM 2024'!E231:O647,2),"")</f>
        <v/>
      </c>
      <c r="AZ235" s="1507"/>
      <c r="BA235" s="1507"/>
      <c r="BB235" s="1507" t="str">
        <f aca="false">IF($AT235&gt;0,VLOOKUP($AR235,'O_MN, PE_UTA_UGM 2024'!$E$3:$O$419,BB$6),"")</f>
        <v/>
      </c>
      <c r="BC235" s="1507" t="str">
        <f aca="false">IF($AT235&gt;0,VLOOKUP($AR235,'O_MN, PE_UTA_UGM 2024'!$E$3:$O$419,BC$6),"")</f>
        <v/>
      </c>
      <c r="BD235" s="1507" t="str">
        <f aca="false">IF($AT235&gt;0,VLOOKUP($AR235,'O_MN, PE_UTA_UGM 2024'!$E$3:$O$419,BD$6),"")</f>
        <v/>
      </c>
      <c r="BE235" s="1507" t="str">
        <f aca="false">IF($AT235&gt;0,VLOOKUP($AR235,'O_MN, PE_UTA_UGM 2024'!$E$3:$O$419,BE$6),"")</f>
        <v/>
      </c>
      <c r="BF235" s="1507" t="str">
        <f aca="false">IF($AT235&gt;0,VLOOKUP($AR235,'O_MN, PE_UTA_UGM 2024'!$E$3:$O$419,BF$6),"")</f>
        <v/>
      </c>
      <c r="BG235" s="1507" t="str">
        <f aca="false">IF($AT235&gt;0,VLOOKUP($AR235,'O_MN, PE_UTA_UGM 2024'!$E$3:$O$419,BG$6),"")</f>
        <v/>
      </c>
      <c r="BH235" s="1504"/>
      <c r="BI235" s="1504"/>
      <c r="BJ235" s="1504"/>
      <c r="BK235" s="1504"/>
      <c r="BM235" s="1411"/>
      <c r="BN235" s="1411"/>
      <c r="BO235" s="1425" t="str">
        <f aca="false">IF(ISNUMBER($AU235*BB235*1),$AU235*BB235*1,"")</f>
        <v/>
      </c>
      <c r="BP235" s="1425" t="str">
        <f aca="false">IF(ISNUMBER($AV235*BC235*1),$AV235*BC235*1,"")</f>
        <v/>
      </c>
      <c r="BQ235" s="1425" t="str">
        <f aca="false">IF(ISNUMBER($AU235*BD235*1),$AU235*BD235*1,"")</f>
        <v/>
      </c>
      <c r="BR235" s="1425" t="str">
        <f aca="false">IF(ISNUMBER($AV235*BE235*1),$AV235*BE235*1,"")</f>
        <v/>
      </c>
      <c r="BS235" s="1411" t="str">
        <f aca="false">IF(ISNUMBER($AU235*BF235),$AU235*BF235,"")</f>
        <v/>
      </c>
      <c r="BT235" s="1411" t="str">
        <f aca="false">IF(ISNUMBER($AV235*BG235),$AV235*BG235,"")</f>
        <v/>
      </c>
      <c r="BU235" s="1411"/>
      <c r="BV235" s="1411"/>
      <c r="BW235" s="1411"/>
      <c r="BX235" s="1411"/>
      <c r="BZ235" s="1372"/>
      <c r="CA235" s="1372"/>
      <c r="CB235" s="1426" t="str">
        <f aca="false">IF(ISNUMBER($AW235*BB235),$AW235*BB235,"")</f>
        <v/>
      </c>
      <c r="CC235" s="1426" t="str">
        <f aca="false">IF(ISNUMBER($AX235*BC235),$AX235*BC235,"")</f>
        <v/>
      </c>
      <c r="CD235" s="1426" t="str">
        <f aca="false">IF(ISNUMBER($AW235*BD235),$AW235*BD235,"")</f>
        <v/>
      </c>
      <c r="CE235" s="1426" t="str">
        <f aca="false">IF(ISNUMBER($AX235*BE235),$AX235*BE235,"")</f>
        <v/>
      </c>
      <c r="CF235" s="1372" t="str">
        <f aca="false">IF(ISNUMBER($AW235*BF235),$AW235*BF235,"")</f>
        <v/>
      </c>
      <c r="CG235" s="1372" t="str">
        <f aca="false">IF(ISNUMBER($AX235*BG235),$AX235*BG235,"")</f>
        <v/>
      </c>
      <c r="CH235" s="1438"/>
      <c r="CI235" s="1438"/>
      <c r="CJ235" s="1438"/>
      <c r="CK235" s="1438"/>
      <c r="CU235" s="1411"/>
      <c r="CV235" s="1411"/>
      <c r="CW235" s="1425"/>
      <c r="CX235" s="1425"/>
      <c r="CY235" s="1425"/>
      <c r="CZ235" s="1425"/>
      <c r="DA235" s="1411"/>
      <c r="DB235" s="1411"/>
      <c r="DC235" s="1411"/>
      <c r="DD235" s="1411"/>
      <c r="DE235" s="1411"/>
      <c r="DF235" s="1411"/>
      <c r="DH235" s="1432"/>
      <c r="DI235" s="1432"/>
      <c r="DJ235" s="1437"/>
      <c r="DK235" s="1437"/>
      <c r="DL235" s="1437"/>
      <c r="DM235" s="1437"/>
      <c r="DN235" s="1432"/>
      <c r="DO235" s="1432"/>
      <c r="DP235" s="1432"/>
      <c r="DQ235" s="1432"/>
      <c r="DR235" s="1432"/>
      <c r="DS235" s="1432"/>
      <c r="DT235" s="1316"/>
      <c r="DU235" s="1433"/>
      <c r="DV235" s="1433"/>
      <c r="DW235" s="1433"/>
      <c r="DX235" s="1433"/>
      <c r="DY235" s="1433"/>
      <c r="DZ235" s="1433"/>
      <c r="EA235" s="1433"/>
      <c r="EB235" s="1433"/>
    </row>
    <row r="236" customFormat="false" ht="14.25" hidden="false" customHeight="false" outlineLevel="0" collapsed="false">
      <c r="A236" s="2" t="n">
        <f aca="false">'V_DATOS PAC_SGA'!CC231</f>
        <v>0</v>
      </c>
      <c r="B236" s="2" t="n">
        <f aca="false">IF(OR(A236=0,A236=""),0,IF(I236="IV",CONCATENATE('V_DATOS PAC_SGA'!CC231,"4")+0,CONCATENATE('V_DATOS PAC_SGA'!CC231,"0")+0))</f>
        <v>0</v>
      </c>
      <c r="C236" s="2" t="n">
        <f aca="false">'V_DATOS PAC_SGA'!CD231</f>
        <v>0</v>
      </c>
      <c r="D236" s="1409" t="n">
        <f aca="false">'V_DATOS PAC_SGA'!Y231</f>
        <v>0</v>
      </c>
      <c r="E236" s="1410" t="str">
        <f aca="false">IF('V_DATOS PAC_SGA'!AV231="","Regadio",'V_DATOS PAC_SGA'!AV231)</f>
        <v>Regadio</v>
      </c>
      <c r="F236" s="1411" t="n">
        <f aca="false">'V_DATOS PAC_SGA'!BK231</f>
        <v>0</v>
      </c>
      <c r="G236" s="1412" t="n">
        <f aca="false">'V_DATOS PAC_SGA'!AN231</f>
        <v>0</v>
      </c>
      <c r="H236" s="1413" t="str">
        <f aca="false">IF(B236&gt;0,VLOOKUP(B236,'O_MN, PE_UTA_UGM 2024'!E$3:O$419,10),"")</f>
        <v/>
      </c>
      <c r="I236" s="1359" t="str">
        <f aca="false">IF('V_DATOS PAC_SGA'!BV231="IV",'V_DATOS PAC_SGA'!BV231,"")</f>
        <v/>
      </c>
      <c r="J236" s="2" t="str">
        <f aca="false">IF($A236&gt;0,IF(AND(J$4=$G236,J$6=$F236),$D236*J$5,""),"")</f>
        <v/>
      </c>
      <c r="K236" s="2" t="str">
        <f aca="false">IF($A236&gt;0,IF(AND(K$4=$G236,K$6=$F236),$D236*K$5,""),"")</f>
        <v/>
      </c>
      <c r="L236" s="2" t="str">
        <f aca="false">IF($A236&gt;0,IF(AND(L$4=$G236,L$6=$F236),$D236*L$5,""),"")</f>
        <v/>
      </c>
      <c r="M236" s="2" t="str">
        <f aca="false">IF($A236&gt;0,IF(AND(M$4=$G236,M$6=$F236),$D236*M$5,""),"")</f>
        <v/>
      </c>
      <c r="N236" s="1506" t="n">
        <f aca="false">VLOOKUP(B236,'O_MN, PE_UTA_UGM 2024'!$E$2:$K$419,IF(G236&gt;1,6,7))</f>
        <v>0</v>
      </c>
      <c r="O236" s="1434" t="str">
        <f aca="false">IF($H236=O$4,$D236*$N236,"")</f>
        <v/>
      </c>
      <c r="P236" s="1435" t="str">
        <f aca="false">IF($H236=P$4,$D236*$N236,"")</f>
        <v/>
      </c>
      <c r="Q236" s="1435" t="str">
        <f aca="false">IF($H236=Q$4,$D236*$N236,"")</f>
        <v/>
      </c>
      <c r="R236" s="1435" t="str">
        <f aca="false">IF($H236=R$4,$D236*$N236,"")</f>
        <v/>
      </c>
      <c r="S236" s="1435" t="str">
        <f aca="false">IF($H236=S$4,$D236*$N236,"")</f>
        <v/>
      </c>
      <c r="T236" s="1435" t="str">
        <f aca="false">IF($H236=T$4,$D236*$N236,"")</f>
        <v/>
      </c>
      <c r="U236" s="1436" t="str">
        <f aca="false">IF($H236=U$4,$D236*$N236,"")</f>
        <v/>
      </c>
      <c r="V236" s="1418"/>
      <c r="W236" s="1419"/>
      <c r="X236" s="1419"/>
      <c r="Y236" s="1419"/>
      <c r="Z236" s="1419"/>
      <c r="AA236" s="1419"/>
      <c r="AB236" s="1420"/>
      <c r="AC236" s="1319"/>
      <c r="AD236" s="2" t="str">
        <f aca="false">IF(AND(AD$4=$G236,AD$6=$F236),$B236,"")</f>
        <v/>
      </c>
      <c r="AE236" s="2" t="str">
        <f aca="false">IF(AND(AE$4=$G236,AE$6=$F236),$B236,"")</f>
        <v/>
      </c>
      <c r="AF236" s="2" t="str">
        <f aca="false">IF(AND(AF$4=$G236,AF$6=$F236),$B236,"")</f>
        <v/>
      </c>
      <c r="AG236" s="2" t="str">
        <f aca="false">IF(AND(AG$4=$G236,AG$6=$F236),$B236,"")</f>
        <v/>
      </c>
      <c r="AI236" s="366"/>
      <c r="AL236" s="367"/>
      <c r="AO236" s="367"/>
      <c r="AP236" s="2" t="str">
        <f aca="false">IF(AT236&gt;0,RANK(AT236,AT$7:AT$423),"")</f>
        <v/>
      </c>
      <c r="AQ236" s="2" t="n">
        <f aca="false">'O_MN, PE_UTA_UGM 2024'!C232</f>
        <v>218</v>
      </c>
      <c r="AR236" s="1421" t="n">
        <v>2174</v>
      </c>
      <c r="AS236" s="2" t="str">
        <f aca="false">IF(AY236&lt;&gt;"",AY236,"")</f>
        <v/>
      </c>
      <c r="AT236" s="1422" t="n">
        <f aca="false">IF(ISNUMBER($AR236),SUMIF(B$7:B$505,AR236,D$7:D$505),"")</f>
        <v>0</v>
      </c>
      <c r="AU236" s="1411" t="n">
        <f aca="false">IF(ISNUMBER($AR236),SUMIF(AD$7:AD$503,$AR236,J$7:J$503),"")</f>
        <v>0</v>
      </c>
      <c r="AV236" s="1411" t="n">
        <f aca="false">IF(ISNUMBER($AR236),SUMIF(AF$7:AF$503,$AR236,L$7:L$503),"")</f>
        <v>0</v>
      </c>
      <c r="AW236" s="1423" t="n">
        <f aca="false">IF(ISNUMBER($AR236),SUMIF(AE$7:AE$503,$AR236,K$7:K$503),"")</f>
        <v>0</v>
      </c>
      <c r="AX236" s="1423" t="n">
        <f aca="false">IF(ISNUMBER($AR236),SUMIF(AG$7:AG$503,$AR236,M$7:M$503),"")</f>
        <v>0</v>
      </c>
      <c r="AY236" s="2" t="str">
        <f aca="false">IF($AT236&gt;0,VLOOKUP($AR236,'O_MN, PE_UTA_UGM 2024'!E232:O648,2),"")</f>
        <v/>
      </c>
      <c r="AZ236" s="1507"/>
      <c r="BA236" s="1507"/>
      <c r="BB236" s="1507" t="str">
        <f aca="false">IF($AT236&gt;0,VLOOKUP($AR236,'O_MN, PE_UTA_UGM 2024'!$E$3:$O$419,BB$6),"")</f>
        <v/>
      </c>
      <c r="BC236" s="1507" t="str">
        <f aca="false">IF($AT236&gt;0,VLOOKUP($AR236,'O_MN, PE_UTA_UGM 2024'!$E$3:$O$419,BC$6),"")</f>
        <v/>
      </c>
      <c r="BD236" s="1507" t="str">
        <f aca="false">IF($AT236&gt;0,VLOOKUP($AR236,'O_MN, PE_UTA_UGM 2024'!$E$3:$O$419,BD$6),"")</f>
        <v/>
      </c>
      <c r="BE236" s="1507" t="str">
        <f aca="false">IF($AT236&gt;0,VLOOKUP($AR236,'O_MN, PE_UTA_UGM 2024'!$E$3:$O$419,BE$6),"")</f>
        <v/>
      </c>
      <c r="BF236" s="1507" t="str">
        <f aca="false">IF($AT236&gt;0,VLOOKUP($AR236,'O_MN, PE_UTA_UGM 2024'!$E$3:$O$419,BF$6),"")</f>
        <v/>
      </c>
      <c r="BG236" s="1507" t="str">
        <f aca="false">IF($AT236&gt;0,VLOOKUP($AR236,'O_MN, PE_UTA_UGM 2024'!$E$3:$O$419,BG$6),"")</f>
        <v/>
      </c>
      <c r="BH236" s="1504"/>
      <c r="BI236" s="1504"/>
      <c r="BJ236" s="1504"/>
      <c r="BK236" s="1504"/>
      <c r="BM236" s="1411"/>
      <c r="BN236" s="1411"/>
      <c r="BO236" s="1425" t="str">
        <f aca="false">IF(ISNUMBER($AU236*BB236*1),$AU236*BB236*1,"")</f>
        <v/>
      </c>
      <c r="BP236" s="1425" t="str">
        <f aca="false">IF(ISNUMBER($AV236*BC236*1),$AV236*BC236*1,"")</f>
        <v/>
      </c>
      <c r="BQ236" s="1425" t="str">
        <f aca="false">IF(ISNUMBER($AU236*BD236*1),$AU236*BD236*1,"")</f>
        <v/>
      </c>
      <c r="BR236" s="1425" t="str">
        <f aca="false">IF(ISNUMBER($AV236*BE236*1),$AV236*BE236*1,"")</f>
        <v/>
      </c>
      <c r="BS236" s="1411" t="str">
        <f aca="false">IF(ISNUMBER($AU236*BF236),$AU236*BF236,"")</f>
        <v/>
      </c>
      <c r="BT236" s="1411" t="str">
        <f aca="false">IF(ISNUMBER($AV236*BG236),$AV236*BG236,"")</f>
        <v/>
      </c>
      <c r="BU236" s="1411"/>
      <c r="BV236" s="1411"/>
      <c r="BW236" s="1411"/>
      <c r="BX236" s="1411"/>
      <c r="BZ236" s="1372"/>
      <c r="CA236" s="1372"/>
      <c r="CB236" s="1426" t="str">
        <f aca="false">IF(ISNUMBER($AW236*BB236),$AW236*BB236,"")</f>
        <v/>
      </c>
      <c r="CC236" s="1426" t="str">
        <f aca="false">IF(ISNUMBER($AX236*BC236),$AX236*BC236,"")</f>
        <v/>
      </c>
      <c r="CD236" s="1426" t="str">
        <f aca="false">IF(ISNUMBER($AW236*BD236),$AW236*BD236,"")</f>
        <v/>
      </c>
      <c r="CE236" s="1426" t="str">
        <f aca="false">IF(ISNUMBER($AX236*BE236),$AX236*BE236,"")</f>
        <v/>
      </c>
      <c r="CF236" s="1372" t="str">
        <f aca="false">IF(ISNUMBER($AW236*BF236),$AW236*BF236,"")</f>
        <v/>
      </c>
      <c r="CG236" s="1372" t="str">
        <f aca="false">IF(ISNUMBER($AX236*BG236),$AX236*BG236,"")</f>
        <v/>
      </c>
      <c r="CH236" s="1438"/>
      <c r="CI236" s="1438"/>
      <c r="CJ236" s="1438"/>
      <c r="CK236" s="1438"/>
      <c r="CU236" s="1411"/>
      <c r="CV236" s="1411"/>
      <c r="CW236" s="1425"/>
      <c r="CX236" s="1425"/>
      <c r="CY236" s="1425"/>
      <c r="CZ236" s="1425"/>
      <c r="DA236" s="1411"/>
      <c r="DB236" s="1411"/>
      <c r="DC236" s="1411"/>
      <c r="DD236" s="1411"/>
      <c r="DE236" s="1411"/>
      <c r="DF236" s="1411"/>
      <c r="DH236" s="1432"/>
      <c r="DI236" s="1432"/>
      <c r="DJ236" s="1437"/>
      <c r="DK236" s="1437"/>
      <c r="DL236" s="1437"/>
      <c r="DM236" s="1437"/>
      <c r="DN236" s="1432"/>
      <c r="DO236" s="1432"/>
      <c r="DP236" s="1432"/>
      <c r="DQ236" s="1432"/>
      <c r="DR236" s="1432"/>
      <c r="DS236" s="1432"/>
      <c r="DT236" s="1316"/>
      <c r="DU236" s="1433"/>
      <c r="DV236" s="1433"/>
      <c r="DW236" s="1433"/>
      <c r="DX236" s="1433"/>
      <c r="DY236" s="1433"/>
      <c r="DZ236" s="1433"/>
      <c r="EA236" s="1433"/>
      <c r="EB236" s="1433"/>
    </row>
    <row r="237" customFormat="false" ht="14.25" hidden="false" customHeight="false" outlineLevel="0" collapsed="false">
      <c r="A237" s="2" t="n">
        <f aca="false">'V_DATOS PAC_SGA'!CC232</f>
        <v>0</v>
      </c>
      <c r="B237" s="2" t="n">
        <f aca="false">IF(OR(A237=0,A237=""),0,IF(I237="IV",CONCATENATE('V_DATOS PAC_SGA'!CC232,"4")+0,CONCATENATE('V_DATOS PAC_SGA'!CC232,"0")+0))</f>
        <v>0</v>
      </c>
      <c r="C237" s="2" t="n">
        <f aca="false">'V_DATOS PAC_SGA'!CD232</f>
        <v>0</v>
      </c>
      <c r="D237" s="1409" t="n">
        <f aca="false">'V_DATOS PAC_SGA'!Y232</f>
        <v>0</v>
      </c>
      <c r="E237" s="1410" t="str">
        <f aca="false">IF('V_DATOS PAC_SGA'!AV232="","Regadio",'V_DATOS PAC_SGA'!AV232)</f>
        <v>Regadio</v>
      </c>
      <c r="F237" s="1411" t="n">
        <f aca="false">'V_DATOS PAC_SGA'!BK232</f>
        <v>0</v>
      </c>
      <c r="G237" s="1412" t="n">
        <f aca="false">'V_DATOS PAC_SGA'!AN232</f>
        <v>0</v>
      </c>
      <c r="H237" s="1413" t="str">
        <f aca="false">IF(B237&gt;0,VLOOKUP(B237,'O_MN, PE_UTA_UGM 2024'!E$3:O$419,10),"")</f>
        <v/>
      </c>
      <c r="I237" s="1359" t="str">
        <f aca="false">IF('V_DATOS PAC_SGA'!BV232="IV",'V_DATOS PAC_SGA'!BV232,"")</f>
        <v/>
      </c>
      <c r="J237" s="2" t="str">
        <f aca="false">IF($A237&gt;0,IF(AND(J$4=$G237,J$6=$F237),$D237*J$5,""),"")</f>
        <v/>
      </c>
      <c r="K237" s="2" t="str">
        <f aca="false">IF($A237&gt;0,IF(AND(K$4=$G237,K$6=$F237),$D237*K$5,""),"")</f>
        <v/>
      </c>
      <c r="L237" s="2" t="str">
        <f aca="false">IF($A237&gt;0,IF(AND(L$4=$G237,L$6=$F237),$D237*L$5,""),"")</f>
        <v/>
      </c>
      <c r="M237" s="2" t="str">
        <f aca="false">IF($A237&gt;0,IF(AND(M$4=$G237,M$6=$F237),$D237*M$5,""),"")</f>
        <v/>
      </c>
      <c r="N237" s="1506" t="n">
        <f aca="false">VLOOKUP(B237,'O_MN, PE_UTA_UGM 2024'!$E$2:$K$419,IF(G237&gt;1,6,7))</f>
        <v>0</v>
      </c>
      <c r="O237" s="1434" t="str">
        <f aca="false">IF($H237=O$4,$D237*$N237,"")</f>
        <v/>
      </c>
      <c r="P237" s="1435" t="str">
        <f aca="false">IF($H237=P$4,$D237*$N237,"")</f>
        <v/>
      </c>
      <c r="Q237" s="1435" t="str">
        <f aca="false">IF($H237=Q$4,$D237*$N237,"")</f>
        <v/>
      </c>
      <c r="R237" s="1435" t="str">
        <f aca="false">IF($H237=R$4,$D237*$N237,"")</f>
        <v/>
      </c>
      <c r="S237" s="1435" t="str">
        <f aca="false">IF($H237=S$4,$D237*$N237,"")</f>
        <v/>
      </c>
      <c r="T237" s="1435" t="str">
        <f aca="false">IF($H237=T$4,$D237*$N237,"")</f>
        <v/>
      </c>
      <c r="U237" s="1436" t="str">
        <f aca="false">IF($H237=U$4,$D237*$N237,"")</f>
        <v/>
      </c>
      <c r="V237" s="1418"/>
      <c r="W237" s="1419"/>
      <c r="X237" s="1419"/>
      <c r="Y237" s="1419"/>
      <c r="Z237" s="1419"/>
      <c r="AA237" s="1419"/>
      <c r="AB237" s="1420"/>
      <c r="AC237" s="1319"/>
      <c r="AD237" s="2" t="str">
        <f aca="false">IF(AND(AD$4=$G237,AD$6=$F237),$B237,"")</f>
        <v/>
      </c>
      <c r="AE237" s="2" t="str">
        <f aca="false">IF(AND(AE$4=$G237,AE$6=$F237),$B237,"")</f>
        <v/>
      </c>
      <c r="AF237" s="2" t="str">
        <f aca="false">IF(AND(AF$4=$G237,AF$6=$F237),$B237,"")</f>
        <v/>
      </c>
      <c r="AG237" s="2" t="str">
        <f aca="false">IF(AND(AG$4=$G237,AG$6=$F237),$B237,"")</f>
        <v/>
      </c>
      <c r="AI237" s="366"/>
      <c r="AL237" s="367"/>
      <c r="AO237" s="367"/>
      <c r="AP237" s="2" t="str">
        <f aca="false">IF(AT237&gt;0,RANK(AT237,AT$7:AT$423),"")</f>
        <v/>
      </c>
      <c r="AQ237" s="2" t="n">
        <f aca="false">'O_MN, PE_UTA_UGM 2024'!C233</f>
        <v>219</v>
      </c>
      <c r="AR237" s="1421" t="n">
        <v>2179</v>
      </c>
      <c r="AS237" s="2" t="str">
        <f aca="false">IF(AY237&lt;&gt;"",AY237,"")</f>
        <v/>
      </c>
      <c r="AT237" s="1422" t="n">
        <f aca="false">IF(ISNUMBER($AR237),SUMIF(B$7:B$505,AR237,D$7:D$505),"")</f>
        <v>0</v>
      </c>
      <c r="AU237" s="1411" t="n">
        <f aca="false">IF(ISNUMBER($AR237),SUMIF(AD$7:AD$503,$AR237,J$7:J$503),"")</f>
        <v>0</v>
      </c>
      <c r="AV237" s="1411" t="n">
        <f aca="false">IF(ISNUMBER($AR237),SUMIF(AF$7:AF$503,$AR237,L$7:L$503),"")</f>
        <v>0</v>
      </c>
      <c r="AW237" s="1423" t="n">
        <f aca="false">IF(ISNUMBER($AR237),SUMIF(AE$7:AE$503,$AR237,K$7:K$503),"")</f>
        <v>0</v>
      </c>
      <c r="AX237" s="1423" t="n">
        <f aca="false">IF(ISNUMBER($AR237),SUMIF(AG$7:AG$503,$AR237,M$7:M$503),"")</f>
        <v>0</v>
      </c>
      <c r="AY237" s="2" t="str">
        <f aca="false">IF($AT237&gt;0,VLOOKUP($AR237,'O_MN, PE_UTA_UGM 2024'!E233:O649,2),"")</f>
        <v/>
      </c>
      <c r="AZ237" s="1507"/>
      <c r="BA237" s="1507"/>
      <c r="BB237" s="1507" t="str">
        <f aca="false">IF($AT237&gt;0,VLOOKUP($AR237,'O_MN, PE_UTA_UGM 2024'!$E$3:$O$419,BB$6),"")</f>
        <v/>
      </c>
      <c r="BC237" s="1507" t="str">
        <f aca="false">IF($AT237&gt;0,VLOOKUP($AR237,'O_MN, PE_UTA_UGM 2024'!$E$3:$O$419,BC$6),"")</f>
        <v/>
      </c>
      <c r="BD237" s="1507" t="str">
        <f aca="false">IF($AT237&gt;0,VLOOKUP($AR237,'O_MN, PE_UTA_UGM 2024'!$E$3:$O$419,BD$6),"")</f>
        <v/>
      </c>
      <c r="BE237" s="1507" t="str">
        <f aca="false">IF($AT237&gt;0,VLOOKUP($AR237,'O_MN, PE_UTA_UGM 2024'!$E$3:$O$419,BE$6),"")</f>
        <v/>
      </c>
      <c r="BF237" s="1507" t="str">
        <f aca="false">IF($AT237&gt;0,VLOOKUP($AR237,'O_MN, PE_UTA_UGM 2024'!$E$3:$O$419,BF$6),"")</f>
        <v/>
      </c>
      <c r="BG237" s="1507" t="str">
        <f aca="false">IF($AT237&gt;0,VLOOKUP($AR237,'O_MN, PE_UTA_UGM 2024'!$E$3:$O$419,BG$6),"")</f>
        <v/>
      </c>
      <c r="BH237" s="1504"/>
      <c r="BI237" s="1504"/>
      <c r="BJ237" s="1504"/>
      <c r="BK237" s="1504"/>
      <c r="BM237" s="1411"/>
      <c r="BN237" s="1411"/>
      <c r="BO237" s="1425" t="str">
        <f aca="false">IF(ISNUMBER($AU237*BB237*1),$AU237*BB237*1,"")</f>
        <v/>
      </c>
      <c r="BP237" s="1425" t="str">
        <f aca="false">IF(ISNUMBER($AV237*BC237*1),$AV237*BC237*1,"")</f>
        <v/>
      </c>
      <c r="BQ237" s="1425" t="str">
        <f aca="false">IF(ISNUMBER($AU237*BD237*1),$AU237*BD237*1,"")</f>
        <v/>
      </c>
      <c r="BR237" s="1425" t="str">
        <f aca="false">IF(ISNUMBER($AV237*BE237*1),$AV237*BE237*1,"")</f>
        <v/>
      </c>
      <c r="BS237" s="1411" t="str">
        <f aca="false">IF(ISNUMBER($AU237*BF237),$AU237*BF237,"")</f>
        <v/>
      </c>
      <c r="BT237" s="1411" t="str">
        <f aca="false">IF(ISNUMBER($AV237*BG237),$AV237*BG237,"")</f>
        <v/>
      </c>
      <c r="BU237" s="1411"/>
      <c r="BV237" s="1411"/>
      <c r="BW237" s="1411"/>
      <c r="BX237" s="1411"/>
      <c r="BZ237" s="1372"/>
      <c r="CA237" s="1372"/>
      <c r="CB237" s="1426" t="str">
        <f aca="false">IF(ISNUMBER($AW237*BB237),$AW237*BB237,"")</f>
        <v/>
      </c>
      <c r="CC237" s="1426" t="str">
        <f aca="false">IF(ISNUMBER($AX237*BC237),$AX237*BC237,"")</f>
        <v/>
      </c>
      <c r="CD237" s="1426" t="str">
        <f aca="false">IF(ISNUMBER($AW237*BD237),$AW237*BD237,"")</f>
        <v/>
      </c>
      <c r="CE237" s="1426" t="str">
        <f aca="false">IF(ISNUMBER($AX237*BE237),$AX237*BE237,"")</f>
        <v/>
      </c>
      <c r="CF237" s="1372" t="str">
        <f aca="false">IF(ISNUMBER($AW237*BF237),$AW237*BF237,"")</f>
        <v/>
      </c>
      <c r="CG237" s="1372" t="str">
        <f aca="false">IF(ISNUMBER($AX237*BG237),$AX237*BG237,"")</f>
        <v/>
      </c>
      <c r="CH237" s="1438"/>
      <c r="CI237" s="1438"/>
      <c r="CJ237" s="1438"/>
      <c r="CK237" s="1438"/>
      <c r="CU237" s="1411"/>
      <c r="CV237" s="1411"/>
      <c r="CW237" s="1425"/>
      <c r="CX237" s="1425"/>
      <c r="CY237" s="1425"/>
      <c r="CZ237" s="1425"/>
      <c r="DA237" s="1411"/>
      <c r="DB237" s="1411"/>
      <c r="DC237" s="1411"/>
      <c r="DD237" s="1411"/>
      <c r="DE237" s="1411"/>
      <c r="DF237" s="1411"/>
      <c r="DH237" s="1432"/>
      <c r="DI237" s="1432"/>
      <c r="DJ237" s="1437"/>
      <c r="DK237" s="1437"/>
      <c r="DL237" s="1437"/>
      <c r="DM237" s="1437"/>
      <c r="DN237" s="1432"/>
      <c r="DO237" s="1432"/>
      <c r="DP237" s="1432"/>
      <c r="DQ237" s="1432"/>
      <c r="DR237" s="1432"/>
      <c r="DS237" s="1432"/>
      <c r="DT237" s="1316"/>
      <c r="DU237" s="1433"/>
      <c r="DV237" s="1433"/>
      <c r="DW237" s="1433"/>
      <c r="DX237" s="1433"/>
      <c r="DY237" s="1433"/>
      <c r="DZ237" s="1433"/>
      <c r="EA237" s="1433"/>
      <c r="EB237" s="1433"/>
    </row>
    <row r="238" customFormat="false" ht="14.25" hidden="false" customHeight="false" outlineLevel="0" collapsed="false">
      <c r="A238" s="2" t="n">
        <f aca="false">'V_DATOS PAC_SGA'!CC233</f>
        <v>0</v>
      </c>
      <c r="B238" s="2" t="n">
        <f aca="false">IF(OR(A238=0,A238=""),0,IF(I238="IV",CONCATENATE('V_DATOS PAC_SGA'!CC233,"4")+0,CONCATENATE('V_DATOS PAC_SGA'!CC233,"0")+0))</f>
        <v>0</v>
      </c>
      <c r="C238" s="2" t="n">
        <f aca="false">'V_DATOS PAC_SGA'!CD233</f>
        <v>0</v>
      </c>
      <c r="D238" s="1409" t="n">
        <f aca="false">'V_DATOS PAC_SGA'!Y233</f>
        <v>0</v>
      </c>
      <c r="E238" s="1410" t="str">
        <f aca="false">IF('V_DATOS PAC_SGA'!AV233="","Regadio",'V_DATOS PAC_SGA'!AV233)</f>
        <v>Regadio</v>
      </c>
      <c r="F238" s="1411" t="n">
        <f aca="false">'V_DATOS PAC_SGA'!BK233</f>
        <v>0</v>
      </c>
      <c r="G238" s="1412" t="n">
        <f aca="false">'V_DATOS PAC_SGA'!AN233</f>
        <v>0</v>
      </c>
      <c r="H238" s="1413" t="str">
        <f aca="false">IF(B238&gt;0,VLOOKUP(B238,'O_MN, PE_UTA_UGM 2024'!E$3:O$419,10),"")</f>
        <v/>
      </c>
      <c r="I238" s="1359" t="str">
        <f aca="false">IF('V_DATOS PAC_SGA'!BV233="IV",'V_DATOS PAC_SGA'!BV233,"")</f>
        <v/>
      </c>
      <c r="J238" s="2" t="str">
        <f aca="false">IF($A238&gt;0,IF(AND(J$4=$G238,J$6=$F238),$D238*J$5,""),"")</f>
        <v/>
      </c>
      <c r="K238" s="2" t="str">
        <f aca="false">IF($A238&gt;0,IF(AND(K$4=$G238,K$6=$F238),$D238*K$5,""),"")</f>
        <v/>
      </c>
      <c r="L238" s="2" t="str">
        <f aca="false">IF($A238&gt;0,IF(AND(L$4=$G238,L$6=$F238),$D238*L$5,""),"")</f>
        <v/>
      </c>
      <c r="M238" s="2" t="str">
        <f aca="false">IF($A238&gt;0,IF(AND(M$4=$G238,M$6=$F238),$D238*M$5,""),"")</f>
        <v/>
      </c>
      <c r="N238" s="1506" t="n">
        <f aca="false">VLOOKUP(B238,'O_MN, PE_UTA_UGM 2024'!$E$2:$K$419,IF(G238&gt;1,6,7))</f>
        <v>0</v>
      </c>
      <c r="O238" s="1434" t="str">
        <f aca="false">IF($H238=O$4,$D238*$N238,"")</f>
        <v/>
      </c>
      <c r="P238" s="1435" t="str">
        <f aca="false">IF($H238=P$4,$D238*$N238,"")</f>
        <v/>
      </c>
      <c r="Q238" s="1435" t="str">
        <f aca="false">IF($H238=Q$4,$D238*$N238,"")</f>
        <v/>
      </c>
      <c r="R238" s="1435" t="str">
        <f aca="false">IF($H238=R$4,$D238*$N238,"")</f>
        <v/>
      </c>
      <c r="S238" s="1435" t="str">
        <f aca="false">IF($H238=S$4,$D238*$N238,"")</f>
        <v/>
      </c>
      <c r="T238" s="1435" t="str">
        <f aca="false">IF($H238=T$4,$D238*$N238,"")</f>
        <v/>
      </c>
      <c r="U238" s="1436" t="str">
        <f aca="false">IF($H238=U$4,$D238*$N238,"")</f>
        <v/>
      </c>
      <c r="V238" s="1418"/>
      <c r="W238" s="1419"/>
      <c r="X238" s="1419"/>
      <c r="Y238" s="1419"/>
      <c r="Z238" s="1419"/>
      <c r="AA238" s="1419"/>
      <c r="AB238" s="1420"/>
      <c r="AC238" s="1319"/>
      <c r="AD238" s="2" t="str">
        <f aca="false">IF(AND(AD$4=$G238,AD$6=$F238),$B238,"")</f>
        <v/>
      </c>
      <c r="AE238" s="2" t="str">
        <f aca="false">IF(AND(AE$4=$G238,AE$6=$F238),$B238,"")</f>
        <v/>
      </c>
      <c r="AF238" s="2" t="str">
        <f aca="false">IF(AND(AF$4=$G238,AF$6=$F238),$B238,"")</f>
        <v/>
      </c>
      <c r="AG238" s="2" t="str">
        <f aca="false">IF(AND(AG$4=$G238,AG$6=$F238),$B238,"")</f>
        <v/>
      </c>
      <c r="AI238" s="366"/>
      <c r="AL238" s="367"/>
      <c r="AO238" s="367"/>
      <c r="AP238" s="2" t="str">
        <f aca="false">IF(AT238&gt;0,RANK(AT238,AT$7:AT$423),"")</f>
        <v/>
      </c>
      <c r="AQ238" s="2" t="n">
        <f aca="false">'O_MN, PE_UTA_UGM 2024'!C234</f>
        <v>219</v>
      </c>
      <c r="AR238" s="1421" t="n">
        <v>2180</v>
      </c>
      <c r="AS238" s="2" t="str">
        <f aca="false">IF(AY238&lt;&gt;"",AY238,"")</f>
        <v/>
      </c>
      <c r="AT238" s="1422" t="n">
        <f aca="false">IF(ISNUMBER($AR238),SUMIF(B$7:B$505,AR238,D$7:D$505),"")</f>
        <v>0</v>
      </c>
      <c r="AU238" s="1411" t="n">
        <f aca="false">IF(ISNUMBER($AR238),SUMIF(AD$7:AD$503,$AR238,J$7:J$503),"")</f>
        <v>0</v>
      </c>
      <c r="AV238" s="1411" t="n">
        <f aca="false">IF(ISNUMBER($AR238),SUMIF(AF$7:AF$503,$AR238,L$7:L$503),"")</f>
        <v>0</v>
      </c>
      <c r="AW238" s="1423" t="n">
        <f aca="false">IF(ISNUMBER($AR238),SUMIF(AE$7:AE$503,$AR238,K$7:K$503),"")</f>
        <v>0</v>
      </c>
      <c r="AX238" s="1423" t="n">
        <f aca="false">IF(ISNUMBER($AR238),SUMIF(AG$7:AG$503,$AR238,M$7:M$503),"")</f>
        <v>0</v>
      </c>
      <c r="AY238" s="2" t="str">
        <f aca="false">IF($AT238&gt;0,VLOOKUP($AR238,'O_MN, PE_UTA_UGM 2024'!E234:O650,2),"")</f>
        <v/>
      </c>
      <c r="AZ238" s="1507"/>
      <c r="BA238" s="1507"/>
      <c r="BB238" s="1507" t="str">
        <f aca="false">IF($AT238&gt;0,VLOOKUP($AR238,'O_MN, PE_UTA_UGM 2024'!$E$3:$O$419,BB$6),"")</f>
        <v/>
      </c>
      <c r="BC238" s="1507" t="str">
        <f aca="false">IF($AT238&gt;0,VLOOKUP($AR238,'O_MN, PE_UTA_UGM 2024'!$E$3:$O$419,BC$6),"")</f>
        <v/>
      </c>
      <c r="BD238" s="1507" t="str">
        <f aca="false">IF($AT238&gt;0,VLOOKUP($AR238,'O_MN, PE_UTA_UGM 2024'!$E$3:$O$419,BD$6),"")</f>
        <v/>
      </c>
      <c r="BE238" s="1507" t="str">
        <f aca="false">IF($AT238&gt;0,VLOOKUP($AR238,'O_MN, PE_UTA_UGM 2024'!$E$3:$O$419,BE$6),"")</f>
        <v/>
      </c>
      <c r="BF238" s="1507" t="str">
        <f aca="false">IF($AT238&gt;0,VLOOKUP($AR238,'O_MN, PE_UTA_UGM 2024'!$E$3:$O$419,BF$6),"")</f>
        <v/>
      </c>
      <c r="BG238" s="1507" t="str">
        <f aca="false">IF($AT238&gt;0,VLOOKUP($AR238,'O_MN, PE_UTA_UGM 2024'!$E$3:$O$419,BG$6),"")</f>
        <v/>
      </c>
      <c r="BH238" s="1504"/>
      <c r="BI238" s="1504"/>
      <c r="BJ238" s="1504"/>
      <c r="BK238" s="1504"/>
      <c r="BM238" s="1411"/>
      <c r="BN238" s="1411"/>
      <c r="BO238" s="1425" t="str">
        <f aca="false">IF(ISNUMBER($AU238*BB238*1),$AU238*BB238*1,"")</f>
        <v/>
      </c>
      <c r="BP238" s="1425" t="str">
        <f aca="false">IF(ISNUMBER($AV238*BC238*1),$AV238*BC238*1,"")</f>
        <v/>
      </c>
      <c r="BQ238" s="1425" t="str">
        <f aca="false">IF(ISNUMBER($AU238*BD238*1),$AU238*BD238*1,"")</f>
        <v/>
      </c>
      <c r="BR238" s="1425" t="str">
        <f aca="false">IF(ISNUMBER($AV238*BE238*1),$AV238*BE238*1,"")</f>
        <v/>
      </c>
      <c r="BS238" s="1411" t="str">
        <f aca="false">IF(ISNUMBER($AU238*BF238),$AU238*BF238,"")</f>
        <v/>
      </c>
      <c r="BT238" s="1411" t="str">
        <f aca="false">IF(ISNUMBER($AV238*BG238),$AV238*BG238,"")</f>
        <v/>
      </c>
      <c r="BU238" s="1411"/>
      <c r="BV238" s="1411"/>
      <c r="BW238" s="1411"/>
      <c r="BX238" s="1411"/>
      <c r="BZ238" s="1372"/>
      <c r="CA238" s="1372"/>
      <c r="CB238" s="1426" t="str">
        <f aca="false">IF(ISNUMBER($AW238*BB238),$AW238*BB238,"")</f>
        <v/>
      </c>
      <c r="CC238" s="1426" t="str">
        <f aca="false">IF(ISNUMBER($AX238*BC238),$AX238*BC238,"")</f>
        <v/>
      </c>
      <c r="CD238" s="1426" t="str">
        <f aca="false">IF(ISNUMBER($AW238*BD238),$AW238*BD238,"")</f>
        <v/>
      </c>
      <c r="CE238" s="1426" t="str">
        <f aca="false">IF(ISNUMBER($AX238*BE238),$AX238*BE238,"")</f>
        <v/>
      </c>
      <c r="CF238" s="1372" t="str">
        <f aca="false">IF(ISNUMBER($AW238*BF238),$AW238*BF238,"")</f>
        <v/>
      </c>
      <c r="CG238" s="1372" t="str">
        <f aca="false">IF(ISNUMBER($AX238*BG238),$AX238*BG238,"")</f>
        <v/>
      </c>
      <c r="CH238" s="1438"/>
      <c r="CI238" s="1438"/>
      <c r="CJ238" s="1438"/>
      <c r="CK238" s="1438"/>
      <c r="CU238" s="1411"/>
      <c r="CV238" s="1411"/>
      <c r="CW238" s="1425"/>
      <c r="CX238" s="1425"/>
      <c r="CY238" s="1425"/>
      <c r="CZ238" s="1425"/>
      <c r="DA238" s="1411"/>
      <c r="DB238" s="1411"/>
      <c r="DC238" s="1411"/>
      <c r="DD238" s="1411"/>
      <c r="DE238" s="1411"/>
      <c r="DF238" s="1411"/>
      <c r="DH238" s="1432"/>
      <c r="DI238" s="1432"/>
      <c r="DJ238" s="1437"/>
      <c r="DK238" s="1437"/>
      <c r="DL238" s="1437"/>
      <c r="DM238" s="1437"/>
      <c r="DN238" s="1432"/>
      <c r="DO238" s="1432"/>
      <c r="DP238" s="1432"/>
      <c r="DQ238" s="1432"/>
      <c r="DR238" s="1432"/>
      <c r="DS238" s="1432"/>
      <c r="DT238" s="1316"/>
      <c r="DU238" s="1433"/>
      <c r="DV238" s="1433"/>
      <c r="DW238" s="1433"/>
      <c r="DX238" s="1433"/>
      <c r="DY238" s="1433"/>
      <c r="DZ238" s="1433"/>
      <c r="EA238" s="1433"/>
      <c r="EB238" s="1433"/>
    </row>
    <row r="239" customFormat="false" ht="14.25" hidden="false" customHeight="false" outlineLevel="0" collapsed="false">
      <c r="A239" s="2" t="n">
        <f aca="false">'V_DATOS PAC_SGA'!CC234</f>
        <v>0</v>
      </c>
      <c r="B239" s="2" t="n">
        <f aca="false">IF(OR(A239=0,A239=""),0,IF(I239="IV",CONCATENATE('V_DATOS PAC_SGA'!CC234,"4")+0,CONCATENATE('V_DATOS PAC_SGA'!CC234,"0")+0))</f>
        <v>0</v>
      </c>
      <c r="C239" s="2" t="n">
        <f aca="false">'V_DATOS PAC_SGA'!CD234</f>
        <v>0</v>
      </c>
      <c r="D239" s="1409" t="n">
        <f aca="false">'V_DATOS PAC_SGA'!Y234</f>
        <v>0</v>
      </c>
      <c r="E239" s="1410" t="str">
        <f aca="false">IF('V_DATOS PAC_SGA'!AV234="","Regadio",'V_DATOS PAC_SGA'!AV234)</f>
        <v>Regadio</v>
      </c>
      <c r="F239" s="1411" t="n">
        <f aca="false">'V_DATOS PAC_SGA'!BK234</f>
        <v>0</v>
      </c>
      <c r="G239" s="1412" t="n">
        <f aca="false">'V_DATOS PAC_SGA'!AN234</f>
        <v>0</v>
      </c>
      <c r="H239" s="1413" t="str">
        <f aca="false">IF(B239&gt;0,VLOOKUP(B239,'O_MN, PE_UTA_UGM 2024'!E$3:O$419,10),"")</f>
        <v/>
      </c>
      <c r="I239" s="1359" t="str">
        <f aca="false">IF('V_DATOS PAC_SGA'!BV234="IV",'V_DATOS PAC_SGA'!BV234,"")</f>
        <v/>
      </c>
      <c r="J239" s="2" t="str">
        <f aca="false">IF($A239&gt;0,IF(AND(J$4=$G239,J$6=$F239),$D239*J$5,""),"")</f>
        <v/>
      </c>
      <c r="K239" s="2" t="str">
        <f aca="false">IF($A239&gt;0,IF(AND(K$4=$G239,K$6=$F239),$D239*K$5,""),"")</f>
        <v/>
      </c>
      <c r="L239" s="2" t="str">
        <f aca="false">IF($A239&gt;0,IF(AND(L$4=$G239,L$6=$F239),$D239*L$5,""),"")</f>
        <v/>
      </c>
      <c r="M239" s="2" t="str">
        <f aca="false">IF($A239&gt;0,IF(AND(M$4=$G239,M$6=$F239),$D239*M$5,""),"")</f>
        <v/>
      </c>
      <c r="N239" s="1506" t="n">
        <f aca="false">VLOOKUP(B239,'O_MN, PE_UTA_UGM 2024'!$E$2:$K$419,IF(G239&gt;1,6,7))</f>
        <v>0</v>
      </c>
      <c r="O239" s="1434" t="str">
        <f aca="false">IF($H239=O$4,$D239*$N239,"")</f>
        <v/>
      </c>
      <c r="P239" s="1435" t="str">
        <f aca="false">IF($H239=P$4,$D239*$N239,"")</f>
        <v/>
      </c>
      <c r="Q239" s="1435" t="str">
        <f aca="false">IF($H239=Q$4,$D239*$N239,"")</f>
        <v/>
      </c>
      <c r="R239" s="1435" t="str">
        <f aca="false">IF($H239=R$4,$D239*$N239,"")</f>
        <v/>
      </c>
      <c r="S239" s="1435" t="str">
        <f aca="false">IF($H239=S$4,$D239*$N239,"")</f>
        <v/>
      </c>
      <c r="T239" s="1435" t="str">
        <f aca="false">IF($H239=T$4,$D239*$N239,"")</f>
        <v/>
      </c>
      <c r="U239" s="1436" t="str">
        <f aca="false">IF($H239=U$4,$D239*$N239,"")</f>
        <v/>
      </c>
      <c r="V239" s="1418"/>
      <c r="W239" s="1419"/>
      <c r="X239" s="1419"/>
      <c r="Y239" s="1419"/>
      <c r="Z239" s="1419"/>
      <c r="AA239" s="1419"/>
      <c r="AB239" s="1420"/>
      <c r="AC239" s="1319"/>
      <c r="AD239" s="2" t="str">
        <f aca="false">IF(AND(AD$4=$G239,AD$6=$F239),$B239,"")</f>
        <v/>
      </c>
      <c r="AE239" s="2" t="str">
        <f aca="false">IF(AND(AE$4=$G239,AE$6=$F239),$B239,"")</f>
        <v/>
      </c>
      <c r="AF239" s="2" t="str">
        <f aca="false">IF(AND(AF$4=$G239,AF$6=$F239),$B239,"")</f>
        <v/>
      </c>
      <c r="AG239" s="2" t="str">
        <f aca="false">IF(AND(AG$4=$G239,AG$6=$F239),$B239,"")</f>
        <v/>
      </c>
      <c r="AI239" s="366"/>
      <c r="AL239" s="367"/>
      <c r="AO239" s="367"/>
      <c r="AP239" s="2" t="str">
        <f aca="false">IF(AT239&gt;0,RANK(AT239,AT$7:AT$423),"")</f>
        <v/>
      </c>
      <c r="AQ239" s="2" t="n">
        <f aca="false">'O_MN, PE_UTA_UGM 2024'!C235</f>
        <v>219</v>
      </c>
      <c r="AR239" s="1421" t="n">
        <v>2184</v>
      </c>
      <c r="AS239" s="2" t="str">
        <f aca="false">IF(AY239&lt;&gt;"",AY239,"")</f>
        <v/>
      </c>
      <c r="AT239" s="1422" t="n">
        <f aca="false">IF(ISNUMBER($AR239),SUMIF(B$7:B$505,AR239,D$7:D$505),"")</f>
        <v>0</v>
      </c>
      <c r="AU239" s="1411" t="n">
        <f aca="false">IF(ISNUMBER($AR239),SUMIF(AD$7:AD$503,$AR239,J$7:J$503),"")</f>
        <v>0</v>
      </c>
      <c r="AV239" s="1411" t="n">
        <f aca="false">IF(ISNUMBER($AR239),SUMIF(AF$7:AF$503,$AR239,L$7:L$503),"")</f>
        <v>0</v>
      </c>
      <c r="AW239" s="1423" t="n">
        <f aca="false">IF(ISNUMBER($AR239),SUMIF(AE$7:AE$503,$AR239,K$7:K$503),"")</f>
        <v>0</v>
      </c>
      <c r="AX239" s="1423" t="n">
        <f aca="false">IF(ISNUMBER($AR239),SUMIF(AG$7:AG$503,$AR239,M$7:M$503),"")</f>
        <v>0</v>
      </c>
      <c r="AY239" s="2" t="str">
        <f aca="false">IF($AT239&gt;0,VLOOKUP($AR239,'O_MN, PE_UTA_UGM 2024'!E235:O651,2),"")</f>
        <v/>
      </c>
      <c r="AZ239" s="1507"/>
      <c r="BA239" s="1507"/>
      <c r="BB239" s="1507" t="str">
        <f aca="false">IF($AT239&gt;0,VLOOKUP($AR239,'O_MN, PE_UTA_UGM 2024'!$E$3:$O$419,BB$6),"")</f>
        <v/>
      </c>
      <c r="BC239" s="1507" t="str">
        <f aca="false">IF($AT239&gt;0,VLOOKUP($AR239,'O_MN, PE_UTA_UGM 2024'!$E$3:$O$419,BC$6),"")</f>
        <v/>
      </c>
      <c r="BD239" s="1507" t="str">
        <f aca="false">IF($AT239&gt;0,VLOOKUP($AR239,'O_MN, PE_UTA_UGM 2024'!$E$3:$O$419,BD$6),"")</f>
        <v/>
      </c>
      <c r="BE239" s="1507" t="str">
        <f aca="false">IF($AT239&gt;0,VLOOKUP($AR239,'O_MN, PE_UTA_UGM 2024'!$E$3:$O$419,BE$6),"")</f>
        <v/>
      </c>
      <c r="BF239" s="1507" t="str">
        <f aca="false">IF($AT239&gt;0,VLOOKUP($AR239,'O_MN, PE_UTA_UGM 2024'!$E$3:$O$419,BF$6),"")</f>
        <v/>
      </c>
      <c r="BG239" s="1507" t="str">
        <f aca="false">IF($AT239&gt;0,VLOOKUP($AR239,'O_MN, PE_UTA_UGM 2024'!$E$3:$O$419,BG$6),"")</f>
        <v/>
      </c>
      <c r="BH239" s="1504"/>
      <c r="BI239" s="1504"/>
      <c r="BJ239" s="1504"/>
      <c r="BK239" s="1504"/>
      <c r="BM239" s="1411"/>
      <c r="BN239" s="1411"/>
      <c r="BO239" s="1425" t="str">
        <f aca="false">IF(ISNUMBER($AU239*BB239*1),$AU239*BB239*1,"")</f>
        <v/>
      </c>
      <c r="BP239" s="1425" t="str">
        <f aca="false">IF(ISNUMBER($AV239*BC239*1),$AV239*BC239*1,"")</f>
        <v/>
      </c>
      <c r="BQ239" s="1425" t="str">
        <f aca="false">IF(ISNUMBER($AU239*BD239*1),$AU239*BD239*1,"")</f>
        <v/>
      </c>
      <c r="BR239" s="1425" t="str">
        <f aca="false">IF(ISNUMBER($AV239*BE239*1),$AV239*BE239*1,"")</f>
        <v/>
      </c>
      <c r="BS239" s="1411" t="str">
        <f aca="false">IF(ISNUMBER($AU239*BF239),$AU239*BF239,"")</f>
        <v/>
      </c>
      <c r="BT239" s="1411" t="str">
        <f aca="false">IF(ISNUMBER($AV239*BG239),$AV239*BG239,"")</f>
        <v/>
      </c>
      <c r="BU239" s="1411"/>
      <c r="BV239" s="1411"/>
      <c r="BW239" s="1411"/>
      <c r="BX239" s="1411"/>
      <c r="BZ239" s="1372"/>
      <c r="CA239" s="1372"/>
      <c r="CB239" s="1426" t="str">
        <f aca="false">IF(ISNUMBER($AW239*BB239),$AW239*BB239,"")</f>
        <v/>
      </c>
      <c r="CC239" s="1426" t="str">
        <f aca="false">IF(ISNUMBER($AX239*BC239),$AX239*BC239,"")</f>
        <v/>
      </c>
      <c r="CD239" s="1426" t="str">
        <f aca="false">IF(ISNUMBER($AW239*BD239),$AW239*BD239,"")</f>
        <v/>
      </c>
      <c r="CE239" s="1426" t="str">
        <f aca="false">IF(ISNUMBER($AX239*BE239),$AX239*BE239,"")</f>
        <v/>
      </c>
      <c r="CF239" s="1372" t="str">
        <f aca="false">IF(ISNUMBER($AW239*BF239),$AW239*BF239,"")</f>
        <v/>
      </c>
      <c r="CG239" s="1372" t="str">
        <f aca="false">IF(ISNUMBER($AX239*BG239),$AX239*BG239,"")</f>
        <v/>
      </c>
      <c r="CH239" s="1438"/>
      <c r="CI239" s="1438"/>
      <c r="CJ239" s="1438"/>
      <c r="CK239" s="1438"/>
      <c r="CU239" s="1411"/>
      <c r="CV239" s="1411"/>
      <c r="CW239" s="1425"/>
      <c r="CX239" s="1425"/>
      <c r="CY239" s="1425"/>
      <c r="CZ239" s="1425"/>
      <c r="DA239" s="1411"/>
      <c r="DB239" s="1411"/>
      <c r="DC239" s="1411"/>
      <c r="DD239" s="1411"/>
      <c r="DE239" s="1411"/>
      <c r="DF239" s="1411"/>
      <c r="DH239" s="1432"/>
      <c r="DI239" s="1432"/>
      <c r="DJ239" s="1437"/>
      <c r="DK239" s="1437"/>
      <c r="DL239" s="1437"/>
      <c r="DM239" s="1437"/>
      <c r="DN239" s="1432"/>
      <c r="DO239" s="1432"/>
      <c r="DP239" s="1432"/>
      <c r="DQ239" s="1432"/>
      <c r="DR239" s="1432"/>
      <c r="DS239" s="1432"/>
      <c r="DT239" s="1316"/>
      <c r="DU239" s="1433"/>
      <c r="DV239" s="1433"/>
      <c r="DW239" s="1433"/>
      <c r="DX239" s="1433"/>
      <c r="DY239" s="1433"/>
      <c r="DZ239" s="1433"/>
      <c r="EA239" s="1433"/>
      <c r="EB239" s="1433"/>
    </row>
    <row r="240" customFormat="false" ht="14.25" hidden="false" customHeight="false" outlineLevel="0" collapsed="false">
      <c r="A240" s="2" t="n">
        <f aca="false">'V_DATOS PAC_SGA'!CC235</f>
        <v>0</v>
      </c>
      <c r="B240" s="2" t="n">
        <f aca="false">IF(OR(A240=0,A240=""),0,IF(I240="IV",CONCATENATE('V_DATOS PAC_SGA'!CC235,"4")+0,CONCATENATE('V_DATOS PAC_SGA'!CC235,"0")+0))</f>
        <v>0</v>
      </c>
      <c r="C240" s="2" t="n">
        <f aca="false">'V_DATOS PAC_SGA'!CD235</f>
        <v>0</v>
      </c>
      <c r="D240" s="1409" t="n">
        <f aca="false">'V_DATOS PAC_SGA'!Y235</f>
        <v>0</v>
      </c>
      <c r="E240" s="1410" t="str">
        <f aca="false">IF('V_DATOS PAC_SGA'!AV235="","Regadio",'V_DATOS PAC_SGA'!AV235)</f>
        <v>Regadio</v>
      </c>
      <c r="F240" s="1411" t="n">
        <f aca="false">'V_DATOS PAC_SGA'!BK235</f>
        <v>0</v>
      </c>
      <c r="G240" s="1412" t="n">
        <f aca="false">'V_DATOS PAC_SGA'!AN235</f>
        <v>0</v>
      </c>
      <c r="H240" s="1413" t="str">
        <f aca="false">IF(B240&gt;0,VLOOKUP(B240,'O_MN, PE_UTA_UGM 2024'!E$3:O$419,10),"")</f>
        <v/>
      </c>
      <c r="I240" s="1359" t="str">
        <f aca="false">IF('V_DATOS PAC_SGA'!BV235="IV",'V_DATOS PAC_SGA'!BV235,"")</f>
        <v/>
      </c>
      <c r="J240" s="2" t="str">
        <f aca="false">IF($A240&gt;0,IF(AND(J$4=$G240,J$6=$F240),$D240*J$5,""),"")</f>
        <v/>
      </c>
      <c r="K240" s="2" t="str">
        <f aca="false">IF($A240&gt;0,IF(AND(K$4=$G240,K$6=$F240),$D240*K$5,""),"")</f>
        <v/>
      </c>
      <c r="L240" s="2" t="str">
        <f aca="false">IF($A240&gt;0,IF(AND(L$4=$G240,L$6=$F240),$D240*L$5,""),"")</f>
        <v/>
      </c>
      <c r="M240" s="2" t="str">
        <f aca="false">IF($A240&gt;0,IF(AND(M$4=$G240,M$6=$F240),$D240*M$5,""),"")</f>
        <v/>
      </c>
      <c r="N240" s="1506" t="n">
        <f aca="false">VLOOKUP(B240,'O_MN, PE_UTA_UGM 2024'!$E$2:$K$419,IF(G240&gt;1,6,7))</f>
        <v>0</v>
      </c>
      <c r="O240" s="1434" t="str">
        <f aca="false">IF($H240=O$4,$D240*$N240,"")</f>
        <v/>
      </c>
      <c r="P240" s="1435" t="str">
        <f aca="false">IF($H240=P$4,$D240*$N240,"")</f>
        <v/>
      </c>
      <c r="Q240" s="1435" t="str">
        <f aca="false">IF($H240=Q$4,$D240*$N240,"")</f>
        <v/>
      </c>
      <c r="R240" s="1435" t="str">
        <f aca="false">IF($H240=R$4,$D240*$N240,"")</f>
        <v/>
      </c>
      <c r="S240" s="1435" t="str">
        <f aca="false">IF($H240=S$4,$D240*$N240,"")</f>
        <v/>
      </c>
      <c r="T240" s="1435" t="str">
        <f aca="false">IF($H240=T$4,$D240*$N240,"")</f>
        <v/>
      </c>
      <c r="U240" s="1436" t="str">
        <f aca="false">IF($H240=U$4,$D240*$N240,"")</f>
        <v/>
      </c>
      <c r="V240" s="1418"/>
      <c r="W240" s="1419"/>
      <c r="X240" s="1419"/>
      <c r="Y240" s="1419"/>
      <c r="Z240" s="1419"/>
      <c r="AA240" s="1419"/>
      <c r="AB240" s="1420"/>
      <c r="AC240" s="1319"/>
      <c r="AD240" s="2" t="str">
        <f aca="false">IF(AND(AD$4=$G240,AD$6=$F240),$B240,"")</f>
        <v/>
      </c>
      <c r="AE240" s="2" t="str">
        <f aca="false">IF(AND(AE$4=$G240,AE$6=$F240),$B240,"")</f>
        <v/>
      </c>
      <c r="AF240" s="2" t="str">
        <f aca="false">IF(AND(AF$4=$G240,AF$6=$F240),$B240,"")</f>
        <v/>
      </c>
      <c r="AG240" s="2" t="str">
        <f aca="false">IF(AND(AG$4=$G240,AG$6=$F240),$B240,"")</f>
        <v/>
      </c>
      <c r="AI240" s="366"/>
      <c r="AL240" s="367"/>
      <c r="AO240" s="367"/>
      <c r="AP240" s="2" t="str">
        <f aca="false">IF(AT240&gt;0,RANK(AT240,AT$7:AT$423),"")</f>
        <v/>
      </c>
      <c r="AQ240" s="2" t="n">
        <f aca="false">'O_MN, PE_UTA_UGM 2024'!C236</f>
        <v>220</v>
      </c>
      <c r="AR240" s="1421" t="n">
        <v>2189</v>
      </c>
      <c r="AS240" s="2" t="str">
        <f aca="false">IF(AY240&lt;&gt;"",AY240,"")</f>
        <v/>
      </c>
      <c r="AT240" s="1422" t="n">
        <f aca="false">IF(ISNUMBER($AR240),SUMIF(B$7:B$505,AR240,D$7:D$505),"")</f>
        <v>0</v>
      </c>
      <c r="AU240" s="1411" t="n">
        <f aca="false">IF(ISNUMBER($AR240),SUMIF(AD$7:AD$503,$AR240,J$7:J$503),"")</f>
        <v>0</v>
      </c>
      <c r="AV240" s="1411" t="n">
        <f aca="false">IF(ISNUMBER($AR240),SUMIF(AF$7:AF$503,$AR240,L$7:L$503),"")</f>
        <v>0</v>
      </c>
      <c r="AW240" s="1423" t="n">
        <f aca="false">IF(ISNUMBER($AR240),SUMIF(AE$7:AE$503,$AR240,K$7:K$503),"")</f>
        <v>0</v>
      </c>
      <c r="AX240" s="1423" t="n">
        <f aca="false">IF(ISNUMBER($AR240),SUMIF(AG$7:AG$503,$AR240,M$7:M$503),"")</f>
        <v>0</v>
      </c>
      <c r="AY240" s="2" t="str">
        <f aca="false">IF($AT240&gt;0,VLOOKUP($AR240,'O_MN, PE_UTA_UGM 2024'!E236:O652,2),"")</f>
        <v/>
      </c>
      <c r="AZ240" s="1507"/>
      <c r="BA240" s="1507"/>
      <c r="BB240" s="1507" t="str">
        <f aca="false">IF($AT240&gt;0,VLOOKUP($AR240,'O_MN, PE_UTA_UGM 2024'!$E$3:$O$419,BB$6),"")</f>
        <v/>
      </c>
      <c r="BC240" s="1507" t="str">
        <f aca="false">IF($AT240&gt;0,VLOOKUP($AR240,'O_MN, PE_UTA_UGM 2024'!$E$3:$O$419,BC$6),"")</f>
        <v/>
      </c>
      <c r="BD240" s="1507" t="str">
        <f aca="false">IF($AT240&gt;0,VLOOKUP($AR240,'O_MN, PE_UTA_UGM 2024'!$E$3:$O$419,BD$6),"")</f>
        <v/>
      </c>
      <c r="BE240" s="1507" t="str">
        <f aca="false">IF($AT240&gt;0,VLOOKUP($AR240,'O_MN, PE_UTA_UGM 2024'!$E$3:$O$419,BE$6),"")</f>
        <v/>
      </c>
      <c r="BF240" s="1507" t="str">
        <f aca="false">IF($AT240&gt;0,VLOOKUP($AR240,'O_MN, PE_UTA_UGM 2024'!$E$3:$O$419,BF$6),"")</f>
        <v/>
      </c>
      <c r="BG240" s="1507" t="str">
        <f aca="false">IF($AT240&gt;0,VLOOKUP($AR240,'O_MN, PE_UTA_UGM 2024'!$E$3:$O$419,BG$6),"")</f>
        <v/>
      </c>
      <c r="BH240" s="1504"/>
      <c r="BI240" s="1504"/>
      <c r="BJ240" s="1504"/>
      <c r="BK240" s="1504"/>
      <c r="BM240" s="1411"/>
      <c r="BN240" s="1411"/>
      <c r="BO240" s="1425" t="str">
        <f aca="false">IF(ISNUMBER($AU240*BB240*1),$AU240*BB240*1,"")</f>
        <v/>
      </c>
      <c r="BP240" s="1425" t="str">
        <f aca="false">IF(ISNUMBER($AV240*BC240*1),$AV240*BC240*1,"")</f>
        <v/>
      </c>
      <c r="BQ240" s="1425" t="str">
        <f aca="false">IF(ISNUMBER($AU240*BD240*1),$AU240*BD240*1,"")</f>
        <v/>
      </c>
      <c r="BR240" s="1425" t="str">
        <f aca="false">IF(ISNUMBER($AV240*BE240*1),$AV240*BE240*1,"")</f>
        <v/>
      </c>
      <c r="BS240" s="1411" t="str">
        <f aca="false">IF(ISNUMBER($AU240*BF240),$AU240*BF240,"")</f>
        <v/>
      </c>
      <c r="BT240" s="1411" t="str">
        <f aca="false">IF(ISNUMBER($AV240*BG240),$AV240*BG240,"")</f>
        <v/>
      </c>
      <c r="BU240" s="1411"/>
      <c r="BV240" s="1411"/>
      <c r="BW240" s="1411"/>
      <c r="BX240" s="1411"/>
      <c r="BZ240" s="1372"/>
      <c r="CA240" s="1372"/>
      <c r="CB240" s="1426" t="str">
        <f aca="false">IF(ISNUMBER($AW240*BB240),$AW240*BB240,"")</f>
        <v/>
      </c>
      <c r="CC240" s="1426" t="str">
        <f aca="false">IF(ISNUMBER($AX240*BC240),$AX240*BC240,"")</f>
        <v/>
      </c>
      <c r="CD240" s="1426" t="str">
        <f aca="false">IF(ISNUMBER($AW240*BD240),$AW240*BD240,"")</f>
        <v/>
      </c>
      <c r="CE240" s="1426" t="str">
        <f aca="false">IF(ISNUMBER($AX240*BE240),$AX240*BE240,"")</f>
        <v/>
      </c>
      <c r="CF240" s="1372" t="str">
        <f aca="false">IF(ISNUMBER($AW240*BF240),$AW240*BF240,"")</f>
        <v/>
      </c>
      <c r="CG240" s="1372" t="str">
        <f aca="false">IF(ISNUMBER($AX240*BG240),$AX240*BG240,"")</f>
        <v/>
      </c>
      <c r="CH240" s="1438"/>
      <c r="CI240" s="1438"/>
      <c r="CJ240" s="1438"/>
      <c r="CK240" s="1438"/>
      <c r="CU240" s="1411"/>
      <c r="CV240" s="1411"/>
      <c r="CW240" s="1425"/>
      <c r="CX240" s="1425"/>
      <c r="CY240" s="1425"/>
      <c r="CZ240" s="1425"/>
      <c r="DA240" s="1411"/>
      <c r="DB240" s="1411"/>
      <c r="DC240" s="1411"/>
      <c r="DD240" s="1411"/>
      <c r="DE240" s="1411"/>
      <c r="DF240" s="1411"/>
      <c r="DH240" s="1432"/>
      <c r="DI240" s="1432"/>
      <c r="DJ240" s="1437"/>
      <c r="DK240" s="1437"/>
      <c r="DL240" s="1437"/>
      <c r="DM240" s="1437"/>
      <c r="DN240" s="1432"/>
      <c r="DO240" s="1432"/>
      <c r="DP240" s="1432"/>
      <c r="DQ240" s="1432"/>
      <c r="DR240" s="1432"/>
      <c r="DS240" s="1432"/>
      <c r="DT240" s="1316"/>
      <c r="DU240" s="1433"/>
      <c r="DV240" s="1433"/>
      <c r="DW240" s="1433"/>
      <c r="DX240" s="1433"/>
      <c r="DY240" s="1433"/>
      <c r="DZ240" s="1433"/>
      <c r="EA240" s="1433"/>
      <c r="EB240" s="1433"/>
    </row>
    <row r="241" customFormat="false" ht="14.25" hidden="false" customHeight="false" outlineLevel="0" collapsed="false">
      <c r="A241" s="2" t="n">
        <f aca="false">'V_DATOS PAC_SGA'!CC236</f>
        <v>0</v>
      </c>
      <c r="B241" s="2" t="n">
        <f aca="false">IF(OR(A241=0,A241=""),0,IF(I241="IV",CONCATENATE('V_DATOS PAC_SGA'!CC236,"4")+0,CONCATENATE('V_DATOS PAC_SGA'!CC236,"0")+0))</f>
        <v>0</v>
      </c>
      <c r="C241" s="2" t="n">
        <f aca="false">'V_DATOS PAC_SGA'!CD236</f>
        <v>0</v>
      </c>
      <c r="D241" s="1409" t="n">
        <f aca="false">'V_DATOS PAC_SGA'!Y236</f>
        <v>0</v>
      </c>
      <c r="E241" s="1410" t="str">
        <f aca="false">IF('V_DATOS PAC_SGA'!AV236="","Regadio",'V_DATOS PAC_SGA'!AV236)</f>
        <v>Regadio</v>
      </c>
      <c r="F241" s="1411" t="n">
        <f aca="false">'V_DATOS PAC_SGA'!BK236</f>
        <v>0</v>
      </c>
      <c r="G241" s="1412" t="n">
        <f aca="false">'V_DATOS PAC_SGA'!AN236</f>
        <v>0</v>
      </c>
      <c r="H241" s="1413" t="str">
        <f aca="false">IF(B241&gt;0,VLOOKUP(B241,'O_MN, PE_UTA_UGM 2024'!E$3:O$419,10),"")</f>
        <v/>
      </c>
      <c r="I241" s="1359" t="str">
        <f aca="false">IF('V_DATOS PAC_SGA'!BV236="IV",'V_DATOS PAC_SGA'!BV236,"")</f>
        <v/>
      </c>
      <c r="J241" s="2" t="str">
        <f aca="false">IF($A241&gt;0,IF(AND(J$4=$G241,J$6=$F241),$D241*J$5,""),"")</f>
        <v/>
      </c>
      <c r="K241" s="2" t="str">
        <f aca="false">IF($A241&gt;0,IF(AND(K$4=$G241,K$6=$F241),$D241*K$5,""),"")</f>
        <v/>
      </c>
      <c r="L241" s="2" t="str">
        <f aca="false">IF($A241&gt;0,IF(AND(L$4=$G241,L$6=$F241),$D241*L$5,""),"")</f>
        <v/>
      </c>
      <c r="M241" s="2" t="str">
        <f aca="false">IF($A241&gt;0,IF(AND(M$4=$G241,M$6=$F241),$D241*M$5,""),"")</f>
        <v/>
      </c>
      <c r="N241" s="1506" t="n">
        <f aca="false">VLOOKUP(B241,'O_MN, PE_UTA_UGM 2024'!$E$2:$K$419,IF(G241&gt;1,6,7))</f>
        <v>0</v>
      </c>
      <c r="O241" s="1434" t="str">
        <f aca="false">IF($H241=O$4,$D241*$N241,"")</f>
        <v/>
      </c>
      <c r="P241" s="1435" t="str">
        <f aca="false">IF($H241=P$4,$D241*$N241,"")</f>
        <v/>
      </c>
      <c r="Q241" s="1435" t="str">
        <f aca="false">IF($H241=Q$4,$D241*$N241,"")</f>
        <v/>
      </c>
      <c r="R241" s="1435" t="str">
        <f aca="false">IF($H241=R$4,$D241*$N241,"")</f>
        <v/>
      </c>
      <c r="S241" s="1435" t="str">
        <f aca="false">IF($H241=S$4,$D241*$N241,"")</f>
        <v/>
      </c>
      <c r="T241" s="1435" t="str">
        <f aca="false">IF($H241=T$4,$D241*$N241,"")</f>
        <v/>
      </c>
      <c r="U241" s="1436" t="str">
        <f aca="false">IF($H241=U$4,$D241*$N241,"")</f>
        <v/>
      </c>
      <c r="V241" s="1418"/>
      <c r="W241" s="1419"/>
      <c r="X241" s="1419"/>
      <c r="Y241" s="1419"/>
      <c r="Z241" s="1419"/>
      <c r="AA241" s="1419"/>
      <c r="AB241" s="1420"/>
      <c r="AC241" s="1319"/>
      <c r="AD241" s="2" t="str">
        <f aca="false">IF(AND(AD$4=$G241,AD$6=$F241),$B241,"")</f>
        <v/>
      </c>
      <c r="AE241" s="2" t="str">
        <f aca="false">IF(AND(AE$4=$G241,AE$6=$F241),$B241,"")</f>
        <v/>
      </c>
      <c r="AF241" s="2" t="str">
        <f aca="false">IF(AND(AF$4=$G241,AF$6=$F241),$B241,"")</f>
        <v/>
      </c>
      <c r="AG241" s="2" t="str">
        <f aca="false">IF(AND(AG$4=$G241,AG$6=$F241),$B241,"")</f>
        <v/>
      </c>
      <c r="AI241" s="366"/>
      <c r="AL241" s="367"/>
      <c r="AO241" s="367"/>
      <c r="AP241" s="2" t="str">
        <f aca="false">IF(AT241&gt;0,RANK(AT241,AT$7:AT$423),"")</f>
        <v/>
      </c>
      <c r="AQ241" s="2" t="n">
        <f aca="false">'O_MN, PE_UTA_UGM 2024'!C237</f>
        <v>222</v>
      </c>
      <c r="AR241" s="1421" t="n">
        <v>2190</v>
      </c>
      <c r="AS241" s="2" t="str">
        <f aca="false">IF(AY241&lt;&gt;"",AY241,"")</f>
        <v/>
      </c>
      <c r="AT241" s="1422" t="n">
        <f aca="false">IF(ISNUMBER($AR241),SUMIF(B$7:B$505,AR241,D$7:D$505),"")</f>
        <v>0</v>
      </c>
      <c r="AU241" s="1411" t="n">
        <f aca="false">IF(ISNUMBER($AR241),SUMIF(AD$7:AD$503,$AR241,J$7:J$503),"")</f>
        <v>0</v>
      </c>
      <c r="AV241" s="1411" t="n">
        <f aca="false">IF(ISNUMBER($AR241),SUMIF(AF$7:AF$503,$AR241,L$7:L$503),"")</f>
        <v>0</v>
      </c>
      <c r="AW241" s="1423" t="n">
        <f aca="false">IF(ISNUMBER($AR241),SUMIF(AE$7:AE$503,$AR241,K$7:K$503),"")</f>
        <v>0</v>
      </c>
      <c r="AX241" s="1423" t="n">
        <f aca="false">IF(ISNUMBER($AR241),SUMIF(AG$7:AG$503,$AR241,M$7:M$503),"")</f>
        <v>0</v>
      </c>
      <c r="AY241" s="2" t="str">
        <f aca="false">IF($AT241&gt;0,VLOOKUP($AR241,'O_MN, PE_UTA_UGM 2024'!E237:O653,2),"")</f>
        <v/>
      </c>
      <c r="AZ241" s="1507"/>
      <c r="BA241" s="1507"/>
      <c r="BB241" s="1507" t="str">
        <f aca="false">IF($AT241&gt;0,VLOOKUP($AR241,'O_MN, PE_UTA_UGM 2024'!$E$3:$O$419,BB$6),"")</f>
        <v/>
      </c>
      <c r="BC241" s="1507" t="str">
        <f aca="false">IF($AT241&gt;0,VLOOKUP($AR241,'O_MN, PE_UTA_UGM 2024'!$E$3:$O$419,BC$6),"")</f>
        <v/>
      </c>
      <c r="BD241" s="1507" t="str">
        <f aca="false">IF($AT241&gt;0,VLOOKUP($AR241,'O_MN, PE_UTA_UGM 2024'!$E$3:$O$419,BD$6),"")</f>
        <v/>
      </c>
      <c r="BE241" s="1507" t="str">
        <f aca="false">IF($AT241&gt;0,VLOOKUP($AR241,'O_MN, PE_UTA_UGM 2024'!$E$3:$O$419,BE$6),"")</f>
        <v/>
      </c>
      <c r="BF241" s="1507" t="str">
        <f aca="false">IF($AT241&gt;0,VLOOKUP($AR241,'O_MN, PE_UTA_UGM 2024'!$E$3:$O$419,BF$6),"")</f>
        <v/>
      </c>
      <c r="BG241" s="1507" t="str">
        <f aca="false">IF($AT241&gt;0,VLOOKUP($AR241,'O_MN, PE_UTA_UGM 2024'!$E$3:$O$419,BG$6),"")</f>
        <v/>
      </c>
      <c r="BH241" s="1504"/>
      <c r="BI241" s="1504"/>
      <c r="BJ241" s="1504"/>
      <c r="BK241" s="1504"/>
      <c r="BM241" s="1411"/>
      <c r="BN241" s="1411"/>
      <c r="BO241" s="1425" t="str">
        <f aca="false">IF(ISNUMBER($AU241*BB241*1),$AU241*BB241*1,"")</f>
        <v/>
      </c>
      <c r="BP241" s="1425" t="str">
        <f aca="false">IF(ISNUMBER($AV241*BC241*1),$AV241*BC241*1,"")</f>
        <v/>
      </c>
      <c r="BQ241" s="1425" t="str">
        <f aca="false">IF(ISNUMBER($AU241*BD241*1),$AU241*BD241*1,"")</f>
        <v/>
      </c>
      <c r="BR241" s="1425" t="str">
        <f aca="false">IF(ISNUMBER($AV241*BE241*1),$AV241*BE241*1,"")</f>
        <v/>
      </c>
      <c r="BS241" s="1411" t="str">
        <f aca="false">IF(ISNUMBER($AU241*BF241),$AU241*BF241,"")</f>
        <v/>
      </c>
      <c r="BT241" s="1411" t="str">
        <f aca="false">IF(ISNUMBER($AV241*BG241),$AV241*BG241,"")</f>
        <v/>
      </c>
      <c r="BU241" s="1411"/>
      <c r="BV241" s="1411"/>
      <c r="BW241" s="1411"/>
      <c r="BX241" s="1411"/>
      <c r="BZ241" s="1372"/>
      <c r="CA241" s="1372"/>
      <c r="CB241" s="1426" t="str">
        <f aca="false">IF(ISNUMBER($AW241*BB241),$AW241*BB241,"")</f>
        <v/>
      </c>
      <c r="CC241" s="1426" t="str">
        <f aca="false">IF(ISNUMBER($AX241*BC241),$AX241*BC241,"")</f>
        <v/>
      </c>
      <c r="CD241" s="1426" t="str">
        <f aca="false">IF(ISNUMBER($AW241*BD241),$AW241*BD241,"")</f>
        <v/>
      </c>
      <c r="CE241" s="1426" t="str">
        <f aca="false">IF(ISNUMBER($AX241*BE241),$AX241*BE241,"")</f>
        <v/>
      </c>
      <c r="CF241" s="1372" t="str">
        <f aca="false">IF(ISNUMBER($AW241*BF241),$AW241*BF241,"")</f>
        <v/>
      </c>
      <c r="CG241" s="1372" t="str">
        <f aca="false">IF(ISNUMBER($AX241*BG241),$AX241*BG241,"")</f>
        <v/>
      </c>
      <c r="CH241" s="1438"/>
      <c r="CI241" s="1438"/>
      <c r="CJ241" s="1438"/>
      <c r="CK241" s="1438"/>
      <c r="CU241" s="1411"/>
      <c r="CV241" s="1411"/>
      <c r="CW241" s="1425"/>
      <c r="CX241" s="1425"/>
      <c r="CY241" s="1425"/>
      <c r="CZ241" s="1425"/>
      <c r="DA241" s="1411"/>
      <c r="DB241" s="1411"/>
      <c r="DC241" s="1411"/>
      <c r="DD241" s="1411"/>
      <c r="DE241" s="1411"/>
      <c r="DF241" s="1411"/>
      <c r="DH241" s="1432"/>
      <c r="DI241" s="1432"/>
      <c r="DJ241" s="1437"/>
      <c r="DK241" s="1437"/>
      <c r="DL241" s="1437"/>
      <c r="DM241" s="1437"/>
      <c r="DN241" s="1432"/>
      <c r="DO241" s="1432"/>
      <c r="DP241" s="1432"/>
      <c r="DQ241" s="1432"/>
      <c r="DR241" s="1432"/>
      <c r="DS241" s="1432"/>
      <c r="DT241" s="1316"/>
      <c r="DU241" s="1433"/>
      <c r="DV241" s="1433"/>
      <c r="DW241" s="1433"/>
      <c r="DX241" s="1433"/>
      <c r="DY241" s="1433"/>
      <c r="DZ241" s="1433"/>
      <c r="EA241" s="1433"/>
      <c r="EB241" s="1433"/>
    </row>
    <row r="242" customFormat="false" ht="14.25" hidden="false" customHeight="false" outlineLevel="0" collapsed="false">
      <c r="A242" s="2" t="n">
        <f aca="false">'V_DATOS PAC_SGA'!CC237</f>
        <v>0</v>
      </c>
      <c r="B242" s="2" t="n">
        <f aca="false">IF(OR(A242=0,A242=""),0,IF(I242="IV",CONCATENATE('V_DATOS PAC_SGA'!CC237,"4")+0,CONCATENATE('V_DATOS PAC_SGA'!CC237,"0")+0))</f>
        <v>0</v>
      </c>
      <c r="C242" s="2" t="n">
        <f aca="false">'V_DATOS PAC_SGA'!CD237</f>
        <v>0</v>
      </c>
      <c r="D242" s="1409" t="n">
        <f aca="false">'V_DATOS PAC_SGA'!Y237</f>
        <v>0</v>
      </c>
      <c r="E242" s="1410" t="str">
        <f aca="false">IF('V_DATOS PAC_SGA'!AV237="","Regadio",'V_DATOS PAC_SGA'!AV237)</f>
        <v>Regadio</v>
      </c>
      <c r="F242" s="1411" t="n">
        <f aca="false">'V_DATOS PAC_SGA'!BK237</f>
        <v>0</v>
      </c>
      <c r="G242" s="1412" t="n">
        <f aca="false">'V_DATOS PAC_SGA'!AN237</f>
        <v>0</v>
      </c>
      <c r="H242" s="1413" t="str">
        <f aca="false">IF(B242&gt;0,VLOOKUP(B242,'O_MN, PE_UTA_UGM 2024'!E$3:O$419,10),"")</f>
        <v/>
      </c>
      <c r="I242" s="1359" t="str">
        <f aca="false">IF('V_DATOS PAC_SGA'!BV237="IV",'V_DATOS PAC_SGA'!BV237,"")</f>
        <v/>
      </c>
      <c r="J242" s="2" t="str">
        <f aca="false">IF($A242&gt;0,IF(AND(J$4=$G242,J$6=$F242),$D242*J$5,""),"")</f>
        <v/>
      </c>
      <c r="K242" s="2" t="str">
        <f aca="false">IF($A242&gt;0,IF(AND(K$4=$G242,K$6=$F242),$D242*K$5,""),"")</f>
        <v/>
      </c>
      <c r="L242" s="2" t="str">
        <f aca="false">IF($A242&gt;0,IF(AND(L$4=$G242,L$6=$F242),$D242*L$5,""),"")</f>
        <v/>
      </c>
      <c r="M242" s="2" t="str">
        <f aca="false">IF($A242&gt;0,IF(AND(M$4=$G242,M$6=$F242),$D242*M$5,""),"")</f>
        <v/>
      </c>
      <c r="N242" s="1506" t="n">
        <f aca="false">VLOOKUP(B242,'O_MN, PE_UTA_UGM 2024'!$E$2:$K$419,IF(G242&gt;1,6,7))</f>
        <v>0</v>
      </c>
      <c r="O242" s="1434" t="str">
        <f aca="false">IF($H242=O$4,$D242*$N242,"")</f>
        <v/>
      </c>
      <c r="P242" s="1435" t="str">
        <f aca="false">IF($H242=P$4,$D242*$N242,"")</f>
        <v/>
      </c>
      <c r="Q242" s="1435" t="str">
        <f aca="false">IF($H242=Q$4,$D242*$N242,"")</f>
        <v/>
      </c>
      <c r="R242" s="1435" t="str">
        <f aca="false">IF($H242=R$4,$D242*$N242,"")</f>
        <v/>
      </c>
      <c r="S242" s="1435" t="str">
        <f aca="false">IF($H242=S$4,$D242*$N242,"")</f>
        <v/>
      </c>
      <c r="T242" s="1435" t="str">
        <f aca="false">IF($H242=T$4,$D242*$N242,"")</f>
        <v/>
      </c>
      <c r="U242" s="1436" t="str">
        <f aca="false">IF($H242=U$4,$D242*$N242,"")</f>
        <v/>
      </c>
      <c r="V242" s="1418"/>
      <c r="W242" s="1419"/>
      <c r="X242" s="1419"/>
      <c r="Y242" s="1419"/>
      <c r="Z242" s="1419"/>
      <c r="AA242" s="1419"/>
      <c r="AB242" s="1420"/>
      <c r="AC242" s="1319"/>
      <c r="AD242" s="2" t="str">
        <f aca="false">IF(AND(AD$4=$G242,AD$6=$F242),$B242,"")</f>
        <v/>
      </c>
      <c r="AE242" s="2" t="str">
        <f aca="false">IF(AND(AE$4=$G242,AE$6=$F242),$B242,"")</f>
        <v/>
      </c>
      <c r="AF242" s="2" t="str">
        <f aca="false">IF(AND(AF$4=$G242,AF$6=$F242),$B242,"")</f>
        <v/>
      </c>
      <c r="AG242" s="2" t="str">
        <f aca="false">IF(AND(AG$4=$G242,AG$6=$F242),$B242,"")</f>
        <v/>
      </c>
      <c r="AI242" s="366"/>
      <c r="AL242" s="367"/>
      <c r="AO242" s="367"/>
      <c r="AP242" s="2" t="str">
        <f aca="false">IF(AT242&gt;0,RANK(AT242,AT$7:AT$423),"")</f>
        <v/>
      </c>
      <c r="AQ242" s="2" t="n">
        <f aca="false">'O_MN, PE_UTA_UGM 2024'!C238</f>
        <v>223</v>
      </c>
      <c r="AR242" s="1421" t="n">
        <v>2194</v>
      </c>
      <c r="AS242" s="2" t="str">
        <f aca="false">IF(AY242&lt;&gt;"",AY242,"")</f>
        <v/>
      </c>
      <c r="AT242" s="1422" t="n">
        <f aca="false">IF(ISNUMBER($AR242),SUMIF(B$7:B$505,AR242,D$7:D$505),"")</f>
        <v>0</v>
      </c>
      <c r="AU242" s="1411" t="n">
        <f aca="false">IF(ISNUMBER($AR242),SUMIF(AD$7:AD$503,$AR242,J$7:J$503),"")</f>
        <v>0</v>
      </c>
      <c r="AV242" s="1411" t="n">
        <f aca="false">IF(ISNUMBER($AR242),SUMIF(AF$7:AF$503,$AR242,L$7:L$503),"")</f>
        <v>0</v>
      </c>
      <c r="AW242" s="1423" t="n">
        <f aca="false">IF(ISNUMBER($AR242),SUMIF(AE$7:AE$503,$AR242,K$7:K$503),"")</f>
        <v>0</v>
      </c>
      <c r="AX242" s="1423" t="n">
        <f aca="false">IF(ISNUMBER($AR242),SUMIF(AG$7:AG$503,$AR242,M$7:M$503),"")</f>
        <v>0</v>
      </c>
      <c r="AY242" s="2" t="str">
        <f aca="false">IF($AT242&gt;0,VLOOKUP($AR242,'O_MN, PE_UTA_UGM 2024'!E238:O654,2),"")</f>
        <v/>
      </c>
      <c r="AZ242" s="1507"/>
      <c r="BA242" s="1507"/>
      <c r="BB242" s="1507" t="str">
        <f aca="false">IF($AT242&gt;0,VLOOKUP($AR242,'O_MN, PE_UTA_UGM 2024'!$E$3:$O$419,BB$6),"")</f>
        <v/>
      </c>
      <c r="BC242" s="1507" t="str">
        <f aca="false">IF($AT242&gt;0,VLOOKUP($AR242,'O_MN, PE_UTA_UGM 2024'!$E$3:$O$419,BC$6),"")</f>
        <v/>
      </c>
      <c r="BD242" s="1507" t="str">
        <f aca="false">IF($AT242&gt;0,VLOOKUP($AR242,'O_MN, PE_UTA_UGM 2024'!$E$3:$O$419,BD$6),"")</f>
        <v/>
      </c>
      <c r="BE242" s="1507" t="str">
        <f aca="false">IF($AT242&gt;0,VLOOKUP($AR242,'O_MN, PE_UTA_UGM 2024'!$E$3:$O$419,BE$6),"")</f>
        <v/>
      </c>
      <c r="BF242" s="1507" t="str">
        <f aca="false">IF($AT242&gt;0,VLOOKUP($AR242,'O_MN, PE_UTA_UGM 2024'!$E$3:$O$419,BF$6),"")</f>
        <v/>
      </c>
      <c r="BG242" s="1507" t="str">
        <f aca="false">IF($AT242&gt;0,VLOOKUP($AR242,'O_MN, PE_UTA_UGM 2024'!$E$3:$O$419,BG$6),"")</f>
        <v/>
      </c>
      <c r="BH242" s="1504"/>
      <c r="BI242" s="1504"/>
      <c r="BJ242" s="1504"/>
      <c r="BK242" s="1504"/>
      <c r="BM242" s="1411"/>
      <c r="BN242" s="1411"/>
      <c r="BO242" s="1425" t="str">
        <f aca="false">IF(ISNUMBER($AU242*BB242*1),$AU242*BB242*1,"")</f>
        <v/>
      </c>
      <c r="BP242" s="1425" t="str">
        <f aca="false">IF(ISNUMBER($AV242*BC242*1),$AV242*BC242*1,"")</f>
        <v/>
      </c>
      <c r="BQ242" s="1425" t="str">
        <f aca="false">IF(ISNUMBER($AU242*BD242*1),$AU242*BD242*1,"")</f>
        <v/>
      </c>
      <c r="BR242" s="1425" t="str">
        <f aca="false">IF(ISNUMBER($AV242*BE242*1),$AV242*BE242*1,"")</f>
        <v/>
      </c>
      <c r="BS242" s="1411" t="str">
        <f aca="false">IF(ISNUMBER($AU242*BF242),$AU242*BF242,"")</f>
        <v/>
      </c>
      <c r="BT242" s="1411" t="str">
        <f aca="false">IF(ISNUMBER($AV242*BG242),$AV242*BG242,"")</f>
        <v/>
      </c>
      <c r="BU242" s="1411"/>
      <c r="BV242" s="1411"/>
      <c r="BW242" s="1411"/>
      <c r="BX242" s="1411"/>
      <c r="BZ242" s="1372"/>
      <c r="CA242" s="1372"/>
      <c r="CB242" s="1426" t="str">
        <f aca="false">IF(ISNUMBER($AW242*BB242),$AW242*BB242,"")</f>
        <v/>
      </c>
      <c r="CC242" s="1426" t="str">
        <f aca="false">IF(ISNUMBER($AX242*BC242),$AX242*BC242,"")</f>
        <v/>
      </c>
      <c r="CD242" s="1426" t="str">
        <f aca="false">IF(ISNUMBER($AW242*BD242),$AW242*BD242,"")</f>
        <v/>
      </c>
      <c r="CE242" s="1426" t="str">
        <f aca="false">IF(ISNUMBER($AX242*BE242),$AX242*BE242,"")</f>
        <v/>
      </c>
      <c r="CF242" s="1372" t="str">
        <f aca="false">IF(ISNUMBER($AW242*BF242),$AW242*BF242,"")</f>
        <v/>
      </c>
      <c r="CG242" s="1372" t="str">
        <f aca="false">IF(ISNUMBER($AX242*BG242),$AX242*BG242,"")</f>
        <v/>
      </c>
      <c r="CH242" s="1438"/>
      <c r="CI242" s="1438"/>
      <c r="CJ242" s="1438"/>
      <c r="CK242" s="1438"/>
      <c r="CU242" s="1411"/>
      <c r="CV242" s="1411"/>
      <c r="CW242" s="1425"/>
      <c r="CX242" s="1425"/>
      <c r="CY242" s="1425"/>
      <c r="CZ242" s="1425"/>
      <c r="DA242" s="1411"/>
      <c r="DB242" s="1411"/>
      <c r="DC242" s="1411"/>
      <c r="DD242" s="1411"/>
      <c r="DE242" s="1411"/>
      <c r="DF242" s="1411"/>
      <c r="DH242" s="1432"/>
      <c r="DI242" s="1432"/>
      <c r="DJ242" s="1437"/>
      <c r="DK242" s="1437"/>
      <c r="DL242" s="1437"/>
      <c r="DM242" s="1437"/>
      <c r="DN242" s="1432"/>
      <c r="DO242" s="1432"/>
      <c r="DP242" s="1432"/>
      <c r="DQ242" s="1432"/>
      <c r="DR242" s="1432"/>
      <c r="DS242" s="1432"/>
      <c r="DT242" s="1316"/>
      <c r="DU242" s="1433"/>
      <c r="DV242" s="1433"/>
      <c r="DW242" s="1433"/>
      <c r="DX242" s="1433"/>
      <c r="DY242" s="1433"/>
      <c r="DZ242" s="1433"/>
      <c r="EA242" s="1433"/>
      <c r="EB242" s="1433"/>
    </row>
    <row r="243" customFormat="false" ht="14.25" hidden="false" customHeight="false" outlineLevel="0" collapsed="false">
      <c r="A243" s="2" t="n">
        <f aca="false">'V_DATOS PAC_SGA'!CC238</f>
        <v>0</v>
      </c>
      <c r="B243" s="2" t="n">
        <f aca="false">IF(OR(A243=0,A243=""),0,IF(I243="IV",CONCATENATE('V_DATOS PAC_SGA'!CC238,"4")+0,CONCATENATE('V_DATOS PAC_SGA'!CC238,"0")+0))</f>
        <v>0</v>
      </c>
      <c r="C243" s="2" t="n">
        <f aca="false">'V_DATOS PAC_SGA'!CD238</f>
        <v>0</v>
      </c>
      <c r="D243" s="1409" t="n">
        <f aca="false">'V_DATOS PAC_SGA'!Y238</f>
        <v>0</v>
      </c>
      <c r="E243" s="1410" t="str">
        <f aca="false">IF('V_DATOS PAC_SGA'!AV238="","Regadio",'V_DATOS PAC_SGA'!AV238)</f>
        <v>Regadio</v>
      </c>
      <c r="F243" s="1411" t="n">
        <f aca="false">'V_DATOS PAC_SGA'!BK238</f>
        <v>0</v>
      </c>
      <c r="G243" s="1412" t="n">
        <f aca="false">'V_DATOS PAC_SGA'!AN238</f>
        <v>0</v>
      </c>
      <c r="H243" s="1413" t="str">
        <f aca="false">IF(B243&gt;0,VLOOKUP(B243,'O_MN, PE_UTA_UGM 2024'!E$3:O$419,10),"")</f>
        <v/>
      </c>
      <c r="I243" s="1359" t="str">
        <f aca="false">IF('V_DATOS PAC_SGA'!BV238="IV",'V_DATOS PAC_SGA'!BV238,"")</f>
        <v/>
      </c>
      <c r="J243" s="2" t="str">
        <f aca="false">IF($A243&gt;0,IF(AND(J$4=$G243,J$6=$F243),$D243*J$5,""),"")</f>
        <v/>
      </c>
      <c r="K243" s="2" t="str">
        <f aca="false">IF($A243&gt;0,IF(AND(K$4=$G243,K$6=$F243),$D243*K$5,""),"")</f>
        <v/>
      </c>
      <c r="L243" s="2" t="str">
        <f aca="false">IF($A243&gt;0,IF(AND(L$4=$G243,L$6=$F243),$D243*L$5,""),"")</f>
        <v/>
      </c>
      <c r="M243" s="2" t="str">
        <f aca="false">IF($A243&gt;0,IF(AND(M$4=$G243,M$6=$F243),$D243*M$5,""),"")</f>
        <v/>
      </c>
      <c r="N243" s="1506" t="n">
        <f aca="false">VLOOKUP(B243,'O_MN, PE_UTA_UGM 2024'!$E$2:$K$419,IF(G243&gt;1,6,7))</f>
        <v>0</v>
      </c>
      <c r="O243" s="1434" t="str">
        <f aca="false">IF($H243=O$4,$D243*$N243,"")</f>
        <v/>
      </c>
      <c r="P243" s="1435" t="str">
        <f aca="false">IF($H243=P$4,$D243*$N243,"")</f>
        <v/>
      </c>
      <c r="Q243" s="1435" t="str">
        <f aca="false">IF($H243=Q$4,$D243*$N243,"")</f>
        <v/>
      </c>
      <c r="R243" s="1435" t="str">
        <f aca="false">IF($H243=R$4,$D243*$N243,"")</f>
        <v/>
      </c>
      <c r="S243" s="1435" t="str">
        <f aca="false">IF($H243=S$4,$D243*$N243,"")</f>
        <v/>
      </c>
      <c r="T243" s="1435" t="str">
        <f aca="false">IF($H243=T$4,$D243*$N243,"")</f>
        <v/>
      </c>
      <c r="U243" s="1436" t="str">
        <f aca="false">IF($H243=U$4,$D243*$N243,"")</f>
        <v/>
      </c>
      <c r="V243" s="1418"/>
      <c r="W243" s="1419"/>
      <c r="X243" s="1419"/>
      <c r="Y243" s="1419"/>
      <c r="Z243" s="1419"/>
      <c r="AA243" s="1419"/>
      <c r="AB243" s="1420"/>
      <c r="AC243" s="1319"/>
      <c r="AD243" s="2" t="str">
        <f aca="false">IF(AND(AD$4=$G243,AD$6=$F243),$B243,"")</f>
        <v/>
      </c>
      <c r="AE243" s="2" t="str">
        <f aca="false">IF(AND(AE$4=$G243,AE$6=$F243),$B243,"")</f>
        <v/>
      </c>
      <c r="AF243" s="2" t="str">
        <f aca="false">IF(AND(AF$4=$G243,AF$6=$F243),$B243,"")</f>
        <v/>
      </c>
      <c r="AG243" s="2" t="str">
        <f aca="false">IF(AND(AG$4=$G243,AG$6=$F243),$B243,"")</f>
        <v/>
      </c>
      <c r="AI243" s="366"/>
      <c r="AL243" s="367"/>
      <c r="AO243" s="367"/>
      <c r="AP243" s="2" t="str">
        <f aca="false">IF(AT243&gt;0,RANK(AT243,AT$7:AT$423),"")</f>
        <v/>
      </c>
      <c r="AQ243" s="2" t="n">
        <f aca="false">'O_MN, PE_UTA_UGM 2024'!C239</f>
        <v>224</v>
      </c>
      <c r="AR243" s="1421" t="n">
        <v>2199</v>
      </c>
      <c r="AS243" s="2" t="str">
        <f aca="false">IF(AY243&lt;&gt;"",AY243,"")</f>
        <v/>
      </c>
      <c r="AT243" s="1422" t="n">
        <f aca="false">IF(ISNUMBER($AR243),SUMIF(B$7:B$505,AR243,D$7:D$505),"")</f>
        <v>0</v>
      </c>
      <c r="AU243" s="1411" t="n">
        <f aca="false">IF(ISNUMBER($AR243),SUMIF(AD$7:AD$503,$AR243,J$7:J$503),"")</f>
        <v>0</v>
      </c>
      <c r="AV243" s="1411" t="n">
        <f aca="false">IF(ISNUMBER($AR243),SUMIF(AF$7:AF$503,$AR243,L$7:L$503),"")</f>
        <v>0</v>
      </c>
      <c r="AW243" s="1423" t="n">
        <f aca="false">IF(ISNUMBER($AR243),SUMIF(AE$7:AE$503,$AR243,K$7:K$503),"")</f>
        <v>0</v>
      </c>
      <c r="AX243" s="1423" t="n">
        <f aca="false">IF(ISNUMBER($AR243),SUMIF(AG$7:AG$503,$AR243,M$7:M$503),"")</f>
        <v>0</v>
      </c>
      <c r="AY243" s="2" t="str">
        <f aca="false">IF($AT243&gt;0,VLOOKUP($AR243,'O_MN, PE_UTA_UGM 2024'!E239:O655,2),"")</f>
        <v/>
      </c>
      <c r="AZ243" s="1507"/>
      <c r="BA243" s="1507"/>
      <c r="BB243" s="1507" t="str">
        <f aca="false">IF($AT243&gt;0,VLOOKUP($AR243,'O_MN, PE_UTA_UGM 2024'!$E$3:$O$419,BB$6),"")</f>
        <v/>
      </c>
      <c r="BC243" s="1507" t="str">
        <f aca="false">IF($AT243&gt;0,VLOOKUP($AR243,'O_MN, PE_UTA_UGM 2024'!$E$3:$O$419,BC$6),"")</f>
        <v/>
      </c>
      <c r="BD243" s="1507" t="str">
        <f aca="false">IF($AT243&gt;0,VLOOKUP($AR243,'O_MN, PE_UTA_UGM 2024'!$E$3:$O$419,BD$6),"")</f>
        <v/>
      </c>
      <c r="BE243" s="1507" t="str">
        <f aca="false">IF($AT243&gt;0,VLOOKUP($AR243,'O_MN, PE_UTA_UGM 2024'!$E$3:$O$419,BE$6),"")</f>
        <v/>
      </c>
      <c r="BF243" s="1507" t="str">
        <f aca="false">IF($AT243&gt;0,VLOOKUP($AR243,'O_MN, PE_UTA_UGM 2024'!$E$3:$O$419,BF$6),"")</f>
        <v/>
      </c>
      <c r="BG243" s="1507" t="str">
        <f aca="false">IF($AT243&gt;0,VLOOKUP($AR243,'O_MN, PE_UTA_UGM 2024'!$E$3:$O$419,BG$6),"")</f>
        <v/>
      </c>
      <c r="BH243" s="1504"/>
      <c r="BI243" s="1504"/>
      <c r="BJ243" s="1504"/>
      <c r="BK243" s="1504"/>
      <c r="BM243" s="1411"/>
      <c r="BN243" s="1411"/>
      <c r="BO243" s="1425" t="str">
        <f aca="false">IF(ISNUMBER($AU243*BB243*1),$AU243*BB243*1,"")</f>
        <v/>
      </c>
      <c r="BP243" s="1425" t="str">
        <f aca="false">IF(ISNUMBER($AV243*BC243*1),$AV243*BC243*1,"")</f>
        <v/>
      </c>
      <c r="BQ243" s="1425" t="str">
        <f aca="false">IF(ISNUMBER($AU243*BD243*1),$AU243*BD243*1,"")</f>
        <v/>
      </c>
      <c r="BR243" s="1425" t="str">
        <f aca="false">IF(ISNUMBER($AV243*BE243*1),$AV243*BE243*1,"")</f>
        <v/>
      </c>
      <c r="BS243" s="1411" t="str">
        <f aca="false">IF(ISNUMBER($AU243*BF243),$AU243*BF243,"")</f>
        <v/>
      </c>
      <c r="BT243" s="1411" t="str">
        <f aca="false">IF(ISNUMBER($AV243*BG243),$AV243*BG243,"")</f>
        <v/>
      </c>
      <c r="BU243" s="1411"/>
      <c r="BV243" s="1411"/>
      <c r="BW243" s="1411"/>
      <c r="BX243" s="1411"/>
      <c r="BZ243" s="1372"/>
      <c r="CA243" s="1372"/>
      <c r="CB243" s="1426" t="str">
        <f aca="false">IF(ISNUMBER($AW243*BB243),$AW243*BB243,"")</f>
        <v/>
      </c>
      <c r="CC243" s="1426" t="str">
        <f aca="false">IF(ISNUMBER($AX243*BC243),$AX243*BC243,"")</f>
        <v/>
      </c>
      <c r="CD243" s="1426" t="str">
        <f aca="false">IF(ISNUMBER($AW243*BD243),$AW243*BD243,"")</f>
        <v/>
      </c>
      <c r="CE243" s="1426" t="str">
        <f aca="false">IF(ISNUMBER($AX243*BE243),$AX243*BE243,"")</f>
        <v/>
      </c>
      <c r="CF243" s="1372" t="str">
        <f aca="false">IF(ISNUMBER($AW243*BF243),$AW243*BF243,"")</f>
        <v/>
      </c>
      <c r="CG243" s="1372" t="str">
        <f aca="false">IF(ISNUMBER($AX243*BG243),$AX243*BG243,"")</f>
        <v/>
      </c>
      <c r="CH243" s="1438"/>
      <c r="CI243" s="1438"/>
      <c r="CJ243" s="1438"/>
      <c r="CK243" s="1438"/>
      <c r="CU243" s="1411"/>
      <c r="CV243" s="1411"/>
      <c r="CW243" s="1425"/>
      <c r="CX243" s="1425"/>
      <c r="CY243" s="1425"/>
      <c r="CZ243" s="1425"/>
      <c r="DA243" s="1411"/>
      <c r="DB243" s="1411"/>
      <c r="DC243" s="1411"/>
      <c r="DD243" s="1411"/>
      <c r="DE243" s="1411"/>
      <c r="DF243" s="1411"/>
      <c r="DH243" s="1432"/>
      <c r="DI243" s="1432"/>
      <c r="DJ243" s="1437"/>
      <c r="DK243" s="1437"/>
      <c r="DL243" s="1437"/>
      <c r="DM243" s="1437"/>
      <c r="DN243" s="1432"/>
      <c r="DO243" s="1432"/>
      <c r="DP243" s="1432"/>
      <c r="DQ243" s="1432"/>
      <c r="DR243" s="1432"/>
      <c r="DS243" s="1432"/>
      <c r="DT243" s="1316"/>
      <c r="DU243" s="1433"/>
      <c r="DV243" s="1433"/>
      <c r="DW243" s="1433"/>
      <c r="DX243" s="1433"/>
      <c r="DY243" s="1433"/>
      <c r="DZ243" s="1433"/>
      <c r="EA243" s="1433"/>
      <c r="EB243" s="1433"/>
    </row>
    <row r="244" customFormat="false" ht="14.25" hidden="false" customHeight="false" outlineLevel="0" collapsed="false">
      <c r="A244" s="2" t="n">
        <f aca="false">'V_DATOS PAC_SGA'!CC239</f>
        <v>0</v>
      </c>
      <c r="B244" s="2" t="n">
        <f aca="false">IF(OR(A244=0,A244=""),0,IF(I244="IV",CONCATENATE('V_DATOS PAC_SGA'!CC239,"4")+0,CONCATENATE('V_DATOS PAC_SGA'!CC239,"0")+0))</f>
        <v>0</v>
      </c>
      <c r="C244" s="2" t="n">
        <f aca="false">'V_DATOS PAC_SGA'!CD239</f>
        <v>0</v>
      </c>
      <c r="D244" s="1409" t="n">
        <f aca="false">'V_DATOS PAC_SGA'!Y239</f>
        <v>0</v>
      </c>
      <c r="E244" s="1410" t="str">
        <f aca="false">IF('V_DATOS PAC_SGA'!AV239="","Regadio",'V_DATOS PAC_SGA'!AV239)</f>
        <v>Regadio</v>
      </c>
      <c r="F244" s="1411" t="n">
        <f aca="false">'V_DATOS PAC_SGA'!BK239</f>
        <v>0</v>
      </c>
      <c r="G244" s="1412" t="n">
        <f aca="false">'V_DATOS PAC_SGA'!AN239</f>
        <v>0</v>
      </c>
      <c r="H244" s="1413" t="str">
        <f aca="false">IF(B244&gt;0,VLOOKUP(B244,'O_MN, PE_UTA_UGM 2024'!E$3:O$419,10),"")</f>
        <v/>
      </c>
      <c r="I244" s="1359" t="str">
        <f aca="false">IF('V_DATOS PAC_SGA'!BV239="IV",'V_DATOS PAC_SGA'!BV239,"")</f>
        <v/>
      </c>
      <c r="J244" s="2" t="str">
        <f aca="false">IF($A244&gt;0,IF(AND(J$4=$G244,J$6=$F244),$D244*J$5,""),"")</f>
        <v/>
      </c>
      <c r="K244" s="2" t="str">
        <f aca="false">IF($A244&gt;0,IF(AND(K$4=$G244,K$6=$F244),$D244*K$5,""),"")</f>
        <v/>
      </c>
      <c r="L244" s="2" t="str">
        <f aca="false">IF($A244&gt;0,IF(AND(L$4=$G244,L$6=$F244),$D244*L$5,""),"")</f>
        <v/>
      </c>
      <c r="M244" s="2" t="str">
        <f aca="false">IF($A244&gt;0,IF(AND(M$4=$G244,M$6=$F244),$D244*M$5,""),"")</f>
        <v/>
      </c>
      <c r="N244" s="1506" t="n">
        <f aca="false">VLOOKUP(B244,'O_MN, PE_UTA_UGM 2024'!$E$2:$K$419,IF(G244&gt;1,6,7))</f>
        <v>0</v>
      </c>
      <c r="O244" s="1434" t="str">
        <f aca="false">IF($H244=O$4,$D244*$N244,"")</f>
        <v/>
      </c>
      <c r="P244" s="1435" t="str">
        <f aca="false">IF($H244=P$4,$D244*$N244,"")</f>
        <v/>
      </c>
      <c r="Q244" s="1435" t="str">
        <f aca="false">IF($H244=Q$4,$D244*$N244,"")</f>
        <v/>
      </c>
      <c r="R244" s="1435" t="str">
        <f aca="false">IF($H244=R$4,$D244*$N244,"")</f>
        <v/>
      </c>
      <c r="S244" s="1435" t="str">
        <f aca="false">IF($H244=S$4,$D244*$N244,"")</f>
        <v/>
      </c>
      <c r="T244" s="1435" t="str">
        <f aca="false">IF($H244=T$4,$D244*$N244,"")</f>
        <v/>
      </c>
      <c r="U244" s="1436" t="str">
        <f aca="false">IF($H244=U$4,$D244*$N244,"")</f>
        <v/>
      </c>
      <c r="V244" s="1418"/>
      <c r="W244" s="1419"/>
      <c r="X244" s="1419"/>
      <c r="Y244" s="1419"/>
      <c r="Z244" s="1419"/>
      <c r="AA244" s="1419"/>
      <c r="AB244" s="1420"/>
      <c r="AC244" s="1319"/>
      <c r="AD244" s="2" t="str">
        <f aca="false">IF(AND(AD$4=$G244,AD$6=$F244),$B244,"")</f>
        <v/>
      </c>
      <c r="AE244" s="2" t="str">
        <f aca="false">IF(AND(AE$4=$G244,AE$6=$F244),$B244,"")</f>
        <v/>
      </c>
      <c r="AF244" s="2" t="str">
        <f aca="false">IF(AND(AF$4=$G244,AF$6=$F244),$B244,"")</f>
        <v/>
      </c>
      <c r="AG244" s="2" t="str">
        <f aca="false">IF(AND(AG$4=$G244,AG$6=$F244),$B244,"")</f>
        <v/>
      </c>
      <c r="AI244" s="366"/>
      <c r="AL244" s="367"/>
      <c r="AO244" s="367"/>
      <c r="AP244" s="2" t="str">
        <f aca="false">IF(AT244&gt;0,RANK(AT244,AT$7:AT$423),"")</f>
        <v/>
      </c>
      <c r="AQ244" s="2" t="n">
        <f aca="false">'O_MN, PE_UTA_UGM 2024'!C240</f>
        <v>238</v>
      </c>
      <c r="AR244" s="1421" t="n">
        <v>2200</v>
      </c>
      <c r="AS244" s="2" t="str">
        <f aca="false">IF(AY244&lt;&gt;"",AY244,"")</f>
        <v/>
      </c>
      <c r="AT244" s="1422" t="n">
        <f aca="false">IF(ISNUMBER($AR244),SUMIF(B$7:B$505,AR244,D$7:D$505),"")</f>
        <v>0</v>
      </c>
      <c r="AU244" s="1411" t="n">
        <f aca="false">IF(ISNUMBER($AR244),SUMIF(AD$7:AD$503,$AR244,J$7:J$503),"")</f>
        <v>0</v>
      </c>
      <c r="AV244" s="1411" t="n">
        <f aca="false">IF(ISNUMBER($AR244),SUMIF(AF$7:AF$503,$AR244,L$7:L$503),"")</f>
        <v>0</v>
      </c>
      <c r="AW244" s="1423" t="n">
        <f aca="false">IF(ISNUMBER($AR244),SUMIF(AE$7:AE$503,$AR244,K$7:K$503),"")</f>
        <v>0</v>
      </c>
      <c r="AX244" s="1423" t="n">
        <f aca="false">IF(ISNUMBER($AR244),SUMIF(AG$7:AG$503,$AR244,M$7:M$503),"")</f>
        <v>0</v>
      </c>
      <c r="AY244" s="2" t="str">
        <f aca="false">IF($AT244&gt;0,VLOOKUP($AR244,'O_MN, PE_UTA_UGM 2024'!E240:O656,2),"")</f>
        <v/>
      </c>
      <c r="AZ244" s="1507"/>
      <c r="BA244" s="1507"/>
      <c r="BB244" s="1507" t="str">
        <f aca="false">IF($AT244&gt;0,VLOOKUP($AR244,'O_MN, PE_UTA_UGM 2024'!$E$3:$O$419,BB$6),"")</f>
        <v/>
      </c>
      <c r="BC244" s="1507" t="str">
        <f aca="false">IF($AT244&gt;0,VLOOKUP($AR244,'O_MN, PE_UTA_UGM 2024'!$E$3:$O$419,BC$6),"")</f>
        <v/>
      </c>
      <c r="BD244" s="1507" t="str">
        <f aca="false">IF($AT244&gt;0,VLOOKUP($AR244,'O_MN, PE_UTA_UGM 2024'!$E$3:$O$419,BD$6),"")</f>
        <v/>
      </c>
      <c r="BE244" s="1507" t="str">
        <f aca="false">IF($AT244&gt;0,VLOOKUP($AR244,'O_MN, PE_UTA_UGM 2024'!$E$3:$O$419,BE$6),"")</f>
        <v/>
      </c>
      <c r="BF244" s="1507" t="str">
        <f aca="false">IF($AT244&gt;0,VLOOKUP($AR244,'O_MN, PE_UTA_UGM 2024'!$E$3:$O$419,BF$6),"")</f>
        <v/>
      </c>
      <c r="BG244" s="1507" t="str">
        <f aca="false">IF($AT244&gt;0,VLOOKUP($AR244,'O_MN, PE_UTA_UGM 2024'!$E$3:$O$419,BG$6),"")</f>
        <v/>
      </c>
      <c r="BH244" s="1504"/>
      <c r="BI244" s="1504"/>
      <c r="BJ244" s="1504"/>
      <c r="BK244" s="1504"/>
      <c r="BM244" s="1411"/>
      <c r="BN244" s="1411"/>
      <c r="BO244" s="1425" t="str">
        <f aca="false">IF(ISNUMBER($AU244*BB244*1),$AU244*BB244*1,"")</f>
        <v/>
      </c>
      <c r="BP244" s="1425" t="str">
        <f aca="false">IF(ISNUMBER($AV244*BC244*1),$AV244*BC244*1,"")</f>
        <v/>
      </c>
      <c r="BQ244" s="1425" t="str">
        <f aca="false">IF(ISNUMBER($AU244*BD244*1),$AU244*BD244*1,"")</f>
        <v/>
      </c>
      <c r="BR244" s="1425" t="str">
        <f aca="false">IF(ISNUMBER($AV244*BE244*1),$AV244*BE244*1,"")</f>
        <v/>
      </c>
      <c r="BS244" s="1411" t="str">
        <f aca="false">IF(ISNUMBER($AU244*BF244),$AU244*BF244,"")</f>
        <v/>
      </c>
      <c r="BT244" s="1411" t="str">
        <f aca="false">IF(ISNUMBER($AV244*BG244),$AV244*BG244,"")</f>
        <v/>
      </c>
      <c r="BU244" s="1411"/>
      <c r="BV244" s="1411"/>
      <c r="BW244" s="1411"/>
      <c r="BX244" s="1411"/>
      <c r="BZ244" s="1372"/>
      <c r="CA244" s="1372"/>
      <c r="CB244" s="1426" t="str">
        <f aca="false">IF(ISNUMBER($AW244*BB244),$AW244*BB244,"")</f>
        <v/>
      </c>
      <c r="CC244" s="1426" t="str">
        <f aca="false">IF(ISNUMBER($AX244*BC244),$AX244*BC244,"")</f>
        <v/>
      </c>
      <c r="CD244" s="1426" t="str">
        <f aca="false">IF(ISNUMBER($AW244*BD244),$AW244*BD244,"")</f>
        <v/>
      </c>
      <c r="CE244" s="1426" t="str">
        <f aca="false">IF(ISNUMBER($AX244*BE244),$AX244*BE244,"")</f>
        <v/>
      </c>
      <c r="CF244" s="1372" t="str">
        <f aca="false">IF(ISNUMBER($AW244*BF244),$AW244*BF244,"")</f>
        <v/>
      </c>
      <c r="CG244" s="1372" t="str">
        <f aca="false">IF(ISNUMBER($AX244*BG244),$AX244*BG244,"")</f>
        <v/>
      </c>
      <c r="CH244" s="1438"/>
      <c r="CI244" s="1438"/>
      <c r="CJ244" s="1438"/>
      <c r="CK244" s="1438"/>
      <c r="CU244" s="1411"/>
      <c r="CV244" s="1411"/>
      <c r="CW244" s="1425"/>
      <c r="CX244" s="1425"/>
      <c r="CY244" s="1425"/>
      <c r="CZ244" s="1425"/>
      <c r="DA244" s="1411"/>
      <c r="DB244" s="1411"/>
      <c r="DC244" s="1411"/>
      <c r="DD244" s="1411"/>
      <c r="DE244" s="1411"/>
      <c r="DF244" s="1411"/>
      <c r="DH244" s="1432"/>
      <c r="DI244" s="1432"/>
      <c r="DJ244" s="1437"/>
      <c r="DK244" s="1437"/>
      <c r="DL244" s="1437"/>
      <c r="DM244" s="1437"/>
      <c r="DN244" s="1432"/>
      <c r="DO244" s="1432"/>
      <c r="DP244" s="1432"/>
      <c r="DQ244" s="1432"/>
      <c r="DR244" s="1432"/>
      <c r="DS244" s="1432"/>
      <c r="DT244" s="1316"/>
      <c r="DU244" s="1433"/>
      <c r="DV244" s="1433"/>
      <c r="DW244" s="1433"/>
      <c r="DX244" s="1433"/>
      <c r="DY244" s="1433"/>
      <c r="DZ244" s="1433"/>
      <c r="EA244" s="1433"/>
      <c r="EB244" s="1433"/>
    </row>
    <row r="245" customFormat="false" ht="14.25" hidden="false" customHeight="false" outlineLevel="0" collapsed="false">
      <c r="A245" s="2" t="n">
        <f aca="false">'V_DATOS PAC_SGA'!CC240</f>
        <v>0</v>
      </c>
      <c r="B245" s="2" t="n">
        <f aca="false">IF(OR(A245=0,A245=""),0,IF(I245="IV",CONCATENATE('V_DATOS PAC_SGA'!CC240,"4")+0,CONCATENATE('V_DATOS PAC_SGA'!CC240,"0")+0))</f>
        <v>0</v>
      </c>
      <c r="C245" s="2" t="n">
        <f aca="false">'V_DATOS PAC_SGA'!CD240</f>
        <v>0</v>
      </c>
      <c r="D245" s="1409" t="n">
        <f aca="false">'V_DATOS PAC_SGA'!Y240</f>
        <v>0</v>
      </c>
      <c r="E245" s="1410" t="str">
        <f aca="false">IF('V_DATOS PAC_SGA'!AV240="","Regadio",'V_DATOS PAC_SGA'!AV240)</f>
        <v>Regadio</v>
      </c>
      <c r="F245" s="1411" t="n">
        <f aca="false">'V_DATOS PAC_SGA'!BK240</f>
        <v>0</v>
      </c>
      <c r="G245" s="1412" t="n">
        <f aca="false">'V_DATOS PAC_SGA'!AN240</f>
        <v>0</v>
      </c>
      <c r="H245" s="1413" t="str">
        <f aca="false">IF(B245&gt;0,VLOOKUP(B245,'O_MN, PE_UTA_UGM 2024'!E$3:O$419,10),"")</f>
        <v/>
      </c>
      <c r="I245" s="1359" t="str">
        <f aca="false">IF('V_DATOS PAC_SGA'!BV240="IV",'V_DATOS PAC_SGA'!BV240,"")</f>
        <v/>
      </c>
      <c r="J245" s="2" t="str">
        <f aca="false">IF($A245&gt;0,IF(AND(J$4=$G245,J$6=$F245),$D245*J$5,""),"")</f>
        <v/>
      </c>
      <c r="K245" s="2" t="str">
        <f aca="false">IF($A245&gt;0,IF(AND(K$4=$G245,K$6=$F245),$D245*K$5,""),"")</f>
        <v/>
      </c>
      <c r="L245" s="2" t="str">
        <f aca="false">IF($A245&gt;0,IF(AND(L$4=$G245,L$6=$F245),$D245*L$5,""),"")</f>
        <v/>
      </c>
      <c r="M245" s="2" t="str">
        <f aca="false">IF($A245&gt;0,IF(AND(M$4=$G245,M$6=$F245),$D245*M$5,""),"")</f>
        <v/>
      </c>
      <c r="N245" s="1506" t="n">
        <f aca="false">VLOOKUP(B245,'O_MN, PE_UTA_UGM 2024'!$E$2:$K$419,IF(G245&gt;1,6,7))</f>
        <v>0</v>
      </c>
      <c r="O245" s="1434" t="str">
        <f aca="false">IF($H245=O$4,$D245*$N245,"")</f>
        <v/>
      </c>
      <c r="P245" s="1435" t="str">
        <f aca="false">IF($H245=P$4,$D245*$N245,"")</f>
        <v/>
      </c>
      <c r="Q245" s="1435" t="str">
        <f aca="false">IF($H245=Q$4,$D245*$N245,"")</f>
        <v/>
      </c>
      <c r="R245" s="1435" t="str">
        <f aca="false">IF($H245=R$4,$D245*$N245,"")</f>
        <v/>
      </c>
      <c r="S245" s="1435" t="str">
        <f aca="false">IF($H245=S$4,$D245*$N245,"")</f>
        <v/>
      </c>
      <c r="T245" s="1435" t="str">
        <f aca="false">IF($H245=T$4,$D245*$N245,"")</f>
        <v/>
      </c>
      <c r="U245" s="1436" t="str">
        <f aca="false">IF($H245=U$4,$D245*$N245,"")</f>
        <v/>
      </c>
      <c r="V245" s="1418"/>
      <c r="W245" s="1419"/>
      <c r="X245" s="1419"/>
      <c r="Y245" s="1419"/>
      <c r="Z245" s="1419"/>
      <c r="AA245" s="1419"/>
      <c r="AB245" s="1420"/>
      <c r="AC245" s="1319"/>
      <c r="AD245" s="2" t="str">
        <f aca="false">IF(AND(AD$4=$G245,AD$6=$F245),$B245,"")</f>
        <v/>
      </c>
      <c r="AE245" s="2" t="str">
        <f aca="false">IF(AND(AE$4=$G245,AE$6=$F245),$B245,"")</f>
        <v/>
      </c>
      <c r="AF245" s="2" t="str">
        <f aca="false">IF(AND(AF$4=$G245,AF$6=$F245),$B245,"")</f>
        <v/>
      </c>
      <c r="AG245" s="2" t="str">
        <f aca="false">IF(AND(AG$4=$G245,AG$6=$F245),$B245,"")</f>
        <v/>
      </c>
      <c r="AI245" s="366"/>
      <c r="AL245" s="367"/>
      <c r="AO245" s="367"/>
      <c r="AP245" s="2" t="str">
        <f aca="false">IF(AT245&gt;0,RANK(AT245,AT$7:AT$423),"")</f>
        <v/>
      </c>
      <c r="AQ245" s="2" t="n">
        <f aca="false">'O_MN, PE_UTA_UGM 2024'!C241</f>
        <v>239</v>
      </c>
      <c r="AR245" s="1421" t="n">
        <v>2220</v>
      </c>
      <c r="AS245" s="2" t="str">
        <f aca="false">IF(AY245&lt;&gt;"",AY245,"")</f>
        <v/>
      </c>
      <c r="AT245" s="1422" t="n">
        <f aca="false">IF(ISNUMBER($AR245),SUMIF(B$7:B$505,AR245,D$7:D$505),"")</f>
        <v>0</v>
      </c>
      <c r="AU245" s="1411" t="n">
        <f aca="false">IF(ISNUMBER($AR245),SUMIF(AD$7:AD$503,$AR245,J$7:J$503),"")</f>
        <v>0</v>
      </c>
      <c r="AV245" s="1411" t="n">
        <f aca="false">IF(ISNUMBER($AR245),SUMIF(AF$7:AF$503,$AR245,L$7:L$503),"")</f>
        <v>0</v>
      </c>
      <c r="AW245" s="1423" t="n">
        <f aca="false">IF(ISNUMBER($AR245),SUMIF(AE$7:AE$503,$AR245,K$7:K$503),"")</f>
        <v>0</v>
      </c>
      <c r="AX245" s="1423" t="n">
        <f aca="false">IF(ISNUMBER($AR245),SUMIF(AG$7:AG$503,$AR245,M$7:M$503),"")</f>
        <v>0</v>
      </c>
      <c r="AY245" s="2" t="str">
        <f aca="false">IF($AT245&gt;0,VLOOKUP($AR245,'O_MN, PE_UTA_UGM 2024'!E241:O657,2),"")</f>
        <v/>
      </c>
      <c r="AZ245" s="1507"/>
      <c r="BA245" s="1507"/>
      <c r="BB245" s="1507" t="str">
        <f aca="false">IF($AT245&gt;0,VLOOKUP($AR245,'O_MN, PE_UTA_UGM 2024'!$E$3:$O$419,BB$6),"")</f>
        <v/>
      </c>
      <c r="BC245" s="1507" t="str">
        <f aca="false">IF($AT245&gt;0,VLOOKUP($AR245,'O_MN, PE_UTA_UGM 2024'!$E$3:$O$419,BC$6),"")</f>
        <v/>
      </c>
      <c r="BD245" s="1507" t="str">
        <f aca="false">IF($AT245&gt;0,VLOOKUP($AR245,'O_MN, PE_UTA_UGM 2024'!$E$3:$O$419,BD$6),"")</f>
        <v/>
      </c>
      <c r="BE245" s="1507" t="str">
        <f aca="false">IF($AT245&gt;0,VLOOKUP($AR245,'O_MN, PE_UTA_UGM 2024'!$E$3:$O$419,BE$6),"")</f>
        <v/>
      </c>
      <c r="BF245" s="1507" t="str">
        <f aca="false">IF($AT245&gt;0,VLOOKUP($AR245,'O_MN, PE_UTA_UGM 2024'!$E$3:$O$419,BF$6),"")</f>
        <v/>
      </c>
      <c r="BG245" s="1507" t="str">
        <f aca="false">IF($AT245&gt;0,VLOOKUP($AR245,'O_MN, PE_UTA_UGM 2024'!$E$3:$O$419,BG$6),"")</f>
        <v/>
      </c>
      <c r="BH245" s="1504"/>
      <c r="BI245" s="1504"/>
      <c r="BJ245" s="1504"/>
      <c r="BK245" s="1504"/>
      <c r="BM245" s="1411"/>
      <c r="BN245" s="1411"/>
      <c r="BO245" s="1425" t="str">
        <f aca="false">IF(ISNUMBER($AU245*BB245*1),$AU245*BB245*1,"")</f>
        <v/>
      </c>
      <c r="BP245" s="1425" t="str">
        <f aca="false">IF(ISNUMBER($AV245*BC245*1),$AV245*BC245*1,"")</f>
        <v/>
      </c>
      <c r="BQ245" s="1425" t="str">
        <f aca="false">IF(ISNUMBER($AU245*BD245*1),$AU245*BD245*1,"")</f>
        <v/>
      </c>
      <c r="BR245" s="1425" t="str">
        <f aca="false">IF(ISNUMBER($AV245*BE245*1),$AV245*BE245*1,"")</f>
        <v/>
      </c>
      <c r="BS245" s="1411" t="str">
        <f aca="false">IF(ISNUMBER($AU245*BF245),$AU245*BF245,"")</f>
        <v/>
      </c>
      <c r="BT245" s="1411" t="str">
        <f aca="false">IF(ISNUMBER($AV245*BG245),$AV245*BG245,"")</f>
        <v/>
      </c>
      <c r="BU245" s="1411"/>
      <c r="BV245" s="1411"/>
      <c r="BW245" s="1411"/>
      <c r="BX245" s="1411"/>
      <c r="BZ245" s="1372"/>
      <c r="CA245" s="1372"/>
      <c r="CB245" s="1426" t="str">
        <f aca="false">IF(ISNUMBER($AW245*BB245),$AW245*BB245,"")</f>
        <v/>
      </c>
      <c r="CC245" s="1426" t="str">
        <f aca="false">IF(ISNUMBER($AX245*BC245),$AX245*BC245,"")</f>
        <v/>
      </c>
      <c r="CD245" s="1426" t="str">
        <f aca="false">IF(ISNUMBER($AW245*BD245),$AW245*BD245,"")</f>
        <v/>
      </c>
      <c r="CE245" s="1426" t="str">
        <f aca="false">IF(ISNUMBER($AX245*BE245),$AX245*BE245,"")</f>
        <v/>
      </c>
      <c r="CF245" s="1372" t="str">
        <f aca="false">IF(ISNUMBER($AW245*BF245),$AW245*BF245,"")</f>
        <v/>
      </c>
      <c r="CG245" s="1372" t="str">
        <f aca="false">IF(ISNUMBER($AX245*BG245),$AX245*BG245,"")</f>
        <v/>
      </c>
      <c r="CH245" s="1438"/>
      <c r="CI245" s="1438"/>
      <c r="CJ245" s="1438"/>
      <c r="CK245" s="1438"/>
      <c r="CU245" s="1411"/>
      <c r="CV245" s="1411"/>
      <c r="CW245" s="1425"/>
      <c r="CX245" s="1425"/>
      <c r="CY245" s="1425"/>
      <c r="CZ245" s="1425"/>
      <c r="DA245" s="1411"/>
      <c r="DB245" s="1411"/>
      <c r="DC245" s="1411"/>
      <c r="DD245" s="1411"/>
      <c r="DE245" s="1411"/>
      <c r="DF245" s="1411"/>
      <c r="DH245" s="1432"/>
      <c r="DI245" s="1432"/>
      <c r="DJ245" s="1437"/>
      <c r="DK245" s="1437"/>
      <c r="DL245" s="1437"/>
      <c r="DM245" s="1437"/>
      <c r="DN245" s="1432"/>
      <c r="DO245" s="1432"/>
      <c r="DP245" s="1432"/>
      <c r="DQ245" s="1432"/>
      <c r="DR245" s="1432"/>
      <c r="DS245" s="1432"/>
      <c r="DT245" s="1316"/>
      <c r="DU245" s="1433"/>
      <c r="DV245" s="1433"/>
      <c r="DW245" s="1433"/>
      <c r="DX245" s="1433"/>
      <c r="DY245" s="1433"/>
      <c r="DZ245" s="1433"/>
      <c r="EA245" s="1433"/>
      <c r="EB245" s="1433"/>
    </row>
    <row r="246" customFormat="false" ht="14.25" hidden="false" customHeight="false" outlineLevel="0" collapsed="false">
      <c r="A246" s="2" t="n">
        <f aca="false">'V_DATOS PAC_SGA'!CC241</f>
        <v>0</v>
      </c>
      <c r="B246" s="2" t="n">
        <f aca="false">IF(OR(A246=0,A246=""),0,IF(I246="IV",CONCATENATE('V_DATOS PAC_SGA'!CC241,"4")+0,CONCATENATE('V_DATOS PAC_SGA'!CC241,"0")+0))</f>
        <v>0</v>
      </c>
      <c r="C246" s="2" t="n">
        <f aca="false">'V_DATOS PAC_SGA'!CD241</f>
        <v>0</v>
      </c>
      <c r="D246" s="1409" t="n">
        <f aca="false">'V_DATOS PAC_SGA'!Y241</f>
        <v>0</v>
      </c>
      <c r="E246" s="1410" t="str">
        <f aca="false">IF('V_DATOS PAC_SGA'!AV241="","Regadio",'V_DATOS PAC_SGA'!AV241)</f>
        <v>Regadio</v>
      </c>
      <c r="F246" s="1411" t="n">
        <f aca="false">'V_DATOS PAC_SGA'!BK241</f>
        <v>0</v>
      </c>
      <c r="G246" s="1412" t="n">
        <f aca="false">'V_DATOS PAC_SGA'!AN241</f>
        <v>0</v>
      </c>
      <c r="H246" s="1413" t="str">
        <f aca="false">IF(B246&gt;0,VLOOKUP(B246,'O_MN, PE_UTA_UGM 2024'!E$3:O$419,10),"")</f>
        <v/>
      </c>
      <c r="I246" s="1359" t="str">
        <f aca="false">IF('V_DATOS PAC_SGA'!BV241="IV",'V_DATOS PAC_SGA'!BV241,"")</f>
        <v/>
      </c>
      <c r="J246" s="2" t="str">
        <f aca="false">IF($A246&gt;0,IF(AND(J$4=$G246,J$6=$F246),$D246*J$5,""),"")</f>
        <v/>
      </c>
      <c r="K246" s="2" t="str">
        <f aca="false">IF($A246&gt;0,IF(AND(K$4=$G246,K$6=$F246),$D246*K$5,""),"")</f>
        <v/>
      </c>
      <c r="L246" s="2" t="str">
        <f aca="false">IF($A246&gt;0,IF(AND(L$4=$G246,L$6=$F246),$D246*L$5,""),"")</f>
        <v/>
      </c>
      <c r="M246" s="2" t="str">
        <f aca="false">IF($A246&gt;0,IF(AND(M$4=$G246,M$6=$F246),$D246*M$5,""),"")</f>
        <v/>
      </c>
      <c r="N246" s="1506" t="n">
        <f aca="false">VLOOKUP(B246,'O_MN, PE_UTA_UGM 2024'!$E$2:$K$419,IF(G246&gt;1,6,7))</f>
        <v>0</v>
      </c>
      <c r="O246" s="1434" t="str">
        <f aca="false">IF($H246=O$4,$D246*$N246,"")</f>
        <v/>
      </c>
      <c r="P246" s="1435" t="str">
        <f aca="false">IF($H246=P$4,$D246*$N246,"")</f>
        <v/>
      </c>
      <c r="Q246" s="1435" t="str">
        <f aca="false">IF($H246=Q$4,$D246*$N246,"")</f>
        <v/>
      </c>
      <c r="R246" s="1435" t="str">
        <f aca="false">IF($H246=R$4,$D246*$N246,"")</f>
        <v/>
      </c>
      <c r="S246" s="1435" t="str">
        <f aca="false">IF($H246=S$4,$D246*$N246,"")</f>
        <v/>
      </c>
      <c r="T246" s="1435" t="str">
        <f aca="false">IF($H246=T$4,$D246*$N246,"")</f>
        <v/>
      </c>
      <c r="U246" s="1436" t="str">
        <f aca="false">IF($H246=U$4,$D246*$N246,"")</f>
        <v/>
      </c>
      <c r="V246" s="1418"/>
      <c r="W246" s="1419"/>
      <c r="X246" s="1419"/>
      <c r="Y246" s="1419"/>
      <c r="Z246" s="1419"/>
      <c r="AA246" s="1419"/>
      <c r="AB246" s="1420"/>
      <c r="AC246" s="1319"/>
      <c r="AD246" s="2" t="str">
        <f aca="false">IF(AND(AD$4=$G246,AD$6=$F246),$B246,"")</f>
        <v/>
      </c>
      <c r="AE246" s="2" t="str">
        <f aca="false">IF(AND(AE$4=$G246,AE$6=$F246),$B246,"")</f>
        <v/>
      </c>
      <c r="AF246" s="2" t="str">
        <f aca="false">IF(AND(AF$4=$G246,AF$6=$F246),$B246,"")</f>
        <v/>
      </c>
      <c r="AG246" s="2" t="str">
        <f aca="false">IF(AND(AG$4=$G246,AG$6=$F246),$B246,"")</f>
        <v/>
      </c>
      <c r="AI246" s="366"/>
      <c r="AL246" s="367"/>
      <c r="AO246" s="367"/>
      <c r="AP246" s="2" t="str">
        <f aca="false">IF(AT246&gt;0,RANK(AT246,AT$7:AT$423),"")</f>
        <v/>
      </c>
      <c r="AQ246" s="2" t="n">
        <f aca="false">'O_MN, PE_UTA_UGM 2024'!C242</f>
        <v>240</v>
      </c>
      <c r="AR246" s="1421" t="n">
        <v>2230</v>
      </c>
      <c r="AS246" s="2" t="str">
        <f aca="false">IF(AY246&lt;&gt;"",AY246,"")</f>
        <v/>
      </c>
      <c r="AT246" s="1422" t="n">
        <f aca="false">IF(ISNUMBER($AR246),SUMIF(B$7:B$505,AR246,D$7:D$505),"")</f>
        <v>0</v>
      </c>
      <c r="AU246" s="1411" t="n">
        <f aca="false">IF(ISNUMBER($AR246),SUMIF(AD$7:AD$503,$AR246,J$7:J$503),"")</f>
        <v>0</v>
      </c>
      <c r="AV246" s="1411" t="n">
        <f aca="false">IF(ISNUMBER($AR246),SUMIF(AF$7:AF$503,$AR246,L$7:L$503),"")</f>
        <v>0</v>
      </c>
      <c r="AW246" s="1423" t="n">
        <f aca="false">IF(ISNUMBER($AR246),SUMIF(AE$7:AE$503,$AR246,K$7:K$503),"")</f>
        <v>0</v>
      </c>
      <c r="AX246" s="1423" t="n">
        <f aca="false">IF(ISNUMBER($AR246),SUMIF(AG$7:AG$503,$AR246,M$7:M$503),"")</f>
        <v>0</v>
      </c>
      <c r="AY246" s="2" t="str">
        <f aca="false">IF($AT246&gt;0,VLOOKUP($AR246,'O_MN, PE_UTA_UGM 2024'!E242:O658,2),"")</f>
        <v/>
      </c>
      <c r="AZ246" s="1507"/>
      <c r="BA246" s="1507"/>
      <c r="BB246" s="1507" t="str">
        <f aca="false">IF($AT246&gt;0,VLOOKUP($AR246,'O_MN, PE_UTA_UGM 2024'!$E$3:$O$419,BB$6),"")</f>
        <v/>
      </c>
      <c r="BC246" s="1507" t="str">
        <f aca="false">IF($AT246&gt;0,VLOOKUP($AR246,'O_MN, PE_UTA_UGM 2024'!$E$3:$O$419,BC$6),"")</f>
        <v/>
      </c>
      <c r="BD246" s="1507" t="str">
        <f aca="false">IF($AT246&gt;0,VLOOKUP($AR246,'O_MN, PE_UTA_UGM 2024'!$E$3:$O$419,BD$6),"")</f>
        <v/>
      </c>
      <c r="BE246" s="1507" t="str">
        <f aca="false">IF($AT246&gt;0,VLOOKUP($AR246,'O_MN, PE_UTA_UGM 2024'!$E$3:$O$419,BE$6),"")</f>
        <v/>
      </c>
      <c r="BF246" s="1507" t="str">
        <f aca="false">IF($AT246&gt;0,VLOOKUP($AR246,'O_MN, PE_UTA_UGM 2024'!$E$3:$O$419,BF$6),"")</f>
        <v/>
      </c>
      <c r="BG246" s="1507" t="str">
        <f aca="false">IF($AT246&gt;0,VLOOKUP($AR246,'O_MN, PE_UTA_UGM 2024'!$E$3:$O$419,BG$6),"")</f>
        <v/>
      </c>
      <c r="BH246" s="1504"/>
      <c r="BI246" s="1504"/>
      <c r="BJ246" s="1504"/>
      <c r="BK246" s="1504"/>
      <c r="BM246" s="1411"/>
      <c r="BN246" s="1411"/>
      <c r="BO246" s="1425" t="str">
        <f aca="false">IF(ISNUMBER($AU246*BB246*1),$AU246*BB246*1,"")</f>
        <v/>
      </c>
      <c r="BP246" s="1425" t="str">
        <f aca="false">IF(ISNUMBER($AV246*BC246*1),$AV246*BC246*1,"")</f>
        <v/>
      </c>
      <c r="BQ246" s="1425" t="str">
        <f aca="false">IF(ISNUMBER($AU246*BD246*1),$AU246*BD246*1,"")</f>
        <v/>
      </c>
      <c r="BR246" s="1425" t="str">
        <f aca="false">IF(ISNUMBER($AV246*BE246*1),$AV246*BE246*1,"")</f>
        <v/>
      </c>
      <c r="BS246" s="1411" t="str">
        <f aca="false">IF(ISNUMBER($AU246*BF246),$AU246*BF246,"")</f>
        <v/>
      </c>
      <c r="BT246" s="1411" t="str">
        <f aca="false">IF(ISNUMBER($AV246*BG246),$AV246*BG246,"")</f>
        <v/>
      </c>
      <c r="BU246" s="1411"/>
      <c r="BV246" s="1411"/>
      <c r="BW246" s="1411"/>
      <c r="BX246" s="1411"/>
      <c r="BZ246" s="1372"/>
      <c r="CA246" s="1372"/>
      <c r="CB246" s="1426" t="str">
        <f aca="false">IF(ISNUMBER($AW246*BB246),$AW246*BB246,"")</f>
        <v/>
      </c>
      <c r="CC246" s="1426" t="str">
        <f aca="false">IF(ISNUMBER($AX246*BC246),$AX246*BC246,"")</f>
        <v/>
      </c>
      <c r="CD246" s="1426" t="str">
        <f aca="false">IF(ISNUMBER($AW246*BD246),$AW246*BD246,"")</f>
        <v/>
      </c>
      <c r="CE246" s="1426" t="str">
        <f aca="false">IF(ISNUMBER($AX246*BE246),$AX246*BE246,"")</f>
        <v/>
      </c>
      <c r="CF246" s="1372" t="str">
        <f aca="false">IF(ISNUMBER($AW246*BF246),$AW246*BF246,"")</f>
        <v/>
      </c>
      <c r="CG246" s="1372" t="str">
        <f aca="false">IF(ISNUMBER($AX246*BG246),$AX246*BG246,"")</f>
        <v/>
      </c>
      <c r="CH246" s="1438"/>
      <c r="CI246" s="1438"/>
      <c r="CJ246" s="1438"/>
      <c r="CK246" s="1438"/>
      <c r="CU246" s="1411"/>
      <c r="CV246" s="1411"/>
      <c r="CW246" s="1425"/>
      <c r="CX246" s="1425"/>
      <c r="CY246" s="1425"/>
      <c r="CZ246" s="1425"/>
      <c r="DA246" s="1411"/>
      <c r="DB246" s="1411"/>
      <c r="DC246" s="1411"/>
      <c r="DD246" s="1411"/>
      <c r="DE246" s="1411"/>
      <c r="DF246" s="1411"/>
      <c r="DH246" s="1432"/>
      <c r="DI246" s="1432"/>
      <c r="DJ246" s="1437"/>
      <c r="DK246" s="1437"/>
      <c r="DL246" s="1437"/>
      <c r="DM246" s="1437"/>
      <c r="DN246" s="1432"/>
      <c r="DO246" s="1432"/>
      <c r="DP246" s="1432"/>
      <c r="DQ246" s="1432"/>
      <c r="DR246" s="1432"/>
      <c r="DS246" s="1432"/>
      <c r="DT246" s="1316"/>
      <c r="DU246" s="1433"/>
      <c r="DV246" s="1433"/>
      <c r="DW246" s="1433"/>
      <c r="DX246" s="1433"/>
      <c r="DY246" s="1433"/>
      <c r="DZ246" s="1433"/>
      <c r="EA246" s="1433"/>
      <c r="EB246" s="1433"/>
    </row>
    <row r="247" customFormat="false" ht="14.25" hidden="false" customHeight="false" outlineLevel="0" collapsed="false">
      <c r="A247" s="2" t="n">
        <f aca="false">'V_DATOS PAC_SGA'!CC242</f>
        <v>0</v>
      </c>
      <c r="B247" s="2" t="n">
        <f aca="false">IF(OR(A247=0,A247=""),0,IF(I247="IV",CONCATENATE('V_DATOS PAC_SGA'!CC242,"4")+0,CONCATENATE('V_DATOS PAC_SGA'!CC242,"0")+0))</f>
        <v>0</v>
      </c>
      <c r="C247" s="2" t="n">
        <f aca="false">'V_DATOS PAC_SGA'!CD242</f>
        <v>0</v>
      </c>
      <c r="D247" s="1409" t="n">
        <f aca="false">'V_DATOS PAC_SGA'!Y242</f>
        <v>0</v>
      </c>
      <c r="E247" s="1410" t="str">
        <f aca="false">IF('V_DATOS PAC_SGA'!AV242="","Regadio",'V_DATOS PAC_SGA'!AV242)</f>
        <v>Regadio</v>
      </c>
      <c r="F247" s="1411" t="n">
        <f aca="false">'V_DATOS PAC_SGA'!BK242</f>
        <v>0</v>
      </c>
      <c r="G247" s="1412" t="n">
        <f aca="false">'V_DATOS PAC_SGA'!AN242</f>
        <v>0</v>
      </c>
      <c r="H247" s="1413" t="str">
        <f aca="false">IF(B247&gt;0,VLOOKUP(B247,'O_MN, PE_UTA_UGM 2024'!E$3:O$419,10),"")</f>
        <v/>
      </c>
      <c r="I247" s="1359" t="str">
        <f aca="false">IF('V_DATOS PAC_SGA'!BV242="IV",'V_DATOS PAC_SGA'!BV242,"")</f>
        <v/>
      </c>
      <c r="J247" s="2" t="str">
        <f aca="false">IF($A247&gt;0,IF(AND(J$4=$G247,J$6=$F247),$D247*J$5,""),"")</f>
        <v/>
      </c>
      <c r="K247" s="2" t="str">
        <f aca="false">IF($A247&gt;0,IF(AND(K$4=$G247,K$6=$F247),$D247*K$5,""),"")</f>
        <v/>
      </c>
      <c r="L247" s="2" t="str">
        <f aca="false">IF($A247&gt;0,IF(AND(L$4=$G247,L$6=$F247),$D247*L$5,""),"")</f>
        <v/>
      </c>
      <c r="M247" s="2" t="str">
        <f aca="false">IF($A247&gt;0,IF(AND(M$4=$G247,M$6=$F247),$D247*M$5,""),"")</f>
        <v/>
      </c>
      <c r="N247" s="1506" t="n">
        <f aca="false">VLOOKUP(B247,'O_MN, PE_UTA_UGM 2024'!$E$2:$K$419,IF(G247&gt;1,6,7))</f>
        <v>0</v>
      </c>
      <c r="O247" s="1434" t="str">
        <f aca="false">IF($H247=O$4,$D247*$N247,"")</f>
        <v/>
      </c>
      <c r="P247" s="1435" t="str">
        <f aca="false">IF($H247=P$4,$D247*$N247,"")</f>
        <v/>
      </c>
      <c r="Q247" s="1435" t="str">
        <f aca="false">IF($H247=Q$4,$D247*$N247,"")</f>
        <v/>
      </c>
      <c r="R247" s="1435" t="str">
        <f aca="false">IF($H247=R$4,$D247*$N247,"")</f>
        <v/>
      </c>
      <c r="S247" s="1435" t="str">
        <f aca="false">IF($H247=S$4,$D247*$N247,"")</f>
        <v/>
      </c>
      <c r="T247" s="1435" t="str">
        <f aca="false">IF($H247=T$4,$D247*$N247,"")</f>
        <v/>
      </c>
      <c r="U247" s="1436" t="str">
        <f aca="false">IF($H247=U$4,$D247*$N247,"")</f>
        <v/>
      </c>
      <c r="V247" s="1418"/>
      <c r="W247" s="1419"/>
      <c r="X247" s="1419"/>
      <c r="Y247" s="1419"/>
      <c r="Z247" s="1419"/>
      <c r="AA247" s="1419"/>
      <c r="AB247" s="1420"/>
      <c r="AC247" s="1319"/>
      <c r="AD247" s="2" t="str">
        <f aca="false">IF(AND(AD$4=$G247,AD$6=$F247),$B247,"")</f>
        <v/>
      </c>
      <c r="AE247" s="2" t="str">
        <f aca="false">IF(AND(AE$4=$G247,AE$6=$F247),$B247,"")</f>
        <v/>
      </c>
      <c r="AF247" s="2" t="str">
        <f aca="false">IF(AND(AF$4=$G247,AF$6=$F247),$B247,"")</f>
        <v/>
      </c>
      <c r="AG247" s="2" t="str">
        <f aca="false">IF(AND(AG$4=$G247,AG$6=$F247),$B247,"")</f>
        <v/>
      </c>
      <c r="AI247" s="366"/>
      <c r="AL247" s="367"/>
      <c r="AO247" s="367"/>
      <c r="AP247" s="2" t="str">
        <f aca="false">IF(AT247&gt;0,RANK(AT247,AT$7:AT$423),"")</f>
        <v/>
      </c>
      <c r="AQ247" s="2" t="n">
        <f aca="false">'O_MN, PE_UTA_UGM 2024'!C243</f>
        <v>241</v>
      </c>
      <c r="AR247" s="1421" t="n">
        <v>2240</v>
      </c>
      <c r="AS247" s="2" t="str">
        <f aca="false">IF(AY247&lt;&gt;"",AY247,"")</f>
        <v/>
      </c>
      <c r="AT247" s="1422" t="n">
        <f aca="false">IF(ISNUMBER($AR247),SUMIF(B$7:B$505,AR247,D$7:D$505),"")</f>
        <v>0</v>
      </c>
      <c r="AU247" s="1411" t="n">
        <f aca="false">IF(ISNUMBER($AR247),SUMIF(AD$7:AD$503,$AR247,J$7:J$503),"")</f>
        <v>0</v>
      </c>
      <c r="AV247" s="1411" t="n">
        <f aca="false">IF(ISNUMBER($AR247),SUMIF(AF$7:AF$503,$AR247,L$7:L$503),"")</f>
        <v>0</v>
      </c>
      <c r="AW247" s="1423" t="n">
        <f aca="false">IF(ISNUMBER($AR247),SUMIF(AE$7:AE$503,$AR247,K$7:K$503),"")</f>
        <v>0</v>
      </c>
      <c r="AX247" s="1423" t="n">
        <f aca="false">IF(ISNUMBER($AR247),SUMIF(AG$7:AG$503,$AR247,M$7:M$503),"")</f>
        <v>0</v>
      </c>
      <c r="AY247" s="2" t="str">
        <f aca="false">IF($AT247&gt;0,VLOOKUP($AR247,'O_MN, PE_UTA_UGM 2024'!E243:O659,2),"")</f>
        <v/>
      </c>
      <c r="AZ247" s="1507"/>
      <c r="BA247" s="1507"/>
      <c r="BB247" s="1507" t="str">
        <f aca="false">IF($AT247&gt;0,VLOOKUP($AR247,'O_MN, PE_UTA_UGM 2024'!$E$3:$O$419,BB$6),"")</f>
        <v/>
      </c>
      <c r="BC247" s="1507" t="str">
        <f aca="false">IF($AT247&gt;0,VLOOKUP($AR247,'O_MN, PE_UTA_UGM 2024'!$E$3:$O$419,BC$6),"")</f>
        <v/>
      </c>
      <c r="BD247" s="1507" t="str">
        <f aca="false">IF($AT247&gt;0,VLOOKUP($AR247,'O_MN, PE_UTA_UGM 2024'!$E$3:$O$419,BD$6),"")</f>
        <v/>
      </c>
      <c r="BE247" s="1507" t="str">
        <f aca="false">IF($AT247&gt;0,VLOOKUP($AR247,'O_MN, PE_UTA_UGM 2024'!$E$3:$O$419,BE$6),"")</f>
        <v/>
      </c>
      <c r="BF247" s="1507" t="str">
        <f aca="false">IF($AT247&gt;0,VLOOKUP($AR247,'O_MN, PE_UTA_UGM 2024'!$E$3:$O$419,BF$6),"")</f>
        <v/>
      </c>
      <c r="BG247" s="1507" t="str">
        <f aca="false">IF($AT247&gt;0,VLOOKUP($AR247,'O_MN, PE_UTA_UGM 2024'!$E$3:$O$419,BG$6),"")</f>
        <v/>
      </c>
      <c r="BH247" s="1504"/>
      <c r="BI247" s="1504"/>
      <c r="BJ247" s="1504"/>
      <c r="BK247" s="1504"/>
      <c r="BM247" s="1411"/>
      <c r="BN247" s="1411"/>
      <c r="BO247" s="1425" t="str">
        <f aca="false">IF(ISNUMBER($AU247*BB247*1),$AU247*BB247*1,"")</f>
        <v/>
      </c>
      <c r="BP247" s="1425" t="str">
        <f aca="false">IF(ISNUMBER($AV247*BC247*1),$AV247*BC247*1,"")</f>
        <v/>
      </c>
      <c r="BQ247" s="1425" t="str">
        <f aca="false">IF(ISNUMBER($AU247*BD247*1),$AU247*BD247*1,"")</f>
        <v/>
      </c>
      <c r="BR247" s="1425" t="str">
        <f aca="false">IF(ISNUMBER($AV247*BE247*1),$AV247*BE247*1,"")</f>
        <v/>
      </c>
      <c r="BS247" s="1411" t="str">
        <f aca="false">IF(ISNUMBER($AU247*BF247),$AU247*BF247,"")</f>
        <v/>
      </c>
      <c r="BT247" s="1411" t="str">
        <f aca="false">IF(ISNUMBER($AV247*BG247),$AV247*BG247,"")</f>
        <v/>
      </c>
      <c r="BU247" s="1411"/>
      <c r="BV247" s="1411"/>
      <c r="BW247" s="1411"/>
      <c r="BX247" s="1411"/>
      <c r="BZ247" s="1372"/>
      <c r="CA247" s="1372"/>
      <c r="CB247" s="1426" t="str">
        <f aca="false">IF(ISNUMBER($AW247*BB247),$AW247*BB247,"")</f>
        <v/>
      </c>
      <c r="CC247" s="1426" t="str">
        <f aca="false">IF(ISNUMBER($AX247*BC247),$AX247*BC247,"")</f>
        <v/>
      </c>
      <c r="CD247" s="1426" t="str">
        <f aca="false">IF(ISNUMBER($AW247*BD247),$AW247*BD247,"")</f>
        <v/>
      </c>
      <c r="CE247" s="1426" t="str">
        <f aca="false">IF(ISNUMBER($AX247*BE247),$AX247*BE247,"")</f>
        <v/>
      </c>
      <c r="CF247" s="1372" t="str">
        <f aca="false">IF(ISNUMBER($AW247*BF247),$AW247*BF247,"")</f>
        <v/>
      </c>
      <c r="CG247" s="1372" t="str">
        <f aca="false">IF(ISNUMBER($AX247*BG247),$AX247*BG247,"")</f>
        <v/>
      </c>
      <c r="CH247" s="1438"/>
      <c r="CI247" s="1438"/>
      <c r="CJ247" s="1438"/>
      <c r="CK247" s="1438"/>
      <c r="CU247" s="1411"/>
      <c r="CV247" s="1411"/>
      <c r="CW247" s="1425"/>
      <c r="CX247" s="1425"/>
      <c r="CY247" s="1425"/>
      <c r="CZ247" s="1425"/>
      <c r="DA247" s="1411"/>
      <c r="DB247" s="1411"/>
      <c r="DC247" s="1411"/>
      <c r="DD247" s="1411"/>
      <c r="DE247" s="1411"/>
      <c r="DF247" s="1411"/>
      <c r="DH247" s="1432"/>
      <c r="DI247" s="1432"/>
      <c r="DJ247" s="1437"/>
      <c r="DK247" s="1437"/>
      <c r="DL247" s="1437"/>
      <c r="DM247" s="1437"/>
      <c r="DN247" s="1432"/>
      <c r="DO247" s="1432"/>
      <c r="DP247" s="1432"/>
      <c r="DQ247" s="1432"/>
      <c r="DR247" s="1432"/>
      <c r="DS247" s="1432"/>
      <c r="DT247" s="1316"/>
      <c r="DU247" s="1433"/>
      <c r="DV247" s="1433"/>
      <c r="DW247" s="1433"/>
      <c r="DX247" s="1433"/>
      <c r="DY247" s="1433"/>
      <c r="DZ247" s="1433"/>
      <c r="EA247" s="1433"/>
      <c r="EB247" s="1433"/>
    </row>
    <row r="248" customFormat="false" ht="14.25" hidden="false" customHeight="false" outlineLevel="0" collapsed="false">
      <c r="A248" s="2" t="n">
        <f aca="false">'V_DATOS PAC_SGA'!CC243</f>
        <v>0</v>
      </c>
      <c r="B248" s="2" t="n">
        <f aca="false">IF(OR(A248=0,A248=""),0,IF(I248="IV",CONCATENATE('V_DATOS PAC_SGA'!CC243,"4")+0,CONCATENATE('V_DATOS PAC_SGA'!CC243,"0")+0))</f>
        <v>0</v>
      </c>
      <c r="C248" s="2" t="n">
        <f aca="false">'V_DATOS PAC_SGA'!CD243</f>
        <v>0</v>
      </c>
      <c r="D248" s="1409" t="n">
        <f aca="false">'V_DATOS PAC_SGA'!Y243</f>
        <v>0</v>
      </c>
      <c r="E248" s="1410" t="str">
        <f aca="false">IF('V_DATOS PAC_SGA'!AV243="","Regadio",'V_DATOS PAC_SGA'!AV243)</f>
        <v>Regadio</v>
      </c>
      <c r="F248" s="1411" t="n">
        <f aca="false">'V_DATOS PAC_SGA'!BK243</f>
        <v>0</v>
      </c>
      <c r="G248" s="1412" t="n">
        <f aca="false">'V_DATOS PAC_SGA'!AN243</f>
        <v>0</v>
      </c>
      <c r="H248" s="1413" t="str">
        <f aca="false">IF(B248&gt;0,VLOOKUP(B248,'O_MN, PE_UTA_UGM 2024'!E$3:O$419,10),"")</f>
        <v/>
      </c>
      <c r="I248" s="1359" t="str">
        <f aca="false">IF('V_DATOS PAC_SGA'!BV243="IV",'V_DATOS PAC_SGA'!BV243,"")</f>
        <v/>
      </c>
      <c r="J248" s="2" t="str">
        <f aca="false">IF($A248&gt;0,IF(AND(J$4=$G248,J$6=$F248),$D248*J$5,""),"")</f>
        <v/>
      </c>
      <c r="K248" s="2" t="str">
        <f aca="false">IF($A248&gt;0,IF(AND(K$4=$G248,K$6=$F248),$D248*K$5,""),"")</f>
        <v/>
      </c>
      <c r="L248" s="2" t="str">
        <f aca="false">IF($A248&gt;0,IF(AND(L$4=$G248,L$6=$F248),$D248*L$5,""),"")</f>
        <v/>
      </c>
      <c r="M248" s="2" t="str">
        <f aca="false">IF($A248&gt;0,IF(AND(M$4=$G248,M$6=$F248),$D248*M$5,""),"")</f>
        <v/>
      </c>
      <c r="N248" s="1506" t="n">
        <f aca="false">VLOOKUP(B248,'O_MN, PE_UTA_UGM 2024'!$E$2:$K$419,IF(G248&gt;1,6,7))</f>
        <v>0</v>
      </c>
      <c r="O248" s="1434" t="str">
        <f aca="false">IF($H248=O$4,$D248*$N248,"")</f>
        <v/>
      </c>
      <c r="P248" s="1435" t="str">
        <f aca="false">IF($H248=P$4,$D248*$N248,"")</f>
        <v/>
      </c>
      <c r="Q248" s="1435" t="str">
        <f aca="false">IF($H248=Q$4,$D248*$N248,"")</f>
        <v/>
      </c>
      <c r="R248" s="1435" t="str">
        <f aca="false">IF($H248=R$4,$D248*$N248,"")</f>
        <v/>
      </c>
      <c r="S248" s="1435" t="str">
        <f aca="false">IF($H248=S$4,$D248*$N248,"")</f>
        <v/>
      </c>
      <c r="T248" s="1435" t="str">
        <f aca="false">IF($H248=T$4,$D248*$N248,"")</f>
        <v/>
      </c>
      <c r="U248" s="1436" t="str">
        <f aca="false">IF($H248=U$4,$D248*$N248,"")</f>
        <v/>
      </c>
      <c r="V248" s="1418"/>
      <c r="W248" s="1419"/>
      <c r="X248" s="1419"/>
      <c r="Y248" s="1419"/>
      <c r="Z248" s="1419"/>
      <c r="AA248" s="1419"/>
      <c r="AB248" s="1420"/>
      <c r="AC248" s="1319"/>
      <c r="AD248" s="2" t="str">
        <f aca="false">IF(AND(AD$4=$G248,AD$6=$F248),$B248,"")</f>
        <v/>
      </c>
      <c r="AE248" s="2" t="str">
        <f aca="false">IF(AND(AE$4=$G248,AE$6=$F248),$B248,"")</f>
        <v/>
      </c>
      <c r="AF248" s="2" t="str">
        <f aca="false">IF(AND(AF$4=$G248,AF$6=$F248),$B248,"")</f>
        <v/>
      </c>
      <c r="AG248" s="2" t="str">
        <f aca="false">IF(AND(AG$4=$G248,AG$6=$F248),$B248,"")</f>
        <v/>
      </c>
      <c r="AI248" s="366"/>
      <c r="AL248" s="367"/>
      <c r="AO248" s="367"/>
      <c r="AP248" s="2" t="str">
        <f aca="false">IF(AT248&gt;0,RANK(AT248,AT$7:AT$423),"")</f>
        <v/>
      </c>
      <c r="AQ248" s="2" t="n">
        <f aca="false">'O_MN, PE_UTA_UGM 2024'!C244</f>
        <v>242</v>
      </c>
      <c r="AR248" s="1421" t="n">
        <v>2350</v>
      </c>
      <c r="AS248" s="2" t="str">
        <f aca="false">IF(AY248&lt;&gt;"",AY248,"")</f>
        <v/>
      </c>
      <c r="AT248" s="1422" t="n">
        <f aca="false">IF(ISNUMBER($AR248),SUMIF(B$7:B$505,AR248,D$7:D$505),"")</f>
        <v>0</v>
      </c>
      <c r="AU248" s="1411" t="n">
        <f aca="false">IF(ISNUMBER($AR248),SUMIF(AD$7:AD$503,$AR248,J$7:J$503),"")</f>
        <v>0</v>
      </c>
      <c r="AV248" s="1411" t="n">
        <f aca="false">IF(ISNUMBER($AR248),SUMIF(AF$7:AF$503,$AR248,L$7:L$503),"")</f>
        <v>0</v>
      </c>
      <c r="AW248" s="1423" t="n">
        <f aca="false">IF(ISNUMBER($AR248),SUMIF(AE$7:AE$503,$AR248,K$7:K$503),"")</f>
        <v>0</v>
      </c>
      <c r="AX248" s="1423" t="n">
        <f aca="false">IF(ISNUMBER($AR248),SUMIF(AG$7:AG$503,$AR248,M$7:M$503),"")</f>
        <v>0</v>
      </c>
      <c r="AY248" s="2" t="str">
        <f aca="false">IF($AT248&gt;0,VLOOKUP($AR248,'O_MN, PE_UTA_UGM 2024'!E244:O660,2),"")</f>
        <v/>
      </c>
      <c r="AZ248" s="1507"/>
      <c r="BA248" s="1507"/>
      <c r="BB248" s="1507" t="str">
        <f aca="false">IF($AT248&gt;0,VLOOKUP($AR248,'O_MN, PE_UTA_UGM 2024'!$E$3:$O$419,BB$6),"")</f>
        <v/>
      </c>
      <c r="BC248" s="1507" t="str">
        <f aca="false">IF($AT248&gt;0,VLOOKUP($AR248,'O_MN, PE_UTA_UGM 2024'!$E$3:$O$419,BC$6),"")</f>
        <v/>
      </c>
      <c r="BD248" s="1507" t="str">
        <f aca="false">IF($AT248&gt;0,VLOOKUP($AR248,'O_MN, PE_UTA_UGM 2024'!$E$3:$O$419,BD$6),"")</f>
        <v/>
      </c>
      <c r="BE248" s="1507" t="str">
        <f aca="false">IF($AT248&gt;0,VLOOKUP($AR248,'O_MN, PE_UTA_UGM 2024'!$E$3:$O$419,BE$6),"")</f>
        <v/>
      </c>
      <c r="BF248" s="1507" t="str">
        <f aca="false">IF($AT248&gt;0,VLOOKUP($AR248,'O_MN, PE_UTA_UGM 2024'!$E$3:$O$419,BF$6),"")</f>
        <v/>
      </c>
      <c r="BG248" s="1507" t="str">
        <f aca="false">IF($AT248&gt;0,VLOOKUP($AR248,'O_MN, PE_UTA_UGM 2024'!$E$3:$O$419,BG$6),"")</f>
        <v/>
      </c>
      <c r="BH248" s="1504"/>
      <c r="BI248" s="1504"/>
      <c r="BJ248" s="1504"/>
      <c r="BK248" s="1504"/>
      <c r="BM248" s="1411"/>
      <c r="BN248" s="1411"/>
      <c r="BO248" s="1425" t="str">
        <f aca="false">IF(ISNUMBER($AU248*BB248*1),$AU248*BB248*1,"")</f>
        <v/>
      </c>
      <c r="BP248" s="1425" t="str">
        <f aca="false">IF(ISNUMBER($AV248*BC248*1),$AV248*BC248*1,"")</f>
        <v/>
      </c>
      <c r="BQ248" s="1425" t="str">
        <f aca="false">IF(ISNUMBER($AU248*BD248*1),$AU248*BD248*1,"")</f>
        <v/>
      </c>
      <c r="BR248" s="1425" t="str">
        <f aca="false">IF(ISNUMBER($AV248*BE248*1),$AV248*BE248*1,"")</f>
        <v/>
      </c>
      <c r="BS248" s="1411" t="str">
        <f aca="false">IF(ISNUMBER($AU248*BF248),$AU248*BF248,"")</f>
        <v/>
      </c>
      <c r="BT248" s="1411" t="str">
        <f aca="false">IF(ISNUMBER($AV248*BG248),$AV248*BG248,"")</f>
        <v/>
      </c>
      <c r="BU248" s="1411"/>
      <c r="BV248" s="1411"/>
      <c r="BW248" s="1411"/>
      <c r="BX248" s="1411"/>
      <c r="BZ248" s="1372"/>
      <c r="CA248" s="1372"/>
      <c r="CB248" s="1426" t="str">
        <f aca="false">IF(ISNUMBER($AW248*BB248),$AW248*BB248,"")</f>
        <v/>
      </c>
      <c r="CC248" s="1426" t="str">
        <f aca="false">IF(ISNUMBER($AX248*BC248),$AX248*BC248,"")</f>
        <v/>
      </c>
      <c r="CD248" s="1426" t="str">
        <f aca="false">IF(ISNUMBER($AW248*BD248),$AW248*BD248,"")</f>
        <v/>
      </c>
      <c r="CE248" s="1426" t="str">
        <f aca="false">IF(ISNUMBER($AX248*BE248),$AX248*BE248,"")</f>
        <v/>
      </c>
      <c r="CF248" s="1372" t="str">
        <f aca="false">IF(ISNUMBER($AW248*BF248),$AW248*BF248,"")</f>
        <v/>
      </c>
      <c r="CG248" s="1372" t="str">
        <f aca="false">IF(ISNUMBER($AX248*BG248),$AX248*BG248,"")</f>
        <v/>
      </c>
      <c r="CH248" s="1438"/>
      <c r="CI248" s="1438"/>
      <c r="CJ248" s="1438"/>
      <c r="CK248" s="1438"/>
      <c r="CU248" s="1411"/>
      <c r="CV248" s="1411"/>
      <c r="CW248" s="1425"/>
      <c r="CX248" s="1425"/>
      <c r="CY248" s="1425"/>
      <c r="CZ248" s="1425"/>
      <c r="DA248" s="1411"/>
      <c r="DB248" s="1411"/>
      <c r="DC248" s="1411"/>
      <c r="DD248" s="1411"/>
      <c r="DE248" s="1411"/>
      <c r="DF248" s="1411"/>
      <c r="DH248" s="1432"/>
      <c r="DI248" s="1432"/>
      <c r="DJ248" s="1437"/>
      <c r="DK248" s="1437"/>
      <c r="DL248" s="1437"/>
      <c r="DM248" s="1437"/>
      <c r="DN248" s="1432"/>
      <c r="DO248" s="1432"/>
      <c r="DP248" s="1432"/>
      <c r="DQ248" s="1432"/>
      <c r="DR248" s="1432"/>
      <c r="DS248" s="1432"/>
      <c r="DT248" s="1316"/>
      <c r="DU248" s="1433"/>
      <c r="DV248" s="1433"/>
      <c r="DW248" s="1433"/>
      <c r="DX248" s="1433"/>
      <c r="DY248" s="1433"/>
      <c r="DZ248" s="1433"/>
      <c r="EA248" s="1433"/>
      <c r="EB248" s="1433"/>
    </row>
    <row r="249" customFormat="false" ht="14.25" hidden="false" customHeight="false" outlineLevel="0" collapsed="false">
      <c r="A249" s="2" t="n">
        <f aca="false">'V_DATOS PAC_SGA'!CC244</f>
        <v>0</v>
      </c>
      <c r="B249" s="2" t="n">
        <f aca="false">IF(OR(A249=0,A249=""),0,IF(I249="IV",CONCATENATE('V_DATOS PAC_SGA'!CC244,"4")+0,CONCATENATE('V_DATOS PAC_SGA'!CC244,"0")+0))</f>
        <v>0</v>
      </c>
      <c r="C249" s="2" t="n">
        <f aca="false">'V_DATOS PAC_SGA'!CD244</f>
        <v>0</v>
      </c>
      <c r="D249" s="1409" t="n">
        <f aca="false">'V_DATOS PAC_SGA'!Y244</f>
        <v>0</v>
      </c>
      <c r="E249" s="1410" t="str">
        <f aca="false">IF('V_DATOS PAC_SGA'!AV244="","Regadio",'V_DATOS PAC_SGA'!AV244)</f>
        <v>Regadio</v>
      </c>
      <c r="F249" s="1411" t="n">
        <f aca="false">'V_DATOS PAC_SGA'!BK244</f>
        <v>0</v>
      </c>
      <c r="G249" s="1412" t="n">
        <f aca="false">'V_DATOS PAC_SGA'!AN244</f>
        <v>0</v>
      </c>
      <c r="H249" s="1413" t="str">
        <f aca="false">IF(B249&gt;0,VLOOKUP(B249,'O_MN, PE_UTA_UGM 2024'!E$3:O$419,10),"")</f>
        <v/>
      </c>
      <c r="I249" s="1359" t="str">
        <f aca="false">IF('V_DATOS PAC_SGA'!BV244="IV",'V_DATOS PAC_SGA'!BV244,"")</f>
        <v/>
      </c>
      <c r="J249" s="2" t="str">
        <f aca="false">IF($A249&gt;0,IF(AND(J$4=$G249,J$6=$F249),$D249*J$5,""),"")</f>
        <v/>
      </c>
      <c r="K249" s="2" t="str">
        <f aca="false">IF($A249&gt;0,IF(AND(K$4=$G249,K$6=$F249),$D249*K$5,""),"")</f>
        <v/>
      </c>
      <c r="L249" s="2" t="str">
        <f aca="false">IF($A249&gt;0,IF(AND(L$4=$G249,L$6=$F249),$D249*L$5,""),"")</f>
        <v/>
      </c>
      <c r="M249" s="2" t="str">
        <f aca="false">IF($A249&gt;0,IF(AND(M$4=$G249,M$6=$F249),$D249*M$5,""),"")</f>
        <v/>
      </c>
      <c r="N249" s="1506" t="n">
        <f aca="false">VLOOKUP(B249,'O_MN, PE_UTA_UGM 2024'!$E$2:$K$419,IF(G249&gt;1,6,7))</f>
        <v>0</v>
      </c>
      <c r="O249" s="1434" t="str">
        <f aca="false">IF($H249=O$4,$D249*$N249,"")</f>
        <v/>
      </c>
      <c r="P249" s="1435" t="str">
        <f aca="false">IF($H249=P$4,$D249*$N249,"")</f>
        <v/>
      </c>
      <c r="Q249" s="1435" t="str">
        <f aca="false">IF($H249=Q$4,$D249*$N249,"")</f>
        <v/>
      </c>
      <c r="R249" s="1435" t="str">
        <f aca="false">IF($H249=R$4,$D249*$N249,"")</f>
        <v/>
      </c>
      <c r="S249" s="1435" t="str">
        <f aca="false">IF($H249=S$4,$D249*$N249,"")</f>
        <v/>
      </c>
      <c r="T249" s="1435" t="str">
        <f aca="false">IF($H249=T$4,$D249*$N249,"")</f>
        <v/>
      </c>
      <c r="U249" s="1436" t="str">
        <f aca="false">IF($H249=U$4,$D249*$N249,"")</f>
        <v/>
      </c>
      <c r="V249" s="1418"/>
      <c r="W249" s="1419"/>
      <c r="X249" s="1419"/>
      <c r="Y249" s="1419"/>
      <c r="Z249" s="1419"/>
      <c r="AA249" s="1419"/>
      <c r="AB249" s="1420"/>
      <c r="AC249" s="1319"/>
      <c r="AD249" s="2" t="str">
        <f aca="false">IF(AND(AD$4=$G249,AD$6=$F249),$B249,"")</f>
        <v/>
      </c>
      <c r="AE249" s="2" t="str">
        <f aca="false">IF(AND(AE$4=$G249,AE$6=$F249),$B249,"")</f>
        <v/>
      </c>
      <c r="AF249" s="2" t="str">
        <f aca="false">IF(AND(AF$4=$G249,AF$6=$F249),$B249,"")</f>
        <v/>
      </c>
      <c r="AG249" s="2" t="str">
        <f aca="false">IF(AND(AG$4=$G249,AG$6=$F249),$B249,"")</f>
        <v/>
      </c>
      <c r="AI249" s="366"/>
      <c r="AL249" s="367"/>
      <c r="AO249" s="367"/>
      <c r="AP249" s="2" t="str">
        <f aca="false">IF(AT249&gt;0,RANK(AT249,AT$7:AT$423),"")</f>
        <v/>
      </c>
      <c r="AQ249" s="2" t="n">
        <f aca="false">'O_MN, PE_UTA_UGM 2024'!C245</f>
        <v>243</v>
      </c>
      <c r="AR249" s="1421" t="n">
        <v>2380</v>
      </c>
      <c r="AS249" s="2" t="str">
        <f aca="false">IF(AY249&lt;&gt;"",AY249,"")</f>
        <v/>
      </c>
      <c r="AT249" s="1422" t="n">
        <f aca="false">IF(ISNUMBER($AR249),SUMIF(B$7:B$505,AR249,D$7:D$505),"")</f>
        <v>0</v>
      </c>
      <c r="AU249" s="1411" t="n">
        <f aca="false">IF(ISNUMBER($AR249),SUMIF(AD$7:AD$503,$AR249,J$7:J$503),"")</f>
        <v>0</v>
      </c>
      <c r="AV249" s="1411" t="n">
        <f aca="false">IF(ISNUMBER($AR249),SUMIF(AF$7:AF$503,$AR249,L$7:L$503),"")</f>
        <v>0</v>
      </c>
      <c r="AW249" s="1423" t="n">
        <f aca="false">IF(ISNUMBER($AR249),SUMIF(AE$7:AE$503,$AR249,K$7:K$503),"")</f>
        <v>0</v>
      </c>
      <c r="AX249" s="1423" t="n">
        <f aca="false">IF(ISNUMBER($AR249),SUMIF(AG$7:AG$503,$AR249,M$7:M$503),"")</f>
        <v>0</v>
      </c>
      <c r="AY249" s="2" t="str">
        <f aca="false">IF($AT249&gt;0,VLOOKUP($AR249,'O_MN, PE_UTA_UGM 2024'!E245:O661,2),"")</f>
        <v/>
      </c>
      <c r="AZ249" s="1507"/>
      <c r="BA249" s="1507"/>
      <c r="BB249" s="1507" t="str">
        <f aca="false">IF($AT249&gt;0,VLOOKUP($AR249,'O_MN, PE_UTA_UGM 2024'!$E$3:$O$419,BB$6),"")</f>
        <v/>
      </c>
      <c r="BC249" s="1507" t="str">
        <f aca="false">IF($AT249&gt;0,VLOOKUP($AR249,'O_MN, PE_UTA_UGM 2024'!$E$3:$O$419,BC$6),"")</f>
        <v/>
      </c>
      <c r="BD249" s="1507" t="str">
        <f aca="false">IF($AT249&gt;0,VLOOKUP($AR249,'O_MN, PE_UTA_UGM 2024'!$E$3:$O$419,BD$6),"")</f>
        <v/>
      </c>
      <c r="BE249" s="1507" t="str">
        <f aca="false">IF($AT249&gt;0,VLOOKUP($AR249,'O_MN, PE_UTA_UGM 2024'!$E$3:$O$419,BE$6),"")</f>
        <v/>
      </c>
      <c r="BF249" s="1507" t="str">
        <f aca="false">IF($AT249&gt;0,VLOOKUP($AR249,'O_MN, PE_UTA_UGM 2024'!$E$3:$O$419,BF$6),"")</f>
        <v/>
      </c>
      <c r="BG249" s="1507" t="str">
        <f aca="false">IF($AT249&gt;0,VLOOKUP($AR249,'O_MN, PE_UTA_UGM 2024'!$E$3:$O$419,BG$6),"")</f>
        <v/>
      </c>
      <c r="BH249" s="1504"/>
      <c r="BI249" s="1504"/>
      <c r="BJ249" s="1504"/>
      <c r="BK249" s="1504"/>
      <c r="BM249" s="1411"/>
      <c r="BN249" s="1411"/>
      <c r="BO249" s="1425" t="str">
        <f aca="false">IF(ISNUMBER($AU249*BB249*1),$AU249*BB249*1,"")</f>
        <v/>
      </c>
      <c r="BP249" s="1425" t="str">
        <f aca="false">IF(ISNUMBER($AV249*BC249*1),$AV249*BC249*1,"")</f>
        <v/>
      </c>
      <c r="BQ249" s="1425" t="str">
        <f aca="false">IF(ISNUMBER($AU249*BD249*1),$AU249*BD249*1,"")</f>
        <v/>
      </c>
      <c r="BR249" s="1425" t="str">
        <f aca="false">IF(ISNUMBER($AV249*BE249*1),$AV249*BE249*1,"")</f>
        <v/>
      </c>
      <c r="BS249" s="1411" t="str">
        <f aca="false">IF(ISNUMBER($AU249*BF249),$AU249*BF249,"")</f>
        <v/>
      </c>
      <c r="BT249" s="1411" t="str">
        <f aca="false">IF(ISNUMBER($AV249*BG249),$AV249*BG249,"")</f>
        <v/>
      </c>
      <c r="BU249" s="1411"/>
      <c r="BV249" s="1411"/>
      <c r="BW249" s="1411"/>
      <c r="BX249" s="1411"/>
      <c r="BZ249" s="1372"/>
      <c r="CA249" s="1372"/>
      <c r="CB249" s="1426" t="str">
        <f aca="false">IF(ISNUMBER($AW249*BB249),$AW249*BB249,"")</f>
        <v/>
      </c>
      <c r="CC249" s="1426" t="str">
        <f aca="false">IF(ISNUMBER($AX249*BC249),$AX249*BC249,"")</f>
        <v/>
      </c>
      <c r="CD249" s="1426" t="str">
        <f aca="false">IF(ISNUMBER($AW249*BD249),$AW249*BD249,"")</f>
        <v/>
      </c>
      <c r="CE249" s="1426" t="str">
        <f aca="false">IF(ISNUMBER($AX249*BE249),$AX249*BE249,"")</f>
        <v/>
      </c>
      <c r="CF249" s="1372" t="str">
        <f aca="false">IF(ISNUMBER($AW249*BF249),$AW249*BF249,"")</f>
        <v/>
      </c>
      <c r="CG249" s="1372" t="str">
        <f aca="false">IF(ISNUMBER($AX249*BG249),$AX249*BG249,"")</f>
        <v/>
      </c>
      <c r="CH249" s="1438"/>
      <c r="CI249" s="1438"/>
      <c r="CJ249" s="1438"/>
      <c r="CK249" s="1438"/>
      <c r="CU249" s="1411"/>
      <c r="CV249" s="1411"/>
      <c r="CW249" s="1425"/>
      <c r="CX249" s="1425"/>
      <c r="CY249" s="1425"/>
      <c r="CZ249" s="1425"/>
      <c r="DA249" s="1411"/>
      <c r="DB249" s="1411"/>
      <c r="DC249" s="1411"/>
      <c r="DD249" s="1411"/>
      <c r="DE249" s="1411"/>
      <c r="DF249" s="1411"/>
      <c r="DH249" s="1432"/>
      <c r="DI249" s="1432"/>
      <c r="DJ249" s="1437"/>
      <c r="DK249" s="1437"/>
      <c r="DL249" s="1437"/>
      <c r="DM249" s="1437"/>
      <c r="DN249" s="1432"/>
      <c r="DO249" s="1432"/>
      <c r="DP249" s="1432"/>
      <c r="DQ249" s="1432"/>
      <c r="DR249" s="1432"/>
      <c r="DS249" s="1432"/>
      <c r="DT249" s="1316"/>
      <c r="DU249" s="1433"/>
      <c r="DV249" s="1433"/>
      <c r="DW249" s="1433"/>
      <c r="DX249" s="1433"/>
      <c r="DY249" s="1433"/>
      <c r="DZ249" s="1433"/>
      <c r="EA249" s="1433"/>
      <c r="EB249" s="1433"/>
    </row>
    <row r="250" customFormat="false" ht="14.25" hidden="false" customHeight="false" outlineLevel="0" collapsed="false">
      <c r="A250" s="2" t="n">
        <f aca="false">'V_DATOS PAC_SGA'!CC245</f>
        <v>0</v>
      </c>
      <c r="B250" s="2" t="n">
        <f aca="false">IF(OR(A250=0,A250=""),0,IF(I250="IV",CONCATENATE('V_DATOS PAC_SGA'!CC245,"4")+0,CONCATENATE('V_DATOS PAC_SGA'!CC245,"0")+0))</f>
        <v>0</v>
      </c>
      <c r="C250" s="2" t="n">
        <f aca="false">'V_DATOS PAC_SGA'!CD245</f>
        <v>0</v>
      </c>
      <c r="D250" s="1409" t="n">
        <f aca="false">'V_DATOS PAC_SGA'!Y245</f>
        <v>0</v>
      </c>
      <c r="E250" s="1410" t="str">
        <f aca="false">IF('V_DATOS PAC_SGA'!AV245="","Regadio",'V_DATOS PAC_SGA'!AV245)</f>
        <v>Regadio</v>
      </c>
      <c r="F250" s="1411" t="n">
        <f aca="false">'V_DATOS PAC_SGA'!BK245</f>
        <v>0</v>
      </c>
      <c r="G250" s="1412" t="n">
        <f aca="false">'V_DATOS PAC_SGA'!AN245</f>
        <v>0</v>
      </c>
      <c r="H250" s="1413" t="str">
        <f aca="false">IF(B250&gt;0,VLOOKUP(B250,'O_MN, PE_UTA_UGM 2024'!E$3:O$419,10),"")</f>
        <v/>
      </c>
      <c r="I250" s="1359" t="str">
        <f aca="false">IF('V_DATOS PAC_SGA'!BV245="IV",'V_DATOS PAC_SGA'!BV245,"")</f>
        <v/>
      </c>
      <c r="J250" s="2" t="str">
        <f aca="false">IF($A250&gt;0,IF(AND(J$4=$G250,J$6=$F250),$D250*J$5,""),"")</f>
        <v/>
      </c>
      <c r="K250" s="2" t="str">
        <f aca="false">IF($A250&gt;0,IF(AND(K$4=$G250,K$6=$F250),$D250*K$5,""),"")</f>
        <v/>
      </c>
      <c r="L250" s="2" t="str">
        <f aca="false">IF($A250&gt;0,IF(AND(L$4=$G250,L$6=$F250),$D250*L$5,""),"")</f>
        <v/>
      </c>
      <c r="M250" s="2" t="str">
        <f aca="false">IF($A250&gt;0,IF(AND(M$4=$G250,M$6=$F250),$D250*M$5,""),"")</f>
        <v/>
      </c>
      <c r="N250" s="1506" t="n">
        <f aca="false">VLOOKUP(B250,'O_MN, PE_UTA_UGM 2024'!$E$2:$K$419,IF(G250&gt;1,6,7))</f>
        <v>0</v>
      </c>
      <c r="O250" s="1434" t="str">
        <f aca="false">IF($H250=O$4,$D250*$N250,"")</f>
        <v/>
      </c>
      <c r="P250" s="1435" t="str">
        <f aca="false">IF($H250=P$4,$D250*$N250,"")</f>
        <v/>
      </c>
      <c r="Q250" s="1435" t="str">
        <f aca="false">IF($H250=Q$4,$D250*$N250,"")</f>
        <v/>
      </c>
      <c r="R250" s="1435" t="str">
        <f aca="false">IF($H250=R$4,$D250*$N250,"")</f>
        <v/>
      </c>
      <c r="S250" s="1435" t="str">
        <f aca="false">IF($H250=S$4,$D250*$N250,"")</f>
        <v/>
      </c>
      <c r="T250" s="1435" t="str">
        <f aca="false">IF($H250=T$4,$D250*$N250,"")</f>
        <v/>
      </c>
      <c r="U250" s="1436" t="str">
        <f aca="false">IF($H250=U$4,$D250*$N250,"")</f>
        <v/>
      </c>
      <c r="V250" s="1418"/>
      <c r="W250" s="1419"/>
      <c r="X250" s="1419"/>
      <c r="Y250" s="1419"/>
      <c r="Z250" s="1419"/>
      <c r="AA250" s="1419"/>
      <c r="AB250" s="1420"/>
      <c r="AC250" s="1319"/>
      <c r="AD250" s="2" t="str">
        <f aca="false">IF(AND(AD$4=$G250,AD$6=$F250),$B250,"")</f>
        <v/>
      </c>
      <c r="AE250" s="2" t="str">
        <f aca="false">IF(AND(AE$4=$G250,AE$6=$F250),$B250,"")</f>
        <v/>
      </c>
      <c r="AF250" s="2" t="str">
        <f aca="false">IF(AND(AF$4=$G250,AF$6=$F250),$B250,"")</f>
        <v/>
      </c>
      <c r="AG250" s="2" t="str">
        <f aca="false">IF(AND(AG$4=$G250,AG$6=$F250),$B250,"")</f>
        <v/>
      </c>
      <c r="AI250" s="366"/>
      <c r="AL250" s="367"/>
      <c r="AO250" s="367"/>
      <c r="AP250" s="2" t="str">
        <f aca="false">IF(AT250&gt;0,RANK(AT250,AT$7:AT$423),"")</f>
        <v/>
      </c>
      <c r="AQ250" s="2" t="n">
        <f aca="false">'O_MN, PE_UTA_UGM 2024'!C246</f>
        <v>244</v>
      </c>
      <c r="AR250" s="1421" t="n">
        <v>2390</v>
      </c>
      <c r="AS250" s="2" t="str">
        <f aca="false">IF(AY250&lt;&gt;"",AY250,"")</f>
        <v/>
      </c>
      <c r="AT250" s="1422" t="n">
        <f aca="false">IF(ISNUMBER($AR250),SUMIF(B$7:B$505,AR250,D$7:D$505),"")</f>
        <v>0</v>
      </c>
      <c r="AU250" s="1411" t="n">
        <f aca="false">IF(ISNUMBER($AR250),SUMIF(AD$7:AD$503,$AR250,J$7:J$503),"")</f>
        <v>0</v>
      </c>
      <c r="AV250" s="1411" t="n">
        <f aca="false">IF(ISNUMBER($AR250),SUMIF(AF$7:AF$503,$AR250,L$7:L$503),"")</f>
        <v>0</v>
      </c>
      <c r="AW250" s="1423" t="n">
        <f aca="false">IF(ISNUMBER($AR250),SUMIF(AE$7:AE$503,$AR250,K$7:K$503),"")</f>
        <v>0</v>
      </c>
      <c r="AX250" s="1423" t="n">
        <f aca="false">IF(ISNUMBER($AR250),SUMIF(AG$7:AG$503,$AR250,M$7:M$503),"")</f>
        <v>0</v>
      </c>
      <c r="AY250" s="2" t="str">
        <f aca="false">IF($AT250&gt;0,VLOOKUP($AR250,'O_MN, PE_UTA_UGM 2024'!E246:O662,2),"")</f>
        <v/>
      </c>
      <c r="AZ250" s="1507"/>
      <c r="BA250" s="1507"/>
      <c r="BB250" s="1507" t="str">
        <f aca="false">IF($AT250&gt;0,VLOOKUP($AR250,'O_MN, PE_UTA_UGM 2024'!$E$3:$O$419,BB$6),"")</f>
        <v/>
      </c>
      <c r="BC250" s="1507" t="str">
        <f aca="false">IF($AT250&gt;0,VLOOKUP($AR250,'O_MN, PE_UTA_UGM 2024'!$E$3:$O$419,BC$6),"")</f>
        <v/>
      </c>
      <c r="BD250" s="1507" t="str">
        <f aca="false">IF($AT250&gt;0,VLOOKUP($AR250,'O_MN, PE_UTA_UGM 2024'!$E$3:$O$419,BD$6),"")</f>
        <v/>
      </c>
      <c r="BE250" s="1507" t="str">
        <f aca="false">IF($AT250&gt;0,VLOOKUP($AR250,'O_MN, PE_UTA_UGM 2024'!$E$3:$O$419,BE$6),"")</f>
        <v/>
      </c>
      <c r="BF250" s="1507" t="str">
        <f aca="false">IF($AT250&gt;0,VLOOKUP($AR250,'O_MN, PE_UTA_UGM 2024'!$E$3:$O$419,BF$6),"")</f>
        <v/>
      </c>
      <c r="BG250" s="1507" t="str">
        <f aca="false">IF($AT250&gt;0,VLOOKUP($AR250,'O_MN, PE_UTA_UGM 2024'!$E$3:$O$419,BG$6),"")</f>
        <v/>
      </c>
      <c r="BH250" s="1504"/>
      <c r="BI250" s="1504"/>
      <c r="BJ250" s="1504"/>
      <c r="BK250" s="1504"/>
      <c r="BM250" s="1411"/>
      <c r="BN250" s="1411"/>
      <c r="BO250" s="1425" t="str">
        <f aca="false">IF(ISNUMBER($AU250*BB250*1),$AU250*BB250*1,"")</f>
        <v/>
      </c>
      <c r="BP250" s="1425" t="str">
        <f aca="false">IF(ISNUMBER($AV250*BC250*1),$AV250*BC250*1,"")</f>
        <v/>
      </c>
      <c r="BQ250" s="1425" t="str">
        <f aca="false">IF(ISNUMBER($AU250*BD250*1),$AU250*BD250*1,"")</f>
        <v/>
      </c>
      <c r="BR250" s="1425" t="str">
        <f aca="false">IF(ISNUMBER($AV250*BE250*1),$AV250*BE250*1,"")</f>
        <v/>
      </c>
      <c r="BS250" s="1411" t="str">
        <f aca="false">IF(ISNUMBER($AU250*BF250),$AU250*BF250,"")</f>
        <v/>
      </c>
      <c r="BT250" s="1411" t="str">
        <f aca="false">IF(ISNUMBER($AV250*BG250),$AV250*BG250,"")</f>
        <v/>
      </c>
      <c r="BU250" s="1411"/>
      <c r="BV250" s="1411"/>
      <c r="BW250" s="1411"/>
      <c r="BX250" s="1411"/>
      <c r="BZ250" s="1372"/>
      <c r="CA250" s="1372"/>
      <c r="CB250" s="1426" t="str">
        <f aca="false">IF(ISNUMBER($AW250*BB250),$AW250*BB250,"")</f>
        <v/>
      </c>
      <c r="CC250" s="1426" t="str">
        <f aca="false">IF(ISNUMBER($AX250*BC250),$AX250*BC250,"")</f>
        <v/>
      </c>
      <c r="CD250" s="1426" t="str">
        <f aca="false">IF(ISNUMBER($AW250*BD250),$AW250*BD250,"")</f>
        <v/>
      </c>
      <c r="CE250" s="1426" t="str">
        <f aca="false">IF(ISNUMBER($AX250*BE250),$AX250*BE250,"")</f>
        <v/>
      </c>
      <c r="CF250" s="1372" t="str">
        <f aca="false">IF(ISNUMBER($AW250*BF250),$AW250*BF250,"")</f>
        <v/>
      </c>
      <c r="CG250" s="1372" t="str">
        <f aca="false">IF(ISNUMBER($AX250*BG250),$AX250*BG250,"")</f>
        <v/>
      </c>
      <c r="CH250" s="1438"/>
      <c r="CI250" s="1438"/>
      <c r="CJ250" s="1438"/>
      <c r="CK250" s="1438"/>
      <c r="CU250" s="1411"/>
      <c r="CV250" s="1411"/>
      <c r="CW250" s="1425"/>
      <c r="CX250" s="1425"/>
      <c r="CY250" s="1425"/>
      <c r="CZ250" s="1425"/>
      <c r="DA250" s="1411"/>
      <c r="DB250" s="1411"/>
      <c r="DC250" s="1411"/>
      <c r="DD250" s="1411"/>
      <c r="DE250" s="1411"/>
      <c r="DF250" s="1411"/>
      <c r="DH250" s="1432"/>
      <c r="DI250" s="1432"/>
      <c r="DJ250" s="1437"/>
      <c r="DK250" s="1437"/>
      <c r="DL250" s="1437"/>
      <c r="DM250" s="1437"/>
      <c r="DN250" s="1432"/>
      <c r="DO250" s="1432"/>
      <c r="DP250" s="1432"/>
      <c r="DQ250" s="1432"/>
      <c r="DR250" s="1432"/>
      <c r="DS250" s="1432"/>
      <c r="DT250" s="1316"/>
      <c r="DU250" s="1433"/>
      <c r="DV250" s="1433"/>
      <c r="DW250" s="1433"/>
      <c r="DX250" s="1433"/>
      <c r="DY250" s="1433"/>
      <c r="DZ250" s="1433"/>
      <c r="EA250" s="1433"/>
      <c r="EB250" s="1433"/>
    </row>
    <row r="251" customFormat="false" ht="14.25" hidden="false" customHeight="false" outlineLevel="0" collapsed="false">
      <c r="A251" s="2" t="n">
        <f aca="false">'V_DATOS PAC_SGA'!CC246</f>
        <v>0</v>
      </c>
      <c r="B251" s="2" t="n">
        <f aca="false">IF(OR(A251=0,A251=""),0,IF(I251="IV",CONCATENATE('V_DATOS PAC_SGA'!CC246,"4")+0,CONCATENATE('V_DATOS PAC_SGA'!CC246,"0")+0))</f>
        <v>0</v>
      </c>
      <c r="C251" s="2" t="n">
        <f aca="false">'V_DATOS PAC_SGA'!CD246</f>
        <v>0</v>
      </c>
      <c r="D251" s="1409" t="n">
        <f aca="false">'V_DATOS PAC_SGA'!Y246</f>
        <v>0</v>
      </c>
      <c r="E251" s="1410" t="str">
        <f aca="false">IF('V_DATOS PAC_SGA'!AV246="","Regadio",'V_DATOS PAC_SGA'!AV246)</f>
        <v>Regadio</v>
      </c>
      <c r="F251" s="1411" t="n">
        <f aca="false">'V_DATOS PAC_SGA'!BK246</f>
        <v>0</v>
      </c>
      <c r="G251" s="1412" t="n">
        <f aca="false">'V_DATOS PAC_SGA'!AN246</f>
        <v>0</v>
      </c>
      <c r="H251" s="1413" t="str">
        <f aca="false">IF(B251&gt;0,VLOOKUP(B251,'O_MN, PE_UTA_UGM 2024'!E$3:O$419,10),"")</f>
        <v/>
      </c>
      <c r="I251" s="1359" t="str">
        <f aca="false">IF('V_DATOS PAC_SGA'!BV246="IV",'V_DATOS PAC_SGA'!BV246,"")</f>
        <v/>
      </c>
      <c r="J251" s="2" t="str">
        <f aca="false">IF($A251&gt;0,IF(AND(J$4=$G251,J$6=$F251),$D251*J$5,""),"")</f>
        <v/>
      </c>
      <c r="K251" s="2" t="str">
        <f aca="false">IF($A251&gt;0,IF(AND(K$4=$G251,K$6=$F251),$D251*K$5,""),"")</f>
        <v/>
      </c>
      <c r="L251" s="2" t="str">
        <f aca="false">IF($A251&gt;0,IF(AND(L$4=$G251,L$6=$F251),$D251*L$5,""),"")</f>
        <v/>
      </c>
      <c r="M251" s="2" t="str">
        <f aca="false">IF($A251&gt;0,IF(AND(M$4=$G251,M$6=$F251),$D251*M$5,""),"")</f>
        <v/>
      </c>
      <c r="N251" s="1506" t="n">
        <f aca="false">VLOOKUP(B251,'O_MN, PE_UTA_UGM 2024'!$E$2:$K$419,IF(G251&gt;1,6,7))</f>
        <v>0</v>
      </c>
      <c r="O251" s="1434" t="str">
        <f aca="false">IF($H251=O$4,$D251*$N251,"")</f>
        <v/>
      </c>
      <c r="P251" s="1435" t="str">
        <f aca="false">IF($H251=P$4,$D251*$N251,"")</f>
        <v/>
      </c>
      <c r="Q251" s="1435" t="str">
        <f aca="false">IF($H251=Q$4,$D251*$N251,"")</f>
        <v/>
      </c>
      <c r="R251" s="1435" t="str">
        <f aca="false">IF($H251=R$4,$D251*$N251,"")</f>
        <v/>
      </c>
      <c r="S251" s="1435" t="str">
        <f aca="false">IF($H251=S$4,$D251*$N251,"")</f>
        <v/>
      </c>
      <c r="T251" s="1435" t="str">
        <f aca="false">IF($H251=T$4,$D251*$N251,"")</f>
        <v/>
      </c>
      <c r="U251" s="1436" t="str">
        <f aca="false">IF($H251=U$4,$D251*$N251,"")</f>
        <v/>
      </c>
      <c r="V251" s="1418"/>
      <c r="W251" s="1419"/>
      <c r="X251" s="1419"/>
      <c r="Y251" s="1419"/>
      <c r="Z251" s="1419"/>
      <c r="AA251" s="1419"/>
      <c r="AB251" s="1420"/>
      <c r="AC251" s="1319"/>
      <c r="AD251" s="2" t="str">
        <f aca="false">IF(AND(AD$4=$G251,AD$6=$F251),$B251,"")</f>
        <v/>
      </c>
      <c r="AE251" s="2" t="str">
        <f aca="false">IF(AND(AE$4=$G251,AE$6=$F251),$B251,"")</f>
        <v/>
      </c>
      <c r="AF251" s="2" t="str">
        <f aca="false">IF(AND(AF$4=$G251,AF$6=$F251),$B251,"")</f>
        <v/>
      </c>
      <c r="AG251" s="2" t="str">
        <f aca="false">IF(AND(AG$4=$G251,AG$6=$F251),$B251,"")</f>
        <v/>
      </c>
      <c r="AI251" s="366"/>
      <c r="AL251" s="367"/>
      <c r="AO251" s="367"/>
      <c r="AP251" s="2" t="str">
        <f aca="false">IF(AT251&gt;0,RANK(AT251,AT$7:AT$423),"")</f>
        <v/>
      </c>
      <c r="AQ251" s="2" t="n">
        <f aca="false">'O_MN, PE_UTA_UGM 2024'!C247</f>
        <v>245</v>
      </c>
      <c r="AR251" s="1421" t="n">
        <v>2400</v>
      </c>
      <c r="AS251" s="2" t="str">
        <f aca="false">IF(AY251&lt;&gt;"",AY251,"")</f>
        <v/>
      </c>
      <c r="AT251" s="1422" t="n">
        <f aca="false">IF(ISNUMBER($AR251),SUMIF(B$7:B$505,AR251,D$7:D$505),"")</f>
        <v>0</v>
      </c>
      <c r="AU251" s="1411" t="n">
        <f aca="false">IF(ISNUMBER($AR251),SUMIF(AD$7:AD$503,$AR251,J$7:J$503),"")</f>
        <v>0</v>
      </c>
      <c r="AV251" s="1411" t="n">
        <f aca="false">IF(ISNUMBER($AR251),SUMIF(AF$7:AF$503,$AR251,L$7:L$503),"")</f>
        <v>0</v>
      </c>
      <c r="AW251" s="1423" t="n">
        <f aca="false">IF(ISNUMBER($AR251),SUMIF(AE$7:AE$503,$AR251,K$7:K$503),"")</f>
        <v>0</v>
      </c>
      <c r="AX251" s="1423" t="n">
        <f aca="false">IF(ISNUMBER($AR251),SUMIF(AG$7:AG$503,$AR251,M$7:M$503),"")</f>
        <v>0</v>
      </c>
      <c r="AY251" s="2" t="str">
        <f aca="false">IF($AT251&gt;0,VLOOKUP($AR251,'O_MN, PE_UTA_UGM 2024'!E247:O663,2),"")</f>
        <v/>
      </c>
      <c r="AZ251" s="1507"/>
      <c r="BA251" s="1507"/>
      <c r="BB251" s="1507" t="str">
        <f aca="false">IF($AT251&gt;0,VLOOKUP($AR251,'O_MN, PE_UTA_UGM 2024'!$E$3:$O$419,BB$6),"")</f>
        <v/>
      </c>
      <c r="BC251" s="1507" t="str">
        <f aca="false">IF($AT251&gt;0,VLOOKUP($AR251,'O_MN, PE_UTA_UGM 2024'!$E$3:$O$419,BC$6),"")</f>
        <v/>
      </c>
      <c r="BD251" s="1507" t="str">
        <f aca="false">IF($AT251&gt;0,VLOOKUP($AR251,'O_MN, PE_UTA_UGM 2024'!$E$3:$O$419,BD$6),"")</f>
        <v/>
      </c>
      <c r="BE251" s="1507" t="str">
        <f aca="false">IF($AT251&gt;0,VLOOKUP($AR251,'O_MN, PE_UTA_UGM 2024'!$E$3:$O$419,BE$6),"")</f>
        <v/>
      </c>
      <c r="BF251" s="1507" t="str">
        <f aca="false">IF($AT251&gt;0,VLOOKUP($AR251,'O_MN, PE_UTA_UGM 2024'!$E$3:$O$419,BF$6),"")</f>
        <v/>
      </c>
      <c r="BG251" s="1507" t="str">
        <f aca="false">IF($AT251&gt;0,VLOOKUP($AR251,'O_MN, PE_UTA_UGM 2024'!$E$3:$O$419,BG$6),"")</f>
        <v/>
      </c>
      <c r="BH251" s="1504"/>
      <c r="BI251" s="1504"/>
      <c r="BJ251" s="1504"/>
      <c r="BK251" s="1504"/>
      <c r="BM251" s="1411"/>
      <c r="BN251" s="1411"/>
      <c r="BO251" s="1425" t="str">
        <f aca="false">IF(ISNUMBER($AU251*BB251*1),$AU251*BB251*1,"")</f>
        <v/>
      </c>
      <c r="BP251" s="1425" t="str">
        <f aca="false">IF(ISNUMBER($AV251*BC251*1),$AV251*BC251*1,"")</f>
        <v/>
      </c>
      <c r="BQ251" s="1425" t="str">
        <f aca="false">IF(ISNUMBER($AU251*BD251*1),$AU251*BD251*1,"")</f>
        <v/>
      </c>
      <c r="BR251" s="1425" t="str">
        <f aca="false">IF(ISNUMBER($AV251*BE251*1),$AV251*BE251*1,"")</f>
        <v/>
      </c>
      <c r="BS251" s="1411" t="str">
        <f aca="false">IF(ISNUMBER($AU251*BF251),$AU251*BF251,"")</f>
        <v/>
      </c>
      <c r="BT251" s="1411" t="str">
        <f aca="false">IF(ISNUMBER($AV251*BG251),$AV251*BG251,"")</f>
        <v/>
      </c>
      <c r="BU251" s="1411"/>
      <c r="BV251" s="1411"/>
      <c r="BW251" s="1411"/>
      <c r="BX251" s="1411"/>
      <c r="BZ251" s="1372"/>
      <c r="CA251" s="1372"/>
      <c r="CB251" s="1426" t="str">
        <f aca="false">IF(ISNUMBER($AW251*BB251),$AW251*BB251,"")</f>
        <v/>
      </c>
      <c r="CC251" s="1426" t="str">
        <f aca="false">IF(ISNUMBER($AX251*BC251),$AX251*BC251,"")</f>
        <v/>
      </c>
      <c r="CD251" s="1426" t="str">
        <f aca="false">IF(ISNUMBER($AW251*BD251),$AW251*BD251,"")</f>
        <v/>
      </c>
      <c r="CE251" s="1426" t="str">
        <f aca="false">IF(ISNUMBER($AX251*BE251),$AX251*BE251,"")</f>
        <v/>
      </c>
      <c r="CF251" s="1372" t="str">
        <f aca="false">IF(ISNUMBER($AW251*BF251),$AW251*BF251,"")</f>
        <v/>
      </c>
      <c r="CG251" s="1372" t="str">
        <f aca="false">IF(ISNUMBER($AX251*BG251),$AX251*BG251,"")</f>
        <v/>
      </c>
      <c r="CH251" s="1438"/>
      <c r="CI251" s="1438"/>
      <c r="CJ251" s="1438"/>
      <c r="CK251" s="1438"/>
      <c r="CU251" s="1411"/>
      <c r="CV251" s="1411"/>
      <c r="CW251" s="1425"/>
      <c r="CX251" s="1425"/>
      <c r="CY251" s="1425"/>
      <c r="CZ251" s="1425"/>
      <c r="DA251" s="1411"/>
      <c r="DB251" s="1411"/>
      <c r="DC251" s="1411"/>
      <c r="DD251" s="1411"/>
      <c r="DE251" s="1411"/>
      <c r="DF251" s="1411"/>
      <c r="DH251" s="1432"/>
      <c r="DI251" s="1432"/>
      <c r="DJ251" s="1437"/>
      <c r="DK251" s="1437"/>
      <c r="DL251" s="1437"/>
      <c r="DM251" s="1437"/>
      <c r="DN251" s="1432"/>
      <c r="DO251" s="1432"/>
      <c r="DP251" s="1432"/>
      <c r="DQ251" s="1432"/>
      <c r="DR251" s="1432"/>
      <c r="DS251" s="1432"/>
      <c r="DT251" s="1316"/>
      <c r="DU251" s="1433"/>
      <c r="DV251" s="1433"/>
      <c r="DW251" s="1433"/>
      <c r="DX251" s="1433"/>
      <c r="DY251" s="1433"/>
      <c r="DZ251" s="1433"/>
      <c r="EA251" s="1433"/>
      <c r="EB251" s="1433"/>
    </row>
    <row r="252" customFormat="false" ht="14.25" hidden="false" customHeight="false" outlineLevel="0" collapsed="false">
      <c r="A252" s="2" t="n">
        <f aca="false">'V_DATOS PAC_SGA'!CC247</f>
        <v>0</v>
      </c>
      <c r="B252" s="2" t="n">
        <f aca="false">IF(OR(A252=0,A252=""),0,IF(I252="IV",CONCATENATE('V_DATOS PAC_SGA'!CC247,"4")+0,CONCATENATE('V_DATOS PAC_SGA'!CC247,"0")+0))</f>
        <v>0</v>
      </c>
      <c r="C252" s="2" t="n">
        <f aca="false">'V_DATOS PAC_SGA'!CD247</f>
        <v>0</v>
      </c>
      <c r="D252" s="1409" t="n">
        <f aca="false">'V_DATOS PAC_SGA'!Y247</f>
        <v>0</v>
      </c>
      <c r="E252" s="1410" t="str">
        <f aca="false">IF('V_DATOS PAC_SGA'!AV247="","Regadio",'V_DATOS PAC_SGA'!AV247)</f>
        <v>Regadio</v>
      </c>
      <c r="F252" s="1411" t="n">
        <f aca="false">'V_DATOS PAC_SGA'!BK247</f>
        <v>0</v>
      </c>
      <c r="G252" s="1412" t="n">
        <f aca="false">'V_DATOS PAC_SGA'!AN247</f>
        <v>0</v>
      </c>
      <c r="H252" s="1413" t="str">
        <f aca="false">IF(B252&gt;0,VLOOKUP(B252,'O_MN, PE_UTA_UGM 2024'!E$3:O$419,10),"")</f>
        <v/>
      </c>
      <c r="I252" s="1359" t="str">
        <f aca="false">IF('V_DATOS PAC_SGA'!BV247="IV",'V_DATOS PAC_SGA'!BV247,"")</f>
        <v/>
      </c>
      <c r="J252" s="2" t="str">
        <f aca="false">IF($A252&gt;0,IF(AND(J$4=$G252,J$6=$F252),$D252*J$5,""),"")</f>
        <v/>
      </c>
      <c r="K252" s="2" t="str">
        <f aca="false">IF($A252&gt;0,IF(AND(K$4=$G252,K$6=$F252),$D252*K$5,""),"")</f>
        <v/>
      </c>
      <c r="L252" s="2" t="str">
        <f aca="false">IF($A252&gt;0,IF(AND(L$4=$G252,L$6=$F252),$D252*L$5,""),"")</f>
        <v/>
      </c>
      <c r="M252" s="2" t="str">
        <f aca="false">IF($A252&gt;0,IF(AND(M$4=$G252,M$6=$F252),$D252*M$5,""),"")</f>
        <v/>
      </c>
      <c r="N252" s="1506" t="n">
        <f aca="false">VLOOKUP(B252,'O_MN, PE_UTA_UGM 2024'!$E$2:$K$419,IF(G252&gt;1,6,7))</f>
        <v>0</v>
      </c>
      <c r="O252" s="1434" t="str">
        <f aca="false">IF($H252=O$4,$D252*$N252,"")</f>
        <v/>
      </c>
      <c r="P252" s="1435" t="str">
        <f aca="false">IF($H252=P$4,$D252*$N252,"")</f>
        <v/>
      </c>
      <c r="Q252" s="1435" t="str">
        <f aca="false">IF($H252=Q$4,$D252*$N252,"")</f>
        <v/>
      </c>
      <c r="R252" s="1435" t="str">
        <f aca="false">IF($H252=R$4,$D252*$N252,"")</f>
        <v/>
      </c>
      <c r="S252" s="1435" t="str">
        <f aca="false">IF($H252=S$4,$D252*$N252,"")</f>
        <v/>
      </c>
      <c r="T252" s="1435" t="str">
        <f aca="false">IF($H252=T$4,$D252*$N252,"")</f>
        <v/>
      </c>
      <c r="U252" s="1436" t="str">
        <f aca="false">IF($H252=U$4,$D252*$N252,"")</f>
        <v/>
      </c>
      <c r="V252" s="1418"/>
      <c r="W252" s="1419"/>
      <c r="X252" s="1419"/>
      <c r="Y252" s="1419"/>
      <c r="Z252" s="1419"/>
      <c r="AA252" s="1419"/>
      <c r="AB252" s="1420"/>
      <c r="AC252" s="1319"/>
      <c r="AD252" s="2" t="str">
        <f aca="false">IF(AND(AD$4=$G252,AD$6=$F252),$B252,"")</f>
        <v/>
      </c>
      <c r="AE252" s="2" t="str">
        <f aca="false">IF(AND(AE$4=$G252,AE$6=$F252),$B252,"")</f>
        <v/>
      </c>
      <c r="AF252" s="2" t="str">
        <f aca="false">IF(AND(AF$4=$G252,AF$6=$F252),$B252,"")</f>
        <v/>
      </c>
      <c r="AG252" s="2" t="str">
        <f aca="false">IF(AND(AG$4=$G252,AG$6=$F252),$B252,"")</f>
        <v/>
      </c>
      <c r="AI252" s="366"/>
      <c r="AL252" s="367"/>
      <c r="AO252" s="367"/>
      <c r="AP252" s="2" t="str">
        <f aca="false">IF(AT252&gt;0,RANK(AT252,AT$7:AT$423),"")</f>
        <v/>
      </c>
      <c r="AQ252" s="2" t="n">
        <f aca="false">'O_MN, PE_UTA_UGM 2024'!C248</f>
        <v>246</v>
      </c>
      <c r="AR252" s="1421" t="n">
        <v>2410</v>
      </c>
      <c r="AS252" s="2" t="str">
        <f aca="false">IF(AY252&lt;&gt;"",AY252,"")</f>
        <v/>
      </c>
      <c r="AT252" s="1422" t="n">
        <f aca="false">IF(ISNUMBER($AR252),SUMIF(B$7:B$505,AR252,D$7:D$505),"")</f>
        <v>0</v>
      </c>
      <c r="AU252" s="1411" t="n">
        <f aca="false">IF(ISNUMBER($AR252),SUMIF(AD$7:AD$503,$AR252,J$7:J$503),"")</f>
        <v>0</v>
      </c>
      <c r="AV252" s="1411" t="n">
        <f aca="false">IF(ISNUMBER($AR252),SUMIF(AF$7:AF$503,$AR252,L$7:L$503),"")</f>
        <v>0</v>
      </c>
      <c r="AW252" s="1423" t="n">
        <f aca="false">IF(ISNUMBER($AR252),SUMIF(AE$7:AE$503,$AR252,K$7:K$503),"")</f>
        <v>0</v>
      </c>
      <c r="AX252" s="1423" t="n">
        <f aca="false">IF(ISNUMBER($AR252),SUMIF(AG$7:AG$503,$AR252,M$7:M$503),"")</f>
        <v>0</v>
      </c>
      <c r="AY252" s="2" t="str">
        <f aca="false">IF($AT252&gt;0,VLOOKUP($AR252,'O_MN, PE_UTA_UGM 2024'!E248:O664,2),"")</f>
        <v/>
      </c>
      <c r="AZ252" s="1507"/>
      <c r="BA252" s="1507"/>
      <c r="BB252" s="1507" t="str">
        <f aca="false">IF($AT252&gt;0,VLOOKUP($AR252,'O_MN, PE_UTA_UGM 2024'!$E$3:$O$419,BB$6),"")</f>
        <v/>
      </c>
      <c r="BC252" s="1507" t="str">
        <f aca="false">IF($AT252&gt;0,VLOOKUP($AR252,'O_MN, PE_UTA_UGM 2024'!$E$3:$O$419,BC$6),"")</f>
        <v/>
      </c>
      <c r="BD252" s="1507" t="str">
        <f aca="false">IF($AT252&gt;0,VLOOKUP($AR252,'O_MN, PE_UTA_UGM 2024'!$E$3:$O$419,BD$6),"")</f>
        <v/>
      </c>
      <c r="BE252" s="1507" t="str">
        <f aca="false">IF($AT252&gt;0,VLOOKUP($AR252,'O_MN, PE_UTA_UGM 2024'!$E$3:$O$419,BE$6),"")</f>
        <v/>
      </c>
      <c r="BF252" s="1507" t="str">
        <f aca="false">IF($AT252&gt;0,VLOOKUP($AR252,'O_MN, PE_UTA_UGM 2024'!$E$3:$O$419,BF$6),"")</f>
        <v/>
      </c>
      <c r="BG252" s="1507" t="str">
        <f aca="false">IF($AT252&gt;0,VLOOKUP($AR252,'O_MN, PE_UTA_UGM 2024'!$E$3:$O$419,BG$6),"")</f>
        <v/>
      </c>
      <c r="BH252" s="1504"/>
      <c r="BI252" s="1504"/>
      <c r="BJ252" s="1504"/>
      <c r="BK252" s="1504"/>
      <c r="BM252" s="1411"/>
      <c r="BN252" s="1411"/>
      <c r="BO252" s="1425" t="str">
        <f aca="false">IF(ISNUMBER($AU252*BB252*1),$AU252*BB252*1,"")</f>
        <v/>
      </c>
      <c r="BP252" s="1425" t="str">
        <f aca="false">IF(ISNUMBER($AV252*BC252*1),$AV252*BC252*1,"")</f>
        <v/>
      </c>
      <c r="BQ252" s="1425" t="str">
        <f aca="false">IF(ISNUMBER($AU252*BD252*1),$AU252*BD252*1,"")</f>
        <v/>
      </c>
      <c r="BR252" s="1425" t="str">
        <f aca="false">IF(ISNUMBER($AV252*BE252*1),$AV252*BE252*1,"")</f>
        <v/>
      </c>
      <c r="BS252" s="1411" t="str">
        <f aca="false">IF(ISNUMBER($AU252*BF252),$AU252*BF252,"")</f>
        <v/>
      </c>
      <c r="BT252" s="1411" t="str">
        <f aca="false">IF(ISNUMBER($AV252*BG252),$AV252*BG252,"")</f>
        <v/>
      </c>
      <c r="BU252" s="1411"/>
      <c r="BV252" s="1411"/>
      <c r="BW252" s="1411"/>
      <c r="BX252" s="1411"/>
      <c r="BZ252" s="1372"/>
      <c r="CA252" s="1372"/>
      <c r="CB252" s="1426" t="str">
        <f aca="false">IF(ISNUMBER($AW252*BB252),$AW252*BB252,"")</f>
        <v/>
      </c>
      <c r="CC252" s="1426" t="str">
        <f aca="false">IF(ISNUMBER($AX252*BC252),$AX252*BC252,"")</f>
        <v/>
      </c>
      <c r="CD252" s="1426" t="str">
        <f aca="false">IF(ISNUMBER($AW252*BD252),$AW252*BD252,"")</f>
        <v/>
      </c>
      <c r="CE252" s="1426" t="str">
        <f aca="false">IF(ISNUMBER($AX252*BE252),$AX252*BE252,"")</f>
        <v/>
      </c>
      <c r="CF252" s="1372" t="str">
        <f aca="false">IF(ISNUMBER($AW252*BF252),$AW252*BF252,"")</f>
        <v/>
      </c>
      <c r="CG252" s="1372" t="str">
        <f aca="false">IF(ISNUMBER($AX252*BG252),$AX252*BG252,"")</f>
        <v/>
      </c>
      <c r="CH252" s="1438"/>
      <c r="CI252" s="1438"/>
      <c r="CJ252" s="1438"/>
      <c r="CK252" s="1438"/>
      <c r="CU252" s="1411"/>
      <c r="CV252" s="1411"/>
      <c r="CW252" s="1425"/>
      <c r="CX252" s="1425"/>
      <c r="CY252" s="1425"/>
      <c r="CZ252" s="1425"/>
      <c r="DA252" s="1411"/>
      <c r="DB252" s="1411"/>
      <c r="DC252" s="1411"/>
      <c r="DD252" s="1411"/>
      <c r="DE252" s="1411"/>
      <c r="DF252" s="1411"/>
      <c r="DH252" s="1432"/>
      <c r="DI252" s="1432"/>
      <c r="DJ252" s="1437"/>
      <c r="DK252" s="1437"/>
      <c r="DL252" s="1437"/>
      <c r="DM252" s="1437"/>
      <c r="DN252" s="1432"/>
      <c r="DO252" s="1432"/>
      <c r="DP252" s="1432"/>
      <c r="DQ252" s="1432"/>
      <c r="DR252" s="1432"/>
      <c r="DS252" s="1432"/>
      <c r="DT252" s="1316"/>
      <c r="DU252" s="1433"/>
      <c r="DV252" s="1433"/>
      <c r="DW252" s="1433"/>
      <c r="DX252" s="1433"/>
      <c r="DY252" s="1433"/>
      <c r="DZ252" s="1433"/>
      <c r="EA252" s="1433"/>
      <c r="EB252" s="1433"/>
    </row>
    <row r="253" customFormat="false" ht="14.25" hidden="false" customHeight="false" outlineLevel="0" collapsed="false">
      <c r="A253" s="2" t="n">
        <f aca="false">'V_DATOS PAC_SGA'!CC248</f>
        <v>0</v>
      </c>
      <c r="B253" s="2" t="n">
        <f aca="false">IF(OR(A253=0,A253=""),0,IF(I253="IV",CONCATENATE('V_DATOS PAC_SGA'!CC248,"4")+0,CONCATENATE('V_DATOS PAC_SGA'!CC248,"0")+0))</f>
        <v>0</v>
      </c>
      <c r="C253" s="2" t="n">
        <f aca="false">'V_DATOS PAC_SGA'!CD248</f>
        <v>0</v>
      </c>
      <c r="D253" s="1409" t="n">
        <f aca="false">'V_DATOS PAC_SGA'!Y248</f>
        <v>0</v>
      </c>
      <c r="E253" s="1410" t="str">
        <f aca="false">IF('V_DATOS PAC_SGA'!AV248="","Regadio",'V_DATOS PAC_SGA'!AV248)</f>
        <v>Regadio</v>
      </c>
      <c r="F253" s="1411" t="n">
        <f aca="false">'V_DATOS PAC_SGA'!BK248</f>
        <v>0</v>
      </c>
      <c r="G253" s="1412" t="n">
        <f aca="false">'V_DATOS PAC_SGA'!AN248</f>
        <v>0</v>
      </c>
      <c r="H253" s="1413" t="str">
        <f aca="false">IF(B253&gt;0,VLOOKUP(B253,'O_MN, PE_UTA_UGM 2024'!E$3:O$419,10),"")</f>
        <v/>
      </c>
      <c r="I253" s="1359" t="str">
        <f aca="false">IF('V_DATOS PAC_SGA'!BV248="IV",'V_DATOS PAC_SGA'!BV248,"")</f>
        <v/>
      </c>
      <c r="J253" s="2" t="str">
        <f aca="false">IF($A253&gt;0,IF(AND(J$4=$G253,J$6=$F253),$D253*J$5,""),"")</f>
        <v/>
      </c>
      <c r="K253" s="2" t="str">
        <f aca="false">IF($A253&gt;0,IF(AND(K$4=$G253,K$6=$F253),$D253*K$5,""),"")</f>
        <v/>
      </c>
      <c r="L253" s="2" t="str">
        <f aca="false">IF($A253&gt;0,IF(AND(L$4=$G253,L$6=$F253),$D253*L$5,""),"")</f>
        <v/>
      </c>
      <c r="M253" s="2" t="str">
        <f aca="false">IF($A253&gt;0,IF(AND(M$4=$G253,M$6=$F253),$D253*M$5,""),"")</f>
        <v/>
      </c>
      <c r="N253" s="1506" t="n">
        <f aca="false">VLOOKUP(B253,'O_MN, PE_UTA_UGM 2024'!$E$2:$K$419,IF(G253&gt;1,6,7))</f>
        <v>0</v>
      </c>
      <c r="O253" s="1434" t="str">
        <f aca="false">IF($H253=O$4,$D253*$N253,"")</f>
        <v/>
      </c>
      <c r="P253" s="1435" t="str">
        <f aca="false">IF($H253=P$4,$D253*$N253,"")</f>
        <v/>
      </c>
      <c r="Q253" s="1435" t="str">
        <f aca="false">IF($H253=Q$4,$D253*$N253,"")</f>
        <v/>
      </c>
      <c r="R253" s="1435" t="str">
        <f aca="false">IF($H253=R$4,$D253*$N253,"")</f>
        <v/>
      </c>
      <c r="S253" s="1435" t="str">
        <f aca="false">IF($H253=S$4,$D253*$N253,"")</f>
        <v/>
      </c>
      <c r="T253" s="1435" t="str">
        <f aca="false">IF($H253=T$4,$D253*$N253,"")</f>
        <v/>
      </c>
      <c r="U253" s="1436" t="str">
        <f aca="false">IF($H253=U$4,$D253*$N253,"")</f>
        <v/>
      </c>
      <c r="V253" s="1418"/>
      <c r="W253" s="1419"/>
      <c r="X253" s="1419"/>
      <c r="Y253" s="1419"/>
      <c r="Z253" s="1419"/>
      <c r="AA253" s="1419"/>
      <c r="AB253" s="1420"/>
      <c r="AC253" s="1319"/>
      <c r="AD253" s="2" t="str">
        <f aca="false">IF(AND(AD$4=$G253,AD$6=$F253),$B253,"")</f>
        <v/>
      </c>
      <c r="AE253" s="2" t="str">
        <f aca="false">IF(AND(AE$4=$G253,AE$6=$F253),$B253,"")</f>
        <v/>
      </c>
      <c r="AF253" s="2" t="str">
        <f aca="false">IF(AND(AF$4=$G253,AF$6=$F253),$B253,"")</f>
        <v/>
      </c>
      <c r="AG253" s="2" t="str">
        <f aca="false">IF(AND(AG$4=$G253,AG$6=$F253),$B253,"")</f>
        <v/>
      </c>
      <c r="AI253" s="366"/>
      <c r="AL253" s="367"/>
      <c r="AO253" s="367"/>
      <c r="AP253" s="2" t="str">
        <f aca="false">IF(AT253&gt;0,RANK(AT253,AT$7:AT$423),"")</f>
        <v/>
      </c>
      <c r="AQ253" s="2" t="n">
        <f aca="false">'O_MN, PE_UTA_UGM 2024'!C249</f>
        <v>247</v>
      </c>
      <c r="AR253" s="1421" t="n">
        <v>2420</v>
      </c>
      <c r="AS253" s="2" t="str">
        <f aca="false">IF(AY253&lt;&gt;"",AY253,"")</f>
        <v/>
      </c>
      <c r="AT253" s="1422" t="n">
        <f aca="false">IF(ISNUMBER($AR253),SUMIF(B$7:B$505,AR253,D$7:D$505),"")</f>
        <v>0</v>
      </c>
      <c r="AU253" s="1411" t="n">
        <f aca="false">IF(ISNUMBER($AR253),SUMIF(AD$7:AD$503,$AR253,J$7:J$503),"")</f>
        <v>0</v>
      </c>
      <c r="AV253" s="1411" t="n">
        <f aca="false">IF(ISNUMBER($AR253),SUMIF(AF$7:AF$503,$AR253,L$7:L$503),"")</f>
        <v>0</v>
      </c>
      <c r="AW253" s="1423" t="n">
        <f aca="false">IF(ISNUMBER($AR253),SUMIF(AE$7:AE$503,$AR253,K$7:K$503),"")</f>
        <v>0</v>
      </c>
      <c r="AX253" s="1423" t="n">
        <f aca="false">IF(ISNUMBER($AR253),SUMIF(AG$7:AG$503,$AR253,M$7:M$503),"")</f>
        <v>0</v>
      </c>
      <c r="AY253" s="2" t="str">
        <f aca="false">IF($AT253&gt;0,VLOOKUP($AR253,'O_MN, PE_UTA_UGM 2024'!E249:O665,2),"")</f>
        <v/>
      </c>
      <c r="AZ253" s="1507"/>
      <c r="BA253" s="1507"/>
      <c r="BB253" s="1507" t="str">
        <f aca="false">IF($AT253&gt;0,VLOOKUP($AR253,'O_MN, PE_UTA_UGM 2024'!$E$3:$O$419,BB$6),"")</f>
        <v/>
      </c>
      <c r="BC253" s="1507" t="str">
        <f aca="false">IF($AT253&gt;0,VLOOKUP($AR253,'O_MN, PE_UTA_UGM 2024'!$E$3:$O$419,BC$6),"")</f>
        <v/>
      </c>
      <c r="BD253" s="1507" t="str">
        <f aca="false">IF($AT253&gt;0,VLOOKUP($AR253,'O_MN, PE_UTA_UGM 2024'!$E$3:$O$419,BD$6),"")</f>
        <v/>
      </c>
      <c r="BE253" s="1507" t="str">
        <f aca="false">IF($AT253&gt;0,VLOOKUP($AR253,'O_MN, PE_UTA_UGM 2024'!$E$3:$O$419,BE$6),"")</f>
        <v/>
      </c>
      <c r="BF253" s="1507" t="str">
        <f aca="false">IF($AT253&gt;0,VLOOKUP($AR253,'O_MN, PE_UTA_UGM 2024'!$E$3:$O$419,BF$6),"")</f>
        <v/>
      </c>
      <c r="BG253" s="1507" t="str">
        <f aca="false">IF($AT253&gt;0,VLOOKUP($AR253,'O_MN, PE_UTA_UGM 2024'!$E$3:$O$419,BG$6),"")</f>
        <v/>
      </c>
      <c r="BH253" s="1504"/>
      <c r="BI253" s="1504"/>
      <c r="BJ253" s="1504"/>
      <c r="BK253" s="1504"/>
      <c r="BM253" s="1411"/>
      <c r="BN253" s="1411"/>
      <c r="BO253" s="1425" t="str">
        <f aca="false">IF(ISNUMBER($AU253*BB253*1),$AU253*BB253*1,"")</f>
        <v/>
      </c>
      <c r="BP253" s="1425" t="str">
        <f aca="false">IF(ISNUMBER($AV253*BC253*1),$AV253*BC253*1,"")</f>
        <v/>
      </c>
      <c r="BQ253" s="1425" t="str">
        <f aca="false">IF(ISNUMBER($AU253*BD253*1),$AU253*BD253*1,"")</f>
        <v/>
      </c>
      <c r="BR253" s="1425" t="str">
        <f aca="false">IF(ISNUMBER($AV253*BE253*1),$AV253*BE253*1,"")</f>
        <v/>
      </c>
      <c r="BS253" s="1411" t="str">
        <f aca="false">IF(ISNUMBER($AU253*BF253),$AU253*BF253,"")</f>
        <v/>
      </c>
      <c r="BT253" s="1411" t="str">
        <f aca="false">IF(ISNUMBER($AV253*BG253),$AV253*BG253,"")</f>
        <v/>
      </c>
      <c r="BU253" s="1411"/>
      <c r="BV253" s="1411"/>
      <c r="BW253" s="1411"/>
      <c r="BX253" s="1411"/>
      <c r="BZ253" s="1372"/>
      <c r="CA253" s="1372"/>
      <c r="CB253" s="1426" t="str">
        <f aca="false">IF(ISNUMBER($AW253*BB253),$AW253*BB253,"")</f>
        <v/>
      </c>
      <c r="CC253" s="1426" t="str">
        <f aca="false">IF(ISNUMBER($AX253*BC253),$AX253*BC253,"")</f>
        <v/>
      </c>
      <c r="CD253" s="1426" t="str">
        <f aca="false">IF(ISNUMBER($AW253*BD253),$AW253*BD253,"")</f>
        <v/>
      </c>
      <c r="CE253" s="1426" t="str">
        <f aca="false">IF(ISNUMBER($AX253*BE253),$AX253*BE253,"")</f>
        <v/>
      </c>
      <c r="CF253" s="1372" t="str">
        <f aca="false">IF(ISNUMBER($AW253*BF253),$AW253*BF253,"")</f>
        <v/>
      </c>
      <c r="CG253" s="1372" t="str">
        <f aca="false">IF(ISNUMBER($AX253*BG253),$AX253*BG253,"")</f>
        <v/>
      </c>
      <c r="CH253" s="1438"/>
      <c r="CI253" s="1438"/>
      <c r="CJ253" s="1438"/>
      <c r="CK253" s="1438"/>
      <c r="CU253" s="1411"/>
      <c r="CV253" s="1411"/>
      <c r="CW253" s="1425"/>
      <c r="CX253" s="1425"/>
      <c r="CY253" s="1425"/>
      <c r="CZ253" s="1425"/>
      <c r="DA253" s="1411"/>
      <c r="DB253" s="1411"/>
      <c r="DC253" s="1411"/>
      <c r="DD253" s="1411"/>
      <c r="DE253" s="1411"/>
      <c r="DF253" s="1411"/>
      <c r="DH253" s="1432"/>
      <c r="DI253" s="1432"/>
      <c r="DJ253" s="1437"/>
      <c r="DK253" s="1437"/>
      <c r="DL253" s="1437"/>
      <c r="DM253" s="1437"/>
      <c r="DN253" s="1432"/>
      <c r="DO253" s="1432"/>
      <c r="DP253" s="1432"/>
      <c r="DQ253" s="1432"/>
      <c r="DR253" s="1432"/>
      <c r="DS253" s="1432"/>
      <c r="DT253" s="1316"/>
      <c r="DU253" s="1433"/>
      <c r="DV253" s="1433"/>
      <c r="DW253" s="1433"/>
      <c r="DX253" s="1433"/>
      <c r="DY253" s="1433"/>
      <c r="DZ253" s="1433"/>
      <c r="EA253" s="1433"/>
      <c r="EB253" s="1433"/>
    </row>
    <row r="254" customFormat="false" ht="14.25" hidden="false" customHeight="false" outlineLevel="0" collapsed="false">
      <c r="A254" s="2" t="n">
        <f aca="false">'V_DATOS PAC_SGA'!CC249</f>
        <v>0</v>
      </c>
      <c r="B254" s="2" t="n">
        <f aca="false">IF(OR(A254=0,A254=""),0,IF(I254="IV",CONCATENATE('V_DATOS PAC_SGA'!CC249,"4")+0,CONCATENATE('V_DATOS PAC_SGA'!CC249,"0")+0))</f>
        <v>0</v>
      </c>
      <c r="C254" s="2" t="n">
        <f aca="false">'V_DATOS PAC_SGA'!CD249</f>
        <v>0</v>
      </c>
      <c r="D254" s="1409" t="n">
        <f aca="false">'V_DATOS PAC_SGA'!Y249</f>
        <v>0</v>
      </c>
      <c r="E254" s="1410" t="str">
        <f aca="false">IF('V_DATOS PAC_SGA'!AV249="","Regadio",'V_DATOS PAC_SGA'!AV249)</f>
        <v>Regadio</v>
      </c>
      <c r="F254" s="1411" t="n">
        <f aca="false">'V_DATOS PAC_SGA'!BK249</f>
        <v>0</v>
      </c>
      <c r="G254" s="1412" t="n">
        <f aca="false">'V_DATOS PAC_SGA'!AN249</f>
        <v>0</v>
      </c>
      <c r="H254" s="1413" t="str">
        <f aca="false">IF(B254&gt;0,VLOOKUP(B254,'O_MN, PE_UTA_UGM 2024'!E$3:O$419,10),"")</f>
        <v/>
      </c>
      <c r="I254" s="1359" t="str">
        <f aca="false">IF('V_DATOS PAC_SGA'!BV249="IV",'V_DATOS PAC_SGA'!BV249,"")</f>
        <v/>
      </c>
      <c r="J254" s="2" t="str">
        <f aca="false">IF($A254&gt;0,IF(AND(J$4=$G254,J$6=$F254),$D254*J$5,""),"")</f>
        <v/>
      </c>
      <c r="K254" s="2" t="str">
        <f aca="false">IF($A254&gt;0,IF(AND(K$4=$G254,K$6=$F254),$D254*K$5,""),"")</f>
        <v/>
      </c>
      <c r="L254" s="2" t="str">
        <f aca="false">IF($A254&gt;0,IF(AND(L$4=$G254,L$6=$F254),$D254*L$5,""),"")</f>
        <v/>
      </c>
      <c r="M254" s="2" t="str">
        <f aca="false">IF($A254&gt;0,IF(AND(M$4=$G254,M$6=$F254),$D254*M$5,""),"")</f>
        <v/>
      </c>
      <c r="N254" s="1506" t="n">
        <f aca="false">VLOOKUP(B254,'O_MN, PE_UTA_UGM 2024'!$E$2:$K$419,IF(G254&gt;1,6,7))</f>
        <v>0</v>
      </c>
      <c r="O254" s="1434" t="str">
        <f aca="false">IF($H254=O$4,$D254*$N254,"")</f>
        <v/>
      </c>
      <c r="P254" s="1435" t="str">
        <f aca="false">IF($H254=P$4,$D254*$N254,"")</f>
        <v/>
      </c>
      <c r="Q254" s="1435" t="str">
        <f aca="false">IF($H254=Q$4,$D254*$N254,"")</f>
        <v/>
      </c>
      <c r="R254" s="1435" t="str">
        <f aca="false">IF($H254=R$4,$D254*$N254,"")</f>
        <v/>
      </c>
      <c r="S254" s="1435" t="str">
        <f aca="false">IF($H254=S$4,$D254*$N254,"")</f>
        <v/>
      </c>
      <c r="T254" s="1435" t="str">
        <f aca="false">IF($H254=T$4,$D254*$N254,"")</f>
        <v/>
      </c>
      <c r="U254" s="1436" t="str">
        <f aca="false">IF($H254=U$4,$D254*$N254,"")</f>
        <v/>
      </c>
      <c r="V254" s="1418"/>
      <c r="W254" s="1419"/>
      <c r="X254" s="1419"/>
      <c r="Y254" s="1419"/>
      <c r="Z254" s="1419"/>
      <c r="AA254" s="1419"/>
      <c r="AB254" s="1420"/>
      <c r="AC254" s="1319"/>
      <c r="AD254" s="2" t="str">
        <f aca="false">IF(AND(AD$4=$G254,AD$6=$F254),$B254,"")</f>
        <v/>
      </c>
      <c r="AE254" s="2" t="str">
        <f aca="false">IF(AND(AE$4=$G254,AE$6=$F254),$B254,"")</f>
        <v/>
      </c>
      <c r="AF254" s="2" t="str">
        <f aca="false">IF(AND(AF$4=$G254,AF$6=$F254),$B254,"")</f>
        <v/>
      </c>
      <c r="AG254" s="2" t="str">
        <f aca="false">IF(AND(AG$4=$G254,AG$6=$F254),$B254,"")</f>
        <v/>
      </c>
      <c r="AI254" s="366"/>
      <c r="AL254" s="367"/>
      <c r="AO254" s="367"/>
      <c r="AP254" s="2" t="str">
        <f aca="false">IF(AT254&gt;0,RANK(AT254,AT$7:AT$423),"")</f>
        <v/>
      </c>
      <c r="AQ254" s="2" t="n">
        <f aca="false">'O_MN, PE_UTA_UGM 2024'!C250</f>
        <v>248</v>
      </c>
      <c r="AR254" s="1421" t="n">
        <v>2430</v>
      </c>
      <c r="AS254" s="2" t="str">
        <f aca="false">IF(AY254&lt;&gt;"",AY254,"")</f>
        <v/>
      </c>
      <c r="AT254" s="1422" t="n">
        <f aca="false">IF(ISNUMBER($AR254),SUMIF(B$7:B$505,AR254,D$7:D$505),"")</f>
        <v>0</v>
      </c>
      <c r="AU254" s="1411" t="n">
        <f aca="false">IF(ISNUMBER($AR254),SUMIF(AD$7:AD$503,$AR254,J$7:J$503),"")</f>
        <v>0</v>
      </c>
      <c r="AV254" s="1411" t="n">
        <f aca="false">IF(ISNUMBER($AR254),SUMIF(AF$7:AF$503,$AR254,L$7:L$503),"")</f>
        <v>0</v>
      </c>
      <c r="AW254" s="1423" t="n">
        <f aca="false">IF(ISNUMBER($AR254),SUMIF(AE$7:AE$503,$AR254,K$7:K$503),"")</f>
        <v>0</v>
      </c>
      <c r="AX254" s="1423" t="n">
        <f aca="false">IF(ISNUMBER($AR254),SUMIF(AG$7:AG$503,$AR254,M$7:M$503),"")</f>
        <v>0</v>
      </c>
      <c r="AY254" s="2" t="str">
        <f aca="false">IF($AT254&gt;0,VLOOKUP($AR254,'O_MN, PE_UTA_UGM 2024'!E250:O666,2),"")</f>
        <v/>
      </c>
      <c r="AZ254" s="1507"/>
      <c r="BA254" s="1507"/>
      <c r="BB254" s="1507" t="str">
        <f aca="false">IF($AT254&gt;0,VLOOKUP($AR254,'O_MN, PE_UTA_UGM 2024'!$E$3:$O$419,BB$6),"")</f>
        <v/>
      </c>
      <c r="BC254" s="1507" t="str">
        <f aca="false">IF($AT254&gt;0,VLOOKUP($AR254,'O_MN, PE_UTA_UGM 2024'!$E$3:$O$419,BC$6),"")</f>
        <v/>
      </c>
      <c r="BD254" s="1507" t="str">
        <f aca="false">IF($AT254&gt;0,VLOOKUP($AR254,'O_MN, PE_UTA_UGM 2024'!$E$3:$O$419,BD$6),"")</f>
        <v/>
      </c>
      <c r="BE254" s="1507" t="str">
        <f aca="false">IF($AT254&gt;0,VLOOKUP($AR254,'O_MN, PE_UTA_UGM 2024'!$E$3:$O$419,BE$6),"")</f>
        <v/>
      </c>
      <c r="BF254" s="1507" t="str">
        <f aca="false">IF($AT254&gt;0,VLOOKUP($AR254,'O_MN, PE_UTA_UGM 2024'!$E$3:$O$419,BF$6),"")</f>
        <v/>
      </c>
      <c r="BG254" s="1507" t="str">
        <f aca="false">IF($AT254&gt;0,VLOOKUP($AR254,'O_MN, PE_UTA_UGM 2024'!$E$3:$O$419,BG$6),"")</f>
        <v/>
      </c>
      <c r="BH254" s="1504"/>
      <c r="BI254" s="1504"/>
      <c r="BJ254" s="1504"/>
      <c r="BK254" s="1504"/>
      <c r="BM254" s="1411"/>
      <c r="BN254" s="1411"/>
      <c r="BO254" s="1425" t="str">
        <f aca="false">IF(ISNUMBER($AU254*BB254*1),$AU254*BB254*1,"")</f>
        <v/>
      </c>
      <c r="BP254" s="1425" t="str">
        <f aca="false">IF(ISNUMBER($AV254*BC254*1),$AV254*BC254*1,"")</f>
        <v/>
      </c>
      <c r="BQ254" s="1425" t="str">
        <f aca="false">IF(ISNUMBER($AU254*BD254*1),$AU254*BD254*1,"")</f>
        <v/>
      </c>
      <c r="BR254" s="1425" t="str">
        <f aca="false">IF(ISNUMBER($AV254*BE254*1),$AV254*BE254*1,"")</f>
        <v/>
      </c>
      <c r="BS254" s="1411" t="str">
        <f aca="false">IF(ISNUMBER($AU254*BF254),$AU254*BF254,"")</f>
        <v/>
      </c>
      <c r="BT254" s="1411" t="str">
        <f aca="false">IF(ISNUMBER($AV254*BG254),$AV254*BG254,"")</f>
        <v/>
      </c>
      <c r="BU254" s="1411"/>
      <c r="BV254" s="1411"/>
      <c r="BW254" s="1411"/>
      <c r="BX254" s="1411"/>
      <c r="BZ254" s="1372"/>
      <c r="CA254" s="1372"/>
      <c r="CB254" s="1426" t="str">
        <f aca="false">IF(ISNUMBER($AW254*BB254),$AW254*BB254,"")</f>
        <v/>
      </c>
      <c r="CC254" s="1426" t="str">
        <f aca="false">IF(ISNUMBER($AX254*BC254),$AX254*BC254,"")</f>
        <v/>
      </c>
      <c r="CD254" s="1426" t="str">
        <f aca="false">IF(ISNUMBER($AW254*BD254),$AW254*BD254,"")</f>
        <v/>
      </c>
      <c r="CE254" s="1426" t="str">
        <f aca="false">IF(ISNUMBER($AX254*BE254),$AX254*BE254,"")</f>
        <v/>
      </c>
      <c r="CF254" s="1372" t="str">
        <f aca="false">IF(ISNUMBER($AW254*BF254),$AW254*BF254,"")</f>
        <v/>
      </c>
      <c r="CG254" s="1372" t="str">
        <f aca="false">IF(ISNUMBER($AX254*BG254),$AX254*BG254,"")</f>
        <v/>
      </c>
      <c r="CH254" s="1438"/>
      <c r="CI254" s="1438"/>
      <c r="CJ254" s="1438"/>
      <c r="CK254" s="1438"/>
      <c r="CU254" s="1411"/>
      <c r="CV254" s="1411"/>
      <c r="CW254" s="1425"/>
      <c r="CX254" s="1425"/>
      <c r="CY254" s="1425"/>
      <c r="CZ254" s="1425"/>
      <c r="DA254" s="1411"/>
      <c r="DB254" s="1411"/>
      <c r="DC254" s="1411"/>
      <c r="DD254" s="1411"/>
      <c r="DE254" s="1411"/>
      <c r="DF254" s="1411"/>
      <c r="DH254" s="1432"/>
      <c r="DI254" s="1432"/>
      <c r="DJ254" s="1437"/>
      <c r="DK254" s="1437"/>
      <c r="DL254" s="1437"/>
      <c r="DM254" s="1437"/>
      <c r="DN254" s="1432"/>
      <c r="DO254" s="1432"/>
      <c r="DP254" s="1432"/>
      <c r="DQ254" s="1432"/>
      <c r="DR254" s="1432"/>
      <c r="DS254" s="1432"/>
      <c r="DT254" s="1316"/>
      <c r="DU254" s="1433"/>
      <c r="DV254" s="1433"/>
      <c r="DW254" s="1433"/>
      <c r="DX254" s="1433"/>
      <c r="DY254" s="1433"/>
      <c r="DZ254" s="1433"/>
      <c r="EA254" s="1433"/>
      <c r="EB254" s="1433"/>
    </row>
    <row r="255" customFormat="false" ht="14.25" hidden="false" customHeight="false" outlineLevel="0" collapsed="false">
      <c r="A255" s="2" t="n">
        <f aca="false">'V_DATOS PAC_SGA'!CC250</f>
        <v>0</v>
      </c>
      <c r="B255" s="2" t="n">
        <f aca="false">IF(OR(A255=0,A255=""),0,IF(I255="IV",CONCATENATE('V_DATOS PAC_SGA'!CC250,"4")+0,CONCATENATE('V_DATOS PAC_SGA'!CC250,"0")+0))</f>
        <v>0</v>
      </c>
      <c r="C255" s="2" t="n">
        <f aca="false">'V_DATOS PAC_SGA'!CD250</f>
        <v>0</v>
      </c>
      <c r="D255" s="1409" t="n">
        <f aca="false">'V_DATOS PAC_SGA'!Y250</f>
        <v>0</v>
      </c>
      <c r="E255" s="1410" t="str">
        <f aca="false">IF('V_DATOS PAC_SGA'!AV250="","Regadio",'V_DATOS PAC_SGA'!AV250)</f>
        <v>Regadio</v>
      </c>
      <c r="F255" s="1411" t="n">
        <f aca="false">'V_DATOS PAC_SGA'!BK250</f>
        <v>0</v>
      </c>
      <c r="G255" s="1412" t="n">
        <f aca="false">'V_DATOS PAC_SGA'!AN250</f>
        <v>0</v>
      </c>
      <c r="H255" s="1413" t="str">
        <f aca="false">IF(B255&gt;0,VLOOKUP(B255,'O_MN, PE_UTA_UGM 2024'!E$3:O$419,10),"")</f>
        <v/>
      </c>
      <c r="I255" s="1359" t="str">
        <f aca="false">IF('V_DATOS PAC_SGA'!BV250="IV",'V_DATOS PAC_SGA'!BV250,"")</f>
        <v/>
      </c>
      <c r="J255" s="2" t="str">
        <f aca="false">IF($A255&gt;0,IF(AND(J$4=$G255,J$6=$F255),$D255*J$5,""),"")</f>
        <v/>
      </c>
      <c r="K255" s="2" t="str">
        <f aca="false">IF($A255&gt;0,IF(AND(K$4=$G255,K$6=$F255),$D255*K$5,""),"")</f>
        <v/>
      </c>
      <c r="L255" s="2" t="str">
        <f aca="false">IF($A255&gt;0,IF(AND(L$4=$G255,L$6=$F255),$D255*L$5,""),"")</f>
        <v/>
      </c>
      <c r="M255" s="2" t="str">
        <f aca="false">IF($A255&gt;0,IF(AND(M$4=$G255,M$6=$F255),$D255*M$5,""),"")</f>
        <v/>
      </c>
      <c r="N255" s="1506" t="n">
        <f aca="false">VLOOKUP(B255,'O_MN, PE_UTA_UGM 2024'!$E$2:$K$419,IF(G255&gt;1,6,7))</f>
        <v>0</v>
      </c>
      <c r="O255" s="1434" t="str">
        <f aca="false">IF($H255=O$4,$D255*$N255,"")</f>
        <v/>
      </c>
      <c r="P255" s="1435" t="str">
        <f aca="false">IF($H255=P$4,$D255*$N255,"")</f>
        <v/>
      </c>
      <c r="Q255" s="1435" t="str">
        <f aca="false">IF($H255=Q$4,$D255*$N255,"")</f>
        <v/>
      </c>
      <c r="R255" s="1435" t="str">
        <f aca="false">IF($H255=R$4,$D255*$N255,"")</f>
        <v/>
      </c>
      <c r="S255" s="1435" t="str">
        <f aca="false">IF($H255=S$4,$D255*$N255,"")</f>
        <v/>
      </c>
      <c r="T255" s="1435" t="str">
        <f aca="false">IF($H255=T$4,$D255*$N255,"")</f>
        <v/>
      </c>
      <c r="U255" s="1436" t="str">
        <f aca="false">IF($H255=U$4,$D255*$N255,"")</f>
        <v/>
      </c>
      <c r="V255" s="1418"/>
      <c r="W255" s="1419"/>
      <c r="X255" s="1419"/>
      <c r="Y255" s="1419"/>
      <c r="Z255" s="1419"/>
      <c r="AA255" s="1419"/>
      <c r="AB255" s="1420"/>
      <c r="AC255" s="1319"/>
      <c r="AD255" s="2" t="str">
        <f aca="false">IF(AND(AD$4=$G255,AD$6=$F255),$B255,"")</f>
        <v/>
      </c>
      <c r="AE255" s="2" t="str">
        <f aca="false">IF(AND(AE$4=$G255,AE$6=$F255),$B255,"")</f>
        <v/>
      </c>
      <c r="AF255" s="2" t="str">
        <f aca="false">IF(AND(AF$4=$G255,AF$6=$F255),$B255,"")</f>
        <v/>
      </c>
      <c r="AG255" s="2" t="str">
        <f aca="false">IF(AND(AG$4=$G255,AG$6=$F255),$B255,"")</f>
        <v/>
      </c>
      <c r="AI255" s="366"/>
      <c r="AL255" s="367"/>
      <c r="AO255" s="367"/>
      <c r="AP255" s="2" t="str">
        <f aca="false">IF(AT255&gt;0,RANK(AT255,AT$7:AT$423),"")</f>
        <v/>
      </c>
      <c r="AQ255" s="2" t="n">
        <f aca="false">'O_MN, PE_UTA_UGM 2024'!C251</f>
        <v>249</v>
      </c>
      <c r="AR255" s="1421" t="n">
        <v>2440</v>
      </c>
      <c r="AS255" s="2" t="str">
        <f aca="false">IF(AY255&lt;&gt;"",AY255,"")</f>
        <v/>
      </c>
      <c r="AT255" s="1422" t="n">
        <f aca="false">IF(ISNUMBER($AR255),SUMIF(B$7:B$505,AR255,D$7:D$505),"")</f>
        <v>0</v>
      </c>
      <c r="AU255" s="1411" t="n">
        <f aca="false">IF(ISNUMBER($AR255),SUMIF(AD$7:AD$503,$AR255,J$7:J$503),"")</f>
        <v>0</v>
      </c>
      <c r="AV255" s="1411" t="n">
        <f aca="false">IF(ISNUMBER($AR255),SUMIF(AF$7:AF$503,$AR255,L$7:L$503),"")</f>
        <v>0</v>
      </c>
      <c r="AW255" s="1423" t="n">
        <f aca="false">IF(ISNUMBER($AR255),SUMIF(AE$7:AE$503,$AR255,K$7:K$503),"")</f>
        <v>0</v>
      </c>
      <c r="AX255" s="1423" t="n">
        <f aca="false">IF(ISNUMBER($AR255),SUMIF(AG$7:AG$503,$AR255,M$7:M$503),"")</f>
        <v>0</v>
      </c>
      <c r="AY255" s="2" t="str">
        <f aca="false">IF($AT255&gt;0,VLOOKUP($AR255,'O_MN, PE_UTA_UGM 2024'!E251:O667,2),"")</f>
        <v/>
      </c>
      <c r="AZ255" s="1507"/>
      <c r="BA255" s="1507"/>
      <c r="BB255" s="1507" t="str">
        <f aca="false">IF($AT255&gt;0,VLOOKUP($AR255,'O_MN, PE_UTA_UGM 2024'!$E$3:$O$419,BB$6),"")</f>
        <v/>
      </c>
      <c r="BC255" s="1507" t="str">
        <f aca="false">IF($AT255&gt;0,VLOOKUP($AR255,'O_MN, PE_UTA_UGM 2024'!$E$3:$O$419,BC$6),"")</f>
        <v/>
      </c>
      <c r="BD255" s="1507" t="str">
        <f aca="false">IF($AT255&gt;0,VLOOKUP($AR255,'O_MN, PE_UTA_UGM 2024'!$E$3:$O$419,BD$6),"")</f>
        <v/>
      </c>
      <c r="BE255" s="1507" t="str">
        <f aca="false">IF($AT255&gt;0,VLOOKUP($AR255,'O_MN, PE_UTA_UGM 2024'!$E$3:$O$419,BE$6),"")</f>
        <v/>
      </c>
      <c r="BF255" s="1507" t="str">
        <f aca="false">IF($AT255&gt;0,VLOOKUP($AR255,'O_MN, PE_UTA_UGM 2024'!$E$3:$O$419,BF$6),"")</f>
        <v/>
      </c>
      <c r="BG255" s="1507" t="str">
        <f aca="false">IF($AT255&gt;0,VLOOKUP($AR255,'O_MN, PE_UTA_UGM 2024'!$E$3:$O$419,BG$6),"")</f>
        <v/>
      </c>
      <c r="BH255" s="1504"/>
      <c r="BI255" s="1504"/>
      <c r="BJ255" s="1504"/>
      <c r="BK255" s="1504"/>
      <c r="BM255" s="1411"/>
      <c r="BN255" s="1411"/>
      <c r="BO255" s="1425" t="str">
        <f aca="false">IF(ISNUMBER($AU255*BB255*1),$AU255*BB255*1,"")</f>
        <v/>
      </c>
      <c r="BP255" s="1425" t="str">
        <f aca="false">IF(ISNUMBER($AV255*BC255*1),$AV255*BC255*1,"")</f>
        <v/>
      </c>
      <c r="BQ255" s="1425" t="str">
        <f aca="false">IF(ISNUMBER($AU255*BD255*1),$AU255*BD255*1,"")</f>
        <v/>
      </c>
      <c r="BR255" s="1425" t="str">
        <f aca="false">IF(ISNUMBER($AV255*BE255*1),$AV255*BE255*1,"")</f>
        <v/>
      </c>
      <c r="BS255" s="1411" t="str">
        <f aca="false">IF(ISNUMBER($AU255*BF255),$AU255*BF255,"")</f>
        <v/>
      </c>
      <c r="BT255" s="1411" t="str">
        <f aca="false">IF(ISNUMBER($AV255*BG255),$AV255*BG255,"")</f>
        <v/>
      </c>
      <c r="BU255" s="1411"/>
      <c r="BV255" s="1411"/>
      <c r="BW255" s="1411"/>
      <c r="BX255" s="1411"/>
      <c r="BZ255" s="1372"/>
      <c r="CA255" s="1372"/>
      <c r="CB255" s="1426" t="str">
        <f aca="false">IF(ISNUMBER($AW255*BB255),$AW255*BB255,"")</f>
        <v/>
      </c>
      <c r="CC255" s="1426" t="str">
        <f aca="false">IF(ISNUMBER($AX255*BC255),$AX255*BC255,"")</f>
        <v/>
      </c>
      <c r="CD255" s="1426" t="str">
        <f aca="false">IF(ISNUMBER($AW255*BD255),$AW255*BD255,"")</f>
        <v/>
      </c>
      <c r="CE255" s="1426" t="str">
        <f aca="false">IF(ISNUMBER($AX255*BE255),$AX255*BE255,"")</f>
        <v/>
      </c>
      <c r="CF255" s="1372" t="str">
        <f aca="false">IF(ISNUMBER($AW255*BF255),$AW255*BF255,"")</f>
        <v/>
      </c>
      <c r="CG255" s="1372" t="str">
        <f aca="false">IF(ISNUMBER($AX255*BG255),$AX255*BG255,"")</f>
        <v/>
      </c>
      <c r="CH255" s="1438"/>
      <c r="CI255" s="1438"/>
      <c r="CJ255" s="1438"/>
      <c r="CK255" s="1438"/>
      <c r="CU255" s="1411"/>
      <c r="CV255" s="1411"/>
      <c r="CW255" s="1425"/>
      <c r="CX255" s="1425"/>
      <c r="CY255" s="1425"/>
      <c r="CZ255" s="1425"/>
      <c r="DA255" s="1411"/>
      <c r="DB255" s="1411"/>
      <c r="DC255" s="1411"/>
      <c r="DD255" s="1411"/>
      <c r="DE255" s="1411"/>
      <c r="DF255" s="1411"/>
      <c r="DH255" s="1432"/>
      <c r="DI255" s="1432"/>
      <c r="DJ255" s="1437"/>
      <c r="DK255" s="1437"/>
      <c r="DL255" s="1437"/>
      <c r="DM255" s="1437"/>
      <c r="DN255" s="1432"/>
      <c r="DO255" s="1432"/>
      <c r="DP255" s="1432"/>
      <c r="DQ255" s="1432"/>
      <c r="DR255" s="1432"/>
      <c r="DS255" s="1432"/>
      <c r="DT255" s="1316"/>
      <c r="DU255" s="1433"/>
      <c r="DV255" s="1433"/>
      <c r="DW255" s="1433"/>
      <c r="DX255" s="1433"/>
      <c r="DY255" s="1433"/>
      <c r="DZ255" s="1433"/>
      <c r="EA255" s="1433"/>
      <c r="EB255" s="1433"/>
    </row>
    <row r="256" customFormat="false" ht="14.25" hidden="false" customHeight="false" outlineLevel="0" collapsed="false">
      <c r="A256" s="2" t="n">
        <f aca="false">'V_DATOS PAC_SGA'!CC251</f>
        <v>0</v>
      </c>
      <c r="B256" s="2" t="n">
        <f aca="false">IF(OR(A256=0,A256=""),0,IF(I256="IV",CONCATENATE('V_DATOS PAC_SGA'!CC251,"4")+0,CONCATENATE('V_DATOS PAC_SGA'!CC251,"0")+0))</f>
        <v>0</v>
      </c>
      <c r="C256" s="2" t="n">
        <f aca="false">'V_DATOS PAC_SGA'!CD251</f>
        <v>0</v>
      </c>
      <c r="D256" s="1409" t="n">
        <f aca="false">'V_DATOS PAC_SGA'!Y251</f>
        <v>0</v>
      </c>
      <c r="E256" s="1410" t="str">
        <f aca="false">IF('V_DATOS PAC_SGA'!AV251="","Regadio",'V_DATOS PAC_SGA'!AV251)</f>
        <v>Regadio</v>
      </c>
      <c r="F256" s="1411" t="n">
        <f aca="false">'V_DATOS PAC_SGA'!BK251</f>
        <v>0</v>
      </c>
      <c r="G256" s="1412" t="n">
        <f aca="false">'V_DATOS PAC_SGA'!AN251</f>
        <v>0</v>
      </c>
      <c r="H256" s="1413" t="str">
        <f aca="false">IF(B256&gt;0,VLOOKUP(B256,'O_MN, PE_UTA_UGM 2024'!E$3:O$419,10),"")</f>
        <v/>
      </c>
      <c r="I256" s="1359" t="str">
        <f aca="false">IF('V_DATOS PAC_SGA'!BV251="IV",'V_DATOS PAC_SGA'!BV251,"")</f>
        <v/>
      </c>
      <c r="J256" s="2" t="str">
        <f aca="false">IF($A256&gt;0,IF(AND(J$4=$G256,J$6=$F256),$D256*J$5,""),"")</f>
        <v/>
      </c>
      <c r="K256" s="2" t="str">
        <f aca="false">IF($A256&gt;0,IF(AND(K$4=$G256,K$6=$F256),$D256*K$5,""),"")</f>
        <v/>
      </c>
      <c r="L256" s="2" t="str">
        <f aca="false">IF($A256&gt;0,IF(AND(L$4=$G256,L$6=$F256),$D256*L$5,""),"")</f>
        <v/>
      </c>
      <c r="M256" s="2" t="str">
        <f aca="false">IF($A256&gt;0,IF(AND(M$4=$G256,M$6=$F256),$D256*M$5,""),"")</f>
        <v/>
      </c>
      <c r="N256" s="1506" t="n">
        <f aca="false">VLOOKUP(B256,'O_MN, PE_UTA_UGM 2024'!$E$2:$K$419,IF(G256&gt;1,6,7))</f>
        <v>0</v>
      </c>
      <c r="O256" s="1434" t="str">
        <f aca="false">IF($H256=O$4,$D256*$N256,"")</f>
        <v/>
      </c>
      <c r="P256" s="1435" t="str">
        <f aca="false">IF($H256=P$4,$D256*$N256,"")</f>
        <v/>
      </c>
      <c r="Q256" s="1435" t="str">
        <f aca="false">IF($H256=Q$4,$D256*$N256,"")</f>
        <v/>
      </c>
      <c r="R256" s="1435" t="str">
        <f aca="false">IF($H256=R$4,$D256*$N256,"")</f>
        <v/>
      </c>
      <c r="S256" s="1435" t="str">
        <f aca="false">IF($H256=S$4,$D256*$N256,"")</f>
        <v/>
      </c>
      <c r="T256" s="1435" t="str">
        <f aca="false">IF($H256=T$4,$D256*$N256,"")</f>
        <v/>
      </c>
      <c r="U256" s="1436" t="str">
        <f aca="false">IF($H256=U$4,$D256*$N256,"")</f>
        <v/>
      </c>
      <c r="V256" s="1418"/>
      <c r="W256" s="1419"/>
      <c r="X256" s="1419"/>
      <c r="Y256" s="1419"/>
      <c r="Z256" s="1419"/>
      <c r="AA256" s="1419"/>
      <c r="AB256" s="1420"/>
      <c r="AC256" s="1319"/>
      <c r="AD256" s="2" t="str">
        <f aca="false">IF(AND(AD$4=$G256,AD$6=$F256),$B256,"")</f>
        <v/>
      </c>
      <c r="AE256" s="2" t="str">
        <f aca="false">IF(AND(AE$4=$G256,AE$6=$F256),$B256,"")</f>
        <v/>
      </c>
      <c r="AF256" s="2" t="str">
        <f aca="false">IF(AND(AF$4=$G256,AF$6=$F256),$B256,"")</f>
        <v/>
      </c>
      <c r="AG256" s="2" t="str">
        <f aca="false">IF(AND(AG$4=$G256,AG$6=$F256),$B256,"")</f>
        <v/>
      </c>
      <c r="AI256" s="366"/>
      <c r="AL256" s="367"/>
      <c r="AO256" s="367"/>
      <c r="AP256" s="2" t="str">
        <f aca="false">IF(AT256&gt;0,RANK(AT256,AT$7:AT$423),"")</f>
        <v/>
      </c>
      <c r="AQ256" s="2" t="n">
        <f aca="false">'O_MN, PE_UTA_UGM 2024'!C252</f>
        <v>250</v>
      </c>
      <c r="AR256" s="1421" t="n">
        <v>2450</v>
      </c>
      <c r="AS256" s="2" t="str">
        <f aca="false">IF(AY256&lt;&gt;"",AY256,"")</f>
        <v/>
      </c>
      <c r="AT256" s="1422" t="n">
        <f aca="false">IF(ISNUMBER($AR256),SUMIF(B$7:B$505,AR256,D$7:D$505),"")</f>
        <v>0</v>
      </c>
      <c r="AU256" s="1411" t="n">
        <f aca="false">IF(ISNUMBER($AR256),SUMIF(AD$7:AD$503,$AR256,J$7:J$503),"")</f>
        <v>0</v>
      </c>
      <c r="AV256" s="1411" t="n">
        <f aca="false">IF(ISNUMBER($AR256),SUMIF(AF$7:AF$503,$AR256,L$7:L$503),"")</f>
        <v>0</v>
      </c>
      <c r="AW256" s="1423" t="n">
        <f aca="false">IF(ISNUMBER($AR256),SUMIF(AE$7:AE$503,$AR256,K$7:K$503),"")</f>
        <v>0</v>
      </c>
      <c r="AX256" s="1423" t="n">
        <f aca="false">IF(ISNUMBER($AR256),SUMIF(AG$7:AG$503,$AR256,M$7:M$503),"")</f>
        <v>0</v>
      </c>
      <c r="AY256" s="2" t="str">
        <f aca="false">IF($AT256&gt;0,VLOOKUP($AR256,'O_MN, PE_UTA_UGM 2024'!E252:O668,2),"")</f>
        <v/>
      </c>
      <c r="AZ256" s="1507"/>
      <c r="BA256" s="1507"/>
      <c r="BB256" s="1507" t="str">
        <f aca="false">IF($AT256&gt;0,VLOOKUP($AR256,'O_MN, PE_UTA_UGM 2024'!$E$3:$O$419,BB$6),"")</f>
        <v/>
      </c>
      <c r="BC256" s="1507" t="str">
        <f aca="false">IF($AT256&gt;0,VLOOKUP($AR256,'O_MN, PE_UTA_UGM 2024'!$E$3:$O$419,BC$6),"")</f>
        <v/>
      </c>
      <c r="BD256" s="1507" t="str">
        <f aca="false">IF($AT256&gt;0,VLOOKUP($AR256,'O_MN, PE_UTA_UGM 2024'!$E$3:$O$419,BD$6),"")</f>
        <v/>
      </c>
      <c r="BE256" s="1507" t="str">
        <f aca="false">IF($AT256&gt;0,VLOOKUP($AR256,'O_MN, PE_UTA_UGM 2024'!$E$3:$O$419,BE$6),"")</f>
        <v/>
      </c>
      <c r="BF256" s="1507" t="str">
        <f aca="false">IF($AT256&gt;0,VLOOKUP($AR256,'O_MN, PE_UTA_UGM 2024'!$E$3:$O$419,BF$6),"")</f>
        <v/>
      </c>
      <c r="BG256" s="1507" t="str">
        <f aca="false">IF($AT256&gt;0,VLOOKUP($AR256,'O_MN, PE_UTA_UGM 2024'!$E$3:$O$419,BG$6),"")</f>
        <v/>
      </c>
      <c r="BH256" s="1504"/>
      <c r="BI256" s="1504"/>
      <c r="BJ256" s="1504"/>
      <c r="BK256" s="1504"/>
      <c r="BM256" s="1411"/>
      <c r="BN256" s="1411"/>
      <c r="BO256" s="1425" t="str">
        <f aca="false">IF(ISNUMBER($AU256*BB256*1),$AU256*BB256*1,"")</f>
        <v/>
      </c>
      <c r="BP256" s="1425" t="str">
        <f aca="false">IF(ISNUMBER($AV256*BC256*1),$AV256*BC256*1,"")</f>
        <v/>
      </c>
      <c r="BQ256" s="1425" t="str">
        <f aca="false">IF(ISNUMBER($AU256*BD256*1),$AU256*BD256*1,"")</f>
        <v/>
      </c>
      <c r="BR256" s="1425" t="str">
        <f aca="false">IF(ISNUMBER($AV256*BE256*1),$AV256*BE256*1,"")</f>
        <v/>
      </c>
      <c r="BS256" s="1411" t="str">
        <f aca="false">IF(ISNUMBER($AU256*BF256),$AU256*BF256,"")</f>
        <v/>
      </c>
      <c r="BT256" s="1411" t="str">
        <f aca="false">IF(ISNUMBER($AV256*BG256),$AV256*BG256,"")</f>
        <v/>
      </c>
      <c r="BU256" s="1411"/>
      <c r="BV256" s="1411"/>
      <c r="BW256" s="1411"/>
      <c r="BX256" s="1411"/>
      <c r="BZ256" s="1372"/>
      <c r="CA256" s="1372"/>
      <c r="CB256" s="1426" t="str">
        <f aca="false">IF(ISNUMBER($AW256*BB256),$AW256*BB256,"")</f>
        <v/>
      </c>
      <c r="CC256" s="1426" t="str">
        <f aca="false">IF(ISNUMBER($AX256*BC256),$AX256*BC256,"")</f>
        <v/>
      </c>
      <c r="CD256" s="1426" t="str">
        <f aca="false">IF(ISNUMBER($AW256*BD256),$AW256*BD256,"")</f>
        <v/>
      </c>
      <c r="CE256" s="1426" t="str">
        <f aca="false">IF(ISNUMBER($AX256*BE256),$AX256*BE256,"")</f>
        <v/>
      </c>
      <c r="CF256" s="1372" t="str">
        <f aca="false">IF(ISNUMBER($AW256*BF256),$AW256*BF256,"")</f>
        <v/>
      </c>
      <c r="CG256" s="1372" t="str">
        <f aca="false">IF(ISNUMBER($AX256*BG256),$AX256*BG256,"")</f>
        <v/>
      </c>
      <c r="CH256" s="1438"/>
      <c r="CI256" s="1438"/>
      <c r="CJ256" s="1438"/>
      <c r="CK256" s="1438"/>
      <c r="CU256" s="1411"/>
      <c r="CV256" s="1411"/>
      <c r="CW256" s="1425"/>
      <c r="CX256" s="1425"/>
      <c r="CY256" s="1425"/>
      <c r="CZ256" s="1425"/>
      <c r="DA256" s="1411"/>
      <c r="DB256" s="1411"/>
      <c r="DC256" s="1411"/>
      <c r="DD256" s="1411"/>
      <c r="DE256" s="1411"/>
      <c r="DF256" s="1411"/>
      <c r="DH256" s="1432"/>
      <c r="DI256" s="1432"/>
      <c r="DJ256" s="1437"/>
      <c r="DK256" s="1437"/>
      <c r="DL256" s="1437"/>
      <c r="DM256" s="1437"/>
      <c r="DN256" s="1432"/>
      <c r="DO256" s="1432"/>
      <c r="DP256" s="1432"/>
      <c r="DQ256" s="1432"/>
      <c r="DR256" s="1432"/>
      <c r="DS256" s="1432"/>
      <c r="DT256" s="1316"/>
      <c r="DU256" s="1433"/>
      <c r="DV256" s="1433"/>
      <c r="DW256" s="1433"/>
      <c r="DX256" s="1433"/>
      <c r="DY256" s="1433"/>
      <c r="DZ256" s="1433"/>
      <c r="EA256" s="1433"/>
      <c r="EB256" s="1433"/>
    </row>
    <row r="257" customFormat="false" ht="14.25" hidden="false" customHeight="false" outlineLevel="0" collapsed="false">
      <c r="A257" s="2" t="n">
        <f aca="false">'V_DATOS PAC_SGA'!CC252</f>
        <v>0</v>
      </c>
      <c r="B257" s="2" t="n">
        <f aca="false">IF(OR(A257=0,A257=""),0,IF(I257="IV",CONCATENATE('V_DATOS PAC_SGA'!CC252,"4")+0,CONCATENATE('V_DATOS PAC_SGA'!CC252,"0")+0))</f>
        <v>0</v>
      </c>
      <c r="C257" s="2" t="n">
        <f aca="false">'V_DATOS PAC_SGA'!CD252</f>
        <v>0</v>
      </c>
      <c r="D257" s="1409" t="n">
        <f aca="false">'V_DATOS PAC_SGA'!Y252</f>
        <v>0</v>
      </c>
      <c r="E257" s="1410" t="str">
        <f aca="false">IF('V_DATOS PAC_SGA'!AV252="","Regadio",'V_DATOS PAC_SGA'!AV252)</f>
        <v>Regadio</v>
      </c>
      <c r="F257" s="1411" t="n">
        <f aca="false">'V_DATOS PAC_SGA'!BK252</f>
        <v>0</v>
      </c>
      <c r="G257" s="1412" t="n">
        <f aca="false">'V_DATOS PAC_SGA'!AN252</f>
        <v>0</v>
      </c>
      <c r="H257" s="1413" t="str">
        <f aca="false">IF(B257&gt;0,VLOOKUP(B257,'O_MN, PE_UTA_UGM 2024'!E$3:O$419,10),"")</f>
        <v/>
      </c>
      <c r="I257" s="1359" t="str">
        <f aca="false">IF('V_DATOS PAC_SGA'!BV252="IV",'V_DATOS PAC_SGA'!BV252,"")</f>
        <v/>
      </c>
      <c r="J257" s="2" t="str">
        <f aca="false">IF($A257&gt;0,IF(AND(J$4=$G257,J$6=$F257),$D257*J$5,""),"")</f>
        <v/>
      </c>
      <c r="K257" s="2" t="str">
        <f aca="false">IF($A257&gt;0,IF(AND(K$4=$G257,K$6=$F257),$D257*K$5,""),"")</f>
        <v/>
      </c>
      <c r="L257" s="2" t="str">
        <f aca="false">IF($A257&gt;0,IF(AND(L$4=$G257,L$6=$F257),$D257*L$5,""),"")</f>
        <v/>
      </c>
      <c r="M257" s="2" t="str">
        <f aca="false">IF($A257&gt;0,IF(AND(M$4=$G257,M$6=$F257),$D257*M$5,""),"")</f>
        <v/>
      </c>
      <c r="N257" s="1506" t="n">
        <f aca="false">VLOOKUP(B257,'O_MN, PE_UTA_UGM 2024'!$E$2:$K$419,IF(G257&gt;1,6,7))</f>
        <v>0</v>
      </c>
      <c r="O257" s="1434" t="str">
        <f aca="false">IF($H257=O$4,$D257*$N257,"")</f>
        <v/>
      </c>
      <c r="P257" s="1435" t="str">
        <f aca="false">IF($H257=P$4,$D257*$N257,"")</f>
        <v/>
      </c>
      <c r="Q257" s="1435" t="str">
        <f aca="false">IF($H257=Q$4,$D257*$N257,"")</f>
        <v/>
      </c>
      <c r="R257" s="1435" t="str">
        <f aca="false">IF($H257=R$4,$D257*$N257,"")</f>
        <v/>
      </c>
      <c r="S257" s="1435" t="str">
        <f aca="false">IF($H257=S$4,$D257*$N257,"")</f>
        <v/>
      </c>
      <c r="T257" s="1435" t="str">
        <f aca="false">IF($H257=T$4,$D257*$N257,"")</f>
        <v/>
      </c>
      <c r="U257" s="1436" t="str">
        <f aca="false">IF($H257=U$4,$D257*$N257,"")</f>
        <v/>
      </c>
      <c r="V257" s="1418"/>
      <c r="W257" s="1419"/>
      <c r="X257" s="1419"/>
      <c r="Y257" s="1419"/>
      <c r="Z257" s="1419"/>
      <c r="AA257" s="1419"/>
      <c r="AB257" s="1420"/>
      <c r="AC257" s="1319"/>
      <c r="AD257" s="2" t="str">
        <f aca="false">IF(AND(AD$4=$G257,AD$6=$F257),$B257,"")</f>
        <v/>
      </c>
      <c r="AE257" s="2" t="str">
        <f aca="false">IF(AND(AE$4=$G257,AE$6=$F257),$B257,"")</f>
        <v/>
      </c>
      <c r="AF257" s="2" t="str">
        <f aca="false">IF(AND(AF$4=$G257,AF$6=$F257),$B257,"")</f>
        <v/>
      </c>
      <c r="AG257" s="2" t="str">
        <f aca="false">IF(AND(AG$4=$G257,AG$6=$F257),$B257,"")</f>
        <v/>
      </c>
      <c r="AI257" s="366"/>
      <c r="AL257" s="367"/>
      <c r="AO257" s="367"/>
      <c r="AP257" s="2" t="str">
        <f aca="false">IF(AT257&gt;0,RANK(AT257,AT$7:AT$423),"")</f>
        <v/>
      </c>
      <c r="AQ257" s="2" t="n">
        <f aca="false">'O_MN, PE_UTA_UGM 2024'!C253</f>
        <v>251</v>
      </c>
      <c r="AR257" s="1421" t="n">
        <v>2460</v>
      </c>
      <c r="AS257" s="2" t="str">
        <f aca="false">IF(AY257&lt;&gt;"",AY257,"")</f>
        <v/>
      </c>
      <c r="AT257" s="1422" t="n">
        <f aca="false">IF(ISNUMBER($AR257),SUMIF(B$7:B$505,AR257,D$7:D$505),"")</f>
        <v>0</v>
      </c>
      <c r="AU257" s="1411" t="n">
        <f aca="false">IF(ISNUMBER($AR257),SUMIF(AD$7:AD$503,$AR257,J$7:J$503),"")</f>
        <v>0</v>
      </c>
      <c r="AV257" s="1411" t="n">
        <f aca="false">IF(ISNUMBER($AR257),SUMIF(AF$7:AF$503,$AR257,L$7:L$503),"")</f>
        <v>0</v>
      </c>
      <c r="AW257" s="1423" t="n">
        <f aca="false">IF(ISNUMBER($AR257),SUMIF(AE$7:AE$503,$AR257,K$7:K$503),"")</f>
        <v>0</v>
      </c>
      <c r="AX257" s="1423" t="n">
        <f aca="false">IF(ISNUMBER($AR257),SUMIF(AG$7:AG$503,$AR257,M$7:M$503),"")</f>
        <v>0</v>
      </c>
      <c r="AY257" s="2" t="str">
        <f aca="false">IF($AT257&gt;0,VLOOKUP($AR257,'O_MN, PE_UTA_UGM 2024'!E253:O669,2),"")</f>
        <v/>
      </c>
      <c r="AZ257" s="1507"/>
      <c r="BA257" s="1507"/>
      <c r="BB257" s="1507" t="str">
        <f aca="false">IF($AT257&gt;0,VLOOKUP($AR257,'O_MN, PE_UTA_UGM 2024'!$E$3:$O$419,BB$6),"")</f>
        <v/>
      </c>
      <c r="BC257" s="1507" t="str">
        <f aca="false">IF($AT257&gt;0,VLOOKUP($AR257,'O_MN, PE_UTA_UGM 2024'!$E$3:$O$419,BC$6),"")</f>
        <v/>
      </c>
      <c r="BD257" s="1507" t="str">
        <f aca="false">IF($AT257&gt;0,VLOOKUP($AR257,'O_MN, PE_UTA_UGM 2024'!$E$3:$O$419,BD$6),"")</f>
        <v/>
      </c>
      <c r="BE257" s="1507" t="str">
        <f aca="false">IF($AT257&gt;0,VLOOKUP($AR257,'O_MN, PE_UTA_UGM 2024'!$E$3:$O$419,BE$6),"")</f>
        <v/>
      </c>
      <c r="BF257" s="1507" t="str">
        <f aca="false">IF($AT257&gt;0,VLOOKUP($AR257,'O_MN, PE_UTA_UGM 2024'!$E$3:$O$419,BF$6),"")</f>
        <v/>
      </c>
      <c r="BG257" s="1507" t="str">
        <f aca="false">IF($AT257&gt;0,VLOOKUP($AR257,'O_MN, PE_UTA_UGM 2024'!$E$3:$O$419,BG$6),"")</f>
        <v/>
      </c>
      <c r="BH257" s="1504"/>
      <c r="BI257" s="1504"/>
      <c r="BJ257" s="1504"/>
      <c r="BK257" s="1504"/>
      <c r="BM257" s="1411"/>
      <c r="BN257" s="1411"/>
      <c r="BO257" s="1425" t="str">
        <f aca="false">IF(ISNUMBER($AU257*BB257*1),$AU257*BB257*1,"")</f>
        <v/>
      </c>
      <c r="BP257" s="1425" t="str">
        <f aca="false">IF(ISNUMBER($AV257*BC257*1),$AV257*BC257*1,"")</f>
        <v/>
      </c>
      <c r="BQ257" s="1425" t="str">
        <f aca="false">IF(ISNUMBER($AU257*BD257*1),$AU257*BD257*1,"")</f>
        <v/>
      </c>
      <c r="BR257" s="1425" t="str">
        <f aca="false">IF(ISNUMBER($AV257*BE257*1),$AV257*BE257*1,"")</f>
        <v/>
      </c>
      <c r="BS257" s="1411" t="str">
        <f aca="false">IF(ISNUMBER($AU257*BF257),$AU257*BF257,"")</f>
        <v/>
      </c>
      <c r="BT257" s="1411" t="str">
        <f aca="false">IF(ISNUMBER($AV257*BG257),$AV257*BG257,"")</f>
        <v/>
      </c>
      <c r="BU257" s="1411"/>
      <c r="BV257" s="1411"/>
      <c r="BW257" s="1411"/>
      <c r="BX257" s="1411"/>
      <c r="BZ257" s="1372"/>
      <c r="CA257" s="1372"/>
      <c r="CB257" s="1426" t="str">
        <f aca="false">IF(ISNUMBER($AW257*BB257),$AW257*BB257,"")</f>
        <v/>
      </c>
      <c r="CC257" s="1426" t="str">
        <f aca="false">IF(ISNUMBER($AX257*BC257),$AX257*BC257,"")</f>
        <v/>
      </c>
      <c r="CD257" s="1426" t="str">
        <f aca="false">IF(ISNUMBER($AW257*BD257),$AW257*BD257,"")</f>
        <v/>
      </c>
      <c r="CE257" s="1426" t="str">
        <f aca="false">IF(ISNUMBER($AX257*BE257),$AX257*BE257,"")</f>
        <v/>
      </c>
      <c r="CF257" s="1372" t="str">
        <f aca="false">IF(ISNUMBER($AW257*BF257),$AW257*BF257,"")</f>
        <v/>
      </c>
      <c r="CG257" s="1372" t="str">
        <f aca="false">IF(ISNUMBER($AX257*BG257),$AX257*BG257,"")</f>
        <v/>
      </c>
      <c r="CH257" s="1438"/>
      <c r="CI257" s="1438"/>
      <c r="CJ257" s="1438"/>
      <c r="CK257" s="1438"/>
      <c r="CU257" s="1411"/>
      <c r="CV257" s="1411"/>
      <c r="CW257" s="1425"/>
      <c r="CX257" s="1425"/>
      <c r="CY257" s="1425"/>
      <c r="CZ257" s="1425"/>
      <c r="DA257" s="1411"/>
      <c r="DB257" s="1411"/>
      <c r="DC257" s="1411"/>
      <c r="DD257" s="1411"/>
      <c r="DE257" s="1411"/>
      <c r="DF257" s="1411"/>
      <c r="DH257" s="1432"/>
      <c r="DI257" s="1432"/>
      <c r="DJ257" s="1437"/>
      <c r="DK257" s="1437"/>
      <c r="DL257" s="1437"/>
      <c r="DM257" s="1437"/>
      <c r="DN257" s="1432"/>
      <c r="DO257" s="1432"/>
      <c r="DP257" s="1432"/>
      <c r="DQ257" s="1432"/>
      <c r="DR257" s="1432"/>
      <c r="DS257" s="1432"/>
      <c r="DT257" s="1316"/>
      <c r="DU257" s="1433"/>
      <c r="DV257" s="1433"/>
      <c r="DW257" s="1433"/>
      <c r="DX257" s="1433"/>
      <c r="DY257" s="1433"/>
      <c r="DZ257" s="1433"/>
      <c r="EA257" s="1433"/>
      <c r="EB257" s="1433"/>
    </row>
    <row r="258" customFormat="false" ht="14.25" hidden="false" customHeight="false" outlineLevel="0" collapsed="false">
      <c r="A258" s="2" t="n">
        <f aca="false">'V_DATOS PAC_SGA'!CC253</f>
        <v>0</v>
      </c>
      <c r="B258" s="2" t="n">
        <f aca="false">IF(OR(A258=0,A258=""),0,IF(I258="IV",CONCATENATE('V_DATOS PAC_SGA'!CC253,"4")+0,CONCATENATE('V_DATOS PAC_SGA'!CC253,"0")+0))</f>
        <v>0</v>
      </c>
      <c r="C258" s="2" t="n">
        <f aca="false">'V_DATOS PAC_SGA'!CD253</f>
        <v>0</v>
      </c>
      <c r="D258" s="1409" t="n">
        <f aca="false">'V_DATOS PAC_SGA'!Y253</f>
        <v>0</v>
      </c>
      <c r="E258" s="1410" t="str">
        <f aca="false">IF('V_DATOS PAC_SGA'!AV253="","Regadio",'V_DATOS PAC_SGA'!AV253)</f>
        <v>Regadio</v>
      </c>
      <c r="F258" s="1411" t="n">
        <f aca="false">'V_DATOS PAC_SGA'!BK253</f>
        <v>0</v>
      </c>
      <c r="G258" s="1412" t="n">
        <f aca="false">'V_DATOS PAC_SGA'!AN253</f>
        <v>0</v>
      </c>
      <c r="H258" s="1413" t="str">
        <f aca="false">IF(B258&gt;0,VLOOKUP(B258,'O_MN, PE_UTA_UGM 2024'!E$3:O$419,10),"")</f>
        <v/>
      </c>
      <c r="I258" s="1359" t="str">
        <f aca="false">IF('V_DATOS PAC_SGA'!BV253="IV",'V_DATOS PAC_SGA'!BV253,"")</f>
        <v/>
      </c>
      <c r="J258" s="2" t="str">
        <f aca="false">IF($A258&gt;0,IF(AND(J$4=$G258,J$6=$F258),$D258*J$5,""),"")</f>
        <v/>
      </c>
      <c r="K258" s="2" t="str">
        <f aca="false">IF($A258&gt;0,IF(AND(K$4=$G258,K$6=$F258),$D258*K$5,""),"")</f>
        <v/>
      </c>
      <c r="L258" s="2" t="str">
        <f aca="false">IF($A258&gt;0,IF(AND(L$4=$G258,L$6=$F258),$D258*L$5,""),"")</f>
        <v/>
      </c>
      <c r="M258" s="2" t="str">
        <f aca="false">IF($A258&gt;0,IF(AND(M$4=$G258,M$6=$F258),$D258*M$5,""),"")</f>
        <v/>
      </c>
      <c r="N258" s="1506" t="n">
        <f aca="false">VLOOKUP(B258,'O_MN, PE_UTA_UGM 2024'!$E$2:$K$419,IF(G258&gt;1,6,7))</f>
        <v>0</v>
      </c>
      <c r="O258" s="1434" t="str">
        <f aca="false">IF($H258=O$4,$D258*$N258,"")</f>
        <v/>
      </c>
      <c r="P258" s="1435" t="str">
        <f aca="false">IF($H258=P$4,$D258*$N258,"")</f>
        <v/>
      </c>
      <c r="Q258" s="1435" t="str">
        <f aca="false">IF($H258=Q$4,$D258*$N258,"")</f>
        <v/>
      </c>
      <c r="R258" s="1435" t="str">
        <f aca="false">IF($H258=R$4,$D258*$N258,"")</f>
        <v/>
      </c>
      <c r="S258" s="1435" t="str">
        <f aca="false">IF($H258=S$4,$D258*$N258,"")</f>
        <v/>
      </c>
      <c r="T258" s="1435" t="str">
        <f aca="false">IF($H258=T$4,$D258*$N258,"")</f>
        <v/>
      </c>
      <c r="U258" s="1436" t="str">
        <f aca="false">IF($H258=U$4,$D258*$N258,"")</f>
        <v/>
      </c>
      <c r="V258" s="1418"/>
      <c r="W258" s="1419"/>
      <c r="X258" s="1419"/>
      <c r="Y258" s="1419"/>
      <c r="Z258" s="1419"/>
      <c r="AA258" s="1419"/>
      <c r="AB258" s="1420"/>
      <c r="AC258" s="1319"/>
      <c r="AD258" s="2" t="str">
        <f aca="false">IF(AND(AD$4=$G258,AD$6=$F258),$B258,"")</f>
        <v/>
      </c>
      <c r="AE258" s="2" t="str">
        <f aca="false">IF(AND(AE$4=$G258,AE$6=$F258),$B258,"")</f>
        <v/>
      </c>
      <c r="AF258" s="2" t="str">
        <f aca="false">IF(AND(AF$4=$G258,AF$6=$F258),$B258,"")</f>
        <v/>
      </c>
      <c r="AG258" s="2" t="str">
        <f aca="false">IF(AND(AG$4=$G258,AG$6=$F258),$B258,"")</f>
        <v/>
      </c>
      <c r="AI258" s="366"/>
      <c r="AL258" s="367"/>
      <c r="AO258" s="367"/>
      <c r="AP258" s="2" t="str">
        <f aca="false">IF(AT258&gt;0,RANK(AT258,AT$7:AT$423),"")</f>
        <v/>
      </c>
      <c r="AQ258" s="2" t="n">
        <f aca="false">'O_MN, PE_UTA_UGM 2024'!C254</f>
        <v>252</v>
      </c>
      <c r="AR258" s="1421" t="n">
        <v>2470</v>
      </c>
      <c r="AS258" s="2" t="str">
        <f aca="false">IF(AY258&lt;&gt;"",AY258,"")</f>
        <v/>
      </c>
      <c r="AT258" s="1422" t="n">
        <f aca="false">IF(ISNUMBER($AR258),SUMIF(B$7:B$505,AR258,D$7:D$505),"")</f>
        <v>0</v>
      </c>
      <c r="AU258" s="1411" t="n">
        <f aca="false">IF(ISNUMBER($AR258),SUMIF(AD$7:AD$503,$AR258,J$7:J$503),"")</f>
        <v>0</v>
      </c>
      <c r="AV258" s="1411" t="n">
        <f aca="false">IF(ISNUMBER($AR258),SUMIF(AF$7:AF$503,$AR258,L$7:L$503),"")</f>
        <v>0</v>
      </c>
      <c r="AW258" s="1423" t="n">
        <f aca="false">IF(ISNUMBER($AR258),SUMIF(AE$7:AE$503,$AR258,K$7:K$503),"")</f>
        <v>0</v>
      </c>
      <c r="AX258" s="1423" t="n">
        <f aca="false">IF(ISNUMBER($AR258),SUMIF(AG$7:AG$503,$AR258,M$7:M$503),"")</f>
        <v>0</v>
      </c>
      <c r="AY258" s="2" t="str">
        <f aca="false">IF($AT258&gt;0,VLOOKUP($AR258,'O_MN, PE_UTA_UGM 2024'!E254:O670,2),"")</f>
        <v/>
      </c>
      <c r="AZ258" s="1507"/>
      <c r="BA258" s="1507"/>
      <c r="BB258" s="1507" t="str">
        <f aca="false">IF($AT258&gt;0,VLOOKUP($AR258,'O_MN, PE_UTA_UGM 2024'!$E$3:$O$419,BB$6),"")</f>
        <v/>
      </c>
      <c r="BC258" s="1507" t="str">
        <f aca="false">IF($AT258&gt;0,VLOOKUP($AR258,'O_MN, PE_UTA_UGM 2024'!$E$3:$O$419,BC$6),"")</f>
        <v/>
      </c>
      <c r="BD258" s="1507" t="str">
        <f aca="false">IF($AT258&gt;0,VLOOKUP($AR258,'O_MN, PE_UTA_UGM 2024'!$E$3:$O$419,BD$6),"")</f>
        <v/>
      </c>
      <c r="BE258" s="1507" t="str">
        <f aca="false">IF($AT258&gt;0,VLOOKUP($AR258,'O_MN, PE_UTA_UGM 2024'!$E$3:$O$419,BE$6),"")</f>
        <v/>
      </c>
      <c r="BF258" s="1507" t="str">
        <f aca="false">IF($AT258&gt;0,VLOOKUP($AR258,'O_MN, PE_UTA_UGM 2024'!$E$3:$O$419,BF$6),"")</f>
        <v/>
      </c>
      <c r="BG258" s="1507" t="str">
        <f aca="false">IF($AT258&gt;0,VLOOKUP($AR258,'O_MN, PE_UTA_UGM 2024'!$E$3:$O$419,BG$6),"")</f>
        <v/>
      </c>
      <c r="BH258" s="1504"/>
      <c r="BI258" s="1504"/>
      <c r="BJ258" s="1504"/>
      <c r="BK258" s="1504"/>
      <c r="BM258" s="1411"/>
      <c r="BN258" s="1411"/>
      <c r="BO258" s="1425" t="str">
        <f aca="false">IF(ISNUMBER($AU258*BB258*1),$AU258*BB258*1,"")</f>
        <v/>
      </c>
      <c r="BP258" s="1425" t="str">
        <f aca="false">IF(ISNUMBER($AV258*BC258*1),$AV258*BC258*1,"")</f>
        <v/>
      </c>
      <c r="BQ258" s="1425" t="str">
        <f aca="false">IF(ISNUMBER($AU258*BD258*1),$AU258*BD258*1,"")</f>
        <v/>
      </c>
      <c r="BR258" s="1425" t="str">
        <f aca="false">IF(ISNUMBER($AV258*BE258*1),$AV258*BE258*1,"")</f>
        <v/>
      </c>
      <c r="BS258" s="1411" t="str">
        <f aca="false">IF(ISNUMBER($AU258*BF258),$AU258*BF258,"")</f>
        <v/>
      </c>
      <c r="BT258" s="1411" t="str">
        <f aca="false">IF(ISNUMBER($AV258*BG258),$AV258*BG258,"")</f>
        <v/>
      </c>
      <c r="BU258" s="1411"/>
      <c r="BV258" s="1411"/>
      <c r="BW258" s="1411"/>
      <c r="BX258" s="1411"/>
      <c r="BZ258" s="1372"/>
      <c r="CA258" s="1372"/>
      <c r="CB258" s="1426" t="str">
        <f aca="false">IF(ISNUMBER($AW258*BB258),$AW258*BB258,"")</f>
        <v/>
      </c>
      <c r="CC258" s="1426" t="str">
        <f aca="false">IF(ISNUMBER($AX258*BC258),$AX258*BC258,"")</f>
        <v/>
      </c>
      <c r="CD258" s="1426" t="str">
        <f aca="false">IF(ISNUMBER($AW258*BD258),$AW258*BD258,"")</f>
        <v/>
      </c>
      <c r="CE258" s="1426" t="str">
        <f aca="false">IF(ISNUMBER($AX258*BE258),$AX258*BE258,"")</f>
        <v/>
      </c>
      <c r="CF258" s="1372" t="str">
        <f aca="false">IF(ISNUMBER($AW258*BF258),$AW258*BF258,"")</f>
        <v/>
      </c>
      <c r="CG258" s="1372" t="str">
        <f aca="false">IF(ISNUMBER($AX258*BG258),$AX258*BG258,"")</f>
        <v/>
      </c>
      <c r="CH258" s="1438"/>
      <c r="CI258" s="1438"/>
      <c r="CJ258" s="1438"/>
      <c r="CK258" s="1438"/>
      <c r="CU258" s="1411"/>
      <c r="CV258" s="1411"/>
      <c r="CW258" s="1425"/>
      <c r="CX258" s="1425"/>
      <c r="CY258" s="1425"/>
      <c r="CZ258" s="1425"/>
      <c r="DA258" s="1411"/>
      <c r="DB258" s="1411"/>
      <c r="DC258" s="1411"/>
      <c r="DD258" s="1411"/>
      <c r="DE258" s="1411"/>
      <c r="DF258" s="1411"/>
      <c r="DH258" s="1432"/>
      <c r="DI258" s="1432"/>
      <c r="DJ258" s="1437"/>
      <c r="DK258" s="1437"/>
      <c r="DL258" s="1437"/>
      <c r="DM258" s="1437"/>
      <c r="DN258" s="1432"/>
      <c r="DO258" s="1432"/>
      <c r="DP258" s="1432"/>
      <c r="DQ258" s="1432"/>
      <c r="DR258" s="1432"/>
      <c r="DS258" s="1432"/>
      <c r="DT258" s="1316"/>
      <c r="DU258" s="1433"/>
      <c r="DV258" s="1433"/>
      <c r="DW258" s="1433"/>
      <c r="DX258" s="1433"/>
      <c r="DY258" s="1433"/>
      <c r="DZ258" s="1433"/>
      <c r="EA258" s="1433"/>
      <c r="EB258" s="1433"/>
    </row>
    <row r="259" customFormat="false" ht="14.25" hidden="false" customHeight="false" outlineLevel="0" collapsed="false">
      <c r="A259" s="2" t="n">
        <f aca="false">'V_DATOS PAC_SGA'!CC254</f>
        <v>0</v>
      </c>
      <c r="B259" s="2" t="n">
        <f aca="false">IF(OR(A259=0,A259=""),0,IF(I259="IV",CONCATENATE('V_DATOS PAC_SGA'!CC254,"4")+0,CONCATENATE('V_DATOS PAC_SGA'!CC254,"0")+0))</f>
        <v>0</v>
      </c>
      <c r="C259" s="2" t="n">
        <f aca="false">'V_DATOS PAC_SGA'!CD254</f>
        <v>0</v>
      </c>
      <c r="D259" s="1409" t="n">
        <f aca="false">'V_DATOS PAC_SGA'!Y254</f>
        <v>0</v>
      </c>
      <c r="E259" s="1410" t="str">
        <f aca="false">IF('V_DATOS PAC_SGA'!AV254="","Regadio",'V_DATOS PAC_SGA'!AV254)</f>
        <v>Regadio</v>
      </c>
      <c r="F259" s="1411" t="n">
        <f aca="false">'V_DATOS PAC_SGA'!BK254</f>
        <v>0</v>
      </c>
      <c r="G259" s="1412" t="n">
        <f aca="false">'V_DATOS PAC_SGA'!AN254</f>
        <v>0</v>
      </c>
      <c r="H259" s="1413" t="str">
        <f aca="false">IF(B259&gt;0,VLOOKUP(B259,'O_MN, PE_UTA_UGM 2024'!E$3:O$419,10),"")</f>
        <v/>
      </c>
      <c r="I259" s="1359" t="str">
        <f aca="false">IF('V_DATOS PAC_SGA'!BV254="IV",'V_DATOS PAC_SGA'!BV254,"")</f>
        <v/>
      </c>
      <c r="J259" s="2" t="str">
        <f aca="false">IF($A259&gt;0,IF(AND(J$4=$G259,J$6=$F259),$D259*J$5,""),"")</f>
        <v/>
      </c>
      <c r="K259" s="2" t="str">
        <f aca="false">IF($A259&gt;0,IF(AND(K$4=$G259,K$6=$F259),$D259*K$5,""),"")</f>
        <v/>
      </c>
      <c r="L259" s="2" t="str">
        <f aca="false">IF($A259&gt;0,IF(AND(L$4=$G259,L$6=$F259),$D259*L$5,""),"")</f>
        <v/>
      </c>
      <c r="M259" s="2" t="str">
        <f aca="false">IF($A259&gt;0,IF(AND(M$4=$G259,M$6=$F259),$D259*M$5,""),"")</f>
        <v/>
      </c>
      <c r="N259" s="1506" t="n">
        <f aca="false">VLOOKUP(B259,'O_MN, PE_UTA_UGM 2024'!$E$2:$K$419,IF(G259&gt;1,6,7))</f>
        <v>0</v>
      </c>
      <c r="O259" s="1434" t="str">
        <f aca="false">IF($H259=O$4,$D259*$N259,"")</f>
        <v/>
      </c>
      <c r="P259" s="1435" t="str">
        <f aca="false">IF($H259=P$4,$D259*$N259,"")</f>
        <v/>
      </c>
      <c r="Q259" s="1435" t="str">
        <f aca="false">IF($H259=Q$4,$D259*$N259,"")</f>
        <v/>
      </c>
      <c r="R259" s="1435" t="str">
        <f aca="false">IF($H259=R$4,$D259*$N259,"")</f>
        <v/>
      </c>
      <c r="S259" s="1435" t="str">
        <f aca="false">IF($H259=S$4,$D259*$N259,"")</f>
        <v/>
      </c>
      <c r="T259" s="1435" t="str">
        <f aca="false">IF($H259=T$4,$D259*$N259,"")</f>
        <v/>
      </c>
      <c r="U259" s="1436" t="str">
        <f aca="false">IF($H259=U$4,$D259*$N259,"")</f>
        <v/>
      </c>
      <c r="V259" s="1418"/>
      <c r="W259" s="1419"/>
      <c r="X259" s="1419"/>
      <c r="Y259" s="1419"/>
      <c r="Z259" s="1419"/>
      <c r="AA259" s="1419"/>
      <c r="AB259" s="1420"/>
      <c r="AC259" s="1319"/>
      <c r="AD259" s="2" t="str">
        <f aca="false">IF(AND(AD$4=$G259,AD$6=$F259),$B259,"")</f>
        <v/>
      </c>
      <c r="AE259" s="2" t="str">
        <f aca="false">IF(AND(AE$4=$G259,AE$6=$F259),$B259,"")</f>
        <v/>
      </c>
      <c r="AF259" s="2" t="str">
        <f aca="false">IF(AND(AF$4=$G259,AF$6=$F259),$B259,"")</f>
        <v/>
      </c>
      <c r="AG259" s="2" t="str">
        <f aca="false">IF(AND(AG$4=$G259,AG$6=$F259),$B259,"")</f>
        <v/>
      </c>
      <c r="AI259" s="366"/>
      <c r="AL259" s="367"/>
      <c r="AO259" s="367"/>
      <c r="AP259" s="2" t="str">
        <f aca="false">IF(AT259&gt;0,RANK(AT259,AT$7:AT$423),"")</f>
        <v/>
      </c>
      <c r="AQ259" s="2" t="n">
        <f aca="false">'O_MN, PE_UTA_UGM 2024'!C255</f>
        <v>253</v>
      </c>
      <c r="AR259" s="1421" t="n">
        <v>2480</v>
      </c>
      <c r="AS259" s="2" t="str">
        <f aca="false">IF(AY259&lt;&gt;"",AY259,"")</f>
        <v/>
      </c>
      <c r="AT259" s="1422" t="n">
        <f aca="false">IF(ISNUMBER($AR259),SUMIF(B$7:B$505,AR259,D$7:D$505),"")</f>
        <v>0</v>
      </c>
      <c r="AU259" s="1411" t="n">
        <f aca="false">IF(ISNUMBER($AR259),SUMIF(AD$7:AD$503,$AR259,J$7:J$503),"")</f>
        <v>0</v>
      </c>
      <c r="AV259" s="1411" t="n">
        <f aca="false">IF(ISNUMBER($AR259),SUMIF(AF$7:AF$503,$AR259,L$7:L$503),"")</f>
        <v>0</v>
      </c>
      <c r="AW259" s="1423" t="n">
        <f aca="false">IF(ISNUMBER($AR259),SUMIF(AE$7:AE$503,$AR259,K$7:K$503),"")</f>
        <v>0</v>
      </c>
      <c r="AX259" s="1423" t="n">
        <f aca="false">IF(ISNUMBER($AR259),SUMIF(AG$7:AG$503,$AR259,M$7:M$503),"")</f>
        <v>0</v>
      </c>
      <c r="AY259" s="2" t="str">
        <f aca="false">IF($AT259&gt;0,VLOOKUP($AR259,'O_MN, PE_UTA_UGM 2024'!E255:O671,2),"")</f>
        <v/>
      </c>
      <c r="AZ259" s="1507"/>
      <c r="BA259" s="1507"/>
      <c r="BB259" s="1507" t="str">
        <f aca="false">IF($AT259&gt;0,VLOOKUP($AR259,'O_MN, PE_UTA_UGM 2024'!$E$3:$O$419,BB$6),"")</f>
        <v/>
      </c>
      <c r="BC259" s="1507" t="str">
        <f aca="false">IF($AT259&gt;0,VLOOKUP($AR259,'O_MN, PE_UTA_UGM 2024'!$E$3:$O$419,BC$6),"")</f>
        <v/>
      </c>
      <c r="BD259" s="1507" t="str">
        <f aca="false">IF($AT259&gt;0,VLOOKUP($AR259,'O_MN, PE_UTA_UGM 2024'!$E$3:$O$419,BD$6),"")</f>
        <v/>
      </c>
      <c r="BE259" s="1507" t="str">
        <f aca="false">IF($AT259&gt;0,VLOOKUP($AR259,'O_MN, PE_UTA_UGM 2024'!$E$3:$O$419,BE$6),"")</f>
        <v/>
      </c>
      <c r="BF259" s="1507" t="str">
        <f aca="false">IF($AT259&gt;0,VLOOKUP($AR259,'O_MN, PE_UTA_UGM 2024'!$E$3:$O$419,BF$6),"")</f>
        <v/>
      </c>
      <c r="BG259" s="1507" t="str">
        <f aca="false">IF($AT259&gt;0,VLOOKUP($AR259,'O_MN, PE_UTA_UGM 2024'!$E$3:$O$419,BG$6),"")</f>
        <v/>
      </c>
      <c r="BH259" s="1504"/>
      <c r="BI259" s="1504"/>
      <c r="BJ259" s="1504"/>
      <c r="BK259" s="1504"/>
      <c r="BM259" s="1411"/>
      <c r="BN259" s="1411"/>
      <c r="BO259" s="1425" t="str">
        <f aca="false">IF(ISNUMBER($AU259*BB259*1),$AU259*BB259*1,"")</f>
        <v/>
      </c>
      <c r="BP259" s="1425" t="str">
        <f aca="false">IF(ISNUMBER($AV259*BC259*1),$AV259*BC259*1,"")</f>
        <v/>
      </c>
      <c r="BQ259" s="1425" t="str">
        <f aca="false">IF(ISNUMBER($AU259*BD259*1),$AU259*BD259*1,"")</f>
        <v/>
      </c>
      <c r="BR259" s="1425" t="str">
        <f aca="false">IF(ISNUMBER($AV259*BE259*1),$AV259*BE259*1,"")</f>
        <v/>
      </c>
      <c r="BS259" s="1411" t="str">
        <f aca="false">IF(ISNUMBER($AU259*BF259),$AU259*BF259,"")</f>
        <v/>
      </c>
      <c r="BT259" s="1411" t="str">
        <f aca="false">IF(ISNUMBER($AV259*BG259),$AV259*BG259,"")</f>
        <v/>
      </c>
      <c r="BU259" s="1411"/>
      <c r="BV259" s="1411"/>
      <c r="BW259" s="1411"/>
      <c r="BX259" s="1411"/>
      <c r="BZ259" s="1372"/>
      <c r="CA259" s="1372"/>
      <c r="CB259" s="1426" t="str">
        <f aca="false">IF(ISNUMBER($AW259*BB259),$AW259*BB259,"")</f>
        <v/>
      </c>
      <c r="CC259" s="1426" t="str">
        <f aca="false">IF(ISNUMBER($AX259*BC259),$AX259*BC259,"")</f>
        <v/>
      </c>
      <c r="CD259" s="1426" t="str">
        <f aca="false">IF(ISNUMBER($AW259*BD259),$AW259*BD259,"")</f>
        <v/>
      </c>
      <c r="CE259" s="1426" t="str">
        <f aca="false">IF(ISNUMBER($AX259*BE259),$AX259*BE259,"")</f>
        <v/>
      </c>
      <c r="CF259" s="1372" t="str">
        <f aca="false">IF(ISNUMBER($AW259*BF259),$AW259*BF259,"")</f>
        <v/>
      </c>
      <c r="CG259" s="1372" t="str">
        <f aca="false">IF(ISNUMBER($AX259*BG259),$AX259*BG259,"")</f>
        <v/>
      </c>
      <c r="CH259" s="1438"/>
      <c r="CI259" s="1438"/>
      <c r="CJ259" s="1438"/>
      <c r="CK259" s="1438"/>
      <c r="CU259" s="1411"/>
      <c r="CV259" s="1411"/>
      <c r="CW259" s="1425"/>
      <c r="CX259" s="1425"/>
      <c r="CY259" s="1425"/>
      <c r="CZ259" s="1425"/>
      <c r="DA259" s="1411"/>
      <c r="DB259" s="1411"/>
      <c r="DC259" s="1411"/>
      <c r="DD259" s="1411"/>
      <c r="DE259" s="1411"/>
      <c r="DF259" s="1411"/>
      <c r="DH259" s="1432"/>
      <c r="DI259" s="1432"/>
      <c r="DJ259" s="1437"/>
      <c r="DK259" s="1437"/>
      <c r="DL259" s="1437"/>
      <c r="DM259" s="1437"/>
      <c r="DN259" s="1432"/>
      <c r="DO259" s="1432"/>
      <c r="DP259" s="1432"/>
      <c r="DQ259" s="1432"/>
      <c r="DR259" s="1432"/>
      <c r="DS259" s="1432"/>
      <c r="DT259" s="1316"/>
      <c r="DU259" s="1433"/>
      <c r="DV259" s="1433"/>
      <c r="DW259" s="1433"/>
      <c r="DX259" s="1433"/>
      <c r="DY259" s="1433"/>
      <c r="DZ259" s="1433"/>
      <c r="EA259" s="1433"/>
      <c r="EB259" s="1433"/>
    </row>
    <row r="260" customFormat="false" ht="14.25" hidden="false" customHeight="false" outlineLevel="0" collapsed="false">
      <c r="A260" s="2" t="n">
        <f aca="false">'V_DATOS PAC_SGA'!CC255</f>
        <v>0</v>
      </c>
      <c r="B260" s="2" t="n">
        <f aca="false">IF(OR(A260=0,A260=""),0,IF(I260="IV",CONCATENATE('V_DATOS PAC_SGA'!CC255,"4")+0,CONCATENATE('V_DATOS PAC_SGA'!CC255,"0")+0))</f>
        <v>0</v>
      </c>
      <c r="C260" s="2" t="n">
        <f aca="false">'V_DATOS PAC_SGA'!CD255</f>
        <v>0</v>
      </c>
      <c r="D260" s="1409" t="n">
        <f aca="false">'V_DATOS PAC_SGA'!Y255</f>
        <v>0</v>
      </c>
      <c r="E260" s="1410" t="str">
        <f aca="false">IF('V_DATOS PAC_SGA'!AV255="","Regadio",'V_DATOS PAC_SGA'!AV255)</f>
        <v>Regadio</v>
      </c>
      <c r="F260" s="1411" t="n">
        <f aca="false">'V_DATOS PAC_SGA'!BK255</f>
        <v>0</v>
      </c>
      <c r="G260" s="1412" t="n">
        <f aca="false">'V_DATOS PAC_SGA'!AN255</f>
        <v>0</v>
      </c>
      <c r="H260" s="1413" t="str">
        <f aca="false">IF(B260&gt;0,VLOOKUP(B260,'O_MN, PE_UTA_UGM 2024'!E$3:O$419,10),"")</f>
        <v/>
      </c>
      <c r="I260" s="1359" t="str">
        <f aca="false">IF('V_DATOS PAC_SGA'!BV255="IV",'V_DATOS PAC_SGA'!BV255,"")</f>
        <v/>
      </c>
      <c r="J260" s="2" t="str">
        <f aca="false">IF($A260&gt;0,IF(AND(J$4=$G260,J$6=$F260),$D260*J$5,""),"")</f>
        <v/>
      </c>
      <c r="K260" s="2" t="str">
        <f aca="false">IF($A260&gt;0,IF(AND(K$4=$G260,K$6=$F260),$D260*K$5,""),"")</f>
        <v/>
      </c>
      <c r="L260" s="2" t="str">
        <f aca="false">IF($A260&gt;0,IF(AND(L$4=$G260,L$6=$F260),$D260*L$5,""),"")</f>
        <v/>
      </c>
      <c r="M260" s="2" t="str">
        <f aca="false">IF($A260&gt;0,IF(AND(M$4=$G260,M$6=$F260),$D260*M$5,""),"")</f>
        <v/>
      </c>
      <c r="N260" s="1506" t="n">
        <f aca="false">VLOOKUP(B260,'O_MN, PE_UTA_UGM 2024'!$E$2:$K$419,IF(G260&gt;1,6,7))</f>
        <v>0</v>
      </c>
      <c r="O260" s="1434" t="str">
        <f aca="false">IF($H260=O$4,$D260*$N260,"")</f>
        <v/>
      </c>
      <c r="P260" s="1435" t="str">
        <f aca="false">IF($H260=P$4,$D260*$N260,"")</f>
        <v/>
      </c>
      <c r="Q260" s="1435" t="str">
        <f aca="false">IF($H260=Q$4,$D260*$N260,"")</f>
        <v/>
      </c>
      <c r="R260" s="1435" t="str">
        <f aca="false">IF($H260=R$4,$D260*$N260,"")</f>
        <v/>
      </c>
      <c r="S260" s="1435" t="str">
        <f aca="false">IF($H260=S$4,$D260*$N260,"")</f>
        <v/>
      </c>
      <c r="T260" s="1435" t="str">
        <f aca="false">IF($H260=T$4,$D260*$N260,"")</f>
        <v/>
      </c>
      <c r="U260" s="1436" t="str">
        <f aca="false">IF($H260=U$4,$D260*$N260,"")</f>
        <v/>
      </c>
      <c r="V260" s="1418"/>
      <c r="W260" s="1419"/>
      <c r="X260" s="1419"/>
      <c r="Y260" s="1419"/>
      <c r="Z260" s="1419"/>
      <c r="AA260" s="1419"/>
      <c r="AB260" s="1420"/>
      <c r="AC260" s="1319"/>
      <c r="AD260" s="2" t="str">
        <f aca="false">IF(AND(AD$4=$G260,AD$6=$F260),$B260,"")</f>
        <v/>
      </c>
      <c r="AE260" s="2" t="str">
        <f aca="false">IF(AND(AE$4=$G260,AE$6=$F260),$B260,"")</f>
        <v/>
      </c>
      <c r="AF260" s="2" t="str">
        <f aca="false">IF(AND(AF$4=$G260,AF$6=$F260),$B260,"")</f>
        <v/>
      </c>
      <c r="AG260" s="2" t="str">
        <f aca="false">IF(AND(AG$4=$G260,AG$6=$F260),$B260,"")</f>
        <v/>
      </c>
      <c r="AI260" s="366"/>
      <c r="AL260" s="367"/>
      <c r="AO260" s="367"/>
      <c r="AP260" s="2" t="str">
        <f aca="false">IF(AT260&gt;0,RANK(AT260,AT$7:AT$423),"")</f>
        <v/>
      </c>
      <c r="AQ260" s="2" t="n">
        <f aca="false">'O_MN, PE_UTA_UGM 2024'!C256</f>
        <v>254</v>
      </c>
      <c r="AR260" s="1421" t="n">
        <v>2490</v>
      </c>
      <c r="AS260" s="2" t="str">
        <f aca="false">IF(AY260&lt;&gt;"",AY260,"")</f>
        <v/>
      </c>
      <c r="AT260" s="1422" t="n">
        <f aca="false">IF(ISNUMBER($AR260),SUMIF(B$7:B$505,AR260,D$7:D$505),"")</f>
        <v>0</v>
      </c>
      <c r="AU260" s="1411" t="n">
        <f aca="false">IF(ISNUMBER($AR260),SUMIF(AD$7:AD$503,$AR260,J$7:J$503),"")</f>
        <v>0</v>
      </c>
      <c r="AV260" s="1411" t="n">
        <f aca="false">IF(ISNUMBER($AR260),SUMIF(AF$7:AF$503,$AR260,L$7:L$503),"")</f>
        <v>0</v>
      </c>
      <c r="AW260" s="1423" t="n">
        <f aca="false">IF(ISNUMBER($AR260),SUMIF(AE$7:AE$503,$AR260,K$7:K$503),"")</f>
        <v>0</v>
      </c>
      <c r="AX260" s="1423" t="n">
        <f aca="false">IF(ISNUMBER($AR260),SUMIF(AG$7:AG$503,$AR260,M$7:M$503),"")</f>
        <v>0</v>
      </c>
      <c r="AY260" s="2" t="str">
        <f aca="false">IF($AT260&gt;0,VLOOKUP($AR260,'O_MN, PE_UTA_UGM 2024'!E256:O672,2),"")</f>
        <v/>
      </c>
      <c r="AZ260" s="1507"/>
      <c r="BA260" s="1507"/>
      <c r="BB260" s="1507" t="str">
        <f aca="false">IF($AT260&gt;0,VLOOKUP($AR260,'O_MN, PE_UTA_UGM 2024'!$E$3:$O$419,BB$6),"")</f>
        <v/>
      </c>
      <c r="BC260" s="1507" t="str">
        <f aca="false">IF($AT260&gt;0,VLOOKUP($AR260,'O_MN, PE_UTA_UGM 2024'!$E$3:$O$419,BC$6),"")</f>
        <v/>
      </c>
      <c r="BD260" s="1507" t="str">
        <f aca="false">IF($AT260&gt;0,VLOOKUP($AR260,'O_MN, PE_UTA_UGM 2024'!$E$3:$O$419,BD$6),"")</f>
        <v/>
      </c>
      <c r="BE260" s="1507" t="str">
        <f aca="false">IF($AT260&gt;0,VLOOKUP($AR260,'O_MN, PE_UTA_UGM 2024'!$E$3:$O$419,BE$6),"")</f>
        <v/>
      </c>
      <c r="BF260" s="1507" t="str">
        <f aca="false">IF($AT260&gt;0,VLOOKUP($AR260,'O_MN, PE_UTA_UGM 2024'!$E$3:$O$419,BF$6),"")</f>
        <v/>
      </c>
      <c r="BG260" s="1507" t="str">
        <f aca="false">IF($AT260&gt;0,VLOOKUP($AR260,'O_MN, PE_UTA_UGM 2024'!$E$3:$O$419,BG$6),"")</f>
        <v/>
      </c>
      <c r="BH260" s="1504"/>
      <c r="BI260" s="1504"/>
      <c r="BJ260" s="1504"/>
      <c r="BK260" s="1504"/>
      <c r="BM260" s="1411"/>
      <c r="BN260" s="1411"/>
      <c r="BO260" s="1425" t="str">
        <f aca="false">IF(ISNUMBER($AU260*BB260*1),$AU260*BB260*1,"")</f>
        <v/>
      </c>
      <c r="BP260" s="1425" t="str">
        <f aca="false">IF(ISNUMBER($AV260*BC260*1),$AV260*BC260*1,"")</f>
        <v/>
      </c>
      <c r="BQ260" s="1425" t="str">
        <f aca="false">IF(ISNUMBER($AU260*BD260*1),$AU260*BD260*1,"")</f>
        <v/>
      </c>
      <c r="BR260" s="1425" t="str">
        <f aca="false">IF(ISNUMBER($AV260*BE260*1),$AV260*BE260*1,"")</f>
        <v/>
      </c>
      <c r="BS260" s="1411" t="str">
        <f aca="false">IF(ISNUMBER($AU260*BF260),$AU260*BF260,"")</f>
        <v/>
      </c>
      <c r="BT260" s="1411" t="str">
        <f aca="false">IF(ISNUMBER($AV260*BG260),$AV260*BG260,"")</f>
        <v/>
      </c>
      <c r="BU260" s="1411"/>
      <c r="BV260" s="1411"/>
      <c r="BW260" s="1411"/>
      <c r="BX260" s="1411"/>
      <c r="BZ260" s="1372"/>
      <c r="CA260" s="1372"/>
      <c r="CB260" s="1426" t="str">
        <f aca="false">IF(ISNUMBER($AW260*BB260),$AW260*BB260,"")</f>
        <v/>
      </c>
      <c r="CC260" s="1426" t="str">
        <f aca="false">IF(ISNUMBER($AX260*BC260),$AX260*BC260,"")</f>
        <v/>
      </c>
      <c r="CD260" s="1426" t="str">
        <f aca="false">IF(ISNUMBER($AW260*BD260),$AW260*BD260,"")</f>
        <v/>
      </c>
      <c r="CE260" s="1426" t="str">
        <f aca="false">IF(ISNUMBER($AX260*BE260),$AX260*BE260,"")</f>
        <v/>
      </c>
      <c r="CF260" s="1372" t="str">
        <f aca="false">IF(ISNUMBER($AW260*BF260),$AW260*BF260,"")</f>
        <v/>
      </c>
      <c r="CG260" s="1372" t="str">
        <f aca="false">IF(ISNUMBER($AX260*BG260),$AX260*BG260,"")</f>
        <v/>
      </c>
      <c r="CH260" s="1438"/>
      <c r="CI260" s="1438"/>
      <c r="CJ260" s="1438"/>
      <c r="CK260" s="1438"/>
      <c r="CU260" s="1411"/>
      <c r="CV260" s="1411"/>
      <c r="CW260" s="1425"/>
      <c r="CX260" s="1425"/>
      <c r="CY260" s="1425"/>
      <c r="CZ260" s="1425"/>
      <c r="DA260" s="1411"/>
      <c r="DB260" s="1411"/>
      <c r="DC260" s="1411"/>
      <c r="DD260" s="1411"/>
      <c r="DE260" s="1411"/>
      <c r="DF260" s="1411"/>
      <c r="DH260" s="1432"/>
      <c r="DI260" s="1432"/>
      <c r="DJ260" s="1437"/>
      <c r="DK260" s="1437"/>
      <c r="DL260" s="1437"/>
      <c r="DM260" s="1437"/>
      <c r="DN260" s="1432"/>
      <c r="DO260" s="1432"/>
      <c r="DP260" s="1432"/>
      <c r="DQ260" s="1432"/>
      <c r="DR260" s="1432"/>
      <c r="DS260" s="1432"/>
      <c r="DT260" s="1316"/>
      <c r="DU260" s="1433"/>
      <c r="DV260" s="1433"/>
      <c r="DW260" s="1433"/>
      <c r="DX260" s="1433"/>
      <c r="DY260" s="1433"/>
      <c r="DZ260" s="1433"/>
      <c r="EA260" s="1433"/>
      <c r="EB260" s="1433"/>
    </row>
    <row r="261" customFormat="false" ht="14.25" hidden="false" customHeight="false" outlineLevel="0" collapsed="false">
      <c r="A261" s="2" t="n">
        <f aca="false">'V_DATOS PAC_SGA'!CC256</f>
        <v>0</v>
      </c>
      <c r="B261" s="2" t="n">
        <f aca="false">IF(OR(A261=0,A261=""),0,IF(I261="IV",CONCATENATE('V_DATOS PAC_SGA'!CC256,"4")+0,CONCATENATE('V_DATOS PAC_SGA'!CC256,"0")+0))</f>
        <v>0</v>
      </c>
      <c r="C261" s="2" t="n">
        <f aca="false">'V_DATOS PAC_SGA'!CD256</f>
        <v>0</v>
      </c>
      <c r="D261" s="1409" t="n">
        <f aca="false">'V_DATOS PAC_SGA'!Y256</f>
        <v>0</v>
      </c>
      <c r="E261" s="1410" t="str">
        <f aca="false">IF('V_DATOS PAC_SGA'!AV256="","Regadio",'V_DATOS PAC_SGA'!AV256)</f>
        <v>Regadio</v>
      </c>
      <c r="F261" s="1411" t="n">
        <f aca="false">'V_DATOS PAC_SGA'!BK256</f>
        <v>0</v>
      </c>
      <c r="G261" s="1412" t="n">
        <f aca="false">'V_DATOS PAC_SGA'!AN256</f>
        <v>0</v>
      </c>
      <c r="H261" s="1413" t="str">
        <f aca="false">IF(B261&gt;0,VLOOKUP(B261,'O_MN, PE_UTA_UGM 2024'!E$3:O$419,10),"")</f>
        <v/>
      </c>
      <c r="I261" s="1359" t="str">
        <f aca="false">IF('V_DATOS PAC_SGA'!BV256="IV",'V_DATOS PAC_SGA'!BV256,"")</f>
        <v/>
      </c>
      <c r="J261" s="2" t="str">
        <f aca="false">IF($A261&gt;0,IF(AND(J$4=$G261,J$6=$F261),$D261*J$5,""),"")</f>
        <v/>
      </c>
      <c r="K261" s="2" t="str">
        <f aca="false">IF($A261&gt;0,IF(AND(K$4=$G261,K$6=$F261),$D261*K$5,""),"")</f>
        <v/>
      </c>
      <c r="L261" s="2" t="str">
        <f aca="false">IF($A261&gt;0,IF(AND(L$4=$G261,L$6=$F261),$D261*L$5,""),"")</f>
        <v/>
      </c>
      <c r="M261" s="2" t="str">
        <f aca="false">IF($A261&gt;0,IF(AND(M$4=$G261,M$6=$F261),$D261*M$5,""),"")</f>
        <v/>
      </c>
      <c r="N261" s="1506" t="n">
        <f aca="false">VLOOKUP(B261,'O_MN, PE_UTA_UGM 2024'!$E$2:$K$419,IF(G261&gt;1,6,7))</f>
        <v>0</v>
      </c>
      <c r="O261" s="1434" t="str">
        <f aca="false">IF($H261=O$4,$D261*$N261,"")</f>
        <v/>
      </c>
      <c r="P261" s="1435" t="str">
        <f aca="false">IF($H261=P$4,$D261*$N261,"")</f>
        <v/>
      </c>
      <c r="Q261" s="1435" t="str">
        <f aca="false">IF($H261=Q$4,$D261*$N261,"")</f>
        <v/>
      </c>
      <c r="R261" s="1435" t="str">
        <f aca="false">IF($H261=R$4,$D261*$N261,"")</f>
        <v/>
      </c>
      <c r="S261" s="1435" t="str">
        <f aca="false">IF($H261=S$4,$D261*$N261,"")</f>
        <v/>
      </c>
      <c r="T261" s="1435" t="str">
        <f aca="false">IF($H261=T$4,$D261*$N261,"")</f>
        <v/>
      </c>
      <c r="U261" s="1436" t="str">
        <f aca="false">IF($H261=U$4,$D261*$N261,"")</f>
        <v/>
      </c>
      <c r="V261" s="1418"/>
      <c r="W261" s="1419"/>
      <c r="X261" s="1419"/>
      <c r="Y261" s="1419"/>
      <c r="Z261" s="1419"/>
      <c r="AA261" s="1419"/>
      <c r="AB261" s="1420"/>
      <c r="AC261" s="1319"/>
      <c r="AD261" s="2" t="str">
        <f aca="false">IF(AND(AD$4=$G261,AD$6=$F261),$B261,"")</f>
        <v/>
      </c>
      <c r="AE261" s="2" t="str">
        <f aca="false">IF(AND(AE$4=$G261,AE$6=$F261),$B261,"")</f>
        <v/>
      </c>
      <c r="AF261" s="2" t="str">
        <f aca="false">IF(AND(AF$4=$G261,AF$6=$F261),$B261,"")</f>
        <v/>
      </c>
      <c r="AG261" s="2" t="str">
        <f aca="false">IF(AND(AG$4=$G261,AG$6=$F261),$B261,"")</f>
        <v/>
      </c>
      <c r="AI261" s="366"/>
      <c r="AL261" s="367"/>
      <c r="AO261" s="367"/>
      <c r="AP261" s="2" t="str">
        <f aca="false">IF(AT261&gt;0,RANK(AT261,AT$7:AT$423),"")</f>
        <v/>
      </c>
      <c r="AQ261" s="2" t="n">
        <f aca="false">'O_MN, PE_UTA_UGM 2024'!C257</f>
        <v>256</v>
      </c>
      <c r="AR261" s="1421" t="n">
        <v>2500</v>
      </c>
      <c r="AS261" s="2" t="str">
        <f aca="false">IF(AY261&lt;&gt;"",AY261,"")</f>
        <v/>
      </c>
      <c r="AT261" s="1422" t="n">
        <f aca="false">IF(ISNUMBER($AR261),SUMIF(B$7:B$505,AR261,D$7:D$505),"")</f>
        <v>0</v>
      </c>
      <c r="AU261" s="1411" t="n">
        <f aca="false">IF(ISNUMBER($AR261),SUMIF(AD$7:AD$503,$AR261,J$7:J$503),"")</f>
        <v>0</v>
      </c>
      <c r="AV261" s="1411" t="n">
        <f aca="false">IF(ISNUMBER($AR261),SUMIF(AF$7:AF$503,$AR261,L$7:L$503),"")</f>
        <v>0</v>
      </c>
      <c r="AW261" s="1423" t="n">
        <f aca="false">IF(ISNUMBER($AR261),SUMIF(AE$7:AE$503,$AR261,K$7:K$503),"")</f>
        <v>0</v>
      </c>
      <c r="AX261" s="1423" t="n">
        <f aca="false">IF(ISNUMBER($AR261),SUMIF(AG$7:AG$503,$AR261,M$7:M$503),"")</f>
        <v>0</v>
      </c>
      <c r="AY261" s="2" t="str">
        <f aca="false">IF($AT261&gt;0,VLOOKUP($AR261,'O_MN, PE_UTA_UGM 2024'!E257:O673,2),"")</f>
        <v/>
      </c>
      <c r="AZ261" s="1507"/>
      <c r="BA261" s="1507"/>
      <c r="BB261" s="1507" t="str">
        <f aca="false">IF($AT261&gt;0,VLOOKUP($AR261,'O_MN, PE_UTA_UGM 2024'!$E$3:$O$419,BB$6),"")</f>
        <v/>
      </c>
      <c r="BC261" s="1507" t="str">
        <f aca="false">IF($AT261&gt;0,VLOOKUP($AR261,'O_MN, PE_UTA_UGM 2024'!$E$3:$O$419,BC$6),"")</f>
        <v/>
      </c>
      <c r="BD261" s="1507" t="str">
        <f aca="false">IF($AT261&gt;0,VLOOKUP($AR261,'O_MN, PE_UTA_UGM 2024'!$E$3:$O$419,BD$6),"")</f>
        <v/>
      </c>
      <c r="BE261" s="1507" t="str">
        <f aca="false">IF($AT261&gt;0,VLOOKUP($AR261,'O_MN, PE_UTA_UGM 2024'!$E$3:$O$419,BE$6),"")</f>
        <v/>
      </c>
      <c r="BF261" s="1507" t="str">
        <f aca="false">IF($AT261&gt;0,VLOOKUP($AR261,'O_MN, PE_UTA_UGM 2024'!$E$3:$O$419,BF$6),"")</f>
        <v/>
      </c>
      <c r="BG261" s="1507" t="str">
        <f aca="false">IF($AT261&gt;0,VLOOKUP($AR261,'O_MN, PE_UTA_UGM 2024'!$E$3:$O$419,BG$6),"")</f>
        <v/>
      </c>
      <c r="BH261" s="1504"/>
      <c r="BI261" s="1504"/>
      <c r="BJ261" s="1504"/>
      <c r="BK261" s="1504"/>
      <c r="BM261" s="1411"/>
      <c r="BN261" s="1411"/>
      <c r="BO261" s="1425" t="str">
        <f aca="false">IF(ISNUMBER($AU261*BB261*1),$AU261*BB261*1,"")</f>
        <v/>
      </c>
      <c r="BP261" s="1425" t="str">
        <f aca="false">IF(ISNUMBER($AV261*BC261*1),$AV261*BC261*1,"")</f>
        <v/>
      </c>
      <c r="BQ261" s="1425" t="str">
        <f aca="false">IF(ISNUMBER($AU261*BD261*1),$AU261*BD261*1,"")</f>
        <v/>
      </c>
      <c r="BR261" s="1425" t="str">
        <f aca="false">IF(ISNUMBER($AV261*BE261*1),$AV261*BE261*1,"")</f>
        <v/>
      </c>
      <c r="BS261" s="1411" t="str">
        <f aca="false">IF(ISNUMBER($AU261*BF261),$AU261*BF261,"")</f>
        <v/>
      </c>
      <c r="BT261" s="1411" t="str">
        <f aca="false">IF(ISNUMBER($AV261*BG261),$AV261*BG261,"")</f>
        <v/>
      </c>
      <c r="BU261" s="1411"/>
      <c r="BV261" s="1411"/>
      <c r="BW261" s="1411"/>
      <c r="BX261" s="1411"/>
      <c r="BZ261" s="1372"/>
      <c r="CA261" s="1372"/>
      <c r="CB261" s="1426" t="str">
        <f aca="false">IF(ISNUMBER($AW261*BB261),$AW261*BB261,"")</f>
        <v/>
      </c>
      <c r="CC261" s="1426" t="str">
        <f aca="false">IF(ISNUMBER($AX261*BC261),$AX261*BC261,"")</f>
        <v/>
      </c>
      <c r="CD261" s="1426" t="str">
        <f aca="false">IF(ISNUMBER($AW261*BD261),$AW261*BD261,"")</f>
        <v/>
      </c>
      <c r="CE261" s="1426" t="str">
        <f aca="false">IF(ISNUMBER($AX261*BE261),$AX261*BE261,"")</f>
        <v/>
      </c>
      <c r="CF261" s="1372" t="str">
        <f aca="false">IF(ISNUMBER($AW261*BF261),$AW261*BF261,"")</f>
        <v/>
      </c>
      <c r="CG261" s="1372" t="str">
        <f aca="false">IF(ISNUMBER($AX261*BG261),$AX261*BG261,"")</f>
        <v/>
      </c>
      <c r="CH261" s="1438"/>
      <c r="CI261" s="1438"/>
      <c r="CJ261" s="1438"/>
      <c r="CK261" s="1438"/>
      <c r="CU261" s="1411"/>
      <c r="CV261" s="1411"/>
      <c r="CW261" s="1425"/>
      <c r="CX261" s="1425"/>
      <c r="CY261" s="1425"/>
      <c r="CZ261" s="1425"/>
      <c r="DA261" s="1411"/>
      <c r="DB261" s="1411"/>
      <c r="DC261" s="1411"/>
      <c r="DD261" s="1411"/>
      <c r="DE261" s="1411"/>
      <c r="DF261" s="1411"/>
      <c r="DH261" s="1432"/>
      <c r="DI261" s="1432"/>
      <c r="DJ261" s="1437"/>
      <c r="DK261" s="1437"/>
      <c r="DL261" s="1437"/>
      <c r="DM261" s="1437"/>
      <c r="DN261" s="1432"/>
      <c r="DO261" s="1432"/>
      <c r="DP261" s="1432"/>
      <c r="DQ261" s="1432"/>
      <c r="DR261" s="1432"/>
      <c r="DS261" s="1432"/>
      <c r="DT261" s="1316"/>
      <c r="DU261" s="1433"/>
      <c r="DV261" s="1433"/>
      <c r="DW261" s="1433"/>
      <c r="DX261" s="1433"/>
      <c r="DY261" s="1433"/>
      <c r="DZ261" s="1433"/>
      <c r="EA261" s="1433"/>
      <c r="EB261" s="1433"/>
    </row>
    <row r="262" customFormat="false" ht="14.25" hidden="false" customHeight="false" outlineLevel="0" collapsed="false">
      <c r="A262" s="2" t="n">
        <f aca="false">'V_DATOS PAC_SGA'!CC257</f>
        <v>0</v>
      </c>
      <c r="B262" s="2" t="n">
        <f aca="false">IF(OR(A262=0,A262=""),0,IF(I262="IV",CONCATENATE('V_DATOS PAC_SGA'!CC257,"4")+0,CONCATENATE('V_DATOS PAC_SGA'!CC257,"0")+0))</f>
        <v>0</v>
      </c>
      <c r="C262" s="2" t="n">
        <f aca="false">'V_DATOS PAC_SGA'!CD257</f>
        <v>0</v>
      </c>
      <c r="D262" s="1409" t="n">
        <f aca="false">'V_DATOS PAC_SGA'!Y257</f>
        <v>0</v>
      </c>
      <c r="E262" s="1410" t="str">
        <f aca="false">IF('V_DATOS PAC_SGA'!AV257="","Regadio",'V_DATOS PAC_SGA'!AV257)</f>
        <v>Regadio</v>
      </c>
      <c r="F262" s="1411" t="n">
        <f aca="false">'V_DATOS PAC_SGA'!BK257</f>
        <v>0</v>
      </c>
      <c r="G262" s="1412" t="n">
        <f aca="false">'V_DATOS PAC_SGA'!AN257</f>
        <v>0</v>
      </c>
      <c r="H262" s="1413" t="str">
        <f aca="false">IF(B262&gt;0,VLOOKUP(B262,'O_MN, PE_UTA_UGM 2024'!E$3:O$419,10),"")</f>
        <v/>
      </c>
      <c r="I262" s="1359" t="str">
        <f aca="false">IF('V_DATOS PAC_SGA'!BV257="IV",'V_DATOS PAC_SGA'!BV257,"")</f>
        <v/>
      </c>
      <c r="J262" s="2" t="str">
        <f aca="false">IF($A262&gt;0,IF(AND(J$4=$G262,J$6=$F262),$D262*J$5,""),"")</f>
        <v/>
      </c>
      <c r="K262" s="2" t="str">
        <f aca="false">IF($A262&gt;0,IF(AND(K$4=$G262,K$6=$F262),$D262*K$5,""),"")</f>
        <v/>
      </c>
      <c r="L262" s="2" t="str">
        <f aca="false">IF($A262&gt;0,IF(AND(L$4=$G262,L$6=$F262),$D262*L$5,""),"")</f>
        <v/>
      </c>
      <c r="M262" s="2" t="str">
        <f aca="false">IF($A262&gt;0,IF(AND(M$4=$G262,M$6=$F262),$D262*M$5,""),"")</f>
        <v/>
      </c>
      <c r="N262" s="1506" t="n">
        <f aca="false">VLOOKUP(B262,'O_MN, PE_UTA_UGM 2024'!$E$2:$K$419,IF(G262&gt;1,6,7))</f>
        <v>0</v>
      </c>
      <c r="O262" s="1434" t="str">
        <f aca="false">IF($H262=O$4,$D262*$N262,"")</f>
        <v/>
      </c>
      <c r="P262" s="1435" t="str">
        <f aca="false">IF($H262=P$4,$D262*$N262,"")</f>
        <v/>
      </c>
      <c r="Q262" s="1435" t="str">
        <f aca="false">IF($H262=Q$4,$D262*$N262,"")</f>
        <v/>
      </c>
      <c r="R262" s="1435" t="str">
        <f aca="false">IF($H262=R$4,$D262*$N262,"")</f>
        <v/>
      </c>
      <c r="S262" s="1435" t="str">
        <f aca="false">IF($H262=S$4,$D262*$N262,"")</f>
        <v/>
      </c>
      <c r="T262" s="1435" t="str">
        <f aca="false">IF($H262=T$4,$D262*$N262,"")</f>
        <v/>
      </c>
      <c r="U262" s="1436" t="str">
        <f aca="false">IF($H262=U$4,$D262*$N262,"")</f>
        <v/>
      </c>
      <c r="V262" s="1418"/>
      <c r="W262" s="1419"/>
      <c r="X262" s="1419"/>
      <c r="Y262" s="1419"/>
      <c r="Z262" s="1419"/>
      <c r="AA262" s="1419"/>
      <c r="AB262" s="1420"/>
      <c r="AC262" s="1319"/>
      <c r="AD262" s="2" t="str">
        <f aca="false">IF(AND(AD$4=$G262,AD$6=$F262),$B262,"")</f>
        <v/>
      </c>
      <c r="AE262" s="2" t="str">
        <f aca="false">IF(AND(AE$4=$G262,AE$6=$F262),$B262,"")</f>
        <v/>
      </c>
      <c r="AF262" s="2" t="str">
        <f aca="false">IF(AND(AF$4=$G262,AF$6=$F262),$B262,"")</f>
        <v/>
      </c>
      <c r="AG262" s="2" t="str">
        <f aca="false">IF(AND(AG$4=$G262,AG$6=$F262),$B262,"")</f>
        <v/>
      </c>
      <c r="AI262" s="366"/>
      <c r="AL262" s="367"/>
      <c r="AO262" s="367"/>
      <c r="AP262" s="2" t="str">
        <f aca="false">IF(AT262&gt;0,RANK(AT262,AT$7:AT$423),"")</f>
        <v/>
      </c>
      <c r="AQ262" s="2" t="n">
        <f aca="false">'O_MN, PE_UTA_UGM 2024'!C258</f>
        <v>257</v>
      </c>
      <c r="AR262" s="1421" t="n">
        <v>2510</v>
      </c>
      <c r="AS262" s="2" t="str">
        <f aca="false">IF(AY262&lt;&gt;"",AY262,"")</f>
        <v/>
      </c>
      <c r="AT262" s="1422" t="n">
        <f aca="false">IF(ISNUMBER($AR262),SUMIF(B$7:B$505,AR262,D$7:D$505),"")</f>
        <v>0</v>
      </c>
      <c r="AU262" s="1411" t="n">
        <f aca="false">IF(ISNUMBER($AR262),SUMIF(AD$7:AD$503,$AR262,J$7:J$503),"")</f>
        <v>0</v>
      </c>
      <c r="AV262" s="1411" t="n">
        <f aca="false">IF(ISNUMBER($AR262),SUMIF(AF$7:AF$503,$AR262,L$7:L$503),"")</f>
        <v>0</v>
      </c>
      <c r="AW262" s="1423" t="n">
        <f aca="false">IF(ISNUMBER($AR262),SUMIF(AE$7:AE$503,$AR262,K$7:K$503),"")</f>
        <v>0</v>
      </c>
      <c r="AX262" s="1423" t="n">
        <f aca="false">IF(ISNUMBER($AR262),SUMIF(AG$7:AG$503,$AR262,M$7:M$503),"")</f>
        <v>0</v>
      </c>
      <c r="AY262" s="2" t="str">
        <f aca="false">IF($AT262&gt;0,VLOOKUP($AR262,'O_MN, PE_UTA_UGM 2024'!E258:O674,2),"")</f>
        <v/>
      </c>
      <c r="AZ262" s="1507"/>
      <c r="BA262" s="1507"/>
      <c r="BB262" s="1507" t="str">
        <f aca="false">IF($AT262&gt;0,VLOOKUP($AR262,'O_MN, PE_UTA_UGM 2024'!$E$3:$O$419,BB$6),"")</f>
        <v/>
      </c>
      <c r="BC262" s="1507" t="str">
        <f aca="false">IF($AT262&gt;0,VLOOKUP($AR262,'O_MN, PE_UTA_UGM 2024'!$E$3:$O$419,BC$6),"")</f>
        <v/>
      </c>
      <c r="BD262" s="1507" t="str">
        <f aca="false">IF($AT262&gt;0,VLOOKUP($AR262,'O_MN, PE_UTA_UGM 2024'!$E$3:$O$419,BD$6),"")</f>
        <v/>
      </c>
      <c r="BE262" s="1507" t="str">
        <f aca="false">IF($AT262&gt;0,VLOOKUP($AR262,'O_MN, PE_UTA_UGM 2024'!$E$3:$O$419,BE$6),"")</f>
        <v/>
      </c>
      <c r="BF262" s="1507" t="str">
        <f aca="false">IF($AT262&gt;0,VLOOKUP($AR262,'O_MN, PE_UTA_UGM 2024'!$E$3:$O$419,BF$6),"")</f>
        <v/>
      </c>
      <c r="BG262" s="1507" t="str">
        <f aca="false">IF($AT262&gt;0,VLOOKUP($AR262,'O_MN, PE_UTA_UGM 2024'!$E$3:$O$419,BG$6),"")</f>
        <v/>
      </c>
      <c r="BH262" s="1504"/>
      <c r="BI262" s="1504"/>
      <c r="BJ262" s="1504"/>
      <c r="BK262" s="1504"/>
      <c r="BM262" s="1411"/>
      <c r="BN262" s="1411"/>
      <c r="BO262" s="1425" t="str">
        <f aca="false">IF(ISNUMBER($AU262*BB262*1),$AU262*BB262*1,"")</f>
        <v/>
      </c>
      <c r="BP262" s="1425" t="str">
        <f aca="false">IF(ISNUMBER($AV262*BC262*1),$AV262*BC262*1,"")</f>
        <v/>
      </c>
      <c r="BQ262" s="1425" t="str">
        <f aca="false">IF(ISNUMBER($AU262*BD262*1),$AU262*BD262*1,"")</f>
        <v/>
      </c>
      <c r="BR262" s="1425" t="str">
        <f aca="false">IF(ISNUMBER($AV262*BE262*1),$AV262*BE262*1,"")</f>
        <v/>
      </c>
      <c r="BS262" s="1411" t="str">
        <f aca="false">IF(ISNUMBER($AU262*BF262),$AU262*BF262,"")</f>
        <v/>
      </c>
      <c r="BT262" s="1411" t="str">
        <f aca="false">IF(ISNUMBER($AV262*BG262),$AV262*BG262,"")</f>
        <v/>
      </c>
      <c r="BU262" s="1411"/>
      <c r="BV262" s="1411"/>
      <c r="BW262" s="1411"/>
      <c r="BX262" s="1411"/>
      <c r="BZ262" s="1372"/>
      <c r="CA262" s="1372"/>
      <c r="CB262" s="1426" t="str">
        <f aca="false">IF(ISNUMBER($AW262*BB262),$AW262*BB262,"")</f>
        <v/>
      </c>
      <c r="CC262" s="1426" t="str">
        <f aca="false">IF(ISNUMBER($AX262*BC262),$AX262*BC262,"")</f>
        <v/>
      </c>
      <c r="CD262" s="1426" t="str">
        <f aca="false">IF(ISNUMBER($AW262*BD262),$AW262*BD262,"")</f>
        <v/>
      </c>
      <c r="CE262" s="1426" t="str">
        <f aca="false">IF(ISNUMBER($AX262*BE262),$AX262*BE262,"")</f>
        <v/>
      </c>
      <c r="CF262" s="1372" t="str">
        <f aca="false">IF(ISNUMBER($AW262*BF262),$AW262*BF262,"")</f>
        <v/>
      </c>
      <c r="CG262" s="1372" t="str">
        <f aca="false">IF(ISNUMBER($AX262*BG262),$AX262*BG262,"")</f>
        <v/>
      </c>
      <c r="CH262" s="1438"/>
      <c r="CI262" s="1438"/>
      <c r="CJ262" s="1438"/>
      <c r="CK262" s="1438"/>
      <c r="CU262" s="1411"/>
      <c r="CV262" s="1411"/>
      <c r="CW262" s="1425"/>
      <c r="CX262" s="1425"/>
      <c r="CY262" s="1425"/>
      <c r="CZ262" s="1425"/>
      <c r="DA262" s="1411"/>
      <c r="DB262" s="1411"/>
      <c r="DC262" s="1411"/>
      <c r="DD262" s="1411"/>
      <c r="DE262" s="1411"/>
      <c r="DF262" s="1411"/>
      <c r="DH262" s="1432"/>
      <c r="DI262" s="1432"/>
      <c r="DJ262" s="1437"/>
      <c r="DK262" s="1437"/>
      <c r="DL262" s="1437"/>
      <c r="DM262" s="1437"/>
      <c r="DN262" s="1432"/>
      <c r="DO262" s="1432"/>
      <c r="DP262" s="1432"/>
      <c r="DQ262" s="1432"/>
      <c r="DR262" s="1432"/>
      <c r="DS262" s="1432"/>
      <c r="DT262" s="1316"/>
      <c r="DU262" s="1433"/>
      <c r="DV262" s="1433"/>
      <c r="DW262" s="1433"/>
      <c r="DX262" s="1433"/>
      <c r="DY262" s="1433"/>
      <c r="DZ262" s="1433"/>
      <c r="EA262" s="1433"/>
      <c r="EB262" s="1433"/>
    </row>
    <row r="263" customFormat="false" ht="14.25" hidden="false" customHeight="false" outlineLevel="0" collapsed="false">
      <c r="A263" s="2" t="n">
        <f aca="false">'V_DATOS PAC_SGA'!CC258</f>
        <v>0</v>
      </c>
      <c r="B263" s="2" t="n">
        <f aca="false">IF(OR(A263=0,A263=""),0,IF(I263="IV",CONCATENATE('V_DATOS PAC_SGA'!CC258,"4")+0,CONCATENATE('V_DATOS PAC_SGA'!CC258,"0")+0))</f>
        <v>0</v>
      </c>
      <c r="C263" s="2" t="n">
        <f aca="false">'V_DATOS PAC_SGA'!CD258</f>
        <v>0</v>
      </c>
      <c r="D263" s="1409" t="n">
        <f aca="false">'V_DATOS PAC_SGA'!Y258</f>
        <v>0</v>
      </c>
      <c r="E263" s="1410" t="str">
        <f aca="false">IF('V_DATOS PAC_SGA'!AV258="","Regadio",'V_DATOS PAC_SGA'!AV258)</f>
        <v>Regadio</v>
      </c>
      <c r="F263" s="1411" t="n">
        <f aca="false">'V_DATOS PAC_SGA'!BK258</f>
        <v>0</v>
      </c>
      <c r="G263" s="1412" t="n">
        <f aca="false">'V_DATOS PAC_SGA'!AN258</f>
        <v>0</v>
      </c>
      <c r="H263" s="1413" t="str">
        <f aca="false">IF(B263&gt;0,VLOOKUP(B263,'O_MN, PE_UTA_UGM 2024'!E$3:O$419,10),"")</f>
        <v/>
      </c>
      <c r="I263" s="1359" t="str">
        <f aca="false">IF('V_DATOS PAC_SGA'!BV258="IV",'V_DATOS PAC_SGA'!BV258,"")</f>
        <v/>
      </c>
      <c r="J263" s="2" t="str">
        <f aca="false">IF($A263&gt;0,IF(AND(J$4=$G263,J$6=$F263),$D263*J$5,""),"")</f>
        <v/>
      </c>
      <c r="K263" s="2" t="str">
        <f aca="false">IF($A263&gt;0,IF(AND(K$4=$G263,K$6=$F263),$D263*K$5,""),"")</f>
        <v/>
      </c>
      <c r="L263" s="2" t="str">
        <f aca="false">IF($A263&gt;0,IF(AND(L$4=$G263,L$6=$F263),$D263*L$5,""),"")</f>
        <v/>
      </c>
      <c r="M263" s="2" t="str">
        <f aca="false">IF($A263&gt;0,IF(AND(M$4=$G263,M$6=$F263),$D263*M$5,""),"")</f>
        <v/>
      </c>
      <c r="N263" s="1506" t="n">
        <f aca="false">VLOOKUP(B263,'O_MN, PE_UTA_UGM 2024'!$E$2:$K$419,IF(G263&gt;1,6,7))</f>
        <v>0</v>
      </c>
      <c r="O263" s="1434" t="str">
        <f aca="false">IF($H263=O$4,$D263*$N263,"")</f>
        <v/>
      </c>
      <c r="P263" s="1435" t="str">
        <f aca="false">IF($H263=P$4,$D263*$N263,"")</f>
        <v/>
      </c>
      <c r="Q263" s="1435" t="str">
        <f aca="false">IF($H263=Q$4,$D263*$N263,"")</f>
        <v/>
      </c>
      <c r="R263" s="1435" t="str">
        <f aca="false">IF($H263=R$4,$D263*$N263,"")</f>
        <v/>
      </c>
      <c r="S263" s="1435" t="str">
        <f aca="false">IF($H263=S$4,$D263*$N263,"")</f>
        <v/>
      </c>
      <c r="T263" s="1435" t="str">
        <f aca="false">IF($H263=T$4,$D263*$N263,"")</f>
        <v/>
      </c>
      <c r="U263" s="1436" t="str">
        <f aca="false">IF($H263=U$4,$D263*$N263,"")</f>
        <v/>
      </c>
      <c r="V263" s="1418"/>
      <c r="W263" s="1419"/>
      <c r="X263" s="1419"/>
      <c r="Y263" s="1419"/>
      <c r="Z263" s="1419"/>
      <c r="AA263" s="1419"/>
      <c r="AB263" s="1420"/>
      <c r="AC263" s="1319"/>
      <c r="AD263" s="2" t="str">
        <f aca="false">IF(AND(AD$4=$G263,AD$6=$F263),$B263,"")</f>
        <v/>
      </c>
      <c r="AE263" s="2" t="str">
        <f aca="false">IF(AND(AE$4=$G263,AE$6=$F263),$B263,"")</f>
        <v/>
      </c>
      <c r="AF263" s="2" t="str">
        <f aca="false">IF(AND(AF$4=$G263,AF$6=$F263),$B263,"")</f>
        <v/>
      </c>
      <c r="AG263" s="2" t="str">
        <f aca="false">IF(AND(AG$4=$G263,AG$6=$F263),$B263,"")</f>
        <v/>
      </c>
      <c r="AI263" s="366"/>
      <c r="AL263" s="367"/>
      <c r="AO263" s="367"/>
      <c r="AP263" s="2" t="str">
        <f aca="false">IF(AT263&gt;0,RANK(AT263,AT$7:AT$423),"")</f>
        <v/>
      </c>
      <c r="AQ263" s="2" t="n">
        <f aca="false">'O_MN, PE_UTA_UGM 2024'!C259</f>
        <v>258</v>
      </c>
      <c r="AR263" s="1421" t="n">
        <v>2520</v>
      </c>
      <c r="AS263" s="2" t="str">
        <f aca="false">IF(AY263&lt;&gt;"",AY263,"")</f>
        <v/>
      </c>
      <c r="AT263" s="1422" t="n">
        <f aca="false">IF(ISNUMBER($AR263),SUMIF(B$7:B$505,AR263,D$7:D$505),"")</f>
        <v>0</v>
      </c>
      <c r="AU263" s="1411" t="n">
        <f aca="false">IF(ISNUMBER($AR263),SUMIF(AD$7:AD$503,$AR263,J$7:J$503),"")</f>
        <v>0</v>
      </c>
      <c r="AV263" s="1411" t="n">
        <f aca="false">IF(ISNUMBER($AR263),SUMIF(AF$7:AF$503,$AR263,L$7:L$503),"")</f>
        <v>0</v>
      </c>
      <c r="AW263" s="1423" t="n">
        <f aca="false">IF(ISNUMBER($AR263),SUMIF(AE$7:AE$503,$AR263,K$7:K$503),"")</f>
        <v>0</v>
      </c>
      <c r="AX263" s="1423" t="n">
        <f aca="false">IF(ISNUMBER($AR263),SUMIF(AG$7:AG$503,$AR263,M$7:M$503),"")</f>
        <v>0</v>
      </c>
      <c r="AY263" s="2" t="str">
        <f aca="false">IF($AT263&gt;0,VLOOKUP($AR263,'O_MN, PE_UTA_UGM 2024'!E259:O675,2),"")</f>
        <v/>
      </c>
      <c r="AZ263" s="1507"/>
      <c r="BA263" s="1507"/>
      <c r="BB263" s="1507" t="str">
        <f aca="false">IF($AT263&gt;0,VLOOKUP($AR263,'O_MN, PE_UTA_UGM 2024'!$E$3:$O$419,BB$6),"")</f>
        <v/>
      </c>
      <c r="BC263" s="1507" t="str">
        <f aca="false">IF($AT263&gt;0,VLOOKUP($AR263,'O_MN, PE_UTA_UGM 2024'!$E$3:$O$419,BC$6),"")</f>
        <v/>
      </c>
      <c r="BD263" s="1507" t="str">
        <f aca="false">IF($AT263&gt;0,VLOOKUP($AR263,'O_MN, PE_UTA_UGM 2024'!$E$3:$O$419,BD$6),"")</f>
        <v/>
      </c>
      <c r="BE263" s="1507" t="str">
        <f aca="false">IF($AT263&gt;0,VLOOKUP($AR263,'O_MN, PE_UTA_UGM 2024'!$E$3:$O$419,BE$6),"")</f>
        <v/>
      </c>
      <c r="BF263" s="1507" t="str">
        <f aca="false">IF($AT263&gt;0,VLOOKUP($AR263,'O_MN, PE_UTA_UGM 2024'!$E$3:$O$419,BF$6),"")</f>
        <v/>
      </c>
      <c r="BG263" s="1507" t="str">
        <f aca="false">IF($AT263&gt;0,VLOOKUP($AR263,'O_MN, PE_UTA_UGM 2024'!$E$3:$O$419,BG$6),"")</f>
        <v/>
      </c>
      <c r="BH263" s="1504"/>
      <c r="BI263" s="1504"/>
      <c r="BJ263" s="1504"/>
      <c r="BK263" s="1504"/>
      <c r="BM263" s="1411"/>
      <c r="BN263" s="1411"/>
      <c r="BO263" s="1425" t="str">
        <f aca="false">IF(ISNUMBER($AU263*BB263*1),$AU263*BB263*1,"")</f>
        <v/>
      </c>
      <c r="BP263" s="1425" t="str">
        <f aca="false">IF(ISNUMBER($AV263*BC263*1),$AV263*BC263*1,"")</f>
        <v/>
      </c>
      <c r="BQ263" s="1425" t="str">
        <f aca="false">IF(ISNUMBER($AU263*BD263*1),$AU263*BD263*1,"")</f>
        <v/>
      </c>
      <c r="BR263" s="1425" t="str">
        <f aca="false">IF(ISNUMBER($AV263*BE263*1),$AV263*BE263*1,"")</f>
        <v/>
      </c>
      <c r="BS263" s="1411" t="str">
        <f aca="false">IF(ISNUMBER($AU263*BF263),$AU263*BF263,"")</f>
        <v/>
      </c>
      <c r="BT263" s="1411" t="str">
        <f aca="false">IF(ISNUMBER($AV263*BG263),$AV263*BG263,"")</f>
        <v/>
      </c>
      <c r="BU263" s="1411"/>
      <c r="BV263" s="1411"/>
      <c r="BW263" s="1411"/>
      <c r="BX263" s="1411"/>
      <c r="BZ263" s="1372"/>
      <c r="CA263" s="1372"/>
      <c r="CB263" s="1426" t="str">
        <f aca="false">IF(ISNUMBER($AW263*BB263),$AW263*BB263,"")</f>
        <v/>
      </c>
      <c r="CC263" s="1426" t="str">
        <f aca="false">IF(ISNUMBER($AX263*BC263),$AX263*BC263,"")</f>
        <v/>
      </c>
      <c r="CD263" s="1426" t="str">
        <f aca="false">IF(ISNUMBER($AW263*BD263),$AW263*BD263,"")</f>
        <v/>
      </c>
      <c r="CE263" s="1426" t="str">
        <f aca="false">IF(ISNUMBER($AX263*BE263),$AX263*BE263,"")</f>
        <v/>
      </c>
      <c r="CF263" s="1372" t="str">
        <f aca="false">IF(ISNUMBER($AW263*BF263),$AW263*BF263,"")</f>
        <v/>
      </c>
      <c r="CG263" s="1372" t="str">
        <f aca="false">IF(ISNUMBER($AX263*BG263),$AX263*BG263,"")</f>
        <v/>
      </c>
      <c r="CH263" s="1438"/>
      <c r="CI263" s="1438"/>
      <c r="CJ263" s="1438"/>
      <c r="CK263" s="1438"/>
      <c r="CU263" s="1411"/>
      <c r="CV263" s="1411"/>
      <c r="CW263" s="1425"/>
      <c r="CX263" s="1425"/>
      <c r="CY263" s="1425"/>
      <c r="CZ263" s="1425"/>
      <c r="DA263" s="1411"/>
      <c r="DB263" s="1411"/>
      <c r="DC263" s="1411"/>
      <c r="DD263" s="1411"/>
      <c r="DE263" s="1411"/>
      <c r="DF263" s="1411"/>
      <c r="DH263" s="1432"/>
      <c r="DI263" s="1432"/>
      <c r="DJ263" s="1437"/>
      <c r="DK263" s="1437"/>
      <c r="DL263" s="1437"/>
      <c r="DM263" s="1437"/>
      <c r="DN263" s="1432"/>
      <c r="DO263" s="1432"/>
      <c r="DP263" s="1432"/>
      <c r="DQ263" s="1432"/>
      <c r="DR263" s="1432"/>
      <c r="DS263" s="1432"/>
      <c r="DT263" s="1316"/>
      <c r="DU263" s="1433"/>
      <c r="DV263" s="1433"/>
      <c r="DW263" s="1433"/>
      <c r="DX263" s="1433"/>
      <c r="DY263" s="1433"/>
      <c r="DZ263" s="1433"/>
      <c r="EA263" s="1433"/>
      <c r="EB263" s="1433"/>
    </row>
    <row r="264" customFormat="false" ht="14.25" hidden="false" customHeight="false" outlineLevel="0" collapsed="false">
      <c r="A264" s="2" t="n">
        <f aca="false">'V_DATOS PAC_SGA'!CC259</f>
        <v>0</v>
      </c>
      <c r="B264" s="2" t="n">
        <f aca="false">IF(OR(A264=0,A264=""),0,IF(I264="IV",CONCATENATE('V_DATOS PAC_SGA'!CC259,"4")+0,CONCATENATE('V_DATOS PAC_SGA'!CC259,"0")+0))</f>
        <v>0</v>
      </c>
      <c r="C264" s="2" t="n">
        <f aca="false">'V_DATOS PAC_SGA'!CD259</f>
        <v>0</v>
      </c>
      <c r="D264" s="1409" t="n">
        <f aca="false">'V_DATOS PAC_SGA'!Y259</f>
        <v>0</v>
      </c>
      <c r="E264" s="1410" t="str">
        <f aca="false">IF('V_DATOS PAC_SGA'!AV259="","Regadio",'V_DATOS PAC_SGA'!AV259)</f>
        <v>Regadio</v>
      </c>
      <c r="F264" s="1411" t="n">
        <f aca="false">'V_DATOS PAC_SGA'!BK259</f>
        <v>0</v>
      </c>
      <c r="G264" s="1412" t="n">
        <f aca="false">'V_DATOS PAC_SGA'!AN259</f>
        <v>0</v>
      </c>
      <c r="H264" s="1413" t="str">
        <f aca="false">IF(B264&gt;0,VLOOKUP(B264,'O_MN, PE_UTA_UGM 2024'!E$3:O$419,10),"")</f>
        <v/>
      </c>
      <c r="I264" s="1359" t="str">
        <f aca="false">IF('V_DATOS PAC_SGA'!BV259="IV",'V_DATOS PAC_SGA'!BV259,"")</f>
        <v/>
      </c>
      <c r="J264" s="2" t="str">
        <f aca="false">IF($A264&gt;0,IF(AND(J$4=$G264,J$6=$F264),$D264*J$5,""),"")</f>
        <v/>
      </c>
      <c r="K264" s="2" t="str">
        <f aca="false">IF($A264&gt;0,IF(AND(K$4=$G264,K$6=$F264),$D264*K$5,""),"")</f>
        <v/>
      </c>
      <c r="L264" s="2" t="str">
        <f aca="false">IF($A264&gt;0,IF(AND(L$4=$G264,L$6=$F264),$D264*L$5,""),"")</f>
        <v/>
      </c>
      <c r="M264" s="2" t="str">
        <f aca="false">IF($A264&gt;0,IF(AND(M$4=$G264,M$6=$F264),$D264*M$5,""),"")</f>
        <v/>
      </c>
      <c r="N264" s="1506" t="n">
        <f aca="false">VLOOKUP(B264,'O_MN, PE_UTA_UGM 2024'!$E$2:$K$419,IF(G264&gt;1,6,7))</f>
        <v>0</v>
      </c>
      <c r="O264" s="1434" t="str">
        <f aca="false">IF($H264=O$4,$D264*$N264,"")</f>
        <v/>
      </c>
      <c r="P264" s="1435" t="str">
        <f aca="false">IF($H264=P$4,$D264*$N264,"")</f>
        <v/>
      </c>
      <c r="Q264" s="1435" t="str">
        <f aca="false">IF($H264=Q$4,$D264*$N264,"")</f>
        <v/>
      </c>
      <c r="R264" s="1435" t="str">
        <f aca="false">IF($H264=R$4,$D264*$N264,"")</f>
        <v/>
      </c>
      <c r="S264" s="1435" t="str">
        <f aca="false">IF($H264=S$4,$D264*$N264,"")</f>
        <v/>
      </c>
      <c r="T264" s="1435" t="str">
        <f aca="false">IF($H264=T$4,$D264*$N264,"")</f>
        <v/>
      </c>
      <c r="U264" s="1436" t="str">
        <f aca="false">IF($H264=U$4,$D264*$N264,"")</f>
        <v/>
      </c>
      <c r="V264" s="1418"/>
      <c r="W264" s="1419"/>
      <c r="X264" s="1419"/>
      <c r="Y264" s="1419"/>
      <c r="Z264" s="1419"/>
      <c r="AA264" s="1419"/>
      <c r="AB264" s="1420"/>
      <c r="AC264" s="1319"/>
      <c r="AD264" s="2" t="str">
        <f aca="false">IF(AND(AD$4=$G264,AD$6=$F264),$B264,"")</f>
        <v/>
      </c>
      <c r="AE264" s="2" t="str">
        <f aca="false">IF(AND(AE$4=$G264,AE$6=$F264),$B264,"")</f>
        <v/>
      </c>
      <c r="AF264" s="2" t="str">
        <f aca="false">IF(AND(AF$4=$G264,AF$6=$F264),$B264,"")</f>
        <v/>
      </c>
      <c r="AG264" s="2" t="str">
        <f aca="false">IF(AND(AG$4=$G264,AG$6=$F264),$B264,"")</f>
        <v/>
      </c>
      <c r="AI264" s="366"/>
      <c r="AL264" s="367"/>
      <c r="AO264" s="367"/>
      <c r="AP264" s="2" t="str">
        <f aca="false">IF(AT264&gt;0,RANK(AT264,AT$7:AT$423),"")</f>
        <v/>
      </c>
      <c r="AQ264" s="2" t="n">
        <f aca="false">'O_MN, PE_UTA_UGM 2024'!C260</f>
        <v>259</v>
      </c>
      <c r="AR264" s="1421" t="n">
        <v>2530</v>
      </c>
      <c r="AS264" s="2" t="str">
        <f aca="false">IF(AY264&lt;&gt;"",AY264,"")</f>
        <v/>
      </c>
      <c r="AT264" s="1422" t="n">
        <f aca="false">IF(ISNUMBER($AR264),SUMIF(B$7:B$505,AR264,D$7:D$505),"")</f>
        <v>0</v>
      </c>
      <c r="AU264" s="1411" t="n">
        <f aca="false">IF(ISNUMBER($AR264),SUMIF(AD$7:AD$503,$AR264,J$7:J$503),"")</f>
        <v>0</v>
      </c>
      <c r="AV264" s="1411" t="n">
        <f aca="false">IF(ISNUMBER($AR264),SUMIF(AF$7:AF$503,$AR264,L$7:L$503),"")</f>
        <v>0</v>
      </c>
      <c r="AW264" s="1423" t="n">
        <f aca="false">IF(ISNUMBER($AR264),SUMIF(AE$7:AE$503,$AR264,K$7:K$503),"")</f>
        <v>0</v>
      </c>
      <c r="AX264" s="1423" t="n">
        <f aca="false">IF(ISNUMBER($AR264),SUMIF(AG$7:AG$503,$AR264,M$7:M$503),"")</f>
        <v>0</v>
      </c>
      <c r="AY264" s="2" t="str">
        <f aca="false">IF($AT264&gt;0,VLOOKUP($AR264,'O_MN, PE_UTA_UGM 2024'!E260:O676,2),"")</f>
        <v/>
      </c>
      <c r="AZ264" s="1507"/>
      <c r="BA264" s="1507"/>
      <c r="BB264" s="1507" t="str">
        <f aca="false">IF($AT264&gt;0,VLOOKUP($AR264,'O_MN, PE_UTA_UGM 2024'!$E$3:$O$419,BB$6),"")</f>
        <v/>
      </c>
      <c r="BC264" s="1507" t="str">
        <f aca="false">IF($AT264&gt;0,VLOOKUP($AR264,'O_MN, PE_UTA_UGM 2024'!$E$3:$O$419,BC$6),"")</f>
        <v/>
      </c>
      <c r="BD264" s="1507" t="str">
        <f aca="false">IF($AT264&gt;0,VLOOKUP($AR264,'O_MN, PE_UTA_UGM 2024'!$E$3:$O$419,BD$6),"")</f>
        <v/>
      </c>
      <c r="BE264" s="1507" t="str">
        <f aca="false">IF($AT264&gt;0,VLOOKUP($AR264,'O_MN, PE_UTA_UGM 2024'!$E$3:$O$419,BE$6),"")</f>
        <v/>
      </c>
      <c r="BF264" s="1507" t="str">
        <f aca="false">IF($AT264&gt;0,VLOOKUP($AR264,'O_MN, PE_UTA_UGM 2024'!$E$3:$O$419,BF$6),"")</f>
        <v/>
      </c>
      <c r="BG264" s="1507" t="str">
        <f aca="false">IF($AT264&gt;0,VLOOKUP($AR264,'O_MN, PE_UTA_UGM 2024'!$E$3:$O$419,BG$6),"")</f>
        <v/>
      </c>
      <c r="BH264" s="1504"/>
      <c r="BI264" s="1504"/>
      <c r="BJ264" s="1504"/>
      <c r="BK264" s="1504"/>
      <c r="BM264" s="1411"/>
      <c r="BN264" s="1411"/>
      <c r="BO264" s="1425" t="str">
        <f aca="false">IF(ISNUMBER($AU264*BB264*1),$AU264*BB264*1,"")</f>
        <v/>
      </c>
      <c r="BP264" s="1425" t="str">
        <f aca="false">IF(ISNUMBER($AV264*BC264*1),$AV264*BC264*1,"")</f>
        <v/>
      </c>
      <c r="BQ264" s="1425" t="str">
        <f aca="false">IF(ISNUMBER($AU264*BD264*1),$AU264*BD264*1,"")</f>
        <v/>
      </c>
      <c r="BR264" s="1425" t="str">
        <f aca="false">IF(ISNUMBER($AV264*BE264*1),$AV264*BE264*1,"")</f>
        <v/>
      </c>
      <c r="BS264" s="1411" t="str">
        <f aca="false">IF(ISNUMBER($AU264*BF264),$AU264*BF264,"")</f>
        <v/>
      </c>
      <c r="BT264" s="1411" t="str">
        <f aca="false">IF(ISNUMBER($AV264*BG264),$AV264*BG264,"")</f>
        <v/>
      </c>
      <c r="BU264" s="1411"/>
      <c r="BV264" s="1411"/>
      <c r="BW264" s="1411"/>
      <c r="BX264" s="1411"/>
      <c r="BZ264" s="1372"/>
      <c r="CA264" s="1372"/>
      <c r="CB264" s="1426" t="str">
        <f aca="false">IF(ISNUMBER($AW264*BB264),$AW264*BB264,"")</f>
        <v/>
      </c>
      <c r="CC264" s="1426" t="str">
        <f aca="false">IF(ISNUMBER($AX264*BC264),$AX264*BC264,"")</f>
        <v/>
      </c>
      <c r="CD264" s="1426" t="str">
        <f aca="false">IF(ISNUMBER($AW264*BD264),$AW264*BD264,"")</f>
        <v/>
      </c>
      <c r="CE264" s="1426" t="str">
        <f aca="false">IF(ISNUMBER($AX264*BE264),$AX264*BE264,"")</f>
        <v/>
      </c>
      <c r="CF264" s="1372" t="str">
        <f aca="false">IF(ISNUMBER($AW264*BF264),$AW264*BF264,"")</f>
        <v/>
      </c>
      <c r="CG264" s="1372" t="str">
        <f aca="false">IF(ISNUMBER($AX264*BG264),$AX264*BG264,"")</f>
        <v/>
      </c>
      <c r="CH264" s="1438"/>
      <c r="CI264" s="1438"/>
      <c r="CJ264" s="1438"/>
      <c r="CK264" s="1438"/>
      <c r="CU264" s="1411"/>
      <c r="CV264" s="1411"/>
      <c r="CW264" s="1425"/>
      <c r="CX264" s="1425"/>
      <c r="CY264" s="1425"/>
      <c r="CZ264" s="1425"/>
      <c r="DA264" s="1411"/>
      <c r="DB264" s="1411"/>
      <c r="DC264" s="1411"/>
      <c r="DD264" s="1411"/>
      <c r="DE264" s="1411"/>
      <c r="DF264" s="1411"/>
      <c r="DH264" s="1432"/>
      <c r="DI264" s="1432"/>
      <c r="DJ264" s="1437"/>
      <c r="DK264" s="1437"/>
      <c r="DL264" s="1437"/>
      <c r="DM264" s="1437"/>
      <c r="DN264" s="1432"/>
      <c r="DO264" s="1432"/>
      <c r="DP264" s="1432"/>
      <c r="DQ264" s="1432"/>
      <c r="DR264" s="1432"/>
      <c r="DS264" s="1432"/>
      <c r="DT264" s="1316"/>
      <c r="DU264" s="1433"/>
      <c r="DV264" s="1433"/>
      <c r="DW264" s="1433"/>
      <c r="DX264" s="1433"/>
      <c r="DY264" s="1433"/>
      <c r="DZ264" s="1433"/>
      <c r="EA264" s="1433"/>
      <c r="EB264" s="1433"/>
    </row>
    <row r="265" customFormat="false" ht="14.25" hidden="false" customHeight="false" outlineLevel="0" collapsed="false">
      <c r="A265" s="2" t="n">
        <f aca="false">'V_DATOS PAC_SGA'!CC260</f>
        <v>0</v>
      </c>
      <c r="B265" s="2" t="n">
        <f aca="false">IF(OR(A265=0,A265=""),0,IF(I265="IV",CONCATENATE('V_DATOS PAC_SGA'!CC260,"4")+0,CONCATENATE('V_DATOS PAC_SGA'!CC260,"0")+0))</f>
        <v>0</v>
      </c>
      <c r="C265" s="2" t="n">
        <f aca="false">'V_DATOS PAC_SGA'!CD260</f>
        <v>0</v>
      </c>
      <c r="D265" s="1409" t="n">
        <f aca="false">'V_DATOS PAC_SGA'!Y260</f>
        <v>0</v>
      </c>
      <c r="E265" s="1410" t="str">
        <f aca="false">IF('V_DATOS PAC_SGA'!AV260="","Regadio",'V_DATOS PAC_SGA'!AV260)</f>
        <v>Regadio</v>
      </c>
      <c r="F265" s="1411" t="n">
        <f aca="false">'V_DATOS PAC_SGA'!BK260</f>
        <v>0</v>
      </c>
      <c r="G265" s="1412" t="n">
        <f aca="false">'V_DATOS PAC_SGA'!AN260</f>
        <v>0</v>
      </c>
      <c r="H265" s="1413" t="str">
        <f aca="false">IF(B265&gt;0,VLOOKUP(B265,'O_MN, PE_UTA_UGM 2024'!E$3:O$419,10),"")</f>
        <v/>
      </c>
      <c r="I265" s="1359" t="str">
        <f aca="false">IF('V_DATOS PAC_SGA'!BV260="IV",'V_DATOS PAC_SGA'!BV260,"")</f>
        <v/>
      </c>
      <c r="J265" s="2" t="str">
        <f aca="false">IF($A265&gt;0,IF(AND(J$4=$G265,J$6=$F265),$D265*J$5,""),"")</f>
        <v/>
      </c>
      <c r="K265" s="2" t="str">
        <f aca="false">IF($A265&gt;0,IF(AND(K$4=$G265,K$6=$F265),$D265*K$5,""),"")</f>
        <v/>
      </c>
      <c r="L265" s="2" t="str">
        <f aca="false">IF($A265&gt;0,IF(AND(L$4=$G265,L$6=$F265),$D265*L$5,""),"")</f>
        <v/>
      </c>
      <c r="M265" s="2" t="str">
        <f aca="false">IF($A265&gt;0,IF(AND(M$4=$G265,M$6=$F265),$D265*M$5,""),"")</f>
        <v/>
      </c>
      <c r="N265" s="1506" t="n">
        <f aca="false">VLOOKUP(B265,'O_MN, PE_UTA_UGM 2024'!$E$2:$K$419,IF(G265&gt;1,6,7))</f>
        <v>0</v>
      </c>
      <c r="O265" s="1434" t="str">
        <f aca="false">IF($H265=O$4,$D265*$N265,"")</f>
        <v/>
      </c>
      <c r="P265" s="1435" t="str">
        <f aca="false">IF($H265=P$4,$D265*$N265,"")</f>
        <v/>
      </c>
      <c r="Q265" s="1435" t="str">
        <f aca="false">IF($H265=Q$4,$D265*$N265,"")</f>
        <v/>
      </c>
      <c r="R265" s="1435" t="str">
        <f aca="false">IF($H265=R$4,$D265*$N265,"")</f>
        <v/>
      </c>
      <c r="S265" s="1435" t="str">
        <f aca="false">IF($H265=S$4,$D265*$N265,"")</f>
        <v/>
      </c>
      <c r="T265" s="1435" t="str">
        <f aca="false">IF($H265=T$4,$D265*$N265,"")</f>
        <v/>
      </c>
      <c r="U265" s="1436" t="str">
        <f aca="false">IF($H265=U$4,$D265*$N265,"")</f>
        <v/>
      </c>
      <c r="V265" s="1418"/>
      <c r="W265" s="1419"/>
      <c r="X265" s="1419"/>
      <c r="Y265" s="1419"/>
      <c r="Z265" s="1419"/>
      <c r="AA265" s="1419"/>
      <c r="AB265" s="1420"/>
      <c r="AC265" s="1319"/>
      <c r="AD265" s="2" t="str">
        <f aca="false">IF(AND(AD$4=$G265,AD$6=$F265),$B265,"")</f>
        <v/>
      </c>
      <c r="AE265" s="2" t="str">
        <f aca="false">IF(AND(AE$4=$G265,AE$6=$F265),$B265,"")</f>
        <v/>
      </c>
      <c r="AF265" s="2" t="str">
        <f aca="false">IF(AND(AF$4=$G265,AF$6=$F265),$B265,"")</f>
        <v/>
      </c>
      <c r="AG265" s="2" t="str">
        <f aca="false">IF(AND(AG$4=$G265,AG$6=$F265),$B265,"")</f>
        <v/>
      </c>
      <c r="AI265" s="366"/>
      <c r="AL265" s="367"/>
      <c r="AO265" s="367"/>
      <c r="AP265" s="2" t="str">
        <f aca="false">IF(AT265&gt;0,RANK(AT265,AT$7:AT$423),"")</f>
        <v/>
      </c>
      <c r="AQ265" s="2" t="n">
        <f aca="false">'O_MN, PE_UTA_UGM 2024'!C261</f>
        <v>260</v>
      </c>
      <c r="AR265" s="1421" t="n">
        <v>2540</v>
      </c>
      <c r="AS265" s="2" t="str">
        <f aca="false">IF(AY265&lt;&gt;"",AY265,"")</f>
        <v/>
      </c>
      <c r="AT265" s="1422" t="n">
        <f aca="false">IF(ISNUMBER($AR265),SUMIF(B$7:B$505,AR265,D$7:D$505),"")</f>
        <v>0</v>
      </c>
      <c r="AU265" s="1411" t="n">
        <f aca="false">IF(ISNUMBER($AR265),SUMIF(AD$7:AD$503,$AR265,J$7:J$503),"")</f>
        <v>0</v>
      </c>
      <c r="AV265" s="1411" t="n">
        <f aca="false">IF(ISNUMBER($AR265),SUMIF(AF$7:AF$503,$AR265,L$7:L$503),"")</f>
        <v>0</v>
      </c>
      <c r="AW265" s="1423" t="n">
        <f aca="false">IF(ISNUMBER($AR265),SUMIF(AE$7:AE$503,$AR265,K$7:K$503),"")</f>
        <v>0</v>
      </c>
      <c r="AX265" s="1423" t="n">
        <f aca="false">IF(ISNUMBER($AR265),SUMIF(AG$7:AG$503,$AR265,M$7:M$503),"")</f>
        <v>0</v>
      </c>
      <c r="AY265" s="2" t="str">
        <f aca="false">IF($AT265&gt;0,VLOOKUP($AR265,'O_MN, PE_UTA_UGM 2024'!E261:O677,2),"")</f>
        <v/>
      </c>
      <c r="AZ265" s="1507"/>
      <c r="BA265" s="1507"/>
      <c r="BB265" s="1507" t="str">
        <f aca="false">IF($AT265&gt;0,VLOOKUP($AR265,'O_MN, PE_UTA_UGM 2024'!$E$3:$O$419,BB$6),"")</f>
        <v/>
      </c>
      <c r="BC265" s="1507" t="str">
        <f aca="false">IF($AT265&gt;0,VLOOKUP($AR265,'O_MN, PE_UTA_UGM 2024'!$E$3:$O$419,BC$6),"")</f>
        <v/>
      </c>
      <c r="BD265" s="1507" t="str">
        <f aca="false">IF($AT265&gt;0,VLOOKUP($AR265,'O_MN, PE_UTA_UGM 2024'!$E$3:$O$419,BD$6),"")</f>
        <v/>
      </c>
      <c r="BE265" s="1507" t="str">
        <f aca="false">IF($AT265&gt;0,VLOOKUP($AR265,'O_MN, PE_UTA_UGM 2024'!$E$3:$O$419,BE$6),"")</f>
        <v/>
      </c>
      <c r="BF265" s="1507" t="str">
        <f aca="false">IF($AT265&gt;0,VLOOKUP($AR265,'O_MN, PE_UTA_UGM 2024'!$E$3:$O$419,BF$6),"")</f>
        <v/>
      </c>
      <c r="BG265" s="1507" t="str">
        <f aca="false">IF($AT265&gt;0,VLOOKUP($AR265,'O_MN, PE_UTA_UGM 2024'!$E$3:$O$419,BG$6),"")</f>
        <v/>
      </c>
      <c r="BH265" s="1504"/>
      <c r="BI265" s="1504"/>
      <c r="BJ265" s="1504"/>
      <c r="BK265" s="1504"/>
      <c r="BM265" s="1411"/>
      <c r="BN265" s="1411"/>
      <c r="BO265" s="1425" t="str">
        <f aca="false">IF(ISNUMBER($AU265*BB265*1),$AU265*BB265*1,"")</f>
        <v/>
      </c>
      <c r="BP265" s="1425" t="str">
        <f aca="false">IF(ISNUMBER($AV265*BC265*1),$AV265*BC265*1,"")</f>
        <v/>
      </c>
      <c r="BQ265" s="1425" t="str">
        <f aca="false">IF(ISNUMBER($AU265*BD265*1),$AU265*BD265*1,"")</f>
        <v/>
      </c>
      <c r="BR265" s="1425" t="str">
        <f aca="false">IF(ISNUMBER($AV265*BE265*1),$AV265*BE265*1,"")</f>
        <v/>
      </c>
      <c r="BS265" s="1411" t="str">
        <f aca="false">IF(ISNUMBER($AU265*BF265),$AU265*BF265,"")</f>
        <v/>
      </c>
      <c r="BT265" s="1411" t="str">
        <f aca="false">IF(ISNUMBER($AV265*BG265),$AV265*BG265,"")</f>
        <v/>
      </c>
      <c r="BU265" s="1411"/>
      <c r="BV265" s="1411"/>
      <c r="BW265" s="1411"/>
      <c r="BX265" s="1411"/>
      <c r="BZ265" s="1372"/>
      <c r="CA265" s="1372"/>
      <c r="CB265" s="1426" t="str">
        <f aca="false">IF(ISNUMBER($AW265*BB265),$AW265*BB265,"")</f>
        <v/>
      </c>
      <c r="CC265" s="1426" t="str">
        <f aca="false">IF(ISNUMBER($AX265*BC265),$AX265*BC265,"")</f>
        <v/>
      </c>
      <c r="CD265" s="1426" t="str">
        <f aca="false">IF(ISNUMBER($AW265*BD265),$AW265*BD265,"")</f>
        <v/>
      </c>
      <c r="CE265" s="1426" t="str">
        <f aca="false">IF(ISNUMBER($AX265*BE265),$AX265*BE265,"")</f>
        <v/>
      </c>
      <c r="CF265" s="1372" t="str">
        <f aca="false">IF(ISNUMBER($AW265*BF265),$AW265*BF265,"")</f>
        <v/>
      </c>
      <c r="CG265" s="1372" t="str">
        <f aca="false">IF(ISNUMBER($AX265*BG265),$AX265*BG265,"")</f>
        <v/>
      </c>
      <c r="CH265" s="1438"/>
      <c r="CI265" s="1438"/>
      <c r="CJ265" s="1438"/>
      <c r="CK265" s="1438"/>
      <c r="CU265" s="1411"/>
      <c r="CV265" s="1411"/>
      <c r="CW265" s="1425"/>
      <c r="CX265" s="1425"/>
      <c r="CY265" s="1425"/>
      <c r="CZ265" s="1425"/>
      <c r="DA265" s="1411"/>
      <c r="DB265" s="1411"/>
      <c r="DC265" s="1411"/>
      <c r="DD265" s="1411"/>
      <c r="DE265" s="1411"/>
      <c r="DF265" s="1411"/>
      <c r="DH265" s="1432"/>
      <c r="DI265" s="1432"/>
      <c r="DJ265" s="1437"/>
      <c r="DK265" s="1437"/>
      <c r="DL265" s="1437"/>
      <c r="DM265" s="1437"/>
      <c r="DN265" s="1432"/>
      <c r="DO265" s="1432"/>
      <c r="DP265" s="1432"/>
      <c r="DQ265" s="1432"/>
      <c r="DR265" s="1432"/>
      <c r="DS265" s="1432"/>
      <c r="DT265" s="1316"/>
      <c r="DU265" s="1433"/>
      <c r="DV265" s="1433"/>
      <c r="DW265" s="1433"/>
      <c r="DX265" s="1433"/>
      <c r="DY265" s="1433"/>
      <c r="DZ265" s="1433"/>
      <c r="EA265" s="1433"/>
      <c r="EB265" s="1433"/>
    </row>
    <row r="266" customFormat="false" ht="14.25" hidden="false" customHeight="false" outlineLevel="0" collapsed="false">
      <c r="A266" s="2" t="n">
        <f aca="false">'V_DATOS PAC_SGA'!CC261</f>
        <v>0</v>
      </c>
      <c r="B266" s="2" t="n">
        <f aca="false">IF(OR(A266=0,A266=""),0,IF(I266="IV",CONCATENATE('V_DATOS PAC_SGA'!CC261,"4")+0,CONCATENATE('V_DATOS PAC_SGA'!CC261,"0")+0))</f>
        <v>0</v>
      </c>
      <c r="C266" s="2" t="n">
        <f aca="false">'V_DATOS PAC_SGA'!CD261</f>
        <v>0</v>
      </c>
      <c r="D266" s="1409" t="n">
        <f aca="false">'V_DATOS PAC_SGA'!Y261</f>
        <v>0</v>
      </c>
      <c r="E266" s="1410" t="str">
        <f aca="false">IF('V_DATOS PAC_SGA'!AV261="","Regadio",'V_DATOS PAC_SGA'!AV261)</f>
        <v>Regadio</v>
      </c>
      <c r="F266" s="1411" t="n">
        <f aca="false">'V_DATOS PAC_SGA'!BK261</f>
        <v>0</v>
      </c>
      <c r="G266" s="1412" t="n">
        <f aca="false">'V_DATOS PAC_SGA'!AN261</f>
        <v>0</v>
      </c>
      <c r="H266" s="1413" t="str">
        <f aca="false">IF(B266&gt;0,VLOOKUP(B266,'O_MN, PE_UTA_UGM 2024'!E$3:O$419,10),"")</f>
        <v/>
      </c>
      <c r="I266" s="1359" t="str">
        <f aca="false">IF('V_DATOS PAC_SGA'!BV261="IV",'V_DATOS PAC_SGA'!BV261,"")</f>
        <v/>
      </c>
      <c r="J266" s="2" t="str">
        <f aca="false">IF($A266&gt;0,IF(AND(J$4=$G266,J$6=$F266),$D266*J$5,""),"")</f>
        <v/>
      </c>
      <c r="K266" s="2" t="str">
        <f aca="false">IF($A266&gt;0,IF(AND(K$4=$G266,K$6=$F266),$D266*K$5,""),"")</f>
        <v/>
      </c>
      <c r="L266" s="2" t="str">
        <f aca="false">IF($A266&gt;0,IF(AND(L$4=$G266,L$6=$F266),$D266*L$5,""),"")</f>
        <v/>
      </c>
      <c r="M266" s="2" t="str">
        <f aca="false">IF($A266&gt;0,IF(AND(M$4=$G266,M$6=$F266),$D266*M$5,""),"")</f>
        <v/>
      </c>
      <c r="N266" s="1506" t="n">
        <f aca="false">VLOOKUP(B266,'O_MN, PE_UTA_UGM 2024'!$E$2:$K$419,IF(G266&gt;1,6,7))</f>
        <v>0</v>
      </c>
      <c r="O266" s="1434" t="str">
        <f aca="false">IF($H266=O$4,$D266*$N266,"")</f>
        <v/>
      </c>
      <c r="P266" s="1435" t="str">
        <f aca="false">IF($H266=P$4,$D266*$N266,"")</f>
        <v/>
      </c>
      <c r="Q266" s="1435" t="str">
        <f aca="false">IF($H266=Q$4,$D266*$N266,"")</f>
        <v/>
      </c>
      <c r="R266" s="1435" t="str">
        <f aca="false">IF($H266=R$4,$D266*$N266,"")</f>
        <v/>
      </c>
      <c r="S266" s="1435" t="str">
        <f aca="false">IF($H266=S$4,$D266*$N266,"")</f>
        <v/>
      </c>
      <c r="T266" s="1435" t="str">
        <f aca="false">IF($H266=T$4,$D266*$N266,"")</f>
        <v/>
      </c>
      <c r="U266" s="1436" t="str">
        <f aca="false">IF($H266=U$4,$D266*$N266,"")</f>
        <v/>
      </c>
      <c r="V266" s="1418"/>
      <c r="W266" s="1419"/>
      <c r="X266" s="1419"/>
      <c r="Y266" s="1419"/>
      <c r="Z266" s="1419"/>
      <c r="AA266" s="1419"/>
      <c r="AB266" s="1420"/>
      <c r="AC266" s="1319"/>
      <c r="AD266" s="2" t="str">
        <f aca="false">IF(AND(AD$4=$G266,AD$6=$F266),$B266,"")</f>
        <v/>
      </c>
      <c r="AE266" s="2" t="str">
        <f aca="false">IF(AND(AE$4=$G266,AE$6=$F266),$B266,"")</f>
        <v/>
      </c>
      <c r="AF266" s="2" t="str">
        <f aca="false">IF(AND(AF$4=$G266,AF$6=$F266),$B266,"")</f>
        <v/>
      </c>
      <c r="AG266" s="2" t="str">
        <f aca="false">IF(AND(AG$4=$G266,AG$6=$F266),$B266,"")</f>
        <v/>
      </c>
      <c r="AI266" s="366"/>
      <c r="AL266" s="367"/>
      <c r="AO266" s="367"/>
      <c r="AP266" s="2" t="str">
        <f aca="false">IF(AT266&gt;0,RANK(AT266,AT$7:AT$423),"")</f>
        <v/>
      </c>
      <c r="AQ266" s="2" t="n">
        <f aca="false">'O_MN, PE_UTA_UGM 2024'!C262</f>
        <v>261</v>
      </c>
      <c r="AR266" s="1421" t="n">
        <v>2560</v>
      </c>
      <c r="AS266" s="2" t="str">
        <f aca="false">IF(AY266&lt;&gt;"",AY266,"")</f>
        <v/>
      </c>
      <c r="AT266" s="1422" t="n">
        <f aca="false">IF(ISNUMBER($AR266),SUMIF(B$7:B$505,AR266,D$7:D$505),"")</f>
        <v>0</v>
      </c>
      <c r="AU266" s="1411" t="n">
        <f aca="false">IF(ISNUMBER($AR266),SUMIF(AD$7:AD$503,$AR266,J$7:J$503),"")</f>
        <v>0</v>
      </c>
      <c r="AV266" s="1411" t="n">
        <f aca="false">IF(ISNUMBER($AR266),SUMIF(AF$7:AF$503,$AR266,L$7:L$503),"")</f>
        <v>0</v>
      </c>
      <c r="AW266" s="1423" t="n">
        <f aca="false">IF(ISNUMBER($AR266),SUMIF(AE$7:AE$503,$AR266,K$7:K$503),"")</f>
        <v>0</v>
      </c>
      <c r="AX266" s="1423" t="n">
        <f aca="false">IF(ISNUMBER($AR266),SUMIF(AG$7:AG$503,$AR266,M$7:M$503),"")</f>
        <v>0</v>
      </c>
      <c r="AY266" s="2" t="str">
        <f aca="false">IF($AT266&gt;0,VLOOKUP($AR266,'O_MN, PE_UTA_UGM 2024'!E262:O678,2),"")</f>
        <v/>
      </c>
      <c r="AZ266" s="1507"/>
      <c r="BA266" s="1507"/>
      <c r="BB266" s="1507" t="str">
        <f aca="false">IF($AT266&gt;0,VLOOKUP($AR266,'O_MN, PE_UTA_UGM 2024'!$E$3:$O$419,BB$6),"")</f>
        <v/>
      </c>
      <c r="BC266" s="1507" t="str">
        <f aca="false">IF($AT266&gt;0,VLOOKUP($AR266,'O_MN, PE_UTA_UGM 2024'!$E$3:$O$419,BC$6),"")</f>
        <v/>
      </c>
      <c r="BD266" s="1507" t="str">
        <f aca="false">IF($AT266&gt;0,VLOOKUP($AR266,'O_MN, PE_UTA_UGM 2024'!$E$3:$O$419,BD$6),"")</f>
        <v/>
      </c>
      <c r="BE266" s="1507" t="str">
        <f aca="false">IF($AT266&gt;0,VLOOKUP($AR266,'O_MN, PE_UTA_UGM 2024'!$E$3:$O$419,BE$6),"")</f>
        <v/>
      </c>
      <c r="BF266" s="1507" t="str">
        <f aca="false">IF($AT266&gt;0,VLOOKUP($AR266,'O_MN, PE_UTA_UGM 2024'!$E$3:$O$419,BF$6),"")</f>
        <v/>
      </c>
      <c r="BG266" s="1507" t="str">
        <f aca="false">IF($AT266&gt;0,VLOOKUP($AR266,'O_MN, PE_UTA_UGM 2024'!$E$3:$O$419,BG$6),"")</f>
        <v/>
      </c>
      <c r="BH266" s="1504"/>
      <c r="BI266" s="1504"/>
      <c r="BJ266" s="1504"/>
      <c r="BK266" s="1504"/>
      <c r="BM266" s="1411"/>
      <c r="BN266" s="1411"/>
      <c r="BO266" s="1425" t="str">
        <f aca="false">IF(ISNUMBER($AU266*BB266*1),$AU266*BB266*1,"")</f>
        <v/>
      </c>
      <c r="BP266" s="1425" t="str">
        <f aca="false">IF(ISNUMBER($AV266*BC266*1),$AV266*BC266*1,"")</f>
        <v/>
      </c>
      <c r="BQ266" s="1425" t="str">
        <f aca="false">IF(ISNUMBER($AU266*BD266*1),$AU266*BD266*1,"")</f>
        <v/>
      </c>
      <c r="BR266" s="1425" t="str">
        <f aca="false">IF(ISNUMBER($AV266*BE266*1),$AV266*BE266*1,"")</f>
        <v/>
      </c>
      <c r="BS266" s="1411" t="str">
        <f aca="false">IF(ISNUMBER($AU266*BF266),$AU266*BF266,"")</f>
        <v/>
      </c>
      <c r="BT266" s="1411" t="str">
        <f aca="false">IF(ISNUMBER($AV266*BG266),$AV266*BG266,"")</f>
        <v/>
      </c>
      <c r="BU266" s="1411"/>
      <c r="BV266" s="1411"/>
      <c r="BW266" s="1411"/>
      <c r="BX266" s="1411"/>
      <c r="BZ266" s="1372"/>
      <c r="CA266" s="1372"/>
      <c r="CB266" s="1426" t="str">
        <f aca="false">IF(ISNUMBER($AW266*BB266),$AW266*BB266,"")</f>
        <v/>
      </c>
      <c r="CC266" s="1426" t="str">
        <f aca="false">IF(ISNUMBER($AX266*BC266),$AX266*BC266,"")</f>
        <v/>
      </c>
      <c r="CD266" s="1426" t="str">
        <f aca="false">IF(ISNUMBER($AW266*BD266),$AW266*BD266,"")</f>
        <v/>
      </c>
      <c r="CE266" s="1426" t="str">
        <f aca="false">IF(ISNUMBER($AX266*BE266),$AX266*BE266,"")</f>
        <v/>
      </c>
      <c r="CF266" s="1372" t="str">
        <f aca="false">IF(ISNUMBER($AW266*BF266),$AW266*BF266,"")</f>
        <v/>
      </c>
      <c r="CG266" s="1372" t="str">
        <f aca="false">IF(ISNUMBER($AX266*BG266),$AX266*BG266,"")</f>
        <v/>
      </c>
      <c r="CH266" s="1438"/>
      <c r="CI266" s="1438"/>
      <c r="CJ266" s="1438"/>
      <c r="CK266" s="1438"/>
      <c r="CU266" s="1411"/>
      <c r="CV266" s="1411"/>
      <c r="CW266" s="1425"/>
      <c r="CX266" s="1425"/>
      <c r="CY266" s="1425"/>
      <c r="CZ266" s="1425"/>
      <c r="DA266" s="1411"/>
      <c r="DB266" s="1411"/>
      <c r="DC266" s="1411"/>
      <c r="DD266" s="1411"/>
      <c r="DE266" s="1411"/>
      <c r="DF266" s="1411"/>
      <c r="DH266" s="1432"/>
      <c r="DI266" s="1432"/>
      <c r="DJ266" s="1437"/>
      <c r="DK266" s="1437"/>
      <c r="DL266" s="1437"/>
      <c r="DM266" s="1437"/>
      <c r="DN266" s="1432"/>
      <c r="DO266" s="1432"/>
      <c r="DP266" s="1432"/>
      <c r="DQ266" s="1432"/>
      <c r="DR266" s="1432"/>
      <c r="DS266" s="1432"/>
      <c r="DT266" s="1316"/>
      <c r="DU266" s="1433"/>
      <c r="DV266" s="1433"/>
      <c r="DW266" s="1433"/>
      <c r="DX266" s="1433"/>
      <c r="DY266" s="1433"/>
      <c r="DZ266" s="1433"/>
      <c r="EA266" s="1433"/>
      <c r="EB266" s="1433"/>
    </row>
    <row r="267" customFormat="false" ht="14.25" hidden="false" customHeight="false" outlineLevel="0" collapsed="false">
      <c r="A267" s="2" t="n">
        <f aca="false">'V_DATOS PAC_SGA'!CC262</f>
        <v>0</v>
      </c>
      <c r="B267" s="2" t="n">
        <f aca="false">IF(OR(A267=0,A267=""),0,IF(I267="IV",CONCATENATE('V_DATOS PAC_SGA'!CC262,"4")+0,CONCATENATE('V_DATOS PAC_SGA'!CC262,"0")+0))</f>
        <v>0</v>
      </c>
      <c r="C267" s="2" t="n">
        <f aca="false">'V_DATOS PAC_SGA'!CD262</f>
        <v>0</v>
      </c>
      <c r="D267" s="1409" t="n">
        <f aca="false">'V_DATOS PAC_SGA'!Y262</f>
        <v>0</v>
      </c>
      <c r="E267" s="1410" t="str">
        <f aca="false">IF('V_DATOS PAC_SGA'!AV262="","Regadio",'V_DATOS PAC_SGA'!AV262)</f>
        <v>Regadio</v>
      </c>
      <c r="F267" s="1411" t="n">
        <f aca="false">'V_DATOS PAC_SGA'!BK262</f>
        <v>0</v>
      </c>
      <c r="G267" s="1412" t="n">
        <f aca="false">'V_DATOS PAC_SGA'!AN262</f>
        <v>0</v>
      </c>
      <c r="H267" s="1413" t="str">
        <f aca="false">IF(B267&gt;0,VLOOKUP(B267,'O_MN, PE_UTA_UGM 2024'!E$3:O$419,10),"")</f>
        <v/>
      </c>
      <c r="I267" s="1359" t="str">
        <f aca="false">IF('V_DATOS PAC_SGA'!BV262="IV",'V_DATOS PAC_SGA'!BV262,"")</f>
        <v/>
      </c>
      <c r="J267" s="2" t="str">
        <f aca="false">IF($A267&gt;0,IF(AND(J$4=$G267,J$6=$F267),$D267*J$5,""),"")</f>
        <v/>
      </c>
      <c r="K267" s="2" t="str">
        <f aca="false">IF($A267&gt;0,IF(AND(K$4=$G267,K$6=$F267),$D267*K$5,""),"")</f>
        <v/>
      </c>
      <c r="L267" s="2" t="str">
        <f aca="false">IF($A267&gt;0,IF(AND(L$4=$G267,L$6=$F267),$D267*L$5,""),"")</f>
        <v/>
      </c>
      <c r="M267" s="2" t="str">
        <f aca="false">IF($A267&gt;0,IF(AND(M$4=$G267,M$6=$F267),$D267*M$5,""),"")</f>
        <v/>
      </c>
      <c r="N267" s="1506" t="n">
        <f aca="false">VLOOKUP(B267,'O_MN, PE_UTA_UGM 2024'!$E$2:$K$419,IF(G267&gt;1,6,7))</f>
        <v>0</v>
      </c>
      <c r="O267" s="1434" t="str">
        <f aca="false">IF($H267=O$4,$D267*$N267,"")</f>
        <v/>
      </c>
      <c r="P267" s="1435" t="str">
        <f aca="false">IF($H267=P$4,$D267*$N267,"")</f>
        <v/>
      </c>
      <c r="Q267" s="1435" t="str">
        <f aca="false">IF($H267=Q$4,$D267*$N267,"")</f>
        <v/>
      </c>
      <c r="R267" s="1435" t="str">
        <f aca="false">IF($H267=R$4,$D267*$N267,"")</f>
        <v/>
      </c>
      <c r="S267" s="1435" t="str">
        <f aca="false">IF($H267=S$4,$D267*$N267,"")</f>
        <v/>
      </c>
      <c r="T267" s="1435" t="str">
        <f aca="false">IF($H267=T$4,$D267*$N267,"")</f>
        <v/>
      </c>
      <c r="U267" s="1436" t="str">
        <f aca="false">IF($H267=U$4,$D267*$N267,"")</f>
        <v/>
      </c>
      <c r="V267" s="1418"/>
      <c r="W267" s="1419"/>
      <c r="X267" s="1419"/>
      <c r="Y267" s="1419"/>
      <c r="Z267" s="1419"/>
      <c r="AA267" s="1419"/>
      <c r="AB267" s="1420"/>
      <c r="AC267" s="1319"/>
      <c r="AD267" s="2" t="str">
        <f aca="false">IF(AND(AD$4=$G267,AD$6=$F267),$B267,"")</f>
        <v/>
      </c>
      <c r="AE267" s="2" t="str">
        <f aca="false">IF(AND(AE$4=$G267,AE$6=$F267),$B267,"")</f>
        <v/>
      </c>
      <c r="AF267" s="2" t="str">
        <f aca="false">IF(AND(AF$4=$G267,AF$6=$F267),$B267,"")</f>
        <v/>
      </c>
      <c r="AG267" s="2" t="str">
        <f aca="false">IF(AND(AG$4=$G267,AG$6=$F267),$B267,"")</f>
        <v/>
      </c>
      <c r="AI267" s="366"/>
      <c r="AL267" s="367"/>
      <c r="AO267" s="367"/>
      <c r="AP267" s="2" t="str">
        <f aca="false">IF(AT267&gt;0,RANK(AT267,AT$7:AT$423),"")</f>
        <v/>
      </c>
      <c r="AQ267" s="2" t="n">
        <f aca="false">'O_MN, PE_UTA_UGM 2024'!C263</f>
        <v>262</v>
      </c>
      <c r="AR267" s="1421" t="n">
        <v>2570</v>
      </c>
      <c r="AS267" s="2" t="str">
        <f aca="false">IF(AY267&lt;&gt;"",AY267,"")</f>
        <v/>
      </c>
      <c r="AT267" s="1422" t="n">
        <f aca="false">IF(ISNUMBER($AR267),SUMIF(B$7:B$505,AR267,D$7:D$505),"")</f>
        <v>0</v>
      </c>
      <c r="AU267" s="1411" t="n">
        <f aca="false">IF(ISNUMBER($AR267),SUMIF(AD$7:AD$503,$AR267,J$7:J$503),"")</f>
        <v>0</v>
      </c>
      <c r="AV267" s="1411" t="n">
        <f aca="false">IF(ISNUMBER($AR267),SUMIF(AF$7:AF$503,$AR267,L$7:L$503),"")</f>
        <v>0</v>
      </c>
      <c r="AW267" s="1423" t="n">
        <f aca="false">IF(ISNUMBER($AR267),SUMIF(AE$7:AE$503,$AR267,K$7:K$503),"")</f>
        <v>0</v>
      </c>
      <c r="AX267" s="1423" t="n">
        <f aca="false">IF(ISNUMBER($AR267),SUMIF(AG$7:AG$503,$AR267,M$7:M$503),"")</f>
        <v>0</v>
      </c>
      <c r="AY267" s="2" t="str">
        <f aca="false">IF($AT267&gt;0,VLOOKUP($AR267,'O_MN, PE_UTA_UGM 2024'!E263:O679,2),"")</f>
        <v/>
      </c>
      <c r="AZ267" s="1507"/>
      <c r="BA267" s="1507"/>
      <c r="BB267" s="1507" t="str">
        <f aca="false">IF($AT267&gt;0,VLOOKUP($AR267,'O_MN, PE_UTA_UGM 2024'!$E$3:$O$419,BB$6),"")</f>
        <v/>
      </c>
      <c r="BC267" s="1507" t="str">
        <f aca="false">IF($AT267&gt;0,VLOOKUP($AR267,'O_MN, PE_UTA_UGM 2024'!$E$3:$O$419,BC$6),"")</f>
        <v/>
      </c>
      <c r="BD267" s="1507" t="str">
        <f aca="false">IF($AT267&gt;0,VLOOKUP($AR267,'O_MN, PE_UTA_UGM 2024'!$E$3:$O$419,BD$6),"")</f>
        <v/>
      </c>
      <c r="BE267" s="1507" t="str">
        <f aca="false">IF($AT267&gt;0,VLOOKUP($AR267,'O_MN, PE_UTA_UGM 2024'!$E$3:$O$419,BE$6),"")</f>
        <v/>
      </c>
      <c r="BF267" s="1507" t="str">
        <f aca="false">IF($AT267&gt;0,VLOOKUP($AR267,'O_MN, PE_UTA_UGM 2024'!$E$3:$O$419,BF$6),"")</f>
        <v/>
      </c>
      <c r="BG267" s="1507" t="str">
        <f aca="false">IF($AT267&gt;0,VLOOKUP($AR267,'O_MN, PE_UTA_UGM 2024'!$E$3:$O$419,BG$6),"")</f>
        <v/>
      </c>
      <c r="BH267" s="1504"/>
      <c r="BI267" s="1504"/>
      <c r="BJ267" s="1504"/>
      <c r="BK267" s="1504"/>
      <c r="BM267" s="1411"/>
      <c r="BN267" s="1411"/>
      <c r="BO267" s="1425" t="str">
        <f aca="false">IF(ISNUMBER($AU267*BB267*1),$AU267*BB267*1,"")</f>
        <v/>
      </c>
      <c r="BP267" s="1425" t="str">
        <f aca="false">IF(ISNUMBER($AV267*BC267*1),$AV267*BC267*1,"")</f>
        <v/>
      </c>
      <c r="BQ267" s="1425" t="str">
        <f aca="false">IF(ISNUMBER($AU267*BD267*1),$AU267*BD267*1,"")</f>
        <v/>
      </c>
      <c r="BR267" s="1425" t="str">
        <f aca="false">IF(ISNUMBER($AV267*BE267*1),$AV267*BE267*1,"")</f>
        <v/>
      </c>
      <c r="BS267" s="1411" t="str">
        <f aca="false">IF(ISNUMBER($AU267*BF267),$AU267*BF267,"")</f>
        <v/>
      </c>
      <c r="BT267" s="1411" t="str">
        <f aca="false">IF(ISNUMBER($AV267*BG267),$AV267*BG267,"")</f>
        <v/>
      </c>
      <c r="BU267" s="1411"/>
      <c r="BV267" s="1411"/>
      <c r="BW267" s="1411"/>
      <c r="BX267" s="1411"/>
      <c r="BZ267" s="1372"/>
      <c r="CA267" s="1372"/>
      <c r="CB267" s="1426" t="str">
        <f aca="false">IF(ISNUMBER($AW267*BB267),$AW267*BB267,"")</f>
        <v/>
      </c>
      <c r="CC267" s="1426" t="str">
        <f aca="false">IF(ISNUMBER($AX267*BC267),$AX267*BC267,"")</f>
        <v/>
      </c>
      <c r="CD267" s="1426" t="str">
        <f aca="false">IF(ISNUMBER($AW267*BD267),$AW267*BD267,"")</f>
        <v/>
      </c>
      <c r="CE267" s="1426" t="str">
        <f aca="false">IF(ISNUMBER($AX267*BE267),$AX267*BE267,"")</f>
        <v/>
      </c>
      <c r="CF267" s="1372" t="str">
        <f aca="false">IF(ISNUMBER($AW267*BF267),$AW267*BF267,"")</f>
        <v/>
      </c>
      <c r="CG267" s="1372" t="str">
        <f aca="false">IF(ISNUMBER($AX267*BG267),$AX267*BG267,"")</f>
        <v/>
      </c>
      <c r="CH267" s="1438"/>
      <c r="CI267" s="1438"/>
      <c r="CJ267" s="1438"/>
      <c r="CK267" s="1438"/>
      <c r="CU267" s="1411"/>
      <c r="CV267" s="1411"/>
      <c r="CW267" s="1425"/>
      <c r="CX267" s="1425"/>
      <c r="CY267" s="1425"/>
      <c r="CZ267" s="1425"/>
      <c r="DA267" s="1411"/>
      <c r="DB267" s="1411"/>
      <c r="DC267" s="1411"/>
      <c r="DD267" s="1411"/>
      <c r="DE267" s="1411"/>
      <c r="DF267" s="1411"/>
      <c r="DH267" s="1432"/>
      <c r="DI267" s="1432"/>
      <c r="DJ267" s="1437"/>
      <c r="DK267" s="1437"/>
      <c r="DL267" s="1437"/>
      <c r="DM267" s="1437"/>
      <c r="DN267" s="1432"/>
      <c r="DO267" s="1432"/>
      <c r="DP267" s="1432"/>
      <c r="DQ267" s="1432"/>
      <c r="DR267" s="1432"/>
      <c r="DS267" s="1432"/>
      <c r="DT267" s="1316"/>
      <c r="DU267" s="1433"/>
      <c r="DV267" s="1433"/>
      <c r="DW267" s="1433"/>
      <c r="DX267" s="1433"/>
      <c r="DY267" s="1433"/>
      <c r="DZ267" s="1433"/>
      <c r="EA267" s="1433"/>
      <c r="EB267" s="1433"/>
    </row>
    <row r="268" customFormat="false" ht="14.25" hidden="false" customHeight="false" outlineLevel="0" collapsed="false">
      <c r="A268" s="2" t="n">
        <f aca="false">'V_DATOS PAC_SGA'!CC263</f>
        <v>0</v>
      </c>
      <c r="B268" s="2" t="n">
        <f aca="false">IF(OR(A268=0,A268=""),0,IF(I268="IV",CONCATENATE('V_DATOS PAC_SGA'!CC263,"4")+0,CONCATENATE('V_DATOS PAC_SGA'!CC263,"0")+0))</f>
        <v>0</v>
      </c>
      <c r="C268" s="2" t="n">
        <f aca="false">'V_DATOS PAC_SGA'!CD263</f>
        <v>0</v>
      </c>
      <c r="D268" s="1409" t="n">
        <f aca="false">'V_DATOS PAC_SGA'!Y263</f>
        <v>0</v>
      </c>
      <c r="E268" s="1410" t="str">
        <f aca="false">IF('V_DATOS PAC_SGA'!AV263="","Regadio",'V_DATOS PAC_SGA'!AV263)</f>
        <v>Regadio</v>
      </c>
      <c r="F268" s="1411" t="n">
        <f aca="false">'V_DATOS PAC_SGA'!BK263</f>
        <v>0</v>
      </c>
      <c r="G268" s="1412" t="n">
        <f aca="false">'V_DATOS PAC_SGA'!AN263</f>
        <v>0</v>
      </c>
      <c r="H268" s="1413" t="str">
        <f aca="false">IF(B268&gt;0,VLOOKUP(B268,'O_MN, PE_UTA_UGM 2024'!E$3:O$419,10),"")</f>
        <v/>
      </c>
      <c r="I268" s="1359" t="str">
        <f aca="false">IF('V_DATOS PAC_SGA'!BV263="IV",'V_DATOS PAC_SGA'!BV263,"")</f>
        <v/>
      </c>
      <c r="J268" s="2" t="str">
        <f aca="false">IF($A268&gt;0,IF(AND(J$4=$G268,J$6=$F268),$D268*J$5,""),"")</f>
        <v/>
      </c>
      <c r="K268" s="2" t="str">
        <f aca="false">IF($A268&gt;0,IF(AND(K$4=$G268,K$6=$F268),$D268*K$5,""),"")</f>
        <v/>
      </c>
      <c r="L268" s="2" t="str">
        <f aca="false">IF($A268&gt;0,IF(AND(L$4=$G268,L$6=$F268),$D268*L$5,""),"")</f>
        <v/>
      </c>
      <c r="M268" s="2" t="str">
        <f aca="false">IF($A268&gt;0,IF(AND(M$4=$G268,M$6=$F268),$D268*M$5,""),"")</f>
        <v/>
      </c>
      <c r="N268" s="1506" t="n">
        <f aca="false">VLOOKUP(B268,'O_MN, PE_UTA_UGM 2024'!$E$2:$K$419,IF(G268&gt;1,6,7))</f>
        <v>0</v>
      </c>
      <c r="O268" s="1434" t="str">
        <f aca="false">IF($H268=O$4,$D268*$N268,"")</f>
        <v/>
      </c>
      <c r="P268" s="1435" t="str">
        <f aca="false">IF($H268=P$4,$D268*$N268,"")</f>
        <v/>
      </c>
      <c r="Q268" s="1435" t="str">
        <f aca="false">IF($H268=Q$4,$D268*$N268,"")</f>
        <v/>
      </c>
      <c r="R268" s="1435" t="str">
        <f aca="false">IF($H268=R$4,$D268*$N268,"")</f>
        <v/>
      </c>
      <c r="S268" s="1435" t="str">
        <f aca="false">IF($H268=S$4,$D268*$N268,"")</f>
        <v/>
      </c>
      <c r="T268" s="1435" t="str">
        <f aca="false">IF($H268=T$4,$D268*$N268,"")</f>
        <v/>
      </c>
      <c r="U268" s="1436" t="str">
        <f aca="false">IF($H268=U$4,$D268*$N268,"")</f>
        <v/>
      </c>
      <c r="V268" s="1418"/>
      <c r="W268" s="1419"/>
      <c r="X268" s="1419"/>
      <c r="Y268" s="1419"/>
      <c r="Z268" s="1419"/>
      <c r="AA268" s="1419"/>
      <c r="AB268" s="1420"/>
      <c r="AC268" s="1319"/>
      <c r="AD268" s="2" t="str">
        <f aca="false">IF(AND(AD$4=$G268,AD$6=$F268),$B268,"")</f>
        <v/>
      </c>
      <c r="AE268" s="2" t="str">
        <f aca="false">IF(AND(AE$4=$G268,AE$6=$F268),$B268,"")</f>
        <v/>
      </c>
      <c r="AF268" s="2" t="str">
        <f aca="false">IF(AND(AF$4=$G268,AF$6=$F268),$B268,"")</f>
        <v/>
      </c>
      <c r="AG268" s="2" t="str">
        <f aca="false">IF(AND(AG$4=$G268,AG$6=$F268),$B268,"")</f>
        <v/>
      </c>
      <c r="AI268" s="366"/>
      <c r="AL268" s="367"/>
      <c r="AO268" s="367"/>
      <c r="AP268" s="2" t="str">
        <f aca="false">IF(AT268&gt;0,RANK(AT268,AT$7:AT$423),"")</f>
        <v/>
      </c>
      <c r="AQ268" s="2" t="n">
        <f aca="false">'O_MN, PE_UTA_UGM 2024'!C264</f>
        <v>263</v>
      </c>
      <c r="AR268" s="1421" t="n">
        <v>2580</v>
      </c>
      <c r="AS268" s="2" t="str">
        <f aca="false">IF(AY268&lt;&gt;"",AY268,"")</f>
        <v/>
      </c>
      <c r="AT268" s="1422" t="n">
        <f aca="false">IF(ISNUMBER($AR268),SUMIF(B$7:B$505,AR268,D$7:D$505),"")</f>
        <v>0</v>
      </c>
      <c r="AU268" s="1411" t="n">
        <f aca="false">IF(ISNUMBER($AR268),SUMIF(AD$7:AD$503,$AR268,J$7:J$503),"")</f>
        <v>0</v>
      </c>
      <c r="AV268" s="1411" t="n">
        <f aca="false">IF(ISNUMBER($AR268),SUMIF(AF$7:AF$503,$AR268,L$7:L$503),"")</f>
        <v>0</v>
      </c>
      <c r="AW268" s="1423" t="n">
        <f aca="false">IF(ISNUMBER($AR268),SUMIF(AE$7:AE$503,$AR268,K$7:K$503),"")</f>
        <v>0</v>
      </c>
      <c r="AX268" s="1423" t="n">
        <f aca="false">IF(ISNUMBER($AR268),SUMIF(AG$7:AG$503,$AR268,M$7:M$503),"")</f>
        <v>0</v>
      </c>
      <c r="AY268" s="2" t="str">
        <f aca="false">IF($AT268&gt;0,VLOOKUP($AR268,'O_MN, PE_UTA_UGM 2024'!E264:O680,2),"")</f>
        <v/>
      </c>
      <c r="AZ268" s="1507"/>
      <c r="BA268" s="1507"/>
      <c r="BB268" s="1507" t="str">
        <f aca="false">IF($AT268&gt;0,VLOOKUP($AR268,'O_MN, PE_UTA_UGM 2024'!$E$3:$O$419,BB$6),"")</f>
        <v/>
      </c>
      <c r="BC268" s="1507" t="str">
        <f aca="false">IF($AT268&gt;0,VLOOKUP($AR268,'O_MN, PE_UTA_UGM 2024'!$E$3:$O$419,BC$6),"")</f>
        <v/>
      </c>
      <c r="BD268" s="1507" t="str">
        <f aca="false">IF($AT268&gt;0,VLOOKUP($AR268,'O_MN, PE_UTA_UGM 2024'!$E$3:$O$419,BD$6),"")</f>
        <v/>
      </c>
      <c r="BE268" s="1507" t="str">
        <f aca="false">IF($AT268&gt;0,VLOOKUP($AR268,'O_MN, PE_UTA_UGM 2024'!$E$3:$O$419,BE$6),"")</f>
        <v/>
      </c>
      <c r="BF268" s="1507" t="str">
        <f aca="false">IF($AT268&gt;0,VLOOKUP($AR268,'O_MN, PE_UTA_UGM 2024'!$E$3:$O$419,BF$6),"")</f>
        <v/>
      </c>
      <c r="BG268" s="1507" t="str">
        <f aca="false">IF($AT268&gt;0,VLOOKUP($AR268,'O_MN, PE_UTA_UGM 2024'!$E$3:$O$419,BG$6),"")</f>
        <v/>
      </c>
      <c r="BH268" s="1504"/>
      <c r="BI268" s="1504"/>
      <c r="BJ268" s="1504"/>
      <c r="BK268" s="1504"/>
      <c r="BM268" s="1411"/>
      <c r="BN268" s="1411"/>
      <c r="BO268" s="1425" t="str">
        <f aca="false">IF(ISNUMBER($AU268*BB268*1),$AU268*BB268*1,"")</f>
        <v/>
      </c>
      <c r="BP268" s="1425" t="str">
        <f aca="false">IF(ISNUMBER($AV268*BC268*1),$AV268*BC268*1,"")</f>
        <v/>
      </c>
      <c r="BQ268" s="1425" t="str">
        <f aca="false">IF(ISNUMBER($AU268*BD268*1),$AU268*BD268*1,"")</f>
        <v/>
      </c>
      <c r="BR268" s="1425" t="str">
        <f aca="false">IF(ISNUMBER($AV268*BE268*1),$AV268*BE268*1,"")</f>
        <v/>
      </c>
      <c r="BS268" s="1411" t="str">
        <f aca="false">IF(ISNUMBER($AU268*BF268),$AU268*BF268,"")</f>
        <v/>
      </c>
      <c r="BT268" s="1411" t="str">
        <f aca="false">IF(ISNUMBER($AV268*BG268),$AV268*BG268,"")</f>
        <v/>
      </c>
      <c r="BU268" s="1411"/>
      <c r="BV268" s="1411"/>
      <c r="BW268" s="1411"/>
      <c r="BX268" s="1411"/>
      <c r="BZ268" s="1372"/>
      <c r="CA268" s="1372"/>
      <c r="CB268" s="1426" t="str">
        <f aca="false">IF(ISNUMBER($AW268*BB268),$AW268*BB268,"")</f>
        <v/>
      </c>
      <c r="CC268" s="1426" t="str">
        <f aca="false">IF(ISNUMBER($AX268*BC268),$AX268*BC268,"")</f>
        <v/>
      </c>
      <c r="CD268" s="1426" t="str">
        <f aca="false">IF(ISNUMBER($AW268*BD268),$AW268*BD268,"")</f>
        <v/>
      </c>
      <c r="CE268" s="1426" t="str">
        <f aca="false">IF(ISNUMBER($AX268*BE268),$AX268*BE268,"")</f>
        <v/>
      </c>
      <c r="CF268" s="1372" t="str">
        <f aca="false">IF(ISNUMBER($AW268*BF268),$AW268*BF268,"")</f>
        <v/>
      </c>
      <c r="CG268" s="1372" t="str">
        <f aca="false">IF(ISNUMBER($AX268*BG268),$AX268*BG268,"")</f>
        <v/>
      </c>
      <c r="CH268" s="1438"/>
      <c r="CI268" s="1438"/>
      <c r="CJ268" s="1438"/>
      <c r="CK268" s="1438"/>
      <c r="CU268" s="1411"/>
      <c r="CV268" s="1411"/>
      <c r="CW268" s="1425"/>
      <c r="CX268" s="1425"/>
      <c r="CY268" s="1425"/>
      <c r="CZ268" s="1425"/>
      <c r="DA268" s="1411"/>
      <c r="DB268" s="1411"/>
      <c r="DC268" s="1411"/>
      <c r="DD268" s="1411"/>
      <c r="DE268" s="1411"/>
      <c r="DF268" s="1411"/>
      <c r="DH268" s="1432"/>
      <c r="DI268" s="1432"/>
      <c r="DJ268" s="1437"/>
      <c r="DK268" s="1437"/>
      <c r="DL268" s="1437"/>
      <c r="DM268" s="1437"/>
      <c r="DN268" s="1432"/>
      <c r="DO268" s="1432"/>
      <c r="DP268" s="1432"/>
      <c r="DQ268" s="1432"/>
      <c r="DR268" s="1432"/>
      <c r="DS268" s="1432"/>
      <c r="DT268" s="1316"/>
      <c r="DU268" s="1433"/>
      <c r="DV268" s="1433"/>
      <c r="DW268" s="1433"/>
      <c r="DX268" s="1433"/>
      <c r="DY268" s="1433"/>
      <c r="DZ268" s="1433"/>
      <c r="EA268" s="1433"/>
      <c r="EB268" s="1433"/>
    </row>
    <row r="269" customFormat="false" ht="14.25" hidden="false" customHeight="false" outlineLevel="0" collapsed="false">
      <c r="A269" s="2" t="n">
        <f aca="false">'V_DATOS PAC_SGA'!CC264</f>
        <v>0</v>
      </c>
      <c r="B269" s="2" t="n">
        <f aca="false">IF(OR(A269=0,A269=""),0,IF(I269="IV",CONCATENATE('V_DATOS PAC_SGA'!CC264,"4")+0,CONCATENATE('V_DATOS PAC_SGA'!CC264,"0")+0))</f>
        <v>0</v>
      </c>
      <c r="C269" s="2" t="n">
        <f aca="false">'V_DATOS PAC_SGA'!CD264</f>
        <v>0</v>
      </c>
      <c r="D269" s="1409" t="n">
        <f aca="false">'V_DATOS PAC_SGA'!Y264</f>
        <v>0</v>
      </c>
      <c r="E269" s="1410" t="str">
        <f aca="false">IF('V_DATOS PAC_SGA'!AV264="","Regadio",'V_DATOS PAC_SGA'!AV264)</f>
        <v>Regadio</v>
      </c>
      <c r="F269" s="1411" t="n">
        <f aca="false">'V_DATOS PAC_SGA'!BK264</f>
        <v>0</v>
      </c>
      <c r="G269" s="1412" t="n">
        <f aca="false">'V_DATOS PAC_SGA'!AN264</f>
        <v>0</v>
      </c>
      <c r="H269" s="1413" t="str">
        <f aca="false">IF(B269&gt;0,VLOOKUP(B269,'O_MN, PE_UTA_UGM 2024'!E$3:O$419,10),"")</f>
        <v/>
      </c>
      <c r="I269" s="1359" t="str">
        <f aca="false">IF('V_DATOS PAC_SGA'!BV264="IV",'V_DATOS PAC_SGA'!BV264,"")</f>
        <v/>
      </c>
      <c r="J269" s="2" t="str">
        <f aca="false">IF($A269&gt;0,IF(AND(J$4=$G269,J$6=$F269),$D269*J$5,""),"")</f>
        <v/>
      </c>
      <c r="K269" s="2" t="str">
        <f aca="false">IF($A269&gt;0,IF(AND(K$4=$G269,K$6=$F269),$D269*K$5,""),"")</f>
        <v/>
      </c>
      <c r="L269" s="2" t="str">
        <f aca="false">IF($A269&gt;0,IF(AND(L$4=$G269,L$6=$F269),$D269*L$5,""),"")</f>
        <v/>
      </c>
      <c r="M269" s="2" t="str">
        <f aca="false">IF($A269&gt;0,IF(AND(M$4=$G269,M$6=$F269),$D269*M$5,""),"")</f>
        <v/>
      </c>
      <c r="N269" s="1506" t="n">
        <f aca="false">VLOOKUP(B269,'O_MN, PE_UTA_UGM 2024'!$E$2:$K$419,IF(G269&gt;1,6,7))</f>
        <v>0</v>
      </c>
      <c r="O269" s="1434" t="str">
        <f aca="false">IF($H269=O$4,$D269*$N269,"")</f>
        <v/>
      </c>
      <c r="P269" s="1435" t="str">
        <f aca="false">IF($H269=P$4,$D269*$N269,"")</f>
        <v/>
      </c>
      <c r="Q269" s="1435" t="str">
        <f aca="false">IF($H269=Q$4,$D269*$N269,"")</f>
        <v/>
      </c>
      <c r="R269" s="1435" t="str">
        <f aca="false">IF($H269=R$4,$D269*$N269,"")</f>
        <v/>
      </c>
      <c r="S269" s="1435" t="str">
        <f aca="false">IF($H269=S$4,$D269*$N269,"")</f>
        <v/>
      </c>
      <c r="T269" s="1435" t="str">
        <f aca="false">IF($H269=T$4,$D269*$N269,"")</f>
        <v/>
      </c>
      <c r="U269" s="1436" t="str">
        <f aca="false">IF($H269=U$4,$D269*$N269,"")</f>
        <v/>
      </c>
      <c r="V269" s="1418"/>
      <c r="W269" s="1419"/>
      <c r="X269" s="1419"/>
      <c r="Y269" s="1419"/>
      <c r="Z269" s="1419"/>
      <c r="AA269" s="1419"/>
      <c r="AB269" s="1420"/>
      <c r="AC269" s="1319"/>
      <c r="AD269" s="2" t="str">
        <f aca="false">IF(AND(AD$4=$G269,AD$6=$F269),$B269,"")</f>
        <v/>
      </c>
      <c r="AE269" s="2" t="str">
        <f aca="false">IF(AND(AE$4=$G269,AE$6=$F269),$B269,"")</f>
        <v/>
      </c>
      <c r="AF269" s="2" t="str">
        <f aca="false">IF(AND(AF$4=$G269,AF$6=$F269),$B269,"")</f>
        <v/>
      </c>
      <c r="AG269" s="2" t="str">
        <f aca="false">IF(AND(AG$4=$G269,AG$6=$F269),$B269,"")</f>
        <v/>
      </c>
      <c r="AI269" s="366"/>
      <c r="AL269" s="367"/>
      <c r="AO269" s="367"/>
      <c r="AP269" s="2" t="str">
        <f aca="false">IF(AT269&gt;0,RANK(AT269,AT$7:AT$423),"")</f>
        <v/>
      </c>
      <c r="AQ269" s="2" t="n">
        <f aca="false">'O_MN, PE_UTA_UGM 2024'!C265</f>
        <v>264</v>
      </c>
      <c r="AR269" s="1421" t="n">
        <v>2590</v>
      </c>
      <c r="AS269" s="2" t="str">
        <f aca="false">IF(AY269&lt;&gt;"",AY269,"")</f>
        <v/>
      </c>
      <c r="AT269" s="1422" t="n">
        <f aca="false">IF(ISNUMBER($AR269),SUMIF(B$7:B$505,AR269,D$7:D$505),"")</f>
        <v>0</v>
      </c>
      <c r="AU269" s="1411" t="n">
        <f aca="false">IF(ISNUMBER($AR269),SUMIF(AD$7:AD$503,$AR269,J$7:J$503),"")</f>
        <v>0</v>
      </c>
      <c r="AV269" s="1411" t="n">
        <f aca="false">IF(ISNUMBER($AR269),SUMIF(AF$7:AF$503,$AR269,L$7:L$503),"")</f>
        <v>0</v>
      </c>
      <c r="AW269" s="1423" t="n">
        <f aca="false">IF(ISNUMBER($AR269),SUMIF(AE$7:AE$503,$AR269,K$7:K$503),"")</f>
        <v>0</v>
      </c>
      <c r="AX269" s="1423" t="n">
        <f aca="false">IF(ISNUMBER($AR269),SUMIF(AG$7:AG$503,$AR269,M$7:M$503),"")</f>
        <v>0</v>
      </c>
      <c r="AY269" s="2" t="str">
        <f aca="false">IF($AT269&gt;0,VLOOKUP($AR269,'O_MN, PE_UTA_UGM 2024'!E265:O681,2),"")</f>
        <v/>
      </c>
      <c r="AZ269" s="1507"/>
      <c r="BA269" s="1507"/>
      <c r="BB269" s="1507" t="str">
        <f aca="false">IF($AT269&gt;0,VLOOKUP($AR269,'O_MN, PE_UTA_UGM 2024'!$E$3:$O$419,BB$6),"")</f>
        <v/>
      </c>
      <c r="BC269" s="1507" t="str">
        <f aca="false">IF($AT269&gt;0,VLOOKUP($AR269,'O_MN, PE_UTA_UGM 2024'!$E$3:$O$419,BC$6),"")</f>
        <v/>
      </c>
      <c r="BD269" s="1507" t="str">
        <f aca="false">IF($AT269&gt;0,VLOOKUP($AR269,'O_MN, PE_UTA_UGM 2024'!$E$3:$O$419,BD$6),"")</f>
        <v/>
      </c>
      <c r="BE269" s="1507" t="str">
        <f aca="false">IF($AT269&gt;0,VLOOKUP($AR269,'O_MN, PE_UTA_UGM 2024'!$E$3:$O$419,BE$6),"")</f>
        <v/>
      </c>
      <c r="BF269" s="1507" t="str">
        <f aca="false">IF($AT269&gt;0,VLOOKUP($AR269,'O_MN, PE_UTA_UGM 2024'!$E$3:$O$419,BF$6),"")</f>
        <v/>
      </c>
      <c r="BG269" s="1507" t="str">
        <f aca="false">IF($AT269&gt;0,VLOOKUP($AR269,'O_MN, PE_UTA_UGM 2024'!$E$3:$O$419,BG$6),"")</f>
        <v/>
      </c>
      <c r="BH269" s="1504"/>
      <c r="BI269" s="1504"/>
      <c r="BJ269" s="1504"/>
      <c r="BK269" s="1504"/>
      <c r="BM269" s="1411"/>
      <c r="BN269" s="1411"/>
      <c r="BO269" s="1425" t="str">
        <f aca="false">IF(ISNUMBER($AU269*BB269*1),$AU269*BB269*1,"")</f>
        <v/>
      </c>
      <c r="BP269" s="1425" t="str">
        <f aca="false">IF(ISNUMBER($AV269*BC269*1),$AV269*BC269*1,"")</f>
        <v/>
      </c>
      <c r="BQ269" s="1425" t="str">
        <f aca="false">IF(ISNUMBER($AU269*BD269*1),$AU269*BD269*1,"")</f>
        <v/>
      </c>
      <c r="BR269" s="1425" t="str">
        <f aca="false">IF(ISNUMBER($AV269*BE269*1),$AV269*BE269*1,"")</f>
        <v/>
      </c>
      <c r="BS269" s="1411" t="str">
        <f aca="false">IF(ISNUMBER($AU269*BF269),$AU269*BF269,"")</f>
        <v/>
      </c>
      <c r="BT269" s="1411" t="str">
        <f aca="false">IF(ISNUMBER($AV269*BG269),$AV269*BG269,"")</f>
        <v/>
      </c>
      <c r="BU269" s="1411"/>
      <c r="BV269" s="1411"/>
      <c r="BW269" s="1411"/>
      <c r="BX269" s="1411"/>
      <c r="BZ269" s="1372"/>
      <c r="CA269" s="1372"/>
      <c r="CB269" s="1426" t="str">
        <f aca="false">IF(ISNUMBER($AW269*BB269),$AW269*BB269,"")</f>
        <v/>
      </c>
      <c r="CC269" s="1426" t="str">
        <f aca="false">IF(ISNUMBER($AX269*BC269),$AX269*BC269,"")</f>
        <v/>
      </c>
      <c r="CD269" s="1426" t="str">
        <f aca="false">IF(ISNUMBER($AW269*BD269),$AW269*BD269,"")</f>
        <v/>
      </c>
      <c r="CE269" s="1426" t="str">
        <f aca="false">IF(ISNUMBER($AX269*BE269),$AX269*BE269,"")</f>
        <v/>
      </c>
      <c r="CF269" s="1372" t="str">
        <f aca="false">IF(ISNUMBER($AW269*BF269),$AW269*BF269,"")</f>
        <v/>
      </c>
      <c r="CG269" s="1372" t="str">
        <f aca="false">IF(ISNUMBER($AX269*BG269),$AX269*BG269,"")</f>
        <v/>
      </c>
      <c r="CH269" s="1438"/>
      <c r="CI269" s="1438"/>
      <c r="CJ269" s="1438"/>
      <c r="CK269" s="1438"/>
      <c r="CU269" s="1411"/>
      <c r="CV269" s="1411"/>
      <c r="CW269" s="1425"/>
      <c r="CX269" s="1425"/>
      <c r="CY269" s="1425"/>
      <c r="CZ269" s="1425"/>
      <c r="DA269" s="1411"/>
      <c r="DB269" s="1411"/>
      <c r="DC269" s="1411"/>
      <c r="DD269" s="1411"/>
      <c r="DE269" s="1411"/>
      <c r="DF269" s="1411"/>
      <c r="DH269" s="1432"/>
      <c r="DI269" s="1432"/>
      <c r="DJ269" s="1437"/>
      <c r="DK269" s="1437"/>
      <c r="DL269" s="1437"/>
      <c r="DM269" s="1437"/>
      <c r="DN269" s="1432"/>
      <c r="DO269" s="1432"/>
      <c r="DP269" s="1432"/>
      <c r="DQ269" s="1432"/>
      <c r="DR269" s="1432"/>
      <c r="DS269" s="1432"/>
      <c r="DT269" s="1316"/>
      <c r="DU269" s="1433"/>
      <c r="DV269" s="1433"/>
      <c r="DW269" s="1433"/>
      <c r="DX269" s="1433"/>
      <c r="DY269" s="1433"/>
      <c r="DZ269" s="1433"/>
      <c r="EA269" s="1433"/>
      <c r="EB269" s="1433"/>
    </row>
    <row r="270" customFormat="false" ht="14.25" hidden="false" customHeight="false" outlineLevel="0" collapsed="false">
      <c r="A270" s="2" t="n">
        <f aca="false">'V_DATOS PAC_SGA'!CC265</f>
        <v>0</v>
      </c>
      <c r="B270" s="2" t="n">
        <f aca="false">IF(OR(A270=0,A270=""),0,IF(I270="IV",CONCATENATE('V_DATOS PAC_SGA'!CC265,"4")+0,CONCATENATE('V_DATOS PAC_SGA'!CC265,"0")+0))</f>
        <v>0</v>
      </c>
      <c r="C270" s="2" t="n">
        <f aca="false">'V_DATOS PAC_SGA'!CD265</f>
        <v>0</v>
      </c>
      <c r="D270" s="1409" t="n">
        <f aca="false">'V_DATOS PAC_SGA'!Y265</f>
        <v>0</v>
      </c>
      <c r="E270" s="1410" t="str">
        <f aca="false">IF('V_DATOS PAC_SGA'!AV265="","Regadio",'V_DATOS PAC_SGA'!AV265)</f>
        <v>Regadio</v>
      </c>
      <c r="F270" s="1411" t="n">
        <f aca="false">'V_DATOS PAC_SGA'!BK265</f>
        <v>0</v>
      </c>
      <c r="G270" s="1412" t="n">
        <f aca="false">'V_DATOS PAC_SGA'!AN265</f>
        <v>0</v>
      </c>
      <c r="H270" s="1413" t="str">
        <f aca="false">IF(B270&gt;0,VLOOKUP(B270,'O_MN, PE_UTA_UGM 2024'!E$3:O$419,10),"")</f>
        <v/>
      </c>
      <c r="I270" s="1359" t="str">
        <f aca="false">IF('V_DATOS PAC_SGA'!BV265="IV",'V_DATOS PAC_SGA'!BV265,"")</f>
        <v/>
      </c>
      <c r="J270" s="2" t="str">
        <f aca="false">IF($A270&gt;0,IF(AND(J$4=$G270,J$6=$F270),$D270*J$5,""),"")</f>
        <v/>
      </c>
      <c r="K270" s="2" t="str">
        <f aca="false">IF($A270&gt;0,IF(AND(K$4=$G270,K$6=$F270),$D270*K$5,""),"")</f>
        <v/>
      </c>
      <c r="L270" s="2" t="str">
        <f aca="false">IF($A270&gt;0,IF(AND(L$4=$G270,L$6=$F270),$D270*L$5,""),"")</f>
        <v/>
      </c>
      <c r="M270" s="2" t="str">
        <f aca="false">IF($A270&gt;0,IF(AND(M$4=$G270,M$6=$F270),$D270*M$5,""),"")</f>
        <v/>
      </c>
      <c r="N270" s="1506" t="n">
        <f aca="false">VLOOKUP(B270,'O_MN, PE_UTA_UGM 2024'!$E$2:$K$419,IF(G270&gt;1,6,7))</f>
        <v>0</v>
      </c>
      <c r="O270" s="1434" t="str">
        <f aca="false">IF($H270=O$4,$D270*$N270,"")</f>
        <v/>
      </c>
      <c r="P270" s="1435" t="str">
        <f aca="false">IF($H270=P$4,$D270*$N270,"")</f>
        <v/>
      </c>
      <c r="Q270" s="1435" t="str">
        <f aca="false">IF($H270=Q$4,$D270*$N270,"")</f>
        <v/>
      </c>
      <c r="R270" s="1435" t="str">
        <f aca="false">IF($H270=R$4,$D270*$N270,"")</f>
        <v/>
      </c>
      <c r="S270" s="1435" t="str">
        <f aca="false">IF($H270=S$4,$D270*$N270,"")</f>
        <v/>
      </c>
      <c r="T270" s="1435" t="str">
        <f aca="false">IF($H270=T$4,$D270*$N270,"")</f>
        <v/>
      </c>
      <c r="U270" s="1436" t="str">
        <f aca="false">IF($H270=U$4,$D270*$N270,"")</f>
        <v/>
      </c>
      <c r="V270" s="1418"/>
      <c r="W270" s="1419"/>
      <c r="X270" s="1419"/>
      <c r="Y270" s="1419"/>
      <c r="Z270" s="1419"/>
      <c r="AA270" s="1419"/>
      <c r="AB270" s="1420"/>
      <c r="AC270" s="1319"/>
      <c r="AD270" s="2" t="str">
        <f aca="false">IF(AND(AD$4=$G270,AD$6=$F270),$B270,"")</f>
        <v/>
      </c>
      <c r="AE270" s="2" t="str">
        <f aca="false">IF(AND(AE$4=$G270,AE$6=$F270),$B270,"")</f>
        <v/>
      </c>
      <c r="AF270" s="2" t="str">
        <f aca="false">IF(AND(AF$4=$G270,AF$6=$F270),$B270,"")</f>
        <v/>
      </c>
      <c r="AG270" s="2" t="str">
        <f aca="false">IF(AND(AG$4=$G270,AG$6=$F270),$B270,"")</f>
        <v/>
      </c>
      <c r="AI270" s="366"/>
      <c r="AL270" s="367"/>
      <c r="AO270" s="367"/>
      <c r="AP270" s="2" t="str">
        <f aca="false">IF(AT270&gt;0,RANK(AT270,AT$7:AT$423),"")</f>
        <v/>
      </c>
      <c r="AQ270" s="2" t="n">
        <f aca="false">'O_MN, PE_UTA_UGM 2024'!C266</f>
        <v>265</v>
      </c>
      <c r="AR270" s="1421" t="n">
        <v>2600</v>
      </c>
      <c r="AS270" s="2" t="str">
        <f aca="false">IF(AY270&lt;&gt;"",AY270,"")</f>
        <v/>
      </c>
      <c r="AT270" s="1422" t="n">
        <f aca="false">IF(ISNUMBER($AR270),SUMIF(B$7:B$505,AR270,D$7:D$505),"")</f>
        <v>0</v>
      </c>
      <c r="AU270" s="1411" t="n">
        <f aca="false">IF(ISNUMBER($AR270),SUMIF(AD$7:AD$503,$AR270,J$7:J$503),"")</f>
        <v>0</v>
      </c>
      <c r="AV270" s="1411" t="n">
        <f aca="false">IF(ISNUMBER($AR270),SUMIF(AF$7:AF$503,$AR270,L$7:L$503),"")</f>
        <v>0</v>
      </c>
      <c r="AW270" s="1423" t="n">
        <f aca="false">IF(ISNUMBER($AR270),SUMIF(AE$7:AE$503,$AR270,K$7:K$503),"")</f>
        <v>0</v>
      </c>
      <c r="AX270" s="1423" t="n">
        <f aca="false">IF(ISNUMBER($AR270),SUMIF(AG$7:AG$503,$AR270,M$7:M$503),"")</f>
        <v>0</v>
      </c>
      <c r="AY270" s="2" t="str">
        <f aca="false">IF($AT270&gt;0,VLOOKUP($AR270,'O_MN, PE_UTA_UGM 2024'!E266:O682,2),"")</f>
        <v/>
      </c>
      <c r="AZ270" s="1507"/>
      <c r="BA270" s="1507"/>
      <c r="BB270" s="1507" t="str">
        <f aca="false">IF($AT270&gt;0,VLOOKUP($AR270,'O_MN, PE_UTA_UGM 2024'!$E$3:$O$419,BB$6),"")</f>
        <v/>
      </c>
      <c r="BC270" s="1507" t="str">
        <f aca="false">IF($AT270&gt;0,VLOOKUP($AR270,'O_MN, PE_UTA_UGM 2024'!$E$3:$O$419,BC$6),"")</f>
        <v/>
      </c>
      <c r="BD270" s="1507" t="str">
        <f aca="false">IF($AT270&gt;0,VLOOKUP($AR270,'O_MN, PE_UTA_UGM 2024'!$E$3:$O$419,BD$6),"")</f>
        <v/>
      </c>
      <c r="BE270" s="1507" t="str">
        <f aca="false">IF($AT270&gt;0,VLOOKUP($AR270,'O_MN, PE_UTA_UGM 2024'!$E$3:$O$419,BE$6),"")</f>
        <v/>
      </c>
      <c r="BF270" s="1507" t="str">
        <f aca="false">IF($AT270&gt;0,VLOOKUP($AR270,'O_MN, PE_UTA_UGM 2024'!$E$3:$O$419,BF$6),"")</f>
        <v/>
      </c>
      <c r="BG270" s="1507" t="str">
        <f aca="false">IF($AT270&gt;0,VLOOKUP($AR270,'O_MN, PE_UTA_UGM 2024'!$E$3:$O$419,BG$6),"")</f>
        <v/>
      </c>
      <c r="BH270" s="1504"/>
      <c r="BI270" s="1504"/>
      <c r="BJ270" s="1504"/>
      <c r="BK270" s="1504"/>
      <c r="BM270" s="1411"/>
      <c r="BN270" s="1411"/>
      <c r="BO270" s="1425" t="str">
        <f aca="false">IF(ISNUMBER($AU270*BB270*1),$AU270*BB270*1,"")</f>
        <v/>
      </c>
      <c r="BP270" s="1425" t="str">
        <f aca="false">IF(ISNUMBER($AV270*BC270*1),$AV270*BC270*1,"")</f>
        <v/>
      </c>
      <c r="BQ270" s="1425" t="str">
        <f aca="false">IF(ISNUMBER($AU270*BD270*1),$AU270*BD270*1,"")</f>
        <v/>
      </c>
      <c r="BR270" s="1425" t="str">
        <f aca="false">IF(ISNUMBER($AV270*BE270*1),$AV270*BE270*1,"")</f>
        <v/>
      </c>
      <c r="BS270" s="1411" t="str">
        <f aca="false">IF(ISNUMBER($AU270*BF270),$AU270*BF270,"")</f>
        <v/>
      </c>
      <c r="BT270" s="1411" t="str">
        <f aca="false">IF(ISNUMBER($AV270*BG270),$AV270*BG270,"")</f>
        <v/>
      </c>
      <c r="BU270" s="1411"/>
      <c r="BV270" s="1411"/>
      <c r="BW270" s="1411"/>
      <c r="BX270" s="1411"/>
      <c r="BZ270" s="1372"/>
      <c r="CA270" s="1372"/>
      <c r="CB270" s="1426" t="str">
        <f aca="false">IF(ISNUMBER($AW270*BB270),$AW270*BB270,"")</f>
        <v/>
      </c>
      <c r="CC270" s="1426" t="str">
        <f aca="false">IF(ISNUMBER($AX270*BC270),$AX270*BC270,"")</f>
        <v/>
      </c>
      <c r="CD270" s="1426" t="str">
        <f aca="false">IF(ISNUMBER($AW270*BD270),$AW270*BD270,"")</f>
        <v/>
      </c>
      <c r="CE270" s="1426" t="str">
        <f aca="false">IF(ISNUMBER($AX270*BE270),$AX270*BE270,"")</f>
        <v/>
      </c>
      <c r="CF270" s="1372" t="str">
        <f aca="false">IF(ISNUMBER($AW270*BF270),$AW270*BF270,"")</f>
        <v/>
      </c>
      <c r="CG270" s="1372" t="str">
        <f aca="false">IF(ISNUMBER($AX270*BG270),$AX270*BG270,"")</f>
        <v/>
      </c>
      <c r="CH270" s="1438"/>
      <c r="CI270" s="1438"/>
      <c r="CJ270" s="1438"/>
      <c r="CK270" s="1438"/>
      <c r="CU270" s="1411"/>
      <c r="CV270" s="1411"/>
      <c r="CW270" s="1425"/>
      <c r="CX270" s="1425"/>
      <c r="CY270" s="1425"/>
      <c r="CZ270" s="1425"/>
      <c r="DA270" s="1411"/>
      <c r="DB270" s="1411"/>
      <c r="DC270" s="1411"/>
      <c r="DD270" s="1411"/>
      <c r="DE270" s="1411"/>
      <c r="DF270" s="1411"/>
      <c r="DH270" s="1432"/>
      <c r="DI270" s="1432"/>
      <c r="DJ270" s="1437"/>
      <c r="DK270" s="1437"/>
      <c r="DL270" s="1437"/>
      <c r="DM270" s="1437"/>
      <c r="DN270" s="1432"/>
      <c r="DO270" s="1432"/>
      <c r="DP270" s="1432"/>
      <c r="DQ270" s="1432"/>
      <c r="DR270" s="1432"/>
      <c r="DS270" s="1432"/>
      <c r="DT270" s="1316"/>
      <c r="DU270" s="1433"/>
      <c r="DV270" s="1433"/>
      <c r="DW270" s="1433"/>
      <c r="DX270" s="1433"/>
      <c r="DY270" s="1433"/>
      <c r="DZ270" s="1433"/>
      <c r="EA270" s="1433"/>
      <c r="EB270" s="1433"/>
    </row>
    <row r="271" customFormat="false" ht="14.25" hidden="false" customHeight="false" outlineLevel="0" collapsed="false">
      <c r="A271" s="2" t="n">
        <f aca="false">'V_DATOS PAC_SGA'!CC266</f>
        <v>0</v>
      </c>
      <c r="B271" s="2" t="n">
        <f aca="false">IF(OR(A271=0,A271=""),0,IF(I271="IV",CONCATENATE('V_DATOS PAC_SGA'!CC266,"4")+0,CONCATENATE('V_DATOS PAC_SGA'!CC266,"0")+0))</f>
        <v>0</v>
      </c>
      <c r="C271" s="2" t="n">
        <f aca="false">'V_DATOS PAC_SGA'!CD266</f>
        <v>0</v>
      </c>
      <c r="D271" s="1409" t="n">
        <f aca="false">'V_DATOS PAC_SGA'!Y266</f>
        <v>0</v>
      </c>
      <c r="E271" s="1410" t="str">
        <f aca="false">IF('V_DATOS PAC_SGA'!AV266="","Regadio",'V_DATOS PAC_SGA'!AV266)</f>
        <v>Regadio</v>
      </c>
      <c r="F271" s="1411" t="n">
        <f aca="false">'V_DATOS PAC_SGA'!BK266</f>
        <v>0</v>
      </c>
      <c r="G271" s="1412" t="n">
        <f aca="false">'V_DATOS PAC_SGA'!AN266</f>
        <v>0</v>
      </c>
      <c r="H271" s="1413" t="str">
        <f aca="false">IF(B271&gt;0,VLOOKUP(B271,'O_MN, PE_UTA_UGM 2024'!E$3:O$419,10),"")</f>
        <v/>
      </c>
      <c r="I271" s="1359" t="str">
        <f aca="false">IF('V_DATOS PAC_SGA'!BV266="IV",'V_DATOS PAC_SGA'!BV266,"")</f>
        <v/>
      </c>
      <c r="J271" s="2" t="str">
        <f aca="false">IF($A271&gt;0,IF(AND(J$4=$G271,J$6=$F271),$D271*J$5,""),"")</f>
        <v/>
      </c>
      <c r="K271" s="2" t="str">
        <f aca="false">IF($A271&gt;0,IF(AND(K$4=$G271,K$6=$F271),$D271*K$5,""),"")</f>
        <v/>
      </c>
      <c r="L271" s="2" t="str">
        <f aca="false">IF($A271&gt;0,IF(AND(L$4=$G271,L$6=$F271),$D271*L$5,""),"")</f>
        <v/>
      </c>
      <c r="M271" s="2" t="str">
        <f aca="false">IF($A271&gt;0,IF(AND(M$4=$G271,M$6=$F271),$D271*M$5,""),"")</f>
        <v/>
      </c>
      <c r="N271" s="1506" t="n">
        <f aca="false">VLOOKUP(B271,'O_MN, PE_UTA_UGM 2024'!$E$2:$K$419,IF(G271&gt;1,6,7))</f>
        <v>0</v>
      </c>
      <c r="O271" s="1434" t="str">
        <f aca="false">IF($H271=O$4,$D271*$N271,"")</f>
        <v/>
      </c>
      <c r="P271" s="1435" t="str">
        <f aca="false">IF($H271=P$4,$D271*$N271,"")</f>
        <v/>
      </c>
      <c r="Q271" s="1435" t="str">
        <f aca="false">IF($H271=Q$4,$D271*$N271,"")</f>
        <v/>
      </c>
      <c r="R271" s="1435" t="str">
        <f aca="false">IF($H271=R$4,$D271*$N271,"")</f>
        <v/>
      </c>
      <c r="S271" s="1435" t="str">
        <f aca="false">IF($H271=S$4,$D271*$N271,"")</f>
        <v/>
      </c>
      <c r="T271" s="1435" t="str">
        <f aca="false">IF($H271=T$4,$D271*$N271,"")</f>
        <v/>
      </c>
      <c r="U271" s="1436" t="str">
        <f aca="false">IF($H271=U$4,$D271*$N271,"")</f>
        <v/>
      </c>
      <c r="V271" s="1418"/>
      <c r="W271" s="1419"/>
      <c r="X271" s="1419"/>
      <c r="Y271" s="1419"/>
      <c r="Z271" s="1419"/>
      <c r="AA271" s="1419"/>
      <c r="AB271" s="1420"/>
      <c r="AC271" s="1319"/>
      <c r="AD271" s="2" t="str">
        <f aca="false">IF(AND(AD$4=$G271,AD$6=$F271),$B271,"")</f>
        <v/>
      </c>
      <c r="AE271" s="2" t="str">
        <f aca="false">IF(AND(AE$4=$G271,AE$6=$F271),$B271,"")</f>
        <v/>
      </c>
      <c r="AF271" s="2" t="str">
        <f aca="false">IF(AND(AF$4=$G271,AF$6=$F271),$B271,"")</f>
        <v/>
      </c>
      <c r="AG271" s="2" t="str">
        <f aca="false">IF(AND(AG$4=$G271,AG$6=$F271),$B271,"")</f>
        <v/>
      </c>
      <c r="AI271" s="366"/>
      <c r="AL271" s="367"/>
      <c r="AO271" s="367"/>
      <c r="AP271" s="2" t="str">
        <f aca="false">IF(AT271&gt;0,RANK(AT271,AT$7:AT$423),"")</f>
        <v/>
      </c>
      <c r="AQ271" s="2" t="n">
        <f aca="false">'O_MN, PE_UTA_UGM 2024'!C267</f>
        <v>266</v>
      </c>
      <c r="AR271" s="1421" t="n">
        <v>2610</v>
      </c>
      <c r="AS271" s="2" t="str">
        <f aca="false">IF(AY271&lt;&gt;"",AY271,"")</f>
        <v/>
      </c>
      <c r="AT271" s="1422" t="n">
        <f aca="false">IF(ISNUMBER($AR271),SUMIF(B$7:B$505,AR271,D$7:D$505),"")</f>
        <v>0</v>
      </c>
      <c r="AU271" s="1411" t="n">
        <f aca="false">IF(ISNUMBER($AR271),SUMIF(AD$7:AD$503,$AR271,J$7:J$503),"")</f>
        <v>0</v>
      </c>
      <c r="AV271" s="1411" t="n">
        <f aca="false">IF(ISNUMBER($AR271),SUMIF(AF$7:AF$503,$AR271,L$7:L$503),"")</f>
        <v>0</v>
      </c>
      <c r="AW271" s="1423" t="n">
        <f aca="false">IF(ISNUMBER($AR271),SUMIF(AE$7:AE$503,$AR271,K$7:K$503),"")</f>
        <v>0</v>
      </c>
      <c r="AX271" s="1423" t="n">
        <f aca="false">IF(ISNUMBER($AR271),SUMIF(AG$7:AG$503,$AR271,M$7:M$503),"")</f>
        <v>0</v>
      </c>
      <c r="AY271" s="2" t="str">
        <f aca="false">IF($AT271&gt;0,VLOOKUP($AR271,'O_MN, PE_UTA_UGM 2024'!E267:O683,2),"")</f>
        <v/>
      </c>
      <c r="AZ271" s="1507"/>
      <c r="BA271" s="1507"/>
      <c r="BB271" s="1507" t="str">
        <f aca="false">IF($AT271&gt;0,VLOOKUP($AR271,'O_MN, PE_UTA_UGM 2024'!$E$3:$O$419,BB$6),"")</f>
        <v/>
      </c>
      <c r="BC271" s="1507" t="str">
        <f aca="false">IF($AT271&gt;0,VLOOKUP($AR271,'O_MN, PE_UTA_UGM 2024'!$E$3:$O$419,BC$6),"")</f>
        <v/>
      </c>
      <c r="BD271" s="1507" t="str">
        <f aca="false">IF($AT271&gt;0,VLOOKUP($AR271,'O_MN, PE_UTA_UGM 2024'!$E$3:$O$419,BD$6),"")</f>
        <v/>
      </c>
      <c r="BE271" s="1507" t="str">
        <f aca="false">IF($AT271&gt;0,VLOOKUP($AR271,'O_MN, PE_UTA_UGM 2024'!$E$3:$O$419,BE$6),"")</f>
        <v/>
      </c>
      <c r="BF271" s="1507" t="str">
        <f aca="false">IF($AT271&gt;0,VLOOKUP($AR271,'O_MN, PE_UTA_UGM 2024'!$E$3:$O$419,BF$6),"")</f>
        <v/>
      </c>
      <c r="BG271" s="1507" t="str">
        <f aca="false">IF($AT271&gt;0,VLOOKUP($AR271,'O_MN, PE_UTA_UGM 2024'!$E$3:$O$419,BG$6),"")</f>
        <v/>
      </c>
      <c r="BH271" s="1504"/>
      <c r="BI271" s="1504"/>
      <c r="BJ271" s="1504"/>
      <c r="BK271" s="1504"/>
      <c r="BM271" s="1411"/>
      <c r="BN271" s="1411"/>
      <c r="BO271" s="1425" t="str">
        <f aca="false">IF(ISNUMBER($AU271*BB271*1),$AU271*BB271*1,"")</f>
        <v/>
      </c>
      <c r="BP271" s="1425" t="str">
        <f aca="false">IF(ISNUMBER($AV271*BC271*1),$AV271*BC271*1,"")</f>
        <v/>
      </c>
      <c r="BQ271" s="1425" t="str">
        <f aca="false">IF(ISNUMBER($AU271*BD271*1),$AU271*BD271*1,"")</f>
        <v/>
      </c>
      <c r="BR271" s="1425" t="str">
        <f aca="false">IF(ISNUMBER($AV271*BE271*1),$AV271*BE271*1,"")</f>
        <v/>
      </c>
      <c r="BS271" s="1411" t="str">
        <f aca="false">IF(ISNUMBER($AU271*BF271),$AU271*BF271,"")</f>
        <v/>
      </c>
      <c r="BT271" s="1411" t="str">
        <f aca="false">IF(ISNUMBER($AV271*BG271),$AV271*BG271,"")</f>
        <v/>
      </c>
      <c r="BU271" s="1411"/>
      <c r="BV271" s="1411"/>
      <c r="BW271" s="1411"/>
      <c r="BX271" s="1411"/>
      <c r="BZ271" s="1372"/>
      <c r="CA271" s="1372"/>
      <c r="CB271" s="1426" t="str">
        <f aca="false">IF(ISNUMBER($AW271*BB271),$AW271*BB271,"")</f>
        <v/>
      </c>
      <c r="CC271" s="1426" t="str">
        <f aca="false">IF(ISNUMBER($AX271*BC271),$AX271*BC271,"")</f>
        <v/>
      </c>
      <c r="CD271" s="1426" t="str">
        <f aca="false">IF(ISNUMBER($AW271*BD271),$AW271*BD271,"")</f>
        <v/>
      </c>
      <c r="CE271" s="1426" t="str">
        <f aca="false">IF(ISNUMBER($AX271*BE271),$AX271*BE271,"")</f>
        <v/>
      </c>
      <c r="CF271" s="1372" t="str">
        <f aca="false">IF(ISNUMBER($AW271*BF271),$AW271*BF271,"")</f>
        <v/>
      </c>
      <c r="CG271" s="1372" t="str">
        <f aca="false">IF(ISNUMBER($AX271*BG271),$AX271*BG271,"")</f>
        <v/>
      </c>
      <c r="CH271" s="1438"/>
      <c r="CI271" s="1438"/>
      <c r="CJ271" s="1438"/>
      <c r="CK271" s="1438"/>
      <c r="CU271" s="1411"/>
      <c r="CV271" s="1411"/>
      <c r="CW271" s="1425"/>
      <c r="CX271" s="1425"/>
      <c r="CY271" s="1425"/>
      <c r="CZ271" s="1425"/>
      <c r="DA271" s="1411"/>
      <c r="DB271" s="1411"/>
      <c r="DC271" s="1411"/>
      <c r="DD271" s="1411"/>
      <c r="DE271" s="1411"/>
      <c r="DF271" s="1411"/>
      <c r="DH271" s="1432"/>
      <c r="DI271" s="1432"/>
      <c r="DJ271" s="1437"/>
      <c r="DK271" s="1437"/>
      <c r="DL271" s="1437"/>
      <c r="DM271" s="1437"/>
      <c r="DN271" s="1432"/>
      <c r="DO271" s="1432"/>
      <c r="DP271" s="1432"/>
      <c r="DQ271" s="1432"/>
      <c r="DR271" s="1432"/>
      <c r="DS271" s="1432"/>
      <c r="DT271" s="1316"/>
      <c r="DU271" s="1433"/>
      <c r="DV271" s="1433"/>
      <c r="DW271" s="1433"/>
      <c r="DX271" s="1433"/>
      <c r="DY271" s="1433"/>
      <c r="DZ271" s="1433"/>
      <c r="EA271" s="1433"/>
      <c r="EB271" s="1433"/>
    </row>
    <row r="272" customFormat="false" ht="14.25" hidden="false" customHeight="false" outlineLevel="0" collapsed="false">
      <c r="A272" s="2" t="n">
        <f aca="false">'V_DATOS PAC_SGA'!CC267</f>
        <v>0</v>
      </c>
      <c r="B272" s="2" t="n">
        <f aca="false">IF(OR(A272=0,A272=""),0,IF(I272="IV",CONCATENATE('V_DATOS PAC_SGA'!CC267,"4")+0,CONCATENATE('V_DATOS PAC_SGA'!CC267,"0")+0))</f>
        <v>0</v>
      </c>
      <c r="C272" s="2" t="n">
        <f aca="false">'V_DATOS PAC_SGA'!CD267</f>
        <v>0</v>
      </c>
      <c r="D272" s="1409" t="n">
        <f aca="false">'V_DATOS PAC_SGA'!Y267</f>
        <v>0</v>
      </c>
      <c r="E272" s="1410" t="str">
        <f aca="false">IF('V_DATOS PAC_SGA'!AV267="","Regadio",'V_DATOS PAC_SGA'!AV267)</f>
        <v>Regadio</v>
      </c>
      <c r="F272" s="1411" t="n">
        <f aca="false">'V_DATOS PAC_SGA'!BK267</f>
        <v>0</v>
      </c>
      <c r="G272" s="1412" t="n">
        <f aca="false">'V_DATOS PAC_SGA'!AN267</f>
        <v>0</v>
      </c>
      <c r="H272" s="1413" t="str">
        <f aca="false">IF(B272&gt;0,VLOOKUP(B272,'O_MN, PE_UTA_UGM 2024'!E$3:O$419,10),"")</f>
        <v/>
      </c>
      <c r="I272" s="1359" t="str">
        <f aca="false">IF('V_DATOS PAC_SGA'!BV267="IV",'V_DATOS PAC_SGA'!BV267,"")</f>
        <v/>
      </c>
      <c r="J272" s="2" t="str">
        <f aca="false">IF($A272&gt;0,IF(AND(J$4=$G272,J$6=$F272),$D272*J$5,""),"")</f>
        <v/>
      </c>
      <c r="K272" s="2" t="str">
        <f aca="false">IF($A272&gt;0,IF(AND(K$4=$G272,K$6=$F272),$D272*K$5,""),"")</f>
        <v/>
      </c>
      <c r="L272" s="2" t="str">
        <f aca="false">IF($A272&gt;0,IF(AND(L$4=$G272,L$6=$F272),$D272*L$5,""),"")</f>
        <v/>
      </c>
      <c r="M272" s="2" t="str">
        <f aca="false">IF($A272&gt;0,IF(AND(M$4=$G272,M$6=$F272),$D272*M$5,""),"")</f>
        <v/>
      </c>
      <c r="N272" s="1506" t="n">
        <f aca="false">VLOOKUP(B272,'O_MN, PE_UTA_UGM 2024'!$E$2:$K$419,IF(G272&gt;1,6,7))</f>
        <v>0</v>
      </c>
      <c r="O272" s="1434" t="str">
        <f aca="false">IF($H272=O$4,$D272*$N272,"")</f>
        <v/>
      </c>
      <c r="P272" s="1435" t="str">
        <f aca="false">IF($H272=P$4,$D272*$N272,"")</f>
        <v/>
      </c>
      <c r="Q272" s="1435" t="str">
        <f aca="false">IF($H272=Q$4,$D272*$N272,"")</f>
        <v/>
      </c>
      <c r="R272" s="1435" t="str">
        <f aca="false">IF($H272=R$4,$D272*$N272,"")</f>
        <v/>
      </c>
      <c r="S272" s="1435" t="str">
        <f aca="false">IF($H272=S$4,$D272*$N272,"")</f>
        <v/>
      </c>
      <c r="T272" s="1435" t="str">
        <f aca="false">IF($H272=T$4,$D272*$N272,"")</f>
        <v/>
      </c>
      <c r="U272" s="1436" t="str">
        <f aca="false">IF($H272=U$4,$D272*$N272,"")</f>
        <v/>
      </c>
      <c r="V272" s="1418"/>
      <c r="W272" s="1419"/>
      <c r="X272" s="1419"/>
      <c r="Y272" s="1419"/>
      <c r="Z272" s="1419"/>
      <c r="AA272" s="1419"/>
      <c r="AB272" s="1420"/>
      <c r="AC272" s="1319"/>
      <c r="AD272" s="2" t="str">
        <f aca="false">IF(AND(AD$4=$G272,AD$6=$F272),$B272,"")</f>
        <v/>
      </c>
      <c r="AE272" s="2" t="str">
        <f aca="false">IF(AND(AE$4=$G272,AE$6=$F272),$B272,"")</f>
        <v/>
      </c>
      <c r="AF272" s="2" t="str">
        <f aca="false">IF(AND(AF$4=$G272,AF$6=$F272),$B272,"")</f>
        <v/>
      </c>
      <c r="AG272" s="2" t="str">
        <f aca="false">IF(AND(AG$4=$G272,AG$6=$F272),$B272,"")</f>
        <v/>
      </c>
      <c r="AI272" s="366"/>
      <c r="AL272" s="367"/>
      <c r="AO272" s="367"/>
      <c r="AP272" s="2" t="str">
        <f aca="false">IF(AT272&gt;0,RANK(AT272,AT$7:AT$423),"")</f>
        <v/>
      </c>
      <c r="AQ272" s="2" t="n">
        <f aca="false">'O_MN, PE_UTA_UGM 2024'!C268</f>
        <v>267</v>
      </c>
      <c r="AR272" s="1421" t="n">
        <v>2620</v>
      </c>
      <c r="AS272" s="2" t="str">
        <f aca="false">IF(AY272&lt;&gt;"",AY272,"")</f>
        <v/>
      </c>
      <c r="AT272" s="1422" t="n">
        <f aca="false">IF(ISNUMBER($AR272),SUMIF(B$7:B$505,AR272,D$7:D$505),"")</f>
        <v>0</v>
      </c>
      <c r="AU272" s="1411" t="n">
        <f aca="false">IF(ISNUMBER($AR272),SUMIF(AD$7:AD$503,$AR272,J$7:J$503),"")</f>
        <v>0</v>
      </c>
      <c r="AV272" s="1411" t="n">
        <f aca="false">IF(ISNUMBER($AR272),SUMIF(AF$7:AF$503,$AR272,L$7:L$503),"")</f>
        <v>0</v>
      </c>
      <c r="AW272" s="1423" t="n">
        <f aca="false">IF(ISNUMBER($AR272),SUMIF(AE$7:AE$503,$AR272,K$7:K$503),"")</f>
        <v>0</v>
      </c>
      <c r="AX272" s="1423" t="n">
        <f aca="false">IF(ISNUMBER($AR272),SUMIF(AG$7:AG$503,$AR272,M$7:M$503),"")</f>
        <v>0</v>
      </c>
      <c r="AY272" s="2" t="str">
        <f aca="false">IF($AT272&gt;0,VLOOKUP($AR272,'O_MN, PE_UTA_UGM 2024'!E268:O684,2),"")</f>
        <v/>
      </c>
      <c r="AZ272" s="1507"/>
      <c r="BA272" s="1507"/>
      <c r="BB272" s="1507" t="str">
        <f aca="false">IF($AT272&gt;0,VLOOKUP($AR272,'O_MN, PE_UTA_UGM 2024'!$E$3:$O$419,BB$6),"")</f>
        <v/>
      </c>
      <c r="BC272" s="1507" t="str">
        <f aca="false">IF($AT272&gt;0,VLOOKUP($AR272,'O_MN, PE_UTA_UGM 2024'!$E$3:$O$419,BC$6),"")</f>
        <v/>
      </c>
      <c r="BD272" s="1507" t="str">
        <f aca="false">IF($AT272&gt;0,VLOOKUP($AR272,'O_MN, PE_UTA_UGM 2024'!$E$3:$O$419,BD$6),"")</f>
        <v/>
      </c>
      <c r="BE272" s="1507" t="str">
        <f aca="false">IF($AT272&gt;0,VLOOKUP($AR272,'O_MN, PE_UTA_UGM 2024'!$E$3:$O$419,BE$6),"")</f>
        <v/>
      </c>
      <c r="BF272" s="1507" t="str">
        <f aca="false">IF($AT272&gt;0,VLOOKUP($AR272,'O_MN, PE_UTA_UGM 2024'!$E$3:$O$419,BF$6),"")</f>
        <v/>
      </c>
      <c r="BG272" s="1507" t="str">
        <f aca="false">IF($AT272&gt;0,VLOOKUP($AR272,'O_MN, PE_UTA_UGM 2024'!$E$3:$O$419,BG$6),"")</f>
        <v/>
      </c>
      <c r="BH272" s="1504"/>
      <c r="BI272" s="1504"/>
      <c r="BJ272" s="1504"/>
      <c r="BK272" s="1504"/>
      <c r="BM272" s="1411"/>
      <c r="BN272" s="1411"/>
      <c r="BO272" s="1425" t="str">
        <f aca="false">IF(ISNUMBER($AU272*BB272*1),$AU272*BB272*1,"")</f>
        <v/>
      </c>
      <c r="BP272" s="1425" t="str">
        <f aca="false">IF(ISNUMBER($AV272*BC272*1),$AV272*BC272*1,"")</f>
        <v/>
      </c>
      <c r="BQ272" s="1425" t="str">
        <f aca="false">IF(ISNUMBER($AU272*BD272*1),$AU272*BD272*1,"")</f>
        <v/>
      </c>
      <c r="BR272" s="1425" t="str">
        <f aca="false">IF(ISNUMBER($AV272*BE272*1),$AV272*BE272*1,"")</f>
        <v/>
      </c>
      <c r="BS272" s="1411" t="str">
        <f aca="false">IF(ISNUMBER($AU272*BF272),$AU272*BF272,"")</f>
        <v/>
      </c>
      <c r="BT272" s="1411" t="str">
        <f aca="false">IF(ISNUMBER($AV272*BG272),$AV272*BG272,"")</f>
        <v/>
      </c>
      <c r="BU272" s="1411"/>
      <c r="BV272" s="1411"/>
      <c r="BW272" s="1411"/>
      <c r="BX272" s="1411"/>
      <c r="BZ272" s="1372"/>
      <c r="CA272" s="1372"/>
      <c r="CB272" s="1426" t="str">
        <f aca="false">IF(ISNUMBER($AW272*BB272),$AW272*BB272,"")</f>
        <v/>
      </c>
      <c r="CC272" s="1426" t="str">
        <f aca="false">IF(ISNUMBER($AX272*BC272),$AX272*BC272,"")</f>
        <v/>
      </c>
      <c r="CD272" s="1426" t="str">
        <f aca="false">IF(ISNUMBER($AW272*BD272),$AW272*BD272,"")</f>
        <v/>
      </c>
      <c r="CE272" s="1426" t="str">
        <f aca="false">IF(ISNUMBER($AX272*BE272),$AX272*BE272,"")</f>
        <v/>
      </c>
      <c r="CF272" s="1372" t="str">
        <f aca="false">IF(ISNUMBER($AW272*BF272),$AW272*BF272,"")</f>
        <v/>
      </c>
      <c r="CG272" s="1372" t="str">
        <f aca="false">IF(ISNUMBER($AX272*BG272),$AX272*BG272,"")</f>
        <v/>
      </c>
      <c r="CH272" s="1438"/>
      <c r="CI272" s="1438"/>
      <c r="CJ272" s="1438"/>
      <c r="CK272" s="1438"/>
      <c r="CU272" s="1411"/>
      <c r="CV272" s="1411"/>
      <c r="CW272" s="1425"/>
      <c r="CX272" s="1425"/>
      <c r="CY272" s="1425"/>
      <c r="CZ272" s="1425"/>
      <c r="DA272" s="1411"/>
      <c r="DB272" s="1411"/>
      <c r="DC272" s="1411"/>
      <c r="DD272" s="1411"/>
      <c r="DE272" s="1411"/>
      <c r="DF272" s="1411"/>
      <c r="DH272" s="1432"/>
      <c r="DI272" s="1432"/>
      <c r="DJ272" s="1437"/>
      <c r="DK272" s="1437"/>
      <c r="DL272" s="1437"/>
      <c r="DM272" s="1437"/>
      <c r="DN272" s="1432"/>
      <c r="DO272" s="1432"/>
      <c r="DP272" s="1432"/>
      <c r="DQ272" s="1432"/>
      <c r="DR272" s="1432"/>
      <c r="DS272" s="1432"/>
      <c r="DT272" s="1316"/>
      <c r="DU272" s="1433"/>
      <c r="DV272" s="1433"/>
      <c r="DW272" s="1433"/>
      <c r="DX272" s="1433"/>
      <c r="DY272" s="1433"/>
      <c r="DZ272" s="1433"/>
      <c r="EA272" s="1433"/>
      <c r="EB272" s="1433"/>
    </row>
    <row r="273" customFormat="false" ht="14.25" hidden="false" customHeight="false" outlineLevel="0" collapsed="false">
      <c r="A273" s="2" t="n">
        <f aca="false">'V_DATOS PAC_SGA'!CC268</f>
        <v>0</v>
      </c>
      <c r="B273" s="2" t="n">
        <f aca="false">IF(OR(A273=0,A273=""),0,IF(I273="IV",CONCATENATE('V_DATOS PAC_SGA'!CC268,"4")+0,CONCATENATE('V_DATOS PAC_SGA'!CC268,"0")+0))</f>
        <v>0</v>
      </c>
      <c r="C273" s="2" t="n">
        <f aca="false">'V_DATOS PAC_SGA'!CD268</f>
        <v>0</v>
      </c>
      <c r="D273" s="1409" t="n">
        <f aca="false">'V_DATOS PAC_SGA'!Y268</f>
        <v>0</v>
      </c>
      <c r="E273" s="1410" t="str">
        <f aca="false">IF('V_DATOS PAC_SGA'!AV268="","Regadio",'V_DATOS PAC_SGA'!AV268)</f>
        <v>Regadio</v>
      </c>
      <c r="F273" s="1411" t="n">
        <f aca="false">'V_DATOS PAC_SGA'!BK268</f>
        <v>0</v>
      </c>
      <c r="G273" s="1412" t="n">
        <f aca="false">'V_DATOS PAC_SGA'!AN268</f>
        <v>0</v>
      </c>
      <c r="H273" s="1413" t="str">
        <f aca="false">IF(B273&gt;0,VLOOKUP(B273,'O_MN, PE_UTA_UGM 2024'!E$3:O$419,10),"")</f>
        <v/>
      </c>
      <c r="I273" s="1359" t="str">
        <f aca="false">IF('V_DATOS PAC_SGA'!BV268="IV",'V_DATOS PAC_SGA'!BV268,"")</f>
        <v/>
      </c>
      <c r="J273" s="2" t="str">
        <f aca="false">IF($A273&gt;0,IF(AND(J$4=$G273,J$6=$F273),$D273*J$5,""),"")</f>
        <v/>
      </c>
      <c r="K273" s="2" t="str">
        <f aca="false">IF($A273&gt;0,IF(AND(K$4=$G273,K$6=$F273),$D273*K$5,""),"")</f>
        <v/>
      </c>
      <c r="L273" s="2" t="str">
        <f aca="false">IF($A273&gt;0,IF(AND(L$4=$G273,L$6=$F273),$D273*L$5,""),"")</f>
        <v/>
      </c>
      <c r="M273" s="2" t="str">
        <f aca="false">IF($A273&gt;0,IF(AND(M$4=$G273,M$6=$F273),$D273*M$5,""),"")</f>
        <v/>
      </c>
      <c r="N273" s="1506" t="n">
        <f aca="false">VLOOKUP(B273,'O_MN, PE_UTA_UGM 2024'!$E$2:$K$419,IF(G273&gt;1,6,7))</f>
        <v>0</v>
      </c>
      <c r="O273" s="1434" t="str">
        <f aca="false">IF($H273=O$4,$D273*$N273,"")</f>
        <v/>
      </c>
      <c r="P273" s="1435" t="str">
        <f aca="false">IF($H273=P$4,$D273*$N273,"")</f>
        <v/>
      </c>
      <c r="Q273" s="1435" t="str">
        <f aca="false">IF($H273=Q$4,$D273*$N273,"")</f>
        <v/>
      </c>
      <c r="R273" s="1435" t="str">
        <f aca="false">IF($H273=R$4,$D273*$N273,"")</f>
        <v/>
      </c>
      <c r="S273" s="1435" t="str">
        <f aca="false">IF($H273=S$4,$D273*$N273,"")</f>
        <v/>
      </c>
      <c r="T273" s="1435" t="str">
        <f aca="false">IF($H273=T$4,$D273*$N273,"")</f>
        <v/>
      </c>
      <c r="U273" s="1436" t="str">
        <f aca="false">IF($H273=U$4,$D273*$N273,"")</f>
        <v/>
      </c>
      <c r="V273" s="1418"/>
      <c r="W273" s="1419"/>
      <c r="X273" s="1419"/>
      <c r="Y273" s="1419"/>
      <c r="Z273" s="1419"/>
      <c r="AA273" s="1419"/>
      <c r="AB273" s="1420"/>
      <c r="AC273" s="1319"/>
      <c r="AD273" s="2" t="str">
        <f aca="false">IF(AND(AD$4=$G273,AD$6=$F273),$B273,"")</f>
        <v/>
      </c>
      <c r="AE273" s="2" t="str">
        <f aca="false">IF(AND(AE$4=$G273,AE$6=$F273),$B273,"")</f>
        <v/>
      </c>
      <c r="AF273" s="2" t="str">
        <f aca="false">IF(AND(AF$4=$G273,AF$6=$F273),$B273,"")</f>
        <v/>
      </c>
      <c r="AG273" s="2" t="str">
        <f aca="false">IF(AND(AG$4=$G273,AG$6=$F273),$B273,"")</f>
        <v/>
      </c>
      <c r="AI273" s="366"/>
      <c r="AL273" s="367"/>
      <c r="AO273" s="367"/>
      <c r="AP273" s="2" t="str">
        <f aca="false">IF(AT273&gt;0,RANK(AT273,AT$7:AT$423),"")</f>
        <v/>
      </c>
      <c r="AQ273" s="2" t="n">
        <f aca="false">'O_MN, PE_UTA_UGM 2024'!C269</f>
        <v>268</v>
      </c>
      <c r="AR273" s="1421" t="n">
        <v>2630</v>
      </c>
      <c r="AS273" s="2" t="str">
        <f aca="false">IF(AY273&lt;&gt;"",AY273,"")</f>
        <v/>
      </c>
      <c r="AT273" s="1422" t="n">
        <f aca="false">IF(ISNUMBER($AR273),SUMIF(B$7:B$505,AR273,D$7:D$505),"")</f>
        <v>0</v>
      </c>
      <c r="AU273" s="1411" t="n">
        <f aca="false">IF(ISNUMBER($AR273),SUMIF(AD$7:AD$503,$AR273,J$7:J$503),"")</f>
        <v>0</v>
      </c>
      <c r="AV273" s="1411" t="n">
        <f aca="false">IF(ISNUMBER($AR273),SUMIF(AF$7:AF$503,$AR273,L$7:L$503),"")</f>
        <v>0</v>
      </c>
      <c r="AW273" s="1423" t="n">
        <f aca="false">IF(ISNUMBER($AR273),SUMIF(AE$7:AE$503,$AR273,K$7:K$503),"")</f>
        <v>0</v>
      </c>
      <c r="AX273" s="1423" t="n">
        <f aca="false">IF(ISNUMBER($AR273),SUMIF(AG$7:AG$503,$AR273,M$7:M$503),"")</f>
        <v>0</v>
      </c>
      <c r="AY273" s="2" t="str">
        <f aca="false">IF($AT273&gt;0,VLOOKUP($AR273,'O_MN, PE_UTA_UGM 2024'!E269:O685,2),"")</f>
        <v/>
      </c>
      <c r="AZ273" s="1507"/>
      <c r="BA273" s="1507"/>
      <c r="BB273" s="1507" t="str">
        <f aca="false">IF($AT273&gt;0,VLOOKUP($AR273,'O_MN, PE_UTA_UGM 2024'!$E$3:$O$419,BB$6),"")</f>
        <v/>
      </c>
      <c r="BC273" s="1507" t="str">
        <f aca="false">IF($AT273&gt;0,VLOOKUP($AR273,'O_MN, PE_UTA_UGM 2024'!$E$3:$O$419,BC$6),"")</f>
        <v/>
      </c>
      <c r="BD273" s="1507" t="str">
        <f aca="false">IF($AT273&gt;0,VLOOKUP($AR273,'O_MN, PE_UTA_UGM 2024'!$E$3:$O$419,BD$6),"")</f>
        <v/>
      </c>
      <c r="BE273" s="1507" t="str">
        <f aca="false">IF($AT273&gt;0,VLOOKUP($AR273,'O_MN, PE_UTA_UGM 2024'!$E$3:$O$419,BE$6),"")</f>
        <v/>
      </c>
      <c r="BF273" s="1507" t="str">
        <f aca="false">IF($AT273&gt;0,VLOOKUP($AR273,'O_MN, PE_UTA_UGM 2024'!$E$3:$O$419,BF$6),"")</f>
        <v/>
      </c>
      <c r="BG273" s="1507" t="str">
        <f aca="false">IF($AT273&gt;0,VLOOKUP($AR273,'O_MN, PE_UTA_UGM 2024'!$E$3:$O$419,BG$6),"")</f>
        <v/>
      </c>
      <c r="BH273" s="1504"/>
      <c r="BI273" s="1504"/>
      <c r="BJ273" s="1504"/>
      <c r="BK273" s="1504"/>
      <c r="BM273" s="1411"/>
      <c r="BN273" s="1411"/>
      <c r="BO273" s="1425" t="str">
        <f aca="false">IF(ISNUMBER($AU273*BB273*1),$AU273*BB273*1,"")</f>
        <v/>
      </c>
      <c r="BP273" s="1425" t="str">
        <f aca="false">IF(ISNUMBER($AV273*BC273*1),$AV273*BC273*1,"")</f>
        <v/>
      </c>
      <c r="BQ273" s="1425" t="str">
        <f aca="false">IF(ISNUMBER($AU273*BD273*1),$AU273*BD273*1,"")</f>
        <v/>
      </c>
      <c r="BR273" s="1425" t="str">
        <f aca="false">IF(ISNUMBER($AV273*BE273*1),$AV273*BE273*1,"")</f>
        <v/>
      </c>
      <c r="BS273" s="1411" t="str">
        <f aca="false">IF(ISNUMBER($AU273*BF273),$AU273*BF273,"")</f>
        <v/>
      </c>
      <c r="BT273" s="1411" t="str">
        <f aca="false">IF(ISNUMBER($AV273*BG273),$AV273*BG273,"")</f>
        <v/>
      </c>
      <c r="BU273" s="1411"/>
      <c r="BV273" s="1411"/>
      <c r="BW273" s="1411"/>
      <c r="BX273" s="1411"/>
      <c r="BZ273" s="1372"/>
      <c r="CA273" s="1372"/>
      <c r="CB273" s="1426" t="str">
        <f aca="false">IF(ISNUMBER($AW273*BB273),$AW273*BB273,"")</f>
        <v/>
      </c>
      <c r="CC273" s="1426" t="str">
        <f aca="false">IF(ISNUMBER($AX273*BC273),$AX273*BC273,"")</f>
        <v/>
      </c>
      <c r="CD273" s="1426" t="str">
        <f aca="false">IF(ISNUMBER($AW273*BD273),$AW273*BD273,"")</f>
        <v/>
      </c>
      <c r="CE273" s="1426" t="str">
        <f aca="false">IF(ISNUMBER($AX273*BE273),$AX273*BE273,"")</f>
        <v/>
      </c>
      <c r="CF273" s="1372" t="str">
        <f aca="false">IF(ISNUMBER($AW273*BF273),$AW273*BF273,"")</f>
        <v/>
      </c>
      <c r="CG273" s="1372" t="str">
        <f aca="false">IF(ISNUMBER($AX273*BG273),$AX273*BG273,"")</f>
        <v/>
      </c>
      <c r="CH273" s="1438"/>
      <c r="CI273" s="1438"/>
      <c r="CJ273" s="1438"/>
      <c r="CK273" s="1438"/>
      <c r="CU273" s="1411"/>
      <c r="CV273" s="1411"/>
      <c r="CW273" s="1425"/>
      <c r="CX273" s="1425"/>
      <c r="CY273" s="1425"/>
      <c r="CZ273" s="1425"/>
      <c r="DA273" s="1411"/>
      <c r="DB273" s="1411"/>
      <c r="DC273" s="1411"/>
      <c r="DD273" s="1411"/>
      <c r="DE273" s="1411"/>
      <c r="DF273" s="1411"/>
      <c r="DH273" s="1432"/>
      <c r="DI273" s="1432"/>
      <c r="DJ273" s="1437"/>
      <c r="DK273" s="1437"/>
      <c r="DL273" s="1437"/>
      <c r="DM273" s="1437"/>
      <c r="DN273" s="1432"/>
      <c r="DO273" s="1432"/>
      <c r="DP273" s="1432"/>
      <c r="DQ273" s="1432"/>
      <c r="DR273" s="1432"/>
      <c r="DS273" s="1432"/>
      <c r="DT273" s="1316"/>
      <c r="DU273" s="1433"/>
      <c r="DV273" s="1433"/>
      <c r="DW273" s="1433"/>
      <c r="DX273" s="1433"/>
      <c r="DY273" s="1433"/>
      <c r="DZ273" s="1433"/>
      <c r="EA273" s="1433"/>
      <c r="EB273" s="1433"/>
    </row>
    <row r="274" customFormat="false" ht="14.25" hidden="false" customHeight="false" outlineLevel="0" collapsed="false">
      <c r="A274" s="2" t="n">
        <f aca="false">'V_DATOS PAC_SGA'!CC269</f>
        <v>0</v>
      </c>
      <c r="B274" s="2" t="n">
        <f aca="false">IF(OR(A274=0,A274=""),0,IF(I274="IV",CONCATENATE('V_DATOS PAC_SGA'!CC269,"4")+0,CONCATENATE('V_DATOS PAC_SGA'!CC269,"0")+0))</f>
        <v>0</v>
      </c>
      <c r="C274" s="2" t="n">
        <f aca="false">'V_DATOS PAC_SGA'!CD269</f>
        <v>0</v>
      </c>
      <c r="D274" s="1409" t="n">
        <f aca="false">'V_DATOS PAC_SGA'!Y269</f>
        <v>0</v>
      </c>
      <c r="E274" s="1410" t="str">
        <f aca="false">IF('V_DATOS PAC_SGA'!AV269="","Regadio",'V_DATOS PAC_SGA'!AV269)</f>
        <v>Regadio</v>
      </c>
      <c r="F274" s="1411" t="n">
        <f aca="false">'V_DATOS PAC_SGA'!BK269</f>
        <v>0</v>
      </c>
      <c r="G274" s="1412" t="n">
        <f aca="false">'V_DATOS PAC_SGA'!AN269</f>
        <v>0</v>
      </c>
      <c r="H274" s="1413" t="str">
        <f aca="false">IF(B274&gt;0,VLOOKUP(B274,'O_MN, PE_UTA_UGM 2024'!E$3:O$419,10),"")</f>
        <v/>
      </c>
      <c r="I274" s="1359" t="str">
        <f aca="false">IF('V_DATOS PAC_SGA'!BV269="IV",'V_DATOS PAC_SGA'!BV269,"")</f>
        <v/>
      </c>
      <c r="J274" s="2" t="str">
        <f aca="false">IF($A274&gt;0,IF(AND(J$4=$G274,J$6=$F274),$D274*J$5,""),"")</f>
        <v/>
      </c>
      <c r="K274" s="2" t="str">
        <f aca="false">IF($A274&gt;0,IF(AND(K$4=$G274,K$6=$F274),$D274*K$5,""),"")</f>
        <v/>
      </c>
      <c r="L274" s="2" t="str">
        <f aca="false">IF($A274&gt;0,IF(AND(L$4=$G274,L$6=$F274),$D274*L$5,""),"")</f>
        <v/>
      </c>
      <c r="M274" s="2" t="str">
        <f aca="false">IF($A274&gt;0,IF(AND(M$4=$G274,M$6=$F274),$D274*M$5,""),"")</f>
        <v/>
      </c>
      <c r="N274" s="1506" t="n">
        <f aca="false">VLOOKUP(B274,'O_MN, PE_UTA_UGM 2024'!$E$2:$K$419,IF(G274&gt;1,6,7))</f>
        <v>0</v>
      </c>
      <c r="O274" s="1434" t="str">
        <f aca="false">IF($H274=O$4,$D274*$N274,"")</f>
        <v/>
      </c>
      <c r="P274" s="1435" t="str">
        <f aca="false">IF($H274=P$4,$D274*$N274,"")</f>
        <v/>
      </c>
      <c r="Q274" s="1435" t="str">
        <f aca="false">IF($H274=Q$4,$D274*$N274,"")</f>
        <v/>
      </c>
      <c r="R274" s="1435" t="str">
        <f aca="false">IF($H274=R$4,$D274*$N274,"")</f>
        <v/>
      </c>
      <c r="S274" s="1435" t="str">
        <f aca="false">IF($H274=S$4,$D274*$N274,"")</f>
        <v/>
      </c>
      <c r="T274" s="1435" t="str">
        <f aca="false">IF($H274=T$4,$D274*$N274,"")</f>
        <v/>
      </c>
      <c r="U274" s="1436" t="str">
        <f aca="false">IF($H274=U$4,$D274*$N274,"")</f>
        <v/>
      </c>
      <c r="V274" s="1418"/>
      <c r="W274" s="1419"/>
      <c r="X274" s="1419"/>
      <c r="Y274" s="1419"/>
      <c r="Z274" s="1419"/>
      <c r="AA274" s="1419"/>
      <c r="AB274" s="1420"/>
      <c r="AC274" s="1319"/>
      <c r="AD274" s="2" t="str">
        <f aca="false">IF(AND(AD$4=$G274,AD$6=$F274),$B274,"")</f>
        <v/>
      </c>
      <c r="AE274" s="2" t="str">
        <f aca="false">IF(AND(AE$4=$G274,AE$6=$F274),$B274,"")</f>
        <v/>
      </c>
      <c r="AF274" s="2" t="str">
        <f aca="false">IF(AND(AF$4=$G274,AF$6=$F274),$B274,"")</f>
        <v/>
      </c>
      <c r="AG274" s="2" t="str">
        <f aca="false">IF(AND(AG$4=$G274,AG$6=$F274),$B274,"")</f>
        <v/>
      </c>
      <c r="AI274" s="366"/>
      <c r="AL274" s="367"/>
      <c r="AO274" s="367"/>
      <c r="AP274" s="2" t="str">
        <f aca="false">IF(AT274&gt;0,RANK(AT274,AT$7:AT$423),"")</f>
        <v/>
      </c>
      <c r="AQ274" s="2" t="n">
        <f aca="false">'O_MN, PE_UTA_UGM 2024'!C270</f>
        <v>269</v>
      </c>
      <c r="AR274" s="1421" t="n">
        <v>2640</v>
      </c>
      <c r="AS274" s="2" t="str">
        <f aca="false">IF(AY274&lt;&gt;"",AY274,"")</f>
        <v/>
      </c>
      <c r="AT274" s="1422" t="n">
        <f aca="false">IF(ISNUMBER($AR274),SUMIF(B$7:B$505,AR274,D$7:D$505),"")</f>
        <v>0</v>
      </c>
      <c r="AU274" s="1411" t="n">
        <f aca="false">IF(ISNUMBER($AR274),SUMIF(AD$7:AD$503,$AR274,J$7:J$503),"")</f>
        <v>0</v>
      </c>
      <c r="AV274" s="1411" t="n">
        <f aca="false">IF(ISNUMBER($AR274),SUMIF(AF$7:AF$503,$AR274,L$7:L$503),"")</f>
        <v>0</v>
      </c>
      <c r="AW274" s="1423" t="n">
        <f aca="false">IF(ISNUMBER($AR274),SUMIF(AE$7:AE$503,$AR274,K$7:K$503),"")</f>
        <v>0</v>
      </c>
      <c r="AX274" s="1423" t="n">
        <f aca="false">IF(ISNUMBER($AR274),SUMIF(AG$7:AG$503,$AR274,M$7:M$503),"")</f>
        <v>0</v>
      </c>
      <c r="AY274" s="2" t="str">
        <f aca="false">IF($AT274&gt;0,VLOOKUP($AR274,'O_MN, PE_UTA_UGM 2024'!E270:O686,2),"")</f>
        <v/>
      </c>
      <c r="AZ274" s="1507"/>
      <c r="BA274" s="1507"/>
      <c r="BB274" s="1507" t="str">
        <f aca="false">IF($AT274&gt;0,VLOOKUP($AR274,'O_MN, PE_UTA_UGM 2024'!$E$3:$O$419,BB$6),"")</f>
        <v/>
      </c>
      <c r="BC274" s="1507" t="str">
        <f aca="false">IF($AT274&gt;0,VLOOKUP($AR274,'O_MN, PE_UTA_UGM 2024'!$E$3:$O$419,BC$6),"")</f>
        <v/>
      </c>
      <c r="BD274" s="1507" t="str">
        <f aca="false">IF($AT274&gt;0,VLOOKUP($AR274,'O_MN, PE_UTA_UGM 2024'!$E$3:$O$419,BD$6),"")</f>
        <v/>
      </c>
      <c r="BE274" s="1507" t="str">
        <f aca="false">IF($AT274&gt;0,VLOOKUP($AR274,'O_MN, PE_UTA_UGM 2024'!$E$3:$O$419,BE$6),"")</f>
        <v/>
      </c>
      <c r="BF274" s="1507" t="str">
        <f aca="false">IF($AT274&gt;0,VLOOKUP($AR274,'O_MN, PE_UTA_UGM 2024'!$E$3:$O$419,BF$6),"")</f>
        <v/>
      </c>
      <c r="BG274" s="1507" t="str">
        <f aca="false">IF($AT274&gt;0,VLOOKUP($AR274,'O_MN, PE_UTA_UGM 2024'!$E$3:$O$419,BG$6),"")</f>
        <v/>
      </c>
      <c r="BH274" s="1504"/>
      <c r="BI274" s="1504"/>
      <c r="BJ274" s="1504"/>
      <c r="BK274" s="1504"/>
      <c r="BM274" s="1411"/>
      <c r="BN274" s="1411"/>
      <c r="BO274" s="1425" t="str">
        <f aca="false">IF(ISNUMBER($AU274*BB274*1),$AU274*BB274*1,"")</f>
        <v/>
      </c>
      <c r="BP274" s="1425" t="str">
        <f aca="false">IF(ISNUMBER($AV274*BC274*1),$AV274*BC274*1,"")</f>
        <v/>
      </c>
      <c r="BQ274" s="1425" t="str">
        <f aca="false">IF(ISNUMBER($AU274*BD274*1),$AU274*BD274*1,"")</f>
        <v/>
      </c>
      <c r="BR274" s="1425" t="str">
        <f aca="false">IF(ISNUMBER($AV274*BE274*1),$AV274*BE274*1,"")</f>
        <v/>
      </c>
      <c r="BS274" s="1411" t="str">
        <f aca="false">IF(ISNUMBER($AU274*BF274),$AU274*BF274,"")</f>
        <v/>
      </c>
      <c r="BT274" s="1411" t="str">
        <f aca="false">IF(ISNUMBER($AV274*BG274),$AV274*BG274,"")</f>
        <v/>
      </c>
      <c r="BU274" s="1411"/>
      <c r="BV274" s="1411"/>
      <c r="BW274" s="1411"/>
      <c r="BX274" s="1411"/>
      <c r="BZ274" s="1372"/>
      <c r="CA274" s="1372"/>
      <c r="CB274" s="1426" t="str">
        <f aca="false">IF(ISNUMBER($AW274*BB274),$AW274*BB274,"")</f>
        <v/>
      </c>
      <c r="CC274" s="1426" t="str">
        <f aca="false">IF(ISNUMBER($AX274*BC274),$AX274*BC274,"")</f>
        <v/>
      </c>
      <c r="CD274" s="1426" t="str">
        <f aca="false">IF(ISNUMBER($AW274*BD274),$AW274*BD274,"")</f>
        <v/>
      </c>
      <c r="CE274" s="1426" t="str">
        <f aca="false">IF(ISNUMBER($AX274*BE274),$AX274*BE274,"")</f>
        <v/>
      </c>
      <c r="CF274" s="1372" t="str">
        <f aca="false">IF(ISNUMBER($AW274*BF274),$AW274*BF274,"")</f>
        <v/>
      </c>
      <c r="CG274" s="1372" t="str">
        <f aca="false">IF(ISNUMBER($AX274*BG274),$AX274*BG274,"")</f>
        <v/>
      </c>
      <c r="CH274" s="1438"/>
      <c r="CI274" s="1438"/>
      <c r="CJ274" s="1438"/>
      <c r="CK274" s="1438"/>
      <c r="CU274" s="1411"/>
      <c r="CV274" s="1411"/>
      <c r="CW274" s="1425"/>
      <c r="CX274" s="1425"/>
      <c r="CY274" s="1425"/>
      <c r="CZ274" s="1425"/>
      <c r="DA274" s="1411"/>
      <c r="DB274" s="1411"/>
      <c r="DC274" s="1411"/>
      <c r="DD274" s="1411"/>
      <c r="DE274" s="1411"/>
      <c r="DF274" s="1411"/>
      <c r="DH274" s="1432"/>
      <c r="DI274" s="1432"/>
      <c r="DJ274" s="1437"/>
      <c r="DK274" s="1437"/>
      <c r="DL274" s="1437"/>
      <c r="DM274" s="1437"/>
      <c r="DN274" s="1432"/>
      <c r="DO274" s="1432"/>
      <c r="DP274" s="1432"/>
      <c r="DQ274" s="1432"/>
      <c r="DR274" s="1432"/>
      <c r="DS274" s="1432"/>
      <c r="DT274" s="1316"/>
      <c r="DU274" s="1433"/>
      <c r="DV274" s="1433"/>
      <c r="DW274" s="1433"/>
      <c r="DX274" s="1433"/>
      <c r="DY274" s="1433"/>
      <c r="DZ274" s="1433"/>
      <c r="EA274" s="1433"/>
      <c r="EB274" s="1433"/>
    </row>
    <row r="275" customFormat="false" ht="14.25" hidden="false" customHeight="false" outlineLevel="0" collapsed="false">
      <c r="A275" s="2" t="n">
        <f aca="false">'V_DATOS PAC_SGA'!CC270</f>
        <v>0</v>
      </c>
      <c r="B275" s="2" t="n">
        <f aca="false">IF(OR(A275=0,A275=""),0,IF(I275="IV",CONCATENATE('V_DATOS PAC_SGA'!CC270,"4")+0,CONCATENATE('V_DATOS PAC_SGA'!CC270,"0")+0))</f>
        <v>0</v>
      </c>
      <c r="C275" s="2" t="n">
        <f aca="false">'V_DATOS PAC_SGA'!CD270</f>
        <v>0</v>
      </c>
      <c r="D275" s="1409" t="n">
        <f aca="false">'V_DATOS PAC_SGA'!Y270</f>
        <v>0</v>
      </c>
      <c r="E275" s="1410" t="str">
        <f aca="false">IF('V_DATOS PAC_SGA'!AV270="","Regadio",'V_DATOS PAC_SGA'!AV270)</f>
        <v>Regadio</v>
      </c>
      <c r="F275" s="1411" t="n">
        <f aca="false">'V_DATOS PAC_SGA'!BK270</f>
        <v>0</v>
      </c>
      <c r="G275" s="1412" t="n">
        <f aca="false">'V_DATOS PAC_SGA'!AN270</f>
        <v>0</v>
      </c>
      <c r="H275" s="1413" t="str">
        <f aca="false">IF(B275&gt;0,VLOOKUP(B275,'O_MN, PE_UTA_UGM 2024'!E$3:O$419,10),"")</f>
        <v/>
      </c>
      <c r="I275" s="1359" t="str">
        <f aca="false">IF('V_DATOS PAC_SGA'!BV270="IV",'V_DATOS PAC_SGA'!BV270,"")</f>
        <v/>
      </c>
      <c r="J275" s="2" t="str">
        <f aca="false">IF($A275&gt;0,IF(AND(J$4=$G275,J$6=$F275),$D275*J$5,""),"")</f>
        <v/>
      </c>
      <c r="K275" s="2" t="str">
        <f aca="false">IF($A275&gt;0,IF(AND(K$4=$G275,K$6=$F275),$D275*K$5,""),"")</f>
        <v/>
      </c>
      <c r="L275" s="2" t="str">
        <f aca="false">IF($A275&gt;0,IF(AND(L$4=$G275,L$6=$F275),$D275*L$5,""),"")</f>
        <v/>
      </c>
      <c r="M275" s="2" t="str">
        <f aca="false">IF($A275&gt;0,IF(AND(M$4=$G275,M$6=$F275),$D275*M$5,""),"")</f>
        <v/>
      </c>
      <c r="N275" s="1506" t="n">
        <f aca="false">VLOOKUP(B275,'O_MN, PE_UTA_UGM 2024'!$E$2:$K$419,IF(G275&gt;1,6,7))</f>
        <v>0</v>
      </c>
      <c r="O275" s="1434" t="str">
        <f aca="false">IF($H275=O$4,$D275*$N275,"")</f>
        <v/>
      </c>
      <c r="P275" s="1435" t="str">
        <f aca="false">IF($H275=P$4,$D275*$N275,"")</f>
        <v/>
      </c>
      <c r="Q275" s="1435" t="str">
        <f aca="false">IF($H275=Q$4,$D275*$N275,"")</f>
        <v/>
      </c>
      <c r="R275" s="1435" t="str">
        <f aca="false">IF($H275=R$4,$D275*$N275,"")</f>
        <v/>
      </c>
      <c r="S275" s="1435" t="str">
        <f aca="false">IF($H275=S$4,$D275*$N275,"")</f>
        <v/>
      </c>
      <c r="T275" s="1435" t="str">
        <f aca="false">IF($H275=T$4,$D275*$N275,"")</f>
        <v/>
      </c>
      <c r="U275" s="1436" t="str">
        <f aca="false">IF($H275=U$4,$D275*$N275,"")</f>
        <v/>
      </c>
      <c r="V275" s="1418"/>
      <c r="W275" s="1419"/>
      <c r="X275" s="1419"/>
      <c r="Y275" s="1419"/>
      <c r="Z275" s="1419"/>
      <c r="AA275" s="1419"/>
      <c r="AB275" s="1420"/>
      <c r="AC275" s="1319"/>
      <c r="AD275" s="2" t="str">
        <f aca="false">IF(AND(AD$4=$G275,AD$6=$F275),$B275,"")</f>
        <v/>
      </c>
      <c r="AE275" s="2" t="str">
        <f aca="false">IF(AND(AE$4=$G275,AE$6=$F275),$B275,"")</f>
        <v/>
      </c>
      <c r="AF275" s="2" t="str">
        <f aca="false">IF(AND(AF$4=$G275,AF$6=$F275),$B275,"")</f>
        <v/>
      </c>
      <c r="AG275" s="2" t="str">
        <f aca="false">IF(AND(AG$4=$G275,AG$6=$F275),$B275,"")</f>
        <v/>
      </c>
      <c r="AI275" s="366"/>
      <c r="AL275" s="367"/>
      <c r="AO275" s="367"/>
      <c r="AP275" s="2" t="str">
        <f aca="false">IF(AT275&gt;0,RANK(AT275,AT$7:AT$423),"")</f>
        <v/>
      </c>
      <c r="AQ275" s="2" t="n">
        <f aca="false">'O_MN, PE_UTA_UGM 2024'!C271</f>
        <v>270</v>
      </c>
      <c r="AR275" s="1421" t="n">
        <v>2650</v>
      </c>
      <c r="AS275" s="2" t="str">
        <f aca="false">IF(AY275&lt;&gt;"",AY275,"")</f>
        <v/>
      </c>
      <c r="AT275" s="1422" t="n">
        <f aca="false">IF(ISNUMBER($AR275),SUMIF(B$7:B$505,AR275,D$7:D$505),"")</f>
        <v>0</v>
      </c>
      <c r="AU275" s="1411" t="n">
        <f aca="false">IF(ISNUMBER($AR275),SUMIF(AD$7:AD$503,$AR275,J$7:J$503),"")</f>
        <v>0</v>
      </c>
      <c r="AV275" s="1411" t="n">
        <f aca="false">IF(ISNUMBER($AR275),SUMIF(AF$7:AF$503,$AR275,L$7:L$503),"")</f>
        <v>0</v>
      </c>
      <c r="AW275" s="1423" t="n">
        <f aca="false">IF(ISNUMBER($AR275),SUMIF(AE$7:AE$503,$AR275,K$7:K$503),"")</f>
        <v>0</v>
      </c>
      <c r="AX275" s="1423" t="n">
        <f aca="false">IF(ISNUMBER($AR275),SUMIF(AG$7:AG$503,$AR275,M$7:M$503),"")</f>
        <v>0</v>
      </c>
      <c r="AY275" s="2" t="str">
        <f aca="false">IF($AT275&gt;0,VLOOKUP($AR275,'O_MN, PE_UTA_UGM 2024'!E271:O687,2),"")</f>
        <v/>
      </c>
      <c r="AZ275" s="1507"/>
      <c r="BA275" s="1507"/>
      <c r="BB275" s="1507" t="str">
        <f aca="false">IF($AT275&gt;0,VLOOKUP($AR275,'O_MN, PE_UTA_UGM 2024'!$E$3:$O$419,BB$6),"")</f>
        <v/>
      </c>
      <c r="BC275" s="1507" t="str">
        <f aca="false">IF($AT275&gt;0,VLOOKUP($AR275,'O_MN, PE_UTA_UGM 2024'!$E$3:$O$419,BC$6),"")</f>
        <v/>
      </c>
      <c r="BD275" s="1507" t="str">
        <f aca="false">IF($AT275&gt;0,VLOOKUP($AR275,'O_MN, PE_UTA_UGM 2024'!$E$3:$O$419,BD$6),"")</f>
        <v/>
      </c>
      <c r="BE275" s="1507" t="str">
        <f aca="false">IF($AT275&gt;0,VLOOKUP($AR275,'O_MN, PE_UTA_UGM 2024'!$E$3:$O$419,BE$6),"")</f>
        <v/>
      </c>
      <c r="BF275" s="1507" t="str">
        <f aca="false">IF($AT275&gt;0,VLOOKUP($AR275,'O_MN, PE_UTA_UGM 2024'!$E$3:$O$419,BF$6),"")</f>
        <v/>
      </c>
      <c r="BG275" s="1507" t="str">
        <f aca="false">IF($AT275&gt;0,VLOOKUP($AR275,'O_MN, PE_UTA_UGM 2024'!$E$3:$O$419,BG$6),"")</f>
        <v/>
      </c>
      <c r="BH275" s="1504"/>
      <c r="BI275" s="1504"/>
      <c r="BJ275" s="1504"/>
      <c r="BK275" s="1504"/>
      <c r="BM275" s="1411"/>
      <c r="BN275" s="1411"/>
      <c r="BO275" s="1425" t="str">
        <f aca="false">IF(ISNUMBER($AU275*BB275*1),$AU275*BB275*1,"")</f>
        <v/>
      </c>
      <c r="BP275" s="1425" t="str">
        <f aca="false">IF(ISNUMBER($AV275*BC275*1),$AV275*BC275*1,"")</f>
        <v/>
      </c>
      <c r="BQ275" s="1425" t="str">
        <f aca="false">IF(ISNUMBER($AU275*BD275*1),$AU275*BD275*1,"")</f>
        <v/>
      </c>
      <c r="BR275" s="1425" t="str">
        <f aca="false">IF(ISNUMBER($AV275*BE275*1),$AV275*BE275*1,"")</f>
        <v/>
      </c>
      <c r="BS275" s="1411" t="str">
        <f aca="false">IF(ISNUMBER($AU275*BF275),$AU275*BF275,"")</f>
        <v/>
      </c>
      <c r="BT275" s="1411" t="str">
        <f aca="false">IF(ISNUMBER($AV275*BG275),$AV275*BG275,"")</f>
        <v/>
      </c>
      <c r="BU275" s="1411"/>
      <c r="BV275" s="1411"/>
      <c r="BW275" s="1411"/>
      <c r="BX275" s="1411"/>
      <c r="BZ275" s="1372"/>
      <c r="CA275" s="1372"/>
      <c r="CB275" s="1426" t="str">
        <f aca="false">IF(ISNUMBER($AW275*BB275),$AW275*BB275,"")</f>
        <v/>
      </c>
      <c r="CC275" s="1426" t="str">
        <f aca="false">IF(ISNUMBER($AX275*BC275),$AX275*BC275,"")</f>
        <v/>
      </c>
      <c r="CD275" s="1426" t="str">
        <f aca="false">IF(ISNUMBER($AW275*BD275),$AW275*BD275,"")</f>
        <v/>
      </c>
      <c r="CE275" s="1426" t="str">
        <f aca="false">IF(ISNUMBER($AX275*BE275),$AX275*BE275,"")</f>
        <v/>
      </c>
      <c r="CF275" s="1372" t="str">
        <f aca="false">IF(ISNUMBER($AW275*BF275),$AW275*BF275,"")</f>
        <v/>
      </c>
      <c r="CG275" s="1372" t="str">
        <f aca="false">IF(ISNUMBER($AX275*BG275),$AX275*BG275,"")</f>
        <v/>
      </c>
      <c r="CH275" s="1438"/>
      <c r="CI275" s="1438"/>
      <c r="CJ275" s="1438"/>
      <c r="CK275" s="1438"/>
      <c r="CU275" s="1411"/>
      <c r="CV275" s="1411"/>
      <c r="CW275" s="1425"/>
      <c r="CX275" s="1425"/>
      <c r="CY275" s="1425"/>
      <c r="CZ275" s="1425"/>
      <c r="DA275" s="1411"/>
      <c r="DB275" s="1411"/>
      <c r="DC275" s="1411"/>
      <c r="DD275" s="1411"/>
      <c r="DE275" s="1411"/>
      <c r="DF275" s="1411"/>
      <c r="DH275" s="1432"/>
      <c r="DI275" s="1432"/>
      <c r="DJ275" s="1437"/>
      <c r="DK275" s="1437"/>
      <c r="DL275" s="1437"/>
      <c r="DM275" s="1437"/>
      <c r="DN275" s="1432"/>
      <c r="DO275" s="1432"/>
      <c r="DP275" s="1432"/>
      <c r="DQ275" s="1432"/>
      <c r="DR275" s="1432"/>
      <c r="DS275" s="1432"/>
      <c r="DT275" s="1316"/>
      <c r="DU275" s="1433"/>
      <c r="DV275" s="1433"/>
      <c r="DW275" s="1433"/>
      <c r="DX275" s="1433"/>
      <c r="DY275" s="1433"/>
      <c r="DZ275" s="1433"/>
      <c r="EA275" s="1433"/>
      <c r="EB275" s="1433"/>
    </row>
    <row r="276" customFormat="false" ht="14.25" hidden="false" customHeight="false" outlineLevel="0" collapsed="false">
      <c r="A276" s="2" t="n">
        <f aca="false">'V_DATOS PAC_SGA'!CC271</f>
        <v>0</v>
      </c>
      <c r="B276" s="2" t="n">
        <f aca="false">IF(OR(A276=0,A276=""),0,IF(I276="IV",CONCATENATE('V_DATOS PAC_SGA'!CC271,"4")+0,CONCATENATE('V_DATOS PAC_SGA'!CC271,"0")+0))</f>
        <v>0</v>
      </c>
      <c r="C276" s="2" t="n">
        <f aca="false">'V_DATOS PAC_SGA'!CD271</f>
        <v>0</v>
      </c>
      <c r="D276" s="1409" t="n">
        <f aca="false">'V_DATOS PAC_SGA'!Y271</f>
        <v>0</v>
      </c>
      <c r="E276" s="1410" t="str">
        <f aca="false">IF('V_DATOS PAC_SGA'!AV271="","Regadio",'V_DATOS PAC_SGA'!AV271)</f>
        <v>Regadio</v>
      </c>
      <c r="F276" s="1411" t="n">
        <f aca="false">'V_DATOS PAC_SGA'!BK271</f>
        <v>0</v>
      </c>
      <c r="G276" s="1412" t="n">
        <f aca="false">'V_DATOS PAC_SGA'!AN271</f>
        <v>0</v>
      </c>
      <c r="H276" s="1413" t="str">
        <f aca="false">IF(B276&gt;0,VLOOKUP(B276,'O_MN, PE_UTA_UGM 2024'!E$3:O$419,10),"")</f>
        <v/>
      </c>
      <c r="I276" s="1359" t="str">
        <f aca="false">IF('V_DATOS PAC_SGA'!BV271="IV",'V_DATOS PAC_SGA'!BV271,"")</f>
        <v/>
      </c>
      <c r="J276" s="2" t="str">
        <f aca="false">IF($A276&gt;0,IF(AND(J$4=$G276,J$6=$F276),$D276*J$5,""),"")</f>
        <v/>
      </c>
      <c r="K276" s="2" t="str">
        <f aca="false">IF($A276&gt;0,IF(AND(K$4=$G276,K$6=$F276),$D276*K$5,""),"")</f>
        <v/>
      </c>
      <c r="L276" s="2" t="str">
        <f aca="false">IF($A276&gt;0,IF(AND(L$4=$G276,L$6=$F276),$D276*L$5,""),"")</f>
        <v/>
      </c>
      <c r="M276" s="2" t="str">
        <f aca="false">IF($A276&gt;0,IF(AND(M$4=$G276,M$6=$F276),$D276*M$5,""),"")</f>
        <v/>
      </c>
      <c r="N276" s="1506" t="n">
        <f aca="false">VLOOKUP(B276,'O_MN, PE_UTA_UGM 2024'!$E$2:$K$419,IF(G276&gt;1,6,7))</f>
        <v>0</v>
      </c>
      <c r="O276" s="1434" t="str">
        <f aca="false">IF($H276=O$4,$D276*$N276,"")</f>
        <v/>
      </c>
      <c r="P276" s="1435" t="str">
        <f aca="false">IF($H276=P$4,$D276*$N276,"")</f>
        <v/>
      </c>
      <c r="Q276" s="1435" t="str">
        <f aca="false">IF($H276=Q$4,$D276*$N276,"")</f>
        <v/>
      </c>
      <c r="R276" s="1435" t="str">
        <f aca="false">IF($H276=R$4,$D276*$N276,"")</f>
        <v/>
      </c>
      <c r="S276" s="1435" t="str">
        <f aca="false">IF($H276=S$4,$D276*$N276,"")</f>
        <v/>
      </c>
      <c r="T276" s="1435" t="str">
        <f aca="false">IF($H276=T$4,$D276*$N276,"")</f>
        <v/>
      </c>
      <c r="U276" s="1436" t="str">
        <f aca="false">IF($H276=U$4,$D276*$N276,"")</f>
        <v/>
      </c>
      <c r="V276" s="1418"/>
      <c r="W276" s="1419"/>
      <c r="X276" s="1419"/>
      <c r="Y276" s="1419"/>
      <c r="Z276" s="1419"/>
      <c r="AA276" s="1419"/>
      <c r="AB276" s="1420"/>
      <c r="AC276" s="1319"/>
      <c r="AD276" s="2" t="str">
        <f aca="false">IF(AND(AD$4=$G276,AD$6=$F276),$B276,"")</f>
        <v/>
      </c>
      <c r="AE276" s="2" t="str">
        <f aca="false">IF(AND(AE$4=$G276,AE$6=$F276),$B276,"")</f>
        <v/>
      </c>
      <c r="AF276" s="2" t="str">
        <f aca="false">IF(AND(AF$4=$G276,AF$6=$F276),$B276,"")</f>
        <v/>
      </c>
      <c r="AG276" s="2" t="str">
        <f aca="false">IF(AND(AG$4=$G276,AG$6=$F276),$B276,"")</f>
        <v/>
      </c>
      <c r="AI276" s="366"/>
      <c r="AL276" s="367"/>
      <c r="AO276" s="367"/>
      <c r="AP276" s="2" t="str">
        <f aca="false">IF(AT276&gt;0,RANK(AT276,AT$7:AT$423),"")</f>
        <v/>
      </c>
      <c r="AQ276" s="2" t="n">
        <f aca="false">'O_MN, PE_UTA_UGM 2024'!C272</f>
        <v>271</v>
      </c>
      <c r="AR276" s="1421" t="n">
        <v>2660</v>
      </c>
      <c r="AS276" s="2" t="str">
        <f aca="false">IF(AY276&lt;&gt;"",AY276,"")</f>
        <v/>
      </c>
      <c r="AT276" s="1422" t="n">
        <f aca="false">IF(ISNUMBER($AR276),SUMIF(B$7:B$505,AR276,D$7:D$505),"")</f>
        <v>0</v>
      </c>
      <c r="AU276" s="1411" t="n">
        <f aca="false">IF(ISNUMBER($AR276),SUMIF(AD$7:AD$503,$AR276,J$7:J$503),"")</f>
        <v>0</v>
      </c>
      <c r="AV276" s="1411" t="n">
        <f aca="false">IF(ISNUMBER($AR276),SUMIF(AF$7:AF$503,$AR276,L$7:L$503),"")</f>
        <v>0</v>
      </c>
      <c r="AW276" s="1423" t="n">
        <f aca="false">IF(ISNUMBER($AR276),SUMIF(AE$7:AE$503,$AR276,K$7:K$503),"")</f>
        <v>0</v>
      </c>
      <c r="AX276" s="1423" t="n">
        <f aca="false">IF(ISNUMBER($AR276),SUMIF(AG$7:AG$503,$AR276,M$7:M$503),"")</f>
        <v>0</v>
      </c>
      <c r="AY276" s="2" t="str">
        <f aca="false">IF($AT276&gt;0,VLOOKUP($AR276,'O_MN, PE_UTA_UGM 2024'!E272:O688,2),"")</f>
        <v/>
      </c>
      <c r="AZ276" s="1507"/>
      <c r="BA276" s="1507"/>
      <c r="BB276" s="1507" t="str">
        <f aca="false">IF($AT276&gt;0,VLOOKUP($AR276,'O_MN, PE_UTA_UGM 2024'!$E$3:$O$419,BB$6),"")</f>
        <v/>
      </c>
      <c r="BC276" s="1507" t="str">
        <f aca="false">IF($AT276&gt;0,VLOOKUP($AR276,'O_MN, PE_UTA_UGM 2024'!$E$3:$O$419,BC$6),"")</f>
        <v/>
      </c>
      <c r="BD276" s="1507" t="str">
        <f aca="false">IF($AT276&gt;0,VLOOKUP($AR276,'O_MN, PE_UTA_UGM 2024'!$E$3:$O$419,BD$6),"")</f>
        <v/>
      </c>
      <c r="BE276" s="1507" t="str">
        <f aca="false">IF($AT276&gt;0,VLOOKUP($AR276,'O_MN, PE_UTA_UGM 2024'!$E$3:$O$419,BE$6),"")</f>
        <v/>
      </c>
      <c r="BF276" s="1507" t="str">
        <f aca="false">IF($AT276&gt;0,VLOOKUP($AR276,'O_MN, PE_UTA_UGM 2024'!$E$3:$O$419,BF$6),"")</f>
        <v/>
      </c>
      <c r="BG276" s="1507" t="str">
        <f aca="false">IF($AT276&gt;0,VLOOKUP($AR276,'O_MN, PE_UTA_UGM 2024'!$E$3:$O$419,BG$6),"")</f>
        <v/>
      </c>
      <c r="BH276" s="1504"/>
      <c r="BI276" s="1504"/>
      <c r="BJ276" s="1504"/>
      <c r="BK276" s="1504"/>
      <c r="BM276" s="1411"/>
      <c r="BN276" s="1411"/>
      <c r="BO276" s="1425" t="str">
        <f aca="false">IF(ISNUMBER($AU276*BB276*1),$AU276*BB276*1,"")</f>
        <v/>
      </c>
      <c r="BP276" s="1425" t="str">
        <f aca="false">IF(ISNUMBER($AV276*BC276*1),$AV276*BC276*1,"")</f>
        <v/>
      </c>
      <c r="BQ276" s="1425" t="str">
        <f aca="false">IF(ISNUMBER($AU276*BD276*1),$AU276*BD276*1,"")</f>
        <v/>
      </c>
      <c r="BR276" s="1425" t="str">
        <f aca="false">IF(ISNUMBER($AV276*BE276*1),$AV276*BE276*1,"")</f>
        <v/>
      </c>
      <c r="BS276" s="1411" t="str">
        <f aca="false">IF(ISNUMBER($AU276*BF276),$AU276*BF276,"")</f>
        <v/>
      </c>
      <c r="BT276" s="1411" t="str">
        <f aca="false">IF(ISNUMBER($AV276*BG276),$AV276*BG276,"")</f>
        <v/>
      </c>
      <c r="BU276" s="1411"/>
      <c r="BV276" s="1411"/>
      <c r="BW276" s="1411"/>
      <c r="BX276" s="1411"/>
      <c r="BZ276" s="1372"/>
      <c r="CA276" s="1372"/>
      <c r="CB276" s="1426" t="str">
        <f aca="false">IF(ISNUMBER($AW276*BB276),$AW276*BB276,"")</f>
        <v/>
      </c>
      <c r="CC276" s="1426" t="str">
        <f aca="false">IF(ISNUMBER($AX276*BC276),$AX276*BC276,"")</f>
        <v/>
      </c>
      <c r="CD276" s="1426" t="str">
        <f aca="false">IF(ISNUMBER($AW276*BD276),$AW276*BD276,"")</f>
        <v/>
      </c>
      <c r="CE276" s="1426" t="str">
        <f aca="false">IF(ISNUMBER($AX276*BE276),$AX276*BE276,"")</f>
        <v/>
      </c>
      <c r="CF276" s="1372" t="str">
        <f aca="false">IF(ISNUMBER($AW276*BF276),$AW276*BF276,"")</f>
        <v/>
      </c>
      <c r="CG276" s="1372" t="str">
        <f aca="false">IF(ISNUMBER($AX276*BG276),$AX276*BG276,"")</f>
        <v/>
      </c>
      <c r="CH276" s="1438"/>
      <c r="CI276" s="1438"/>
      <c r="CJ276" s="1438"/>
      <c r="CK276" s="1438"/>
      <c r="CU276" s="1411"/>
      <c r="CV276" s="1411"/>
      <c r="CW276" s="1425"/>
      <c r="CX276" s="1425"/>
      <c r="CY276" s="1425"/>
      <c r="CZ276" s="1425"/>
      <c r="DA276" s="1411"/>
      <c r="DB276" s="1411"/>
      <c r="DC276" s="1411"/>
      <c r="DD276" s="1411"/>
      <c r="DE276" s="1411"/>
      <c r="DF276" s="1411"/>
      <c r="DH276" s="1432"/>
      <c r="DI276" s="1432"/>
      <c r="DJ276" s="1437"/>
      <c r="DK276" s="1437"/>
      <c r="DL276" s="1437"/>
      <c r="DM276" s="1437"/>
      <c r="DN276" s="1432"/>
      <c r="DO276" s="1432"/>
      <c r="DP276" s="1432"/>
      <c r="DQ276" s="1432"/>
      <c r="DR276" s="1432"/>
      <c r="DS276" s="1432"/>
      <c r="DT276" s="1316"/>
      <c r="DU276" s="1433"/>
      <c r="DV276" s="1433"/>
      <c r="DW276" s="1433"/>
      <c r="DX276" s="1433"/>
      <c r="DY276" s="1433"/>
      <c r="DZ276" s="1433"/>
      <c r="EA276" s="1433"/>
      <c r="EB276" s="1433"/>
    </row>
    <row r="277" customFormat="false" ht="14.25" hidden="false" customHeight="false" outlineLevel="0" collapsed="false">
      <c r="A277" s="2" t="n">
        <f aca="false">'V_DATOS PAC_SGA'!CC272</f>
        <v>0</v>
      </c>
      <c r="B277" s="2" t="n">
        <f aca="false">IF(OR(A277=0,A277=""),0,IF(I277="IV",CONCATENATE('V_DATOS PAC_SGA'!CC272,"4")+0,CONCATENATE('V_DATOS PAC_SGA'!CC272,"0")+0))</f>
        <v>0</v>
      </c>
      <c r="C277" s="2" t="n">
        <f aca="false">'V_DATOS PAC_SGA'!CD272</f>
        <v>0</v>
      </c>
      <c r="D277" s="1409" t="n">
        <f aca="false">'V_DATOS PAC_SGA'!Y272</f>
        <v>0</v>
      </c>
      <c r="E277" s="1410" t="str">
        <f aca="false">IF('V_DATOS PAC_SGA'!AV272="","Regadio",'V_DATOS PAC_SGA'!AV272)</f>
        <v>Regadio</v>
      </c>
      <c r="F277" s="1411" t="n">
        <f aca="false">'V_DATOS PAC_SGA'!BK272</f>
        <v>0</v>
      </c>
      <c r="G277" s="1412" t="n">
        <f aca="false">'V_DATOS PAC_SGA'!AN272</f>
        <v>0</v>
      </c>
      <c r="H277" s="1413" t="str">
        <f aca="false">IF(B277&gt;0,VLOOKUP(B277,'O_MN, PE_UTA_UGM 2024'!E$3:O$419,10),"")</f>
        <v/>
      </c>
      <c r="I277" s="1359" t="str">
        <f aca="false">IF('V_DATOS PAC_SGA'!BV272="IV",'V_DATOS PAC_SGA'!BV272,"")</f>
        <v/>
      </c>
      <c r="J277" s="2" t="str">
        <f aca="false">IF($A277&gt;0,IF(AND(J$4=$G277,J$6=$F277),$D277*J$5,""),"")</f>
        <v/>
      </c>
      <c r="K277" s="2" t="str">
        <f aca="false">IF($A277&gt;0,IF(AND(K$4=$G277,K$6=$F277),$D277*K$5,""),"")</f>
        <v/>
      </c>
      <c r="L277" s="2" t="str">
        <f aca="false">IF($A277&gt;0,IF(AND(L$4=$G277,L$6=$F277),$D277*L$5,""),"")</f>
        <v/>
      </c>
      <c r="M277" s="2" t="str">
        <f aca="false">IF($A277&gt;0,IF(AND(M$4=$G277,M$6=$F277),$D277*M$5,""),"")</f>
        <v/>
      </c>
      <c r="N277" s="1506" t="n">
        <f aca="false">VLOOKUP(B277,'O_MN, PE_UTA_UGM 2024'!$E$2:$K$419,IF(G277&gt;1,6,7))</f>
        <v>0</v>
      </c>
      <c r="O277" s="1434" t="str">
        <f aca="false">IF($H277=O$4,$D277*$N277,"")</f>
        <v/>
      </c>
      <c r="P277" s="1435" t="str">
        <f aca="false">IF($H277=P$4,$D277*$N277,"")</f>
        <v/>
      </c>
      <c r="Q277" s="1435" t="str">
        <f aca="false">IF($H277=Q$4,$D277*$N277,"")</f>
        <v/>
      </c>
      <c r="R277" s="1435" t="str">
        <f aca="false">IF($H277=R$4,$D277*$N277,"")</f>
        <v/>
      </c>
      <c r="S277" s="1435" t="str">
        <f aca="false">IF($H277=S$4,$D277*$N277,"")</f>
        <v/>
      </c>
      <c r="T277" s="1435" t="str">
        <f aca="false">IF($H277=T$4,$D277*$N277,"")</f>
        <v/>
      </c>
      <c r="U277" s="1436" t="str">
        <f aca="false">IF($H277=U$4,$D277*$N277,"")</f>
        <v/>
      </c>
      <c r="V277" s="1418"/>
      <c r="W277" s="1419"/>
      <c r="X277" s="1419"/>
      <c r="Y277" s="1419"/>
      <c r="Z277" s="1419"/>
      <c r="AA277" s="1419"/>
      <c r="AB277" s="1420"/>
      <c r="AC277" s="1319"/>
      <c r="AD277" s="2" t="str">
        <f aca="false">IF(AND(AD$4=$G277,AD$6=$F277),$B277,"")</f>
        <v/>
      </c>
      <c r="AE277" s="2" t="str">
        <f aca="false">IF(AND(AE$4=$G277,AE$6=$F277),$B277,"")</f>
        <v/>
      </c>
      <c r="AF277" s="2" t="str">
        <f aca="false">IF(AND(AF$4=$G277,AF$6=$F277),$B277,"")</f>
        <v/>
      </c>
      <c r="AG277" s="2" t="str">
        <f aca="false">IF(AND(AG$4=$G277,AG$6=$F277),$B277,"")</f>
        <v/>
      </c>
      <c r="AI277" s="366"/>
      <c r="AL277" s="367"/>
      <c r="AO277" s="367"/>
      <c r="AP277" s="2" t="str">
        <f aca="false">IF(AT277&gt;0,RANK(AT277,AT$7:AT$423),"")</f>
        <v/>
      </c>
      <c r="AQ277" s="2" t="n">
        <f aca="false">'O_MN, PE_UTA_UGM 2024'!C273</f>
        <v>272</v>
      </c>
      <c r="AR277" s="1421" t="n">
        <v>2670</v>
      </c>
      <c r="AS277" s="2" t="str">
        <f aca="false">IF(AY277&lt;&gt;"",AY277,"")</f>
        <v/>
      </c>
      <c r="AT277" s="1422" t="n">
        <f aca="false">IF(ISNUMBER($AR277),SUMIF(B$7:B$505,AR277,D$7:D$505),"")</f>
        <v>0</v>
      </c>
      <c r="AU277" s="1411" t="n">
        <f aca="false">IF(ISNUMBER($AR277),SUMIF(AD$7:AD$503,$AR277,J$7:J$503),"")</f>
        <v>0</v>
      </c>
      <c r="AV277" s="1411" t="n">
        <f aca="false">IF(ISNUMBER($AR277),SUMIF(AF$7:AF$503,$AR277,L$7:L$503),"")</f>
        <v>0</v>
      </c>
      <c r="AW277" s="1423" t="n">
        <f aca="false">IF(ISNUMBER($AR277),SUMIF(AE$7:AE$503,$AR277,K$7:K$503),"")</f>
        <v>0</v>
      </c>
      <c r="AX277" s="1423" t="n">
        <f aca="false">IF(ISNUMBER($AR277),SUMIF(AG$7:AG$503,$AR277,M$7:M$503),"")</f>
        <v>0</v>
      </c>
      <c r="AY277" s="2" t="str">
        <f aca="false">IF($AT277&gt;0,VLOOKUP($AR277,'O_MN, PE_UTA_UGM 2024'!E273:O689,2),"")</f>
        <v/>
      </c>
      <c r="AZ277" s="1507"/>
      <c r="BA277" s="1507"/>
      <c r="BB277" s="1507" t="str">
        <f aca="false">IF($AT277&gt;0,VLOOKUP($AR277,'O_MN, PE_UTA_UGM 2024'!$E$3:$O$419,BB$6),"")</f>
        <v/>
      </c>
      <c r="BC277" s="1507" t="str">
        <f aca="false">IF($AT277&gt;0,VLOOKUP($AR277,'O_MN, PE_UTA_UGM 2024'!$E$3:$O$419,BC$6),"")</f>
        <v/>
      </c>
      <c r="BD277" s="1507" t="str">
        <f aca="false">IF($AT277&gt;0,VLOOKUP($AR277,'O_MN, PE_UTA_UGM 2024'!$E$3:$O$419,BD$6),"")</f>
        <v/>
      </c>
      <c r="BE277" s="1507" t="str">
        <f aca="false">IF($AT277&gt;0,VLOOKUP($AR277,'O_MN, PE_UTA_UGM 2024'!$E$3:$O$419,BE$6),"")</f>
        <v/>
      </c>
      <c r="BF277" s="1507" t="str">
        <f aca="false">IF($AT277&gt;0,VLOOKUP($AR277,'O_MN, PE_UTA_UGM 2024'!$E$3:$O$419,BF$6),"")</f>
        <v/>
      </c>
      <c r="BG277" s="1507" t="str">
        <f aca="false">IF($AT277&gt;0,VLOOKUP($AR277,'O_MN, PE_UTA_UGM 2024'!$E$3:$O$419,BG$6),"")</f>
        <v/>
      </c>
      <c r="BH277" s="1504"/>
      <c r="BI277" s="1504"/>
      <c r="BJ277" s="1504"/>
      <c r="BK277" s="1504"/>
      <c r="BM277" s="1411"/>
      <c r="BN277" s="1411"/>
      <c r="BO277" s="1425" t="str">
        <f aca="false">IF(ISNUMBER($AU277*BB277*1),$AU277*BB277*1,"")</f>
        <v/>
      </c>
      <c r="BP277" s="1425" t="str">
        <f aca="false">IF(ISNUMBER($AV277*BC277*1),$AV277*BC277*1,"")</f>
        <v/>
      </c>
      <c r="BQ277" s="1425" t="str">
        <f aca="false">IF(ISNUMBER($AU277*BD277*1),$AU277*BD277*1,"")</f>
        <v/>
      </c>
      <c r="BR277" s="1425" t="str">
        <f aca="false">IF(ISNUMBER($AV277*BE277*1),$AV277*BE277*1,"")</f>
        <v/>
      </c>
      <c r="BS277" s="1411" t="str">
        <f aca="false">IF(ISNUMBER($AU277*BF277),$AU277*BF277,"")</f>
        <v/>
      </c>
      <c r="BT277" s="1411" t="str">
        <f aca="false">IF(ISNUMBER($AV277*BG277),$AV277*BG277,"")</f>
        <v/>
      </c>
      <c r="BU277" s="1411"/>
      <c r="BV277" s="1411"/>
      <c r="BW277" s="1411"/>
      <c r="BX277" s="1411"/>
      <c r="BZ277" s="1372"/>
      <c r="CA277" s="1372"/>
      <c r="CB277" s="1426" t="str">
        <f aca="false">IF(ISNUMBER($AW277*BB277),$AW277*BB277,"")</f>
        <v/>
      </c>
      <c r="CC277" s="1426" t="str">
        <f aca="false">IF(ISNUMBER($AX277*BC277),$AX277*BC277,"")</f>
        <v/>
      </c>
      <c r="CD277" s="1426" t="str">
        <f aca="false">IF(ISNUMBER($AW277*BD277),$AW277*BD277,"")</f>
        <v/>
      </c>
      <c r="CE277" s="1426" t="str">
        <f aca="false">IF(ISNUMBER($AX277*BE277),$AX277*BE277,"")</f>
        <v/>
      </c>
      <c r="CF277" s="1372" t="str">
        <f aca="false">IF(ISNUMBER($AW277*BF277),$AW277*BF277,"")</f>
        <v/>
      </c>
      <c r="CG277" s="1372" t="str">
        <f aca="false">IF(ISNUMBER($AX277*BG277),$AX277*BG277,"")</f>
        <v/>
      </c>
      <c r="CH277" s="1438"/>
      <c r="CI277" s="1438"/>
      <c r="CJ277" s="1438"/>
      <c r="CK277" s="1438"/>
      <c r="CU277" s="1411"/>
      <c r="CV277" s="1411"/>
      <c r="CW277" s="1425"/>
      <c r="CX277" s="1425"/>
      <c r="CY277" s="1425"/>
      <c r="CZ277" s="1425"/>
      <c r="DA277" s="1411"/>
      <c r="DB277" s="1411"/>
      <c r="DC277" s="1411"/>
      <c r="DD277" s="1411"/>
      <c r="DE277" s="1411"/>
      <c r="DF277" s="1411"/>
      <c r="DH277" s="1432"/>
      <c r="DI277" s="1432"/>
      <c r="DJ277" s="1437"/>
      <c r="DK277" s="1437"/>
      <c r="DL277" s="1437"/>
      <c r="DM277" s="1437"/>
      <c r="DN277" s="1432"/>
      <c r="DO277" s="1432"/>
      <c r="DP277" s="1432"/>
      <c r="DQ277" s="1432"/>
      <c r="DR277" s="1432"/>
      <c r="DS277" s="1432"/>
      <c r="DT277" s="1316"/>
      <c r="DU277" s="1433"/>
      <c r="DV277" s="1433"/>
      <c r="DW277" s="1433"/>
      <c r="DX277" s="1433"/>
      <c r="DY277" s="1433"/>
      <c r="DZ277" s="1433"/>
      <c r="EA277" s="1433"/>
      <c r="EB277" s="1433"/>
    </row>
    <row r="278" customFormat="false" ht="14.25" hidden="false" customHeight="false" outlineLevel="0" collapsed="false">
      <c r="A278" s="2" t="n">
        <f aca="false">'V_DATOS PAC_SGA'!CC273</f>
        <v>0</v>
      </c>
      <c r="B278" s="2" t="n">
        <f aca="false">IF(OR(A278=0,A278=""),0,IF(I278="IV",CONCATENATE('V_DATOS PAC_SGA'!CC273,"4")+0,CONCATENATE('V_DATOS PAC_SGA'!CC273,"0")+0))</f>
        <v>0</v>
      </c>
      <c r="C278" s="2" t="n">
        <f aca="false">'V_DATOS PAC_SGA'!CD273</f>
        <v>0</v>
      </c>
      <c r="D278" s="1409" t="n">
        <f aca="false">'V_DATOS PAC_SGA'!Y273</f>
        <v>0</v>
      </c>
      <c r="E278" s="1410" t="str">
        <f aca="false">IF('V_DATOS PAC_SGA'!AV273="","Regadio",'V_DATOS PAC_SGA'!AV273)</f>
        <v>Regadio</v>
      </c>
      <c r="F278" s="1411" t="n">
        <f aca="false">'V_DATOS PAC_SGA'!BK273</f>
        <v>0</v>
      </c>
      <c r="G278" s="1412" t="n">
        <f aca="false">'V_DATOS PAC_SGA'!AN273</f>
        <v>0</v>
      </c>
      <c r="H278" s="1413" t="str">
        <f aca="false">IF(B278&gt;0,VLOOKUP(B278,'O_MN, PE_UTA_UGM 2024'!E$3:O$419,10),"")</f>
        <v/>
      </c>
      <c r="I278" s="1359" t="str">
        <f aca="false">IF('V_DATOS PAC_SGA'!BV273="IV",'V_DATOS PAC_SGA'!BV273,"")</f>
        <v/>
      </c>
      <c r="J278" s="2" t="str">
        <f aca="false">IF($A278&gt;0,IF(AND(J$4=$G278,J$6=$F278),$D278*J$5,""),"")</f>
        <v/>
      </c>
      <c r="K278" s="2" t="str">
        <f aca="false">IF($A278&gt;0,IF(AND(K$4=$G278,K$6=$F278),$D278*K$5,""),"")</f>
        <v/>
      </c>
      <c r="L278" s="2" t="str">
        <f aca="false">IF($A278&gt;0,IF(AND(L$4=$G278,L$6=$F278),$D278*L$5,""),"")</f>
        <v/>
      </c>
      <c r="M278" s="2" t="str">
        <f aca="false">IF($A278&gt;0,IF(AND(M$4=$G278,M$6=$F278),$D278*M$5,""),"")</f>
        <v/>
      </c>
      <c r="N278" s="1506" t="n">
        <f aca="false">VLOOKUP(B278,'O_MN, PE_UTA_UGM 2024'!$E$2:$K$419,IF(G278&gt;1,6,7))</f>
        <v>0</v>
      </c>
      <c r="O278" s="1434" t="str">
        <f aca="false">IF($H278=O$4,$D278*$N278,"")</f>
        <v/>
      </c>
      <c r="P278" s="1435" t="str">
        <f aca="false">IF($H278=P$4,$D278*$N278,"")</f>
        <v/>
      </c>
      <c r="Q278" s="1435" t="str">
        <f aca="false">IF($H278=Q$4,$D278*$N278,"")</f>
        <v/>
      </c>
      <c r="R278" s="1435" t="str">
        <f aca="false">IF($H278=R$4,$D278*$N278,"")</f>
        <v/>
      </c>
      <c r="S278" s="1435" t="str">
        <f aca="false">IF($H278=S$4,$D278*$N278,"")</f>
        <v/>
      </c>
      <c r="T278" s="1435" t="str">
        <f aca="false">IF($H278=T$4,$D278*$N278,"")</f>
        <v/>
      </c>
      <c r="U278" s="1436" t="str">
        <f aca="false">IF($H278=U$4,$D278*$N278,"")</f>
        <v/>
      </c>
      <c r="V278" s="1418"/>
      <c r="W278" s="1419"/>
      <c r="X278" s="1419"/>
      <c r="Y278" s="1419"/>
      <c r="Z278" s="1419"/>
      <c r="AA278" s="1419"/>
      <c r="AB278" s="1420"/>
      <c r="AC278" s="1319"/>
      <c r="AD278" s="2" t="str">
        <f aca="false">IF(AND(AD$4=$G278,AD$6=$F278),$B278,"")</f>
        <v/>
      </c>
      <c r="AE278" s="2" t="str">
        <f aca="false">IF(AND(AE$4=$G278,AE$6=$F278),$B278,"")</f>
        <v/>
      </c>
      <c r="AF278" s="2" t="str">
        <f aca="false">IF(AND(AF$4=$G278,AF$6=$F278),$B278,"")</f>
        <v/>
      </c>
      <c r="AG278" s="2" t="str">
        <f aca="false">IF(AND(AG$4=$G278,AG$6=$F278),$B278,"")</f>
        <v/>
      </c>
      <c r="AI278" s="366"/>
      <c r="AL278" s="367"/>
      <c r="AO278" s="367"/>
      <c r="AP278" s="2" t="str">
        <f aca="false">IF(AT278&gt;0,RANK(AT278,AT$7:AT$423),"")</f>
        <v/>
      </c>
      <c r="AQ278" s="2" t="n">
        <f aca="false">'O_MN, PE_UTA_UGM 2024'!C274</f>
        <v>273</v>
      </c>
      <c r="AR278" s="1421" t="n">
        <v>2680</v>
      </c>
      <c r="AS278" s="2" t="str">
        <f aca="false">IF(AY278&lt;&gt;"",AY278,"")</f>
        <v/>
      </c>
      <c r="AT278" s="1422" t="n">
        <f aca="false">IF(ISNUMBER($AR278),SUMIF(B$7:B$505,AR278,D$7:D$505),"")</f>
        <v>0</v>
      </c>
      <c r="AU278" s="1411" t="n">
        <f aca="false">IF(ISNUMBER($AR278),SUMIF(AD$7:AD$503,$AR278,J$7:J$503),"")</f>
        <v>0</v>
      </c>
      <c r="AV278" s="1411" t="n">
        <f aca="false">IF(ISNUMBER($AR278),SUMIF(AF$7:AF$503,$AR278,L$7:L$503),"")</f>
        <v>0</v>
      </c>
      <c r="AW278" s="1423" t="n">
        <f aca="false">IF(ISNUMBER($AR278),SUMIF(AE$7:AE$503,$AR278,K$7:K$503),"")</f>
        <v>0</v>
      </c>
      <c r="AX278" s="1423" t="n">
        <f aca="false">IF(ISNUMBER($AR278),SUMIF(AG$7:AG$503,$AR278,M$7:M$503),"")</f>
        <v>0</v>
      </c>
      <c r="AY278" s="2" t="str">
        <f aca="false">IF($AT278&gt;0,VLOOKUP($AR278,'O_MN, PE_UTA_UGM 2024'!E274:O690,2),"")</f>
        <v/>
      </c>
      <c r="AZ278" s="1507"/>
      <c r="BA278" s="1507"/>
      <c r="BB278" s="1507" t="str">
        <f aca="false">IF($AT278&gt;0,VLOOKUP($AR278,'O_MN, PE_UTA_UGM 2024'!$E$3:$O$419,BB$6),"")</f>
        <v/>
      </c>
      <c r="BC278" s="1507" t="str">
        <f aca="false">IF($AT278&gt;0,VLOOKUP($AR278,'O_MN, PE_UTA_UGM 2024'!$E$3:$O$419,BC$6),"")</f>
        <v/>
      </c>
      <c r="BD278" s="1507" t="str">
        <f aca="false">IF($AT278&gt;0,VLOOKUP($AR278,'O_MN, PE_UTA_UGM 2024'!$E$3:$O$419,BD$6),"")</f>
        <v/>
      </c>
      <c r="BE278" s="1507" t="str">
        <f aca="false">IF($AT278&gt;0,VLOOKUP($AR278,'O_MN, PE_UTA_UGM 2024'!$E$3:$O$419,BE$6),"")</f>
        <v/>
      </c>
      <c r="BF278" s="1507" t="str">
        <f aca="false">IF($AT278&gt;0,VLOOKUP($AR278,'O_MN, PE_UTA_UGM 2024'!$E$3:$O$419,BF$6),"")</f>
        <v/>
      </c>
      <c r="BG278" s="1507" t="str">
        <f aca="false">IF($AT278&gt;0,VLOOKUP($AR278,'O_MN, PE_UTA_UGM 2024'!$E$3:$O$419,BG$6),"")</f>
        <v/>
      </c>
      <c r="BH278" s="1504"/>
      <c r="BI278" s="1504"/>
      <c r="BJ278" s="1504"/>
      <c r="BK278" s="1504"/>
      <c r="BM278" s="1411"/>
      <c r="BN278" s="1411"/>
      <c r="BO278" s="1425" t="str">
        <f aca="false">IF(ISNUMBER($AU278*BB278*1),$AU278*BB278*1,"")</f>
        <v/>
      </c>
      <c r="BP278" s="1425" t="str">
        <f aca="false">IF(ISNUMBER($AV278*BC278*1),$AV278*BC278*1,"")</f>
        <v/>
      </c>
      <c r="BQ278" s="1425" t="str">
        <f aca="false">IF(ISNUMBER($AU278*BD278*1),$AU278*BD278*1,"")</f>
        <v/>
      </c>
      <c r="BR278" s="1425" t="str">
        <f aca="false">IF(ISNUMBER($AV278*BE278*1),$AV278*BE278*1,"")</f>
        <v/>
      </c>
      <c r="BS278" s="1411" t="str">
        <f aca="false">IF(ISNUMBER($AU278*BF278),$AU278*BF278,"")</f>
        <v/>
      </c>
      <c r="BT278" s="1411" t="str">
        <f aca="false">IF(ISNUMBER($AV278*BG278),$AV278*BG278,"")</f>
        <v/>
      </c>
      <c r="BU278" s="1411"/>
      <c r="BV278" s="1411"/>
      <c r="BW278" s="1411"/>
      <c r="BX278" s="1411"/>
      <c r="BZ278" s="1372"/>
      <c r="CA278" s="1372"/>
      <c r="CB278" s="1426" t="str">
        <f aca="false">IF(ISNUMBER($AW278*BB278),$AW278*BB278,"")</f>
        <v/>
      </c>
      <c r="CC278" s="1426" t="str">
        <f aca="false">IF(ISNUMBER($AX278*BC278),$AX278*BC278,"")</f>
        <v/>
      </c>
      <c r="CD278" s="1426" t="str">
        <f aca="false">IF(ISNUMBER($AW278*BD278),$AW278*BD278,"")</f>
        <v/>
      </c>
      <c r="CE278" s="1426" t="str">
        <f aca="false">IF(ISNUMBER($AX278*BE278),$AX278*BE278,"")</f>
        <v/>
      </c>
      <c r="CF278" s="1372" t="str">
        <f aca="false">IF(ISNUMBER($AW278*BF278),$AW278*BF278,"")</f>
        <v/>
      </c>
      <c r="CG278" s="1372" t="str">
        <f aca="false">IF(ISNUMBER($AX278*BG278),$AX278*BG278,"")</f>
        <v/>
      </c>
      <c r="CH278" s="1438"/>
      <c r="CI278" s="1438"/>
      <c r="CJ278" s="1438"/>
      <c r="CK278" s="1438"/>
      <c r="CU278" s="1411"/>
      <c r="CV278" s="1411"/>
      <c r="CW278" s="1425"/>
      <c r="CX278" s="1425"/>
      <c r="CY278" s="1425"/>
      <c r="CZ278" s="1425"/>
      <c r="DA278" s="1411"/>
      <c r="DB278" s="1411"/>
      <c r="DC278" s="1411"/>
      <c r="DD278" s="1411"/>
      <c r="DE278" s="1411"/>
      <c r="DF278" s="1411"/>
      <c r="DH278" s="1432"/>
      <c r="DI278" s="1432"/>
      <c r="DJ278" s="1437"/>
      <c r="DK278" s="1437"/>
      <c r="DL278" s="1437"/>
      <c r="DM278" s="1437"/>
      <c r="DN278" s="1432"/>
      <c r="DO278" s="1432"/>
      <c r="DP278" s="1432"/>
      <c r="DQ278" s="1432"/>
      <c r="DR278" s="1432"/>
      <c r="DS278" s="1432"/>
      <c r="DT278" s="1316"/>
      <c r="DU278" s="1433"/>
      <c r="DV278" s="1433"/>
      <c r="DW278" s="1433"/>
      <c r="DX278" s="1433"/>
      <c r="DY278" s="1433"/>
      <c r="DZ278" s="1433"/>
      <c r="EA278" s="1433"/>
      <c r="EB278" s="1433"/>
    </row>
    <row r="279" customFormat="false" ht="14.25" hidden="false" customHeight="false" outlineLevel="0" collapsed="false">
      <c r="A279" s="2" t="n">
        <f aca="false">'V_DATOS PAC_SGA'!CC274</f>
        <v>0</v>
      </c>
      <c r="B279" s="2" t="n">
        <f aca="false">IF(OR(A279=0,A279=""),0,IF(I279="IV",CONCATENATE('V_DATOS PAC_SGA'!CC274,"4")+0,CONCATENATE('V_DATOS PAC_SGA'!CC274,"0")+0))</f>
        <v>0</v>
      </c>
      <c r="C279" s="2" t="n">
        <f aca="false">'V_DATOS PAC_SGA'!CD274</f>
        <v>0</v>
      </c>
      <c r="D279" s="1409" t="n">
        <f aca="false">'V_DATOS PAC_SGA'!Y274</f>
        <v>0</v>
      </c>
      <c r="E279" s="1410" t="str">
        <f aca="false">IF('V_DATOS PAC_SGA'!AV274="","Regadio",'V_DATOS PAC_SGA'!AV274)</f>
        <v>Regadio</v>
      </c>
      <c r="F279" s="1411" t="n">
        <f aca="false">'V_DATOS PAC_SGA'!BK274</f>
        <v>0</v>
      </c>
      <c r="G279" s="1412" t="n">
        <f aca="false">'V_DATOS PAC_SGA'!AN274</f>
        <v>0</v>
      </c>
      <c r="H279" s="1413" t="str">
        <f aca="false">IF(B279&gt;0,VLOOKUP(B279,'O_MN, PE_UTA_UGM 2024'!E$3:O$419,10),"")</f>
        <v/>
      </c>
      <c r="I279" s="1359" t="str">
        <f aca="false">IF('V_DATOS PAC_SGA'!BV274="IV",'V_DATOS PAC_SGA'!BV274,"")</f>
        <v/>
      </c>
      <c r="J279" s="2" t="str">
        <f aca="false">IF($A279&gt;0,IF(AND(J$4=$G279,J$6=$F279),$D279*J$5,""),"")</f>
        <v/>
      </c>
      <c r="K279" s="2" t="str">
        <f aca="false">IF($A279&gt;0,IF(AND(K$4=$G279,K$6=$F279),$D279*K$5,""),"")</f>
        <v/>
      </c>
      <c r="L279" s="2" t="str">
        <f aca="false">IF($A279&gt;0,IF(AND(L$4=$G279,L$6=$F279),$D279*L$5,""),"")</f>
        <v/>
      </c>
      <c r="M279" s="2" t="str">
        <f aca="false">IF($A279&gt;0,IF(AND(M$4=$G279,M$6=$F279),$D279*M$5,""),"")</f>
        <v/>
      </c>
      <c r="N279" s="1506" t="n">
        <f aca="false">VLOOKUP(B279,'O_MN, PE_UTA_UGM 2024'!$E$2:$K$419,IF(G279&gt;1,6,7))</f>
        <v>0</v>
      </c>
      <c r="O279" s="1434" t="str">
        <f aca="false">IF($H279=O$4,$D279*$N279,"")</f>
        <v/>
      </c>
      <c r="P279" s="1435" t="str">
        <f aca="false">IF($H279=P$4,$D279*$N279,"")</f>
        <v/>
      </c>
      <c r="Q279" s="1435" t="str">
        <f aca="false">IF($H279=Q$4,$D279*$N279,"")</f>
        <v/>
      </c>
      <c r="R279" s="1435" t="str">
        <f aca="false">IF($H279=R$4,$D279*$N279,"")</f>
        <v/>
      </c>
      <c r="S279" s="1435" t="str">
        <f aca="false">IF($H279=S$4,$D279*$N279,"")</f>
        <v/>
      </c>
      <c r="T279" s="1435" t="str">
        <f aca="false">IF($H279=T$4,$D279*$N279,"")</f>
        <v/>
      </c>
      <c r="U279" s="1436" t="str">
        <f aca="false">IF($H279=U$4,$D279*$N279,"")</f>
        <v/>
      </c>
      <c r="V279" s="1418"/>
      <c r="W279" s="1419"/>
      <c r="X279" s="1419"/>
      <c r="Y279" s="1419"/>
      <c r="Z279" s="1419"/>
      <c r="AA279" s="1419"/>
      <c r="AB279" s="1420"/>
      <c r="AC279" s="1319"/>
      <c r="AD279" s="2" t="str">
        <f aca="false">IF(AND(AD$4=$G279,AD$6=$F279),$B279,"")</f>
        <v/>
      </c>
      <c r="AE279" s="2" t="str">
        <f aca="false">IF(AND(AE$4=$G279,AE$6=$F279),$B279,"")</f>
        <v/>
      </c>
      <c r="AF279" s="2" t="str">
        <f aca="false">IF(AND(AF$4=$G279,AF$6=$F279),$B279,"")</f>
        <v/>
      </c>
      <c r="AG279" s="2" t="str">
        <f aca="false">IF(AND(AG$4=$G279,AG$6=$F279),$B279,"")</f>
        <v/>
      </c>
      <c r="AI279" s="366"/>
      <c r="AL279" s="367"/>
      <c r="AO279" s="367"/>
      <c r="AP279" s="2" t="str">
        <f aca="false">IF(AT279&gt;0,RANK(AT279,AT$7:AT$423),"")</f>
        <v/>
      </c>
      <c r="AQ279" s="2" t="n">
        <f aca="false">'O_MN, PE_UTA_UGM 2024'!C275</f>
        <v>274</v>
      </c>
      <c r="AR279" s="1421" t="n">
        <v>2690</v>
      </c>
      <c r="AS279" s="2" t="str">
        <f aca="false">IF(AY279&lt;&gt;"",AY279,"")</f>
        <v/>
      </c>
      <c r="AT279" s="1422" t="n">
        <f aca="false">IF(ISNUMBER($AR279),SUMIF(B$7:B$505,AR279,D$7:D$505),"")</f>
        <v>0</v>
      </c>
      <c r="AU279" s="1411" t="n">
        <f aca="false">IF(ISNUMBER($AR279),SUMIF(AD$7:AD$503,$AR279,J$7:J$503),"")</f>
        <v>0</v>
      </c>
      <c r="AV279" s="1411" t="n">
        <f aca="false">IF(ISNUMBER($AR279),SUMIF(AF$7:AF$503,$AR279,L$7:L$503),"")</f>
        <v>0</v>
      </c>
      <c r="AW279" s="1423" t="n">
        <f aca="false">IF(ISNUMBER($AR279),SUMIF(AE$7:AE$503,$AR279,K$7:K$503),"")</f>
        <v>0</v>
      </c>
      <c r="AX279" s="1423" t="n">
        <f aca="false">IF(ISNUMBER($AR279),SUMIF(AG$7:AG$503,$AR279,M$7:M$503),"")</f>
        <v>0</v>
      </c>
      <c r="AY279" s="2" t="str">
        <f aca="false">IF($AT279&gt;0,VLOOKUP($AR279,'O_MN, PE_UTA_UGM 2024'!E275:O691,2),"")</f>
        <v/>
      </c>
      <c r="AZ279" s="1507"/>
      <c r="BA279" s="1507"/>
      <c r="BB279" s="1507" t="str">
        <f aca="false">IF($AT279&gt;0,VLOOKUP($AR279,'O_MN, PE_UTA_UGM 2024'!$E$3:$O$419,BB$6),"")</f>
        <v/>
      </c>
      <c r="BC279" s="1507" t="str">
        <f aca="false">IF($AT279&gt;0,VLOOKUP($AR279,'O_MN, PE_UTA_UGM 2024'!$E$3:$O$419,BC$6),"")</f>
        <v/>
      </c>
      <c r="BD279" s="1507" t="str">
        <f aca="false">IF($AT279&gt;0,VLOOKUP($AR279,'O_MN, PE_UTA_UGM 2024'!$E$3:$O$419,BD$6),"")</f>
        <v/>
      </c>
      <c r="BE279" s="1507" t="str">
        <f aca="false">IF($AT279&gt;0,VLOOKUP($AR279,'O_MN, PE_UTA_UGM 2024'!$E$3:$O$419,BE$6),"")</f>
        <v/>
      </c>
      <c r="BF279" s="1507" t="str">
        <f aca="false">IF($AT279&gt;0,VLOOKUP($AR279,'O_MN, PE_UTA_UGM 2024'!$E$3:$O$419,BF$6),"")</f>
        <v/>
      </c>
      <c r="BG279" s="1507" t="str">
        <f aca="false">IF($AT279&gt;0,VLOOKUP($AR279,'O_MN, PE_UTA_UGM 2024'!$E$3:$O$419,BG$6),"")</f>
        <v/>
      </c>
      <c r="BH279" s="1504"/>
      <c r="BI279" s="1504"/>
      <c r="BJ279" s="1504"/>
      <c r="BK279" s="1504"/>
      <c r="BM279" s="1411"/>
      <c r="BN279" s="1411"/>
      <c r="BO279" s="1425" t="str">
        <f aca="false">IF(ISNUMBER($AU279*BB279*1),$AU279*BB279*1,"")</f>
        <v/>
      </c>
      <c r="BP279" s="1425" t="str">
        <f aca="false">IF(ISNUMBER($AV279*BC279*1),$AV279*BC279*1,"")</f>
        <v/>
      </c>
      <c r="BQ279" s="1425" t="str">
        <f aca="false">IF(ISNUMBER($AU279*BD279*1),$AU279*BD279*1,"")</f>
        <v/>
      </c>
      <c r="BR279" s="1425" t="str">
        <f aca="false">IF(ISNUMBER($AV279*BE279*1),$AV279*BE279*1,"")</f>
        <v/>
      </c>
      <c r="BS279" s="1411" t="str">
        <f aca="false">IF(ISNUMBER($AU279*BF279),$AU279*BF279,"")</f>
        <v/>
      </c>
      <c r="BT279" s="1411" t="str">
        <f aca="false">IF(ISNUMBER($AV279*BG279),$AV279*BG279,"")</f>
        <v/>
      </c>
      <c r="BU279" s="1411"/>
      <c r="BV279" s="1411"/>
      <c r="BW279" s="1411"/>
      <c r="BX279" s="1411"/>
      <c r="BZ279" s="1372"/>
      <c r="CA279" s="1372"/>
      <c r="CB279" s="1426" t="str">
        <f aca="false">IF(ISNUMBER($AW279*BB279),$AW279*BB279,"")</f>
        <v/>
      </c>
      <c r="CC279" s="1426" t="str">
        <f aca="false">IF(ISNUMBER($AX279*BC279),$AX279*BC279,"")</f>
        <v/>
      </c>
      <c r="CD279" s="1426" t="str">
        <f aca="false">IF(ISNUMBER($AW279*BD279),$AW279*BD279,"")</f>
        <v/>
      </c>
      <c r="CE279" s="1426" t="str">
        <f aca="false">IF(ISNUMBER($AX279*BE279),$AX279*BE279,"")</f>
        <v/>
      </c>
      <c r="CF279" s="1372" t="str">
        <f aca="false">IF(ISNUMBER($AW279*BF279),$AW279*BF279,"")</f>
        <v/>
      </c>
      <c r="CG279" s="1372" t="str">
        <f aca="false">IF(ISNUMBER($AX279*BG279),$AX279*BG279,"")</f>
        <v/>
      </c>
      <c r="CH279" s="1438"/>
      <c r="CI279" s="1438"/>
      <c r="CJ279" s="1438"/>
      <c r="CK279" s="1438"/>
      <c r="CU279" s="1411"/>
      <c r="CV279" s="1411"/>
      <c r="CW279" s="1425"/>
      <c r="CX279" s="1425"/>
      <c r="CY279" s="1425"/>
      <c r="CZ279" s="1425"/>
      <c r="DA279" s="1411"/>
      <c r="DB279" s="1411"/>
      <c r="DC279" s="1411"/>
      <c r="DD279" s="1411"/>
      <c r="DE279" s="1411"/>
      <c r="DF279" s="1411"/>
      <c r="DH279" s="1432"/>
      <c r="DI279" s="1432"/>
      <c r="DJ279" s="1437"/>
      <c r="DK279" s="1437"/>
      <c r="DL279" s="1437"/>
      <c r="DM279" s="1437"/>
      <c r="DN279" s="1432"/>
      <c r="DO279" s="1432"/>
      <c r="DP279" s="1432"/>
      <c r="DQ279" s="1432"/>
      <c r="DR279" s="1432"/>
      <c r="DS279" s="1432"/>
      <c r="DT279" s="1316"/>
      <c r="DU279" s="1433"/>
      <c r="DV279" s="1433"/>
      <c r="DW279" s="1433"/>
      <c r="DX279" s="1433"/>
      <c r="DY279" s="1433"/>
      <c r="DZ279" s="1433"/>
      <c r="EA279" s="1433"/>
      <c r="EB279" s="1433"/>
    </row>
    <row r="280" customFormat="false" ht="14.25" hidden="false" customHeight="false" outlineLevel="0" collapsed="false">
      <c r="A280" s="2" t="n">
        <f aca="false">'V_DATOS PAC_SGA'!CC275</f>
        <v>0</v>
      </c>
      <c r="B280" s="2" t="n">
        <f aca="false">IF(OR(A280=0,A280=""),0,IF(I280="IV",CONCATENATE('V_DATOS PAC_SGA'!CC275,"4")+0,CONCATENATE('V_DATOS PAC_SGA'!CC275,"0")+0))</f>
        <v>0</v>
      </c>
      <c r="C280" s="2" t="n">
        <f aca="false">'V_DATOS PAC_SGA'!CD275</f>
        <v>0</v>
      </c>
      <c r="D280" s="1409" t="n">
        <f aca="false">'V_DATOS PAC_SGA'!Y275</f>
        <v>0</v>
      </c>
      <c r="E280" s="1410" t="str">
        <f aca="false">IF('V_DATOS PAC_SGA'!AV275="","Regadio",'V_DATOS PAC_SGA'!AV275)</f>
        <v>Regadio</v>
      </c>
      <c r="F280" s="1411" t="n">
        <f aca="false">'V_DATOS PAC_SGA'!BK275</f>
        <v>0</v>
      </c>
      <c r="G280" s="1412" t="n">
        <f aca="false">'V_DATOS PAC_SGA'!AN275</f>
        <v>0</v>
      </c>
      <c r="H280" s="1413" t="str">
        <f aca="false">IF(B280&gt;0,VLOOKUP(B280,'O_MN, PE_UTA_UGM 2024'!E$3:O$419,10),"")</f>
        <v/>
      </c>
      <c r="I280" s="1359" t="str">
        <f aca="false">IF('V_DATOS PAC_SGA'!BV275="IV",'V_DATOS PAC_SGA'!BV275,"")</f>
        <v/>
      </c>
      <c r="J280" s="2" t="str">
        <f aca="false">IF($A280&gt;0,IF(AND(J$4=$G280,J$6=$F280),$D280*J$5,""),"")</f>
        <v/>
      </c>
      <c r="K280" s="2" t="str">
        <f aca="false">IF($A280&gt;0,IF(AND(K$4=$G280,K$6=$F280),$D280*K$5,""),"")</f>
        <v/>
      </c>
      <c r="L280" s="2" t="str">
        <f aca="false">IF($A280&gt;0,IF(AND(L$4=$G280,L$6=$F280),$D280*L$5,""),"")</f>
        <v/>
      </c>
      <c r="M280" s="2" t="str">
        <f aca="false">IF($A280&gt;0,IF(AND(M$4=$G280,M$6=$F280),$D280*M$5,""),"")</f>
        <v/>
      </c>
      <c r="N280" s="1506" t="n">
        <f aca="false">VLOOKUP(B280,'O_MN, PE_UTA_UGM 2024'!$E$2:$K$419,IF(G280&gt;1,6,7))</f>
        <v>0</v>
      </c>
      <c r="O280" s="1434" t="str">
        <f aca="false">IF($H280=O$4,$D280*$N280,"")</f>
        <v/>
      </c>
      <c r="P280" s="1435" t="str">
        <f aca="false">IF($H280=P$4,$D280*$N280,"")</f>
        <v/>
      </c>
      <c r="Q280" s="1435" t="str">
        <f aca="false">IF($H280=Q$4,$D280*$N280,"")</f>
        <v/>
      </c>
      <c r="R280" s="1435" t="str">
        <f aca="false">IF($H280=R$4,$D280*$N280,"")</f>
        <v/>
      </c>
      <c r="S280" s="1435" t="str">
        <f aca="false">IF($H280=S$4,$D280*$N280,"")</f>
        <v/>
      </c>
      <c r="T280" s="1435" t="str">
        <f aca="false">IF($H280=T$4,$D280*$N280,"")</f>
        <v/>
      </c>
      <c r="U280" s="1436" t="str">
        <f aca="false">IF($H280=U$4,$D280*$N280,"")</f>
        <v/>
      </c>
      <c r="V280" s="1418"/>
      <c r="W280" s="1419"/>
      <c r="X280" s="1419"/>
      <c r="Y280" s="1419"/>
      <c r="Z280" s="1419"/>
      <c r="AA280" s="1419"/>
      <c r="AB280" s="1420"/>
      <c r="AC280" s="1319"/>
      <c r="AD280" s="2" t="str">
        <f aca="false">IF(AND(AD$4=$G280,AD$6=$F280),$B280,"")</f>
        <v/>
      </c>
      <c r="AE280" s="2" t="str">
        <f aca="false">IF(AND(AE$4=$G280,AE$6=$F280),$B280,"")</f>
        <v/>
      </c>
      <c r="AF280" s="2" t="str">
        <f aca="false">IF(AND(AF$4=$G280,AF$6=$F280),$B280,"")</f>
        <v/>
      </c>
      <c r="AG280" s="2" t="str">
        <f aca="false">IF(AND(AG$4=$G280,AG$6=$F280),$B280,"")</f>
        <v/>
      </c>
      <c r="AI280" s="366"/>
      <c r="AL280" s="367"/>
      <c r="AO280" s="367"/>
      <c r="AP280" s="2" t="str">
        <f aca="false">IF(AT280&gt;0,RANK(AT280,AT$7:AT$423),"")</f>
        <v/>
      </c>
      <c r="AQ280" s="2" t="n">
        <f aca="false">'O_MN, PE_UTA_UGM 2024'!C276</f>
        <v>275</v>
      </c>
      <c r="AR280" s="1421" t="n">
        <v>2700</v>
      </c>
      <c r="AS280" s="2" t="str">
        <f aca="false">IF(AY280&lt;&gt;"",AY280,"")</f>
        <v/>
      </c>
      <c r="AT280" s="1422" t="n">
        <f aca="false">IF(ISNUMBER($AR280),SUMIF(B$7:B$505,AR280,D$7:D$505),"")</f>
        <v>0</v>
      </c>
      <c r="AU280" s="1411" t="n">
        <f aca="false">IF(ISNUMBER($AR280),SUMIF(AD$7:AD$503,$AR280,J$7:J$503),"")</f>
        <v>0</v>
      </c>
      <c r="AV280" s="1411" t="n">
        <f aca="false">IF(ISNUMBER($AR280),SUMIF(AF$7:AF$503,$AR280,L$7:L$503),"")</f>
        <v>0</v>
      </c>
      <c r="AW280" s="1423" t="n">
        <f aca="false">IF(ISNUMBER($AR280),SUMIF(AE$7:AE$503,$AR280,K$7:K$503),"")</f>
        <v>0</v>
      </c>
      <c r="AX280" s="1423" t="n">
        <f aca="false">IF(ISNUMBER($AR280),SUMIF(AG$7:AG$503,$AR280,M$7:M$503),"")</f>
        <v>0</v>
      </c>
      <c r="AY280" s="2" t="str">
        <f aca="false">IF($AT280&gt;0,VLOOKUP($AR280,'O_MN, PE_UTA_UGM 2024'!E276:O692,2),"")</f>
        <v/>
      </c>
      <c r="AZ280" s="1507"/>
      <c r="BA280" s="1507"/>
      <c r="BB280" s="1507" t="str">
        <f aca="false">IF($AT280&gt;0,VLOOKUP($AR280,'O_MN, PE_UTA_UGM 2024'!$E$3:$O$419,BB$6),"")</f>
        <v/>
      </c>
      <c r="BC280" s="1507" t="str">
        <f aca="false">IF($AT280&gt;0,VLOOKUP($AR280,'O_MN, PE_UTA_UGM 2024'!$E$3:$O$419,BC$6),"")</f>
        <v/>
      </c>
      <c r="BD280" s="1507" t="str">
        <f aca="false">IF($AT280&gt;0,VLOOKUP($AR280,'O_MN, PE_UTA_UGM 2024'!$E$3:$O$419,BD$6),"")</f>
        <v/>
      </c>
      <c r="BE280" s="1507" t="str">
        <f aca="false">IF($AT280&gt;0,VLOOKUP($AR280,'O_MN, PE_UTA_UGM 2024'!$E$3:$O$419,BE$6),"")</f>
        <v/>
      </c>
      <c r="BF280" s="1507" t="str">
        <f aca="false">IF($AT280&gt;0,VLOOKUP($AR280,'O_MN, PE_UTA_UGM 2024'!$E$3:$O$419,BF$6),"")</f>
        <v/>
      </c>
      <c r="BG280" s="1507" t="str">
        <f aca="false">IF($AT280&gt;0,VLOOKUP($AR280,'O_MN, PE_UTA_UGM 2024'!$E$3:$O$419,BG$6),"")</f>
        <v/>
      </c>
      <c r="BH280" s="1504"/>
      <c r="BI280" s="1504"/>
      <c r="BJ280" s="1504"/>
      <c r="BK280" s="1504"/>
      <c r="BM280" s="1411"/>
      <c r="BN280" s="1411"/>
      <c r="BO280" s="1425" t="str">
        <f aca="false">IF(ISNUMBER($AU280*BB280*1),$AU280*BB280*1,"")</f>
        <v/>
      </c>
      <c r="BP280" s="1425" t="str">
        <f aca="false">IF(ISNUMBER($AV280*BC280*1),$AV280*BC280*1,"")</f>
        <v/>
      </c>
      <c r="BQ280" s="1425" t="str">
        <f aca="false">IF(ISNUMBER($AU280*BD280*1),$AU280*BD280*1,"")</f>
        <v/>
      </c>
      <c r="BR280" s="1425" t="str">
        <f aca="false">IF(ISNUMBER($AV280*BE280*1),$AV280*BE280*1,"")</f>
        <v/>
      </c>
      <c r="BS280" s="1411" t="str">
        <f aca="false">IF(ISNUMBER($AU280*BF280),$AU280*BF280,"")</f>
        <v/>
      </c>
      <c r="BT280" s="1411" t="str">
        <f aca="false">IF(ISNUMBER($AV280*BG280),$AV280*BG280,"")</f>
        <v/>
      </c>
      <c r="BU280" s="1411"/>
      <c r="BV280" s="1411"/>
      <c r="BW280" s="1411"/>
      <c r="BX280" s="1411"/>
      <c r="BZ280" s="1372"/>
      <c r="CA280" s="1372"/>
      <c r="CB280" s="1426" t="str">
        <f aca="false">IF(ISNUMBER($AW280*BB280),$AW280*BB280,"")</f>
        <v/>
      </c>
      <c r="CC280" s="1426" t="str">
        <f aca="false">IF(ISNUMBER($AX280*BC280),$AX280*BC280,"")</f>
        <v/>
      </c>
      <c r="CD280" s="1426" t="str">
        <f aca="false">IF(ISNUMBER($AW280*BD280),$AW280*BD280,"")</f>
        <v/>
      </c>
      <c r="CE280" s="1426" t="str">
        <f aca="false">IF(ISNUMBER($AX280*BE280),$AX280*BE280,"")</f>
        <v/>
      </c>
      <c r="CF280" s="1372" t="str">
        <f aca="false">IF(ISNUMBER($AW280*BF280),$AW280*BF280,"")</f>
        <v/>
      </c>
      <c r="CG280" s="1372" t="str">
        <f aca="false">IF(ISNUMBER($AX280*BG280),$AX280*BG280,"")</f>
        <v/>
      </c>
      <c r="CH280" s="1438"/>
      <c r="CI280" s="1438"/>
      <c r="CJ280" s="1438"/>
      <c r="CK280" s="1438"/>
      <c r="CU280" s="1411"/>
      <c r="CV280" s="1411"/>
      <c r="CW280" s="1425"/>
      <c r="CX280" s="1425"/>
      <c r="CY280" s="1425"/>
      <c r="CZ280" s="1425"/>
      <c r="DA280" s="1411"/>
      <c r="DB280" s="1411"/>
      <c r="DC280" s="1411"/>
      <c r="DD280" s="1411"/>
      <c r="DE280" s="1411"/>
      <c r="DF280" s="1411"/>
      <c r="DH280" s="1432"/>
      <c r="DI280" s="1432"/>
      <c r="DJ280" s="1437"/>
      <c r="DK280" s="1437"/>
      <c r="DL280" s="1437"/>
      <c r="DM280" s="1437"/>
      <c r="DN280" s="1432"/>
      <c r="DO280" s="1432"/>
      <c r="DP280" s="1432"/>
      <c r="DQ280" s="1432"/>
      <c r="DR280" s="1432"/>
      <c r="DS280" s="1432"/>
      <c r="DT280" s="1316"/>
      <c r="DU280" s="1433"/>
      <c r="DV280" s="1433"/>
      <c r="DW280" s="1433"/>
      <c r="DX280" s="1433"/>
      <c r="DY280" s="1433"/>
      <c r="DZ280" s="1433"/>
      <c r="EA280" s="1433"/>
      <c r="EB280" s="1433"/>
    </row>
    <row r="281" customFormat="false" ht="14.25" hidden="false" customHeight="false" outlineLevel="0" collapsed="false">
      <c r="A281" s="2" t="n">
        <f aca="false">'V_DATOS PAC_SGA'!CC276</f>
        <v>0</v>
      </c>
      <c r="B281" s="2" t="n">
        <f aca="false">IF(OR(A281=0,A281=""),0,IF(I281="IV",CONCATENATE('V_DATOS PAC_SGA'!CC276,"4")+0,CONCATENATE('V_DATOS PAC_SGA'!CC276,"0")+0))</f>
        <v>0</v>
      </c>
      <c r="C281" s="2" t="n">
        <f aca="false">'V_DATOS PAC_SGA'!CD276</f>
        <v>0</v>
      </c>
      <c r="D281" s="1409" t="n">
        <f aca="false">'V_DATOS PAC_SGA'!Y276</f>
        <v>0</v>
      </c>
      <c r="E281" s="1410" t="str">
        <f aca="false">IF('V_DATOS PAC_SGA'!AV276="","Regadio",'V_DATOS PAC_SGA'!AV276)</f>
        <v>Regadio</v>
      </c>
      <c r="F281" s="1411" t="n">
        <f aca="false">'V_DATOS PAC_SGA'!BK276</f>
        <v>0</v>
      </c>
      <c r="G281" s="1412" t="n">
        <f aca="false">'V_DATOS PAC_SGA'!AN276</f>
        <v>0</v>
      </c>
      <c r="H281" s="1413" t="str">
        <f aca="false">IF(B281&gt;0,VLOOKUP(B281,'O_MN, PE_UTA_UGM 2024'!E$3:O$419,10),"")</f>
        <v/>
      </c>
      <c r="I281" s="1359" t="str">
        <f aca="false">IF('V_DATOS PAC_SGA'!BV276="IV",'V_DATOS PAC_SGA'!BV276,"")</f>
        <v/>
      </c>
      <c r="J281" s="2" t="str">
        <f aca="false">IF($A281&gt;0,IF(AND(J$4=$G281,J$6=$F281),$D281*J$5,""),"")</f>
        <v/>
      </c>
      <c r="K281" s="2" t="str">
        <f aca="false">IF($A281&gt;0,IF(AND(K$4=$G281,K$6=$F281),$D281*K$5,""),"")</f>
        <v/>
      </c>
      <c r="L281" s="2" t="str">
        <f aca="false">IF($A281&gt;0,IF(AND(L$4=$G281,L$6=$F281),$D281*L$5,""),"")</f>
        <v/>
      </c>
      <c r="M281" s="2" t="str">
        <f aca="false">IF($A281&gt;0,IF(AND(M$4=$G281,M$6=$F281),$D281*M$5,""),"")</f>
        <v/>
      </c>
      <c r="N281" s="1506" t="n">
        <f aca="false">VLOOKUP(B281,'O_MN, PE_UTA_UGM 2024'!$E$2:$K$419,IF(G281&gt;1,6,7))</f>
        <v>0</v>
      </c>
      <c r="O281" s="1434" t="str">
        <f aca="false">IF($H281=O$4,$D281*$N281,"")</f>
        <v/>
      </c>
      <c r="P281" s="1435" t="str">
        <f aca="false">IF($H281=P$4,$D281*$N281,"")</f>
        <v/>
      </c>
      <c r="Q281" s="1435" t="str">
        <f aca="false">IF($H281=Q$4,$D281*$N281,"")</f>
        <v/>
      </c>
      <c r="R281" s="1435" t="str">
        <f aca="false">IF($H281=R$4,$D281*$N281,"")</f>
        <v/>
      </c>
      <c r="S281" s="1435" t="str">
        <f aca="false">IF($H281=S$4,$D281*$N281,"")</f>
        <v/>
      </c>
      <c r="T281" s="1435" t="str">
        <f aca="false">IF($H281=T$4,$D281*$N281,"")</f>
        <v/>
      </c>
      <c r="U281" s="1436" t="str">
        <f aca="false">IF($H281=U$4,$D281*$N281,"")</f>
        <v/>
      </c>
      <c r="V281" s="1418"/>
      <c r="W281" s="1419"/>
      <c r="X281" s="1419"/>
      <c r="Y281" s="1419"/>
      <c r="Z281" s="1419"/>
      <c r="AA281" s="1419"/>
      <c r="AB281" s="1420"/>
      <c r="AC281" s="1319"/>
      <c r="AD281" s="2" t="str">
        <f aca="false">IF(AND(AD$4=$G281,AD$6=$F281),$B281,"")</f>
        <v/>
      </c>
      <c r="AE281" s="2" t="str">
        <f aca="false">IF(AND(AE$4=$G281,AE$6=$F281),$B281,"")</f>
        <v/>
      </c>
      <c r="AF281" s="2" t="str">
        <f aca="false">IF(AND(AF$4=$G281,AF$6=$F281),$B281,"")</f>
        <v/>
      </c>
      <c r="AG281" s="2" t="str">
        <f aca="false">IF(AND(AG$4=$G281,AG$6=$F281),$B281,"")</f>
        <v/>
      </c>
      <c r="AI281" s="366"/>
      <c r="AL281" s="367"/>
      <c r="AO281" s="367"/>
      <c r="AP281" s="2" t="str">
        <f aca="false">IF(AT281&gt;0,RANK(AT281,AT$7:AT$423),"")</f>
        <v/>
      </c>
      <c r="AQ281" s="2" t="n">
        <f aca="false">'O_MN, PE_UTA_UGM 2024'!C277</f>
        <v>276</v>
      </c>
      <c r="AR281" s="1421" t="n">
        <v>2710</v>
      </c>
      <c r="AS281" s="2" t="str">
        <f aca="false">IF(AY281&lt;&gt;"",AY281,"")</f>
        <v/>
      </c>
      <c r="AT281" s="1422" t="n">
        <f aca="false">IF(ISNUMBER($AR281),SUMIF(B$7:B$505,AR281,D$7:D$505),"")</f>
        <v>0</v>
      </c>
      <c r="AU281" s="1411" t="n">
        <f aca="false">IF(ISNUMBER($AR281),SUMIF(AD$7:AD$503,$AR281,J$7:J$503),"")</f>
        <v>0</v>
      </c>
      <c r="AV281" s="1411" t="n">
        <f aca="false">IF(ISNUMBER($AR281),SUMIF(AF$7:AF$503,$AR281,L$7:L$503),"")</f>
        <v>0</v>
      </c>
      <c r="AW281" s="1423" t="n">
        <f aca="false">IF(ISNUMBER($AR281),SUMIF(AE$7:AE$503,$AR281,K$7:K$503),"")</f>
        <v>0</v>
      </c>
      <c r="AX281" s="1423" t="n">
        <f aca="false">IF(ISNUMBER($AR281),SUMIF(AG$7:AG$503,$AR281,M$7:M$503),"")</f>
        <v>0</v>
      </c>
      <c r="AY281" s="2" t="str">
        <f aca="false">IF($AT281&gt;0,VLOOKUP($AR281,'O_MN, PE_UTA_UGM 2024'!E277:O693,2),"")</f>
        <v/>
      </c>
      <c r="AZ281" s="1507"/>
      <c r="BA281" s="1507"/>
      <c r="BB281" s="1507" t="str">
        <f aca="false">IF($AT281&gt;0,VLOOKUP($AR281,'O_MN, PE_UTA_UGM 2024'!$E$3:$O$419,BB$6),"")</f>
        <v/>
      </c>
      <c r="BC281" s="1507" t="str">
        <f aca="false">IF($AT281&gt;0,VLOOKUP($AR281,'O_MN, PE_UTA_UGM 2024'!$E$3:$O$419,BC$6),"")</f>
        <v/>
      </c>
      <c r="BD281" s="1507" t="str">
        <f aca="false">IF($AT281&gt;0,VLOOKUP($AR281,'O_MN, PE_UTA_UGM 2024'!$E$3:$O$419,BD$6),"")</f>
        <v/>
      </c>
      <c r="BE281" s="1507" t="str">
        <f aca="false">IF($AT281&gt;0,VLOOKUP($AR281,'O_MN, PE_UTA_UGM 2024'!$E$3:$O$419,BE$6),"")</f>
        <v/>
      </c>
      <c r="BF281" s="1507" t="str">
        <f aca="false">IF($AT281&gt;0,VLOOKUP($AR281,'O_MN, PE_UTA_UGM 2024'!$E$3:$O$419,BF$6),"")</f>
        <v/>
      </c>
      <c r="BG281" s="1507" t="str">
        <f aca="false">IF($AT281&gt;0,VLOOKUP($AR281,'O_MN, PE_UTA_UGM 2024'!$E$3:$O$419,BG$6),"")</f>
        <v/>
      </c>
      <c r="BH281" s="1504"/>
      <c r="BI281" s="1504"/>
      <c r="BJ281" s="1504"/>
      <c r="BK281" s="1504"/>
      <c r="BM281" s="1411"/>
      <c r="BN281" s="1411"/>
      <c r="BO281" s="1425" t="str">
        <f aca="false">IF(ISNUMBER($AU281*BB281*1),$AU281*BB281*1,"")</f>
        <v/>
      </c>
      <c r="BP281" s="1425" t="str">
        <f aca="false">IF(ISNUMBER($AV281*BC281*1),$AV281*BC281*1,"")</f>
        <v/>
      </c>
      <c r="BQ281" s="1425" t="str">
        <f aca="false">IF(ISNUMBER($AU281*BD281*1),$AU281*BD281*1,"")</f>
        <v/>
      </c>
      <c r="BR281" s="1425" t="str">
        <f aca="false">IF(ISNUMBER($AV281*BE281*1),$AV281*BE281*1,"")</f>
        <v/>
      </c>
      <c r="BS281" s="1411" t="str">
        <f aca="false">IF(ISNUMBER($AU281*BF281),$AU281*BF281,"")</f>
        <v/>
      </c>
      <c r="BT281" s="1411" t="str">
        <f aca="false">IF(ISNUMBER($AV281*BG281),$AV281*BG281,"")</f>
        <v/>
      </c>
      <c r="BU281" s="1411"/>
      <c r="BV281" s="1411"/>
      <c r="BW281" s="1411"/>
      <c r="BX281" s="1411"/>
      <c r="BZ281" s="1372"/>
      <c r="CA281" s="1372"/>
      <c r="CB281" s="1426" t="str">
        <f aca="false">IF(ISNUMBER($AW281*BB281),$AW281*BB281,"")</f>
        <v/>
      </c>
      <c r="CC281" s="1426" t="str">
        <f aca="false">IF(ISNUMBER($AX281*BC281),$AX281*BC281,"")</f>
        <v/>
      </c>
      <c r="CD281" s="1426" t="str">
        <f aca="false">IF(ISNUMBER($AW281*BD281),$AW281*BD281,"")</f>
        <v/>
      </c>
      <c r="CE281" s="1426" t="str">
        <f aca="false">IF(ISNUMBER($AX281*BE281),$AX281*BE281,"")</f>
        <v/>
      </c>
      <c r="CF281" s="1372" t="str">
        <f aca="false">IF(ISNUMBER($AW281*BF281),$AW281*BF281,"")</f>
        <v/>
      </c>
      <c r="CG281" s="1372" t="str">
        <f aca="false">IF(ISNUMBER($AX281*BG281),$AX281*BG281,"")</f>
        <v/>
      </c>
      <c r="CH281" s="1438"/>
      <c r="CI281" s="1438"/>
      <c r="CJ281" s="1438"/>
      <c r="CK281" s="1438"/>
      <c r="CU281" s="1411"/>
      <c r="CV281" s="1411"/>
      <c r="CW281" s="1425"/>
      <c r="CX281" s="1425"/>
      <c r="CY281" s="1425"/>
      <c r="CZ281" s="1425"/>
      <c r="DA281" s="1411"/>
      <c r="DB281" s="1411"/>
      <c r="DC281" s="1411"/>
      <c r="DD281" s="1411"/>
      <c r="DE281" s="1411"/>
      <c r="DF281" s="1411"/>
      <c r="DH281" s="1432"/>
      <c r="DI281" s="1432"/>
      <c r="DJ281" s="1437"/>
      <c r="DK281" s="1437"/>
      <c r="DL281" s="1437"/>
      <c r="DM281" s="1437"/>
      <c r="DN281" s="1432"/>
      <c r="DO281" s="1432"/>
      <c r="DP281" s="1432"/>
      <c r="DQ281" s="1432"/>
      <c r="DR281" s="1432"/>
      <c r="DS281" s="1432"/>
      <c r="DT281" s="1316"/>
      <c r="DU281" s="1433"/>
      <c r="DV281" s="1433"/>
      <c r="DW281" s="1433"/>
      <c r="DX281" s="1433"/>
      <c r="DY281" s="1433"/>
      <c r="DZ281" s="1433"/>
      <c r="EA281" s="1433"/>
      <c r="EB281" s="1433"/>
    </row>
    <row r="282" customFormat="false" ht="14.25" hidden="false" customHeight="false" outlineLevel="0" collapsed="false">
      <c r="A282" s="2" t="n">
        <f aca="false">'V_DATOS PAC_SGA'!CC277</f>
        <v>0</v>
      </c>
      <c r="B282" s="2" t="n">
        <f aca="false">IF(OR(A282=0,A282=""),0,IF(I282="IV",CONCATENATE('V_DATOS PAC_SGA'!CC277,"4")+0,CONCATENATE('V_DATOS PAC_SGA'!CC277,"0")+0))</f>
        <v>0</v>
      </c>
      <c r="C282" s="2" t="n">
        <f aca="false">'V_DATOS PAC_SGA'!CD277</f>
        <v>0</v>
      </c>
      <c r="D282" s="1409" t="n">
        <f aca="false">'V_DATOS PAC_SGA'!Y277</f>
        <v>0</v>
      </c>
      <c r="E282" s="1410" t="str">
        <f aca="false">IF('V_DATOS PAC_SGA'!AV277="","Regadio",'V_DATOS PAC_SGA'!AV277)</f>
        <v>Regadio</v>
      </c>
      <c r="F282" s="1411" t="n">
        <f aca="false">'V_DATOS PAC_SGA'!BK277</f>
        <v>0</v>
      </c>
      <c r="G282" s="1412" t="n">
        <f aca="false">'V_DATOS PAC_SGA'!AN277</f>
        <v>0</v>
      </c>
      <c r="H282" s="1413" t="str">
        <f aca="false">IF(B282&gt;0,VLOOKUP(B282,'O_MN, PE_UTA_UGM 2024'!E$3:O$419,10),"")</f>
        <v/>
      </c>
      <c r="I282" s="1359" t="str">
        <f aca="false">IF('V_DATOS PAC_SGA'!BV277="IV",'V_DATOS PAC_SGA'!BV277,"")</f>
        <v/>
      </c>
      <c r="J282" s="2" t="str">
        <f aca="false">IF($A282&gt;0,IF(AND(J$4=$G282,J$6=$F282),$D282*J$5,""),"")</f>
        <v/>
      </c>
      <c r="K282" s="2" t="str">
        <f aca="false">IF($A282&gt;0,IF(AND(K$4=$G282,K$6=$F282),$D282*K$5,""),"")</f>
        <v/>
      </c>
      <c r="L282" s="2" t="str">
        <f aca="false">IF($A282&gt;0,IF(AND(L$4=$G282,L$6=$F282),$D282*L$5,""),"")</f>
        <v/>
      </c>
      <c r="M282" s="2" t="str">
        <f aca="false">IF($A282&gt;0,IF(AND(M$4=$G282,M$6=$F282),$D282*M$5,""),"")</f>
        <v/>
      </c>
      <c r="N282" s="1506" t="n">
        <f aca="false">VLOOKUP(B282,'O_MN, PE_UTA_UGM 2024'!$E$2:$K$419,IF(G282&gt;1,6,7))</f>
        <v>0</v>
      </c>
      <c r="O282" s="1434" t="str">
        <f aca="false">IF($H282=O$4,$D282*$N282,"")</f>
        <v/>
      </c>
      <c r="P282" s="1435" t="str">
        <f aca="false">IF($H282=P$4,$D282*$N282,"")</f>
        <v/>
      </c>
      <c r="Q282" s="1435" t="str">
        <f aca="false">IF($H282=Q$4,$D282*$N282,"")</f>
        <v/>
      </c>
      <c r="R282" s="1435" t="str">
        <f aca="false">IF($H282=R$4,$D282*$N282,"")</f>
        <v/>
      </c>
      <c r="S282" s="1435" t="str">
        <f aca="false">IF($H282=S$4,$D282*$N282,"")</f>
        <v/>
      </c>
      <c r="T282" s="1435" t="str">
        <f aca="false">IF($H282=T$4,$D282*$N282,"")</f>
        <v/>
      </c>
      <c r="U282" s="1436" t="str">
        <f aca="false">IF($H282=U$4,$D282*$N282,"")</f>
        <v/>
      </c>
      <c r="V282" s="1418"/>
      <c r="W282" s="1419"/>
      <c r="X282" s="1419"/>
      <c r="Y282" s="1419"/>
      <c r="Z282" s="1419"/>
      <c r="AA282" s="1419"/>
      <c r="AB282" s="1420"/>
      <c r="AC282" s="1319"/>
      <c r="AD282" s="2" t="str">
        <f aca="false">IF(AND(AD$4=$G282,AD$6=$F282),$B282,"")</f>
        <v/>
      </c>
      <c r="AE282" s="2" t="str">
        <f aca="false">IF(AND(AE$4=$G282,AE$6=$F282),$B282,"")</f>
        <v/>
      </c>
      <c r="AF282" s="2" t="str">
        <f aca="false">IF(AND(AF$4=$G282,AF$6=$F282),$B282,"")</f>
        <v/>
      </c>
      <c r="AG282" s="2" t="str">
        <f aca="false">IF(AND(AG$4=$G282,AG$6=$F282),$B282,"")</f>
        <v/>
      </c>
      <c r="AI282" s="366"/>
      <c r="AL282" s="367"/>
      <c r="AO282" s="367"/>
      <c r="AP282" s="2" t="str">
        <f aca="false">IF(AT282&gt;0,RANK(AT282,AT$7:AT$423),"")</f>
        <v/>
      </c>
      <c r="AQ282" s="2" t="n">
        <f aca="false">'O_MN, PE_UTA_UGM 2024'!C278</f>
        <v>277</v>
      </c>
      <c r="AR282" s="1421" t="n">
        <v>2720</v>
      </c>
      <c r="AS282" s="2" t="str">
        <f aca="false">IF(AY282&lt;&gt;"",AY282,"")</f>
        <v/>
      </c>
      <c r="AT282" s="1422" t="n">
        <f aca="false">IF(ISNUMBER($AR282),SUMIF(B$7:B$505,AR282,D$7:D$505),"")</f>
        <v>0</v>
      </c>
      <c r="AU282" s="1411" t="n">
        <f aca="false">IF(ISNUMBER($AR282),SUMIF(AD$7:AD$503,$AR282,J$7:J$503),"")</f>
        <v>0</v>
      </c>
      <c r="AV282" s="1411" t="n">
        <f aca="false">IF(ISNUMBER($AR282),SUMIF(AF$7:AF$503,$AR282,L$7:L$503),"")</f>
        <v>0</v>
      </c>
      <c r="AW282" s="1423" t="n">
        <f aca="false">IF(ISNUMBER($AR282),SUMIF(AE$7:AE$503,$AR282,K$7:K$503),"")</f>
        <v>0</v>
      </c>
      <c r="AX282" s="1423" t="n">
        <f aca="false">IF(ISNUMBER($AR282),SUMIF(AG$7:AG$503,$AR282,M$7:M$503),"")</f>
        <v>0</v>
      </c>
      <c r="AY282" s="2" t="str">
        <f aca="false">IF($AT282&gt;0,VLOOKUP($AR282,'O_MN, PE_UTA_UGM 2024'!E278:O694,2),"")</f>
        <v/>
      </c>
      <c r="AZ282" s="1507"/>
      <c r="BA282" s="1507"/>
      <c r="BB282" s="1507" t="str">
        <f aca="false">IF($AT282&gt;0,VLOOKUP($AR282,'O_MN, PE_UTA_UGM 2024'!$E$3:$O$419,BB$6),"")</f>
        <v/>
      </c>
      <c r="BC282" s="1507" t="str">
        <f aca="false">IF($AT282&gt;0,VLOOKUP($AR282,'O_MN, PE_UTA_UGM 2024'!$E$3:$O$419,BC$6),"")</f>
        <v/>
      </c>
      <c r="BD282" s="1507" t="str">
        <f aca="false">IF($AT282&gt;0,VLOOKUP($AR282,'O_MN, PE_UTA_UGM 2024'!$E$3:$O$419,BD$6),"")</f>
        <v/>
      </c>
      <c r="BE282" s="1507" t="str">
        <f aca="false">IF($AT282&gt;0,VLOOKUP($AR282,'O_MN, PE_UTA_UGM 2024'!$E$3:$O$419,BE$6),"")</f>
        <v/>
      </c>
      <c r="BF282" s="1507" t="str">
        <f aca="false">IF($AT282&gt;0,VLOOKUP($AR282,'O_MN, PE_UTA_UGM 2024'!$E$3:$O$419,BF$6),"")</f>
        <v/>
      </c>
      <c r="BG282" s="1507" t="str">
        <f aca="false">IF($AT282&gt;0,VLOOKUP($AR282,'O_MN, PE_UTA_UGM 2024'!$E$3:$O$419,BG$6),"")</f>
        <v/>
      </c>
      <c r="BH282" s="1504"/>
      <c r="BI282" s="1504"/>
      <c r="BJ282" s="1504"/>
      <c r="BK282" s="1504"/>
      <c r="BM282" s="1411"/>
      <c r="BN282" s="1411"/>
      <c r="BO282" s="1425" t="str">
        <f aca="false">IF(ISNUMBER($AU282*BB282*1),$AU282*BB282*1,"")</f>
        <v/>
      </c>
      <c r="BP282" s="1425" t="str">
        <f aca="false">IF(ISNUMBER($AV282*BC282*1),$AV282*BC282*1,"")</f>
        <v/>
      </c>
      <c r="BQ282" s="1425" t="str">
        <f aca="false">IF(ISNUMBER($AU282*BD282*1),$AU282*BD282*1,"")</f>
        <v/>
      </c>
      <c r="BR282" s="1425" t="str">
        <f aca="false">IF(ISNUMBER($AV282*BE282*1),$AV282*BE282*1,"")</f>
        <v/>
      </c>
      <c r="BS282" s="1411" t="str">
        <f aca="false">IF(ISNUMBER($AU282*BF282),$AU282*BF282,"")</f>
        <v/>
      </c>
      <c r="BT282" s="1411" t="str">
        <f aca="false">IF(ISNUMBER($AV282*BG282),$AV282*BG282,"")</f>
        <v/>
      </c>
      <c r="BU282" s="1411"/>
      <c r="BV282" s="1411"/>
      <c r="BW282" s="1411"/>
      <c r="BX282" s="1411"/>
      <c r="BZ282" s="1372"/>
      <c r="CA282" s="1372"/>
      <c r="CB282" s="1426" t="str">
        <f aca="false">IF(ISNUMBER($AW282*BB282),$AW282*BB282,"")</f>
        <v/>
      </c>
      <c r="CC282" s="1426" t="str">
        <f aca="false">IF(ISNUMBER($AX282*BC282),$AX282*BC282,"")</f>
        <v/>
      </c>
      <c r="CD282" s="1426" t="str">
        <f aca="false">IF(ISNUMBER($AW282*BD282),$AW282*BD282,"")</f>
        <v/>
      </c>
      <c r="CE282" s="1426" t="str">
        <f aca="false">IF(ISNUMBER($AX282*BE282),$AX282*BE282,"")</f>
        <v/>
      </c>
      <c r="CF282" s="1372" t="str">
        <f aca="false">IF(ISNUMBER($AW282*BF282),$AW282*BF282,"")</f>
        <v/>
      </c>
      <c r="CG282" s="1372" t="str">
        <f aca="false">IF(ISNUMBER($AX282*BG282),$AX282*BG282,"")</f>
        <v/>
      </c>
      <c r="CH282" s="1438"/>
      <c r="CI282" s="1438"/>
      <c r="CJ282" s="1438"/>
      <c r="CK282" s="1438"/>
      <c r="CU282" s="1411"/>
      <c r="CV282" s="1411"/>
      <c r="CW282" s="1425"/>
      <c r="CX282" s="1425"/>
      <c r="CY282" s="1425"/>
      <c r="CZ282" s="1425"/>
      <c r="DA282" s="1411"/>
      <c r="DB282" s="1411"/>
      <c r="DC282" s="1411"/>
      <c r="DD282" s="1411"/>
      <c r="DE282" s="1411"/>
      <c r="DF282" s="1411"/>
      <c r="DH282" s="1432"/>
      <c r="DI282" s="1432"/>
      <c r="DJ282" s="1437"/>
      <c r="DK282" s="1437"/>
      <c r="DL282" s="1437"/>
      <c r="DM282" s="1437"/>
      <c r="DN282" s="1432"/>
      <c r="DO282" s="1432"/>
      <c r="DP282" s="1432"/>
      <c r="DQ282" s="1432"/>
      <c r="DR282" s="1432"/>
      <c r="DS282" s="1432"/>
      <c r="DT282" s="1316"/>
      <c r="DU282" s="1433"/>
      <c r="DV282" s="1433"/>
      <c r="DW282" s="1433"/>
      <c r="DX282" s="1433"/>
      <c r="DY282" s="1433"/>
      <c r="DZ282" s="1433"/>
      <c r="EA282" s="1433"/>
      <c r="EB282" s="1433"/>
    </row>
    <row r="283" customFormat="false" ht="14.25" hidden="false" customHeight="false" outlineLevel="0" collapsed="false">
      <c r="A283" s="2" t="n">
        <f aca="false">'V_DATOS PAC_SGA'!CC278</f>
        <v>0</v>
      </c>
      <c r="B283" s="2" t="n">
        <f aca="false">IF(OR(A283=0,A283=""),0,IF(I283="IV",CONCATENATE('V_DATOS PAC_SGA'!CC278,"4")+0,CONCATENATE('V_DATOS PAC_SGA'!CC278,"0")+0))</f>
        <v>0</v>
      </c>
      <c r="C283" s="2" t="n">
        <f aca="false">'V_DATOS PAC_SGA'!CD278</f>
        <v>0</v>
      </c>
      <c r="D283" s="1409" t="n">
        <f aca="false">'V_DATOS PAC_SGA'!Y278</f>
        <v>0</v>
      </c>
      <c r="E283" s="1410" t="str">
        <f aca="false">IF('V_DATOS PAC_SGA'!AV278="","Regadio",'V_DATOS PAC_SGA'!AV278)</f>
        <v>Regadio</v>
      </c>
      <c r="F283" s="1411" t="n">
        <f aca="false">'V_DATOS PAC_SGA'!BK278</f>
        <v>0</v>
      </c>
      <c r="G283" s="1412" t="n">
        <f aca="false">'V_DATOS PAC_SGA'!AN278</f>
        <v>0</v>
      </c>
      <c r="H283" s="1413" t="str">
        <f aca="false">IF(B283&gt;0,VLOOKUP(B283,'O_MN, PE_UTA_UGM 2024'!E$3:O$419,10),"")</f>
        <v/>
      </c>
      <c r="I283" s="1359" t="str">
        <f aca="false">IF('V_DATOS PAC_SGA'!BV278="IV",'V_DATOS PAC_SGA'!BV278,"")</f>
        <v/>
      </c>
      <c r="J283" s="2" t="str">
        <f aca="false">IF($A283&gt;0,IF(AND(J$4=$G283,J$6=$F283),$D283*J$5,""),"")</f>
        <v/>
      </c>
      <c r="K283" s="2" t="str">
        <f aca="false">IF($A283&gt;0,IF(AND(K$4=$G283,K$6=$F283),$D283*K$5,""),"")</f>
        <v/>
      </c>
      <c r="L283" s="2" t="str">
        <f aca="false">IF($A283&gt;0,IF(AND(L$4=$G283,L$6=$F283),$D283*L$5,""),"")</f>
        <v/>
      </c>
      <c r="M283" s="2" t="str">
        <f aca="false">IF($A283&gt;0,IF(AND(M$4=$G283,M$6=$F283),$D283*M$5,""),"")</f>
        <v/>
      </c>
      <c r="N283" s="1506" t="n">
        <f aca="false">VLOOKUP(B283,'O_MN, PE_UTA_UGM 2024'!$E$2:$K$419,IF(G283&gt;1,6,7))</f>
        <v>0</v>
      </c>
      <c r="O283" s="1434" t="str">
        <f aca="false">IF($H283=O$4,$D283*$N283,"")</f>
        <v/>
      </c>
      <c r="P283" s="1435" t="str">
        <f aca="false">IF($H283=P$4,$D283*$N283,"")</f>
        <v/>
      </c>
      <c r="Q283" s="1435" t="str">
        <f aca="false">IF($H283=Q$4,$D283*$N283,"")</f>
        <v/>
      </c>
      <c r="R283" s="1435" t="str">
        <f aca="false">IF($H283=R$4,$D283*$N283,"")</f>
        <v/>
      </c>
      <c r="S283" s="1435" t="str">
        <f aca="false">IF($H283=S$4,$D283*$N283,"")</f>
        <v/>
      </c>
      <c r="T283" s="1435" t="str">
        <f aca="false">IF($H283=T$4,$D283*$N283,"")</f>
        <v/>
      </c>
      <c r="U283" s="1436" t="str">
        <f aca="false">IF($H283=U$4,$D283*$N283,"")</f>
        <v/>
      </c>
      <c r="V283" s="1418"/>
      <c r="W283" s="1419"/>
      <c r="X283" s="1419"/>
      <c r="Y283" s="1419"/>
      <c r="Z283" s="1419"/>
      <c r="AA283" s="1419"/>
      <c r="AB283" s="1420"/>
      <c r="AC283" s="1319"/>
      <c r="AD283" s="2" t="str">
        <f aca="false">IF(AND(AD$4=$G283,AD$6=$F283),$B283,"")</f>
        <v/>
      </c>
      <c r="AE283" s="2" t="str">
        <f aca="false">IF(AND(AE$4=$G283,AE$6=$F283),$B283,"")</f>
        <v/>
      </c>
      <c r="AF283" s="2" t="str">
        <f aca="false">IF(AND(AF$4=$G283,AF$6=$F283),$B283,"")</f>
        <v/>
      </c>
      <c r="AG283" s="2" t="str">
        <f aca="false">IF(AND(AG$4=$G283,AG$6=$F283),$B283,"")</f>
        <v/>
      </c>
      <c r="AI283" s="366"/>
      <c r="AL283" s="367"/>
      <c r="AO283" s="367"/>
      <c r="AP283" s="2" t="str">
        <f aca="false">IF(AT283&gt;0,RANK(AT283,AT$7:AT$423),"")</f>
        <v/>
      </c>
      <c r="AQ283" s="2" t="n">
        <f aca="false">'O_MN, PE_UTA_UGM 2024'!C279</f>
        <v>278</v>
      </c>
      <c r="AR283" s="1421" t="n">
        <v>2730</v>
      </c>
      <c r="AS283" s="2" t="str">
        <f aca="false">IF(AY283&lt;&gt;"",AY283,"")</f>
        <v/>
      </c>
      <c r="AT283" s="1422" t="n">
        <f aca="false">IF(ISNUMBER($AR283),SUMIF(B$7:B$505,AR283,D$7:D$505),"")</f>
        <v>0</v>
      </c>
      <c r="AU283" s="1411" t="n">
        <f aca="false">IF(ISNUMBER($AR283),SUMIF(AD$7:AD$503,$AR283,J$7:J$503),"")</f>
        <v>0</v>
      </c>
      <c r="AV283" s="1411" t="n">
        <f aca="false">IF(ISNUMBER($AR283),SUMIF(AF$7:AF$503,$AR283,L$7:L$503),"")</f>
        <v>0</v>
      </c>
      <c r="AW283" s="1423" t="n">
        <f aca="false">IF(ISNUMBER($AR283),SUMIF(AE$7:AE$503,$AR283,K$7:K$503),"")</f>
        <v>0</v>
      </c>
      <c r="AX283" s="1423" t="n">
        <f aca="false">IF(ISNUMBER($AR283),SUMIF(AG$7:AG$503,$AR283,M$7:M$503),"")</f>
        <v>0</v>
      </c>
      <c r="AY283" s="2" t="str">
        <f aca="false">IF($AT283&gt;0,VLOOKUP($AR283,'O_MN, PE_UTA_UGM 2024'!E279:O695,2),"")</f>
        <v/>
      </c>
      <c r="AZ283" s="1507"/>
      <c r="BA283" s="1507"/>
      <c r="BB283" s="1507" t="str">
        <f aca="false">IF($AT283&gt;0,VLOOKUP($AR283,'O_MN, PE_UTA_UGM 2024'!$E$3:$O$419,BB$6),"")</f>
        <v/>
      </c>
      <c r="BC283" s="1507" t="str">
        <f aca="false">IF($AT283&gt;0,VLOOKUP($AR283,'O_MN, PE_UTA_UGM 2024'!$E$3:$O$419,BC$6),"")</f>
        <v/>
      </c>
      <c r="BD283" s="1507" t="str">
        <f aca="false">IF($AT283&gt;0,VLOOKUP($AR283,'O_MN, PE_UTA_UGM 2024'!$E$3:$O$419,BD$6),"")</f>
        <v/>
      </c>
      <c r="BE283" s="1507" t="str">
        <f aca="false">IF($AT283&gt;0,VLOOKUP($AR283,'O_MN, PE_UTA_UGM 2024'!$E$3:$O$419,BE$6),"")</f>
        <v/>
      </c>
      <c r="BF283" s="1507" t="str">
        <f aca="false">IF($AT283&gt;0,VLOOKUP($AR283,'O_MN, PE_UTA_UGM 2024'!$E$3:$O$419,BF$6),"")</f>
        <v/>
      </c>
      <c r="BG283" s="1507" t="str">
        <f aca="false">IF($AT283&gt;0,VLOOKUP($AR283,'O_MN, PE_UTA_UGM 2024'!$E$3:$O$419,BG$6),"")</f>
        <v/>
      </c>
      <c r="BH283" s="1504"/>
      <c r="BI283" s="1504"/>
      <c r="BJ283" s="1504"/>
      <c r="BK283" s="1504"/>
      <c r="BM283" s="1411"/>
      <c r="BN283" s="1411"/>
      <c r="BO283" s="1425" t="str">
        <f aca="false">IF(ISNUMBER($AU283*BB283*1),$AU283*BB283*1,"")</f>
        <v/>
      </c>
      <c r="BP283" s="1425" t="str">
        <f aca="false">IF(ISNUMBER($AV283*BC283*1),$AV283*BC283*1,"")</f>
        <v/>
      </c>
      <c r="BQ283" s="1425" t="str">
        <f aca="false">IF(ISNUMBER($AU283*BD283*1),$AU283*BD283*1,"")</f>
        <v/>
      </c>
      <c r="BR283" s="1425" t="str">
        <f aca="false">IF(ISNUMBER($AV283*BE283*1),$AV283*BE283*1,"")</f>
        <v/>
      </c>
      <c r="BS283" s="1411" t="str">
        <f aca="false">IF(ISNUMBER($AU283*BF283),$AU283*BF283,"")</f>
        <v/>
      </c>
      <c r="BT283" s="1411" t="str">
        <f aca="false">IF(ISNUMBER($AV283*BG283),$AV283*BG283,"")</f>
        <v/>
      </c>
      <c r="BU283" s="1411"/>
      <c r="BV283" s="1411"/>
      <c r="BW283" s="1411"/>
      <c r="BX283" s="1411"/>
      <c r="BZ283" s="1372"/>
      <c r="CA283" s="1372"/>
      <c r="CB283" s="1426" t="str">
        <f aca="false">IF(ISNUMBER($AW283*BB283),$AW283*BB283,"")</f>
        <v/>
      </c>
      <c r="CC283" s="1426" t="str">
        <f aca="false">IF(ISNUMBER($AX283*BC283),$AX283*BC283,"")</f>
        <v/>
      </c>
      <c r="CD283" s="1426" t="str">
        <f aca="false">IF(ISNUMBER($AW283*BD283),$AW283*BD283,"")</f>
        <v/>
      </c>
      <c r="CE283" s="1426" t="str">
        <f aca="false">IF(ISNUMBER($AX283*BE283),$AX283*BE283,"")</f>
        <v/>
      </c>
      <c r="CF283" s="1372" t="str">
        <f aca="false">IF(ISNUMBER($AW283*BF283),$AW283*BF283,"")</f>
        <v/>
      </c>
      <c r="CG283" s="1372" t="str">
        <f aca="false">IF(ISNUMBER($AX283*BG283),$AX283*BG283,"")</f>
        <v/>
      </c>
      <c r="CH283" s="1438"/>
      <c r="CI283" s="1438"/>
      <c r="CJ283" s="1438"/>
      <c r="CK283" s="1438"/>
      <c r="CU283" s="1411"/>
      <c r="CV283" s="1411"/>
      <c r="CW283" s="1425"/>
      <c r="CX283" s="1425"/>
      <c r="CY283" s="1425"/>
      <c r="CZ283" s="1425"/>
      <c r="DA283" s="1411"/>
      <c r="DB283" s="1411"/>
      <c r="DC283" s="1411"/>
      <c r="DD283" s="1411"/>
      <c r="DE283" s="1411"/>
      <c r="DF283" s="1411"/>
      <c r="DH283" s="1432"/>
      <c r="DI283" s="1432"/>
      <c r="DJ283" s="1437"/>
      <c r="DK283" s="1437"/>
      <c r="DL283" s="1437"/>
      <c r="DM283" s="1437"/>
      <c r="DN283" s="1432"/>
      <c r="DO283" s="1432"/>
      <c r="DP283" s="1432"/>
      <c r="DQ283" s="1432"/>
      <c r="DR283" s="1432"/>
      <c r="DS283" s="1432"/>
      <c r="DT283" s="1316"/>
      <c r="DU283" s="1433"/>
      <c r="DV283" s="1433"/>
      <c r="DW283" s="1433"/>
      <c r="DX283" s="1433"/>
      <c r="DY283" s="1433"/>
      <c r="DZ283" s="1433"/>
      <c r="EA283" s="1433"/>
      <c r="EB283" s="1433"/>
    </row>
    <row r="284" customFormat="false" ht="14.25" hidden="false" customHeight="false" outlineLevel="0" collapsed="false">
      <c r="A284" s="2" t="n">
        <f aca="false">'V_DATOS PAC_SGA'!CC279</f>
        <v>0</v>
      </c>
      <c r="B284" s="2" t="n">
        <f aca="false">IF(OR(A284=0,A284=""),0,IF(I284="IV",CONCATENATE('V_DATOS PAC_SGA'!CC279,"4")+0,CONCATENATE('V_DATOS PAC_SGA'!CC279,"0")+0))</f>
        <v>0</v>
      </c>
      <c r="C284" s="2" t="n">
        <f aca="false">'V_DATOS PAC_SGA'!CD279</f>
        <v>0</v>
      </c>
      <c r="D284" s="1409" t="n">
        <f aca="false">'V_DATOS PAC_SGA'!Y279</f>
        <v>0</v>
      </c>
      <c r="E284" s="1410" t="str">
        <f aca="false">IF('V_DATOS PAC_SGA'!AV279="","Regadio",'V_DATOS PAC_SGA'!AV279)</f>
        <v>Regadio</v>
      </c>
      <c r="F284" s="1411" t="n">
        <f aca="false">'V_DATOS PAC_SGA'!BK279</f>
        <v>0</v>
      </c>
      <c r="G284" s="1412" t="n">
        <f aca="false">'V_DATOS PAC_SGA'!AN279</f>
        <v>0</v>
      </c>
      <c r="H284" s="1413" t="str">
        <f aca="false">IF(B284&gt;0,VLOOKUP(B284,'O_MN, PE_UTA_UGM 2024'!E$3:O$419,10),"")</f>
        <v/>
      </c>
      <c r="I284" s="1359" t="str">
        <f aca="false">IF('V_DATOS PAC_SGA'!BV279="IV",'V_DATOS PAC_SGA'!BV279,"")</f>
        <v/>
      </c>
      <c r="J284" s="2" t="str">
        <f aca="false">IF($A284&gt;0,IF(AND(J$4=$G284,J$6=$F284),$D284*J$5,""),"")</f>
        <v/>
      </c>
      <c r="K284" s="2" t="str">
        <f aca="false">IF($A284&gt;0,IF(AND(K$4=$G284,K$6=$F284),$D284*K$5,""),"")</f>
        <v/>
      </c>
      <c r="L284" s="2" t="str">
        <f aca="false">IF($A284&gt;0,IF(AND(L$4=$G284,L$6=$F284),$D284*L$5,""),"")</f>
        <v/>
      </c>
      <c r="M284" s="2" t="str">
        <f aca="false">IF($A284&gt;0,IF(AND(M$4=$G284,M$6=$F284),$D284*M$5,""),"")</f>
        <v/>
      </c>
      <c r="N284" s="1506" t="n">
        <f aca="false">VLOOKUP(B284,'O_MN, PE_UTA_UGM 2024'!$E$2:$K$419,IF(G284&gt;1,6,7))</f>
        <v>0</v>
      </c>
      <c r="O284" s="1434" t="str">
        <f aca="false">IF($H284=O$4,$D284*$N284,"")</f>
        <v/>
      </c>
      <c r="P284" s="1435" t="str">
        <f aca="false">IF($H284=P$4,$D284*$N284,"")</f>
        <v/>
      </c>
      <c r="Q284" s="1435" t="str">
        <f aca="false">IF($H284=Q$4,$D284*$N284,"")</f>
        <v/>
      </c>
      <c r="R284" s="1435" t="str">
        <f aca="false">IF($H284=R$4,$D284*$N284,"")</f>
        <v/>
      </c>
      <c r="S284" s="1435" t="str">
        <f aca="false">IF($H284=S$4,$D284*$N284,"")</f>
        <v/>
      </c>
      <c r="T284" s="1435" t="str">
        <f aca="false">IF($H284=T$4,$D284*$N284,"")</f>
        <v/>
      </c>
      <c r="U284" s="1436" t="str">
        <f aca="false">IF($H284=U$4,$D284*$N284,"")</f>
        <v/>
      </c>
      <c r="V284" s="1418"/>
      <c r="W284" s="1419"/>
      <c r="X284" s="1419"/>
      <c r="Y284" s="1419"/>
      <c r="Z284" s="1419"/>
      <c r="AA284" s="1419"/>
      <c r="AB284" s="1420"/>
      <c r="AC284" s="1319"/>
      <c r="AD284" s="2" t="str">
        <f aca="false">IF(AND(AD$4=$G284,AD$6=$F284),$B284,"")</f>
        <v/>
      </c>
      <c r="AE284" s="2" t="str">
        <f aca="false">IF(AND(AE$4=$G284,AE$6=$F284),$B284,"")</f>
        <v/>
      </c>
      <c r="AF284" s="2" t="str">
        <f aca="false">IF(AND(AF$4=$G284,AF$6=$F284),$B284,"")</f>
        <v/>
      </c>
      <c r="AG284" s="2" t="str">
        <f aca="false">IF(AND(AG$4=$G284,AG$6=$F284),$B284,"")</f>
        <v/>
      </c>
      <c r="AI284" s="366"/>
      <c r="AL284" s="367"/>
      <c r="AO284" s="367"/>
      <c r="AP284" s="2" t="str">
        <f aca="false">IF(AT284&gt;0,RANK(AT284,AT$7:AT$423),"")</f>
        <v/>
      </c>
      <c r="AQ284" s="2" t="n">
        <f aca="false">'O_MN, PE_UTA_UGM 2024'!C280</f>
        <v>279</v>
      </c>
      <c r="AR284" s="1421" t="n">
        <v>2740</v>
      </c>
      <c r="AS284" s="2" t="str">
        <f aca="false">IF(AY284&lt;&gt;"",AY284,"")</f>
        <v/>
      </c>
      <c r="AT284" s="1422" t="n">
        <f aca="false">IF(ISNUMBER($AR284),SUMIF(B$7:B$505,AR284,D$7:D$505),"")</f>
        <v>0</v>
      </c>
      <c r="AU284" s="1411" t="n">
        <f aca="false">IF(ISNUMBER($AR284),SUMIF(AD$7:AD$503,$AR284,J$7:J$503),"")</f>
        <v>0</v>
      </c>
      <c r="AV284" s="1411" t="n">
        <f aca="false">IF(ISNUMBER($AR284),SUMIF(AF$7:AF$503,$AR284,L$7:L$503),"")</f>
        <v>0</v>
      </c>
      <c r="AW284" s="1423" t="n">
        <f aca="false">IF(ISNUMBER($AR284),SUMIF(AE$7:AE$503,$AR284,K$7:K$503),"")</f>
        <v>0</v>
      </c>
      <c r="AX284" s="1423" t="n">
        <f aca="false">IF(ISNUMBER($AR284),SUMIF(AG$7:AG$503,$AR284,M$7:M$503),"")</f>
        <v>0</v>
      </c>
      <c r="AY284" s="2" t="str">
        <f aca="false">IF($AT284&gt;0,VLOOKUP($AR284,'O_MN, PE_UTA_UGM 2024'!E280:O696,2),"")</f>
        <v/>
      </c>
      <c r="AZ284" s="1507"/>
      <c r="BA284" s="1507"/>
      <c r="BB284" s="1507" t="str">
        <f aca="false">IF($AT284&gt;0,VLOOKUP($AR284,'O_MN, PE_UTA_UGM 2024'!$E$3:$O$419,BB$6),"")</f>
        <v/>
      </c>
      <c r="BC284" s="1507" t="str">
        <f aca="false">IF($AT284&gt;0,VLOOKUP($AR284,'O_MN, PE_UTA_UGM 2024'!$E$3:$O$419,BC$6),"")</f>
        <v/>
      </c>
      <c r="BD284" s="1507" t="str">
        <f aca="false">IF($AT284&gt;0,VLOOKUP($AR284,'O_MN, PE_UTA_UGM 2024'!$E$3:$O$419,BD$6),"")</f>
        <v/>
      </c>
      <c r="BE284" s="1507" t="str">
        <f aca="false">IF($AT284&gt;0,VLOOKUP($AR284,'O_MN, PE_UTA_UGM 2024'!$E$3:$O$419,BE$6),"")</f>
        <v/>
      </c>
      <c r="BF284" s="1507" t="str">
        <f aca="false">IF($AT284&gt;0,VLOOKUP($AR284,'O_MN, PE_UTA_UGM 2024'!$E$3:$O$419,BF$6),"")</f>
        <v/>
      </c>
      <c r="BG284" s="1507" t="str">
        <f aca="false">IF($AT284&gt;0,VLOOKUP($AR284,'O_MN, PE_UTA_UGM 2024'!$E$3:$O$419,BG$6),"")</f>
        <v/>
      </c>
      <c r="BH284" s="1504"/>
      <c r="BI284" s="1504"/>
      <c r="BJ284" s="1504"/>
      <c r="BK284" s="1504"/>
      <c r="BM284" s="1411"/>
      <c r="BN284" s="1411"/>
      <c r="BO284" s="1425" t="str">
        <f aca="false">IF(ISNUMBER($AU284*BB284*1),$AU284*BB284*1,"")</f>
        <v/>
      </c>
      <c r="BP284" s="1425" t="str">
        <f aca="false">IF(ISNUMBER($AV284*BC284*1),$AV284*BC284*1,"")</f>
        <v/>
      </c>
      <c r="BQ284" s="1425" t="str">
        <f aca="false">IF(ISNUMBER($AU284*BD284*1),$AU284*BD284*1,"")</f>
        <v/>
      </c>
      <c r="BR284" s="1425" t="str">
        <f aca="false">IF(ISNUMBER($AV284*BE284*1),$AV284*BE284*1,"")</f>
        <v/>
      </c>
      <c r="BS284" s="1411" t="str">
        <f aca="false">IF(ISNUMBER($AU284*BF284),$AU284*BF284,"")</f>
        <v/>
      </c>
      <c r="BT284" s="1411" t="str">
        <f aca="false">IF(ISNUMBER($AV284*BG284),$AV284*BG284,"")</f>
        <v/>
      </c>
      <c r="BU284" s="1411"/>
      <c r="BV284" s="1411"/>
      <c r="BW284" s="1411"/>
      <c r="BX284" s="1411"/>
      <c r="BZ284" s="1372"/>
      <c r="CA284" s="1372"/>
      <c r="CB284" s="1426" t="str">
        <f aca="false">IF(ISNUMBER($AW284*BB284),$AW284*BB284,"")</f>
        <v/>
      </c>
      <c r="CC284" s="1426" t="str">
        <f aca="false">IF(ISNUMBER($AX284*BC284),$AX284*BC284,"")</f>
        <v/>
      </c>
      <c r="CD284" s="1426" t="str">
        <f aca="false">IF(ISNUMBER($AW284*BD284),$AW284*BD284,"")</f>
        <v/>
      </c>
      <c r="CE284" s="1426" t="str">
        <f aca="false">IF(ISNUMBER($AX284*BE284),$AX284*BE284,"")</f>
        <v/>
      </c>
      <c r="CF284" s="1372" t="str">
        <f aca="false">IF(ISNUMBER($AW284*BF284),$AW284*BF284,"")</f>
        <v/>
      </c>
      <c r="CG284" s="1372" t="str">
        <f aca="false">IF(ISNUMBER($AX284*BG284),$AX284*BG284,"")</f>
        <v/>
      </c>
      <c r="CH284" s="1438"/>
      <c r="CI284" s="1438"/>
      <c r="CJ284" s="1438"/>
      <c r="CK284" s="1438"/>
      <c r="CU284" s="1411"/>
      <c r="CV284" s="1411"/>
      <c r="CW284" s="1425"/>
      <c r="CX284" s="1425"/>
      <c r="CY284" s="1425"/>
      <c r="CZ284" s="1425"/>
      <c r="DA284" s="1411"/>
      <c r="DB284" s="1411"/>
      <c r="DC284" s="1411"/>
      <c r="DD284" s="1411"/>
      <c r="DE284" s="1411"/>
      <c r="DF284" s="1411"/>
      <c r="DH284" s="1432"/>
      <c r="DI284" s="1432"/>
      <c r="DJ284" s="1437"/>
      <c r="DK284" s="1437"/>
      <c r="DL284" s="1437"/>
      <c r="DM284" s="1437"/>
      <c r="DN284" s="1432"/>
      <c r="DO284" s="1432"/>
      <c r="DP284" s="1432"/>
      <c r="DQ284" s="1432"/>
      <c r="DR284" s="1432"/>
      <c r="DS284" s="1432"/>
      <c r="DT284" s="1316"/>
      <c r="DU284" s="1433"/>
      <c r="DV284" s="1433"/>
      <c r="DW284" s="1433"/>
      <c r="DX284" s="1433"/>
      <c r="DY284" s="1433"/>
      <c r="DZ284" s="1433"/>
      <c r="EA284" s="1433"/>
      <c r="EB284" s="1433"/>
    </row>
    <row r="285" customFormat="false" ht="14.25" hidden="false" customHeight="false" outlineLevel="0" collapsed="false">
      <c r="A285" s="2" t="n">
        <f aca="false">'V_DATOS PAC_SGA'!CC280</f>
        <v>0</v>
      </c>
      <c r="B285" s="2" t="n">
        <f aca="false">IF(OR(A285=0,A285=""),0,IF(I285="IV",CONCATENATE('V_DATOS PAC_SGA'!CC280,"4")+0,CONCATENATE('V_DATOS PAC_SGA'!CC280,"0")+0))</f>
        <v>0</v>
      </c>
      <c r="C285" s="2" t="n">
        <f aca="false">'V_DATOS PAC_SGA'!CD280</f>
        <v>0</v>
      </c>
      <c r="D285" s="1409" t="n">
        <f aca="false">'V_DATOS PAC_SGA'!Y280</f>
        <v>0</v>
      </c>
      <c r="E285" s="1410" t="str">
        <f aca="false">IF('V_DATOS PAC_SGA'!AV280="","Regadio",'V_DATOS PAC_SGA'!AV280)</f>
        <v>Regadio</v>
      </c>
      <c r="F285" s="1411" t="n">
        <f aca="false">'V_DATOS PAC_SGA'!BK280</f>
        <v>0</v>
      </c>
      <c r="G285" s="1412" t="n">
        <f aca="false">'V_DATOS PAC_SGA'!AN280</f>
        <v>0</v>
      </c>
      <c r="H285" s="1413" t="str">
        <f aca="false">IF(B285&gt;0,VLOOKUP(B285,'O_MN, PE_UTA_UGM 2024'!E$3:O$419,10),"")</f>
        <v/>
      </c>
      <c r="I285" s="1359" t="str">
        <f aca="false">IF('V_DATOS PAC_SGA'!BV280="IV",'V_DATOS PAC_SGA'!BV280,"")</f>
        <v/>
      </c>
      <c r="J285" s="2" t="str">
        <f aca="false">IF($A285&gt;0,IF(AND(J$4=$G285,J$6=$F285),$D285*J$5,""),"")</f>
        <v/>
      </c>
      <c r="K285" s="2" t="str">
        <f aca="false">IF($A285&gt;0,IF(AND(K$4=$G285,K$6=$F285),$D285*K$5,""),"")</f>
        <v/>
      </c>
      <c r="L285" s="2" t="str">
        <f aca="false">IF($A285&gt;0,IF(AND(L$4=$G285,L$6=$F285),$D285*L$5,""),"")</f>
        <v/>
      </c>
      <c r="M285" s="2" t="str">
        <f aca="false">IF($A285&gt;0,IF(AND(M$4=$G285,M$6=$F285),$D285*M$5,""),"")</f>
        <v/>
      </c>
      <c r="N285" s="1506" t="n">
        <f aca="false">VLOOKUP(B285,'O_MN, PE_UTA_UGM 2024'!$E$2:$K$419,IF(G285&gt;1,6,7))</f>
        <v>0</v>
      </c>
      <c r="O285" s="1434" t="str">
        <f aca="false">IF($H285=O$4,$D285*$N285,"")</f>
        <v/>
      </c>
      <c r="P285" s="1435" t="str">
        <f aca="false">IF($H285=P$4,$D285*$N285,"")</f>
        <v/>
      </c>
      <c r="Q285" s="1435" t="str">
        <f aca="false">IF($H285=Q$4,$D285*$N285,"")</f>
        <v/>
      </c>
      <c r="R285" s="1435" t="str">
        <f aca="false">IF($H285=R$4,$D285*$N285,"")</f>
        <v/>
      </c>
      <c r="S285" s="1435" t="str">
        <f aca="false">IF($H285=S$4,$D285*$N285,"")</f>
        <v/>
      </c>
      <c r="T285" s="1435" t="str">
        <f aca="false">IF($H285=T$4,$D285*$N285,"")</f>
        <v/>
      </c>
      <c r="U285" s="1436" t="str">
        <f aca="false">IF($H285=U$4,$D285*$N285,"")</f>
        <v/>
      </c>
      <c r="V285" s="1418"/>
      <c r="W285" s="1419"/>
      <c r="X285" s="1419"/>
      <c r="Y285" s="1419"/>
      <c r="Z285" s="1419"/>
      <c r="AA285" s="1419"/>
      <c r="AB285" s="1420"/>
      <c r="AC285" s="1319"/>
      <c r="AD285" s="2" t="str">
        <f aca="false">IF(AND(AD$4=$G285,AD$6=$F285),$B285,"")</f>
        <v/>
      </c>
      <c r="AE285" s="2" t="str">
        <f aca="false">IF(AND(AE$4=$G285,AE$6=$F285),$B285,"")</f>
        <v/>
      </c>
      <c r="AF285" s="2" t="str">
        <f aca="false">IF(AND(AF$4=$G285,AF$6=$F285),$B285,"")</f>
        <v/>
      </c>
      <c r="AG285" s="2" t="str">
        <f aca="false">IF(AND(AG$4=$G285,AG$6=$F285),$B285,"")</f>
        <v/>
      </c>
      <c r="AI285" s="366"/>
      <c r="AL285" s="367"/>
      <c r="AO285" s="367"/>
      <c r="AP285" s="2" t="str">
        <f aca="false">IF(AT285&gt;0,RANK(AT285,AT$7:AT$423),"")</f>
        <v/>
      </c>
      <c r="AQ285" s="2" t="n">
        <f aca="false">'O_MN, PE_UTA_UGM 2024'!C281</f>
        <v>279</v>
      </c>
      <c r="AR285" s="1421" t="n">
        <v>2750</v>
      </c>
      <c r="AS285" s="2" t="str">
        <f aca="false">IF(AY285&lt;&gt;"",AY285,"")</f>
        <v/>
      </c>
      <c r="AT285" s="1422" t="n">
        <f aca="false">IF(ISNUMBER($AR285),SUMIF(B$7:B$505,AR285,D$7:D$505),"")</f>
        <v>0</v>
      </c>
      <c r="AU285" s="1411" t="n">
        <f aca="false">IF(ISNUMBER($AR285),SUMIF(AD$7:AD$503,$AR285,J$7:J$503),"")</f>
        <v>0</v>
      </c>
      <c r="AV285" s="1411" t="n">
        <f aca="false">IF(ISNUMBER($AR285),SUMIF(AF$7:AF$503,$AR285,L$7:L$503),"")</f>
        <v>0</v>
      </c>
      <c r="AW285" s="1423" t="n">
        <f aca="false">IF(ISNUMBER($AR285),SUMIF(AE$7:AE$503,$AR285,K$7:K$503),"")</f>
        <v>0</v>
      </c>
      <c r="AX285" s="1423" t="n">
        <f aca="false">IF(ISNUMBER($AR285),SUMIF(AG$7:AG$503,$AR285,M$7:M$503),"")</f>
        <v>0</v>
      </c>
      <c r="AY285" s="2" t="str">
        <f aca="false">IF($AT285&gt;0,VLOOKUP($AR285,'O_MN, PE_UTA_UGM 2024'!E281:O697,2),"")</f>
        <v/>
      </c>
      <c r="AZ285" s="1507"/>
      <c r="BA285" s="1507"/>
      <c r="BB285" s="1507" t="str">
        <f aca="false">IF($AT285&gt;0,VLOOKUP($AR285,'O_MN, PE_UTA_UGM 2024'!$E$3:$O$419,BB$6),"")</f>
        <v/>
      </c>
      <c r="BC285" s="1507" t="str">
        <f aca="false">IF($AT285&gt;0,VLOOKUP($AR285,'O_MN, PE_UTA_UGM 2024'!$E$3:$O$419,BC$6),"")</f>
        <v/>
      </c>
      <c r="BD285" s="1507" t="str">
        <f aca="false">IF($AT285&gt;0,VLOOKUP($AR285,'O_MN, PE_UTA_UGM 2024'!$E$3:$O$419,BD$6),"")</f>
        <v/>
      </c>
      <c r="BE285" s="1507" t="str">
        <f aca="false">IF($AT285&gt;0,VLOOKUP($AR285,'O_MN, PE_UTA_UGM 2024'!$E$3:$O$419,BE$6),"")</f>
        <v/>
      </c>
      <c r="BF285" s="1507" t="str">
        <f aca="false">IF($AT285&gt;0,VLOOKUP($AR285,'O_MN, PE_UTA_UGM 2024'!$E$3:$O$419,BF$6),"")</f>
        <v/>
      </c>
      <c r="BG285" s="1507" t="str">
        <f aca="false">IF($AT285&gt;0,VLOOKUP($AR285,'O_MN, PE_UTA_UGM 2024'!$E$3:$O$419,BG$6),"")</f>
        <v/>
      </c>
      <c r="BH285" s="1504"/>
      <c r="BI285" s="1504"/>
      <c r="BJ285" s="1504"/>
      <c r="BK285" s="1504"/>
      <c r="BM285" s="1411"/>
      <c r="BN285" s="1411"/>
      <c r="BO285" s="1425" t="str">
        <f aca="false">IF(ISNUMBER($AU285*BB285*1),$AU285*BB285*1,"")</f>
        <v/>
      </c>
      <c r="BP285" s="1425" t="str">
        <f aca="false">IF(ISNUMBER($AV285*BC285*1),$AV285*BC285*1,"")</f>
        <v/>
      </c>
      <c r="BQ285" s="1425" t="str">
        <f aca="false">IF(ISNUMBER($AU285*BD285*1),$AU285*BD285*1,"")</f>
        <v/>
      </c>
      <c r="BR285" s="1425" t="str">
        <f aca="false">IF(ISNUMBER($AV285*BE285*1),$AV285*BE285*1,"")</f>
        <v/>
      </c>
      <c r="BS285" s="1411" t="str">
        <f aca="false">IF(ISNUMBER($AU285*BF285),$AU285*BF285,"")</f>
        <v/>
      </c>
      <c r="BT285" s="1411" t="str">
        <f aca="false">IF(ISNUMBER($AV285*BG285),$AV285*BG285,"")</f>
        <v/>
      </c>
      <c r="BU285" s="1411"/>
      <c r="BV285" s="1411"/>
      <c r="BW285" s="1411"/>
      <c r="BX285" s="1411"/>
      <c r="BZ285" s="1372"/>
      <c r="CA285" s="1372"/>
      <c r="CB285" s="1426" t="str">
        <f aca="false">IF(ISNUMBER($AW285*BB285),$AW285*BB285,"")</f>
        <v/>
      </c>
      <c r="CC285" s="1426" t="str">
        <f aca="false">IF(ISNUMBER($AX285*BC285),$AX285*BC285,"")</f>
        <v/>
      </c>
      <c r="CD285" s="1426" t="str">
        <f aca="false">IF(ISNUMBER($AW285*BD285),$AW285*BD285,"")</f>
        <v/>
      </c>
      <c r="CE285" s="1426" t="str">
        <f aca="false">IF(ISNUMBER($AX285*BE285),$AX285*BE285,"")</f>
        <v/>
      </c>
      <c r="CF285" s="1372" t="str">
        <f aca="false">IF(ISNUMBER($AW285*BF285),$AW285*BF285,"")</f>
        <v/>
      </c>
      <c r="CG285" s="1372" t="str">
        <f aca="false">IF(ISNUMBER($AX285*BG285),$AX285*BG285,"")</f>
        <v/>
      </c>
      <c r="CH285" s="1438"/>
      <c r="CI285" s="1438"/>
      <c r="CJ285" s="1438"/>
      <c r="CK285" s="1438"/>
      <c r="CU285" s="1411"/>
      <c r="CV285" s="1411"/>
      <c r="CW285" s="1425"/>
      <c r="CX285" s="1425"/>
      <c r="CY285" s="1425"/>
      <c r="CZ285" s="1425"/>
      <c r="DA285" s="1411"/>
      <c r="DB285" s="1411"/>
      <c r="DC285" s="1411"/>
      <c r="DD285" s="1411"/>
      <c r="DE285" s="1411"/>
      <c r="DF285" s="1411"/>
      <c r="DH285" s="1432"/>
      <c r="DI285" s="1432"/>
      <c r="DJ285" s="1437"/>
      <c r="DK285" s="1437"/>
      <c r="DL285" s="1437"/>
      <c r="DM285" s="1437"/>
      <c r="DN285" s="1432"/>
      <c r="DO285" s="1432"/>
      <c r="DP285" s="1432"/>
      <c r="DQ285" s="1432"/>
      <c r="DR285" s="1432"/>
      <c r="DS285" s="1432"/>
      <c r="DT285" s="1316"/>
      <c r="DU285" s="1433"/>
      <c r="DV285" s="1433"/>
      <c r="DW285" s="1433"/>
      <c r="DX285" s="1433"/>
      <c r="DY285" s="1433"/>
      <c r="DZ285" s="1433"/>
      <c r="EA285" s="1433"/>
      <c r="EB285" s="1433"/>
    </row>
    <row r="286" customFormat="false" ht="14.25" hidden="false" customHeight="false" outlineLevel="0" collapsed="false">
      <c r="A286" s="2" t="n">
        <f aca="false">'V_DATOS PAC_SGA'!CC281</f>
        <v>0</v>
      </c>
      <c r="B286" s="2" t="n">
        <f aca="false">IF(OR(A286=0,A286=""),0,IF(I286="IV",CONCATENATE('V_DATOS PAC_SGA'!CC281,"4")+0,CONCATENATE('V_DATOS PAC_SGA'!CC281,"0")+0))</f>
        <v>0</v>
      </c>
      <c r="C286" s="2" t="n">
        <f aca="false">'V_DATOS PAC_SGA'!CD281</f>
        <v>0</v>
      </c>
      <c r="D286" s="1409" t="n">
        <f aca="false">'V_DATOS PAC_SGA'!Y281</f>
        <v>0</v>
      </c>
      <c r="E286" s="1410" t="str">
        <f aca="false">IF('V_DATOS PAC_SGA'!AV281="","Regadio",'V_DATOS PAC_SGA'!AV281)</f>
        <v>Regadio</v>
      </c>
      <c r="F286" s="1411" t="n">
        <f aca="false">'V_DATOS PAC_SGA'!BK281</f>
        <v>0</v>
      </c>
      <c r="G286" s="1412" t="n">
        <f aca="false">'V_DATOS PAC_SGA'!AN281</f>
        <v>0</v>
      </c>
      <c r="H286" s="1413" t="str">
        <f aca="false">IF(B286&gt;0,VLOOKUP(B286,'O_MN, PE_UTA_UGM 2024'!E$3:O$419,10),"")</f>
        <v/>
      </c>
      <c r="I286" s="1359" t="str">
        <f aca="false">IF('V_DATOS PAC_SGA'!BV281="IV",'V_DATOS PAC_SGA'!BV281,"")</f>
        <v/>
      </c>
      <c r="J286" s="2" t="str">
        <f aca="false">IF($A286&gt;0,IF(AND(J$4=$G286,J$6=$F286),$D286*J$5,""),"")</f>
        <v/>
      </c>
      <c r="K286" s="2" t="str">
        <f aca="false">IF($A286&gt;0,IF(AND(K$4=$G286,K$6=$F286),$D286*K$5,""),"")</f>
        <v/>
      </c>
      <c r="L286" s="2" t="str">
        <f aca="false">IF($A286&gt;0,IF(AND(L$4=$G286,L$6=$F286),$D286*L$5,""),"")</f>
        <v/>
      </c>
      <c r="M286" s="2" t="str">
        <f aca="false">IF($A286&gt;0,IF(AND(M$4=$G286,M$6=$F286),$D286*M$5,""),"")</f>
        <v/>
      </c>
      <c r="N286" s="1506" t="n">
        <f aca="false">VLOOKUP(B286,'O_MN, PE_UTA_UGM 2024'!$E$2:$K$419,IF(G286&gt;1,6,7))</f>
        <v>0</v>
      </c>
      <c r="O286" s="1434" t="str">
        <f aca="false">IF($H286=O$4,$D286*$N286,"")</f>
        <v/>
      </c>
      <c r="P286" s="1435" t="str">
        <f aca="false">IF($H286=P$4,$D286*$N286,"")</f>
        <v/>
      </c>
      <c r="Q286" s="1435" t="str">
        <f aca="false">IF($H286=Q$4,$D286*$N286,"")</f>
        <v/>
      </c>
      <c r="R286" s="1435" t="str">
        <f aca="false">IF($H286=R$4,$D286*$N286,"")</f>
        <v/>
      </c>
      <c r="S286" s="1435" t="str">
        <f aca="false">IF($H286=S$4,$D286*$N286,"")</f>
        <v/>
      </c>
      <c r="T286" s="1435" t="str">
        <f aca="false">IF($H286=T$4,$D286*$N286,"")</f>
        <v/>
      </c>
      <c r="U286" s="1436" t="str">
        <f aca="false">IF($H286=U$4,$D286*$N286,"")</f>
        <v/>
      </c>
      <c r="V286" s="1418"/>
      <c r="W286" s="1419"/>
      <c r="X286" s="1419"/>
      <c r="Y286" s="1419"/>
      <c r="Z286" s="1419"/>
      <c r="AA286" s="1419"/>
      <c r="AB286" s="1420"/>
      <c r="AC286" s="1319"/>
      <c r="AD286" s="2" t="str">
        <f aca="false">IF(AND(AD$4=$G286,AD$6=$F286),$B286,"")</f>
        <v/>
      </c>
      <c r="AE286" s="2" t="str">
        <f aca="false">IF(AND(AE$4=$G286,AE$6=$F286),$B286,"")</f>
        <v/>
      </c>
      <c r="AF286" s="2" t="str">
        <f aca="false">IF(AND(AF$4=$G286,AF$6=$F286),$B286,"")</f>
        <v/>
      </c>
      <c r="AG286" s="2" t="str">
        <f aca="false">IF(AND(AG$4=$G286,AG$6=$F286),$B286,"")</f>
        <v/>
      </c>
      <c r="AI286" s="366"/>
      <c r="AL286" s="367"/>
      <c r="AO286" s="367"/>
      <c r="AP286" s="2" t="str">
        <f aca="false">IF(AT286&gt;0,RANK(AT286,AT$7:AT$423),"")</f>
        <v/>
      </c>
      <c r="AQ286" s="2" t="n">
        <f aca="false">'O_MN, PE_UTA_UGM 2024'!C282</f>
        <v>279</v>
      </c>
      <c r="AR286" s="1421" t="n">
        <v>2760</v>
      </c>
      <c r="AS286" s="2" t="str">
        <f aca="false">IF(AY286&lt;&gt;"",AY286,"")</f>
        <v/>
      </c>
      <c r="AT286" s="1422" t="n">
        <f aca="false">IF(ISNUMBER($AR286),SUMIF(B$7:B$505,AR286,D$7:D$505),"")</f>
        <v>0</v>
      </c>
      <c r="AU286" s="1411" t="n">
        <f aca="false">IF(ISNUMBER($AR286),SUMIF(AD$7:AD$503,$AR286,J$7:J$503),"")</f>
        <v>0</v>
      </c>
      <c r="AV286" s="1411" t="n">
        <f aca="false">IF(ISNUMBER($AR286),SUMIF(AF$7:AF$503,$AR286,L$7:L$503),"")</f>
        <v>0</v>
      </c>
      <c r="AW286" s="1423" t="n">
        <f aca="false">IF(ISNUMBER($AR286),SUMIF(AE$7:AE$503,$AR286,K$7:K$503),"")</f>
        <v>0</v>
      </c>
      <c r="AX286" s="1423" t="n">
        <f aca="false">IF(ISNUMBER($AR286),SUMIF(AG$7:AG$503,$AR286,M$7:M$503),"")</f>
        <v>0</v>
      </c>
      <c r="AY286" s="2" t="str">
        <f aca="false">IF($AT286&gt;0,VLOOKUP($AR286,'O_MN, PE_UTA_UGM 2024'!E282:O698,2),"")</f>
        <v/>
      </c>
      <c r="AZ286" s="1507"/>
      <c r="BA286" s="1507"/>
      <c r="BB286" s="1507" t="str">
        <f aca="false">IF($AT286&gt;0,VLOOKUP($AR286,'O_MN, PE_UTA_UGM 2024'!$E$3:$O$419,BB$6),"")</f>
        <v/>
      </c>
      <c r="BC286" s="1507" t="str">
        <f aca="false">IF($AT286&gt;0,VLOOKUP($AR286,'O_MN, PE_UTA_UGM 2024'!$E$3:$O$419,BC$6),"")</f>
        <v/>
      </c>
      <c r="BD286" s="1507" t="str">
        <f aca="false">IF($AT286&gt;0,VLOOKUP($AR286,'O_MN, PE_UTA_UGM 2024'!$E$3:$O$419,BD$6),"")</f>
        <v/>
      </c>
      <c r="BE286" s="1507" t="str">
        <f aca="false">IF($AT286&gt;0,VLOOKUP($AR286,'O_MN, PE_UTA_UGM 2024'!$E$3:$O$419,BE$6),"")</f>
        <v/>
      </c>
      <c r="BF286" s="1507" t="str">
        <f aca="false">IF($AT286&gt;0,VLOOKUP($AR286,'O_MN, PE_UTA_UGM 2024'!$E$3:$O$419,BF$6),"")</f>
        <v/>
      </c>
      <c r="BG286" s="1507" t="str">
        <f aca="false">IF($AT286&gt;0,VLOOKUP($AR286,'O_MN, PE_UTA_UGM 2024'!$E$3:$O$419,BG$6),"")</f>
        <v/>
      </c>
      <c r="BH286" s="1504"/>
      <c r="BI286" s="1504"/>
      <c r="BJ286" s="1504"/>
      <c r="BK286" s="1504"/>
      <c r="BM286" s="1411"/>
      <c r="BN286" s="1411"/>
      <c r="BO286" s="1425" t="str">
        <f aca="false">IF(ISNUMBER($AU286*BB286*1),$AU286*BB286*1,"")</f>
        <v/>
      </c>
      <c r="BP286" s="1425" t="str">
        <f aca="false">IF(ISNUMBER($AV286*BC286*1),$AV286*BC286*1,"")</f>
        <v/>
      </c>
      <c r="BQ286" s="1425" t="str">
        <f aca="false">IF(ISNUMBER($AU286*BD286*1),$AU286*BD286*1,"")</f>
        <v/>
      </c>
      <c r="BR286" s="1425" t="str">
        <f aca="false">IF(ISNUMBER($AV286*BE286*1),$AV286*BE286*1,"")</f>
        <v/>
      </c>
      <c r="BS286" s="1411" t="str">
        <f aca="false">IF(ISNUMBER($AU286*BF286),$AU286*BF286,"")</f>
        <v/>
      </c>
      <c r="BT286" s="1411" t="str">
        <f aca="false">IF(ISNUMBER($AV286*BG286),$AV286*BG286,"")</f>
        <v/>
      </c>
      <c r="BU286" s="1411"/>
      <c r="BV286" s="1411"/>
      <c r="BW286" s="1411"/>
      <c r="BX286" s="1411"/>
      <c r="BZ286" s="1372"/>
      <c r="CA286" s="1372"/>
      <c r="CB286" s="1426" t="str">
        <f aca="false">IF(ISNUMBER($AW286*BB286),$AW286*BB286,"")</f>
        <v/>
      </c>
      <c r="CC286" s="1426" t="str">
        <f aca="false">IF(ISNUMBER($AX286*BC286),$AX286*BC286,"")</f>
        <v/>
      </c>
      <c r="CD286" s="1426" t="str">
        <f aca="false">IF(ISNUMBER($AW286*BD286),$AW286*BD286,"")</f>
        <v/>
      </c>
      <c r="CE286" s="1426" t="str">
        <f aca="false">IF(ISNUMBER($AX286*BE286),$AX286*BE286,"")</f>
        <v/>
      </c>
      <c r="CF286" s="1372" t="str">
        <f aca="false">IF(ISNUMBER($AW286*BF286),$AW286*BF286,"")</f>
        <v/>
      </c>
      <c r="CG286" s="1372" t="str">
        <f aca="false">IF(ISNUMBER($AX286*BG286),$AX286*BG286,"")</f>
        <v/>
      </c>
      <c r="CH286" s="1438"/>
      <c r="CI286" s="1438"/>
      <c r="CJ286" s="1438"/>
      <c r="CK286" s="1438"/>
      <c r="CU286" s="1411"/>
      <c r="CV286" s="1411"/>
      <c r="CW286" s="1425"/>
      <c r="CX286" s="1425"/>
      <c r="CY286" s="1425"/>
      <c r="CZ286" s="1425"/>
      <c r="DA286" s="1411"/>
      <c r="DB286" s="1411"/>
      <c r="DC286" s="1411"/>
      <c r="DD286" s="1411"/>
      <c r="DE286" s="1411"/>
      <c r="DF286" s="1411"/>
      <c r="DH286" s="1432"/>
      <c r="DI286" s="1432"/>
      <c r="DJ286" s="1437"/>
      <c r="DK286" s="1437"/>
      <c r="DL286" s="1437"/>
      <c r="DM286" s="1437"/>
      <c r="DN286" s="1432"/>
      <c r="DO286" s="1432"/>
      <c r="DP286" s="1432"/>
      <c r="DQ286" s="1432"/>
      <c r="DR286" s="1432"/>
      <c r="DS286" s="1432"/>
      <c r="DT286" s="1316"/>
      <c r="DU286" s="1433"/>
      <c r="DV286" s="1433"/>
      <c r="DW286" s="1433"/>
      <c r="DX286" s="1433"/>
      <c r="DY286" s="1433"/>
      <c r="DZ286" s="1433"/>
      <c r="EA286" s="1433"/>
      <c r="EB286" s="1433"/>
    </row>
    <row r="287" customFormat="false" ht="14.25" hidden="false" customHeight="false" outlineLevel="0" collapsed="false">
      <c r="A287" s="2" t="n">
        <f aca="false">'V_DATOS PAC_SGA'!CC282</f>
        <v>0</v>
      </c>
      <c r="B287" s="2" t="n">
        <f aca="false">IF(OR(A287=0,A287=""),0,IF(I287="IV",CONCATENATE('V_DATOS PAC_SGA'!CC282,"4")+0,CONCATENATE('V_DATOS PAC_SGA'!CC282,"0")+0))</f>
        <v>0</v>
      </c>
      <c r="C287" s="2" t="n">
        <f aca="false">'V_DATOS PAC_SGA'!CD282</f>
        <v>0</v>
      </c>
      <c r="D287" s="1409" t="n">
        <f aca="false">'V_DATOS PAC_SGA'!Y282</f>
        <v>0</v>
      </c>
      <c r="E287" s="1410" t="str">
        <f aca="false">IF('V_DATOS PAC_SGA'!AV282="","Regadio",'V_DATOS PAC_SGA'!AV282)</f>
        <v>Regadio</v>
      </c>
      <c r="F287" s="1411" t="n">
        <f aca="false">'V_DATOS PAC_SGA'!BK282</f>
        <v>0</v>
      </c>
      <c r="G287" s="1412" t="n">
        <f aca="false">'V_DATOS PAC_SGA'!AN282</f>
        <v>0</v>
      </c>
      <c r="H287" s="1413" t="str">
        <f aca="false">IF(B287&gt;0,VLOOKUP(B287,'O_MN, PE_UTA_UGM 2024'!E$3:O$419,10),"")</f>
        <v/>
      </c>
      <c r="I287" s="1359" t="str">
        <f aca="false">IF('V_DATOS PAC_SGA'!BV282="IV",'V_DATOS PAC_SGA'!BV282,"")</f>
        <v/>
      </c>
      <c r="J287" s="2" t="str">
        <f aca="false">IF($A287&gt;0,IF(AND(J$4=$G287,J$6=$F287),$D287*J$5,""),"")</f>
        <v/>
      </c>
      <c r="K287" s="2" t="str">
        <f aca="false">IF($A287&gt;0,IF(AND(K$4=$G287,K$6=$F287),$D287*K$5,""),"")</f>
        <v/>
      </c>
      <c r="L287" s="2" t="str">
        <f aca="false">IF($A287&gt;0,IF(AND(L$4=$G287,L$6=$F287),$D287*L$5,""),"")</f>
        <v/>
      </c>
      <c r="M287" s="2" t="str">
        <f aca="false">IF($A287&gt;0,IF(AND(M$4=$G287,M$6=$F287),$D287*M$5,""),"")</f>
        <v/>
      </c>
      <c r="N287" s="1506" t="n">
        <f aca="false">VLOOKUP(B287,'O_MN, PE_UTA_UGM 2024'!$E$2:$K$419,IF(G287&gt;1,6,7))</f>
        <v>0</v>
      </c>
      <c r="O287" s="1434" t="str">
        <f aca="false">IF($H287=O$4,$D287*$N287,"")</f>
        <v/>
      </c>
      <c r="P287" s="1435" t="str">
        <f aca="false">IF($H287=P$4,$D287*$N287,"")</f>
        <v/>
      </c>
      <c r="Q287" s="1435" t="str">
        <f aca="false">IF($H287=Q$4,$D287*$N287,"")</f>
        <v/>
      </c>
      <c r="R287" s="1435" t="str">
        <f aca="false">IF($H287=R$4,$D287*$N287,"")</f>
        <v/>
      </c>
      <c r="S287" s="1435" t="str">
        <f aca="false">IF($H287=S$4,$D287*$N287,"")</f>
        <v/>
      </c>
      <c r="T287" s="1435" t="str">
        <f aca="false">IF($H287=T$4,$D287*$N287,"")</f>
        <v/>
      </c>
      <c r="U287" s="1436" t="str">
        <f aca="false">IF($H287=U$4,$D287*$N287,"")</f>
        <v/>
      </c>
      <c r="V287" s="1418"/>
      <c r="W287" s="1419"/>
      <c r="X287" s="1419"/>
      <c r="Y287" s="1419"/>
      <c r="Z287" s="1419"/>
      <c r="AA287" s="1419"/>
      <c r="AB287" s="1420"/>
      <c r="AC287" s="1319"/>
      <c r="AD287" s="2" t="str">
        <f aca="false">IF(AND(AD$4=$G287,AD$6=$F287),$B287,"")</f>
        <v/>
      </c>
      <c r="AE287" s="2" t="str">
        <f aca="false">IF(AND(AE$4=$G287,AE$6=$F287),$B287,"")</f>
        <v/>
      </c>
      <c r="AF287" s="2" t="str">
        <f aca="false">IF(AND(AF$4=$G287,AF$6=$F287),$B287,"")</f>
        <v/>
      </c>
      <c r="AG287" s="2" t="str">
        <f aca="false">IF(AND(AG$4=$G287,AG$6=$F287),$B287,"")</f>
        <v/>
      </c>
      <c r="AI287" s="366"/>
      <c r="AL287" s="367"/>
      <c r="AO287" s="367"/>
      <c r="AP287" s="2" t="str">
        <f aca="false">IF(AT287&gt;0,RANK(AT287,AT$7:AT$423),"")</f>
        <v/>
      </c>
      <c r="AQ287" s="2" t="n">
        <f aca="false">'O_MN, PE_UTA_UGM 2024'!C283</f>
        <v>280</v>
      </c>
      <c r="AR287" s="1421" t="n">
        <v>2770</v>
      </c>
      <c r="AS287" s="2" t="str">
        <f aca="false">IF(AY287&lt;&gt;"",AY287,"")</f>
        <v/>
      </c>
      <c r="AT287" s="1422" t="n">
        <f aca="false">IF(ISNUMBER($AR287),SUMIF(B$7:B$505,AR287,D$7:D$505),"")</f>
        <v>0</v>
      </c>
      <c r="AU287" s="1411" t="n">
        <f aca="false">IF(ISNUMBER($AR287),SUMIF(AD$7:AD$503,$AR287,J$7:J$503),"")</f>
        <v>0</v>
      </c>
      <c r="AV287" s="1411" t="n">
        <f aca="false">IF(ISNUMBER($AR287),SUMIF(AF$7:AF$503,$AR287,L$7:L$503),"")</f>
        <v>0</v>
      </c>
      <c r="AW287" s="1423" t="n">
        <f aca="false">IF(ISNUMBER($AR287),SUMIF(AE$7:AE$503,$AR287,K$7:K$503),"")</f>
        <v>0</v>
      </c>
      <c r="AX287" s="1423" t="n">
        <f aca="false">IF(ISNUMBER($AR287),SUMIF(AG$7:AG$503,$AR287,M$7:M$503),"")</f>
        <v>0</v>
      </c>
      <c r="AY287" s="2" t="str">
        <f aca="false">IF($AT287&gt;0,VLOOKUP($AR287,'O_MN, PE_UTA_UGM 2024'!E283:O699,2),"")</f>
        <v/>
      </c>
      <c r="AZ287" s="1507"/>
      <c r="BA287" s="1507"/>
      <c r="BB287" s="1507" t="str">
        <f aca="false">IF($AT287&gt;0,VLOOKUP($AR287,'O_MN, PE_UTA_UGM 2024'!$E$3:$O$419,BB$6),"")</f>
        <v/>
      </c>
      <c r="BC287" s="1507" t="str">
        <f aca="false">IF($AT287&gt;0,VLOOKUP($AR287,'O_MN, PE_UTA_UGM 2024'!$E$3:$O$419,BC$6),"")</f>
        <v/>
      </c>
      <c r="BD287" s="1507" t="str">
        <f aca="false">IF($AT287&gt;0,VLOOKUP($AR287,'O_MN, PE_UTA_UGM 2024'!$E$3:$O$419,BD$6),"")</f>
        <v/>
      </c>
      <c r="BE287" s="1507" t="str">
        <f aca="false">IF($AT287&gt;0,VLOOKUP($AR287,'O_MN, PE_UTA_UGM 2024'!$E$3:$O$419,BE$6),"")</f>
        <v/>
      </c>
      <c r="BF287" s="1507" t="str">
        <f aca="false">IF($AT287&gt;0,VLOOKUP($AR287,'O_MN, PE_UTA_UGM 2024'!$E$3:$O$419,BF$6),"")</f>
        <v/>
      </c>
      <c r="BG287" s="1507" t="str">
        <f aca="false">IF($AT287&gt;0,VLOOKUP($AR287,'O_MN, PE_UTA_UGM 2024'!$E$3:$O$419,BG$6),"")</f>
        <v/>
      </c>
      <c r="BH287" s="1504"/>
      <c r="BI287" s="1504"/>
      <c r="BJ287" s="1504"/>
      <c r="BK287" s="1504"/>
      <c r="BM287" s="1411"/>
      <c r="BN287" s="1411"/>
      <c r="BO287" s="1425" t="str">
        <f aca="false">IF(ISNUMBER($AU287*BB287*1),$AU287*BB287*1,"")</f>
        <v/>
      </c>
      <c r="BP287" s="1425" t="str">
        <f aca="false">IF(ISNUMBER($AV287*BC287*1),$AV287*BC287*1,"")</f>
        <v/>
      </c>
      <c r="BQ287" s="1425" t="str">
        <f aca="false">IF(ISNUMBER($AU287*BD287*1),$AU287*BD287*1,"")</f>
        <v/>
      </c>
      <c r="BR287" s="1425" t="str">
        <f aca="false">IF(ISNUMBER($AV287*BE287*1),$AV287*BE287*1,"")</f>
        <v/>
      </c>
      <c r="BS287" s="1411" t="str">
        <f aca="false">IF(ISNUMBER($AU287*BF287),$AU287*BF287,"")</f>
        <v/>
      </c>
      <c r="BT287" s="1411" t="str">
        <f aca="false">IF(ISNUMBER($AV287*BG287),$AV287*BG287,"")</f>
        <v/>
      </c>
      <c r="BU287" s="1411"/>
      <c r="BV287" s="1411"/>
      <c r="BW287" s="1411"/>
      <c r="BX287" s="1411"/>
      <c r="BZ287" s="1372"/>
      <c r="CA287" s="1372"/>
      <c r="CB287" s="1426" t="str">
        <f aca="false">IF(ISNUMBER($AW287*BB287),$AW287*BB287,"")</f>
        <v/>
      </c>
      <c r="CC287" s="1426" t="str">
        <f aca="false">IF(ISNUMBER($AX287*BC287),$AX287*BC287,"")</f>
        <v/>
      </c>
      <c r="CD287" s="1426" t="str">
        <f aca="false">IF(ISNUMBER($AW287*BD287),$AW287*BD287,"")</f>
        <v/>
      </c>
      <c r="CE287" s="1426" t="str">
        <f aca="false">IF(ISNUMBER($AX287*BE287),$AX287*BE287,"")</f>
        <v/>
      </c>
      <c r="CF287" s="1372" t="str">
        <f aca="false">IF(ISNUMBER($AW287*BF287),$AW287*BF287,"")</f>
        <v/>
      </c>
      <c r="CG287" s="1372" t="str">
        <f aca="false">IF(ISNUMBER($AX287*BG287),$AX287*BG287,"")</f>
        <v/>
      </c>
      <c r="CH287" s="1438"/>
      <c r="CI287" s="1438"/>
      <c r="CJ287" s="1438"/>
      <c r="CK287" s="1438"/>
      <c r="CU287" s="1411"/>
      <c r="CV287" s="1411"/>
      <c r="CW287" s="1425"/>
      <c r="CX287" s="1425"/>
      <c r="CY287" s="1425"/>
      <c r="CZ287" s="1425"/>
      <c r="DA287" s="1411"/>
      <c r="DB287" s="1411"/>
      <c r="DC287" s="1411"/>
      <c r="DD287" s="1411"/>
      <c r="DE287" s="1411"/>
      <c r="DF287" s="1411"/>
      <c r="DH287" s="1432"/>
      <c r="DI287" s="1432"/>
      <c r="DJ287" s="1437"/>
      <c r="DK287" s="1437"/>
      <c r="DL287" s="1437"/>
      <c r="DM287" s="1437"/>
      <c r="DN287" s="1432"/>
      <c r="DO287" s="1432"/>
      <c r="DP287" s="1432"/>
      <c r="DQ287" s="1432"/>
      <c r="DR287" s="1432"/>
      <c r="DS287" s="1432"/>
      <c r="DT287" s="1316"/>
      <c r="DU287" s="1433"/>
      <c r="DV287" s="1433"/>
      <c r="DW287" s="1433"/>
      <c r="DX287" s="1433"/>
      <c r="DY287" s="1433"/>
      <c r="DZ287" s="1433"/>
      <c r="EA287" s="1433"/>
      <c r="EB287" s="1433"/>
    </row>
    <row r="288" customFormat="false" ht="14.25" hidden="false" customHeight="false" outlineLevel="0" collapsed="false">
      <c r="A288" s="2" t="n">
        <f aca="false">'V_DATOS PAC_SGA'!CC283</f>
        <v>0</v>
      </c>
      <c r="B288" s="2" t="n">
        <f aca="false">IF(OR(A288=0,A288=""),0,IF(I288="IV",CONCATENATE('V_DATOS PAC_SGA'!CC283,"4")+0,CONCATENATE('V_DATOS PAC_SGA'!CC283,"0")+0))</f>
        <v>0</v>
      </c>
      <c r="C288" s="2" t="n">
        <f aca="false">'V_DATOS PAC_SGA'!CD283</f>
        <v>0</v>
      </c>
      <c r="D288" s="1409" t="n">
        <f aca="false">'V_DATOS PAC_SGA'!Y283</f>
        <v>0</v>
      </c>
      <c r="E288" s="1410" t="str">
        <f aca="false">IF('V_DATOS PAC_SGA'!AV283="","Regadio",'V_DATOS PAC_SGA'!AV283)</f>
        <v>Regadio</v>
      </c>
      <c r="F288" s="1411" t="n">
        <f aca="false">'V_DATOS PAC_SGA'!BK283</f>
        <v>0</v>
      </c>
      <c r="G288" s="1412" t="n">
        <f aca="false">'V_DATOS PAC_SGA'!AN283</f>
        <v>0</v>
      </c>
      <c r="H288" s="1413" t="str">
        <f aca="false">IF(B288&gt;0,VLOOKUP(B288,'O_MN, PE_UTA_UGM 2024'!E$3:O$419,10),"")</f>
        <v/>
      </c>
      <c r="I288" s="1359" t="str">
        <f aca="false">IF('V_DATOS PAC_SGA'!BV283="IV",'V_DATOS PAC_SGA'!BV283,"")</f>
        <v/>
      </c>
      <c r="J288" s="2" t="str">
        <f aca="false">IF($A288&gt;0,IF(AND(J$4=$G288,J$6=$F288),$D288*J$5,""),"")</f>
        <v/>
      </c>
      <c r="K288" s="2" t="str">
        <f aca="false">IF($A288&gt;0,IF(AND(K$4=$G288,K$6=$F288),$D288*K$5,""),"")</f>
        <v/>
      </c>
      <c r="L288" s="2" t="str">
        <f aca="false">IF($A288&gt;0,IF(AND(L$4=$G288,L$6=$F288),$D288*L$5,""),"")</f>
        <v/>
      </c>
      <c r="M288" s="2" t="str">
        <f aca="false">IF($A288&gt;0,IF(AND(M$4=$G288,M$6=$F288),$D288*M$5,""),"")</f>
        <v/>
      </c>
      <c r="N288" s="1506" t="n">
        <f aca="false">VLOOKUP(B288,'O_MN, PE_UTA_UGM 2024'!$E$2:$K$419,IF(G288&gt;1,6,7))</f>
        <v>0</v>
      </c>
      <c r="O288" s="1434" t="str">
        <f aca="false">IF($H288=O$4,$D288*$N288,"")</f>
        <v/>
      </c>
      <c r="P288" s="1435" t="str">
        <f aca="false">IF($H288=P$4,$D288*$N288,"")</f>
        <v/>
      </c>
      <c r="Q288" s="1435" t="str">
        <f aca="false">IF($H288=Q$4,$D288*$N288,"")</f>
        <v/>
      </c>
      <c r="R288" s="1435" t="str">
        <f aca="false">IF($H288=R$4,$D288*$N288,"")</f>
        <v/>
      </c>
      <c r="S288" s="1435" t="str">
        <f aca="false">IF($H288=S$4,$D288*$N288,"")</f>
        <v/>
      </c>
      <c r="T288" s="1435" t="str">
        <f aca="false">IF($H288=T$4,$D288*$N288,"")</f>
        <v/>
      </c>
      <c r="U288" s="1436" t="str">
        <f aca="false">IF($H288=U$4,$D288*$N288,"")</f>
        <v/>
      </c>
      <c r="V288" s="1418"/>
      <c r="W288" s="1419"/>
      <c r="X288" s="1419"/>
      <c r="Y288" s="1419"/>
      <c r="Z288" s="1419"/>
      <c r="AA288" s="1419"/>
      <c r="AB288" s="1420"/>
      <c r="AC288" s="1319"/>
      <c r="AD288" s="2" t="str">
        <f aca="false">IF(AND(AD$4=$G288,AD$6=$F288),$B288,"")</f>
        <v/>
      </c>
      <c r="AE288" s="2" t="str">
        <f aca="false">IF(AND(AE$4=$G288,AE$6=$F288),$B288,"")</f>
        <v/>
      </c>
      <c r="AF288" s="2" t="str">
        <f aca="false">IF(AND(AF$4=$G288,AF$6=$F288),$B288,"")</f>
        <v/>
      </c>
      <c r="AG288" s="2" t="str">
        <f aca="false">IF(AND(AG$4=$G288,AG$6=$F288),$B288,"")</f>
        <v/>
      </c>
      <c r="AI288" s="366"/>
      <c r="AL288" s="367"/>
      <c r="AO288" s="367"/>
      <c r="AP288" s="2" t="str">
        <f aca="false">IF(AT288&gt;0,RANK(AT288,AT$7:AT$423),"")</f>
        <v/>
      </c>
      <c r="AQ288" s="2" t="n">
        <f aca="false">'O_MN, PE_UTA_UGM 2024'!C284</f>
        <v>281</v>
      </c>
      <c r="AR288" s="1421" t="n">
        <v>2780</v>
      </c>
      <c r="AS288" s="2" t="str">
        <f aca="false">IF(AY288&lt;&gt;"",AY288,"")</f>
        <v/>
      </c>
      <c r="AT288" s="1422" t="n">
        <f aca="false">IF(ISNUMBER($AR288),SUMIF(B$7:B$505,AR288,D$7:D$505),"")</f>
        <v>0</v>
      </c>
      <c r="AU288" s="1411" t="n">
        <f aca="false">IF(ISNUMBER($AR288),SUMIF(AD$7:AD$503,$AR288,J$7:J$503),"")</f>
        <v>0</v>
      </c>
      <c r="AV288" s="1411" t="n">
        <f aca="false">IF(ISNUMBER($AR288),SUMIF(AF$7:AF$503,$AR288,L$7:L$503),"")</f>
        <v>0</v>
      </c>
      <c r="AW288" s="1423" t="n">
        <f aca="false">IF(ISNUMBER($AR288),SUMIF(AE$7:AE$503,$AR288,K$7:K$503),"")</f>
        <v>0</v>
      </c>
      <c r="AX288" s="1423" t="n">
        <f aca="false">IF(ISNUMBER($AR288),SUMIF(AG$7:AG$503,$AR288,M$7:M$503),"")</f>
        <v>0</v>
      </c>
      <c r="AY288" s="2" t="str">
        <f aca="false">IF($AT288&gt;0,VLOOKUP($AR288,'O_MN, PE_UTA_UGM 2024'!E284:O700,2),"")</f>
        <v/>
      </c>
      <c r="AZ288" s="1507"/>
      <c r="BA288" s="1507"/>
      <c r="BB288" s="1507" t="str">
        <f aca="false">IF($AT288&gt;0,VLOOKUP($AR288,'O_MN, PE_UTA_UGM 2024'!$E$3:$O$419,BB$6),"")</f>
        <v/>
      </c>
      <c r="BC288" s="1507" t="str">
        <f aca="false">IF($AT288&gt;0,VLOOKUP($AR288,'O_MN, PE_UTA_UGM 2024'!$E$3:$O$419,BC$6),"")</f>
        <v/>
      </c>
      <c r="BD288" s="1507" t="str">
        <f aca="false">IF($AT288&gt;0,VLOOKUP($AR288,'O_MN, PE_UTA_UGM 2024'!$E$3:$O$419,BD$6),"")</f>
        <v/>
      </c>
      <c r="BE288" s="1507" t="str">
        <f aca="false">IF($AT288&gt;0,VLOOKUP($AR288,'O_MN, PE_UTA_UGM 2024'!$E$3:$O$419,BE$6),"")</f>
        <v/>
      </c>
      <c r="BF288" s="1507" t="str">
        <f aca="false">IF($AT288&gt;0,VLOOKUP($AR288,'O_MN, PE_UTA_UGM 2024'!$E$3:$O$419,BF$6),"")</f>
        <v/>
      </c>
      <c r="BG288" s="1507" t="str">
        <f aca="false">IF($AT288&gt;0,VLOOKUP($AR288,'O_MN, PE_UTA_UGM 2024'!$E$3:$O$419,BG$6),"")</f>
        <v/>
      </c>
      <c r="BH288" s="1504"/>
      <c r="BI288" s="1504"/>
      <c r="BJ288" s="1504"/>
      <c r="BK288" s="1504"/>
      <c r="BM288" s="1411"/>
      <c r="BN288" s="1411"/>
      <c r="BO288" s="1425" t="str">
        <f aca="false">IF(ISNUMBER($AU288*BB288*1),$AU288*BB288*1,"")</f>
        <v/>
      </c>
      <c r="BP288" s="1425" t="str">
        <f aca="false">IF(ISNUMBER($AV288*BC288*1),$AV288*BC288*1,"")</f>
        <v/>
      </c>
      <c r="BQ288" s="1425" t="str">
        <f aca="false">IF(ISNUMBER($AU288*BD288*1),$AU288*BD288*1,"")</f>
        <v/>
      </c>
      <c r="BR288" s="1425" t="str">
        <f aca="false">IF(ISNUMBER($AV288*BE288*1),$AV288*BE288*1,"")</f>
        <v/>
      </c>
      <c r="BS288" s="1411" t="str">
        <f aca="false">IF(ISNUMBER($AU288*BF288),$AU288*BF288,"")</f>
        <v/>
      </c>
      <c r="BT288" s="1411" t="str">
        <f aca="false">IF(ISNUMBER($AV288*BG288),$AV288*BG288,"")</f>
        <v/>
      </c>
      <c r="BU288" s="1411"/>
      <c r="BV288" s="1411"/>
      <c r="BW288" s="1411"/>
      <c r="BX288" s="1411"/>
      <c r="BZ288" s="1372"/>
      <c r="CA288" s="1372"/>
      <c r="CB288" s="1426" t="str">
        <f aca="false">IF(ISNUMBER($AW288*BB288),$AW288*BB288,"")</f>
        <v/>
      </c>
      <c r="CC288" s="1426" t="str">
        <f aca="false">IF(ISNUMBER($AX288*BC288),$AX288*BC288,"")</f>
        <v/>
      </c>
      <c r="CD288" s="1426" t="str">
        <f aca="false">IF(ISNUMBER($AW288*BD288),$AW288*BD288,"")</f>
        <v/>
      </c>
      <c r="CE288" s="1426" t="str">
        <f aca="false">IF(ISNUMBER($AX288*BE288),$AX288*BE288,"")</f>
        <v/>
      </c>
      <c r="CF288" s="1372" t="str">
        <f aca="false">IF(ISNUMBER($AW288*BF288),$AW288*BF288,"")</f>
        <v/>
      </c>
      <c r="CG288" s="1372" t="str">
        <f aca="false">IF(ISNUMBER($AX288*BG288),$AX288*BG288,"")</f>
        <v/>
      </c>
      <c r="CH288" s="1438"/>
      <c r="CI288" s="1438"/>
      <c r="CJ288" s="1438"/>
      <c r="CK288" s="1438"/>
      <c r="CU288" s="1411"/>
      <c r="CV288" s="1411"/>
      <c r="CW288" s="1425"/>
      <c r="CX288" s="1425"/>
      <c r="CY288" s="1425"/>
      <c r="CZ288" s="1425"/>
      <c r="DA288" s="1411"/>
      <c r="DB288" s="1411"/>
      <c r="DC288" s="1411"/>
      <c r="DD288" s="1411"/>
      <c r="DE288" s="1411"/>
      <c r="DF288" s="1411"/>
      <c r="DH288" s="1432"/>
      <c r="DI288" s="1432"/>
      <c r="DJ288" s="1437"/>
      <c r="DK288" s="1437"/>
      <c r="DL288" s="1437"/>
      <c r="DM288" s="1437"/>
      <c r="DN288" s="1432"/>
      <c r="DO288" s="1432"/>
      <c r="DP288" s="1432"/>
      <c r="DQ288" s="1432"/>
      <c r="DR288" s="1432"/>
      <c r="DS288" s="1432"/>
      <c r="DT288" s="1316"/>
      <c r="DU288" s="1433"/>
      <c r="DV288" s="1433"/>
      <c r="DW288" s="1433"/>
      <c r="DX288" s="1433"/>
      <c r="DY288" s="1433"/>
      <c r="DZ288" s="1433"/>
      <c r="EA288" s="1433"/>
      <c r="EB288" s="1433"/>
    </row>
    <row r="289" customFormat="false" ht="14.25" hidden="false" customHeight="false" outlineLevel="0" collapsed="false">
      <c r="A289" s="2" t="n">
        <f aca="false">'V_DATOS PAC_SGA'!CC284</f>
        <v>0</v>
      </c>
      <c r="B289" s="2" t="n">
        <f aca="false">IF(OR(A289=0,A289=""),0,IF(I289="IV",CONCATENATE('V_DATOS PAC_SGA'!CC284,"4")+0,CONCATENATE('V_DATOS PAC_SGA'!CC284,"0")+0))</f>
        <v>0</v>
      </c>
      <c r="C289" s="2" t="n">
        <f aca="false">'V_DATOS PAC_SGA'!CD284</f>
        <v>0</v>
      </c>
      <c r="D289" s="1409" t="n">
        <f aca="false">'V_DATOS PAC_SGA'!Y284</f>
        <v>0</v>
      </c>
      <c r="E289" s="1410" t="str">
        <f aca="false">IF('V_DATOS PAC_SGA'!AV284="","Regadio",'V_DATOS PAC_SGA'!AV284)</f>
        <v>Regadio</v>
      </c>
      <c r="F289" s="1411" t="n">
        <f aca="false">'V_DATOS PAC_SGA'!BK284</f>
        <v>0</v>
      </c>
      <c r="G289" s="1412" t="n">
        <f aca="false">'V_DATOS PAC_SGA'!AN284</f>
        <v>0</v>
      </c>
      <c r="H289" s="1413" t="str">
        <f aca="false">IF(B289&gt;0,VLOOKUP(B289,'O_MN, PE_UTA_UGM 2024'!E$3:O$419,10),"")</f>
        <v/>
      </c>
      <c r="I289" s="1359" t="str">
        <f aca="false">IF('V_DATOS PAC_SGA'!BV284="IV",'V_DATOS PAC_SGA'!BV284,"")</f>
        <v/>
      </c>
      <c r="J289" s="2" t="str">
        <f aca="false">IF($A289&gt;0,IF(AND(J$4=$G289,J$6=$F289),$D289*J$5,""),"")</f>
        <v/>
      </c>
      <c r="K289" s="2" t="str">
        <f aca="false">IF($A289&gt;0,IF(AND(K$4=$G289,K$6=$F289),$D289*K$5,""),"")</f>
        <v/>
      </c>
      <c r="L289" s="2" t="str">
        <f aca="false">IF($A289&gt;0,IF(AND(L$4=$G289,L$6=$F289),$D289*L$5,""),"")</f>
        <v/>
      </c>
      <c r="M289" s="2" t="str">
        <f aca="false">IF($A289&gt;0,IF(AND(M$4=$G289,M$6=$F289),$D289*M$5,""),"")</f>
        <v/>
      </c>
      <c r="N289" s="1506" t="n">
        <f aca="false">VLOOKUP(B289,'O_MN, PE_UTA_UGM 2024'!$E$2:$K$419,IF(G289&gt;1,6,7))</f>
        <v>0</v>
      </c>
      <c r="O289" s="1434" t="str">
        <f aca="false">IF($H289=O$4,$D289*$N289,"")</f>
        <v/>
      </c>
      <c r="P289" s="1435" t="str">
        <f aca="false">IF($H289=P$4,$D289*$N289,"")</f>
        <v/>
      </c>
      <c r="Q289" s="1435" t="str">
        <f aca="false">IF($H289=Q$4,$D289*$N289,"")</f>
        <v/>
      </c>
      <c r="R289" s="1435" t="str">
        <f aca="false">IF($H289=R$4,$D289*$N289,"")</f>
        <v/>
      </c>
      <c r="S289" s="1435" t="str">
        <f aca="false">IF($H289=S$4,$D289*$N289,"")</f>
        <v/>
      </c>
      <c r="T289" s="1435" t="str">
        <f aca="false">IF($H289=T$4,$D289*$N289,"")</f>
        <v/>
      </c>
      <c r="U289" s="1436" t="str">
        <f aca="false">IF($H289=U$4,$D289*$N289,"")</f>
        <v/>
      </c>
      <c r="V289" s="1418"/>
      <c r="W289" s="1419"/>
      <c r="X289" s="1419"/>
      <c r="Y289" s="1419"/>
      <c r="Z289" s="1419"/>
      <c r="AA289" s="1419"/>
      <c r="AB289" s="1420"/>
      <c r="AC289" s="1319"/>
      <c r="AD289" s="2" t="str">
        <f aca="false">IF(AND(AD$4=$G289,AD$6=$F289),$B289,"")</f>
        <v/>
      </c>
      <c r="AE289" s="2" t="str">
        <f aca="false">IF(AND(AE$4=$G289,AE$6=$F289),$B289,"")</f>
        <v/>
      </c>
      <c r="AF289" s="2" t="str">
        <f aca="false">IF(AND(AF$4=$G289,AF$6=$F289),$B289,"")</f>
        <v/>
      </c>
      <c r="AG289" s="2" t="str">
        <f aca="false">IF(AND(AG$4=$G289,AG$6=$F289),$B289,"")</f>
        <v/>
      </c>
      <c r="AI289" s="366"/>
      <c r="AL289" s="367"/>
      <c r="AO289" s="367"/>
      <c r="AP289" s="2" t="str">
        <f aca="false">IF(AT289&gt;0,RANK(AT289,AT$7:AT$423),"")</f>
        <v/>
      </c>
      <c r="AQ289" s="2" t="n">
        <f aca="false">'O_MN, PE_UTA_UGM 2024'!C285</f>
        <v>282</v>
      </c>
      <c r="AR289" s="1421" t="n">
        <v>2790</v>
      </c>
      <c r="AS289" s="2" t="str">
        <f aca="false">IF(AY289&lt;&gt;"",AY289,"")</f>
        <v/>
      </c>
      <c r="AT289" s="1422" t="n">
        <f aca="false">IF(ISNUMBER($AR289),SUMIF(B$7:B$505,AR289,D$7:D$505),"")</f>
        <v>0</v>
      </c>
      <c r="AU289" s="1411" t="n">
        <f aca="false">IF(ISNUMBER($AR289),SUMIF(AD$7:AD$503,$AR289,J$7:J$503),"")</f>
        <v>0</v>
      </c>
      <c r="AV289" s="1411" t="n">
        <f aca="false">IF(ISNUMBER($AR289),SUMIF(AF$7:AF$503,$AR289,L$7:L$503),"")</f>
        <v>0</v>
      </c>
      <c r="AW289" s="1423" t="n">
        <f aca="false">IF(ISNUMBER($AR289),SUMIF(AE$7:AE$503,$AR289,K$7:K$503),"")</f>
        <v>0</v>
      </c>
      <c r="AX289" s="1423" t="n">
        <f aca="false">IF(ISNUMBER($AR289),SUMIF(AG$7:AG$503,$AR289,M$7:M$503),"")</f>
        <v>0</v>
      </c>
      <c r="AY289" s="2" t="str">
        <f aca="false">IF($AT289&gt;0,VLOOKUP($AR289,'O_MN, PE_UTA_UGM 2024'!E285:O701,2),"")</f>
        <v/>
      </c>
      <c r="AZ289" s="1507"/>
      <c r="BA289" s="1507"/>
      <c r="BB289" s="1507" t="str">
        <f aca="false">IF($AT289&gt;0,VLOOKUP($AR289,'O_MN, PE_UTA_UGM 2024'!$E$3:$O$419,BB$6),"")</f>
        <v/>
      </c>
      <c r="BC289" s="1507" t="str">
        <f aca="false">IF($AT289&gt;0,VLOOKUP($AR289,'O_MN, PE_UTA_UGM 2024'!$E$3:$O$419,BC$6),"")</f>
        <v/>
      </c>
      <c r="BD289" s="1507" t="str">
        <f aca="false">IF($AT289&gt;0,VLOOKUP($AR289,'O_MN, PE_UTA_UGM 2024'!$E$3:$O$419,BD$6),"")</f>
        <v/>
      </c>
      <c r="BE289" s="1507" t="str">
        <f aca="false">IF($AT289&gt;0,VLOOKUP($AR289,'O_MN, PE_UTA_UGM 2024'!$E$3:$O$419,BE$6),"")</f>
        <v/>
      </c>
      <c r="BF289" s="1507" t="str">
        <f aca="false">IF($AT289&gt;0,VLOOKUP($AR289,'O_MN, PE_UTA_UGM 2024'!$E$3:$O$419,BF$6),"")</f>
        <v/>
      </c>
      <c r="BG289" s="1507" t="str">
        <f aca="false">IF($AT289&gt;0,VLOOKUP($AR289,'O_MN, PE_UTA_UGM 2024'!$E$3:$O$419,BG$6),"")</f>
        <v/>
      </c>
      <c r="BH289" s="1504"/>
      <c r="BI289" s="1504"/>
      <c r="BJ289" s="1504"/>
      <c r="BK289" s="1504"/>
      <c r="BM289" s="1411"/>
      <c r="BN289" s="1411"/>
      <c r="BO289" s="1425" t="str">
        <f aca="false">IF(ISNUMBER($AU289*BB289*1),$AU289*BB289*1,"")</f>
        <v/>
      </c>
      <c r="BP289" s="1425" t="str">
        <f aca="false">IF(ISNUMBER($AV289*BC289*1),$AV289*BC289*1,"")</f>
        <v/>
      </c>
      <c r="BQ289" s="1425" t="str">
        <f aca="false">IF(ISNUMBER($AU289*BD289*1),$AU289*BD289*1,"")</f>
        <v/>
      </c>
      <c r="BR289" s="1425" t="str">
        <f aca="false">IF(ISNUMBER($AV289*BE289*1),$AV289*BE289*1,"")</f>
        <v/>
      </c>
      <c r="BS289" s="1411" t="str">
        <f aca="false">IF(ISNUMBER($AU289*BF289),$AU289*BF289,"")</f>
        <v/>
      </c>
      <c r="BT289" s="1411" t="str">
        <f aca="false">IF(ISNUMBER($AV289*BG289),$AV289*BG289,"")</f>
        <v/>
      </c>
      <c r="BU289" s="1411"/>
      <c r="BV289" s="1411"/>
      <c r="BW289" s="1411"/>
      <c r="BX289" s="1411"/>
      <c r="BZ289" s="1372"/>
      <c r="CA289" s="1372"/>
      <c r="CB289" s="1426" t="str">
        <f aca="false">IF(ISNUMBER($AW289*BB289),$AW289*BB289,"")</f>
        <v/>
      </c>
      <c r="CC289" s="1426" t="str">
        <f aca="false">IF(ISNUMBER($AX289*BC289),$AX289*BC289,"")</f>
        <v/>
      </c>
      <c r="CD289" s="1426" t="str">
        <f aca="false">IF(ISNUMBER($AW289*BD289),$AW289*BD289,"")</f>
        <v/>
      </c>
      <c r="CE289" s="1426" t="str">
        <f aca="false">IF(ISNUMBER($AX289*BE289),$AX289*BE289,"")</f>
        <v/>
      </c>
      <c r="CF289" s="1372" t="str">
        <f aca="false">IF(ISNUMBER($AW289*BF289),$AW289*BF289,"")</f>
        <v/>
      </c>
      <c r="CG289" s="1372" t="str">
        <f aca="false">IF(ISNUMBER($AX289*BG289),$AX289*BG289,"")</f>
        <v/>
      </c>
      <c r="CH289" s="1438"/>
      <c r="CI289" s="1438"/>
      <c r="CJ289" s="1438"/>
      <c r="CK289" s="1438"/>
      <c r="CU289" s="1411"/>
      <c r="CV289" s="1411"/>
      <c r="CW289" s="1425"/>
      <c r="CX289" s="1425"/>
      <c r="CY289" s="1425"/>
      <c r="CZ289" s="1425"/>
      <c r="DA289" s="1411"/>
      <c r="DB289" s="1411"/>
      <c r="DC289" s="1411"/>
      <c r="DD289" s="1411"/>
      <c r="DE289" s="1411"/>
      <c r="DF289" s="1411"/>
      <c r="DH289" s="1432"/>
      <c r="DI289" s="1432"/>
      <c r="DJ289" s="1437"/>
      <c r="DK289" s="1437"/>
      <c r="DL289" s="1437"/>
      <c r="DM289" s="1437"/>
      <c r="DN289" s="1432"/>
      <c r="DO289" s="1432"/>
      <c r="DP289" s="1432"/>
      <c r="DQ289" s="1432"/>
      <c r="DR289" s="1432"/>
      <c r="DS289" s="1432"/>
      <c r="DT289" s="1316"/>
      <c r="DU289" s="1433"/>
      <c r="DV289" s="1433"/>
      <c r="DW289" s="1433"/>
      <c r="DX289" s="1433"/>
      <c r="DY289" s="1433"/>
      <c r="DZ289" s="1433"/>
      <c r="EA289" s="1433"/>
      <c r="EB289" s="1433"/>
    </row>
    <row r="290" customFormat="false" ht="14.25" hidden="false" customHeight="false" outlineLevel="0" collapsed="false">
      <c r="A290" s="2" t="n">
        <f aca="false">'V_DATOS PAC_SGA'!CC285</f>
        <v>0</v>
      </c>
      <c r="B290" s="2" t="n">
        <f aca="false">IF(OR(A290=0,A290=""),0,IF(I290="IV",CONCATENATE('V_DATOS PAC_SGA'!CC285,"4")+0,CONCATENATE('V_DATOS PAC_SGA'!CC285,"0")+0))</f>
        <v>0</v>
      </c>
      <c r="C290" s="2" t="n">
        <f aca="false">'V_DATOS PAC_SGA'!CD285</f>
        <v>0</v>
      </c>
      <c r="D290" s="1409" t="n">
        <f aca="false">'V_DATOS PAC_SGA'!Y285</f>
        <v>0</v>
      </c>
      <c r="E290" s="1410" t="str">
        <f aca="false">IF('V_DATOS PAC_SGA'!AV285="","Regadio",'V_DATOS PAC_SGA'!AV285)</f>
        <v>Regadio</v>
      </c>
      <c r="F290" s="1411" t="n">
        <f aca="false">'V_DATOS PAC_SGA'!BK285</f>
        <v>0</v>
      </c>
      <c r="G290" s="1412" t="n">
        <f aca="false">'V_DATOS PAC_SGA'!AN285</f>
        <v>0</v>
      </c>
      <c r="H290" s="1413" t="str">
        <f aca="false">IF(B290&gt;0,VLOOKUP(B290,'O_MN, PE_UTA_UGM 2024'!E$3:O$419,10),"")</f>
        <v/>
      </c>
      <c r="I290" s="1359" t="str">
        <f aca="false">IF('V_DATOS PAC_SGA'!BV285="IV",'V_DATOS PAC_SGA'!BV285,"")</f>
        <v/>
      </c>
      <c r="J290" s="2" t="str">
        <f aca="false">IF($A290&gt;0,IF(AND(J$4=$G290,J$6=$F290),$D290*J$5,""),"")</f>
        <v/>
      </c>
      <c r="K290" s="2" t="str">
        <f aca="false">IF($A290&gt;0,IF(AND(K$4=$G290,K$6=$F290),$D290*K$5,""),"")</f>
        <v/>
      </c>
      <c r="L290" s="2" t="str">
        <f aca="false">IF($A290&gt;0,IF(AND(L$4=$G290,L$6=$F290),$D290*L$5,""),"")</f>
        <v/>
      </c>
      <c r="M290" s="2" t="str">
        <f aca="false">IF($A290&gt;0,IF(AND(M$4=$G290,M$6=$F290),$D290*M$5,""),"")</f>
        <v/>
      </c>
      <c r="N290" s="1506" t="n">
        <f aca="false">VLOOKUP(B290,'O_MN, PE_UTA_UGM 2024'!$E$2:$K$419,IF(G290&gt;1,6,7))</f>
        <v>0</v>
      </c>
      <c r="O290" s="1434" t="str">
        <f aca="false">IF($H290=O$4,$D290*$N290,"")</f>
        <v/>
      </c>
      <c r="P290" s="1435" t="str">
        <f aca="false">IF($H290=P$4,$D290*$N290,"")</f>
        <v/>
      </c>
      <c r="Q290" s="1435" t="str">
        <f aca="false">IF($H290=Q$4,$D290*$N290,"")</f>
        <v/>
      </c>
      <c r="R290" s="1435" t="str">
        <f aca="false">IF($H290=R$4,$D290*$N290,"")</f>
        <v/>
      </c>
      <c r="S290" s="1435" t="str">
        <f aca="false">IF($H290=S$4,$D290*$N290,"")</f>
        <v/>
      </c>
      <c r="T290" s="1435" t="str">
        <f aca="false">IF($H290=T$4,$D290*$N290,"")</f>
        <v/>
      </c>
      <c r="U290" s="1436" t="str">
        <f aca="false">IF($H290=U$4,$D290*$N290,"")</f>
        <v/>
      </c>
      <c r="V290" s="1418"/>
      <c r="W290" s="1419"/>
      <c r="X290" s="1419"/>
      <c r="Y290" s="1419"/>
      <c r="Z290" s="1419"/>
      <c r="AA290" s="1419"/>
      <c r="AB290" s="1420"/>
      <c r="AC290" s="1319"/>
      <c r="AD290" s="2" t="str">
        <f aca="false">IF(AND(AD$4=$G290,AD$6=$F290),$B290,"")</f>
        <v/>
      </c>
      <c r="AE290" s="2" t="str">
        <f aca="false">IF(AND(AE$4=$G290,AE$6=$F290),$B290,"")</f>
        <v/>
      </c>
      <c r="AF290" s="2" t="str">
        <f aca="false">IF(AND(AF$4=$G290,AF$6=$F290),$B290,"")</f>
        <v/>
      </c>
      <c r="AG290" s="2" t="str">
        <f aca="false">IF(AND(AG$4=$G290,AG$6=$F290),$B290,"")</f>
        <v/>
      </c>
      <c r="AI290" s="366"/>
      <c r="AL290" s="367"/>
      <c r="AO290" s="367"/>
      <c r="AP290" s="2" t="str">
        <f aca="false">IF(AT290&gt;0,RANK(AT290,AT$7:AT$423),"")</f>
        <v/>
      </c>
      <c r="AQ290" s="2" t="n">
        <f aca="false">'O_MN, PE_UTA_UGM 2024'!C286</f>
        <v>283</v>
      </c>
      <c r="AR290" s="1421" t="n">
        <v>2794</v>
      </c>
      <c r="AS290" s="2" t="str">
        <f aca="false">IF(AY290&lt;&gt;"",AY290,"")</f>
        <v/>
      </c>
      <c r="AT290" s="1422" t="n">
        <f aca="false">IF(ISNUMBER($AR290),SUMIF(B$7:B$505,AR290,D$7:D$505),"")</f>
        <v>0</v>
      </c>
      <c r="AU290" s="1411" t="n">
        <f aca="false">IF(ISNUMBER($AR290),SUMIF(AD$7:AD$503,$AR290,J$7:J$503),"")</f>
        <v>0</v>
      </c>
      <c r="AV290" s="1411" t="n">
        <f aca="false">IF(ISNUMBER($AR290),SUMIF(AF$7:AF$503,$AR290,L$7:L$503),"")</f>
        <v>0</v>
      </c>
      <c r="AW290" s="1423" t="n">
        <f aca="false">IF(ISNUMBER($AR290),SUMIF(AE$7:AE$503,$AR290,K$7:K$503),"")</f>
        <v>0</v>
      </c>
      <c r="AX290" s="1423" t="n">
        <f aca="false">IF(ISNUMBER($AR290),SUMIF(AG$7:AG$503,$AR290,M$7:M$503),"")</f>
        <v>0</v>
      </c>
      <c r="AY290" s="2" t="str">
        <f aca="false">IF($AT290&gt;0,VLOOKUP($AR290,'O_MN, PE_UTA_UGM 2024'!E286:O702,2),"")</f>
        <v/>
      </c>
      <c r="AZ290" s="1507"/>
      <c r="BA290" s="1507"/>
      <c r="BB290" s="1507" t="str">
        <f aca="false">IF($AT290&gt;0,VLOOKUP($AR290,'O_MN, PE_UTA_UGM 2024'!$E$3:$O$419,BB$6),"")</f>
        <v/>
      </c>
      <c r="BC290" s="1507" t="str">
        <f aca="false">IF($AT290&gt;0,VLOOKUP($AR290,'O_MN, PE_UTA_UGM 2024'!$E$3:$O$419,BC$6),"")</f>
        <v/>
      </c>
      <c r="BD290" s="1507" t="str">
        <f aca="false">IF($AT290&gt;0,VLOOKUP($AR290,'O_MN, PE_UTA_UGM 2024'!$E$3:$O$419,BD$6),"")</f>
        <v/>
      </c>
      <c r="BE290" s="1507" t="str">
        <f aca="false">IF($AT290&gt;0,VLOOKUP($AR290,'O_MN, PE_UTA_UGM 2024'!$E$3:$O$419,BE$6),"")</f>
        <v/>
      </c>
      <c r="BF290" s="1507" t="str">
        <f aca="false">IF($AT290&gt;0,VLOOKUP($AR290,'O_MN, PE_UTA_UGM 2024'!$E$3:$O$419,BF$6),"")</f>
        <v/>
      </c>
      <c r="BG290" s="1507" t="str">
        <f aca="false">IF($AT290&gt;0,VLOOKUP($AR290,'O_MN, PE_UTA_UGM 2024'!$E$3:$O$419,BG$6),"")</f>
        <v/>
      </c>
      <c r="BH290" s="1504"/>
      <c r="BI290" s="1504"/>
      <c r="BJ290" s="1504"/>
      <c r="BK290" s="1504"/>
      <c r="BM290" s="1411"/>
      <c r="BN290" s="1411"/>
      <c r="BO290" s="1425" t="str">
        <f aca="false">IF(ISNUMBER($AU290*BB290*1),$AU290*BB290*1,"")</f>
        <v/>
      </c>
      <c r="BP290" s="1425" t="str">
        <f aca="false">IF(ISNUMBER($AV290*BC290*1),$AV290*BC290*1,"")</f>
        <v/>
      </c>
      <c r="BQ290" s="1425" t="str">
        <f aca="false">IF(ISNUMBER($AU290*BD290*1),$AU290*BD290*1,"")</f>
        <v/>
      </c>
      <c r="BR290" s="1425" t="str">
        <f aca="false">IF(ISNUMBER($AV290*BE290*1),$AV290*BE290*1,"")</f>
        <v/>
      </c>
      <c r="BS290" s="1411" t="str">
        <f aca="false">IF(ISNUMBER($AU290*BF290),$AU290*BF290,"")</f>
        <v/>
      </c>
      <c r="BT290" s="1411" t="str">
        <f aca="false">IF(ISNUMBER($AV290*BG290),$AV290*BG290,"")</f>
        <v/>
      </c>
      <c r="BU290" s="1411"/>
      <c r="BV290" s="1411"/>
      <c r="BW290" s="1411"/>
      <c r="BX290" s="1411"/>
      <c r="BZ290" s="1372"/>
      <c r="CA290" s="1372"/>
      <c r="CB290" s="1426" t="str">
        <f aca="false">IF(ISNUMBER($AW290*BB290),$AW290*BB290,"")</f>
        <v/>
      </c>
      <c r="CC290" s="1426" t="str">
        <f aca="false">IF(ISNUMBER($AX290*BC290),$AX290*BC290,"")</f>
        <v/>
      </c>
      <c r="CD290" s="1426" t="str">
        <f aca="false">IF(ISNUMBER($AW290*BD290),$AW290*BD290,"")</f>
        <v/>
      </c>
      <c r="CE290" s="1426" t="str">
        <f aca="false">IF(ISNUMBER($AX290*BE290),$AX290*BE290,"")</f>
        <v/>
      </c>
      <c r="CF290" s="1372" t="str">
        <f aca="false">IF(ISNUMBER($AW290*BF290),$AW290*BF290,"")</f>
        <v/>
      </c>
      <c r="CG290" s="1372" t="str">
        <f aca="false">IF(ISNUMBER($AX290*BG290),$AX290*BG290,"")</f>
        <v/>
      </c>
      <c r="CH290" s="1438"/>
      <c r="CI290" s="1438"/>
      <c r="CJ290" s="1438"/>
      <c r="CK290" s="1438"/>
      <c r="CU290" s="1411"/>
      <c r="CV290" s="1411"/>
      <c r="CW290" s="1425"/>
      <c r="CX290" s="1425"/>
      <c r="CY290" s="1425"/>
      <c r="CZ290" s="1425"/>
      <c r="DA290" s="1411"/>
      <c r="DB290" s="1411"/>
      <c r="DC290" s="1411"/>
      <c r="DD290" s="1411"/>
      <c r="DE290" s="1411"/>
      <c r="DF290" s="1411"/>
      <c r="DH290" s="1432"/>
      <c r="DI290" s="1432"/>
      <c r="DJ290" s="1437"/>
      <c r="DK290" s="1437"/>
      <c r="DL290" s="1437"/>
      <c r="DM290" s="1437"/>
      <c r="DN290" s="1432"/>
      <c r="DO290" s="1432"/>
      <c r="DP290" s="1432"/>
      <c r="DQ290" s="1432"/>
      <c r="DR290" s="1432"/>
      <c r="DS290" s="1432"/>
      <c r="DT290" s="1316"/>
      <c r="DU290" s="1433"/>
      <c r="DV290" s="1433"/>
      <c r="DW290" s="1433"/>
      <c r="DX290" s="1433"/>
      <c r="DY290" s="1433"/>
      <c r="DZ290" s="1433"/>
      <c r="EA290" s="1433"/>
      <c r="EB290" s="1433"/>
    </row>
    <row r="291" customFormat="false" ht="14.25" hidden="false" customHeight="false" outlineLevel="0" collapsed="false">
      <c r="A291" s="2" t="n">
        <f aca="false">'V_DATOS PAC_SGA'!CC286</f>
        <v>0</v>
      </c>
      <c r="B291" s="2" t="n">
        <f aca="false">IF(OR(A291=0,A291=""),0,IF(I291="IV",CONCATENATE('V_DATOS PAC_SGA'!CC286,"4")+0,CONCATENATE('V_DATOS PAC_SGA'!CC286,"0")+0))</f>
        <v>0</v>
      </c>
      <c r="C291" s="2" t="n">
        <f aca="false">'V_DATOS PAC_SGA'!CD286</f>
        <v>0</v>
      </c>
      <c r="D291" s="1409" t="n">
        <f aca="false">'V_DATOS PAC_SGA'!Y286</f>
        <v>0</v>
      </c>
      <c r="E291" s="1410" t="str">
        <f aca="false">IF('V_DATOS PAC_SGA'!AV286="","Regadio",'V_DATOS PAC_SGA'!AV286)</f>
        <v>Regadio</v>
      </c>
      <c r="F291" s="1411" t="n">
        <f aca="false">'V_DATOS PAC_SGA'!BK286</f>
        <v>0</v>
      </c>
      <c r="G291" s="1412" t="n">
        <f aca="false">'V_DATOS PAC_SGA'!AN286</f>
        <v>0</v>
      </c>
      <c r="H291" s="1413" t="str">
        <f aca="false">IF(B291&gt;0,VLOOKUP(B291,'O_MN, PE_UTA_UGM 2024'!E$3:O$419,10),"")</f>
        <v/>
      </c>
      <c r="I291" s="1359" t="str">
        <f aca="false">IF('V_DATOS PAC_SGA'!BV286="IV",'V_DATOS PAC_SGA'!BV286,"")</f>
        <v/>
      </c>
      <c r="J291" s="2" t="str">
        <f aca="false">IF($A291&gt;0,IF(AND(J$4=$G291,J$6=$F291),$D291*J$5,""),"")</f>
        <v/>
      </c>
      <c r="K291" s="2" t="str">
        <f aca="false">IF($A291&gt;0,IF(AND(K$4=$G291,K$6=$F291),$D291*K$5,""),"")</f>
        <v/>
      </c>
      <c r="L291" s="2" t="str">
        <f aca="false">IF($A291&gt;0,IF(AND(L$4=$G291,L$6=$F291),$D291*L$5,""),"")</f>
        <v/>
      </c>
      <c r="M291" s="2" t="str">
        <f aca="false">IF($A291&gt;0,IF(AND(M$4=$G291,M$6=$F291),$D291*M$5,""),"")</f>
        <v/>
      </c>
      <c r="N291" s="1506" t="n">
        <f aca="false">VLOOKUP(B291,'O_MN, PE_UTA_UGM 2024'!$E$2:$K$419,IF(G291&gt;1,6,7))</f>
        <v>0</v>
      </c>
      <c r="O291" s="1434" t="str">
        <f aca="false">IF($H291=O$4,$D291*$N291,"")</f>
        <v/>
      </c>
      <c r="P291" s="1435" t="str">
        <f aca="false">IF($H291=P$4,$D291*$N291,"")</f>
        <v/>
      </c>
      <c r="Q291" s="1435" t="str">
        <f aca="false">IF($H291=Q$4,$D291*$N291,"")</f>
        <v/>
      </c>
      <c r="R291" s="1435" t="str">
        <f aca="false">IF($H291=R$4,$D291*$N291,"")</f>
        <v/>
      </c>
      <c r="S291" s="1435" t="str">
        <f aca="false">IF($H291=S$4,$D291*$N291,"")</f>
        <v/>
      </c>
      <c r="T291" s="1435" t="str">
        <f aca="false">IF($H291=T$4,$D291*$N291,"")</f>
        <v/>
      </c>
      <c r="U291" s="1436" t="str">
        <f aca="false">IF($H291=U$4,$D291*$N291,"")</f>
        <v/>
      </c>
      <c r="V291" s="1418"/>
      <c r="W291" s="1419"/>
      <c r="X291" s="1419"/>
      <c r="Y291" s="1419"/>
      <c r="Z291" s="1419"/>
      <c r="AA291" s="1419"/>
      <c r="AB291" s="1420"/>
      <c r="AC291" s="1319"/>
      <c r="AD291" s="2" t="str">
        <f aca="false">IF(AND(AD$4=$G291,AD$6=$F291),$B291,"")</f>
        <v/>
      </c>
      <c r="AE291" s="2" t="str">
        <f aca="false">IF(AND(AE$4=$G291,AE$6=$F291),$B291,"")</f>
        <v/>
      </c>
      <c r="AF291" s="2" t="str">
        <f aca="false">IF(AND(AF$4=$G291,AF$6=$F291),$B291,"")</f>
        <v/>
      </c>
      <c r="AG291" s="2" t="str">
        <f aca="false">IF(AND(AG$4=$G291,AG$6=$F291),$B291,"")</f>
        <v/>
      </c>
      <c r="AI291" s="366"/>
      <c r="AL291" s="367"/>
      <c r="AO291" s="367"/>
      <c r="AP291" s="2" t="str">
        <f aca="false">IF(AT291&gt;0,RANK(AT291,AT$7:AT$423),"")</f>
        <v/>
      </c>
      <c r="AQ291" s="2" t="n">
        <f aca="false">'O_MN, PE_UTA_UGM 2024'!C287</f>
        <v>284</v>
      </c>
      <c r="AR291" s="1421" t="n">
        <v>2799</v>
      </c>
      <c r="AS291" s="2" t="str">
        <f aca="false">IF(AY291&lt;&gt;"",AY291,"")</f>
        <v/>
      </c>
      <c r="AT291" s="1422" t="n">
        <f aca="false">IF(ISNUMBER($AR291),SUMIF(B$7:B$505,AR291,D$7:D$505),"")</f>
        <v>0</v>
      </c>
      <c r="AU291" s="1411" t="n">
        <f aca="false">IF(ISNUMBER($AR291),SUMIF(AD$7:AD$503,$AR291,J$7:J$503),"")</f>
        <v>0</v>
      </c>
      <c r="AV291" s="1411" t="n">
        <f aca="false">IF(ISNUMBER($AR291),SUMIF(AF$7:AF$503,$AR291,L$7:L$503),"")</f>
        <v>0</v>
      </c>
      <c r="AW291" s="1423" t="n">
        <f aca="false">IF(ISNUMBER($AR291),SUMIF(AE$7:AE$503,$AR291,K$7:K$503),"")</f>
        <v>0</v>
      </c>
      <c r="AX291" s="1423" t="n">
        <f aca="false">IF(ISNUMBER($AR291),SUMIF(AG$7:AG$503,$AR291,M$7:M$503),"")</f>
        <v>0</v>
      </c>
      <c r="AY291" s="2" t="str">
        <f aca="false">IF($AT291&gt;0,VLOOKUP($AR291,'O_MN, PE_UTA_UGM 2024'!E287:O703,2),"")</f>
        <v/>
      </c>
      <c r="AZ291" s="1507"/>
      <c r="BA291" s="1507"/>
      <c r="BB291" s="1507" t="str">
        <f aca="false">IF($AT291&gt;0,VLOOKUP($AR291,'O_MN, PE_UTA_UGM 2024'!$E$3:$O$419,BB$6),"")</f>
        <v/>
      </c>
      <c r="BC291" s="1507" t="str">
        <f aca="false">IF($AT291&gt;0,VLOOKUP($AR291,'O_MN, PE_UTA_UGM 2024'!$E$3:$O$419,BC$6),"")</f>
        <v/>
      </c>
      <c r="BD291" s="1507" t="str">
        <f aca="false">IF($AT291&gt;0,VLOOKUP($AR291,'O_MN, PE_UTA_UGM 2024'!$E$3:$O$419,BD$6),"")</f>
        <v/>
      </c>
      <c r="BE291" s="1507" t="str">
        <f aca="false">IF($AT291&gt;0,VLOOKUP($AR291,'O_MN, PE_UTA_UGM 2024'!$E$3:$O$419,BE$6),"")</f>
        <v/>
      </c>
      <c r="BF291" s="1507" t="str">
        <f aca="false">IF($AT291&gt;0,VLOOKUP($AR291,'O_MN, PE_UTA_UGM 2024'!$E$3:$O$419,BF$6),"")</f>
        <v/>
      </c>
      <c r="BG291" s="1507" t="str">
        <f aca="false">IF($AT291&gt;0,VLOOKUP($AR291,'O_MN, PE_UTA_UGM 2024'!$E$3:$O$419,BG$6),"")</f>
        <v/>
      </c>
      <c r="BH291" s="1504"/>
      <c r="BI291" s="1504"/>
      <c r="BJ291" s="1504"/>
      <c r="BK291" s="1504"/>
      <c r="BM291" s="1411"/>
      <c r="BN291" s="1411"/>
      <c r="BO291" s="1425" t="str">
        <f aca="false">IF(ISNUMBER($AU291*BB291*1),$AU291*BB291*1,"")</f>
        <v/>
      </c>
      <c r="BP291" s="1425" t="str">
        <f aca="false">IF(ISNUMBER($AV291*BC291*1),$AV291*BC291*1,"")</f>
        <v/>
      </c>
      <c r="BQ291" s="1425" t="str">
        <f aca="false">IF(ISNUMBER($AU291*BD291*1),$AU291*BD291*1,"")</f>
        <v/>
      </c>
      <c r="BR291" s="1425" t="str">
        <f aca="false">IF(ISNUMBER($AV291*BE291*1),$AV291*BE291*1,"")</f>
        <v/>
      </c>
      <c r="BS291" s="1411" t="str">
        <f aca="false">IF(ISNUMBER($AU291*BF291),$AU291*BF291,"")</f>
        <v/>
      </c>
      <c r="BT291" s="1411" t="str">
        <f aca="false">IF(ISNUMBER($AV291*BG291),$AV291*BG291,"")</f>
        <v/>
      </c>
      <c r="BU291" s="1411"/>
      <c r="BV291" s="1411"/>
      <c r="BW291" s="1411"/>
      <c r="BX291" s="1411"/>
      <c r="BZ291" s="1372"/>
      <c r="CA291" s="1372"/>
      <c r="CB291" s="1426" t="str">
        <f aca="false">IF(ISNUMBER($AW291*BB291),$AW291*BB291,"")</f>
        <v/>
      </c>
      <c r="CC291" s="1426" t="str">
        <f aca="false">IF(ISNUMBER($AX291*BC291),$AX291*BC291,"")</f>
        <v/>
      </c>
      <c r="CD291" s="1426" t="str">
        <f aca="false">IF(ISNUMBER($AW291*BD291),$AW291*BD291,"")</f>
        <v/>
      </c>
      <c r="CE291" s="1426" t="str">
        <f aca="false">IF(ISNUMBER($AX291*BE291),$AX291*BE291,"")</f>
        <v/>
      </c>
      <c r="CF291" s="1372" t="str">
        <f aca="false">IF(ISNUMBER($AW291*BF291),$AW291*BF291,"")</f>
        <v/>
      </c>
      <c r="CG291" s="1372" t="str">
        <f aca="false">IF(ISNUMBER($AX291*BG291),$AX291*BG291,"")</f>
        <v/>
      </c>
      <c r="CH291" s="1438"/>
      <c r="CI291" s="1438"/>
      <c r="CJ291" s="1438"/>
      <c r="CK291" s="1438"/>
      <c r="CU291" s="1411"/>
      <c r="CV291" s="1411"/>
      <c r="CW291" s="1425"/>
      <c r="CX291" s="1425"/>
      <c r="CY291" s="1425"/>
      <c r="CZ291" s="1425"/>
      <c r="DA291" s="1411"/>
      <c r="DB291" s="1411"/>
      <c r="DC291" s="1411"/>
      <c r="DD291" s="1411"/>
      <c r="DE291" s="1411"/>
      <c r="DF291" s="1411"/>
      <c r="DH291" s="1432"/>
      <c r="DI291" s="1432"/>
      <c r="DJ291" s="1437"/>
      <c r="DK291" s="1437"/>
      <c r="DL291" s="1437"/>
      <c r="DM291" s="1437"/>
      <c r="DN291" s="1432"/>
      <c r="DO291" s="1432"/>
      <c r="DP291" s="1432"/>
      <c r="DQ291" s="1432"/>
      <c r="DR291" s="1432"/>
      <c r="DS291" s="1432"/>
      <c r="DT291" s="1316"/>
      <c r="DU291" s="1433"/>
      <c r="DV291" s="1433"/>
      <c r="DW291" s="1433"/>
      <c r="DX291" s="1433"/>
      <c r="DY291" s="1433"/>
      <c r="DZ291" s="1433"/>
      <c r="EA291" s="1433"/>
      <c r="EB291" s="1433"/>
    </row>
    <row r="292" customFormat="false" ht="14.25" hidden="false" customHeight="false" outlineLevel="0" collapsed="false">
      <c r="A292" s="2" t="n">
        <f aca="false">'V_DATOS PAC_SGA'!CC287</f>
        <v>0</v>
      </c>
      <c r="B292" s="2" t="n">
        <f aca="false">IF(OR(A292=0,A292=""),0,IF(I292="IV",CONCATENATE('V_DATOS PAC_SGA'!CC287,"4")+0,CONCATENATE('V_DATOS PAC_SGA'!CC287,"0")+0))</f>
        <v>0</v>
      </c>
      <c r="C292" s="2" t="n">
        <f aca="false">'V_DATOS PAC_SGA'!CD287</f>
        <v>0</v>
      </c>
      <c r="D292" s="1409" t="n">
        <f aca="false">'V_DATOS PAC_SGA'!Y287</f>
        <v>0</v>
      </c>
      <c r="E292" s="1410" t="str">
        <f aca="false">IF('V_DATOS PAC_SGA'!AV287="","Regadio",'V_DATOS PAC_SGA'!AV287)</f>
        <v>Regadio</v>
      </c>
      <c r="F292" s="1411" t="n">
        <f aca="false">'V_DATOS PAC_SGA'!BK287</f>
        <v>0</v>
      </c>
      <c r="G292" s="1412" t="n">
        <f aca="false">'V_DATOS PAC_SGA'!AN287</f>
        <v>0</v>
      </c>
      <c r="H292" s="1413" t="str">
        <f aca="false">IF(B292&gt;0,VLOOKUP(B292,'O_MN, PE_UTA_UGM 2024'!E$3:O$419,10),"")</f>
        <v/>
      </c>
      <c r="I292" s="1359" t="str">
        <f aca="false">IF('V_DATOS PAC_SGA'!BV287="IV",'V_DATOS PAC_SGA'!BV287,"")</f>
        <v/>
      </c>
      <c r="J292" s="2" t="str">
        <f aca="false">IF($A292&gt;0,IF(AND(J$4=$G292,J$6=$F292),$D292*J$5,""),"")</f>
        <v/>
      </c>
      <c r="K292" s="2" t="str">
        <f aca="false">IF($A292&gt;0,IF(AND(K$4=$G292,K$6=$F292),$D292*K$5,""),"")</f>
        <v/>
      </c>
      <c r="L292" s="2" t="str">
        <f aca="false">IF($A292&gt;0,IF(AND(L$4=$G292,L$6=$F292),$D292*L$5,""),"")</f>
        <v/>
      </c>
      <c r="M292" s="2" t="str">
        <f aca="false">IF($A292&gt;0,IF(AND(M$4=$G292,M$6=$F292),$D292*M$5,""),"")</f>
        <v/>
      </c>
      <c r="N292" s="1506" t="n">
        <f aca="false">VLOOKUP(B292,'O_MN, PE_UTA_UGM 2024'!$E$2:$K$419,IF(G292&gt;1,6,7))</f>
        <v>0</v>
      </c>
      <c r="O292" s="1434" t="str">
        <f aca="false">IF($H292=O$4,$D292*$N292,"")</f>
        <v/>
      </c>
      <c r="P292" s="1435" t="str">
        <f aca="false">IF($H292=P$4,$D292*$N292,"")</f>
        <v/>
      </c>
      <c r="Q292" s="1435" t="str">
        <f aca="false">IF($H292=Q$4,$D292*$N292,"")</f>
        <v/>
      </c>
      <c r="R292" s="1435" t="str">
        <f aca="false">IF($H292=R$4,$D292*$N292,"")</f>
        <v/>
      </c>
      <c r="S292" s="1435" t="str">
        <f aca="false">IF($H292=S$4,$D292*$N292,"")</f>
        <v/>
      </c>
      <c r="T292" s="1435" t="str">
        <f aca="false">IF($H292=T$4,$D292*$N292,"")</f>
        <v/>
      </c>
      <c r="U292" s="1436" t="str">
        <f aca="false">IF($H292=U$4,$D292*$N292,"")</f>
        <v/>
      </c>
      <c r="V292" s="1418"/>
      <c r="W292" s="1419"/>
      <c r="X292" s="1419"/>
      <c r="Y292" s="1419"/>
      <c r="Z292" s="1419"/>
      <c r="AA292" s="1419"/>
      <c r="AB292" s="1420"/>
      <c r="AC292" s="1319"/>
      <c r="AD292" s="2" t="str">
        <f aca="false">IF(AND(AD$4=$G292,AD$6=$F292),$B292,"")</f>
        <v/>
      </c>
      <c r="AE292" s="2" t="str">
        <f aca="false">IF(AND(AE$4=$G292,AE$6=$F292),$B292,"")</f>
        <v/>
      </c>
      <c r="AF292" s="2" t="str">
        <f aca="false">IF(AND(AF$4=$G292,AF$6=$F292),$B292,"")</f>
        <v/>
      </c>
      <c r="AG292" s="2" t="str">
        <f aca="false">IF(AND(AG$4=$G292,AG$6=$F292),$B292,"")</f>
        <v/>
      </c>
      <c r="AI292" s="366"/>
      <c r="AL292" s="367"/>
      <c r="AO292" s="367"/>
      <c r="AP292" s="2" t="str">
        <f aca="false">IF(AT292&gt;0,RANK(AT292,AT$7:AT$423),"")</f>
        <v/>
      </c>
      <c r="AQ292" s="2" t="n">
        <f aca="false">'O_MN, PE_UTA_UGM 2024'!C288</f>
        <v>285</v>
      </c>
      <c r="AR292" s="1421" t="n">
        <v>2800</v>
      </c>
      <c r="AS292" s="2" t="str">
        <f aca="false">IF(AY292&lt;&gt;"",AY292,"")</f>
        <v/>
      </c>
      <c r="AT292" s="1422" t="n">
        <f aca="false">IF(ISNUMBER($AR292),SUMIF(B$7:B$505,AR292,D$7:D$505),"")</f>
        <v>0</v>
      </c>
      <c r="AU292" s="1411" t="n">
        <f aca="false">IF(ISNUMBER($AR292),SUMIF(AD$7:AD$503,$AR292,J$7:J$503),"")</f>
        <v>0</v>
      </c>
      <c r="AV292" s="1411" t="n">
        <f aca="false">IF(ISNUMBER($AR292),SUMIF(AF$7:AF$503,$AR292,L$7:L$503),"")</f>
        <v>0</v>
      </c>
      <c r="AW292" s="1423" t="n">
        <f aca="false">IF(ISNUMBER($AR292),SUMIF(AE$7:AE$503,$AR292,K$7:K$503),"")</f>
        <v>0</v>
      </c>
      <c r="AX292" s="1423" t="n">
        <f aca="false">IF(ISNUMBER($AR292),SUMIF(AG$7:AG$503,$AR292,M$7:M$503),"")</f>
        <v>0</v>
      </c>
      <c r="AY292" s="2" t="str">
        <f aca="false">IF($AT292&gt;0,VLOOKUP($AR292,'O_MN, PE_UTA_UGM 2024'!E288:O704,2),"")</f>
        <v/>
      </c>
      <c r="AZ292" s="1507"/>
      <c r="BA292" s="1507"/>
      <c r="BB292" s="1507" t="str">
        <f aca="false">IF($AT292&gt;0,VLOOKUP($AR292,'O_MN, PE_UTA_UGM 2024'!$E$3:$O$419,BB$6),"")</f>
        <v/>
      </c>
      <c r="BC292" s="1507" t="str">
        <f aca="false">IF($AT292&gt;0,VLOOKUP($AR292,'O_MN, PE_UTA_UGM 2024'!$E$3:$O$419,BC$6),"")</f>
        <v/>
      </c>
      <c r="BD292" s="1507" t="str">
        <f aca="false">IF($AT292&gt;0,VLOOKUP($AR292,'O_MN, PE_UTA_UGM 2024'!$E$3:$O$419,BD$6),"")</f>
        <v/>
      </c>
      <c r="BE292" s="1507" t="str">
        <f aca="false">IF($AT292&gt;0,VLOOKUP($AR292,'O_MN, PE_UTA_UGM 2024'!$E$3:$O$419,BE$6),"")</f>
        <v/>
      </c>
      <c r="BF292" s="1507" t="str">
        <f aca="false">IF($AT292&gt;0,VLOOKUP($AR292,'O_MN, PE_UTA_UGM 2024'!$E$3:$O$419,BF$6),"")</f>
        <v/>
      </c>
      <c r="BG292" s="1507" t="str">
        <f aca="false">IF($AT292&gt;0,VLOOKUP($AR292,'O_MN, PE_UTA_UGM 2024'!$E$3:$O$419,BG$6),"")</f>
        <v/>
      </c>
      <c r="BH292" s="1504"/>
      <c r="BI292" s="1504"/>
      <c r="BJ292" s="1504"/>
      <c r="BK292" s="1504"/>
      <c r="BM292" s="1411"/>
      <c r="BN292" s="1411"/>
      <c r="BO292" s="1425" t="str">
        <f aca="false">IF(ISNUMBER($AU292*BB292*1),$AU292*BB292*1,"")</f>
        <v/>
      </c>
      <c r="BP292" s="1425" t="str">
        <f aca="false">IF(ISNUMBER($AV292*BC292*1),$AV292*BC292*1,"")</f>
        <v/>
      </c>
      <c r="BQ292" s="1425" t="str">
        <f aca="false">IF(ISNUMBER($AU292*BD292*1),$AU292*BD292*1,"")</f>
        <v/>
      </c>
      <c r="BR292" s="1425" t="str">
        <f aca="false">IF(ISNUMBER($AV292*BE292*1),$AV292*BE292*1,"")</f>
        <v/>
      </c>
      <c r="BS292" s="1411" t="str">
        <f aca="false">IF(ISNUMBER($AU292*BF292),$AU292*BF292,"")</f>
        <v/>
      </c>
      <c r="BT292" s="1411" t="str">
        <f aca="false">IF(ISNUMBER($AV292*BG292),$AV292*BG292,"")</f>
        <v/>
      </c>
      <c r="BU292" s="1411"/>
      <c r="BV292" s="1411"/>
      <c r="BW292" s="1411"/>
      <c r="BX292" s="1411"/>
      <c r="BZ292" s="1372"/>
      <c r="CA292" s="1372"/>
      <c r="CB292" s="1426" t="str">
        <f aca="false">IF(ISNUMBER($AW292*BB292),$AW292*BB292,"")</f>
        <v/>
      </c>
      <c r="CC292" s="1426" t="str">
        <f aca="false">IF(ISNUMBER($AX292*BC292),$AX292*BC292,"")</f>
        <v/>
      </c>
      <c r="CD292" s="1426" t="str">
        <f aca="false">IF(ISNUMBER($AW292*BD292),$AW292*BD292,"")</f>
        <v/>
      </c>
      <c r="CE292" s="1426" t="str">
        <f aca="false">IF(ISNUMBER($AX292*BE292),$AX292*BE292,"")</f>
        <v/>
      </c>
      <c r="CF292" s="1372" t="str">
        <f aca="false">IF(ISNUMBER($AW292*BF292),$AW292*BF292,"")</f>
        <v/>
      </c>
      <c r="CG292" s="1372" t="str">
        <f aca="false">IF(ISNUMBER($AX292*BG292),$AX292*BG292,"")</f>
        <v/>
      </c>
      <c r="CH292" s="1438"/>
      <c r="CI292" s="1438"/>
      <c r="CJ292" s="1438"/>
      <c r="CK292" s="1438"/>
      <c r="CU292" s="1411"/>
      <c r="CV292" s="1411"/>
      <c r="CW292" s="1425"/>
      <c r="CX292" s="1425"/>
      <c r="CY292" s="1425"/>
      <c r="CZ292" s="1425"/>
      <c r="DA292" s="1411"/>
      <c r="DB292" s="1411"/>
      <c r="DC292" s="1411"/>
      <c r="DD292" s="1411"/>
      <c r="DE292" s="1411"/>
      <c r="DF292" s="1411"/>
      <c r="DH292" s="1432"/>
      <c r="DI292" s="1432"/>
      <c r="DJ292" s="1437"/>
      <c r="DK292" s="1437"/>
      <c r="DL292" s="1437"/>
      <c r="DM292" s="1437"/>
      <c r="DN292" s="1432"/>
      <c r="DO292" s="1432"/>
      <c r="DP292" s="1432"/>
      <c r="DQ292" s="1432"/>
      <c r="DR292" s="1432"/>
      <c r="DS292" s="1432"/>
      <c r="DT292" s="1316"/>
      <c r="DU292" s="1433"/>
      <c r="DV292" s="1433"/>
      <c r="DW292" s="1433"/>
      <c r="DX292" s="1433"/>
      <c r="DY292" s="1433"/>
      <c r="DZ292" s="1433"/>
      <c r="EA292" s="1433"/>
      <c r="EB292" s="1433"/>
    </row>
    <row r="293" customFormat="false" ht="14.25" hidden="false" customHeight="false" outlineLevel="0" collapsed="false">
      <c r="A293" s="2" t="n">
        <f aca="false">'V_DATOS PAC_SGA'!CC288</f>
        <v>0</v>
      </c>
      <c r="B293" s="2" t="n">
        <f aca="false">IF(OR(A293=0,A293=""),0,IF(I293="IV",CONCATENATE('V_DATOS PAC_SGA'!CC288,"4")+0,CONCATENATE('V_DATOS PAC_SGA'!CC288,"0")+0))</f>
        <v>0</v>
      </c>
      <c r="C293" s="2" t="n">
        <f aca="false">'V_DATOS PAC_SGA'!CD288</f>
        <v>0</v>
      </c>
      <c r="D293" s="1409" t="n">
        <f aca="false">'V_DATOS PAC_SGA'!Y288</f>
        <v>0</v>
      </c>
      <c r="E293" s="1410" t="str">
        <f aca="false">IF('V_DATOS PAC_SGA'!AV288="","Regadio",'V_DATOS PAC_SGA'!AV288)</f>
        <v>Regadio</v>
      </c>
      <c r="F293" s="1411" t="n">
        <f aca="false">'V_DATOS PAC_SGA'!BK288</f>
        <v>0</v>
      </c>
      <c r="G293" s="1412" t="n">
        <f aca="false">'V_DATOS PAC_SGA'!AN288</f>
        <v>0</v>
      </c>
      <c r="H293" s="1413" t="str">
        <f aca="false">IF(B293&gt;0,VLOOKUP(B293,'O_MN, PE_UTA_UGM 2024'!E$3:O$419,10),"")</f>
        <v/>
      </c>
      <c r="I293" s="1359" t="str">
        <f aca="false">IF('V_DATOS PAC_SGA'!BV288="IV",'V_DATOS PAC_SGA'!BV288,"")</f>
        <v/>
      </c>
      <c r="J293" s="2" t="str">
        <f aca="false">IF($A293&gt;0,IF(AND(J$4=$G293,J$6=$F293),$D293*J$5,""),"")</f>
        <v/>
      </c>
      <c r="K293" s="2" t="str">
        <f aca="false">IF($A293&gt;0,IF(AND(K$4=$G293,K$6=$F293),$D293*K$5,""),"")</f>
        <v/>
      </c>
      <c r="L293" s="2" t="str">
        <f aca="false">IF($A293&gt;0,IF(AND(L$4=$G293,L$6=$F293),$D293*L$5,""),"")</f>
        <v/>
      </c>
      <c r="M293" s="2" t="str">
        <f aca="false">IF($A293&gt;0,IF(AND(M$4=$G293,M$6=$F293),$D293*M$5,""),"")</f>
        <v/>
      </c>
      <c r="N293" s="1506" t="n">
        <f aca="false">VLOOKUP(B293,'O_MN, PE_UTA_UGM 2024'!$E$2:$K$419,IF(G293&gt;1,6,7))</f>
        <v>0</v>
      </c>
      <c r="O293" s="1434" t="str">
        <f aca="false">IF($H293=O$4,$D293*$N293,"")</f>
        <v/>
      </c>
      <c r="P293" s="1435" t="str">
        <f aca="false">IF($H293=P$4,$D293*$N293,"")</f>
        <v/>
      </c>
      <c r="Q293" s="1435" t="str">
        <f aca="false">IF($H293=Q$4,$D293*$N293,"")</f>
        <v/>
      </c>
      <c r="R293" s="1435" t="str">
        <f aca="false">IF($H293=R$4,$D293*$N293,"")</f>
        <v/>
      </c>
      <c r="S293" s="1435" t="str">
        <f aca="false">IF($H293=S$4,$D293*$N293,"")</f>
        <v/>
      </c>
      <c r="T293" s="1435" t="str">
        <f aca="false">IF($H293=T$4,$D293*$N293,"")</f>
        <v/>
      </c>
      <c r="U293" s="1436" t="str">
        <f aca="false">IF($H293=U$4,$D293*$N293,"")</f>
        <v/>
      </c>
      <c r="V293" s="1418"/>
      <c r="W293" s="1419"/>
      <c r="X293" s="1419"/>
      <c r="Y293" s="1419"/>
      <c r="Z293" s="1419"/>
      <c r="AA293" s="1419"/>
      <c r="AB293" s="1420"/>
      <c r="AC293" s="1319"/>
      <c r="AD293" s="2" t="str">
        <f aca="false">IF(AND(AD$4=$G293,AD$6=$F293),$B293,"")</f>
        <v/>
      </c>
      <c r="AE293" s="2" t="str">
        <f aca="false">IF(AND(AE$4=$G293,AE$6=$F293),$B293,"")</f>
        <v/>
      </c>
      <c r="AF293" s="2" t="str">
        <f aca="false">IF(AND(AF$4=$G293,AF$6=$F293),$B293,"")</f>
        <v/>
      </c>
      <c r="AG293" s="2" t="str">
        <f aca="false">IF(AND(AG$4=$G293,AG$6=$F293),$B293,"")</f>
        <v/>
      </c>
      <c r="AI293" s="366"/>
      <c r="AL293" s="367"/>
      <c r="AO293" s="367"/>
      <c r="AP293" s="2" t="str">
        <f aca="false">IF(AT293&gt;0,RANK(AT293,AT$7:AT$423),"")</f>
        <v/>
      </c>
      <c r="AQ293" s="2" t="n">
        <f aca="false">'O_MN, PE_UTA_UGM 2024'!C289</f>
        <v>286</v>
      </c>
      <c r="AR293" s="1421" t="n">
        <v>2810</v>
      </c>
      <c r="AS293" s="2" t="str">
        <f aca="false">IF(AY293&lt;&gt;"",AY293,"")</f>
        <v/>
      </c>
      <c r="AT293" s="1422" t="n">
        <f aca="false">IF(ISNUMBER($AR293),SUMIF(B$7:B$505,AR293,D$7:D$505),"")</f>
        <v>0</v>
      </c>
      <c r="AU293" s="1411" t="n">
        <f aca="false">IF(ISNUMBER($AR293),SUMIF(AD$7:AD$503,$AR293,J$7:J$503),"")</f>
        <v>0</v>
      </c>
      <c r="AV293" s="1411" t="n">
        <f aca="false">IF(ISNUMBER($AR293),SUMIF(AF$7:AF$503,$AR293,L$7:L$503),"")</f>
        <v>0</v>
      </c>
      <c r="AW293" s="1423" t="n">
        <f aca="false">IF(ISNUMBER($AR293),SUMIF(AE$7:AE$503,$AR293,K$7:K$503),"")</f>
        <v>0</v>
      </c>
      <c r="AX293" s="1423" t="n">
        <f aca="false">IF(ISNUMBER($AR293),SUMIF(AG$7:AG$503,$AR293,M$7:M$503),"")</f>
        <v>0</v>
      </c>
      <c r="AY293" s="2" t="str">
        <f aca="false">IF($AT293&gt;0,VLOOKUP($AR293,'O_MN, PE_UTA_UGM 2024'!E289:O705,2),"")</f>
        <v/>
      </c>
      <c r="AZ293" s="1507"/>
      <c r="BA293" s="1507"/>
      <c r="BB293" s="1507" t="str">
        <f aca="false">IF($AT293&gt;0,VLOOKUP($AR293,'O_MN, PE_UTA_UGM 2024'!$E$3:$O$419,BB$6),"")</f>
        <v/>
      </c>
      <c r="BC293" s="1507" t="str">
        <f aca="false">IF($AT293&gt;0,VLOOKUP($AR293,'O_MN, PE_UTA_UGM 2024'!$E$3:$O$419,BC$6),"")</f>
        <v/>
      </c>
      <c r="BD293" s="1507" t="str">
        <f aca="false">IF($AT293&gt;0,VLOOKUP($AR293,'O_MN, PE_UTA_UGM 2024'!$E$3:$O$419,BD$6),"")</f>
        <v/>
      </c>
      <c r="BE293" s="1507" t="str">
        <f aca="false">IF($AT293&gt;0,VLOOKUP($AR293,'O_MN, PE_UTA_UGM 2024'!$E$3:$O$419,BE$6),"")</f>
        <v/>
      </c>
      <c r="BF293" s="1507" t="str">
        <f aca="false">IF($AT293&gt;0,VLOOKUP($AR293,'O_MN, PE_UTA_UGM 2024'!$E$3:$O$419,BF$6),"")</f>
        <v/>
      </c>
      <c r="BG293" s="1507" t="str">
        <f aca="false">IF($AT293&gt;0,VLOOKUP($AR293,'O_MN, PE_UTA_UGM 2024'!$E$3:$O$419,BG$6),"")</f>
        <v/>
      </c>
      <c r="BH293" s="1504"/>
      <c r="BI293" s="1504"/>
      <c r="BJ293" s="1504"/>
      <c r="BK293" s="1504"/>
      <c r="BM293" s="1411"/>
      <c r="BN293" s="1411"/>
      <c r="BO293" s="1425" t="str">
        <f aca="false">IF(ISNUMBER($AU293*BB293*1),$AU293*BB293*1,"")</f>
        <v/>
      </c>
      <c r="BP293" s="1425" t="str">
        <f aca="false">IF(ISNUMBER($AV293*BC293*1),$AV293*BC293*1,"")</f>
        <v/>
      </c>
      <c r="BQ293" s="1425" t="str">
        <f aca="false">IF(ISNUMBER($AU293*BD293*1),$AU293*BD293*1,"")</f>
        <v/>
      </c>
      <c r="BR293" s="1425" t="str">
        <f aca="false">IF(ISNUMBER($AV293*BE293*1),$AV293*BE293*1,"")</f>
        <v/>
      </c>
      <c r="BS293" s="1411" t="str">
        <f aca="false">IF(ISNUMBER($AU293*BF293),$AU293*BF293,"")</f>
        <v/>
      </c>
      <c r="BT293" s="1411" t="str">
        <f aca="false">IF(ISNUMBER($AV293*BG293),$AV293*BG293,"")</f>
        <v/>
      </c>
      <c r="BU293" s="1411"/>
      <c r="BV293" s="1411"/>
      <c r="BW293" s="1411"/>
      <c r="BX293" s="1411"/>
      <c r="BZ293" s="1372"/>
      <c r="CA293" s="1372"/>
      <c r="CB293" s="1426" t="str">
        <f aca="false">IF(ISNUMBER($AW293*BB293),$AW293*BB293,"")</f>
        <v/>
      </c>
      <c r="CC293" s="1426" t="str">
        <f aca="false">IF(ISNUMBER($AX293*BC293),$AX293*BC293,"")</f>
        <v/>
      </c>
      <c r="CD293" s="1426" t="str">
        <f aca="false">IF(ISNUMBER($AW293*BD293),$AW293*BD293,"")</f>
        <v/>
      </c>
      <c r="CE293" s="1426" t="str">
        <f aca="false">IF(ISNUMBER($AX293*BE293),$AX293*BE293,"")</f>
        <v/>
      </c>
      <c r="CF293" s="1372" t="str">
        <f aca="false">IF(ISNUMBER($AW293*BF293),$AW293*BF293,"")</f>
        <v/>
      </c>
      <c r="CG293" s="1372" t="str">
        <f aca="false">IF(ISNUMBER($AX293*BG293),$AX293*BG293,"")</f>
        <v/>
      </c>
      <c r="CH293" s="1438"/>
      <c r="CI293" s="1438"/>
      <c r="CJ293" s="1438"/>
      <c r="CK293" s="1438"/>
      <c r="CU293" s="1411"/>
      <c r="CV293" s="1411"/>
      <c r="CW293" s="1425"/>
      <c r="CX293" s="1425"/>
      <c r="CY293" s="1425"/>
      <c r="CZ293" s="1425"/>
      <c r="DA293" s="1411"/>
      <c r="DB293" s="1411"/>
      <c r="DC293" s="1411"/>
      <c r="DD293" s="1411"/>
      <c r="DE293" s="1411"/>
      <c r="DF293" s="1411"/>
      <c r="DH293" s="1432"/>
      <c r="DI293" s="1432"/>
      <c r="DJ293" s="1437"/>
      <c r="DK293" s="1437"/>
      <c r="DL293" s="1437"/>
      <c r="DM293" s="1437"/>
      <c r="DN293" s="1432"/>
      <c r="DO293" s="1432"/>
      <c r="DP293" s="1432"/>
      <c r="DQ293" s="1432"/>
      <c r="DR293" s="1432"/>
      <c r="DS293" s="1432"/>
      <c r="DT293" s="1316"/>
      <c r="DU293" s="1433"/>
      <c r="DV293" s="1433"/>
      <c r="DW293" s="1433"/>
      <c r="DX293" s="1433"/>
      <c r="DY293" s="1433"/>
      <c r="DZ293" s="1433"/>
      <c r="EA293" s="1433"/>
      <c r="EB293" s="1433"/>
    </row>
    <row r="294" customFormat="false" ht="14.25" hidden="false" customHeight="false" outlineLevel="0" collapsed="false">
      <c r="A294" s="2" t="n">
        <f aca="false">'V_DATOS PAC_SGA'!CC289</f>
        <v>0</v>
      </c>
      <c r="B294" s="2" t="n">
        <f aca="false">IF(OR(A294=0,A294=""),0,IF(I294="IV",CONCATENATE('V_DATOS PAC_SGA'!CC289,"4")+0,CONCATENATE('V_DATOS PAC_SGA'!CC289,"0")+0))</f>
        <v>0</v>
      </c>
      <c r="C294" s="2" t="n">
        <f aca="false">'V_DATOS PAC_SGA'!CD289</f>
        <v>0</v>
      </c>
      <c r="D294" s="1409" t="n">
        <f aca="false">'V_DATOS PAC_SGA'!Y289</f>
        <v>0</v>
      </c>
      <c r="E294" s="1410" t="str">
        <f aca="false">IF('V_DATOS PAC_SGA'!AV289="","Regadio",'V_DATOS PAC_SGA'!AV289)</f>
        <v>Regadio</v>
      </c>
      <c r="F294" s="1411" t="n">
        <f aca="false">'V_DATOS PAC_SGA'!BK289</f>
        <v>0</v>
      </c>
      <c r="G294" s="1412" t="n">
        <f aca="false">'V_DATOS PAC_SGA'!AN289</f>
        <v>0</v>
      </c>
      <c r="H294" s="1413" t="str">
        <f aca="false">IF(B294&gt;0,VLOOKUP(B294,'O_MN, PE_UTA_UGM 2024'!E$3:O$419,10),"")</f>
        <v/>
      </c>
      <c r="I294" s="1359" t="str">
        <f aca="false">IF('V_DATOS PAC_SGA'!BV289="IV",'V_DATOS PAC_SGA'!BV289,"")</f>
        <v/>
      </c>
      <c r="J294" s="2" t="str">
        <f aca="false">IF($A294&gt;0,IF(AND(J$4=$G294,J$6=$F294),$D294*J$5,""),"")</f>
        <v/>
      </c>
      <c r="K294" s="2" t="str">
        <f aca="false">IF($A294&gt;0,IF(AND(K$4=$G294,K$6=$F294),$D294*K$5,""),"")</f>
        <v/>
      </c>
      <c r="L294" s="2" t="str">
        <f aca="false">IF($A294&gt;0,IF(AND(L$4=$G294,L$6=$F294),$D294*L$5,""),"")</f>
        <v/>
      </c>
      <c r="M294" s="2" t="str">
        <f aca="false">IF($A294&gt;0,IF(AND(M$4=$G294,M$6=$F294),$D294*M$5,""),"")</f>
        <v/>
      </c>
      <c r="N294" s="1506" t="n">
        <f aca="false">VLOOKUP(B294,'O_MN, PE_UTA_UGM 2024'!$E$2:$K$419,IF(G294&gt;1,6,7))</f>
        <v>0</v>
      </c>
      <c r="O294" s="1434" t="str">
        <f aca="false">IF($H294=O$4,$D294*$N294,"")</f>
        <v/>
      </c>
      <c r="P294" s="1435" t="str">
        <f aca="false">IF($H294=P$4,$D294*$N294,"")</f>
        <v/>
      </c>
      <c r="Q294" s="1435" t="str">
        <f aca="false">IF($H294=Q$4,$D294*$N294,"")</f>
        <v/>
      </c>
      <c r="R294" s="1435" t="str">
        <f aca="false">IF($H294=R$4,$D294*$N294,"")</f>
        <v/>
      </c>
      <c r="S294" s="1435" t="str">
        <f aca="false">IF($H294=S$4,$D294*$N294,"")</f>
        <v/>
      </c>
      <c r="T294" s="1435" t="str">
        <f aca="false">IF($H294=T$4,$D294*$N294,"")</f>
        <v/>
      </c>
      <c r="U294" s="1436" t="str">
        <f aca="false">IF($H294=U$4,$D294*$N294,"")</f>
        <v/>
      </c>
      <c r="V294" s="1418"/>
      <c r="W294" s="1419"/>
      <c r="X294" s="1419"/>
      <c r="Y294" s="1419"/>
      <c r="Z294" s="1419"/>
      <c r="AA294" s="1419"/>
      <c r="AB294" s="1420"/>
      <c r="AC294" s="1319"/>
      <c r="AD294" s="2" t="str">
        <f aca="false">IF(AND(AD$4=$G294,AD$6=$F294),$B294,"")</f>
        <v/>
      </c>
      <c r="AE294" s="2" t="str">
        <f aca="false">IF(AND(AE$4=$G294,AE$6=$F294),$B294,"")</f>
        <v/>
      </c>
      <c r="AF294" s="2" t="str">
        <f aca="false">IF(AND(AF$4=$G294,AF$6=$F294),$B294,"")</f>
        <v/>
      </c>
      <c r="AG294" s="2" t="str">
        <f aca="false">IF(AND(AG$4=$G294,AG$6=$F294),$B294,"")</f>
        <v/>
      </c>
      <c r="AI294" s="366"/>
      <c r="AL294" s="367"/>
      <c r="AO294" s="367"/>
      <c r="AP294" s="2" t="str">
        <f aca="false">IF(AT294&gt;0,RANK(AT294,AT$7:AT$423),"")</f>
        <v/>
      </c>
      <c r="AQ294" s="2" t="n">
        <f aca="false">'O_MN, PE_UTA_UGM 2024'!C290</f>
        <v>287</v>
      </c>
      <c r="AR294" s="1421" t="n">
        <v>2820</v>
      </c>
      <c r="AS294" s="2" t="str">
        <f aca="false">IF(AY294&lt;&gt;"",AY294,"")</f>
        <v/>
      </c>
      <c r="AT294" s="1422" t="n">
        <f aca="false">IF(ISNUMBER($AR294),SUMIF(B$7:B$505,AR294,D$7:D$505),"")</f>
        <v>0</v>
      </c>
      <c r="AU294" s="1411" t="n">
        <f aca="false">IF(ISNUMBER($AR294),SUMIF(AD$7:AD$503,$AR294,J$7:J$503),"")</f>
        <v>0</v>
      </c>
      <c r="AV294" s="1411" t="n">
        <f aca="false">IF(ISNUMBER($AR294),SUMIF(AF$7:AF$503,$AR294,L$7:L$503),"")</f>
        <v>0</v>
      </c>
      <c r="AW294" s="1423" t="n">
        <f aca="false">IF(ISNUMBER($AR294),SUMIF(AE$7:AE$503,$AR294,K$7:K$503),"")</f>
        <v>0</v>
      </c>
      <c r="AX294" s="1423" t="n">
        <f aca="false">IF(ISNUMBER($AR294),SUMIF(AG$7:AG$503,$AR294,M$7:M$503),"")</f>
        <v>0</v>
      </c>
      <c r="AY294" s="2" t="str">
        <f aca="false">IF($AT294&gt;0,VLOOKUP($AR294,'O_MN, PE_UTA_UGM 2024'!E290:O706,2),"")</f>
        <v/>
      </c>
      <c r="AZ294" s="1507"/>
      <c r="BA294" s="1507"/>
      <c r="BB294" s="1507" t="str">
        <f aca="false">IF($AT294&gt;0,VLOOKUP($AR294,'O_MN, PE_UTA_UGM 2024'!$E$3:$O$419,BB$6),"")</f>
        <v/>
      </c>
      <c r="BC294" s="1507" t="str">
        <f aca="false">IF($AT294&gt;0,VLOOKUP($AR294,'O_MN, PE_UTA_UGM 2024'!$E$3:$O$419,BC$6),"")</f>
        <v/>
      </c>
      <c r="BD294" s="1507" t="str">
        <f aca="false">IF($AT294&gt;0,VLOOKUP($AR294,'O_MN, PE_UTA_UGM 2024'!$E$3:$O$419,BD$6),"")</f>
        <v/>
      </c>
      <c r="BE294" s="1507" t="str">
        <f aca="false">IF($AT294&gt;0,VLOOKUP($AR294,'O_MN, PE_UTA_UGM 2024'!$E$3:$O$419,BE$6),"")</f>
        <v/>
      </c>
      <c r="BF294" s="1507" t="str">
        <f aca="false">IF($AT294&gt;0,VLOOKUP($AR294,'O_MN, PE_UTA_UGM 2024'!$E$3:$O$419,BF$6),"")</f>
        <v/>
      </c>
      <c r="BG294" s="1507" t="str">
        <f aca="false">IF($AT294&gt;0,VLOOKUP($AR294,'O_MN, PE_UTA_UGM 2024'!$E$3:$O$419,BG$6),"")</f>
        <v/>
      </c>
      <c r="BH294" s="1504"/>
      <c r="BI294" s="1504"/>
      <c r="BJ294" s="1504"/>
      <c r="BK294" s="1504"/>
      <c r="BM294" s="1411"/>
      <c r="BN294" s="1411"/>
      <c r="BO294" s="1425" t="str">
        <f aca="false">IF(ISNUMBER($AU294*BB294*1),$AU294*BB294*1,"")</f>
        <v/>
      </c>
      <c r="BP294" s="1425" t="str">
        <f aca="false">IF(ISNUMBER($AV294*BC294*1),$AV294*BC294*1,"")</f>
        <v/>
      </c>
      <c r="BQ294" s="1425" t="str">
        <f aca="false">IF(ISNUMBER($AU294*BD294*1),$AU294*BD294*1,"")</f>
        <v/>
      </c>
      <c r="BR294" s="1425" t="str">
        <f aca="false">IF(ISNUMBER($AV294*BE294*1),$AV294*BE294*1,"")</f>
        <v/>
      </c>
      <c r="BS294" s="1411" t="str">
        <f aca="false">IF(ISNUMBER($AU294*BF294),$AU294*BF294,"")</f>
        <v/>
      </c>
      <c r="BT294" s="1411" t="str">
        <f aca="false">IF(ISNUMBER($AV294*BG294),$AV294*BG294,"")</f>
        <v/>
      </c>
      <c r="BU294" s="1411"/>
      <c r="BV294" s="1411"/>
      <c r="BW294" s="1411"/>
      <c r="BX294" s="1411"/>
      <c r="BZ294" s="1372"/>
      <c r="CA294" s="1372"/>
      <c r="CB294" s="1426" t="str">
        <f aca="false">IF(ISNUMBER($AW294*BB294),$AW294*BB294,"")</f>
        <v/>
      </c>
      <c r="CC294" s="1426" t="str">
        <f aca="false">IF(ISNUMBER($AX294*BC294),$AX294*BC294,"")</f>
        <v/>
      </c>
      <c r="CD294" s="1426" t="str">
        <f aca="false">IF(ISNUMBER($AW294*BD294),$AW294*BD294,"")</f>
        <v/>
      </c>
      <c r="CE294" s="1426" t="str">
        <f aca="false">IF(ISNUMBER($AX294*BE294),$AX294*BE294,"")</f>
        <v/>
      </c>
      <c r="CF294" s="1372" t="str">
        <f aca="false">IF(ISNUMBER($AW294*BF294),$AW294*BF294,"")</f>
        <v/>
      </c>
      <c r="CG294" s="1372" t="str">
        <f aca="false">IF(ISNUMBER($AX294*BG294),$AX294*BG294,"")</f>
        <v/>
      </c>
      <c r="CH294" s="1438"/>
      <c r="CI294" s="1438"/>
      <c r="CJ294" s="1438"/>
      <c r="CK294" s="1438"/>
      <c r="CU294" s="1411"/>
      <c r="CV294" s="1411"/>
      <c r="CW294" s="1425"/>
      <c r="CX294" s="1425"/>
      <c r="CY294" s="1425"/>
      <c r="CZ294" s="1425"/>
      <c r="DA294" s="1411"/>
      <c r="DB294" s="1411"/>
      <c r="DC294" s="1411"/>
      <c r="DD294" s="1411"/>
      <c r="DE294" s="1411"/>
      <c r="DF294" s="1411"/>
      <c r="DH294" s="1432"/>
      <c r="DI294" s="1432"/>
      <c r="DJ294" s="1437"/>
      <c r="DK294" s="1437"/>
      <c r="DL294" s="1437"/>
      <c r="DM294" s="1437"/>
      <c r="DN294" s="1432"/>
      <c r="DO294" s="1432"/>
      <c r="DP294" s="1432"/>
      <c r="DQ294" s="1432"/>
      <c r="DR294" s="1432"/>
      <c r="DS294" s="1432"/>
      <c r="DT294" s="1316"/>
      <c r="DU294" s="1433"/>
      <c r="DV294" s="1433"/>
      <c r="DW294" s="1433"/>
      <c r="DX294" s="1433"/>
      <c r="DY294" s="1433"/>
      <c r="DZ294" s="1433"/>
      <c r="EA294" s="1433"/>
      <c r="EB294" s="1433"/>
    </row>
    <row r="295" customFormat="false" ht="14.25" hidden="false" customHeight="false" outlineLevel="0" collapsed="false">
      <c r="A295" s="2" t="n">
        <f aca="false">'V_DATOS PAC_SGA'!CC290</f>
        <v>0</v>
      </c>
      <c r="B295" s="2" t="n">
        <f aca="false">IF(OR(A295=0,A295=""),0,IF(I295="IV",CONCATENATE('V_DATOS PAC_SGA'!CC290,"4")+0,CONCATENATE('V_DATOS PAC_SGA'!CC290,"0")+0))</f>
        <v>0</v>
      </c>
      <c r="C295" s="2" t="n">
        <f aca="false">'V_DATOS PAC_SGA'!CD290</f>
        <v>0</v>
      </c>
      <c r="D295" s="1409" t="n">
        <f aca="false">'V_DATOS PAC_SGA'!Y290</f>
        <v>0</v>
      </c>
      <c r="E295" s="1410" t="str">
        <f aca="false">IF('V_DATOS PAC_SGA'!AV290="","Regadio",'V_DATOS PAC_SGA'!AV290)</f>
        <v>Regadio</v>
      </c>
      <c r="F295" s="1411" t="n">
        <f aca="false">'V_DATOS PAC_SGA'!BK290</f>
        <v>0</v>
      </c>
      <c r="G295" s="1412" t="n">
        <f aca="false">'V_DATOS PAC_SGA'!AN290</f>
        <v>0</v>
      </c>
      <c r="H295" s="1413" t="str">
        <f aca="false">IF(B295&gt;0,VLOOKUP(B295,'O_MN, PE_UTA_UGM 2024'!E$3:O$419,10),"")</f>
        <v/>
      </c>
      <c r="I295" s="1359" t="str">
        <f aca="false">IF('V_DATOS PAC_SGA'!BV290="IV",'V_DATOS PAC_SGA'!BV290,"")</f>
        <v/>
      </c>
      <c r="J295" s="2" t="str">
        <f aca="false">IF($A295&gt;0,IF(AND(J$4=$G295,J$6=$F295),$D295*J$5,""),"")</f>
        <v/>
      </c>
      <c r="K295" s="2" t="str">
        <f aca="false">IF($A295&gt;0,IF(AND(K$4=$G295,K$6=$F295),$D295*K$5,""),"")</f>
        <v/>
      </c>
      <c r="L295" s="2" t="str">
        <f aca="false">IF($A295&gt;0,IF(AND(L$4=$G295,L$6=$F295),$D295*L$5,""),"")</f>
        <v/>
      </c>
      <c r="M295" s="2" t="str">
        <f aca="false">IF($A295&gt;0,IF(AND(M$4=$G295,M$6=$F295),$D295*M$5,""),"")</f>
        <v/>
      </c>
      <c r="N295" s="1506" t="n">
        <f aca="false">VLOOKUP(B295,'O_MN, PE_UTA_UGM 2024'!$E$2:$K$419,IF(G295&gt;1,6,7))</f>
        <v>0</v>
      </c>
      <c r="O295" s="1434" t="str">
        <f aca="false">IF($H295=O$4,$D295*$N295,"")</f>
        <v/>
      </c>
      <c r="P295" s="1435" t="str">
        <f aca="false">IF($H295=P$4,$D295*$N295,"")</f>
        <v/>
      </c>
      <c r="Q295" s="1435" t="str">
        <f aca="false">IF($H295=Q$4,$D295*$N295,"")</f>
        <v/>
      </c>
      <c r="R295" s="1435" t="str">
        <f aca="false">IF($H295=R$4,$D295*$N295,"")</f>
        <v/>
      </c>
      <c r="S295" s="1435" t="str">
        <f aca="false">IF($H295=S$4,$D295*$N295,"")</f>
        <v/>
      </c>
      <c r="T295" s="1435" t="str">
        <f aca="false">IF($H295=T$4,$D295*$N295,"")</f>
        <v/>
      </c>
      <c r="U295" s="1436" t="str">
        <f aca="false">IF($H295=U$4,$D295*$N295,"")</f>
        <v/>
      </c>
      <c r="V295" s="1418"/>
      <c r="W295" s="1419"/>
      <c r="X295" s="1419"/>
      <c r="Y295" s="1419"/>
      <c r="Z295" s="1419"/>
      <c r="AA295" s="1419"/>
      <c r="AB295" s="1420"/>
      <c r="AC295" s="1319"/>
      <c r="AD295" s="2" t="str">
        <f aca="false">IF(AND(AD$4=$G295,AD$6=$F295),$B295,"")</f>
        <v/>
      </c>
      <c r="AE295" s="2" t="str">
        <f aca="false">IF(AND(AE$4=$G295,AE$6=$F295),$B295,"")</f>
        <v/>
      </c>
      <c r="AF295" s="2" t="str">
        <f aca="false">IF(AND(AF$4=$G295,AF$6=$F295),$B295,"")</f>
        <v/>
      </c>
      <c r="AG295" s="2" t="str">
        <f aca="false">IF(AND(AG$4=$G295,AG$6=$F295),$B295,"")</f>
        <v/>
      </c>
      <c r="AI295" s="366"/>
      <c r="AL295" s="367"/>
      <c r="AO295" s="367"/>
      <c r="AP295" s="2" t="str">
        <f aca="false">IF(AT295&gt;0,RANK(AT295,AT$7:AT$423),"")</f>
        <v/>
      </c>
      <c r="AQ295" s="2" t="n">
        <f aca="false">'O_MN, PE_UTA_UGM 2024'!C291</f>
        <v>288</v>
      </c>
      <c r="AR295" s="1421" t="n">
        <v>2830</v>
      </c>
      <c r="AS295" s="2" t="str">
        <f aca="false">IF(AY295&lt;&gt;"",AY295,"")</f>
        <v/>
      </c>
      <c r="AT295" s="1422" t="n">
        <f aca="false">IF(ISNUMBER($AR295),SUMIF(B$7:B$505,AR295,D$7:D$505),"")</f>
        <v>0</v>
      </c>
      <c r="AU295" s="1411" t="n">
        <f aca="false">IF(ISNUMBER($AR295),SUMIF(AD$7:AD$503,$AR295,J$7:J$503),"")</f>
        <v>0</v>
      </c>
      <c r="AV295" s="1411" t="n">
        <f aca="false">IF(ISNUMBER($AR295),SUMIF(AF$7:AF$503,$AR295,L$7:L$503),"")</f>
        <v>0</v>
      </c>
      <c r="AW295" s="1423" t="n">
        <f aca="false">IF(ISNUMBER($AR295),SUMIF(AE$7:AE$503,$AR295,K$7:K$503),"")</f>
        <v>0</v>
      </c>
      <c r="AX295" s="1423" t="n">
        <f aca="false">IF(ISNUMBER($AR295),SUMIF(AG$7:AG$503,$AR295,M$7:M$503),"")</f>
        <v>0</v>
      </c>
      <c r="AY295" s="2" t="str">
        <f aca="false">IF($AT295&gt;0,VLOOKUP($AR295,'O_MN, PE_UTA_UGM 2024'!E291:O707,2),"")</f>
        <v/>
      </c>
      <c r="AZ295" s="1507"/>
      <c r="BA295" s="1507"/>
      <c r="BB295" s="1507" t="str">
        <f aca="false">IF($AT295&gt;0,VLOOKUP($AR295,'O_MN, PE_UTA_UGM 2024'!$E$3:$O$419,BB$6),"")</f>
        <v/>
      </c>
      <c r="BC295" s="1507" t="str">
        <f aca="false">IF($AT295&gt;0,VLOOKUP($AR295,'O_MN, PE_UTA_UGM 2024'!$E$3:$O$419,BC$6),"")</f>
        <v/>
      </c>
      <c r="BD295" s="1507" t="str">
        <f aca="false">IF($AT295&gt;0,VLOOKUP($AR295,'O_MN, PE_UTA_UGM 2024'!$E$3:$O$419,BD$6),"")</f>
        <v/>
      </c>
      <c r="BE295" s="1507" t="str">
        <f aca="false">IF($AT295&gt;0,VLOOKUP($AR295,'O_MN, PE_UTA_UGM 2024'!$E$3:$O$419,BE$6),"")</f>
        <v/>
      </c>
      <c r="BF295" s="1507" t="str">
        <f aca="false">IF($AT295&gt;0,VLOOKUP($AR295,'O_MN, PE_UTA_UGM 2024'!$E$3:$O$419,BF$6),"")</f>
        <v/>
      </c>
      <c r="BG295" s="1507" t="str">
        <f aca="false">IF($AT295&gt;0,VLOOKUP($AR295,'O_MN, PE_UTA_UGM 2024'!$E$3:$O$419,BG$6),"")</f>
        <v/>
      </c>
      <c r="BH295" s="1504"/>
      <c r="BI295" s="1504"/>
      <c r="BJ295" s="1504"/>
      <c r="BK295" s="1504"/>
      <c r="BM295" s="1411"/>
      <c r="BN295" s="1411"/>
      <c r="BO295" s="1425" t="str">
        <f aca="false">IF(ISNUMBER($AU295*BB295*1),$AU295*BB295*1,"")</f>
        <v/>
      </c>
      <c r="BP295" s="1425" t="str">
        <f aca="false">IF(ISNUMBER($AV295*BC295*1),$AV295*BC295*1,"")</f>
        <v/>
      </c>
      <c r="BQ295" s="1425" t="str">
        <f aca="false">IF(ISNUMBER($AU295*BD295*1),$AU295*BD295*1,"")</f>
        <v/>
      </c>
      <c r="BR295" s="1425" t="str">
        <f aca="false">IF(ISNUMBER($AV295*BE295*1),$AV295*BE295*1,"")</f>
        <v/>
      </c>
      <c r="BS295" s="1411" t="str">
        <f aca="false">IF(ISNUMBER($AU295*BF295),$AU295*BF295,"")</f>
        <v/>
      </c>
      <c r="BT295" s="1411" t="str">
        <f aca="false">IF(ISNUMBER($AV295*BG295),$AV295*BG295,"")</f>
        <v/>
      </c>
      <c r="BU295" s="1411"/>
      <c r="BV295" s="1411"/>
      <c r="BW295" s="1411"/>
      <c r="BX295" s="1411"/>
      <c r="BZ295" s="1372"/>
      <c r="CA295" s="1372"/>
      <c r="CB295" s="1426" t="str">
        <f aca="false">IF(ISNUMBER($AW295*BB295),$AW295*BB295,"")</f>
        <v/>
      </c>
      <c r="CC295" s="1426" t="str">
        <f aca="false">IF(ISNUMBER($AX295*BC295),$AX295*BC295,"")</f>
        <v/>
      </c>
      <c r="CD295" s="1426" t="str">
        <f aca="false">IF(ISNUMBER($AW295*BD295),$AW295*BD295,"")</f>
        <v/>
      </c>
      <c r="CE295" s="1426" t="str">
        <f aca="false">IF(ISNUMBER($AX295*BE295),$AX295*BE295,"")</f>
        <v/>
      </c>
      <c r="CF295" s="1372" t="str">
        <f aca="false">IF(ISNUMBER($AW295*BF295),$AW295*BF295,"")</f>
        <v/>
      </c>
      <c r="CG295" s="1372" t="str">
        <f aca="false">IF(ISNUMBER($AX295*BG295),$AX295*BG295,"")</f>
        <v/>
      </c>
      <c r="CH295" s="1438"/>
      <c r="CI295" s="1438"/>
      <c r="CJ295" s="1438"/>
      <c r="CK295" s="1438"/>
      <c r="CU295" s="1411"/>
      <c r="CV295" s="1411"/>
      <c r="CW295" s="1425"/>
      <c r="CX295" s="1425"/>
      <c r="CY295" s="1425"/>
      <c r="CZ295" s="1425"/>
      <c r="DA295" s="1411"/>
      <c r="DB295" s="1411"/>
      <c r="DC295" s="1411"/>
      <c r="DD295" s="1411"/>
      <c r="DE295" s="1411"/>
      <c r="DF295" s="1411"/>
      <c r="DH295" s="1432"/>
      <c r="DI295" s="1432"/>
      <c r="DJ295" s="1437"/>
      <c r="DK295" s="1437"/>
      <c r="DL295" s="1437"/>
      <c r="DM295" s="1437"/>
      <c r="DN295" s="1432"/>
      <c r="DO295" s="1432"/>
      <c r="DP295" s="1432"/>
      <c r="DQ295" s="1432"/>
      <c r="DR295" s="1432"/>
      <c r="DS295" s="1432"/>
      <c r="DT295" s="1316"/>
      <c r="DU295" s="1433"/>
      <c r="DV295" s="1433"/>
      <c r="DW295" s="1433"/>
      <c r="DX295" s="1433"/>
      <c r="DY295" s="1433"/>
      <c r="DZ295" s="1433"/>
      <c r="EA295" s="1433"/>
      <c r="EB295" s="1433"/>
    </row>
    <row r="296" customFormat="false" ht="14.25" hidden="false" customHeight="false" outlineLevel="0" collapsed="false">
      <c r="A296" s="2" t="n">
        <f aca="false">'V_DATOS PAC_SGA'!CC291</f>
        <v>0</v>
      </c>
      <c r="B296" s="2" t="n">
        <f aca="false">IF(OR(A296=0,A296=""),0,IF(I296="IV",CONCATENATE('V_DATOS PAC_SGA'!CC291,"4")+0,CONCATENATE('V_DATOS PAC_SGA'!CC291,"0")+0))</f>
        <v>0</v>
      </c>
      <c r="C296" s="2" t="n">
        <f aca="false">'V_DATOS PAC_SGA'!CD291</f>
        <v>0</v>
      </c>
      <c r="D296" s="1409" t="n">
        <f aca="false">'V_DATOS PAC_SGA'!Y291</f>
        <v>0</v>
      </c>
      <c r="E296" s="1410" t="str">
        <f aca="false">IF('V_DATOS PAC_SGA'!AV291="","Regadio",'V_DATOS PAC_SGA'!AV291)</f>
        <v>Regadio</v>
      </c>
      <c r="F296" s="1411" t="n">
        <f aca="false">'V_DATOS PAC_SGA'!BK291</f>
        <v>0</v>
      </c>
      <c r="G296" s="1412" t="n">
        <f aca="false">'V_DATOS PAC_SGA'!AN291</f>
        <v>0</v>
      </c>
      <c r="H296" s="1413" t="str">
        <f aca="false">IF(B296&gt;0,VLOOKUP(B296,'O_MN, PE_UTA_UGM 2024'!E$3:O$419,10),"")</f>
        <v/>
      </c>
      <c r="I296" s="1359" t="str">
        <f aca="false">IF('V_DATOS PAC_SGA'!BV291="IV",'V_DATOS PAC_SGA'!BV291,"")</f>
        <v/>
      </c>
      <c r="J296" s="2" t="str">
        <f aca="false">IF($A296&gt;0,IF(AND(J$4=$G296,J$6=$F296),$D296*J$5,""),"")</f>
        <v/>
      </c>
      <c r="K296" s="2" t="str">
        <f aca="false">IF($A296&gt;0,IF(AND(K$4=$G296,K$6=$F296),$D296*K$5,""),"")</f>
        <v/>
      </c>
      <c r="L296" s="2" t="str">
        <f aca="false">IF($A296&gt;0,IF(AND(L$4=$G296,L$6=$F296),$D296*L$5,""),"")</f>
        <v/>
      </c>
      <c r="M296" s="2" t="str">
        <f aca="false">IF($A296&gt;0,IF(AND(M$4=$G296,M$6=$F296),$D296*M$5,""),"")</f>
        <v/>
      </c>
      <c r="N296" s="1506" t="n">
        <f aca="false">VLOOKUP(B296,'O_MN, PE_UTA_UGM 2024'!$E$2:$K$419,IF(G296&gt;1,6,7))</f>
        <v>0</v>
      </c>
      <c r="O296" s="1434" t="str">
        <f aca="false">IF($H296=O$4,$D296*$N296,"")</f>
        <v/>
      </c>
      <c r="P296" s="1435" t="str">
        <f aca="false">IF($H296=P$4,$D296*$N296,"")</f>
        <v/>
      </c>
      <c r="Q296" s="1435" t="str">
        <f aca="false">IF($H296=Q$4,$D296*$N296,"")</f>
        <v/>
      </c>
      <c r="R296" s="1435" t="str">
        <f aca="false">IF($H296=R$4,$D296*$N296,"")</f>
        <v/>
      </c>
      <c r="S296" s="1435" t="str">
        <f aca="false">IF($H296=S$4,$D296*$N296,"")</f>
        <v/>
      </c>
      <c r="T296" s="1435" t="str">
        <f aca="false">IF($H296=T$4,$D296*$N296,"")</f>
        <v/>
      </c>
      <c r="U296" s="1436" t="str">
        <f aca="false">IF($H296=U$4,$D296*$N296,"")</f>
        <v/>
      </c>
      <c r="V296" s="1418"/>
      <c r="W296" s="1419"/>
      <c r="X296" s="1419"/>
      <c r="Y296" s="1419"/>
      <c r="Z296" s="1419"/>
      <c r="AA296" s="1419"/>
      <c r="AB296" s="1420"/>
      <c r="AC296" s="1319"/>
      <c r="AD296" s="2" t="str">
        <f aca="false">IF(AND(AD$4=$G296,AD$6=$F296),$B296,"")</f>
        <v/>
      </c>
      <c r="AE296" s="2" t="str">
        <f aca="false">IF(AND(AE$4=$G296,AE$6=$F296),$B296,"")</f>
        <v/>
      </c>
      <c r="AF296" s="2" t="str">
        <f aca="false">IF(AND(AF$4=$G296,AF$6=$F296),$B296,"")</f>
        <v/>
      </c>
      <c r="AG296" s="2" t="str">
        <f aca="false">IF(AND(AG$4=$G296,AG$6=$F296),$B296,"")</f>
        <v/>
      </c>
      <c r="AI296" s="366"/>
      <c r="AL296" s="367"/>
      <c r="AO296" s="367"/>
      <c r="AP296" s="2" t="str">
        <f aca="false">IF(AT296&gt;0,RANK(AT296,AT$7:AT$423),"")</f>
        <v/>
      </c>
      <c r="AQ296" s="2" t="n">
        <f aca="false">'O_MN, PE_UTA_UGM 2024'!C292</f>
        <v>289</v>
      </c>
      <c r="AR296" s="1421" t="n">
        <v>2840</v>
      </c>
      <c r="AS296" s="2" t="str">
        <f aca="false">IF(AY296&lt;&gt;"",AY296,"")</f>
        <v/>
      </c>
      <c r="AT296" s="1422" t="n">
        <f aca="false">IF(ISNUMBER($AR296),SUMIF(B$7:B$505,AR296,D$7:D$505),"")</f>
        <v>0</v>
      </c>
      <c r="AU296" s="1411" t="n">
        <f aca="false">IF(ISNUMBER($AR296),SUMIF(AD$7:AD$503,$AR296,J$7:J$503),"")</f>
        <v>0</v>
      </c>
      <c r="AV296" s="1411" t="n">
        <f aca="false">IF(ISNUMBER($AR296),SUMIF(AF$7:AF$503,$AR296,L$7:L$503),"")</f>
        <v>0</v>
      </c>
      <c r="AW296" s="1423" t="n">
        <f aca="false">IF(ISNUMBER($AR296),SUMIF(AE$7:AE$503,$AR296,K$7:K$503),"")</f>
        <v>0</v>
      </c>
      <c r="AX296" s="1423" t="n">
        <f aca="false">IF(ISNUMBER($AR296),SUMIF(AG$7:AG$503,$AR296,M$7:M$503),"")</f>
        <v>0</v>
      </c>
      <c r="AY296" s="2" t="str">
        <f aca="false">IF($AT296&gt;0,VLOOKUP($AR296,'O_MN, PE_UTA_UGM 2024'!E292:O708,2),"")</f>
        <v/>
      </c>
      <c r="AZ296" s="1507"/>
      <c r="BA296" s="1507"/>
      <c r="BB296" s="1507" t="str">
        <f aca="false">IF($AT296&gt;0,VLOOKUP($AR296,'O_MN, PE_UTA_UGM 2024'!$E$3:$O$419,BB$6),"")</f>
        <v/>
      </c>
      <c r="BC296" s="1507" t="str">
        <f aca="false">IF($AT296&gt;0,VLOOKUP($AR296,'O_MN, PE_UTA_UGM 2024'!$E$3:$O$419,BC$6),"")</f>
        <v/>
      </c>
      <c r="BD296" s="1507" t="str">
        <f aca="false">IF($AT296&gt;0,VLOOKUP($AR296,'O_MN, PE_UTA_UGM 2024'!$E$3:$O$419,BD$6),"")</f>
        <v/>
      </c>
      <c r="BE296" s="1507" t="str">
        <f aca="false">IF($AT296&gt;0,VLOOKUP($AR296,'O_MN, PE_UTA_UGM 2024'!$E$3:$O$419,BE$6),"")</f>
        <v/>
      </c>
      <c r="BF296" s="1507" t="str">
        <f aca="false">IF($AT296&gt;0,VLOOKUP($AR296,'O_MN, PE_UTA_UGM 2024'!$E$3:$O$419,BF$6),"")</f>
        <v/>
      </c>
      <c r="BG296" s="1507" t="str">
        <f aca="false">IF($AT296&gt;0,VLOOKUP($AR296,'O_MN, PE_UTA_UGM 2024'!$E$3:$O$419,BG$6),"")</f>
        <v/>
      </c>
      <c r="BH296" s="1504"/>
      <c r="BI296" s="1504"/>
      <c r="BJ296" s="1504"/>
      <c r="BK296" s="1504"/>
      <c r="BM296" s="1411"/>
      <c r="BN296" s="1411"/>
      <c r="BO296" s="1425" t="str">
        <f aca="false">IF(ISNUMBER($AU296*BB296*1),$AU296*BB296*1,"")</f>
        <v/>
      </c>
      <c r="BP296" s="1425" t="str">
        <f aca="false">IF(ISNUMBER($AV296*BC296*1),$AV296*BC296*1,"")</f>
        <v/>
      </c>
      <c r="BQ296" s="1425" t="str">
        <f aca="false">IF(ISNUMBER($AU296*BD296*1),$AU296*BD296*1,"")</f>
        <v/>
      </c>
      <c r="BR296" s="1425" t="str">
        <f aca="false">IF(ISNUMBER($AV296*BE296*1),$AV296*BE296*1,"")</f>
        <v/>
      </c>
      <c r="BS296" s="1411" t="str">
        <f aca="false">IF(ISNUMBER($AU296*BF296),$AU296*BF296,"")</f>
        <v/>
      </c>
      <c r="BT296" s="1411" t="str">
        <f aca="false">IF(ISNUMBER($AV296*BG296),$AV296*BG296,"")</f>
        <v/>
      </c>
      <c r="BU296" s="1411"/>
      <c r="BV296" s="1411"/>
      <c r="BW296" s="1411"/>
      <c r="BX296" s="1411"/>
      <c r="BZ296" s="1372"/>
      <c r="CA296" s="1372"/>
      <c r="CB296" s="1426" t="str">
        <f aca="false">IF(ISNUMBER($AW296*BB296),$AW296*BB296,"")</f>
        <v/>
      </c>
      <c r="CC296" s="1426" t="str">
        <f aca="false">IF(ISNUMBER($AX296*BC296),$AX296*BC296,"")</f>
        <v/>
      </c>
      <c r="CD296" s="1426" t="str">
        <f aca="false">IF(ISNUMBER($AW296*BD296),$AW296*BD296,"")</f>
        <v/>
      </c>
      <c r="CE296" s="1426" t="str">
        <f aca="false">IF(ISNUMBER($AX296*BE296),$AX296*BE296,"")</f>
        <v/>
      </c>
      <c r="CF296" s="1372" t="str">
        <f aca="false">IF(ISNUMBER($AW296*BF296),$AW296*BF296,"")</f>
        <v/>
      </c>
      <c r="CG296" s="1372" t="str">
        <f aca="false">IF(ISNUMBER($AX296*BG296),$AX296*BG296,"")</f>
        <v/>
      </c>
      <c r="CH296" s="1438"/>
      <c r="CI296" s="1438"/>
      <c r="CJ296" s="1438"/>
      <c r="CK296" s="1438"/>
      <c r="CU296" s="1411"/>
      <c r="CV296" s="1411"/>
      <c r="CW296" s="1425"/>
      <c r="CX296" s="1425"/>
      <c r="CY296" s="1425"/>
      <c r="CZ296" s="1425"/>
      <c r="DA296" s="1411"/>
      <c r="DB296" s="1411"/>
      <c r="DC296" s="1411"/>
      <c r="DD296" s="1411"/>
      <c r="DE296" s="1411"/>
      <c r="DF296" s="1411"/>
      <c r="DH296" s="1432"/>
      <c r="DI296" s="1432"/>
      <c r="DJ296" s="1437"/>
      <c r="DK296" s="1437"/>
      <c r="DL296" s="1437"/>
      <c r="DM296" s="1437"/>
      <c r="DN296" s="1432"/>
      <c r="DO296" s="1432"/>
      <c r="DP296" s="1432"/>
      <c r="DQ296" s="1432"/>
      <c r="DR296" s="1432"/>
      <c r="DS296" s="1432"/>
      <c r="DT296" s="1316"/>
      <c r="DU296" s="1433"/>
      <c r="DV296" s="1433"/>
      <c r="DW296" s="1433"/>
      <c r="DX296" s="1433"/>
      <c r="DY296" s="1433"/>
      <c r="DZ296" s="1433"/>
      <c r="EA296" s="1433"/>
      <c r="EB296" s="1433"/>
    </row>
    <row r="297" customFormat="false" ht="14.25" hidden="false" customHeight="false" outlineLevel="0" collapsed="false">
      <c r="A297" s="2" t="n">
        <f aca="false">'V_DATOS PAC_SGA'!CC292</f>
        <v>0</v>
      </c>
      <c r="B297" s="2" t="n">
        <f aca="false">IF(OR(A297=0,A297=""),0,IF(I297="IV",CONCATENATE('V_DATOS PAC_SGA'!CC292,"4")+0,CONCATENATE('V_DATOS PAC_SGA'!CC292,"0")+0))</f>
        <v>0</v>
      </c>
      <c r="C297" s="2" t="n">
        <f aca="false">'V_DATOS PAC_SGA'!CD292</f>
        <v>0</v>
      </c>
      <c r="D297" s="1409" t="n">
        <f aca="false">'V_DATOS PAC_SGA'!Y292</f>
        <v>0</v>
      </c>
      <c r="E297" s="1410" t="str">
        <f aca="false">IF('V_DATOS PAC_SGA'!AV292="","Regadio",'V_DATOS PAC_SGA'!AV292)</f>
        <v>Regadio</v>
      </c>
      <c r="F297" s="1411" t="n">
        <f aca="false">'V_DATOS PAC_SGA'!BK292</f>
        <v>0</v>
      </c>
      <c r="G297" s="1412" t="n">
        <f aca="false">'V_DATOS PAC_SGA'!AN292</f>
        <v>0</v>
      </c>
      <c r="H297" s="1413" t="str">
        <f aca="false">IF(B297&gt;0,VLOOKUP(B297,'O_MN, PE_UTA_UGM 2024'!E$3:O$419,10),"")</f>
        <v/>
      </c>
      <c r="I297" s="1359" t="str">
        <f aca="false">IF('V_DATOS PAC_SGA'!BV292="IV",'V_DATOS PAC_SGA'!BV292,"")</f>
        <v/>
      </c>
      <c r="J297" s="2" t="str">
        <f aca="false">IF($A297&gt;0,IF(AND(J$4=$G297,J$6=$F297),$D297*J$5,""),"")</f>
        <v/>
      </c>
      <c r="K297" s="2" t="str">
        <f aca="false">IF($A297&gt;0,IF(AND(K$4=$G297,K$6=$F297),$D297*K$5,""),"")</f>
        <v/>
      </c>
      <c r="L297" s="2" t="str">
        <f aca="false">IF($A297&gt;0,IF(AND(L$4=$G297,L$6=$F297),$D297*L$5,""),"")</f>
        <v/>
      </c>
      <c r="M297" s="2" t="str">
        <f aca="false">IF($A297&gt;0,IF(AND(M$4=$G297,M$6=$F297),$D297*M$5,""),"")</f>
        <v/>
      </c>
      <c r="N297" s="1506" t="n">
        <f aca="false">VLOOKUP(B297,'O_MN, PE_UTA_UGM 2024'!$E$2:$K$419,IF(G297&gt;1,6,7))</f>
        <v>0</v>
      </c>
      <c r="O297" s="1434" t="str">
        <f aca="false">IF($H297=O$4,$D297*$N297,"")</f>
        <v/>
      </c>
      <c r="P297" s="1435" t="str">
        <f aca="false">IF($H297=P$4,$D297*$N297,"")</f>
        <v/>
      </c>
      <c r="Q297" s="1435" t="str">
        <f aca="false">IF($H297=Q$4,$D297*$N297,"")</f>
        <v/>
      </c>
      <c r="R297" s="1435" t="str">
        <f aca="false">IF($H297=R$4,$D297*$N297,"")</f>
        <v/>
      </c>
      <c r="S297" s="1435" t="str">
        <f aca="false">IF($H297=S$4,$D297*$N297,"")</f>
        <v/>
      </c>
      <c r="T297" s="1435" t="str">
        <f aca="false">IF($H297=T$4,$D297*$N297,"")</f>
        <v/>
      </c>
      <c r="U297" s="1436" t="str">
        <f aca="false">IF($H297=U$4,$D297*$N297,"")</f>
        <v/>
      </c>
      <c r="V297" s="1418"/>
      <c r="W297" s="1419"/>
      <c r="X297" s="1419"/>
      <c r="Y297" s="1419"/>
      <c r="Z297" s="1419"/>
      <c r="AA297" s="1419"/>
      <c r="AB297" s="1420"/>
      <c r="AC297" s="1319"/>
      <c r="AD297" s="2" t="str">
        <f aca="false">IF(AND(AD$4=$G297,AD$6=$F297),$B297,"")</f>
        <v/>
      </c>
      <c r="AE297" s="2" t="str">
        <f aca="false">IF(AND(AE$4=$G297,AE$6=$F297),$B297,"")</f>
        <v/>
      </c>
      <c r="AF297" s="2" t="str">
        <f aca="false">IF(AND(AF$4=$G297,AF$6=$F297),$B297,"")</f>
        <v/>
      </c>
      <c r="AG297" s="2" t="str">
        <f aca="false">IF(AND(AG$4=$G297,AG$6=$F297),$B297,"")</f>
        <v/>
      </c>
      <c r="AI297" s="366"/>
      <c r="AL297" s="367"/>
      <c r="AO297" s="367"/>
      <c r="AP297" s="2" t="str">
        <f aca="false">IF(AT297&gt;0,RANK(AT297,AT$7:AT$423),"")</f>
        <v/>
      </c>
      <c r="AQ297" s="2" t="n">
        <f aca="false">'O_MN, PE_UTA_UGM 2024'!C293</f>
        <v>298</v>
      </c>
      <c r="AR297" s="1421" t="n">
        <v>2850</v>
      </c>
      <c r="AS297" s="2" t="str">
        <f aca="false">IF(AY297&lt;&gt;"",AY297,"")</f>
        <v/>
      </c>
      <c r="AT297" s="1422" t="n">
        <f aca="false">IF(ISNUMBER($AR297),SUMIF(B$7:B$505,AR297,D$7:D$505),"")</f>
        <v>0</v>
      </c>
      <c r="AU297" s="1411" t="n">
        <f aca="false">IF(ISNUMBER($AR297),SUMIF(AD$7:AD$503,$AR297,J$7:J$503),"")</f>
        <v>0</v>
      </c>
      <c r="AV297" s="1411" t="n">
        <f aca="false">IF(ISNUMBER($AR297),SUMIF(AF$7:AF$503,$AR297,L$7:L$503),"")</f>
        <v>0</v>
      </c>
      <c r="AW297" s="1423" t="n">
        <f aca="false">IF(ISNUMBER($AR297),SUMIF(AE$7:AE$503,$AR297,K$7:K$503),"")</f>
        <v>0</v>
      </c>
      <c r="AX297" s="1423" t="n">
        <f aca="false">IF(ISNUMBER($AR297),SUMIF(AG$7:AG$503,$AR297,M$7:M$503),"")</f>
        <v>0</v>
      </c>
      <c r="AY297" s="2" t="str">
        <f aca="false">IF($AT297&gt;0,VLOOKUP($AR297,'O_MN, PE_UTA_UGM 2024'!E293:O709,2),"")</f>
        <v/>
      </c>
      <c r="AZ297" s="1507"/>
      <c r="BA297" s="1507"/>
      <c r="BB297" s="1507" t="str">
        <f aca="false">IF($AT297&gt;0,VLOOKUP($AR297,'O_MN, PE_UTA_UGM 2024'!$E$3:$O$419,BB$6),"")</f>
        <v/>
      </c>
      <c r="BC297" s="1507" t="str">
        <f aca="false">IF($AT297&gt;0,VLOOKUP($AR297,'O_MN, PE_UTA_UGM 2024'!$E$3:$O$419,BC$6),"")</f>
        <v/>
      </c>
      <c r="BD297" s="1507" t="str">
        <f aca="false">IF($AT297&gt;0,VLOOKUP($AR297,'O_MN, PE_UTA_UGM 2024'!$E$3:$O$419,BD$6),"")</f>
        <v/>
      </c>
      <c r="BE297" s="1507" t="str">
        <f aca="false">IF($AT297&gt;0,VLOOKUP($AR297,'O_MN, PE_UTA_UGM 2024'!$E$3:$O$419,BE$6),"")</f>
        <v/>
      </c>
      <c r="BF297" s="1507" t="str">
        <f aca="false">IF($AT297&gt;0,VLOOKUP($AR297,'O_MN, PE_UTA_UGM 2024'!$E$3:$O$419,BF$6),"")</f>
        <v/>
      </c>
      <c r="BG297" s="1507" t="str">
        <f aca="false">IF($AT297&gt;0,VLOOKUP($AR297,'O_MN, PE_UTA_UGM 2024'!$E$3:$O$419,BG$6),"")</f>
        <v/>
      </c>
      <c r="BH297" s="1504"/>
      <c r="BI297" s="1504"/>
      <c r="BJ297" s="1504"/>
      <c r="BK297" s="1504"/>
      <c r="BM297" s="1411"/>
      <c r="BN297" s="1411"/>
      <c r="BO297" s="1425" t="str">
        <f aca="false">IF(ISNUMBER($AU297*BB297*1),$AU297*BB297*1,"")</f>
        <v/>
      </c>
      <c r="BP297" s="1425" t="str">
        <f aca="false">IF(ISNUMBER($AV297*BC297*1),$AV297*BC297*1,"")</f>
        <v/>
      </c>
      <c r="BQ297" s="1425" t="str">
        <f aca="false">IF(ISNUMBER($AU297*BD297*1),$AU297*BD297*1,"")</f>
        <v/>
      </c>
      <c r="BR297" s="1425" t="str">
        <f aca="false">IF(ISNUMBER($AV297*BE297*1),$AV297*BE297*1,"")</f>
        <v/>
      </c>
      <c r="BS297" s="1411" t="str">
        <f aca="false">IF(ISNUMBER($AU297*BF297),$AU297*BF297,"")</f>
        <v/>
      </c>
      <c r="BT297" s="1411" t="str">
        <f aca="false">IF(ISNUMBER($AV297*BG297),$AV297*BG297,"")</f>
        <v/>
      </c>
      <c r="BU297" s="1411"/>
      <c r="BV297" s="1411"/>
      <c r="BW297" s="1411"/>
      <c r="BX297" s="1411"/>
      <c r="BZ297" s="1372"/>
      <c r="CA297" s="1372"/>
      <c r="CB297" s="1426" t="str">
        <f aca="false">IF(ISNUMBER($AW297*BB297),$AW297*BB297,"")</f>
        <v/>
      </c>
      <c r="CC297" s="1426" t="str">
        <f aca="false">IF(ISNUMBER($AX297*BC297),$AX297*BC297,"")</f>
        <v/>
      </c>
      <c r="CD297" s="1426" t="str">
        <f aca="false">IF(ISNUMBER($AW297*BD297),$AW297*BD297,"")</f>
        <v/>
      </c>
      <c r="CE297" s="1426" t="str">
        <f aca="false">IF(ISNUMBER($AX297*BE297),$AX297*BE297,"")</f>
        <v/>
      </c>
      <c r="CF297" s="1372" t="str">
        <f aca="false">IF(ISNUMBER($AW297*BF297),$AW297*BF297,"")</f>
        <v/>
      </c>
      <c r="CG297" s="1372" t="str">
        <f aca="false">IF(ISNUMBER($AX297*BG297),$AX297*BG297,"")</f>
        <v/>
      </c>
      <c r="CH297" s="1438"/>
      <c r="CI297" s="1438"/>
      <c r="CJ297" s="1438"/>
      <c r="CK297" s="1438"/>
      <c r="CU297" s="1411"/>
      <c r="CV297" s="1411"/>
      <c r="CW297" s="1425"/>
      <c r="CX297" s="1425"/>
      <c r="CY297" s="1425"/>
      <c r="CZ297" s="1425"/>
      <c r="DA297" s="1411"/>
      <c r="DB297" s="1411"/>
      <c r="DC297" s="1411"/>
      <c r="DD297" s="1411"/>
      <c r="DE297" s="1411"/>
      <c r="DF297" s="1411"/>
      <c r="DH297" s="1432"/>
      <c r="DI297" s="1432"/>
      <c r="DJ297" s="1437"/>
      <c r="DK297" s="1437"/>
      <c r="DL297" s="1437"/>
      <c r="DM297" s="1437"/>
      <c r="DN297" s="1432"/>
      <c r="DO297" s="1432"/>
      <c r="DP297" s="1432"/>
      <c r="DQ297" s="1432"/>
      <c r="DR297" s="1432"/>
      <c r="DS297" s="1432"/>
      <c r="DT297" s="1316"/>
      <c r="DU297" s="1433"/>
      <c r="DV297" s="1433"/>
      <c r="DW297" s="1433"/>
      <c r="DX297" s="1433"/>
      <c r="DY297" s="1433"/>
      <c r="DZ297" s="1433"/>
      <c r="EA297" s="1433"/>
      <c r="EB297" s="1433"/>
    </row>
    <row r="298" customFormat="false" ht="14.25" hidden="false" customHeight="false" outlineLevel="0" collapsed="false">
      <c r="A298" s="2" t="n">
        <f aca="false">'V_DATOS PAC_SGA'!CC293</f>
        <v>0</v>
      </c>
      <c r="B298" s="2" t="n">
        <f aca="false">IF(OR(A298=0,A298=""),0,IF(I298="IV",CONCATENATE('V_DATOS PAC_SGA'!CC293,"4")+0,CONCATENATE('V_DATOS PAC_SGA'!CC293,"0")+0))</f>
        <v>0</v>
      </c>
      <c r="C298" s="2" t="n">
        <f aca="false">'V_DATOS PAC_SGA'!CD293</f>
        <v>0</v>
      </c>
      <c r="D298" s="1409" t="n">
        <f aca="false">'V_DATOS PAC_SGA'!Y293</f>
        <v>0</v>
      </c>
      <c r="E298" s="1410" t="str">
        <f aca="false">IF('V_DATOS PAC_SGA'!AV293="","Regadio",'V_DATOS PAC_SGA'!AV293)</f>
        <v>Regadio</v>
      </c>
      <c r="F298" s="1411" t="n">
        <f aca="false">'V_DATOS PAC_SGA'!BK293</f>
        <v>0</v>
      </c>
      <c r="G298" s="1412" t="n">
        <f aca="false">'V_DATOS PAC_SGA'!AN293</f>
        <v>0</v>
      </c>
      <c r="H298" s="1413" t="str">
        <f aca="false">IF(B298&gt;0,VLOOKUP(B298,'O_MN, PE_UTA_UGM 2024'!E$3:O$419,10),"")</f>
        <v/>
      </c>
      <c r="I298" s="1359" t="str">
        <f aca="false">IF('V_DATOS PAC_SGA'!BV293="IV",'V_DATOS PAC_SGA'!BV293,"")</f>
        <v/>
      </c>
      <c r="J298" s="2" t="str">
        <f aca="false">IF($A298&gt;0,IF(AND(J$4=$G298,J$6=$F298),$D298*J$5,""),"")</f>
        <v/>
      </c>
      <c r="K298" s="2" t="str">
        <f aca="false">IF($A298&gt;0,IF(AND(K$4=$G298,K$6=$F298),$D298*K$5,""),"")</f>
        <v/>
      </c>
      <c r="L298" s="2" t="str">
        <f aca="false">IF($A298&gt;0,IF(AND(L$4=$G298,L$6=$F298),$D298*L$5,""),"")</f>
        <v/>
      </c>
      <c r="M298" s="2" t="str">
        <f aca="false">IF($A298&gt;0,IF(AND(M$4=$G298,M$6=$F298),$D298*M$5,""),"")</f>
        <v/>
      </c>
      <c r="N298" s="1506" t="n">
        <f aca="false">VLOOKUP(B298,'O_MN, PE_UTA_UGM 2024'!$E$2:$K$419,IF(G298&gt;1,6,7))</f>
        <v>0</v>
      </c>
      <c r="O298" s="1434" t="str">
        <f aca="false">IF($H298=O$4,$D298*$N298,"")</f>
        <v/>
      </c>
      <c r="P298" s="1435" t="str">
        <f aca="false">IF($H298=P$4,$D298*$N298,"")</f>
        <v/>
      </c>
      <c r="Q298" s="1435" t="str">
        <f aca="false">IF($H298=Q$4,$D298*$N298,"")</f>
        <v/>
      </c>
      <c r="R298" s="1435" t="str">
        <f aca="false">IF($H298=R$4,$D298*$N298,"")</f>
        <v/>
      </c>
      <c r="S298" s="1435" t="str">
        <f aca="false">IF($H298=S$4,$D298*$N298,"")</f>
        <v/>
      </c>
      <c r="T298" s="1435" t="str">
        <f aca="false">IF($H298=T$4,$D298*$N298,"")</f>
        <v/>
      </c>
      <c r="U298" s="1436" t="str">
        <f aca="false">IF($H298=U$4,$D298*$N298,"")</f>
        <v/>
      </c>
      <c r="V298" s="1418"/>
      <c r="W298" s="1419"/>
      <c r="X298" s="1419"/>
      <c r="Y298" s="1419"/>
      <c r="Z298" s="1419"/>
      <c r="AA298" s="1419"/>
      <c r="AB298" s="1420"/>
      <c r="AC298" s="1319"/>
      <c r="AD298" s="2" t="str">
        <f aca="false">IF(AND(AD$4=$G298,AD$6=$F298),$B298,"")</f>
        <v/>
      </c>
      <c r="AE298" s="2" t="str">
        <f aca="false">IF(AND(AE$4=$G298,AE$6=$F298),$B298,"")</f>
        <v/>
      </c>
      <c r="AF298" s="2" t="str">
        <f aca="false">IF(AND(AF$4=$G298,AF$6=$F298),$B298,"")</f>
        <v/>
      </c>
      <c r="AG298" s="2" t="str">
        <f aca="false">IF(AND(AG$4=$G298,AG$6=$F298),$B298,"")</f>
        <v/>
      </c>
      <c r="AI298" s="366"/>
      <c r="AL298" s="367"/>
      <c r="AO298" s="367"/>
      <c r="AP298" s="2" t="str">
        <f aca="false">IF(AT298&gt;0,RANK(AT298,AT$7:AT$423),"")</f>
        <v/>
      </c>
      <c r="AQ298" s="2" t="n">
        <f aca="false">'O_MN, PE_UTA_UGM 2024'!C294</f>
        <v>299</v>
      </c>
      <c r="AR298" s="1421" t="n">
        <v>2860</v>
      </c>
      <c r="AS298" s="2" t="str">
        <f aca="false">IF(AY298&lt;&gt;"",AY298,"")</f>
        <v/>
      </c>
      <c r="AT298" s="1422" t="n">
        <f aca="false">IF(ISNUMBER($AR298),SUMIF(B$7:B$505,AR298,D$7:D$505),"")</f>
        <v>0</v>
      </c>
      <c r="AU298" s="1411" t="n">
        <f aca="false">IF(ISNUMBER($AR298),SUMIF(AD$7:AD$503,$AR298,J$7:J$503),"")</f>
        <v>0</v>
      </c>
      <c r="AV298" s="1411" t="n">
        <f aca="false">IF(ISNUMBER($AR298),SUMIF(AF$7:AF$503,$AR298,L$7:L$503),"")</f>
        <v>0</v>
      </c>
      <c r="AW298" s="1423" t="n">
        <f aca="false">IF(ISNUMBER($AR298),SUMIF(AE$7:AE$503,$AR298,K$7:K$503),"")</f>
        <v>0</v>
      </c>
      <c r="AX298" s="1423" t="n">
        <f aca="false">IF(ISNUMBER($AR298),SUMIF(AG$7:AG$503,$AR298,M$7:M$503),"")</f>
        <v>0</v>
      </c>
      <c r="AY298" s="2" t="str">
        <f aca="false">IF($AT298&gt;0,VLOOKUP($AR298,'O_MN, PE_UTA_UGM 2024'!E294:O710,2),"")</f>
        <v/>
      </c>
      <c r="AZ298" s="1507"/>
      <c r="BA298" s="1507"/>
      <c r="BB298" s="1507" t="str">
        <f aca="false">IF($AT298&gt;0,VLOOKUP($AR298,'O_MN, PE_UTA_UGM 2024'!$E$3:$O$419,BB$6),"")</f>
        <v/>
      </c>
      <c r="BC298" s="1507" t="str">
        <f aca="false">IF($AT298&gt;0,VLOOKUP($AR298,'O_MN, PE_UTA_UGM 2024'!$E$3:$O$419,BC$6),"")</f>
        <v/>
      </c>
      <c r="BD298" s="1507" t="str">
        <f aca="false">IF($AT298&gt;0,VLOOKUP($AR298,'O_MN, PE_UTA_UGM 2024'!$E$3:$O$419,BD$6),"")</f>
        <v/>
      </c>
      <c r="BE298" s="1507" t="str">
        <f aca="false">IF($AT298&gt;0,VLOOKUP($AR298,'O_MN, PE_UTA_UGM 2024'!$E$3:$O$419,BE$6),"")</f>
        <v/>
      </c>
      <c r="BF298" s="1507" t="str">
        <f aca="false">IF($AT298&gt;0,VLOOKUP($AR298,'O_MN, PE_UTA_UGM 2024'!$E$3:$O$419,BF$6),"")</f>
        <v/>
      </c>
      <c r="BG298" s="1507" t="str">
        <f aca="false">IF($AT298&gt;0,VLOOKUP($AR298,'O_MN, PE_UTA_UGM 2024'!$E$3:$O$419,BG$6),"")</f>
        <v/>
      </c>
      <c r="BH298" s="1504"/>
      <c r="BI298" s="1504"/>
      <c r="BJ298" s="1504"/>
      <c r="BK298" s="1504"/>
      <c r="BM298" s="1411"/>
      <c r="BN298" s="1411"/>
      <c r="BO298" s="1425" t="str">
        <f aca="false">IF(ISNUMBER($AU298*BB298*1),$AU298*BB298*1,"")</f>
        <v/>
      </c>
      <c r="BP298" s="1425" t="str">
        <f aca="false">IF(ISNUMBER($AV298*BC298*1),$AV298*BC298*1,"")</f>
        <v/>
      </c>
      <c r="BQ298" s="1425" t="str">
        <f aca="false">IF(ISNUMBER($AU298*BD298*1),$AU298*BD298*1,"")</f>
        <v/>
      </c>
      <c r="BR298" s="1425" t="str">
        <f aca="false">IF(ISNUMBER($AV298*BE298*1),$AV298*BE298*1,"")</f>
        <v/>
      </c>
      <c r="BS298" s="1411" t="str">
        <f aca="false">IF(ISNUMBER($AU298*BF298),$AU298*BF298,"")</f>
        <v/>
      </c>
      <c r="BT298" s="1411" t="str">
        <f aca="false">IF(ISNUMBER($AV298*BG298),$AV298*BG298,"")</f>
        <v/>
      </c>
      <c r="BU298" s="1411"/>
      <c r="BV298" s="1411"/>
      <c r="BW298" s="1411"/>
      <c r="BX298" s="1411"/>
      <c r="BZ298" s="1372"/>
      <c r="CA298" s="1372"/>
      <c r="CB298" s="1426" t="str">
        <f aca="false">IF(ISNUMBER($AW298*BB298),$AW298*BB298,"")</f>
        <v/>
      </c>
      <c r="CC298" s="1426" t="str">
        <f aca="false">IF(ISNUMBER($AX298*BC298),$AX298*BC298,"")</f>
        <v/>
      </c>
      <c r="CD298" s="1426" t="str">
        <f aca="false">IF(ISNUMBER($AW298*BD298),$AW298*BD298,"")</f>
        <v/>
      </c>
      <c r="CE298" s="1426" t="str">
        <f aca="false">IF(ISNUMBER($AX298*BE298),$AX298*BE298,"")</f>
        <v/>
      </c>
      <c r="CF298" s="1372" t="str">
        <f aca="false">IF(ISNUMBER($AW298*BF298),$AW298*BF298,"")</f>
        <v/>
      </c>
      <c r="CG298" s="1372" t="str">
        <f aca="false">IF(ISNUMBER($AX298*BG298),$AX298*BG298,"")</f>
        <v/>
      </c>
      <c r="CH298" s="1438"/>
      <c r="CI298" s="1438"/>
      <c r="CJ298" s="1438"/>
      <c r="CK298" s="1438"/>
      <c r="CU298" s="1411"/>
      <c r="CV298" s="1411"/>
      <c r="CW298" s="1425"/>
      <c r="CX298" s="1425"/>
      <c r="CY298" s="1425"/>
      <c r="CZ298" s="1425"/>
      <c r="DA298" s="1411"/>
      <c r="DB298" s="1411"/>
      <c r="DC298" s="1411"/>
      <c r="DD298" s="1411"/>
      <c r="DE298" s="1411"/>
      <c r="DF298" s="1411"/>
      <c r="DH298" s="1432"/>
      <c r="DI298" s="1432"/>
      <c r="DJ298" s="1437"/>
      <c r="DK298" s="1437"/>
      <c r="DL298" s="1437"/>
      <c r="DM298" s="1437"/>
      <c r="DN298" s="1432"/>
      <c r="DO298" s="1432"/>
      <c r="DP298" s="1432"/>
      <c r="DQ298" s="1432"/>
      <c r="DR298" s="1432"/>
      <c r="DS298" s="1432"/>
      <c r="DT298" s="1316"/>
      <c r="DU298" s="1433"/>
      <c r="DV298" s="1433"/>
      <c r="DW298" s="1433"/>
      <c r="DX298" s="1433"/>
      <c r="DY298" s="1433"/>
      <c r="DZ298" s="1433"/>
      <c r="EA298" s="1433"/>
      <c r="EB298" s="1433"/>
    </row>
    <row r="299" customFormat="false" ht="14.25" hidden="false" customHeight="false" outlineLevel="0" collapsed="false">
      <c r="A299" s="2" t="n">
        <f aca="false">'V_DATOS PAC_SGA'!CC294</f>
        <v>0</v>
      </c>
      <c r="B299" s="2" t="n">
        <f aca="false">IF(OR(A299=0,A299=""),0,IF(I299="IV",CONCATENATE('V_DATOS PAC_SGA'!CC294,"4")+0,CONCATENATE('V_DATOS PAC_SGA'!CC294,"0")+0))</f>
        <v>0</v>
      </c>
      <c r="C299" s="2" t="n">
        <f aca="false">'V_DATOS PAC_SGA'!CD294</f>
        <v>0</v>
      </c>
      <c r="D299" s="1409" t="n">
        <f aca="false">'V_DATOS PAC_SGA'!Y294</f>
        <v>0</v>
      </c>
      <c r="E299" s="1410" t="str">
        <f aca="false">IF('V_DATOS PAC_SGA'!AV294="","Regadio",'V_DATOS PAC_SGA'!AV294)</f>
        <v>Regadio</v>
      </c>
      <c r="F299" s="1411" t="n">
        <f aca="false">'V_DATOS PAC_SGA'!BK294</f>
        <v>0</v>
      </c>
      <c r="G299" s="1412" t="n">
        <f aca="false">'V_DATOS PAC_SGA'!AN294</f>
        <v>0</v>
      </c>
      <c r="H299" s="1413" t="str">
        <f aca="false">IF(B299&gt;0,VLOOKUP(B299,'O_MN, PE_UTA_UGM 2024'!E$3:O$419,10),"")</f>
        <v/>
      </c>
      <c r="I299" s="1359" t="str">
        <f aca="false">IF('V_DATOS PAC_SGA'!BV294="IV",'V_DATOS PAC_SGA'!BV294,"")</f>
        <v/>
      </c>
      <c r="J299" s="2" t="str">
        <f aca="false">IF($A299&gt;0,IF(AND(J$4=$G299,J$6=$F299),$D299*J$5,""),"")</f>
        <v/>
      </c>
      <c r="K299" s="2" t="str">
        <f aca="false">IF($A299&gt;0,IF(AND(K$4=$G299,K$6=$F299),$D299*K$5,""),"")</f>
        <v/>
      </c>
      <c r="L299" s="2" t="str">
        <f aca="false">IF($A299&gt;0,IF(AND(L$4=$G299,L$6=$F299),$D299*L$5,""),"")</f>
        <v/>
      </c>
      <c r="M299" s="2" t="str">
        <f aca="false">IF($A299&gt;0,IF(AND(M$4=$G299,M$6=$F299),$D299*M$5,""),"")</f>
        <v/>
      </c>
      <c r="N299" s="1506" t="n">
        <f aca="false">VLOOKUP(B299,'O_MN, PE_UTA_UGM 2024'!$E$2:$K$419,IF(G299&gt;1,6,7))</f>
        <v>0</v>
      </c>
      <c r="O299" s="1434" t="str">
        <f aca="false">IF($H299=O$4,$D299*$N299,"")</f>
        <v/>
      </c>
      <c r="P299" s="1435" t="str">
        <f aca="false">IF($H299=P$4,$D299*$N299,"")</f>
        <v/>
      </c>
      <c r="Q299" s="1435" t="str">
        <f aca="false">IF($H299=Q$4,$D299*$N299,"")</f>
        <v/>
      </c>
      <c r="R299" s="1435" t="str">
        <f aca="false">IF($H299=R$4,$D299*$N299,"")</f>
        <v/>
      </c>
      <c r="S299" s="1435" t="str">
        <f aca="false">IF($H299=S$4,$D299*$N299,"")</f>
        <v/>
      </c>
      <c r="T299" s="1435" t="str">
        <f aca="false">IF($H299=T$4,$D299*$N299,"")</f>
        <v/>
      </c>
      <c r="U299" s="1436" t="str">
        <f aca="false">IF($H299=U$4,$D299*$N299,"")</f>
        <v/>
      </c>
      <c r="V299" s="1418"/>
      <c r="W299" s="1419"/>
      <c r="X299" s="1419"/>
      <c r="Y299" s="1419"/>
      <c r="Z299" s="1419"/>
      <c r="AA299" s="1419"/>
      <c r="AB299" s="1420"/>
      <c r="AC299" s="1319"/>
      <c r="AD299" s="2" t="str">
        <f aca="false">IF(AND(AD$4=$G299,AD$6=$F299),$B299,"")</f>
        <v/>
      </c>
      <c r="AE299" s="2" t="str">
        <f aca="false">IF(AND(AE$4=$G299,AE$6=$F299),$B299,"")</f>
        <v/>
      </c>
      <c r="AF299" s="2" t="str">
        <f aca="false">IF(AND(AF$4=$G299,AF$6=$F299),$B299,"")</f>
        <v/>
      </c>
      <c r="AG299" s="2" t="str">
        <f aca="false">IF(AND(AG$4=$G299,AG$6=$F299),$B299,"")</f>
        <v/>
      </c>
      <c r="AI299" s="366"/>
      <c r="AL299" s="367"/>
      <c r="AO299" s="367"/>
      <c r="AP299" s="2" t="str">
        <f aca="false">IF(AT299&gt;0,RANK(AT299,AT$7:AT$423),"")</f>
        <v/>
      </c>
      <c r="AQ299" s="2" t="n">
        <f aca="false">'O_MN, PE_UTA_UGM 2024'!C295</f>
        <v>304</v>
      </c>
      <c r="AR299" s="1421" t="n">
        <v>2870</v>
      </c>
      <c r="AS299" s="2" t="str">
        <f aca="false">IF(AY299&lt;&gt;"",AY299,"")</f>
        <v/>
      </c>
      <c r="AT299" s="1422" t="n">
        <f aca="false">IF(ISNUMBER($AR299),SUMIF(B$7:B$505,AR299,D$7:D$505),"")</f>
        <v>0</v>
      </c>
      <c r="AU299" s="1411" t="n">
        <f aca="false">IF(ISNUMBER($AR299),SUMIF(AD$7:AD$503,$AR299,J$7:J$503),"")</f>
        <v>0</v>
      </c>
      <c r="AV299" s="1411" t="n">
        <f aca="false">IF(ISNUMBER($AR299),SUMIF(AF$7:AF$503,$AR299,L$7:L$503),"")</f>
        <v>0</v>
      </c>
      <c r="AW299" s="1423" t="n">
        <f aca="false">IF(ISNUMBER($AR299),SUMIF(AE$7:AE$503,$AR299,K$7:K$503),"")</f>
        <v>0</v>
      </c>
      <c r="AX299" s="1423" t="n">
        <f aca="false">IF(ISNUMBER($AR299),SUMIF(AG$7:AG$503,$AR299,M$7:M$503),"")</f>
        <v>0</v>
      </c>
      <c r="AY299" s="2" t="str">
        <f aca="false">IF($AT299&gt;0,VLOOKUP($AR299,'O_MN, PE_UTA_UGM 2024'!E295:O711,2),"")</f>
        <v/>
      </c>
      <c r="AZ299" s="1507"/>
      <c r="BA299" s="1507"/>
      <c r="BB299" s="1507" t="str">
        <f aca="false">IF($AT299&gt;0,VLOOKUP($AR299,'O_MN, PE_UTA_UGM 2024'!$E$3:$O$419,BB$6),"")</f>
        <v/>
      </c>
      <c r="BC299" s="1507" t="str">
        <f aca="false">IF($AT299&gt;0,VLOOKUP($AR299,'O_MN, PE_UTA_UGM 2024'!$E$3:$O$419,BC$6),"")</f>
        <v/>
      </c>
      <c r="BD299" s="1507" t="str">
        <f aca="false">IF($AT299&gt;0,VLOOKUP($AR299,'O_MN, PE_UTA_UGM 2024'!$E$3:$O$419,BD$6),"")</f>
        <v/>
      </c>
      <c r="BE299" s="1507" t="str">
        <f aca="false">IF($AT299&gt;0,VLOOKUP($AR299,'O_MN, PE_UTA_UGM 2024'!$E$3:$O$419,BE$6),"")</f>
        <v/>
      </c>
      <c r="BF299" s="1507" t="str">
        <f aca="false">IF($AT299&gt;0,VLOOKUP($AR299,'O_MN, PE_UTA_UGM 2024'!$E$3:$O$419,BF$6),"")</f>
        <v/>
      </c>
      <c r="BG299" s="1507" t="str">
        <f aca="false">IF($AT299&gt;0,VLOOKUP($AR299,'O_MN, PE_UTA_UGM 2024'!$E$3:$O$419,BG$6),"")</f>
        <v/>
      </c>
      <c r="BH299" s="1504"/>
      <c r="BI299" s="1504"/>
      <c r="BJ299" s="1504"/>
      <c r="BK299" s="1504"/>
      <c r="BM299" s="1411"/>
      <c r="BN299" s="1411"/>
      <c r="BO299" s="1425" t="str">
        <f aca="false">IF(ISNUMBER($AU299*BB299*1),$AU299*BB299*1,"")</f>
        <v/>
      </c>
      <c r="BP299" s="1425" t="str">
        <f aca="false">IF(ISNUMBER($AV299*BC299*1),$AV299*BC299*1,"")</f>
        <v/>
      </c>
      <c r="BQ299" s="1425" t="str">
        <f aca="false">IF(ISNUMBER($AU299*BD299*1),$AU299*BD299*1,"")</f>
        <v/>
      </c>
      <c r="BR299" s="1425" t="str">
        <f aca="false">IF(ISNUMBER($AV299*BE299*1),$AV299*BE299*1,"")</f>
        <v/>
      </c>
      <c r="BS299" s="1411" t="str">
        <f aca="false">IF(ISNUMBER($AU299*BF299),$AU299*BF299,"")</f>
        <v/>
      </c>
      <c r="BT299" s="1411" t="str">
        <f aca="false">IF(ISNUMBER($AV299*BG299),$AV299*BG299,"")</f>
        <v/>
      </c>
      <c r="BU299" s="1411"/>
      <c r="BV299" s="1411"/>
      <c r="BW299" s="1411"/>
      <c r="BX299" s="1411"/>
      <c r="BZ299" s="1372"/>
      <c r="CA299" s="1372"/>
      <c r="CB299" s="1426" t="str">
        <f aca="false">IF(ISNUMBER($AW299*BB299),$AW299*BB299,"")</f>
        <v/>
      </c>
      <c r="CC299" s="1426" t="str">
        <f aca="false">IF(ISNUMBER($AX299*BC299),$AX299*BC299,"")</f>
        <v/>
      </c>
      <c r="CD299" s="1426" t="str">
        <f aca="false">IF(ISNUMBER($AW299*BD299),$AW299*BD299,"")</f>
        <v/>
      </c>
      <c r="CE299" s="1426" t="str">
        <f aca="false">IF(ISNUMBER($AX299*BE299),$AX299*BE299,"")</f>
        <v/>
      </c>
      <c r="CF299" s="1372" t="str">
        <f aca="false">IF(ISNUMBER($AW299*BF299),$AW299*BF299,"")</f>
        <v/>
      </c>
      <c r="CG299" s="1372" t="str">
        <f aca="false">IF(ISNUMBER($AX299*BG299),$AX299*BG299,"")</f>
        <v/>
      </c>
      <c r="CH299" s="1438"/>
      <c r="CI299" s="1438"/>
      <c r="CJ299" s="1438"/>
      <c r="CK299" s="1438"/>
      <c r="CU299" s="1411"/>
      <c r="CV299" s="1411"/>
      <c r="CW299" s="1425"/>
      <c r="CX299" s="1425"/>
      <c r="CY299" s="1425"/>
      <c r="CZ299" s="1425"/>
      <c r="DA299" s="1411"/>
      <c r="DB299" s="1411"/>
      <c r="DC299" s="1411"/>
      <c r="DD299" s="1411"/>
      <c r="DE299" s="1411"/>
      <c r="DF299" s="1411"/>
      <c r="DH299" s="1432"/>
      <c r="DI299" s="1432"/>
      <c r="DJ299" s="1437"/>
      <c r="DK299" s="1437"/>
      <c r="DL299" s="1437"/>
      <c r="DM299" s="1437"/>
      <c r="DN299" s="1432"/>
      <c r="DO299" s="1432"/>
      <c r="DP299" s="1432"/>
      <c r="DQ299" s="1432"/>
      <c r="DR299" s="1432"/>
      <c r="DS299" s="1432"/>
      <c r="DT299" s="1316"/>
      <c r="DU299" s="1433"/>
      <c r="DV299" s="1433"/>
      <c r="DW299" s="1433"/>
      <c r="DX299" s="1433"/>
      <c r="DY299" s="1433"/>
      <c r="DZ299" s="1433"/>
      <c r="EA299" s="1433"/>
      <c r="EB299" s="1433"/>
    </row>
    <row r="300" customFormat="false" ht="14.25" hidden="false" customHeight="false" outlineLevel="0" collapsed="false">
      <c r="A300" s="2" t="n">
        <f aca="false">'V_DATOS PAC_SGA'!CC295</f>
        <v>0</v>
      </c>
      <c r="B300" s="2" t="n">
        <f aca="false">IF(OR(A300=0,A300=""),0,IF(I300="IV",CONCATENATE('V_DATOS PAC_SGA'!CC295,"4")+0,CONCATENATE('V_DATOS PAC_SGA'!CC295,"0")+0))</f>
        <v>0</v>
      </c>
      <c r="C300" s="2" t="n">
        <f aca="false">'V_DATOS PAC_SGA'!CD295</f>
        <v>0</v>
      </c>
      <c r="D300" s="1409" t="n">
        <f aca="false">'V_DATOS PAC_SGA'!Y295</f>
        <v>0</v>
      </c>
      <c r="E300" s="1410" t="str">
        <f aca="false">IF('V_DATOS PAC_SGA'!AV295="","Regadio",'V_DATOS PAC_SGA'!AV295)</f>
        <v>Regadio</v>
      </c>
      <c r="F300" s="1411" t="n">
        <f aca="false">'V_DATOS PAC_SGA'!BK295</f>
        <v>0</v>
      </c>
      <c r="G300" s="1412" t="n">
        <f aca="false">'V_DATOS PAC_SGA'!AN295</f>
        <v>0</v>
      </c>
      <c r="H300" s="1413" t="str">
        <f aca="false">IF(B300&gt;0,VLOOKUP(B300,'O_MN, PE_UTA_UGM 2024'!E$3:O$419,10),"")</f>
        <v/>
      </c>
      <c r="I300" s="1359" t="str">
        <f aca="false">IF('V_DATOS PAC_SGA'!BV295="IV",'V_DATOS PAC_SGA'!BV295,"")</f>
        <v/>
      </c>
      <c r="J300" s="2" t="str">
        <f aca="false">IF($A300&gt;0,IF(AND(J$4=$G300,J$6=$F300),$D300*J$5,""),"")</f>
        <v/>
      </c>
      <c r="K300" s="2" t="str">
        <f aca="false">IF($A300&gt;0,IF(AND(K$4=$G300,K$6=$F300),$D300*K$5,""),"")</f>
        <v/>
      </c>
      <c r="L300" s="2" t="str">
        <f aca="false">IF($A300&gt;0,IF(AND(L$4=$G300,L$6=$F300),$D300*L$5,""),"")</f>
        <v/>
      </c>
      <c r="M300" s="2" t="str">
        <f aca="false">IF($A300&gt;0,IF(AND(M$4=$G300,M$6=$F300),$D300*M$5,""),"")</f>
        <v/>
      </c>
      <c r="N300" s="1506" t="n">
        <f aca="false">VLOOKUP(B300,'O_MN, PE_UTA_UGM 2024'!$E$2:$K$419,IF(G300&gt;1,6,7))</f>
        <v>0</v>
      </c>
      <c r="O300" s="1434" t="str">
        <f aca="false">IF($H300=O$4,$D300*$N300,"")</f>
        <v/>
      </c>
      <c r="P300" s="1435" t="str">
        <f aca="false">IF($H300=P$4,$D300*$N300,"")</f>
        <v/>
      </c>
      <c r="Q300" s="1435" t="str">
        <f aca="false">IF($H300=Q$4,$D300*$N300,"")</f>
        <v/>
      </c>
      <c r="R300" s="1435" t="str">
        <f aca="false">IF($H300=R$4,$D300*$N300,"")</f>
        <v/>
      </c>
      <c r="S300" s="1435" t="str">
        <f aca="false">IF($H300=S$4,$D300*$N300,"")</f>
        <v/>
      </c>
      <c r="T300" s="1435" t="str">
        <f aca="false">IF($H300=T$4,$D300*$N300,"")</f>
        <v/>
      </c>
      <c r="U300" s="1436" t="str">
        <f aca="false">IF($H300=U$4,$D300*$N300,"")</f>
        <v/>
      </c>
      <c r="V300" s="1418"/>
      <c r="W300" s="1419"/>
      <c r="X300" s="1419"/>
      <c r="Y300" s="1419"/>
      <c r="Z300" s="1419"/>
      <c r="AA300" s="1419"/>
      <c r="AB300" s="1420"/>
      <c r="AC300" s="1319"/>
      <c r="AD300" s="2" t="str">
        <f aca="false">IF(AND(AD$4=$G300,AD$6=$F300),$B300,"")</f>
        <v/>
      </c>
      <c r="AE300" s="2" t="str">
        <f aca="false">IF(AND(AE$4=$G300,AE$6=$F300),$B300,"")</f>
        <v/>
      </c>
      <c r="AF300" s="2" t="str">
        <f aca="false">IF(AND(AF$4=$G300,AF$6=$F300),$B300,"")</f>
        <v/>
      </c>
      <c r="AG300" s="2" t="str">
        <f aca="false">IF(AND(AG$4=$G300,AG$6=$F300),$B300,"")</f>
        <v/>
      </c>
      <c r="AI300" s="366"/>
      <c r="AL300" s="367"/>
      <c r="AO300" s="367"/>
      <c r="AP300" s="2" t="str">
        <f aca="false">IF(AT300&gt;0,RANK(AT300,AT$7:AT$423),"")</f>
        <v/>
      </c>
      <c r="AQ300" s="2" t="n">
        <f aca="false">'O_MN, PE_UTA_UGM 2024'!C296</f>
        <v>304</v>
      </c>
      <c r="AR300" s="1421" t="n">
        <v>2880</v>
      </c>
      <c r="AS300" s="2" t="str">
        <f aca="false">IF(AY300&lt;&gt;"",AY300,"")</f>
        <v/>
      </c>
      <c r="AT300" s="1422" t="n">
        <f aca="false">IF(ISNUMBER($AR300),SUMIF(B$7:B$505,AR300,D$7:D$505),"")</f>
        <v>0</v>
      </c>
      <c r="AU300" s="1411" t="n">
        <f aca="false">IF(ISNUMBER($AR300),SUMIF(AD$7:AD$503,$AR300,J$7:J$503),"")</f>
        <v>0</v>
      </c>
      <c r="AV300" s="1411" t="n">
        <f aca="false">IF(ISNUMBER($AR300),SUMIF(AF$7:AF$503,$AR300,L$7:L$503),"")</f>
        <v>0</v>
      </c>
      <c r="AW300" s="1423" t="n">
        <f aca="false">IF(ISNUMBER($AR300),SUMIF(AE$7:AE$503,$AR300,K$7:K$503),"")</f>
        <v>0</v>
      </c>
      <c r="AX300" s="1423" t="n">
        <f aca="false">IF(ISNUMBER($AR300),SUMIF(AG$7:AG$503,$AR300,M$7:M$503),"")</f>
        <v>0</v>
      </c>
      <c r="AY300" s="2" t="str">
        <f aca="false">IF($AT300&gt;0,VLOOKUP($AR300,'O_MN, PE_UTA_UGM 2024'!E296:O712,2),"")</f>
        <v/>
      </c>
      <c r="AZ300" s="1507"/>
      <c r="BA300" s="1507"/>
      <c r="BB300" s="1507" t="str">
        <f aca="false">IF($AT300&gt;0,VLOOKUP($AR300,'O_MN, PE_UTA_UGM 2024'!$E$3:$O$419,BB$6),"")</f>
        <v/>
      </c>
      <c r="BC300" s="1507" t="str">
        <f aca="false">IF($AT300&gt;0,VLOOKUP($AR300,'O_MN, PE_UTA_UGM 2024'!$E$3:$O$419,BC$6),"")</f>
        <v/>
      </c>
      <c r="BD300" s="1507" t="str">
        <f aca="false">IF($AT300&gt;0,VLOOKUP($AR300,'O_MN, PE_UTA_UGM 2024'!$E$3:$O$419,BD$6),"")</f>
        <v/>
      </c>
      <c r="BE300" s="1507" t="str">
        <f aca="false">IF($AT300&gt;0,VLOOKUP($AR300,'O_MN, PE_UTA_UGM 2024'!$E$3:$O$419,BE$6),"")</f>
        <v/>
      </c>
      <c r="BF300" s="1507" t="str">
        <f aca="false">IF($AT300&gt;0,VLOOKUP($AR300,'O_MN, PE_UTA_UGM 2024'!$E$3:$O$419,BF$6),"")</f>
        <v/>
      </c>
      <c r="BG300" s="1507" t="str">
        <f aca="false">IF($AT300&gt;0,VLOOKUP($AR300,'O_MN, PE_UTA_UGM 2024'!$E$3:$O$419,BG$6),"")</f>
        <v/>
      </c>
      <c r="BH300" s="1504"/>
      <c r="BI300" s="1504"/>
      <c r="BJ300" s="1504"/>
      <c r="BK300" s="1504"/>
      <c r="BM300" s="1411"/>
      <c r="BN300" s="1411"/>
      <c r="BO300" s="1425" t="str">
        <f aca="false">IF(ISNUMBER($AU300*BB300*1),$AU300*BB300*1,"")</f>
        <v/>
      </c>
      <c r="BP300" s="1425" t="str">
        <f aca="false">IF(ISNUMBER($AV300*BC300*1),$AV300*BC300*1,"")</f>
        <v/>
      </c>
      <c r="BQ300" s="1425" t="str">
        <f aca="false">IF(ISNUMBER($AU300*BD300*1),$AU300*BD300*1,"")</f>
        <v/>
      </c>
      <c r="BR300" s="1425" t="str">
        <f aca="false">IF(ISNUMBER($AV300*BE300*1),$AV300*BE300*1,"")</f>
        <v/>
      </c>
      <c r="BS300" s="1411" t="str">
        <f aca="false">IF(ISNUMBER($AU300*BF300),$AU300*BF300,"")</f>
        <v/>
      </c>
      <c r="BT300" s="1411" t="str">
        <f aca="false">IF(ISNUMBER($AV300*BG300),$AV300*BG300,"")</f>
        <v/>
      </c>
      <c r="BU300" s="1411"/>
      <c r="BV300" s="1411"/>
      <c r="BW300" s="1411"/>
      <c r="BX300" s="1411"/>
      <c r="BZ300" s="1372"/>
      <c r="CA300" s="1372"/>
      <c r="CB300" s="1426" t="str">
        <f aca="false">IF(ISNUMBER($AW300*BB300),$AW300*BB300,"")</f>
        <v/>
      </c>
      <c r="CC300" s="1426" t="str">
        <f aca="false">IF(ISNUMBER($AX300*BC300),$AX300*BC300,"")</f>
        <v/>
      </c>
      <c r="CD300" s="1426" t="str">
        <f aca="false">IF(ISNUMBER($AW300*BD300),$AW300*BD300,"")</f>
        <v/>
      </c>
      <c r="CE300" s="1426" t="str">
        <f aca="false">IF(ISNUMBER($AX300*BE300),$AX300*BE300,"")</f>
        <v/>
      </c>
      <c r="CF300" s="1372" t="str">
        <f aca="false">IF(ISNUMBER($AW300*BF300),$AW300*BF300,"")</f>
        <v/>
      </c>
      <c r="CG300" s="1372" t="str">
        <f aca="false">IF(ISNUMBER($AX300*BG300),$AX300*BG300,"")</f>
        <v/>
      </c>
      <c r="CH300" s="1438"/>
      <c r="CI300" s="1438"/>
      <c r="CJ300" s="1438"/>
      <c r="CK300" s="1438"/>
      <c r="CU300" s="1411"/>
      <c r="CV300" s="1411"/>
      <c r="CW300" s="1425"/>
      <c r="CX300" s="1425"/>
      <c r="CY300" s="1425"/>
      <c r="CZ300" s="1425"/>
      <c r="DA300" s="1411"/>
      <c r="DB300" s="1411"/>
      <c r="DC300" s="1411"/>
      <c r="DD300" s="1411"/>
      <c r="DE300" s="1411"/>
      <c r="DF300" s="1411"/>
      <c r="DH300" s="1432"/>
      <c r="DI300" s="1432"/>
      <c r="DJ300" s="1437"/>
      <c r="DK300" s="1437"/>
      <c r="DL300" s="1437"/>
      <c r="DM300" s="1437"/>
      <c r="DN300" s="1432"/>
      <c r="DO300" s="1432"/>
      <c r="DP300" s="1432"/>
      <c r="DQ300" s="1432"/>
      <c r="DR300" s="1432"/>
      <c r="DS300" s="1432"/>
      <c r="DT300" s="1316"/>
      <c r="DU300" s="1433"/>
      <c r="DV300" s="1433"/>
      <c r="DW300" s="1433"/>
      <c r="DX300" s="1433"/>
      <c r="DY300" s="1433"/>
      <c r="DZ300" s="1433"/>
      <c r="EA300" s="1433"/>
      <c r="EB300" s="1433"/>
    </row>
    <row r="301" customFormat="false" ht="14.25" hidden="false" customHeight="false" outlineLevel="0" collapsed="false">
      <c r="A301" s="2" t="n">
        <f aca="false">'V_DATOS PAC_SGA'!CC296</f>
        <v>0</v>
      </c>
      <c r="B301" s="2" t="n">
        <f aca="false">IF(OR(A301=0,A301=""),0,IF(I301="IV",CONCATENATE('V_DATOS PAC_SGA'!CC296,"4")+0,CONCATENATE('V_DATOS PAC_SGA'!CC296,"0")+0))</f>
        <v>0</v>
      </c>
      <c r="C301" s="2" t="n">
        <f aca="false">'V_DATOS PAC_SGA'!CD296</f>
        <v>0</v>
      </c>
      <c r="D301" s="1409" t="n">
        <f aca="false">'V_DATOS PAC_SGA'!Y296</f>
        <v>0</v>
      </c>
      <c r="E301" s="1410" t="str">
        <f aca="false">IF('V_DATOS PAC_SGA'!AV296="","Regadio",'V_DATOS PAC_SGA'!AV296)</f>
        <v>Regadio</v>
      </c>
      <c r="F301" s="1411" t="n">
        <f aca="false">'V_DATOS PAC_SGA'!BK296</f>
        <v>0</v>
      </c>
      <c r="G301" s="1412" t="n">
        <f aca="false">'V_DATOS PAC_SGA'!AN296</f>
        <v>0</v>
      </c>
      <c r="H301" s="1413" t="str">
        <f aca="false">IF(B301&gt;0,VLOOKUP(B301,'O_MN, PE_UTA_UGM 2024'!E$3:O$419,10),"")</f>
        <v/>
      </c>
      <c r="I301" s="1359" t="str">
        <f aca="false">IF('V_DATOS PAC_SGA'!BV296="IV",'V_DATOS PAC_SGA'!BV296,"")</f>
        <v/>
      </c>
      <c r="J301" s="2" t="str">
        <f aca="false">IF($A301&gt;0,IF(AND(J$4=$G301,J$6=$F301),$D301*J$5,""),"")</f>
        <v/>
      </c>
      <c r="K301" s="2" t="str">
        <f aca="false">IF($A301&gt;0,IF(AND(K$4=$G301,K$6=$F301),$D301*K$5,""),"")</f>
        <v/>
      </c>
      <c r="L301" s="2" t="str">
        <f aca="false">IF($A301&gt;0,IF(AND(L$4=$G301,L$6=$F301),$D301*L$5,""),"")</f>
        <v/>
      </c>
      <c r="M301" s="2" t="str">
        <f aca="false">IF($A301&gt;0,IF(AND(M$4=$G301,M$6=$F301),$D301*M$5,""),"")</f>
        <v/>
      </c>
      <c r="N301" s="1506" t="n">
        <f aca="false">VLOOKUP(B301,'O_MN, PE_UTA_UGM 2024'!$E$2:$K$419,IF(G301&gt;1,6,7))</f>
        <v>0</v>
      </c>
      <c r="O301" s="1434" t="str">
        <f aca="false">IF($H301=O$4,$D301*$N301,"")</f>
        <v/>
      </c>
      <c r="P301" s="1435" t="str">
        <f aca="false">IF($H301=P$4,$D301*$N301,"")</f>
        <v/>
      </c>
      <c r="Q301" s="1435" t="str">
        <f aca="false">IF($H301=Q$4,$D301*$N301,"")</f>
        <v/>
      </c>
      <c r="R301" s="1435" t="str">
        <f aca="false">IF($H301=R$4,$D301*$N301,"")</f>
        <v/>
      </c>
      <c r="S301" s="1435" t="str">
        <f aca="false">IF($H301=S$4,$D301*$N301,"")</f>
        <v/>
      </c>
      <c r="T301" s="1435" t="str">
        <f aca="false">IF($H301=T$4,$D301*$N301,"")</f>
        <v/>
      </c>
      <c r="U301" s="1436" t="str">
        <f aca="false">IF($H301=U$4,$D301*$N301,"")</f>
        <v/>
      </c>
      <c r="V301" s="1418"/>
      <c r="W301" s="1419"/>
      <c r="X301" s="1419"/>
      <c r="Y301" s="1419"/>
      <c r="Z301" s="1419"/>
      <c r="AA301" s="1419"/>
      <c r="AB301" s="1420"/>
      <c r="AC301" s="1319"/>
      <c r="AD301" s="2" t="str">
        <f aca="false">IF(AND(AD$4=$G301,AD$6=$F301),$B301,"")</f>
        <v/>
      </c>
      <c r="AE301" s="2" t="str">
        <f aca="false">IF(AND(AE$4=$G301,AE$6=$F301),$B301,"")</f>
        <v/>
      </c>
      <c r="AF301" s="2" t="str">
        <f aca="false">IF(AND(AF$4=$G301,AF$6=$F301),$B301,"")</f>
        <v/>
      </c>
      <c r="AG301" s="2" t="str">
        <f aca="false">IF(AND(AG$4=$G301,AG$6=$F301),$B301,"")</f>
        <v/>
      </c>
      <c r="AI301" s="366"/>
      <c r="AL301" s="367"/>
      <c r="AO301" s="367"/>
      <c r="AP301" s="2" t="str">
        <f aca="false">IF(AT301&gt;0,RANK(AT301,AT$7:AT$423),"")</f>
        <v/>
      </c>
      <c r="AQ301" s="2" t="n">
        <f aca="false">'O_MN, PE_UTA_UGM 2024'!C297</f>
        <v>304</v>
      </c>
      <c r="AR301" s="1421" t="n">
        <v>2890</v>
      </c>
      <c r="AS301" s="2" t="str">
        <f aca="false">IF(AY301&lt;&gt;"",AY301,"")</f>
        <v/>
      </c>
      <c r="AT301" s="1422" t="n">
        <f aca="false">IF(ISNUMBER($AR301),SUMIF(B$7:B$505,AR301,D$7:D$505),"")</f>
        <v>0</v>
      </c>
      <c r="AU301" s="1411" t="n">
        <f aca="false">IF(ISNUMBER($AR301),SUMIF(AD$7:AD$503,$AR301,J$7:J$503),"")</f>
        <v>0</v>
      </c>
      <c r="AV301" s="1411" t="n">
        <f aca="false">IF(ISNUMBER($AR301),SUMIF(AF$7:AF$503,$AR301,L$7:L$503),"")</f>
        <v>0</v>
      </c>
      <c r="AW301" s="1423" t="n">
        <f aca="false">IF(ISNUMBER($AR301),SUMIF(AE$7:AE$503,$AR301,K$7:K$503),"")</f>
        <v>0</v>
      </c>
      <c r="AX301" s="1423" t="n">
        <f aca="false">IF(ISNUMBER($AR301),SUMIF(AG$7:AG$503,$AR301,M$7:M$503),"")</f>
        <v>0</v>
      </c>
      <c r="AY301" s="2" t="str">
        <f aca="false">IF($AT301&gt;0,VLOOKUP($AR301,'O_MN, PE_UTA_UGM 2024'!E297:O713,2),"")</f>
        <v/>
      </c>
      <c r="AZ301" s="1507"/>
      <c r="BA301" s="1507"/>
      <c r="BB301" s="1507" t="str">
        <f aca="false">IF($AT301&gt;0,VLOOKUP($AR301,'O_MN, PE_UTA_UGM 2024'!$E$3:$O$419,BB$6),"")</f>
        <v/>
      </c>
      <c r="BC301" s="1507" t="str">
        <f aca="false">IF($AT301&gt;0,VLOOKUP($AR301,'O_MN, PE_UTA_UGM 2024'!$E$3:$O$419,BC$6),"")</f>
        <v/>
      </c>
      <c r="BD301" s="1507" t="str">
        <f aca="false">IF($AT301&gt;0,VLOOKUP($AR301,'O_MN, PE_UTA_UGM 2024'!$E$3:$O$419,BD$6),"")</f>
        <v/>
      </c>
      <c r="BE301" s="1507" t="str">
        <f aca="false">IF($AT301&gt;0,VLOOKUP($AR301,'O_MN, PE_UTA_UGM 2024'!$E$3:$O$419,BE$6),"")</f>
        <v/>
      </c>
      <c r="BF301" s="1507" t="str">
        <f aca="false">IF($AT301&gt;0,VLOOKUP($AR301,'O_MN, PE_UTA_UGM 2024'!$E$3:$O$419,BF$6),"")</f>
        <v/>
      </c>
      <c r="BG301" s="1507" t="str">
        <f aca="false">IF($AT301&gt;0,VLOOKUP($AR301,'O_MN, PE_UTA_UGM 2024'!$E$3:$O$419,BG$6),"")</f>
        <v/>
      </c>
      <c r="BH301" s="1504"/>
      <c r="BI301" s="1504"/>
      <c r="BJ301" s="1504"/>
      <c r="BK301" s="1504"/>
      <c r="BM301" s="1411"/>
      <c r="BN301" s="1411"/>
      <c r="BO301" s="1425" t="str">
        <f aca="false">IF(ISNUMBER($AU301*BB301*1),$AU301*BB301*1,"")</f>
        <v/>
      </c>
      <c r="BP301" s="1425" t="str">
        <f aca="false">IF(ISNUMBER($AV301*BC301*1),$AV301*BC301*1,"")</f>
        <v/>
      </c>
      <c r="BQ301" s="1425" t="str">
        <f aca="false">IF(ISNUMBER($AU301*BD301*1),$AU301*BD301*1,"")</f>
        <v/>
      </c>
      <c r="BR301" s="1425" t="str">
        <f aca="false">IF(ISNUMBER($AV301*BE301*1),$AV301*BE301*1,"")</f>
        <v/>
      </c>
      <c r="BS301" s="1411" t="str">
        <f aca="false">IF(ISNUMBER($AU301*BF301),$AU301*BF301,"")</f>
        <v/>
      </c>
      <c r="BT301" s="1411" t="str">
        <f aca="false">IF(ISNUMBER($AV301*BG301),$AV301*BG301,"")</f>
        <v/>
      </c>
      <c r="BU301" s="1411"/>
      <c r="BV301" s="1411"/>
      <c r="BW301" s="1411"/>
      <c r="BX301" s="1411"/>
      <c r="BZ301" s="1372"/>
      <c r="CA301" s="1372"/>
      <c r="CB301" s="1426" t="str">
        <f aca="false">IF(ISNUMBER($AW301*BB301),$AW301*BB301,"")</f>
        <v/>
      </c>
      <c r="CC301" s="1426" t="str">
        <f aca="false">IF(ISNUMBER($AX301*BC301),$AX301*BC301,"")</f>
        <v/>
      </c>
      <c r="CD301" s="1426" t="str">
        <f aca="false">IF(ISNUMBER($AW301*BD301),$AW301*BD301,"")</f>
        <v/>
      </c>
      <c r="CE301" s="1426" t="str">
        <f aca="false">IF(ISNUMBER($AX301*BE301),$AX301*BE301,"")</f>
        <v/>
      </c>
      <c r="CF301" s="1372" t="str">
        <f aca="false">IF(ISNUMBER($AW301*BF301),$AW301*BF301,"")</f>
        <v/>
      </c>
      <c r="CG301" s="1372" t="str">
        <f aca="false">IF(ISNUMBER($AX301*BG301),$AX301*BG301,"")</f>
        <v/>
      </c>
      <c r="CH301" s="1438"/>
      <c r="CI301" s="1438"/>
      <c r="CJ301" s="1438"/>
      <c r="CK301" s="1438"/>
      <c r="CU301" s="1411"/>
      <c r="CV301" s="1411"/>
      <c r="CW301" s="1425"/>
      <c r="CX301" s="1425"/>
      <c r="CY301" s="1425"/>
      <c r="CZ301" s="1425"/>
      <c r="DA301" s="1411"/>
      <c r="DB301" s="1411"/>
      <c r="DC301" s="1411"/>
      <c r="DD301" s="1411"/>
      <c r="DE301" s="1411"/>
      <c r="DF301" s="1411"/>
      <c r="DH301" s="1432"/>
      <c r="DI301" s="1432"/>
      <c r="DJ301" s="1437"/>
      <c r="DK301" s="1437"/>
      <c r="DL301" s="1437"/>
      <c r="DM301" s="1437"/>
      <c r="DN301" s="1432"/>
      <c r="DO301" s="1432"/>
      <c r="DP301" s="1432"/>
      <c r="DQ301" s="1432"/>
      <c r="DR301" s="1432"/>
      <c r="DS301" s="1432"/>
      <c r="DT301" s="1316"/>
      <c r="DU301" s="1433"/>
      <c r="DV301" s="1433"/>
      <c r="DW301" s="1433"/>
      <c r="DX301" s="1433"/>
      <c r="DY301" s="1433"/>
      <c r="DZ301" s="1433"/>
      <c r="EA301" s="1433"/>
      <c r="EB301" s="1433"/>
    </row>
    <row r="302" customFormat="false" ht="14.25" hidden="false" customHeight="false" outlineLevel="0" collapsed="false">
      <c r="A302" s="2" t="n">
        <f aca="false">'V_DATOS PAC_SGA'!CC297</f>
        <v>0</v>
      </c>
      <c r="B302" s="2" t="n">
        <f aca="false">IF(OR(A302=0,A302=""),0,IF(I302="IV",CONCATENATE('V_DATOS PAC_SGA'!CC297,"4")+0,CONCATENATE('V_DATOS PAC_SGA'!CC297,"0")+0))</f>
        <v>0</v>
      </c>
      <c r="C302" s="2" t="n">
        <f aca="false">'V_DATOS PAC_SGA'!CD297</f>
        <v>0</v>
      </c>
      <c r="D302" s="1409" t="n">
        <f aca="false">'V_DATOS PAC_SGA'!Y297</f>
        <v>0</v>
      </c>
      <c r="E302" s="1410" t="str">
        <f aca="false">IF('V_DATOS PAC_SGA'!AV297="","Regadio",'V_DATOS PAC_SGA'!AV297)</f>
        <v>Regadio</v>
      </c>
      <c r="F302" s="1411" t="n">
        <f aca="false">'V_DATOS PAC_SGA'!BK297</f>
        <v>0</v>
      </c>
      <c r="G302" s="1412" t="n">
        <f aca="false">'V_DATOS PAC_SGA'!AN297</f>
        <v>0</v>
      </c>
      <c r="H302" s="1413" t="str">
        <f aca="false">IF(B302&gt;0,VLOOKUP(B302,'O_MN, PE_UTA_UGM 2024'!E$3:O$419,10),"")</f>
        <v/>
      </c>
      <c r="I302" s="1359" t="str">
        <f aca="false">IF('V_DATOS PAC_SGA'!BV297="IV",'V_DATOS PAC_SGA'!BV297,"")</f>
        <v/>
      </c>
      <c r="J302" s="2" t="str">
        <f aca="false">IF($A302&gt;0,IF(AND(J$4=$G302,J$6=$F302),$D302*J$5,""),"")</f>
        <v/>
      </c>
      <c r="K302" s="2" t="str">
        <f aca="false">IF($A302&gt;0,IF(AND(K$4=$G302,K$6=$F302),$D302*K$5,""),"")</f>
        <v/>
      </c>
      <c r="L302" s="2" t="str">
        <f aca="false">IF($A302&gt;0,IF(AND(L$4=$G302,L$6=$F302),$D302*L$5,""),"")</f>
        <v/>
      </c>
      <c r="M302" s="2" t="str">
        <f aca="false">IF($A302&gt;0,IF(AND(M$4=$G302,M$6=$F302),$D302*M$5,""),"")</f>
        <v/>
      </c>
      <c r="N302" s="1506" t="n">
        <f aca="false">VLOOKUP(B302,'O_MN, PE_UTA_UGM 2024'!$E$2:$K$419,IF(G302&gt;1,6,7))</f>
        <v>0</v>
      </c>
      <c r="O302" s="1434" t="str">
        <f aca="false">IF($H302=O$4,$D302*$N302,"")</f>
        <v/>
      </c>
      <c r="P302" s="1435" t="str">
        <f aca="false">IF($H302=P$4,$D302*$N302,"")</f>
        <v/>
      </c>
      <c r="Q302" s="1435" t="str">
        <f aca="false">IF($H302=Q$4,$D302*$N302,"")</f>
        <v/>
      </c>
      <c r="R302" s="1435" t="str">
        <f aca="false">IF($H302=R$4,$D302*$N302,"")</f>
        <v/>
      </c>
      <c r="S302" s="1435" t="str">
        <f aca="false">IF($H302=S$4,$D302*$N302,"")</f>
        <v/>
      </c>
      <c r="T302" s="1435" t="str">
        <f aca="false">IF($H302=T$4,$D302*$N302,"")</f>
        <v/>
      </c>
      <c r="U302" s="1436" t="str">
        <f aca="false">IF($H302=U$4,$D302*$N302,"")</f>
        <v/>
      </c>
      <c r="V302" s="1418"/>
      <c r="W302" s="1419"/>
      <c r="X302" s="1419"/>
      <c r="Y302" s="1419"/>
      <c r="Z302" s="1419"/>
      <c r="AA302" s="1419"/>
      <c r="AB302" s="1420"/>
      <c r="AC302" s="1319"/>
      <c r="AD302" s="2" t="str">
        <f aca="false">IF(AND(AD$4=$G302,AD$6=$F302),$B302,"")</f>
        <v/>
      </c>
      <c r="AE302" s="2" t="str">
        <f aca="false">IF(AND(AE$4=$G302,AE$6=$F302),$B302,"")</f>
        <v/>
      </c>
      <c r="AF302" s="2" t="str">
        <f aca="false">IF(AND(AF$4=$G302,AF$6=$F302),$B302,"")</f>
        <v/>
      </c>
      <c r="AG302" s="2" t="str">
        <f aca="false">IF(AND(AG$4=$G302,AG$6=$F302),$B302,"")</f>
        <v/>
      </c>
      <c r="AI302" s="366"/>
      <c r="AL302" s="367"/>
      <c r="AO302" s="367"/>
      <c r="AP302" s="2" t="str">
        <f aca="false">IF(AT302&gt;0,RANK(AT302,AT$7:AT$423),"")</f>
        <v/>
      </c>
      <c r="AQ302" s="2" t="n">
        <f aca="false">'O_MN, PE_UTA_UGM 2024'!C298</f>
        <v>305</v>
      </c>
      <c r="AR302" s="1421" t="n">
        <v>2900</v>
      </c>
      <c r="AS302" s="2" t="str">
        <f aca="false">IF(AY302&lt;&gt;"",AY302,"")</f>
        <v/>
      </c>
      <c r="AT302" s="1422" t="n">
        <f aca="false">IF(ISNUMBER($AR302),SUMIF(B$7:B$505,AR302,D$7:D$505),"")</f>
        <v>0</v>
      </c>
      <c r="AU302" s="1411" t="n">
        <f aca="false">IF(ISNUMBER($AR302),SUMIF(AD$7:AD$503,$AR302,J$7:J$503),"")</f>
        <v>0</v>
      </c>
      <c r="AV302" s="1411" t="n">
        <f aca="false">IF(ISNUMBER($AR302),SUMIF(AF$7:AF$503,$AR302,L$7:L$503),"")</f>
        <v>0</v>
      </c>
      <c r="AW302" s="1423" t="n">
        <f aca="false">IF(ISNUMBER($AR302),SUMIF(AE$7:AE$503,$AR302,K$7:K$503),"")</f>
        <v>0</v>
      </c>
      <c r="AX302" s="1423" t="n">
        <f aca="false">IF(ISNUMBER($AR302),SUMIF(AG$7:AG$503,$AR302,M$7:M$503),"")</f>
        <v>0</v>
      </c>
      <c r="AY302" s="2" t="str">
        <f aca="false">IF($AT302&gt;0,VLOOKUP($AR302,'O_MN, PE_UTA_UGM 2024'!E298:O714,2),"")</f>
        <v/>
      </c>
      <c r="AZ302" s="1507"/>
      <c r="BA302" s="1507"/>
      <c r="BB302" s="1507" t="str">
        <f aca="false">IF($AT302&gt;0,VLOOKUP($AR302,'O_MN, PE_UTA_UGM 2024'!$E$3:$O$419,BB$6),"")</f>
        <v/>
      </c>
      <c r="BC302" s="1507" t="str">
        <f aca="false">IF($AT302&gt;0,VLOOKUP($AR302,'O_MN, PE_UTA_UGM 2024'!$E$3:$O$419,BC$6),"")</f>
        <v/>
      </c>
      <c r="BD302" s="1507" t="str">
        <f aca="false">IF($AT302&gt;0,VLOOKUP($AR302,'O_MN, PE_UTA_UGM 2024'!$E$3:$O$419,BD$6),"")</f>
        <v/>
      </c>
      <c r="BE302" s="1507" t="str">
        <f aca="false">IF($AT302&gt;0,VLOOKUP($AR302,'O_MN, PE_UTA_UGM 2024'!$E$3:$O$419,BE$6),"")</f>
        <v/>
      </c>
      <c r="BF302" s="1507" t="str">
        <f aca="false">IF($AT302&gt;0,VLOOKUP($AR302,'O_MN, PE_UTA_UGM 2024'!$E$3:$O$419,BF$6),"")</f>
        <v/>
      </c>
      <c r="BG302" s="1507" t="str">
        <f aca="false">IF($AT302&gt;0,VLOOKUP($AR302,'O_MN, PE_UTA_UGM 2024'!$E$3:$O$419,BG$6),"")</f>
        <v/>
      </c>
      <c r="BH302" s="1504"/>
      <c r="BI302" s="1504"/>
      <c r="BJ302" s="1504"/>
      <c r="BK302" s="1504"/>
      <c r="BM302" s="1411"/>
      <c r="BN302" s="1411"/>
      <c r="BO302" s="1425" t="str">
        <f aca="false">IF(ISNUMBER($AU302*BB302*1),$AU302*BB302*1,"")</f>
        <v/>
      </c>
      <c r="BP302" s="1425" t="str">
        <f aca="false">IF(ISNUMBER($AV302*BC302*1),$AV302*BC302*1,"")</f>
        <v/>
      </c>
      <c r="BQ302" s="1425" t="str">
        <f aca="false">IF(ISNUMBER($AU302*BD302*1),$AU302*BD302*1,"")</f>
        <v/>
      </c>
      <c r="BR302" s="1425" t="str">
        <f aca="false">IF(ISNUMBER($AV302*BE302*1),$AV302*BE302*1,"")</f>
        <v/>
      </c>
      <c r="BS302" s="1411" t="str">
        <f aca="false">IF(ISNUMBER($AU302*BF302),$AU302*BF302,"")</f>
        <v/>
      </c>
      <c r="BT302" s="1411" t="str">
        <f aca="false">IF(ISNUMBER($AV302*BG302),$AV302*BG302,"")</f>
        <v/>
      </c>
      <c r="BU302" s="1411"/>
      <c r="BV302" s="1411"/>
      <c r="BW302" s="1411"/>
      <c r="BX302" s="1411"/>
      <c r="BZ302" s="1372"/>
      <c r="CA302" s="1372"/>
      <c r="CB302" s="1426" t="str">
        <f aca="false">IF(ISNUMBER($AW302*BB302),$AW302*BB302,"")</f>
        <v/>
      </c>
      <c r="CC302" s="1426" t="str">
        <f aca="false">IF(ISNUMBER($AX302*BC302),$AX302*BC302,"")</f>
        <v/>
      </c>
      <c r="CD302" s="1426" t="str">
        <f aca="false">IF(ISNUMBER($AW302*BD302),$AW302*BD302,"")</f>
        <v/>
      </c>
      <c r="CE302" s="1426" t="str">
        <f aca="false">IF(ISNUMBER($AX302*BE302),$AX302*BE302,"")</f>
        <v/>
      </c>
      <c r="CF302" s="1372" t="str">
        <f aca="false">IF(ISNUMBER($AW302*BF302),$AW302*BF302,"")</f>
        <v/>
      </c>
      <c r="CG302" s="1372" t="str">
        <f aca="false">IF(ISNUMBER($AX302*BG302),$AX302*BG302,"")</f>
        <v/>
      </c>
      <c r="CH302" s="1438"/>
      <c r="CI302" s="1438"/>
      <c r="CJ302" s="1438"/>
      <c r="CK302" s="1438"/>
      <c r="CU302" s="1411"/>
      <c r="CV302" s="1411"/>
      <c r="CW302" s="1425"/>
      <c r="CX302" s="1425"/>
      <c r="CY302" s="1425"/>
      <c r="CZ302" s="1425"/>
      <c r="DA302" s="1411"/>
      <c r="DB302" s="1411"/>
      <c r="DC302" s="1411"/>
      <c r="DD302" s="1411"/>
      <c r="DE302" s="1411"/>
      <c r="DF302" s="1411"/>
      <c r="DH302" s="1432"/>
      <c r="DI302" s="1432"/>
      <c r="DJ302" s="1437"/>
      <c r="DK302" s="1437"/>
      <c r="DL302" s="1437"/>
      <c r="DM302" s="1437"/>
      <c r="DN302" s="1432"/>
      <c r="DO302" s="1432"/>
      <c r="DP302" s="1432"/>
      <c r="DQ302" s="1432"/>
      <c r="DR302" s="1432"/>
      <c r="DS302" s="1432"/>
      <c r="DT302" s="1316"/>
      <c r="DU302" s="1433"/>
      <c r="DV302" s="1433"/>
      <c r="DW302" s="1433"/>
      <c r="DX302" s="1433"/>
      <c r="DY302" s="1433"/>
      <c r="DZ302" s="1433"/>
      <c r="EA302" s="1433"/>
      <c r="EB302" s="1433"/>
    </row>
    <row r="303" customFormat="false" ht="14.25" hidden="false" customHeight="false" outlineLevel="0" collapsed="false">
      <c r="A303" s="2" t="n">
        <f aca="false">'V_DATOS PAC_SGA'!CC298</f>
        <v>0</v>
      </c>
      <c r="B303" s="2" t="n">
        <f aca="false">IF(OR(A303=0,A303=""),0,IF(I303="IV",CONCATENATE('V_DATOS PAC_SGA'!CC298,"4")+0,CONCATENATE('V_DATOS PAC_SGA'!CC298,"0")+0))</f>
        <v>0</v>
      </c>
      <c r="C303" s="2" t="n">
        <f aca="false">'V_DATOS PAC_SGA'!CD298</f>
        <v>0</v>
      </c>
      <c r="D303" s="1409" t="n">
        <f aca="false">'V_DATOS PAC_SGA'!Y298</f>
        <v>0</v>
      </c>
      <c r="E303" s="1410" t="str">
        <f aca="false">IF('V_DATOS PAC_SGA'!AV298="","Regadio",'V_DATOS PAC_SGA'!AV298)</f>
        <v>Regadio</v>
      </c>
      <c r="F303" s="1411" t="n">
        <f aca="false">'V_DATOS PAC_SGA'!BK298</f>
        <v>0</v>
      </c>
      <c r="G303" s="1412" t="n">
        <f aca="false">'V_DATOS PAC_SGA'!AN298</f>
        <v>0</v>
      </c>
      <c r="H303" s="1413" t="str">
        <f aca="false">IF(B303&gt;0,VLOOKUP(B303,'O_MN, PE_UTA_UGM 2024'!E$3:O$419,10),"")</f>
        <v/>
      </c>
      <c r="I303" s="1359" t="str">
        <f aca="false">IF('V_DATOS PAC_SGA'!BV298="IV",'V_DATOS PAC_SGA'!BV298,"")</f>
        <v/>
      </c>
      <c r="J303" s="2" t="str">
        <f aca="false">IF($A303&gt;0,IF(AND(J$4=$G303,J$6=$F303),$D303*J$5,""),"")</f>
        <v/>
      </c>
      <c r="K303" s="2" t="str">
        <f aca="false">IF($A303&gt;0,IF(AND(K$4=$G303,K$6=$F303),$D303*K$5,""),"")</f>
        <v/>
      </c>
      <c r="L303" s="2" t="str">
        <f aca="false">IF($A303&gt;0,IF(AND(L$4=$G303,L$6=$F303),$D303*L$5,""),"")</f>
        <v/>
      </c>
      <c r="M303" s="2" t="str">
        <f aca="false">IF($A303&gt;0,IF(AND(M$4=$G303,M$6=$F303),$D303*M$5,""),"")</f>
        <v/>
      </c>
      <c r="N303" s="1506" t="n">
        <f aca="false">VLOOKUP(B303,'O_MN, PE_UTA_UGM 2024'!$E$2:$K$419,IF(G303&gt;1,6,7))</f>
        <v>0</v>
      </c>
      <c r="O303" s="1434" t="str">
        <f aca="false">IF($H303=O$4,$D303*$N303,"")</f>
        <v/>
      </c>
      <c r="P303" s="1435" t="str">
        <f aca="false">IF($H303=P$4,$D303*$N303,"")</f>
        <v/>
      </c>
      <c r="Q303" s="1435" t="str">
        <f aca="false">IF($H303=Q$4,$D303*$N303,"")</f>
        <v/>
      </c>
      <c r="R303" s="1435" t="str">
        <f aca="false">IF($H303=R$4,$D303*$N303,"")</f>
        <v/>
      </c>
      <c r="S303" s="1435" t="str">
        <f aca="false">IF($H303=S$4,$D303*$N303,"")</f>
        <v/>
      </c>
      <c r="T303" s="1435" t="str">
        <f aca="false">IF($H303=T$4,$D303*$N303,"")</f>
        <v/>
      </c>
      <c r="U303" s="1436" t="str">
        <f aca="false">IF($H303=U$4,$D303*$N303,"")</f>
        <v/>
      </c>
      <c r="V303" s="1418"/>
      <c r="W303" s="1419"/>
      <c r="X303" s="1419"/>
      <c r="Y303" s="1419"/>
      <c r="Z303" s="1419"/>
      <c r="AA303" s="1419"/>
      <c r="AB303" s="1420"/>
      <c r="AC303" s="1319"/>
      <c r="AD303" s="2" t="str">
        <f aca="false">IF(AND(AD$4=$G303,AD$6=$F303),$B303,"")</f>
        <v/>
      </c>
      <c r="AE303" s="2" t="str">
        <f aca="false">IF(AND(AE$4=$G303,AE$6=$F303),$B303,"")</f>
        <v/>
      </c>
      <c r="AF303" s="2" t="str">
        <f aca="false">IF(AND(AF$4=$G303,AF$6=$F303),$B303,"")</f>
        <v/>
      </c>
      <c r="AG303" s="2" t="str">
        <f aca="false">IF(AND(AG$4=$G303,AG$6=$F303),$B303,"")</f>
        <v/>
      </c>
      <c r="AI303" s="366"/>
      <c r="AL303" s="367"/>
      <c r="AO303" s="367"/>
      <c r="AP303" s="2" t="str">
        <f aca="false">IF(AT303&gt;0,RANK(AT303,AT$7:AT$423),"")</f>
        <v/>
      </c>
      <c r="AQ303" s="2" t="n">
        <f aca="false">'O_MN, PE_UTA_UGM 2024'!C299</f>
        <v>306</v>
      </c>
      <c r="AR303" s="1421" t="n">
        <v>2910</v>
      </c>
      <c r="AS303" s="2" t="str">
        <f aca="false">IF(AY303&lt;&gt;"",AY303,"")</f>
        <v/>
      </c>
      <c r="AT303" s="1422" t="n">
        <f aca="false">IF(ISNUMBER($AR303),SUMIF(B$7:B$505,AR303,D$7:D$505),"")</f>
        <v>0</v>
      </c>
      <c r="AU303" s="1411" t="n">
        <f aca="false">IF(ISNUMBER($AR303),SUMIF(AD$7:AD$503,$AR303,J$7:J$503),"")</f>
        <v>0</v>
      </c>
      <c r="AV303" s="1411" t="n">
        <f aca="false">IF(ISNUMBER($AR303),SUMIF(AF$7:AF$503,$AR303,L$7:L$503),"")</f>
        <v>0</v>
      </c>
      <c r="AW303" s="1423" t="n">
        <f aca="false">IF(ISNUMBER($AR303),SUMIF(AE$7:AE$503,$AR303,K$7:K$503),"")</f>
        <v>0</v>
      </c>
      <c r="AX303" s="1423" t="n">
        <f aca="false">IF(ISNUMBER($AR303),SUMIF(AG$7:AG$503,$AR303,M$7:M$503),"")</f>
        <v>0</v>
      </c>
      <c r="AY303" s="2" t="str">
        <f aca="false">IF($AT303&gt;0,VLOOKUP($AR303,'O_MN, PE_UTA_UGM 2024'!E299:O715,2),"")</f>
        <v/>
      </c>
      <c r="AZ303" s="1507"/>
      <c r="BA303" s="1507"/>
      <c r="BB303" s="1507" t="str">
        <f aca="false">IF($AT303&gt;0,VLOOKUP($AR303,'O_MN, PE_UTA_UGM 2024'!$E$3:$O$419,BB$6),"")</f>
        <v/>
      </c>
      <c r="BC303" s="1507" t="str">
        <f aca="false">IF($AT303&gt;0,VLOOKUP($AR303,'O_MN, PE_UTA_UGM 2024'!$E$3:$O$419,BC$6),"")</f>
        <v/>
      </c>
      <c r="BD303" s="1507" t="str">
        <f aca="false">IF($AT303&gt;0,VLOOKUP($AR303,'O_MN, PE_UTA_UGM 2024'!$E$3:$O$419,BD$6),"")</f>
        <v/>
      </c>
      <c r="BE303" s="1507" t="str">
        <f aca="false">IF($AT303&gt;0,VLOOKUP($AR303,'O_MN, PE_UTA_UGM 2024'!$E$3:$O$419,BE$6),"")</f>
        <v/>
      </c>
      <c r="BF303" s="1507" t="str">
        <f aca="false">IF($AT303&gt;0,VLOOKUP($AR303,'O_MN, PE_UTA_UGM 2024'!$E$3:$O$419,BF$6),"")</f>
        <v/>
      </c>
      <c r="BG303" s="1507" t="str">
        <f aca="false">IF($AT303&gt;0,VLOOKUP($AR303,'O_MN, PE_UTA_UGM 2024'!$E$3:$O$419,BG$6),"")</f>
        <v/>
      </c>
      <c r="BH303" s="1504"/>
      <c r="BI303" s="1504"/>
      <c r="BJ303" s="1504"/>
      <c r="BK303" s="1504"/>
      <c r="BM303" s="1411"/>
      <c r="BN303" s="1411"/>
      <c r="BO303" s="1425" t="str">
        <f aca="false">IF(ISNUMBER($AU303*BB303*1),$AU303*BB303*1,"")</f>
        <v/>
      </c>
      <c r="BP303" s="1425" t="str">
        <f aca="false">IF(ISNUMBER($AV303*BC303*1),$AV303*BC303*1,"")</f>
        <v/>
      </c>
      <c r="BQ303" s="1425" t="str">
        <f aca="false">IF(ISNUMBER($AU303*BD303*1),$AU303*BD303*1,"")</f>
        <v/>
      </c>
      <c r="BR303" s="1425" t="str">
        <f aca="false">IF(ISNUMBER($AV303*BE303*1),$AV303*BE303*1,"")</f>
        <v/>
      </c>
      <c r="BS303" s="1411" t="str">
        <f aca="false">IF(ISNUMBER($AU303*BF303),$AU303*BF303,"")</f>
        <v/>
      </c>
      <c r="BT303" s="1411" t="str">
        <f aca="false">IF(ISNUMBER($AV303*BG303),$AV303*BG303,"")</f>
        <v/>
      </c>
      <c r="BU303" s="1411"/>
      <c r="BV303" s="1411"/>
      <c r="BW303" s="1411"/>
      <c r="BX303" s="1411"/>
      <c r="BZ303" s="1372"/>
      <c r="CA303" s="1372"/>
      <c r="CB303" s="1426" t="str">
        <f aca="false">IF(ISNUMBER($AW303*BB303),$AW303*BB303,"")</f>
        <v/>
      </c>
      <c r="CC303" s="1426" t="str">
        <f aca="false">IF(ISNUMBER($AX303*BC303),$AX303*BC303,"")</f>
        <v/>
      </c>
      <c r="CD303" s="1426" t="str">
        <f aca="false">IF(ISNUMBER($AW303*BD303),$AW303*BD303,"")</f>
        <v/>
      </c>
      <c r="CE303" s="1426" t="str">
        <f aca="false">IF(ISNUMBER($AX303*BE303),$AX303*BE303,"")</f>
        <v/>
      </c>
      <c r="CF303" s="1372" t="str">
        <f aca="false">IF(ISNUMBER($AW303*BF303),$AW303*BF303,"")</f>
        <v/>
      </c>
      <c r="CG303" s="1372" t="str">
        <f aca="false">IF(ISNUMBER($AX303*BG303),$AX303*BG303,"")</f>
        <v/>
      </c>
      <c r="CH303" s="1438"/>
      <c r="CI303" s="1438"/>
      <c r="CJ303" s="1438"/>
      <c r="CK303" s="1438"/>
      <c r="CU303" s="1411"/>
      <c r="CV303" s="1411"/>
      <c r="CW303" s="1425"/>
      <c r="CX303" s="1425"/>
      <c r="CY303" s="1425"/>
      <c r="CZ303" s="1425"/>
      <c r="DA303" s="1411"/>
      <c r="DB303" s="1411"/>
      <c r="DC303" s="1411"/>
      <c r="DD303" s="1411"/>
      <c r="DE303" s="1411"/>
      <c r="DF303" s="1411"/>
      <c r="DH303" s="1432"/>
      <c r="DI303" s="1432"/>
      <c r="DJ303" s="1437"/>
      <c r="DK303" s="1437"/>
      <c r="DL303" s="1437"/>
      <c r="DM303" s="1437"/>
      <c r="DN303" s="1432"/>
      <c r="DO303" s="1432"/>
      <c r="DP303" s="1432"/>
      <c r="DQ303" s="1432"/>
      <c r="DR303" s="1432"/>
      <c r="DS303" s="1432"/>
      <c r="DT303" s="1316"/>
      <c r="DU303" s="1433"/>
      <c r="DV303" s="1433"/>
      <c r="DW303" s="1433"/>
      <c r="DX303" s="1433"/>
      <c r="DY303" s="1433"/>
      <c r="DZ303" s="1433"/>
      <c r="EA303" s="1433"/>
      <c r="EB303" s="1433"/>
    </row>
    <row r="304" customFormat="false" ht="14.25" hidden="false" customHeight="false" outlineLevel="0" collapsed="false">
      <c r="A304" s="2" t="n">
        <f aca="false">'V_DATOS PAC_SGA'!CC299</f>
        <v>0</v>
      </c>
      <c r="B304" s="2" t="n">
        <f aca="false">IF(OR(A304=0,A304=""),0,IF(I304="IV",CONCATENATE('V_DATOS PAC_SGA'!CC299,"4")+0,CONCATENATE('V_DATOS PAC_SGA'!CC299,"0")+0))</f>
        <v>0</v>
      </c>
      <c r="C304" s="2" t="n">
        <f aca="false">'V_DATOS PAC_SGA'!CD299</f>
        <v>0</v>
      </c>
      <c r="D304" s="1409" t="n">
        <f aca="false">'V_DATOS PAC_SGA'!Y299</f>
        <v>0</v>
      </c>
      <c r="E304" s="1410" t="str">
        <f aca="false">IF('V_DATOS PAC_SGA'!AV299="","Regadio",'V_DATOS PAC_SGA'!AV299)</f>
        <v>Regadio</v>
      </c>
      <c r="F304" s="1411" t="n">
        <f aca="false">'V_DATOS PAC_SGA'!BK299</f>
        <v>0</v>
      </c>
      <c r="G304" s="1412" t="n">
        <f aca="false">'V_DATOS PAC_SGA'!AN299</f>
        <v>0</v>
      </c>
      <c r="H304" s="1413" t="str">
        <f aca="false">IF(B304&gt;0,VLOOKUP(B304,'O_MN, PE_UTA_UGM 2024'!E$3:O$419,10),"")</f>
        <v/>
      </c>
      <c r="I304" s="1359" t="str">
        <f aca="false">IF('V_DATOS PAC_SGA'!BV299="IV",'V_DATOS PAC_SGA'!BV299,"")</f>
        <v/>
      </c>
      <c r="J304" s="2" t="str">
        <f aca="false">IF($A304&gt;0,IF(AND(J$4=$G304,J$6=$F304),$D304*J$5,""),"")</f>
        <v/>
      </c>
      <c r="K304" s="2" t="str">
        <f aca="false">IF($A304&gt;0,IF(AND(K$4=$G304,K$6=$F304),$D304*K$5,""),"")</f>
        <v/>
      </c>
      <c r="L304" s="2" t="str">
        <f aca="false">IF($A304&gt;0,IF(AND(L$4=$G304,L$6=$F304),$D304*L$5,""),"")</f>
        <v/>
      </c>
      <c r="M304" s="2" t="str">
        <f aca="false">IF($A304&gt;0,IF(AND(M$4=$G304,M$6=$F304),$D304*M$5,""),"")</f>
        <v/>
      </c>
      <c r="N304" s="1506" t="n">
        <f aca="false">VLOOKUP(B304,'O_MN, PE_UTA_UGM 2024'!$E$2:$K$419,IF(G304&gt;1,6,7))</f>
        <v>0</v>
      </c>
      <c r="O304" s="1435" t="str">
        <f aca="false">IF($H304=O$4,$D304*$N304,"")</f>
        <v/>
      </c>
      <c r="P304" s="1435" t="str">
        <f aca="false">IF($H304=P$4,$D304*$N304,"")</f>
        <v/>
      </c>
      <c r="Q304" s="1435" t="str">
        <f aca="false">IF($H304=Q$4,$D304*$N304,"")</f>
        <v/>
      </c>
      <c r="R304" s="1435" t="str">
        <f aca="false">IF($H304=R$4,$D304*$N304,"")</f>
        <v/>
      </c>
      <c r="S304" s="1435" t="str">
        <f aca="false">IF($H304=S$4,$D304*$N304,"")</f>
        <v/>
      </c>
      <c r="T304" s="1435" t="str">
        <f aca="false">IF($H304=T$4,$D304*$N304,"")</f>
        <v/>
      </c>
      <c r="U304" s="1435" t="str">
        <f aca="false">IF($H304=U$4,$D304*$N304,"")</f>
        <v/>
      </c>
      <c r="V304" s="1471"/>
      <c r="W304" s="1471"/>
      <c r="X304" s="1471"/>
      <c r="Y304" s="1471"/>
      <c r="Z304" s="1471"/>
      <c r="AA304" s="1471"/>
      <c r="AB304" s="1471"/>
      <c r="AC304" s="1319"/>
      <c r="AD304" s="2" t="str">
        <f aca="false">IF(AND(AD$4=$G304,AD$6=$F304),$B304,"")</f>
        <v/>
      </c>
      <c r="AE304" s="2" t="str">
        <f aca="false">IF(AND(AE$4=$G304,AE$6=$F304),$B304,"")</f>
        <v/>
      </c>
      <c r="AF304" s="2" t="str">
        <f aca="false">IF(AND(AF$4=$G304,AF$6=$F304),$B304,"")</f>
        <v/>
      </c>
      <c r="AG304" s="2" t="str">
        <f aca="false">IF(AND(AG$4=$G304,AG$6=$F304),$B304,"")</f>
        <v/>
      </c>
      <c r="AI304" s="366"/>
      <c r="AL304" s="367"/>
      <c r="AO304" s="367"/>
      <c r="AP304" s="2" t="str">
        <f aca="false">IF(AT304&gt;0,RANK(AT304,AT$7:AT$423),"")</f>
        <v/>
      </c>
      <c r="AQ304" s="2" t="n">
        <f aca="false">'O_MN, PE_UTA_UGM 2024'!C300</f>
        <v>307</v>
      </c>
      <c r="AR304" s="1421" t="n">
        <v>2980</v>
      </c>
      <c r="AS304" s="2" t="str">
        <f aca="false">IF(AY304&lt;&gt;"",AY304,"")</f>
        <v/>
      </c>
      <c r="AT304" s="1422" t="n">
        <f aca="false">IF(ISNUMBER($AR304),SUMIF(B$7:B$505,AR304,D$7:D$505),"")</f>
        <v>0</v>
      </c>
      <c r="AU304" s="1411" t="n">
        <f aca="false">IF(ISNUMBER($AR304),SUMIF(AD$7:AD$503,$AR304,J$7:J$503),"")</f>
        <v>0</v>
      </c>
      <c r="AV304" s="1411" t="n">
        <f aca="false">IF(ISNUMBER($AR304),SUMIF(AF$7:AF$503,$AR304,L$7:L$503),"")</f>
        <v>0</v>
      </c>
      <c r="AW304" s="1423" t="n">
        <f aca="false">IF(ISNUMBER($AR304),SUMIF(AE$7:AE$503,$AR304,K$7:K$503),"")</f>
        <v>0</v>
      </c>
      <c r="AX304" s="1423" t="n">
        <f aca="false">IF(ISNUMBER($AR304),SUMIF(AG$7:AG$503,$AR304,M$7:M$503),"")</f>
        <v>0</v>
      </c>
      <c r="AY304" s="2" t="str">
        <f aca="false">IF($AT304&gt;0,VLOOKUP($AR304,'O_MN, PE_UTA_UGM 2024'!E300:O716,2),"")</f>
        <v/>
      </c>
      <c r="AZ304" s="1507"/>
      <c r="BA304" s="1507"/>
      <c r="BB304" s="1507" t="str">
        <f aca="false">IF($AT304&gt;0,VLOOKUP($AR304,'O_MN, PE_UTA_UGM 2024'!$E$3:$O$419,BB$6),"")</f>
        <v/>
      </c>
      <c r="BC304" s="1507" t="str">
        <f aca="false">IF($AT304&gt;0,VLOOKUP($AR304,'O_MN, PE_UTA_UGM 2024'!$E$3:$O$419,BC$6),"")</f>
        <v/>
      </c>
      <c r="BD304" s="1507" t="str">
        <f aca="false">IF($AT304&gt;0,VLOOKUP($AR304,'O_MN, PE_UTA_UGM 2024'!$E$3:$O$419,BD$6),"")</f>
        <v/>
      </c>
      <c r="BE304" s="1507" t="str">
        <f aca="false">IF($AT304&gt;0,VLOOKUP($AR304,'O_MN, PE_UTA_UGM 2024'!$E$3:$O$419,BE$6),"")</f>
        <v/>
      </c>
      <c r="BF304" s="1507" t="str">
        <f aca="false">IF($AT304&gt;0,VLOOKUP($AR304,'O_MN, PE_UTA_UGM 2024'!$E$3:$O$419,BF$6),"")</f>
        <v/>
      </c>
      <c r="BG304" s="1507" t="str">
        <f aca="false">IF($AT304&gt;0,VLOOKUP($AR304,'O_MN, PE_UTA_UGM 2024'!$E$3:$O$419,BG$6),"")</f>
        <v/>
      </c>
      <c r="BH304" s="1504"/>
      <c r="BI304" s="1504"/>
      <c r="BJ304" s="1504"/>
      <c r="BK304" s="1504"/>
      <c r="BM304" s="1411"/>
      <c r="BN304" s="1411"/>
      <c r="BO304" s="1425" t="str">
        <f aca="false">IF(ISNUMBER($AU304*BB304*1),$AU304*BB304*1,"")</f>
        <v/>
      </c>
      <c r="BP304" s="1425" t="str">
        <f aca="false">IF(ISNUMBER($AV304*BC304*1),$AV304*BC304*1,"")</f>
        <v/>
      </c>
      <c r="BQ304" s="1425" t="str">
        <f aca="false">IF(ISNUMBER($AU304*BD304*1),$AU304*BD304*1,"")</f>
        <v/>
      </c>
      <c r="BR304" s="1425" t="str">
        <f aca="false">IF(ISNUMBER($AV304*BE304*1),$AV304*BE304*1,"")</f>
        <v/>
      </c>
      <c r="BS304" s="1411" t="str">
        <f aca="false">IF(ISNUMBER($AU304*BF304),$AU304*BF304,"")</f>
        <v/>
      </c>
      <c r="BT304" s="1411" t="str">
        <f aca="false">IF(ISNUMBER($AV304*BG304),$AV304*BG304,"")</f>
        <v/>
      </c>
      <c r="BU304" s="1411"/>
      <c r="BV304" s="1411"/>
      <c r="BW304" s="1411"/>
      <c r="BX304" s="1411"/>
      <c r="BZ304" s="1372"/>
      <c r="CA304" s="1372"/>
      <c r="CB304" s="1426" t="str">
        <f aca="false">IF(ISNUMBER($AW304*BB304),$AW304*BB304,"")</f>
        <v/>
      </c>
      <c r="CC304" s="1426" t="str">
        <f aca="false">IF(ISNUMBER($AX304*BC304),$AX304*BC304,"")</f>
        <v/>
      </c>
      <c r="CD304" s="1426" t="str">
        <f aca="false">IF(ISNUMBER($AW304*BD304),$AW304*BD304,"")</f>
        <v/>
      </c>
      <c r="CE304" s="1426" t="str">
        <f aca="false">IF(ISNUMBER($AX304*BE304),$AX304*BE304,"")</f>
        <v/>
      </c>
      <c r="CF304" s="1372" t="str">
        <f aca="false">IF(ISNUMBER($AW304*BF304),$AW304*BF304,"")</f>
        <v/>
      </c>
      <c r="CG304" s="1372" t="str">
        <f aca="false">IF(ISNUMBER($AX304*BG304),$AX304*BG304,"")</f>
        <v/>
      </c>
      <c r="CH304" s="1438"/>
      <c r="CI304" s="1438"/>
      <c r="CJ304" s="1438"/>
      <c r="CK304" s="1438"/>
      <c r="CU304" s="1411"/>
      <c r="CV304" s="1411"/>
      <c r="CW304" s="1425"/>
      <c r="CX304" s="1425"/>
      <c r="CY304" s="1425"/>
      <c r="CZ304" s="1425"/>
      <c r="DA304" s="1411"/>
      <c r="DB304" s="1411"/>
      <c r="DC304" s="1411"/>
      <c r="DD304" s="1411"/>
      <c r="DE304" s="1411"/>
      <c r="DF304" s="1411"/>
      <c r="DH304" s="1432"/>
      <c r="DI304" s="1432"/>
      <c r="DJ304" s="1437"/>
      <c r="DK304" s="1437"/>
      <c r="DL304" s="1437"/>
      <c r="DM304" s="1437"/>
      <c r="DN304" s="1432"/>
      <c r="DO304" s="1432"/>
      <c r="DP304" s="1432"/>
      <c r="DQ304" s="1432"/>
      <c r="DR304" s="1432"/>
      <c r="DS304" s="1432"/>
      <c r="DT304" s="1316"/>
      <c r="DU304" s="1433"/>
      <c r="DV304" s="1433"/>
      <c r="DW304" s="1433"/>
      <c r="DX304" s="1433"/>
      <c r="DY304" s="1433"/>
      <c r="DZ304" s="1433"/>
      <c r="EA304" s="1433"/>
      <c r="EB304" s="1433"/>
    </row>
    <row r="305" customFormat="false" ht="14.25" hidden="false" customHeight="false" outlineLevel="0" collapsed="false">
      <c r="A305" s="2" t="n">
        <f aca="false">'V_DATOS PAC_SGA'!CC300</f>
        <v>0</v>
      </c>
      <c r="B305" s="2" t="n">
        <f aca="false">IF(OR(A305=0,A305=""),0,IF(I305="IV",CONCATENATE('V_DATOS PAC_SGA'!CC300,"4")+0,CONCATENATE('V_DATOS PAC_SGA'!CC300,"0")+0))</f>
        <v>0</v>
      </c>
      <c r="C305" s="2" t="n">
        <f aca="false">'V_DATOS PAC_SGA'!CD300</f>
        <v>0</v>
      </c>
      <c r="D305" s="1409" t="n">
        <f aca="false">'V_DATOS PAC_SGA'!Y300</f>
        <v>0</v>
      </c>
      <c r="E305" s="1410" t="str">
        <f aca="false">IF('V_DATOS PAC_SGA'!AV300="","Regadio",'V_DATOS PAC_SGA'!AV300)</f>
        <v>Regadio</v>
      </c>
      <c r="F305" s="1411" t="n">
        <f aca="false">'V_DATOS PAC_SGA'!BK300</f>
        <v>0</v>
      </c>
      <c r="G305" s="1412" t="n">
        <f aca="false">'V_DATOS PAC_SGA'!AN300</f>
        <v>0</v>
      </c>
      <c r="H305" s="1413" t="str">
        <f aca="false">IF(B305&gt;0,VLOOKUP(B305,'O_MN, PE_UTA_UGM 2024'!E$3:O$419,10),"")</f>
        <v/>
      </c>
      <c r="I305" s="1359" t="str">
        <f aca="false">IF('V_DATOS PAC_SGA'!BV300="IV",'V_DATOS PAC_SGA'!BV300,"")</f>
        <v/>
      </c>
      <c r="J305" s="2" t="str">
        <f aca="false">IF($A305&gt;0,IF(AND(J$4=$G305,J$6=$F305),$D305*J$5,""),"")</f>
        <v/>
      </c>
      <c r="K305" s="2" t="str">
        <f aca="false">IF($A305&gt;0,IF(AND(K$4=$G305,K$6=$F305),$D305*K$5,""),"")</f>
        <v/>
      </c>
      <c r="L305" s="2" t="str">
        <f aca="false">IF($A305&gt;0,IF(AND(L$4=$G305,L$6=$F305),$D305*L$5,""),"")</f>
        <v/>
      </c>
      <c r="M305" s="2" t="str">
        <f aca="false">IF($A305&gt;0,IF(AND(M$4=$G305,M$6=$F305),$D305*M$5,""),"")</f>
        <v/>
      </c>
      <c r="N305" s="1506" t="n">
        <f aca="false">VLOOKUP(B305,'O_MN, PE_UTA_UGM 2024'!$E$2:$K$419,IF(G305&gt;1,6,7))</f>
        <v>0</v>
      </c>
      <c r="O305" s="1435" t="str">
        <f aca="false">IF($H305=O$4,$D305*$N305,"")</f>
        <v/>
      </c>
      <c r="P305" s="1435" t="str">
        <f aca="false">IF($H305=P$4,$D305*$N305,"")</f>
        <v/>
      </c>
      <c r="Q305" s="1435" t="str">
        <f aca="false">IF($H305=Q$4,$D305*$N305,"")</f>
        <v/>
      </c>
      <c r="R305" s="1435" t="str">
        <f aca="false">IF($H305=R$4,$D305*$N305,"")</f>
        <v/>
      </c>
      <c r="S305" s="1435" t="str">
        <f aca="false">IF($H305=S$4,$D305*$N305,"")</f>
        <v/>
      </c>
      <c r="T305" s="1435" t="str">
        <f aca="false">IF($H305=T$4,$D305*$N305,"")</f>
        <v/>
      </c>
      <c r="U305" s="1435" t="str">
        <f aca="false">IF($H305=U$4,$D305*$N305,"")</f>
        <v/>
      </c>
      <c r="V305" s="1471"/>
      <c r="W305" s="1471"/>
      <c r="X305" s="1471"/>
      <c r="Y305" s="1471"/>
      <c r="Z305" s="1471"/>
      <c r="AA305" s="1471"/>
      <c r="AB305" s="1471"/>
      <c r="AC305" s="1319"/>
      <c r="AD305" s="2" t="str">
        <f aca="false">IF(AND(AD$4=$G305,AD$6=$F305),$B305,"")</f>
        <v/>
      </c>
      <c r="AE305" s="2" t="str">
        <f aca="false">IF(AND(AE$4=$G305,AE$6=$F305),$B305,"")</f>
        <v/>
      </c>
      <c r="AF305" s="2" t="str">
        <f aca="false">IF(AND(AF$4=$G305,AF$6=$F305),$B305,"")</f>
        <v/>
      </c>
      <c r="AG305" s="2" t="str">
        <f aca="false">IF(AND(AG$4=$G305,AG$6=$F305),$B305,"")</f>
        <v/>
      </c>
      <c r="AI305" s="366"/>
      <c r="AL305" s="367"/>
      <c r="AO305" s="367"/>
      <c r="AP305" s="2" t="str">
        <f aca="false">IF(AT305&gt;0,RANK(AT305,AT$7:AT$423),"")</f>
        <v/>
      </c>
      <c r="AQ305" s="2" t="n">
        <f aca="false">'O_MN, PE_UTA_UGM 2024'!C301</f>
        <v>316</v>
      </c>
      <c r="AR305" s="1421" t="n">
        <v>2990</v>
      </c>
      <c r="AS305" s="2" t="str">
        <f aca="false">IF(AY305&lt;&gt;"",AY305,"")</f>
        <v/>
      </c>
      <c r="AT305" s="1422" t="n">
        <f aca="false">IF(ISNUMBER($AR305),SUMIF(B$7:B$505,AR305,D$7:D$505),"")</f>
        <v>0</v>
      </c>
      <c r="AU305" s="1411" t="n">
        <f aca="false">IF(ISNUMBER($AR305),SUMIF(AD$7:AD$503,$AR305,J$7:J$503),"")</f>
        <v>0</v>
      </c>
      <c r="AV305" s="1411" t="n">
        <f aca="false">IF(ISNUMBER($AR305),SUMIF(AF$7:AF$503,$AR305,L$7:L$503),"")</f>
        <v>0</v>
      </c>
      <c r="AW305" s="1423" t="n">
        <f aca="false">IF(ISNUMBER($AR305),SUMIF(AE$7:AE$503,$AR305,K$7:K$503),"")</f>
        <v>0</v>
      </c>
      <c r="AX305" s="1423" t="n">
        <f aca="false">IF(ISNUMBER($AR305),SUMIF(AG$7:AG$503,$AR305,M$7:M$503),"")</f>
        <v>0</v>
      </c>
      <c r="AY305" s="2" t="str">
        <f aca="false">IF($AT305&gt;0,VLOOKUP($AR305,'O_MN, PE_UTA_UGM 2024'!E301:O717,2),"")</f>
        <v/>
      </c>
      <c r="AZ305" s="1507"/>
      <c r="BA305" s="1507"/>
      <c r="BB305" s="1507" t="str">
        <f aca="false">IF($AT305&gt;0,VLOOKUP($AR305,'O_MN, PE_UTA_UGM 2024'!$E$3:$O$419,BB$6),"")</f>
        <v/>
      </c>
      <c r="BC305" s="1507" t="str">
        <f aca="false">IF($AT305&gt;0,VLOOKUP($AR305,'O_MN, PE_UTA_UGM 2024'!$E$3:$O$419,BC$6),"")</f>
        <v/>
      </c>
      <c r="BD305" s="1507" t="str">
        <f aca="false">IF($AT305&gt;0,VLOOKUP($AR305,'O_MN, PE_UTA_UGM 2024'!$E$3:$O$419,BD$6),"")</f>
        <v/>
      </c>
      <c r="BE305" s="1507" t="str">
        <f aca="false">IF($AT305&gt;0,VLOOKUP($AR305,'O_MN, PE_UTA_UGM 2024'!$E$3:$O$419,BE$6),"")</f>
        <v/>
      </c>
      <c r="BF305" s="1507" t="str">
        <f aca="false">IF($AT305&gt;0,VLOOKUP($AR305,'O_MN, PE_UTA_UGM 2024'!$E$3:$O$419,BF$6),"")</f>
        <v/>
      </c>
      <c r="BG305" s="1507" t="str">
        <f aca="false">IF($AT305&gt;0,VLOOKUP($AR305,'O_MN, PE_UTA_UGM 2024'!$E$3:$O$419,BG$6),"")</f>
        <v/>
      </c>
      <c r="BH305" s="1504"/>
      <c r="BI305" s="1504"/>
      <c r="BJ305" s="1504"/>
      <c r="BK305" s="1504"/>
      <c r="BM305" s="1411"/>
      <c r="BN305" s="1411"/>
      <c r="BO305" s="1425" t="str">
        <f aca="false">IF(ISNUMBER($AU305*BB305*1),$AU305*BB305*1,"")</f>
        <v/>
      </c>
      <c r="BP305" s="1425" t="str">
        <f aca="false">IF(ISNUMBER($AV305*BC305*1),$AV305*BC305*1,"")</f>
        <v/>
      </c>
      <c r="BQ305" s="1425" t="str">
        <f aca="false">IF(ISNUMBER($AU305*BD305*1),$AU305*BD305*1,"")</f>
        <v/>
      </c>
      <c r="BR305" s="1425" t="str">
        <f aca="false">IF(ISNUMBER($AV305*BE305*1),$AV305*BE305*1,"")</f>
        <v/>
      </c>
      <c r="BS305" s="1411" t="str">
        <f aca="false">IF(ISNUMBER($AU305*BF305),$AU305*BF305,"")</f>
        <v/>
      </c>
      <c r="BT305" s="1411" t="str">
        <f aca="false">IF(ISNUMBER($AV305*BG305),$AV305*BG305,"")</f>
        <v/>
      </c>
      <c r="BU305" s="1411"/>
      <c r="BV305" s="1411"/>
      <c r="BW305" s="1411"/>
      <c r="BX305" s="1411"/>
      <c r="BZ305" s="1372"/>
      <c r="CA305" s="1372"/>
      <c r="CB305" s="1426" t="str">
        <f aca="false">IF(ISNUMBER($AW305*BB305),$AW305*BB305,"")</f>
        <v/>
      </c>
      <c r="CC305" s="1426" t="str">
        <f aca="false">IF(ISNUMBER($AX305*BC305),$AX305*BC305,"")</f>
        <v/>
      </c>
      <c r="CD305" s="1426" t="str">
        <f aca="false">IF(ISNUMBER($AW305*BD305),$AW305*BD305,"")</f>
        <v/>
      </c>
      <c r="CE305" s="1426" t="str">
        <f aca="false">IF(ISNUMBER($AX305*BE305),$AX305*BE305,"")</f>
        <v/>
      </c>
      <c r="CF305" s="1372" t="str">
        <f aca="false">IF(ISNUMBER($AW305*BF305),$AW305*BF305,"")</f>
        <v/>
      </c>
      <c r="CG305" s="1372" t="str">
        <f aca="false">IF(ISNUMBER($AX305*BG305),$AX305*BG305,"")</f>
        <v/>
      </c>
      <c r="CH305" s="1438"/>
      <c r="CI305" s="1438"/>
      <c r="CJ305" s="1438"/>
      <c r="CK305" s="1438"/>
      <c r="CU305" s="1411"/>
      <c r="CV305" s="1411"/>
      <c r="CW305" s="1425"/>
      <c r="CX305" s="1425"/>
      <c r="CY305" s="1425"/>
      <c r="CZ305" s="1425"/>
      <c r="DA305" s="1411"/>
      <c r="DB305" s="1411"/>
      <c r="DC305" s="1411"/>
      <c r="DD305" s="1411"/>
      <c r="DE305" s="1411"/>
      <c r="DF305" s="1411"/>
      <c r="DH305" s="1432"/>
      <c r="DI305" s="1432"/>
      <c r="DJ305" s="1437"/>
      <c r="DK305" s="1437"/>
      <c r="DL305" s="1437"/>
      <c r="DM305" s="1437"/>
      <c r="DN305" s="1432"/>
      <c r="DO305" s="1432"/>
      <c r="DP305" s="1432"/>
      <c r="DQ305" s="1432"/>
      <c r="DR305" s="1432"/>
      <c r="DS305" s="1432"/>
      <c r="DT305" s="1316"/>
      <c r="DU305" s="1433"/>
      <c r="DV305" s="1433"/>
      <c r="DW305" s="1433"/>
      <c r="DX305" s="1433"/>
      <c r="DY305" s="1433"/>
      <c r="DZ305" s="1433"/>
      <c r="EA305" s="1433"/>
      <c r="EB305" s="1433"/>
    </row>
    <row r="306" customFormat="false" ht="14.25" hidden="false" customHeight="false" outlineLevel="0" collapsed="false">
      <c r="A306" s="2" t="n">
        <f aca="false">'V_DATOS PAC_SGA'!CC301</f>
        <v>0</v>
      </c>
      <c r="B306" s="2" t="n">
        <f aca="false">IF(OR(A306=0,A306=""),0,IF(I306="IV",CONCATENATE('V_DATOS PAC_SGA'!CC301,"4")+0,CONCATENATE('V_DATOS PAC_SGA'!CC301,"0")+0))</f>
        <v>0</v>
      </c>
      <c r="C306" s="2" t="n">
        <f aca="false">'V_DATOS PAC_SGA'!CD301</f>
        <v>0</v>
      </c>
      <c r="D306" s="1409" t="n">
        <f aca="false">'V_DATOS PAC_SGA'!Y301</f>
        <v>0</v>
      </c>
      <c r="E306" s="1410" t="str">
        <f aca="false">IF('V_DATOS PAC_SGA'!AV301="","Regadio",'V_DATOS PAC_SGA'!AV301)</f>
        <v>Regadio</v>
      </c>
      <c r="F306" s="1411" t="n">
        <f aca="false">'V_DATOS PAC_SGA'!BK301</f>
        <v>0</v>
      </c>
      <c r="G306" s="1412" t="n">
        <f aca="false">'V_DATOS PAC_SGA'!AN301</f>
        <v>0</v>
      </c>
      <c r="H306" s="1413" t="str">
        <f aca="false">IF(B306&gt;0,VLOOKUP(B306,'O_MN, PE_UTA_UGM 2024'!E$3:O$419,10),"")</f>
        <v/>
      </c>
      <c r="I306" s="1359" t="str">
        <f aca="false">IF('V_DATOS PAC_SGA'!BV301="IV",'V_DATOS PAC_SGA'!BV301,"")</f>
        <v/>
      </c>
      <c r="J306" s="2" t="str">
        <f aca="false">IF($A306&gt;0,IF(AND(J$4=$G306,J$6=$F306),$D306*J$5,""),"")</f>
        <v/>
      </c>
      <c r="K306" s="2" t="str">
        <f aca="false">IF($A306&gt;0,IF(AND(K$4=$G306,K$6=$F306),$D306*K$5,""),"")</f>
        <v/>
      </c>
      <c r="L306" s="2" t="str">
        <f aca="false">IF($A306&gt;0,IF(AND(L$4=$G306,L$6=$F306),$D306*L$5,""),"")</f>
        <v/>
      </c>
      <c r="M306" s="2" t="str">
        <f aca="false">IF($A306&gt;0,IF(AND(M$4=$G306,M$6=$F306),$D306*M$5,""),"")</f>
        <v/>
      </c>
      <c r="N306" s="1506" t="n">
        <f aca="false">VLOOKUP(B306,'O_MN, PE_UTA_UGM 2024'!$E$2:$K$419,IF(G306&gt;1,6,7))</f>
        <v>0</v>
      </c>
      <c r="O306" s="1434" t="str">
        <f aca="false">IF($H306=O$4,$D306*$N306,"")</f>
        <v/>
      </c>
      <c r="P306" s="1435" t="str">
        <f aca="false">IF($H306=P$4,$D306*$N306,"")</f>
        <v/>
      </c>
      <c r="Q306" s="1435" t="str">
        <f aca="false">IF($H306=Q$4,$D306*$N306,"")</f>
        <v/>
      </c>
      <c r="R306" s="1435" t="str">
        <f aca="false">IF($H306=R$4,$D306*$N306,"")</f>
        <v/>
      </c>
      <c r="S306" s="1435" t="str">
        <f aca="false">IF($H306=S$4,$D306*$N306,"")</f>
        <v/>
      </c>
      <c r="T306" s="1435" t="str">
        <f aca="false">IF($H306=T$4,$D306*$N306,"")</f>
        <v/>
      </c>
      <c r="U306" s="1436" t="str">
        <f aca="false">IF($H306=U$4,$D306*$N306,"")</f>
        <v/>
      </c>
      <c r="V306" s="1472"/>
      <c r="W306" s="1471"/>
      <c r="X306" s="1471"/>
      <c r="Y306" s="1471"/>
      <c r="Z306" s="1471"/>
      <c r="AA306" s="1471"/>
      <c r="AB306" s="1473"/>
      <c r="AC306" s="1319"/>
      <c r="AD306" s="2" t="str">
        <f aca="false">IF(AND(AD$4=$G306,AD$6=$F306),$B306,"")</f>
        <v/>
      </c>
      <c r="AE306" s="2" t="str">
        <f aca="false">IF(AND(AE$4=$G306,AE$6=$F306),$B306,"")</f>
        <v/>
      </c>
      <c r="AF306" s="2" t="str">
        <f aca="false">IF(AND(AF$4=$G306,AF$6=$F306),$B306,"")</f>
        <v/>
      </c>
      <c r="AG306" s="2" t="str">
        <f aca="false">IF(AND(AG$4=$G306,AG$6=$F306),$B306,"")</f>
        <v/>
      </c>
      <c r="AI306" s="366"/>
      <c r="AL306" s="367"/>
      <c r="AO306" s="367"/>
      <c r="AP306" s="2" t="str">
        <f aca="false">IF(AT306&gt;0,RANK(AT306,AT$7:AT$423),"")</f>
        <v/>
      </c>
      <c r="AQ306" s="1474" t="n">
        <f aca="false">'O_MN, PE_UTA_UGM 2024'!C302</f>
        <v>317</v>
      </c>
      <c r="AR306" s="1421" t="n">
        <v>3040</v>
      </c>
      <c r="AS306" s="2" t="str">
        <f aca="false">IF(AY306&lt;&gt;"",AY306,"")</f>
        <v/>
      </c>
      <c r="AT306" s="1422" t="n">
        <f aca="false">IF(ISNUMBER($AR306),SUMIF(B$7:B$505,AR306,D$7:D$505),"")</f>
        <v>0</v>
      </c>
      <c r="AU306" s="1411" t="n">
        <f aca="false">IF(ISNUMBER($AR306),SUMIF(AD$7:AD$503,$AR306,J$7:J$503),"")</f>
        <v>0</v>
      </c>
      <c r="AV306" s="1411" t="n">
        <f aca="false">IF(ISNUMBER($AR306),SUMIF(AF$7:AF$503,$AR306,L$7:L$503),"")</f>
        <v>0</v>
      </c>
      <c r="AW306" s="1423" t="n">
        <f aca="false">IF(ISNUMBER($AR306),SUMIF(AE$7:AE$503,$AR306,K$7:K$503),"")</f>
        <v>0</v>
      </c>
      <c r="AX306" s="1423" t="n">
        <f aca="false">IF(ISNUMBER($AR306),SUMIF(AG$7:AG$503,$AR306,M$7:M$503),"")</f>
        <v>0</v>
      </c>
      <c r="AY306" s="2" t="str">
        <f aca="false">IF($AT306&gt;0,VLOOKUP($AR306,'O_MN, PE_UTA_UGM 2024'!E302:O718,2),"")</f>
        <v/>
      </c>
      <c r="AZ306" s="1507"/>
      <c r="BA306" s="1507"/>
      <c r="BB306" s="1507" t="str">
        <f aca="false">IF($AT306&gt;0,VLOOKUP($AR306,'O_MN, PE_UTA_UGM 2024'!$E$3:$O$419,BB$6),"")</f>
        <v/>
      </c>
      <c r="BC306" s="1507" t="str">
        <f aca="false">IF($AT306&gt;0,VLOOKUP($AR306,'O_MN, PE_UTA_UGM 2024'!$E$3:$O$419,BC$6),"")</f>
        <v/>
      </c>
      <c r="BD306" s="1507" t="str">
        <f aca="false">IF($AT306&gt;0,VLOOKUP($AR306,'O_MN, PE_UTA_UGM 2024'!$E$3:$O$419,BD$6),"")</f>
        <v/>
      </c>
      <c r="BE306" s="1507" t="str">
        <f aca="false">IF($AT306&gt;0,VLOOKUP($AR306,'O_MN, PE_UTA_UGM 2024'!$E$3:$O$419,BE$6),"")</f>
        <v/>
      </c>
      <c r="BF306" s="1507" t="str">
        <f aca="false">IF($AT306&gt;0,VLOOKUP($AR306,'O_MN, PE_UTA_UGM 2024'!$E$3:$O$419,BF$6),"")</f>
        <v/>
      </c>
      <c r="BG306" s="1507" t="str">
        <f aca="false">IF($AT306&gt;0,VLOOKUP($AR306,'O_MN, PE_UTA_UGM 2024'!$E$3:$O$419,BG$6),"")</f>
        <v/>
      </c>
      <c r="BH306" s="1504"/>
      <c r="BI306" s="1504"/>
      <c r="BJ306" s="1504"/>
      <c r="BK306" s="1504"/>
      <c r="BM306" s="1411"/>
      <c r="BN306" s="1411"/>
      <c r="BO306" s="1425" t="str">
        <f aca="false">IF(ISNUMBER($AU306*BB306*1),$AU306*BB306*1,"")</f>
        <v/>
      </c>
      <c r="BP306" s="1425" t="str">
        <f aca="false">IF(ISNUMBER($AV306*BC306*1),$AV306*BC306*1,"")</f>
        <v/>
      </c>
      <c r="BQ306" s="1425" t="str">
        <f aca="false">IF(ISNUMBER($AU306*BD306*1),$AU306*BD306*1,"")</f>
        <v/>
      </c>
      <c r="BR306" s="1425" t="str">
        <f aca="false">IF(ISNUMBER($AV306*BE306*1),$AV306*BE306*1,"")</f>
        <v/>
      </c>
      <c r="BS306" s="1411" t="str">
        <f aca="false">IF(ISNUMBER($AU306*BF306),$AU306*BF306,"")</f>
        <v/>
      </c>
      <c r="BT306" s="1411" t="str">
        <f aca="false">IF(ISNUMBER($AV306*BG306),$AV306*BG306,"")</f>
        <v/>
      </c>
      <c r="BU306" s="1411"/>
      <c r="BV306" s="1411"/>
      <c r="BW306" s="1411"/>
      <c r="BX306" s="1411"/>
      <c r="BZ306" s="1372"/>
      <c r="CA306" s="1372"/>
      <c r="CB306" s="1426" t="str">
        <f aca="false">IF(ISNUMBER($AW306*BB306),$AW306*BB306,"")</f>
        <v/>
      </c>
      <c r="CC306" s="1426" t="str">
        <f aca="false">IF(ISNUMBER($AX306*BC306),$AX306*BC306,"")</f>
        <v/>
      </c>
      <c r="CD306" s="1426" t="str">
        <f aca="false">IF(ISNUMBER($AW306*BD306),$AW306*BD306,"")</f>
        <v/>
      </c>
      <c r="CE306" s="1426" t="str">
        <f aca="false">IF(ISNUMBER($AX306*BE306),$AX306*BE306,"")</f>
        <v/>
      </c>
      <c r="CF306" s="1372" t="str">
        <f aca="false">IF(ISNUMBER($AW306*BF306),$AW306*BF306,"")</f>
        <v/>
      </c>
      <c r="CG306" s="1372" t="str">
        <f aca="false">IF(ISNUMBER($AX306*BG306),$AX306*BG306,"")</f>
        <v/>
      </c>
      <c r="CH306" s="1438"/>
      <c r="CI306" s="1438"/>
      <c r="CJ306" s="1438"/>
      <c r="CK306" s="1438"/>
      <c r="CU306" s="1411"/>
      <c r="CV306" s="1411"/>
      <c r="CW306" s="1425"/>
      <c r="CX306" s="1425"/>
      <c r="CY306" s="1425"/>
      <c r="CZ306" s="1425"/>
      <c r="DA306" s="1411"/>
      <c r="DB306" s="1411"/>
      <c r="DC306" s="1411"/>
      <c r="DD306" s="1411"/>
      <c r="DE306" s="1411"/>
      <c r="DF306" s="1411"/>
      <c r="DH306" s="1432"/>
      <c r="DI306" s="1432"/>
      <c r="DJ306" s="1437"/>
      <c r="DK306" s="1437"/>
      <c r="DL306" s="1437"/>
      <c r="DM306" s="1437"/>
      <c r="DN306" s="1432"/>
      <c r="DO306" s="1432"/>
      <c r="DP306" s="1432"/>
      <c r="DQ306" s="1432"/>
      <c r="DR306" s="1432"/>
      <c r="DS306" s="1432"/>
      <c r="DT306" s="1316"/>
      <c r="DU306" s="1433"/>
      <c r="DV306" s="1433"/>
      <c r="DW306" s="1433"/>
      <c r="DX306" s="1433"/>
      <c r="DY306" s="1433"/>
      <c r="DZ306" s="1433"/>
      <c r="EA306" s="1433"/>
      <c r="EB306" s="1433"/>
    </row>
    <row r="307" customFormat="false" ht="14.25" hidden="false" customHeight="false" outlineLevel="0" collapsed="false">
      <c r="A307" s="2" t="n">
        <f aca="false">'V_DATOS PAC_SGA'!CC302</f>
        <v>0</v>
      </c>
      <c r="B307" s="2" t="n">
        <f aca="false">IF(OR(A307=0,A307=""),0,IF(I307="IV",CONCATENATE('V_DATOS PAC_SGA'!CC302,"4")+0,CONCATENATE('V_DATOS PAC_SGA'!CC302,"0")+0))</f>
        <v>0</v>
      </c>
      <c r="C307" s="2" t="n">
        <f aca="false">'V_DATOS PAC_SGA'!CD302</f>
        <v>0</v>
      </c>
      <c r="D307" s="1409" t="n">
        <f aca="false">'V_DATOS PAC_SGA'!Y302</f>
        <v>0</v>
      </c>
      <c r="E307" s="1410" t="str">
        <f aca="false">IF('V_DATOS PAC_SGA'!AV302="","Regadio",'V_DATOS PAC_SGA'!AV302)</f>
        <v>Regadio</v>
      </c>
      <c r="F307" s="1411" t="n">
        <f aca="false">'V_DATOS PAC_SGA'!BK302</f>
        <v>0</v>
      </c>
      <c r="G307" s="1412" t="n">
        <f aca="false">'V_DATOS PAC_SGA'!AN302</f>
        <v>0</v>
      </c>
      <c r="H307" s="1413" t="str">
        <f aca="false">IF(B307&gt;0,VLOOKUP(B307,'O_MN, PE_UTA_UGM 2024'!E$3:O$419,10),"")</f>
        <v/>
      </c>
      <c r="I307" s="1359" t="str">
        <f aca="false">IF('V_DATOS PAC_SGA'!BV302="IV",'V_DATOS PAC_SGA'!BV302,"")</f>
        <v/>
      </c>
      <c r="J307" s="2" t="str">
        <f aca="false">IF($A307&gt;0,IF(AND(J$4=$G307,J$6=$F307),$D307*J$5,""),"")</f>
        <v/>
      </c>
      <c r="K307" s="2" t="str">
        <f aca="false">IF($A307&gt;0,IF(AND(K$4=$G307,K$6=$F307),$D307*K$5,""),"")</f>
        <v/>
      </c>
      <c r="L307" s="2" t="str">
        <f aca="false">IF($A307&gt;0,IF(AND(L$4=$G307,L$6=$F307),$D307*L$5,""),"")</f>
        <v/>
      </c>
      <c r="M307" s="2" t="str">
        <f aca="false">IF($A307&gt;0,IF(AND(M$4=$G307,M$6=$F307),$D307*M$5,""),"")</f>
        <v/>
      </c>
      <c r="N307" s="1506" t="n">
        <f aca="false">VLOOKUP(B307,'O_MN, PE_UTA_UGM 2024'!$E$2:$K$419,IF(G307&gt;1,6,7))</f>
        <v>0</v>
      </c>
      <c r="O307" s="1434" t="str">
        <f aca="false">IF($H307=O$4,$D307*$N307,"")</f>
        <v/>
      </c>
      <c r="P307" s="1435" t="str">
        <f aca="false">IF($H307=P$4,$D307*$N307,"")</f>
        <v/>
      </c>
      <c r="Q307" s="1435" t="str">
        <f aca="false">IF($H307=Q$4,$D307*$N307,"")</f>
        <v/>
      </c>
      <c r="R307" s="1435" t="str">
        <f aca="false">IF($H307=R$4,$D307*$N307,"")</f>
        <v/>
      </c>
      <c r="S307" s="1435" t="str">
        <f aca="false">IF($H307=S$4,$D307*$N307,"")</f>
        <v/>
      </c>
      <c r="T307" s="1435" t="str">
        <f aca="false">IF($H307=T$4,$D307*$N307,"")</f>
        <v/>
      </c>
      <c r="U307" s="1436" t="str">
        <f aca="false">IF($H307=U$4,$D307*$N307,"")</f>
        <v/>
      </c>
      <c r="V307" s="1472"/>
      <c r="W307" s="1471"/>
      <c r="X307" s="1471"/>
      <c r="Y307" s="1471"/>
      <c r="Z307" s="1471"/>
      <c r="AA307" s="1471"/>
      <c r="AB307" s="1473"/>
      <c r="AC307" s="1319"/>
      <c r="AD307" s="2" t="str">
        <f aca="false">IF(AND(AD$4=$G307,AD$6=$F307),$B307,"")</f>
        <v/>
      </c>
      <c r="AE307" s="2" t="str">
        <f aca="false">IF(AND(AE$4=$G307,AE$6=$F307),$B307,"")</f>
        <v/>
      </c>
      <c r="AF307" s="2" t="str">
        <f aca="false">IF(AND(AF$4=$G307,AF$6=$F307),$B307,"")</f>
        <v/>
      </c>
      <c r="AG307" s="2" t="str">
        <f aca="false">IF(AND(AG$4=$G307,AG$6=$F307),$B307,"")</f>
        <v/>
      </c>
      <c r="AI307" s="366"/>
      <c r="AL307" s="367"/>
      <c r="AO307" s="367"/>
      <c r="AP307" s="2" t="str">
        <f aca="false">IF(AT307&gt;0,RANK(AT307,AT$7:AT$423),"")</f>
        <v/>
      </c>
      <c r="AQ307" s="1475" t="n">
        <f aca="false">'O_MN, PE_UTA_UGM 2024'!C303</f>
        <v>318</v>
      </c>
      <c r="AR307" s="1421" t="n">
        <v>3044</v>
      </c>
      <c r="AS307" s="2" t="str">
        <f aca="false">IF(AY307&lt;&gt;"",AY307,"")</f>
        <v/>
      </c>
      <c r="AT307" s="1422" t="n">
        <f aca="false">IF(ISNUMBER($AR307),SUMIF(B$7:B$505,AR307,D$7:D$505),"")</f>
        <v>0</v>
      </c>
      <c r="AU307" s="1411" t="n">
        <f aca="false">IF(ISNUMBER($AR307),SUMIF(AD$7:AD$503,$AR307,J$7:J$503),"")</f>
        <v>0</v>
      </c>
      <c r="AV307" s="1411" t="n">
        <f aca="false">IF(ISNUMBER($AR307),SUMIF(AF$7:AF$503,$AR307,L$7:L$503),"")</f>
        <v>0</v>
      </c>
      <c r="AW307" s="1423" t="n">
        <f aca="false">IF(ISNUMBER($AR307),SUMIF(AE$7:AE$503,$AR307,K$7:K$503),"")</f>
        <v>0</v>
      </c>
      <c r="AX307" s="1423" t="n">
        <f aca="false">IF(ISNUMBER($AR307),SUMIF(AG$7:AG$503,$AR307,M$7:M$503),"")</f>
        <v>0</v>
      </c>
      <c r="AY307" s="2" t="str">
        <f aca="false">IF($AT307&gt;0,VLOOKUP($AR307,'O_MN, PE_UTA_UGM 2024'!E303:O719,2),"")</f>
        <v/>
      </c>
      <c r="AZ307" s="1507"/>
      <c r="BA307" s="1507"/>
      <c r="BB307" s="1507" t="str">
        <f aca="false">IF($AT307&gt;0,VLOOKUP($AR307,'O_MN, PE_UTA_UGM 2024'!$E$3:$O$419,BB$6),"")</f>
        <v/>
      </c>
      <c r="BC307" s="1507" t="str">
        <f aca="false">IF($AT307&gt;0,VLOOKUP($AR307,'O_MN, PE_UTA_UGM 2024'!$E$3:$O$419,BC$6),"")</f>
        <v/>
      </c>
      <c r="BD307" s="1507" t="str">
        <f aca="false">IF($AT307&gt;0,VLOOKUP($AR307,'O_MN, PE_UTA_UGM 2024'!$E$3:$O$419,BD$6),"")</f>
        <v/>
      </c>
      <c r="BE307" s="1507" t="str">
        <f aca="false">IF($AT307&gt;0,VLOOKUP($AR307,'O_MN, PE_UTA_UGM 2024'!$E$3:$O$419,BE$6),"")</f>
        <v/>
      </c>
      <c r="BF307" s="1507" t="str">
        <f aca="false">IF($AT307&gt;0,VLOOKUP($AR307,'O_MN, PE_UTA_UGM 2024'!$E$3:$O$419,BF$6),"")</f>
        <v/>
      </c>
      <c r="BG307" s="1507" t="str">
        <f aca="false">IF($AT307&gt;0,VLOOKUP($AR307,'O_MN, PE_UTA_UGM 2024'!$E$3:$O$419,BG$6),"")</f>
        <v/>
      </c>
      <c r="BH307" s="1504"/>
      <c r="BI307" s="1504"/>
      <c r="BJ307" s="1504"/>
      <c r="BK307" s="1504"/>
      <c r="BM307" s="1411"/>
      <c r="BN307" s="1411"/>
      <c r="BO307" s="1425" t="str">
        <f aca="false">IF(ISNUMBER($AU307*BB307*1),$AU307*BB307*1,"")</f>
        <v/>
      </c>
      <c r="BP307" s="1425" t="str">
        <f aca="false">IF(ISNUMBER($AV307*BC307*1),$AV307*BC307*1,"")</f>
        <v/>
      </c>
      <c r="BQ307" s="1425" t="str">
        <f aca="false">IF(ISNUMBER($AU307*BD307*1),$AU307*BD307*1,"")</f>
        <v/>
      </c>
      <c r="BR307" s="1425" t="str">
        <f aca="false">IF(ISNUMBER($AV307*BE307*1),$AV307*BE307*1,"")</f>
        <v/>
      </c>
      <c r="BS307" s="1411" t="str">
        <f aca="false">IF(ISNUMBER($AU307*BF307),$AU307*BF307,"")</f>
        <v/>
      </c>
      <c r="BT307" s="1411" t="str">
        <f aca="false">IF(ISNUMBER($AV307*BG307),$AV307*BG307,"")</f>
        <v/>
      </c>
      <c r="BU307" s="1411"/>
      <c r="BV307" s="1411"/>
      <c r="BW307" s="1411"/>
      <c r="BX307" s="1411"/>
      <c r="BZ307" s="1372"/>
      <c r="CA307" s="1372"/>
      <c r="CB307" s="1426" t="str">
        <f aca="false">IF(ISNUMBER($AW307*BB307),$AW307*BB307,"")</f>
        <v/>
      </c>
      <c r="CC307" s="1426" t="str">
        <f aca="false">IF(ISNUMBER($AX307*BC307),$AX307*BC307,"")</f>
        <v/>
      </c>
      <c r="CD307" s="1426" t="str">
        <f aca="false">IF(ISNUMBER($AW307*BD307),$AW307*BD307,"")</f>
        <v/>
      </c>
      <c r="CE307" s="1426" t="str">
        <f aca="false">IF(ISNUMBER($AX307*BE307),$AX307*BE307,"")</f>
        <v/>
      </c>
      <c r="CF307" s="1372" t="str">
        <f aca="false">IF(ISNUMBER($AW307*BF307),$AW307*BF307,"")</f>
        <v/>
      </c>
      <c r="CG307" s="1372" t="str">
        <f aca="false">IF(ISNUMBER($AX307*BG307),$AX307*BG307,"")</f>
        <v/>
      </c>
      <c r="CH307" s="1438"/>
      <c r="CI307" s="1438"/>
      <c r="CJ307" s="1438"/>
      <c r="CK307" s="1438"/>
      <c r="CU307" s="1411"/>
      <c r="CV307" s="1411"/>
      <c r="CW307" s="1425"/>
      <c r="CX307" s="1425"/>
      <c r="CY307" s="1425"/>
      <c r="CZ307" s="1425"/>
      <c r="DA307" s="1411"/>
      <c r="DB307" s="1411"/>
      <c r="DC307" s="1411"/>
      <c r="DD307" s="1411"/>
      <c r="DE307" s="1411"/>
      <c r="DF307" s="1411"/>
      <c r="DH307" s="1432"/>
      <c r="DI307" s="1432"/>
      <c r="DJ307" s="1437"/>
      <c r="DK307" s="1437"/>
      <c r="DL307" s="1437"/>
      <c r="DM307" s="1437"/>
      <c r="DN307" s="1432"/>
      <c r="DO307" s="1432"/>
      <c r="DP307" s="1432"/>
      <c r="DQ307" s="1432"/>
      <c r="DR307" s="1432"/>
      <c r="DS307" s="1432"/>
      <c r="DT307" s="1316"/>
      <c r="DU307" s="1433"/>
      <c r="DV307" s="1433"/>
      <c r="DW307" s="1433"/>
      <c r="DX307" s="1433"/>
      <c r="DY307" s="1433"/>
      <c r="DZ307" s="1433"/>
      <c r="EA307" s="1433"/>
      <c r="EB307" s="1433"/>
    </row>
    <row r="308" customFormat="false" ht="14.25" hidden="false" customHeight="false" outlineLevel="0" collapsed="false">
      <c r="A308" s="2" t="n">
        <f aca="false">'V_DATOS PAC_SGA'!CC303</f>
        <v>0</v>
      </c>
      <c r="B308" s="2" t="n">
        <f aca="false">IF(OR(A308=0,A308=""),0,IF(I308="IV",CONCATENATE('V_DATOS PAC_SGA'!CC303,"4")+0,CONCATENATE('V_DATOS PAC_SGA'!CC303,"0")+0))</f>
        <v>0</v>
      </c>
      <c r="C308" s="2" t="n">
        <f aca="false">'V_DATOS PAC_SGA'!CD303</f>
        <v>0</v>
      </c>
      <c r="D308" s="1409" t="n">
        <f aca="false">'V_DATOS PAC_SGA'!Y303</f>
        <v>0</v>
      </c>
      <c r="E308" s="1410" t="str">
        <f aca="false">IF('V_DATOS PAC_SGA'!AV303="","Regadio",'V_DATOS PAC_SGA'!AV303)</f>
        <v>Regadio</v>
      </c>
      <c r="F308" s="1411" t="n">
        <f aca="false">'V_DATOS PAC_SGA'!BK303</f>
        <v>0</v>
      </c>
      <c r="G308" s="1412" t="n">
        <f aca="false">'V_DATOS PAC_SGA'!AN303</f>
        <v>0</v>
      </c>
      <c r="H308" s="1413" t="str">
        <f aca="false">IF(B308&gt;0,VLOOKUP(B308,'O_MN, PE_UTA_UGM 2024'!E$3:O$419,10),"")</f>
        <v/>
      </c>
      <c r="I308" s="1359" t="str">
        <f aca="false">IF('V_DATOS PAC_SGA'!BV303="IV",'V_DATOS PAC_SGA'!BV303,"")</f>
        <v/>
      </c>
      <c r="J308" s="2" t="str">
        <f aca="false">IF($A308&gt;0,IF(AND(J$4=$G308,J$6=$F308),$D308*J$5,""),"")</f>
        <v/>
      </c>
      <c r="K308" s="2" t="str">
        <f aca="false">IF($A308&gt;0,IF(AND(K$4=$G308,K$6=$F308),$D308*K$5,""),"")</f>
        <v/>
      </c>
      <c r="L308" s="2" t="str">
        <f aca="false">IF($A308&gt;0,IF(AND(L$4=$G308,L$6=$F308),$D308*L$5,""),"")</f>
        <v/>
      </c>
      <c r="M308" s="2" t="str">
        <f aca="false">IF($A308&gt;0,IF(AND(M$4=$G308,M$6=$F308),$D308*M$5,""),"")</f>
        <v/>
      </c>
      <c r="N308" s="1506" t="n">
        <f aca="false">VLOOKUP(B308,'O_MN, PE_UTA_UGM 2024'!$E$2:$K$419,IF(G308&gt;1,6,7))</f>
        <v>0</v>
      </c>
      <c r="O308" s="1434" t="str">
        <f aca="false">IF($H308=O$4,$D308*$N308,"")</f>
        <v/>
      </c>
      <c r="P308" s="1435" t="str">
        <f aca="false">IF($H308=P$4,$D308*$N308,"")</f>
        <v/>
      </c>
      <c r="Q308" s="1435" t="str">
        <f aca="false">IF($H308=Q$4,$D308*$N308,"")</f>
        <v/>
      </c>
      <c r="R308" s="1435" t="str">
        <f aca="false">IF($H308=R$4,$D308*$N308,"")</f>
        <v/>
      </c>
      <c r="S308" s="1435" t="str">
        <f aca="false">IF($H308=S$4,$D308*$N308,"")</f>
        <v/>
      </c>
      <c r="T308" s="1435" t="str">
        <f aca="false">IF($H308=T$4,$D308*$N308,"")</f>
        <v/>
      </c>
      <c r="U308" s="1436" t="str">
        <f aca="false">IF($H308=U$4,$D308*$N308,"")</f>
        <v/>
      </c>
      <c r="V308" s="1472"/>
      <c r="W308" s="1471"/>
      <c r="X308" s="1471"/>
      <c r="Y308" s="1471"/>
      <c r="Z308" s="1471"/>
      <c r="AA308" s="1471"/>
      <c r="AB308" s="1473"/>
      <c r="AC308" s="1319"/>
      <c r="AD308" s="2" t="str">
        <f aca="false">IF(AND(AD$4=$G308,AD$6=$F308),$B308,"")</f>
        <v/>
      </c>
      <c r="AE308" s="2" t="str">
        <f aca="false">IF(AND(AE$4=$G308,AE$6=$F308),$B308,"")</f>
        <v/>
      </c>
      <c r="AF308" s="2" t="str">
        <f aca="false">IF(AND(AF$4=$G308,AF$6=$F308),$B308,"")</f>
        <v/>
      </c>
      <c r="AG308" s="2" t="str">
        <f aca="false">IF(AND(AG$4=$G308,AG$6=$F308),$B308,"")</f>
        <v/>
      </c>
      <c r="AI308" s="366"/>
      <c r="AL308" s="367"/>
      <c r="AO308" s="367"/>
      <c r="AP308" s="2" t="str">
        <f aca="false">IF(AT308&gt;0,RANK(AT308,AT$7:AT$423),"")</f>
        <v/>
      </c>
      <c r="AQ308" s="1475" t="n">
        <f aca="false">'O_MN, PE_UTA_UGM 2024'!C304</f>
        <v>319</v>
      </c>
      <c r="AR308" s="1421" t="n">
        <v>3049</v>
      </c>
      <c r="AS308" s="2" t="str">
        <f aca="false">IF(AY308&lt;&gt;"",AY308,"")</f>
        <v/>
      </c>
      <c r="AT308" s="1422" t="n">
        <f aca="false">IF(ISNUMBER($AR308),SUMIF(B$7:B$505,AR308,D$7:D$505),"")</f>
        <v>0</v>
      </c>
      <c r="AU308" s="1411" t="n">
        <f aca="false">IF(ISNUMBER($AR308),SUMIF(AD$7:AD$503,$AR308,J$7:J$503),"")</f>
        <v>0</v>
      </c>
      <c r="AV308" s="1411" t="n">
        <f aca="false">IF(ISNUMBER($AR308),SUMIF(AF$7:AF$503,$AR308,L$7:L$503),"")</f>
        <v>0</v>
      </c>
      <c r="AW308" s="1423" t="n">
        <f aca="false">IF(ISNUMBER($AR308),SUMIF(AE$7:AE$503,$AR308,K$7:K$503),"")</f>
        <v>0</v>
      </c>
      <c r="AX308" s="1423" t="n">
        <f aca="false">IF(ISNUMBER($AR308),SUMIF(AG$7:AG$503,$AR308,M$7:M$503),"")</f>
        <v>0</v>
      </c>
      <c r="AY308" s="2" t="str">
        <f aca="false">IF($AT308&gt;0,VLOOKUP($AR308,'O_MN, PE_UTA_UGM 2024'!E304:O720,2),"")</f>
        <v/>
      </c>
      <c r="AZ308" s="1507"/>
      <c r="BA308" s="1507"/>
      <c r="BB308" s="1507" t="str">
        <f aca="false">IF($AT308&gt;0,VLOOKUP($AR308,'O_MN, PE_UTA_UGM 2024'!$E$3:$O$419,BB$6),"")</f>
        <v/>
      </c>
      <c r="BC308" s="1507" t="str">
        <f aca="false">IF($AT308&gt;0,VLOOKUP($AR308,'O_MN, PE_UTA_UGM 2024'!$E$3:$O$419,BC$6),"")</f>
        <v/>
      </c>
      <c r="BD308" s="1507" t="str">
        <f aca="false">IF($AT308&gt;0,VLOOKUP($AR308,'O_MN, PE_UTA_UGM 2024'!$E$3:$O$419,BD$6),"")</f>
        <v/>
      </c>
      <c r="BE308" s="1507" t="str">
        <f aca="false">IF($AT308&gt;0,VLOOKUP($AR308,'O_MN, PE_UTA_UGM 2024'!$E$3:$O$419,BE$6),"")</f>
        <v/>
      </c>
      <c r="BF308" s="1507" t="str">
        <f aca="false">IF($AT308&gt;0,VLOOKUP($AR308,'O_MN, PE_UTA_UGM 2024'!$E$3:$O$419,BF$6),"")</f>
        <v/>
      </c>
      <c r="BG308" s="1507" t="str">
        <f aca="false">IF($AT308&gt;0,VLOOKUP($AR308,'O_MN, PE_UTA_UGM 2024'!$E$3:$O$419,BG$6),"")</f>
        <v/>
      </c>
      <c r="BH308" s="1504"/>
      <c r="BI308" s="1504"/>
      <c r="BJ308" s="1504"/>
      <c r="BK308" s="1504"/>
      <c r="BM308" s="1411"/>
      <c r="BN308" s="1411"/>
      <c r="BO308" s="1425" t="str">
        <f aca="false">IF(ISNUMBER($AU308*BB308*1),$AU308*BB308*1,"")</f>
        <v/>
      </c>
      <c r="BP308" s="1425" t="str">
        <f aca="false">IF(ISNUMBER($AV308*BC308*1),$AV308*BC308*1,"")</f>
        <v/>
      </c>
      <c r="BQ308" s="1425" t="str">
        <f aca="false">IF(ISNUMBER($AU308*BD308*1),$AU308*BD308*1,"")</f>
        <v/>
      </c>
      <c r="BR308" s="1425" t="str">
        <f aca="false">IF(ISNUMBER($AV308*BE308*1),$AV308*BE308*1,"")</f>
        <v/>
      </c>
      <c r="BS308" s="1411" t="str">
        <f aca="false">IF(ISNUMBER($AU308*BF308),$AU308*BF308,"")</f>
        <v/>
      </c>
      <c r="BT308" s="1411" t="str">
        <f aca="false">IF(ISNUMBER($AV308*BG308),$AV308*BG308,"")</f>
        <v/>
      </c>
      <c r="BU308" s="1411"/>
      <c r="BV308" s="1411"/>
      <c r="BW308" s="1411"/>
      <c r="BX308" s="1411"/>
      <c r="BZ308" s="1372"/>
      <c r="CA308" s="1372"/>
      <c r="CB308" s="1426" t="str">
        <f aca="false">IF(ISNUMBER($AW308*BB308),$AW308*BB308,"")</f>
        <v/>
      </c>
      <c r="CC308" s="1426" t="str">
        <f aca="false">IF(ISNUMBER($AX308*BC308),$AX308*BC308,"")</f>
        <v/>
      </c>
      <c r="CD308" s="1426" t="str">
        <f aca="false">IF(ISNUMBER($AW308*BD308),$AW308*BD308,"")</f>
        <v/>
      </c>
      <c r="CE308" s="1426" t="str">
        <f aca="false">IF(ISNUMBER($AX308*BE308),$AX308*BE308,"")</f>
        <v/>
      </c>
      <c r="CF308" s="1372" t="str">
        <f aca="false">IF(ISNUMBER($AW308*BF308),$AW308*BF308,"")</f>
        <v/>
      </c>
      <c r="CG308" s="1372" t="str">
        <f aca="false">IF(ISNUMBER($AX308*BG308),$AX308*BG308,"")</f>
        <v/>
      </c>
      <c r="CH308" s="1438"/>
      <c r="CI308" s="1438"/>
      <c r="CJ308" s="1438"/>
      <c r="CK308" s="1438"/>
      <c r="CU308" s="1411"/>
      <c r="CV308" s="1411"/>
      <c r="CW308" s="1425"/>
      <c r="CX308" s="1425"/>
      <c r="CY308" s="1425"/>
      <c r="CZ308" s="1425"/>
      <c r="DA308" s="1411"/>
      <c r="DB308" s="1411"/>
      <c r="DC308" s="1411"/>
      <c r="DD308" s="1411"/>
      <c r="DE308" s="1411"/>
      <c r="DF308" s="1411"/>
      <c r="DH308" s="1432"/>
      <c r="DI308" s="1432"/>
      <c r="DJ308" s="1437"/>
      <c r="DK308" s="1437"/>
      <c r="DL308" s="1437"/>
      <c r="DM308" s="1437"/>
      <c r="DN308" s="1432"/>
      <c r="DO308" s="1432"/>
      <c r="DP308" s="1432"/>
      <c r="DQ308" s="1432"/>
      <c r="DR308" s="1432"/>
      <c r="DS308" s="1432"/>
      <c r="DT308" s="1316"/>
      <c r="DU308" s="1433"/>
      <c r="DV308" s="1433"/>
      <c r="DW308" s="1433"/>
      <c r="DX308" s="1433"/>
      <c r="DY308" s="1433"/>
      <c r="DZ308" s="1433"/>
      <c r="EA308" s="1433"/>
      <c r="EB308" s="1433"/>
    </row>
    <row r="309" customFormat="false" ht="14.25" hidden="false" customHeight="false" outlineLevel="0" collapsed="false">
      <c r="A309" s="2" t="n">
        <f aca="false">'V_DATOS PAC_SGA'!CC304</f>
        <v>0</v>
      </c>
      <c r="B309" s="2" t="n">
        <f aca="false">IF(OR(A309=0,A309=""),0,IF(I309="IV",CONCATENATE('V_DATOS PAC_SGA'!CC304,"4")+0,CONCATENATE('V_DATOS PAC_SGA'!CC304,"0")+0))</f>
        <v>0</v>
      </c>
      <c r="C309" s="2" t="n">
        <f aca="false">'V_DATOS PAC_SGA'!CD304</f>
        <v>0</v>
      </c>
      <c r="D309" s="1409" t="n">
        <f aca="false">'V_DATOS PAC_SGA'!Y304</f>
        <v>0</v>
      </c>
      <c r="E309" s="1410" t="str">
        <f aca="false">IF('V_DATOS PAC_SGA'!AV304="","Regadio",'V_DATOS PAC_SGA'!AV304)</f>
        <v>Regadio</v>
      </c>
      <c r="F309" s="1411" t="n">
        <f aca="false">'V_DATOS PAC_SGA'!BK304</f>
        <v>0</v>
      </c>
      <c r="G309" s="1412" t="n">
        <f aca="false">'V_DATOS PAC_SGA'!AN304</f>
        <v>0</v>
      </c>
      <c r="H309" s="1413" t="str">
        <f aca="false">IF(B309&gt;0,VLOOKUP(B309,'O_MN, PE_UTA_UGM 2024'!E$3:O$419,10),"")</f>
        <v/>
      </c>
      <c r="I309" s="1359" t="str">
        <f aca="false">IF('V_DATOS PAC_SGA'!BV304="IV",'V_DATOS PAC_SGA'!BV304,"")</f>
        <v/>
      </c>
      <c r="J309" s="2" t="str">
        <f aca="false">IF($A309&gt;0,IF(AND(J$4=$G309,J$6=$F309),$D309*J$5,""),"")</f>
        <v/>
      </c>
      <c r="K309" s="2" t="str">
        <f aca="false">IF($A309&gt;0,IF(AND(K$4=$G309,K$6=$F309),$D309*K$5,""),"")</f>
        <v/>
      </c>
      <c r="L309" s="2" t="str">
        <f aca="false">IF($A309&gt;0,IF(AND(L$4=$G309,L$6=$F309),$D309*L$5,""),"")</f>
        <v/>
      </c>
      <c r="M309" s="2" t="str">
        <f aca="false">IF($A309&gt;0,IF(AND(M$4=$G309,M$6=$F309),$D309*M$5,""),"")</f>
        <v/>
      </c>
      <c r="N309" s="1506" t="n">
        <f aca="false">VLOOKUP(B309,'O_MN, PE_UTA_UGM 2024'!$E$2:$K$419,IF(G309&gt;1,6,7))</f>
        <v>0</v>
      </c>
      <c r="O309" s="1434" t="str">
        <f aca="false">IF($H309=O$4,$D309*$N309,"")</f>
        <v/>
      </c>
      <c r="P309" s="1435" t="str">
        <f aca="false">IF($H309=P$4,$D309*$N309,"")</f>
        <v/>
      </c>
      <c r="Q309" s="1435" t="str">
        <f aca="false">IF($H309=Q$4,$D309*$N309,"")</f>
        <v/>
      </c>
      <c r="R309" s="1435" t="str">
        <f aca="false">IF($H309=R$4,$D309*$N309,"")</f>
        <v/>
      </c>
      <c r="S309" s="1435" t="str">
        <f aca="false">IF($H309=S$4,$D309*$N309,"")</f>
        <v/>
      </c>
      <c r="T309" s="1435" t="str">
        <f aca="false">IF($H309=T$4,$D309*$N309,"")</f>
        <v/>
      </c>
      <c r="U309" s="1436" t="str">
        <f aca="false">IF($H309=U$4,$D309*$N309,"")</f>
        <v/>
      </c>
      <c r="V309" s="1472"/>
      <c r="W309" s="1471"/>
      <c r="X309" s="1471"/>
      <c r="Y309" s="1471"/>
      <c r="Z309" s="1471"/>
      <c r="AA309" s="1471"/>
      <c r="AB309" s="1473"/>
      <c r="AC309" s="1319"/>
      <c r="AD309" s="2" t="str">
        <f aca="false">IF(AND(AD$4=$G309,AD$6=$F309),$B309,"")</f>
        <v/>
      </c>
      <c r="AE309" s="2" t="str">
        <f aca="false">IF(AND(AE$4=$G309,AE$6=$F309),$B309,"")</f>
        <v/>
      </c>
      <c r="AF309" s="2" t="str">
        <f aca="false">IF(AND(AF$4=$G309,AF$6=$F309),$B309,"")</f>
        <v/>
      </c>
      <c r="AG309" s="2" t="str">
        <f aca="false">IF(AND(AG$4=$G309,AG$6=$F309),$B309,"")</f>
        <v/>
      </c>
      <c r="AI309" s="366"/>
      <c r="AL309" s="367"/>
      <c r="AO309" s="367"/>
      <c r="AP309" s="2" t="str">
        <f aca="false">IF(AT309&gt;0,RANK(AT309,AT$7:AT$423),"")</f>
        <v/>
      </c>
      <c r="AQ309" s="1475" t="n">
        <f aca="false">'O_MN, PE_UTA_UGM 2024'!C305</f>
        <v>320</v>
      </c>
      <c r="AR309" s="1421" t="n">
        <v>3050</v>
      </c>
      <c r="AS309" s="2" t="str">
        <f aca="false">IF(AY309&lt;&gt;"",AY309,"")</f>
        <v/>
      </c>
      <c r="AT309" s="1422" t="n">
        <f aca="false">IF(ISNUMBER($AR309),SUMIF(B$7:B$505,AR309,D$7:D$505),"")</f>
        <v>0</v>
      </c>
      <c r="AU309" s="1411" t="n">
        <f aca="false">IF(ISNUMBER($AR309),SUMIF(AD$7:AD$503,$AR309,J$7:J$503),"")</f>
        <v>0</v>
      </c>
      <c r="AV309" s="1411" t="n">
        <f aca="false">IF(ISNUMBER($AR309),SUMIF(AF$7:AF$503,$AR309,L$7:L$503),"")</f>
        <v>0</v>
      </c>
      <c r="AW309" s="1423" t="n">
        <f aca="false">IF(ISNUMBER($AR309),SUMIF(AE$7:AE$503,$AR309,K$7:K$503),"")</f>
        <v>0</v>
      </c>
      <c r="AX309" s="1423" t="n">
        <f aca="false">IF(ISNUMBER($AR309),SUMIF(AG$7:AG$503,$AR309,M$7:M$503),"")</f>
        <v>0</v>
      </c>
      <c r="AY309" s="2" t="str">
        <f aca="false">IF($AT309&gt;0,VLOOKUP($AR309,'O_MN, PE_UTA_UGM 2024'!E305:O721,2),"")</f>
        <v/>
      </c>
      <c r="AZ309" s="1507"/>
      <c r="BA309" s="1507"/>
      <c r="BB309" s="1507" t="str">
        <f aca="false">IF($AT309&gt;0,VLOOKUP($AR309,'O_MN, PE_UTA_UGM 2024'!$E$3:$O$419,BB$6),"")</f>
        <v/>
      </c>
      <c r="BC309" s="1507" t="str">
        <f aca="false">IF($AT309&gt;0,VLOOKUP($AR309,'O_MN, PE_UTA_UGM 2024'!$E$3:$O$419,BC$6),"")</f>
        <v/>
      </c>
      <c r="BD309" s="1507" t="str">
        <f aca="false">IF($AT309&gt;0,VLOOKUP($AR309,'O_MN, PE_UTA_UGM 2024'!$E$3:$O$419,BD$6),"")</f>
        <v/>
      </c>
      <c r="BE309" s="1507" t="str">
        <f aca="false">IF($AT309&gt;0,VLOOKUP($AR309,'O_MN, PE_UTA_UGM 2024'!$E$3:$O$419,BE$6),"")</f>
        <v/>
      </c>
      <c r="BF309" s="1507" t="str">
        <f aca="false">IF($AT309&gt;0,VLOOKUP($AR309,'O_MN, PE_UTA_UGM 2024'!$E$3:$O$419,BF$6),"")</f>
        <v/>
      </c>
      <c r="BG309" s="1507" t="str">
        <f aca="false">IF($AT309&gt;0,VLOOKUP($AR309,'O_MN, PE_UTA_UGM 2024'!$E$3:$O$419,BG$6),"")</f>
        <v/>
      </c>
      <c r="BH309" s="1504"/>
      <c r="BI309" s="1504"/>
      <c r="BJ309" s="1504"/>
      <c r="BK309" s="1504"/>
      <c r="BM309" s="1411"/>
      <c r="BN309" s="1411"/>
      <c r="BO309" s="1425" t="str">
        <f aca="false">IF(ISNUMBER($AU309*BB309*1),$AU309*BB309*1,"")</f>
        <v/>
      </c>
      <c r="BP309" s="1425" t="str">
        <f aca="false">IF(ISNUMBER($AV309*BC309*1),$AV309*BC309*1,"")</f>
        <v/>
      </c>
      <c r="BQ309" s="1425" t="str">
        <f aca="false">IF(ISNUMBER($AU309*BD309*1),$AU309*BD309*1,"")</f>
        <v/>
      </c>
      <c r="BR309" s="1425" t="str">
        <f aca="false">IF(ISNUMBER($AV309*BE309*1),$AV309*BE309*1,"")</f>
        <v/>
      </c>
      <c r="BS309" s="1411" t="str">
        <f aca="false">IF(ISNUMBER($AU309*BF309),$AU309*BF309,"")</f>
        <v/>
      </c>
      <c r="BT309" s="1411" t="str">
        <f aca="false">IF(ISNUMBER($AV309*BG309),$AV309*BG309,"")</f>
        <v/>
      </c>
      <c r="BU309" s="1411"/>
      <c r="BV309" s="1411"/>
      <c r="BW309" s="1411"/>
      <c r="BX309" s="1411"/>
      <c r="BZ309" s="1372"/>
      <c r="CA309" s="1372"/>
      <c r="CB309" s="1426" t="str">
        <f aca="false">IF(ISNUMBER($AW309*BB309),$AW309*BB309,"")</f>
        <v/>
      </c>
      <c r="CC309" s="1426" t="str">
        <f aca="false">IF(ISNUMBER($AX309*BC309),$AX309*BC309,"")</f>
        <v/>
      </c>
      <c r="CD309" s="1426" t="str">
        <f aca="false">IF(ISNUMBER($AW309*BD309),$AW309*BD309,"")</f>
        <v/>
      </c>
      <c r="CE309" s="1426" t="str">
        <f aca="false">IF(ISNUMBER($AX309*BE309),$AX309*BE309,"")</f>
        <v/>
      </c>
      <c r="CF309" s="1372" t="str">
        <f aca="false">IF(ISNUMBER($AW309*BF309),$AW309*BF309,"")</f>
        <v/>
      </c>
      <c r="CG309" s="1372" t="str">
        <f aca="false">IF(ISNUMBER($AX309*BG309),$AX309*BG309,"")</f>
        <v/>
      </c>
      <c r="CH309" s="1438"/>
      <c r="CI309" s="1438"/>
      <c r="CJ309" s="1438"/>
      <c r="CK309" s="1438"/>
      <c r="CU309" s="1411"/>
      <c r="CV309" s="1411"/>
      <c r="CW309" s="1425"/>
      <c r="CX309" s="1425"/>
      <c r="CY309" s="1425"/>
      <c r="CZ309" s="1425"/>
      <c r="DA309" s="1411"/>
      <c r="DB309" s="1411"/>
      <c r="DC309" s="1411"/>
      <c r="DD309" s="1411"/>
      <c r="DE309" s="1411"/>
      <c r="DF309" s="1411"/>
      <c r="DH309" s="1432"/>
      <c r="DI309" s="1432"/>
      <c r="DJ309" s="1437"/>
      <c r="DK309" s="1437"/>
      <c r="DL309" s="1437"/>
      <c r="DM309" s="1437"/>
      <c r="DN309" s="1432"/>
      <c r="DO309" s="1432"/>
      <c r="DP309" s="1432"/>
      <c r="DQ309" s="1432"/>
      <c r="DR309" s="1432"/>
      <c r="DS309" s="1432"/>
      <c r="DT309" s="1316"/>
      <c r="DU309" s="1433"/>
      <c r="DV309" s="1433"/>
      <c r="DW309" s="1433"/>
      <c r="DX309" s="1433"/>
      <c r="DY309" s="1433"/>
      <c r="DZ309" s="1433"/>
      <c r="EA309" s="1433"/>
      <c r="EB309" s="1433"/>
    </row>
    <row r="310" customFormat="false" ht="14.25" hidden="false" customHeight="false" outlineLevel="0" collapsed="false">
      <c r="A310" s="2" t="n">
        <f aca="false">'V_DATOS PAC_SGA'!CC305</f>
        <v>0</v>
      </c>
      <c r="B310" s="2" t="n">
        <f aca="false">IF(OR(A310=0,A310=""),0,IF(I310="IV",CONCATENATE('V_DATOS PAC_SGA'!CC305,"4")+0,CONCATENATE('V_DATOS PAC_SGA'!CC305,"0")+0))</f>
        <v>0</v>
      </c>
      <c r="C310" s="2" t="n">
        <f aca="false">'V_DATOS PAC_SGA'!CD305</f>
        <v>0</v>
      </c>
      <c r="D310" s="1409" t="n">
        <f aca="false">'V_DATOS PAC_SGA'!Y305</f>
        <v>0</v>
      </c>
      <c r="E310" s="1410" t="str">
        <f aca="false">IF('V_DATOS PAC_SGA'!AV305="","Regadio",'V_DATOS PAC_SGA'!AV305)</f>
        <v>Regadio</v>
      </c>
      <c r="F310" s="1411" t="n">
        <f aca="false">'V_DATOS PAC_SGA'!BK305</f>
        <v>0</v>
      </c>
      <c r="G310" s="1412" t="n">
        <f aca="false">'V_DATOS PAC_SGA'!AN305</f>
        <v>0</v>
      </c>
      <c r="H310" s="1413" t="str">
        <f aca="false">IF(B310&gt;0,VLOOKUP(B310,'O_MN, PE_UTA_UGM 2024'!E$3:O$419,10),"")</f>
        <v/>
      </c>
      <c r="I310" s="1359" t="str">
        <f aca="false">IF('V_DATOS PAC_SGA'!BV305="IV",'V_DATOS PAC_SGA'!BV305,"")</f>
        <v/>
      </c>
      <c r="J310" s="2" t="str">
        <f aca="false">IF($A310&gt;0,IF(AND(J$4=$G310,J$6=$F310),$D310*J$5,""),"")</f>
        <v/>
      </c>
      <c r="K310" s="2" t="str">
        <f aca="false">IF($A310&gt;0,IF(AND(K$4=$G310,K$6=$F310),$D310*K$5,""),"")</f>
        <v/>
      </c>
      <c r="L310" s="2" t="str">
        <f aca="false">IF($A310&gt;0,IF(AND(L$4=$G310,L$6=$F310),$D310*L$5,""),"")</f>
        <v/>
      </c>
      <c r="M310" s="2" t="str">
        <f aca="false">IF($A310&gt;0,IF(AND(M$4=$G310,M$6=$F310),$D310*M$5,""),"")</f>
        <v/>
      </c>
      <c r="N310" s="1506" t="n">
        <f aca="false">VLOOKUP(B310,'O_MN, PE_UTA_UGM 2024'!$E$2:$K$419,IF(G310&gt;1,6,7))</f>
        <v>0</v>
      </c>
      <c r="O310" s="1434" t="str">
        <f aca="false">IF($H310=O$4,$D310*$N310,"")</f>
        <v/>
      </c>
      <c r="P310" s="1435" t="str">
        <f aca="false">IF($H310=P$4,$D310*$N310,"")</f>
        <v/>
      </c>
      <c r="Q310" s="1435" t="str">
        <f aca="false">IF($H310=Q$4,$D310*$N310,"")</f>
        <v/>
      </c>
      <c r="R310" s="1435" t="str">
        <f aca="false">IF($H310=R$4,$D310*$N310,"")</f>
        <v/>
      </c>
      <c r="S310" s="1435" t="str">
        <f aca="false">IF($H310=S$4,$D310*$N310,"")</f>
        <v/>
      </c>
      <c r="T310" s="1435" t="str">
        <f aca="false">IF($H310=T$4,$D310*$N310,"")</f>
        <v/>
      </c>
      <c r="U310" s="1436" t="str">
        <f aca="false">IF($H310=U$4,$D310*$N310,"")</f>
        <v/>
      </c>
      <c r="V310" s="1472"/>
      <c r="W310" s="1471"/>
      <c r="X310" s="1471"/>
      <c r="Y310" s="1471"/>
      <c r="Z310" s="1471"/>
      <c r="AA310" s="1471"/>
      <c r="AB310" s="1473"/>
      <c r="AC310" s="1319"/>
      <c r="AD310" s="2" t="str">
        <f aca="false">IF(AND(AD$4=$G310,AD$6=$F310),$B310,"")</f>
        <v/>
      </c>
      <c r="AE310" s="2" t="str">
        <f aca="false">IF(AND(AE$4=$G310,AE$6=$F310),$B310,"")</f>
        <v/>
      </c>
      <c r="AF310" s="2" t="str">
        <f aca="false">IF(AND(AF$4=$G310,AF$6=$F310),$B310,"")</f>
        <v/>
      </c>
      <c r="AG310" s="2" t="str">
        <f aca="false">IF(AND(AG$4=$G310,AG$6=$F310),$B310,"")</f>
        <v/>
      </c>
      <c r="AI310" s="366"/>
      <c r="AL310" s="367"/>
      <c r="AO310" s="367"/>
      <c r="AP310" s="2" t="str">
        <f aca="false">IF(AT310&gt;0,RANK(AT310,AT$7:AT$423),"")</f>
        <v/>
      </c>
      <c r="AQ310" s="1475" t="n">
        <f aca="false">'O_MN, PE_UTA_UGM 2024'!C306</f>
        <v>325</v>
      </c>
      <c r="AR310" s="1421" t="n">
        <v>3060</v>
      </c>
      <c r="AS310" s="2" t="str">
        <f aca="false">IF(AY310&lt;&gt;"",AY310,"")</f>
        <v/>
      </c>
      <c r="AT310" s="1422" t="n">
        <f aca="false">IF(ISNUMBER($AR310),SUMIF(B$7:B$505,AR310,D$7:D$505),"")</f>
        <v>0</v>
      </c>
      <c r="AU310" s="1411" t="n">
        <f aca="false">IF(ISNUMBER($AR310),SUMIF(AD$7:AD$503,$AR310,J$7:J$503),"")</f>
        <v>0</v>
      </c>
      <c r="AV310" s="1411" t="n">
        <f aca="false">IF(ISNUMBER($AR310),SUMIF(AF$7:AF$503,$AR310,L$7:L$503),"")</f>
        <v>0</v>
      </c>
      <c r="AW310" s="1423" t="n">
        <f aca="false">IF(ISNUMBER($AR310),SUMIF(AE$7:AE$503,$AR310,K$7:K$503),"")</f>
        <v>0</v>
      </c>
      <c r="AX310" s="1423" t="n">
        <f aca="false">IF(ISNUMBER($AR310),SUMIF(AG$7:AG$503,$AR310,M$7:M$503),"")</f>
        <v>0</v>
      </c>
      <c r="AY310" s="2" t="str">
        <f aca="false">IF($AT310&gt;0,VLOOKUP($AR310,'O_MN, PE_UTA_UGM 2024'!E306:O722,2),"")</f>
        <v/>
      </c>
      <c r="AZ310" s="1507"/>
      <c r="BA310" s="1507"/>
      <c r="BB310" s="1507" t="str">
        <f aca="false">IF($AT310&gt;0,VLOOKUP($AR310,'O_MN, PE_UTA_UGM 2024'!$E$3:$O$419,BB$6),"")</f>
        <v/>
      </c>
      <c r="BC310" s="1507" t="str">
        <f aca="false">IF($AT310&gt;0,VLOOKUP($AR310,'O_MN, PE_UTA_UGM 2024'!$E$3:$O$419,BC$6),"")</f>
        <v/>
      </c>
      <c r="BD310" s="1507" t="str">
        <f aca="false">IF($AT310&gt;0,VLOOKUP($AR310,'O_MN, PE_UTA_UGM 2024'!$E$3:$O$419,BD$6),"")</f>
        <v/>
      </c>
      <c r="BE310" s="1507" t="str">
        <f aca="false">IF($AT310&gt;0,VLOOKUP($AR310,'O_MN, PE_UTA_UGM 2024'!$E$3:$O$419,BE$6),"")</f>
        <v/>
      </c>
      <c r="BF310" s="1507" t="str">
        <f aca="false">IF($AT310&gt;0,VLOOKUP($AR310,'O_MN, PE_UTA_UGM 2024'!$E$3:$O$419,BF$6),"")</f>
        <v/>
      </c>
      <c r="BG310" s="1507" t="str">
        <f aca="false">IF($AT310&gt;0,VLOOKUP($AR310,'O_MN, PE_UTA_UGM 2024'!$E$3:$O$419,BG$6),"")</f>
        <v/>
      </c>
      <c r="BH310" s="1504"/>
      <c r="BI310" s="1504"/>
      <c r="BJ310" s="1504"/>
      <c r="BK310" s="1504"/>
      <c r="BM310" s="1411"/>
      <c r="BN310" s="1411"/>
      <c r="BO310" s="1425" t="str">
        <f aca="false">IF(ISNUMBER($AU310*BB310*1),$AU310*BB310*1,"")</f>
        <v/>
      </c>
      <c r="BP310" s="1425" t="str">
        <f aca="false">IF(ISNUMBER($AV310*BC310*1),$AV310*BC310*1,"")</f>
        <v/>
      </c>
      <c r="BQ310" s="1425" t="str">
        <f aca="false">IF(ISNUMBER($AU310*BD310*1),$AU310*BD310*1,"")</f>
        <v/>
      </c>
      <c r="BR310" s="1425" t="str">
        <f aca="false">IF(ISNUMBER($AV310*BE310*1),$AV310*BE310*1,"")</f>
        <v/>
      </c>
      <c r="BS310" s="1411" t="str">
        <f aca="false">IF(ISNUMBER($AU310*BF310),$AU310*BF310,"")</f>
        <v/>
      </c>
      <c r="BT310" s="1411" t="str">
        <f aca="false">IF(ISNUMBER($AV310*BG310),$AV310*BG310,"")</f>
        <v/>
      </c>
      <c r="BU310" s="1411"/>
      <c r="BV310" s="1411"/>
      <c r="BW310" s="1411"/>
      <c r="BX310" s="1411"/>
      <c r="BZ310" s="1372"/>
      <c r="CA310" s="1372"/>
      <c r="CB310" s="1426" t="str">
        <f aca="false">IF(ISNUMBER($AW310*BB310),$AW310*BB310,"")</f>
        <v/>
      </c>
      <c r="CC310" s="1426" t="str">
        <f aca="false">IF(ISNUMBER($AX310*BC310),$AX310*BC310,"")</f>
        <v/>
      </c>
      <c r="CD310" s="1426" t="str">
        <f aca="false">IF(ISNUMBER($AW310*BD310),$AW310*BD310,"")</f>
        <v/>
      </c>
      <c r="CE310" s="1426" t="str">
        <f aca="false">IF(ISNUMBER($AX310*BE310),$AX310*BE310,"")</f>
        <v/>
      </c>
      <c r="CF310" s="1372" t="str">
        <f aca="false">IF(ISNUMBER($AW310*BF310),$AW310*BF310,"")</f>
        <v/>
      </c>
      <c r="CG310" s="1372" t="str">
        <f aca="false">IF(ISNUMBER($AX310*BG310),$AX310*BG310,"")</f>
        <v/>
      </c>
      <c r="CH310" s="1438"/>
      <c r="CI310" s="1438"/>
      <c r="CJ310" s="1438"/>
      <c r="CK310" s="1438"/>
      <c r="CU310" s="1411"/>
      <c r="CV310" s="1411"/>
      <c r="CW310" s="1425"/>
      <c r="CX310" s="1425"/>
      <c r="CY310" s="1425"/>
      <c r="CZ310" s="1425"/>
      <c r="DA310" s="1411"/>
      <c r="DB310" s="1411"/>
      <c r="DC310" s="1411"/>
      <c r="DD310" s="1411"/>
      <c r="DE310" s="1411"/>
      <c r="DF310" s="1411"/>
      <c r="DH310" s="1432"/>
      <c r="DI310" s="1432"/>
      <c r="DJ310" s="1437"/>
      <c r="DK310" s="1437"/>
      <c r="DL310" s="1437"/>
      <c r="DM310" s="1437"/>
      <c r="DN310" s="1432"/>
      <c r="DO310" s="1432"/>
      <c r="DP310" s="1432"/>
      <c r="DQ310" s="1432"/>
      <c r="DR310" s="1432"/>
      <c r="DS310" s="1432"/>
      <c r="DT310" s="1316"/>
      <c r="DU310" s="1433"/>
      <c r="DV310" s="1433"/>
      <c r="DW310" s="1433"/>
      <c r="DX310" s="1433"/>
      <c r="DY310" s="1433"/>
      <c r="DZ310" s="1433"/>
      <c r="EA310" s="1433"/>
      <c r="EB310" s="1433"/>
    </row>
    <row r="311" customFormat="false" ht="14.25" hidden="false" customHeight="false" outlineLevel="0" collapsed="false">
      <c r="A311" s="2" t="n">
        <f aca="false">'V_DATOS PAC_SGA'!CC306</f>
        <v>0</v>
      </c>
      <c r="B311" s="2" t="n">
        <f aca="false">IF(OR(A311=0,A311=""),0,IF(I311="IV",CONCATENATE('V_DATOS PAC_SGA'!CC306,"4")+0,CONCATENATE('V_DATOS PAC_SGA'!CC306,"0")+0))</f>
        <v>0</v>
      </c>
      <c r="C311" s="2" t="n">
        <f aca="false">'V_DATOS PAC_SGA'!CD306</f>
        <v>0</v>
      </c>
      <c r="D311" s="1409" t="n">
        <f aca="false">'V_DATOS PAC_SGA'!Y306</f>
        <v>0</v>
      </c>
      <c r="E311" s="1410" t="str">
        <f aca="false">IF('V_DATOS PAC_SGA'!AV306="","Regadio",'V_DATOS PAC_SGA'!AV306)</f>
        <v>Regadio</v>
      </c>
      <c r="F311" s="1411" t="n">
        <f aca="false">'V_DATOS PAC_SGA'!BK306</f>
        <v>0</v>
      </c>
      <c r="G311" s="1412" t="n">
        <f aca="false">'V_DATOS PAC_SGA'!AN306</f>
        <v>0</v>
      </c>
      <c r="H311" s="1413" t="str">
        <f aca="false">IF(B311&gt;0,VLOOKUP(B311,'O_MN, PE_UTA_UGM 2024'!E$3:O$419,10),"")</f>
        <v/>
      </c>
      <c r="I311" s="1359" t="str">
        <f aca="false">IF('V_DATOS PAC_SGA'!BV306="IV",'V_DATOS PAC_SGA'!BV306,"")</f>
        <v/>
      </c>
      <c r="J311" s="2" t="str">
        <f aca="false">IF($A311&gt;0,IF(AND(J$4=$G311,J$6=$F311),$D311*J$5,""),"")</f>
        <v/>
      </c>
      <c r="K311" s="2" t="str">
        <f aca="false">IF($A311&gt;0,IF(AND(K$4=$G311,K$6=$F311),$D311*K$5,""),"")</f>
        <v/>
      </c>
      <c r="L311" s="2" t="str">
        <f aca="false">IF($A311&gt;0,IF(AND(L$4=$G311,L$6=$F311),$D311*L$5,""),"")</f>
        <v/>
      </c>
      <c r="M311" s="2" t="str">
        <f aca="false">IF($A311&gt;0,IF(AND(M$4=$G311,M$6=$F311),$D311*M$5,""),"")</f>
        <v/>
      </c>
      <c r="N311" s="1506" t="n">
        <f aca="false">VLOOKUP(B311,'O_MN, PE_UTA_UGM 2024'!$E$2:$K$419,IF(G311&gt;1,6,7))</f>
        <v>0</v>
      </c>
      <c r="O311" s="1434" t="str">
        <f aca="false">IF($H311=O$4,$D311*$N311,"")</f>
        <v/>
      </c>
      <c r="P311" s="1435" t="str">
        <f aca="false">IF($H311=P$4,$D311*$N311,"")</f>
        <v/>
      </c>
      <c r="Q311" s="1435" t="str">
        <f aca="false">IF($H311=Q$4,$D311*$N311,"")</f>
        <v/>
      </c>
      <c r="R311" s="1435" t="str">
        <f aca="false">IF($H311=R$4,$D311*$N311,"")</f>
        <v/>
      </c>
      <c r="S311" s="1435" t="str">
        <f aca="false">IF($H311=S$4,$D311*$N311,"")</f>
        <v/>
      </c>
      <c r="T311" s="1435" t="str">
        <f aca="false">IF($H311=T$4,$D311*$N311,"")</f>
        <v/>
      </c>
      <c r="U311" s="1436" t="str">
        <f aca="false">IF($H311=U$4,$D311*$N311,"")</f>
        <v/>
      </c>
      <c r="V311" s="1472"/>
      <c r="W311" s="1471"/>
      <c r="X311" s="1471"/>
      <c r="Y311" s="1471"/>
      <c r="Z311" s="1471"/>
      <c r="AA311" s="1471"/>
      <c r="AB311" s="1473"/>
      <c r="AC311" s="1319"/>
      <c r="AD311" s="2" t="str">
        <f aca="false">IF(AND(AD$4=$G311,AD$6=$F311),$B311,"")</f>
        <v/>
      </c>
      <c r="AE311" s="2" t="str">
        <f aca="false">IF(AND(AE$4=$G311,AE$6=$F311),$B311,"")</f>
        <v/>
      </c>
      <c r="AF311" s="2" t="str">
        <f aca="false">IF(AND(AF$4=$G311,AF$6=$F311),$B311,"")</f>
        <v/>
      </c>
      <c r="AG311" s="2" t="str">
        <f aca="false">IF(AND(AG$4=$G311,AG$6=$F311),$B311,"")</f>
        <v/>
      </c>
      <c r="AI311" s="366"/>
      <c r="AL311" s="367"/>
      <c r="AO311" s="367"/>
      <c r="AP311" s="2" t="str">
        <f aca="false">IF(AT311&gt;0,RANK(AT311,AT$7:AT$423),"")</f>
        <v/>
      </c>
      <c r="AQ311" s="1475" t="n">
        <f aca="false">'O_MN, PE_UTA_UGM 2024'!C307</f>
        <v>328</v>
      </c>
      <c r="AR311" s="1421" t="n">
        <v>3070</v>
      </c>
      <c r="AS311" s="2" t="str">
        <f aca="false">IF(AY311&lt;&gt;"",AY311,"")</f>
        <v/>
      </c>
      <c r="AT311" s="1422" t="n">
        <f aca="false">IF(ISNUMBER($AR311),SUMIF(B$7:B$505,AR311,D$7:D$505),"")</f>
        <v>0</v>
      </c>
      <c r="AU311" s="1411" t="n">
        <f aca="false">IF(ISNUMBER($AR311),SUMIF(AD$7:AD$503,$AR311,J$7:J$503),"")</f>
        <v>0</v>
      </c>
      <c r="AV311" s="1411" t="n">
        <f aca="false">IF(ISNUMBER($AR311),SUMIF(AF$7:AF$503,$AR311,L$7:L$503),"")</f>
        <v>0</v>
      </c>
      <c r="AW311" s="1423" t="n">
        <f aca="false">IF(ISNUMBER($AR311),SUMIF(AE$7:AE$503,$AR311,K$7:K$503),"")</f>
        <v>0</v>
      </c>
      <c r="AX311" s="1423" t="n">
        <f aca="false">IF(ISNUMBER($AR311),SUMIF(AG$7:AG$503,$AR311,M$7:M$503),"")</f>
        <v>0</v>
      </c>
      <c r="AY311" s="2" t="str">
        <f aca="false">IF($AT311&gt;0,VLOOKUP($AR311,'O_MN, PE_UTA_UGM 2024'!E307:O723,2),"")</f>
        <v/>
      </c>
      <c r="AZ311" s="1507"/>
      <c r="BA311" s="1507"/>
      <c r="BB311" s="1507" t="str">
        <f aca="false">IF($AT311&gt;0,VLOOKUP($AR311,'O_MN, PE_UTA_UGM 2024'!$E$3:$O$419,BB$6),"")</f>
        <v/>
      </c>
      <c r="BC311" s="1507" t="str">
        <f aca="false">IF($AT311&gt;0,VLOOKUP($AR311,'O_MN, PE_UTA_UGM 2024'!$E$3:$O$419,BC$6),"")</f>
        <v/>
      </c>
      <c r="BD311" s="1507" t="str">
        <f aca="false">IF($AT311&gt;0,VLOOKUP($AR311,'O_MN, PE_UTA_UGM 2024'!$E$3:$O$419,BD$6),"")</f>
        <v/>
      </c>
      <c r="BE311" s="1507" t="str">
        <f aca="false">IF($AT311&gt;0,VLOOKUP($AR311,'O_MN, PE_UTA_UGM 2024'!$E$3:$O$419,BE$6),"")</f>
        <v/>
      </c>
      <c r="BF311" s="1507" t="str">
        <f aca="false">IF($AT311&gt;0,VLOOKUP($AR311,'O_MN, PE_UTA_UGM 2024'!$E$3:$O$419,BF$6),"")</f>
        <v/>
      </c>
      <c r="BG311" s="1507" t="str">
        <f aca="false">IF($AT311&gt;0,VLOOKUP($AR311,'O_MN, PE_UTA_UGM 2024'!$E$3:$O$419,BG$6),"")</f>
        <v/>
      </c>
      <c r="BH311" s="1504"/>
      <c r="BI311" s="1504"/>
      <c r="BJ311" s="1504"/>
      <c r="BK311" s="1504"/>
      <c r="BM311" s="1411"/>
      <c r="BN311" s="1411"/>
      <c r="BO311" s="1425" t="str">
        <f aca="false">IF(ISNUMBER($AU311*BB311*1),$AU311*BB311*1,"")</f>
        <v/>
      </c>
      <c r="BP311" s="1425" t="str">
        <f aca="false">IF(ISNUMBER($AV311*BC311*1),$AV311*BC311*1,"")</f>
        <v/>
      </c>
      <c r="BQ311" s="1425" t="str">
        <f aca="false">IF(ISNUMBER($AU311*BD311*1),$AU311*BD311*1,"")</f>
        <v/>
      </c>
      <c r="BR311" s="1425" t="str">
        <f aca="false">IF(ISNUMBER($AV311*BE311*1),$AV311*BE311*1,"")</f>
        <v/>
      </c>
      <c r="BS311" s="1411" t="str">
        <f aca="false">IF(ISNUMBER($AU311*BF311),$AU311*BF311,"")</f>
        <v/>
      </c>
      <c r="BT311" s="1411" t="str">
        <f aca="false">IF(ISNUMBER($AV311*BG311),$AV311*BG311,"")</f>
        <v/>
      </c>
      <c r="BU311" s="1411"/>
      <c r="BV311" s="1411"/>
      <c r="BW311" s="1411"/>
      <c r="BX311" s="1411"/>
      <c r="BZ311" s="1372"/>
      <c r="CA311" s="1372"/>
      <c r="CB311" s="1426" t="str">
        <f aca="false">IF(ISNUMBER($AW311*BB311),$AW311*BB311,"")</f>
        <v/>
      </c>
      <c r="CC311" s="1426" t="str">
        <f aca="false">IF(ISNUMBER($AX311*BC311),$AX311*BC311,"")</f>
        <v/>
      </c>
      <c r="CD311" s="1426" t="str">
        <f aca="false">IF(ISNUMBER($AW311*BD311),$AW311*BD311,"")</f>
        <v/>
      </c>
      <c r="CE311" s="1426" t="str">
        <f aca="false">IF(ISNUMBER($AX311*BE311),$AX311*BE311,"")</f>
        <v/>
      </c>
      <c r="CF311" s="1372" t="str">
        <f aca="false">IF(ISNUMBER($AW311*BF311),$AW311*BF311,"")</f>
        <v/>
      </c>
      <c r="CG311" s="1372" t="str">
        <f aca="false">IF(ISNUMBER($AX311*BG311),$AX311*BG311,"")</f>
        <v/>
      </c>
      <c r="CH311" s="1438"/>
      <c r="CI311" s="1438"/>
      <c r="CJ311" s="1438"/>
      <c r="CK311" s="1438"/>
      <c r="CU311" s="1411"/>
      <c r="CV311" s="1411"/>
      <c r="CW311" s="1425"/>
      <c r="CX311" s="1425"/>
      <c r="CY311" s="1425"/>
      <c r="CZ311" s="1425"/>
      <c r="DA311" s="1411"/>
      <c r="DB311" s="1411"/>
      <c r="DC311" s="1411"/>
      <c r="DD311" s="1411"/>
      <c r="DE311" s="1411"/>
      <c r="DF311" s="1411"/>
      <c r="DH311" s="1432"/>
      <c r="DI311" s="1432"/>
      <c r="DJ311" s="1437"/>
      <c r="DK311" s="1437"/>
      <c r="DL311" s="1437"/>
      <c r="DM311" s="1437"/>
      <c r="DN311" s="1432"/>
      <c r="DO311" s="1432"/>
      <c r="DP311" s="1432"/>
      <c r="DQ311" s="1432"/>
      <c r="DR311" s="1432"/>
      <c r="DS311" s="1432"/>
      <c r="DT311" s="1316"/>
      <c r="DU311" s="1433"/>
      <c r="DV311" s="1433"/>
      <c r="DW311" s="1433"/>
      <c r="DX311" s="1433"/>
      <c r="DY311" s="1433"/>
      <c r="DZ311" s="1433"/>
      <c r="EA311" s="1433"/>
      <c r="EB311" s="1433"/>
    </row>
    <row r="312" customFormat="false" ht="14.25" hidden="false" customHeight="false" outlineLevel="0" collapsed="false">
      <c r="A312" s="2" t="n">
        <f aca="false">'V_DATOS PAC_SGA'!CC307</f>
        <v>0</v>
      </c>
      <c r="B312" s="2" t="n">
        <f aca="false">IF(OR(A312=0,A312=""),0,IF(I312="IV",CONCATENATE('V_DATOS PAC_SGA'!CC307,"4")+0,CONCATENATE('V_DATOS PAC_SGA'!CC307,"0")+0))</f>
        <v>0</v>
      </c>
      <c r="C312" s="2" t="n">
        <f aca="false">'V_DATOS PAC_SGA'!CD307</f>
        <v>0</v>
      </c>
      <c r="D312" s="1409" t="n">
        <f aca="false">'V_DATOS PAC_SGA'!Y307</f>
        <v>0</v>
      </c>
      <c r="E312" s="1410" t="str">
        <f aca="false">IF('V_DATOS PAC_SGA'!AV307="","Regadio",'V_DATOS PAC_SGA'!AV307)</f>
        <v>Regadio</v>
      </c>
      <c r="F312" s="1411" t="n">
        <f aca="false">'V_DATOS PAC_SGA'!BK307</f>
        <v>0</v>
      </c>
      <c r="G312" s="1412" t="n">
        <f aca="false">'V_DATOS PAC_SGA'!AN307</f>
        <v>0</v>
      </c>
      <c r="H312" s="1413" t="str">
        <f aca="false">IF(B312&gt;0,VLOOKUP(B312,'O_MN, PE_UTA_UGM 2024'!E$3:O$419,10),"")</f>
        <v/>
      </c>
      <c r="I312" s="1359" t="str">
        <f aca="false">IF('V_DATOS PAC_SGA'!BV307="IV",'V_DATOS PAC_SGA'!BV307,"")</f>
        <v/>
      </c>
      <c r="J312" s="2" t="str">
        <f aca="false">IF($A312&gt;0,IF(AND(J$4=$G312,J$6=$F312),$D312*J$5,""),"")</f>
        <v/>
      </c>
      <c r="K312" s="2" t="str">
        <f aca="false">IF($A312&gt;0,IF(AND(K$4=$G312,K$6=$F312),$D312*K$5,""),"")</f>
        <v/>
      </c>
      <c r="L312" s="2" t="str">
        <f aca="false">IF($A312&gt;0,IF(AND(L$4=$G312,L$6=$F312),$D312*L$5,""),"")</f>
        <v/>
      </c>
      <c r="M312" s="2" t="str">
        <f aca="false">IF($A312&gt;0,IF(AND(M$4=$G312,M$6=$F312),$D312*M$5,""),"")</f>
        <v/>
      </c>
      <c r="N312" s="1506" t="n">
        <f aca="false">VLOOKUP(B312,'O_MN, PE_UTA_UGM 2024'!$E$2:$K$419,IF(G312&gt;1,6,7))</f>
        <v>0</v>
      </c>
      <c r="O312" s="1434" t="str">
        <f aca="false">IF($H312=O$4,$D312*$N312,"")</f>
        <v/>
      </c>
      <c r="P312" s="1435" t="str">
        <f aca="false">IF($H312=P$4,$D312*$N312,"")</f>
        <v/>
      </c>
      <c r="Q312" s="1435" t="str">
        <f aca="false">IF($H312=Q$4,$D312*$N312,"")</f>
        <v/>
      </c>
      <c r="R312" s="1435" t="str">
        <f aca="false">IF($H312=R$4,$D312*$N312,"")</f>
        <v/>
      </c>
      <c r="S312" s="1435" t="str">
        <f aca="false">IF($H312=S$4,$D312*$N312,"")</f>
        <v/>
      </c>
      <c r="T312" s="1435" t="str">
        <f aca="false">IF($H312=T$4,$D312*$N312,"")</f>
        <v/>
      </c>
      <c r="U312" s="1436" t="str">
        <f aca="false">IF($H312=U$4,$D312*$N312,"")</f>
        <v/>
      </c>
      <c r="V312" s="1472"/>
      <c r="W312" s="1471"/>
      <c r="X312" s="1471"/>
      <c r="Y312" s="1471"/>
      <c r="Z312" s="1471"/>
      <c r="AA312" s="1471"/>
      <c r="AB312" s="1473"/>
      <c r="AC312" s="1319"/>
      <c r="AD312" s="2" t="str">
        <f aca="false">IF(AND(AD$4=$G312,AD$6=$F312),$B312,"")</f>
        <v/>
      </c>
      <c r="AE312" s="2" t="str">
        <f aca="false">IF(AND(AE$4=$G312,AE$6=$F312),$B312,"")</f>
        <v/>
      </c>
      <c r="AF312" s="2" t="str">
        <f aca="false">IF(AND(AF$4=$G312,AF$6=$F312),$B312,"")</f>
        <v/>
      </c>
      <c r="AG312" s="2" t="str">
        <f aca="false">IF(AND(AG$4=$G312,AG$6=$F312),$B312,"")</f>
        <v/>
      </c>
      <c r="AI312" s="366"/>
      <c r="AL312" s="367"/>
      <c r="AO312" s="367"/>
      <c r="AP312" s="2" t="str">
        <f aca="false">IF(AT312&gt;0,RANK(AT312,AT$7:AT$423),"")</f>
        <v/>
      </c>
      <c r="AQ312" s="1475" t="n">
        <f aca="false">'O_MN, PE_UTA_UGM 2024'!C308</f>
        <v>329</v>
      </c>
      <c r="AR312" s="1421" t="n">
        <v>3080</v>
      </c>
      <c r="AS312" s="2" t="str">
        <f aca="false">IF(AY312&lt;&gt;"",AY312,"")</f>
        <v/>
      </c>
      <c r="AT312" s="1422" t="n">
        <f aca="false">IF(ISNUMBER($AR312),SUMIF(B$7:B$505,AR312,D$7:D$505),"")</f>
        <v>0</v>
      </c>
      <c r="AU312" s="1411" t="n">
        <f aca="false">IF(ISNUMBER($AR312),SUMIF(AD$7:AD$503,$AR312,J$7:J$503),"")</f>
        <v>0</v>
      </c>
      <c r="AV312" s="1411" t="n">
        <f aca="false">IF(ISNUMBER($AR312),SUMIF(AF$7:AF$503,$AR312,L$7:L$503),"")</f>
        <v>0</v>
      </c>
      <c r="AW312" s="1423" t="n">
        <f aca="false">IF(ISNUMBER($AR312),SUMIF(AE$7:AE$503,$AR312,K$7:K$503),"")</f>
        <v>0</v>
      </c>
      <c r="AX312" s="1423" t="n">
        <f aca="false">IF(ISNUMBER($AR312),SUMIF(AG$7:AG$503,$AR312,M$7:M$503),"")</f>
        <v>0</v>
      </c>
      <c r="AY312" s="2" t="str">
        <f aca="false">IF($AT312&gt;0,VLOOKUP($AR312,'O_MN, PE_UTA_UGM 2024'!E308:O724,2),"")</f>
        <v/>
      </c>
      <c r="AZ312" s="1507"/>
      <c r="BA312" s="1507"/>
      <c r="BB312" s="1507" t="str">
        <f aca="false">IF($AT312&gt;0,VLOOKUP($AR312,'O_MN, PE_UTA_UGM 2024'!$E$3:$O$419,BB$6),"")</f>
        <v/>
      </c>
      <c r="BC312" s="1507" t="str">
        <f aca="false">IF($AT312&gt;0,VLOOKUP($AR312,'O_MN, PE_UTA_UGM 2024'!$E$3:$O$419,BC$6),"")</f>
        <v/>
      </c>
      <c r="BD312" s="1507" t="str">
        <f aca="false">IF($AT312&gt;0,VLOOKUP($AR312,'O_MN, PE_UTA_UGM 2024'!$E$3:$O$419,BD$6),"")</f>
        <v/>
      </c>
      <c r="BE312" s="1507" t="str">
        <f aca="false">IF($AT312&gt;0,VLOOKUP($AR312,'O_MN, PE_UTA_UGM 2024'!$E$3:$O$419,BE$6),"")</f>
        <v/>
      </c>
      <c r="BF312" s="1507" t="str">
        <f aca="false">IF($AT312&gt;0,VLOOKUP($AR312,'O_MN, PE_UTA_UGM 2024'!$E$3:$O$419,BF$6),"")</f>
        <v/>
      </c>
      <c r="BG312" s="1507" t="str">
        <f aca="false">IF($AT312&gt;0,VLOOKUP($AR312,'O_MN, PE_UTA_UGM 2024'!$E$3:$O$419,BG$6),"")</f>
        <v/>
      </c>
      <c r="BH312" s="1504"/>
      <c r="BI312" s="1504"/>
      <c r="BJ312" s="1504"/>
      <c r="BK312" s="1504"/>
      <c r="BM312" s="1411"/>
      <c r="BN312" s="1411"/>
      <c r="BO312" s="1425" t="str">
        <f aca="false">IF(ISNUMBER($AU312*BB312*1),$AU312*BB312*1,"")</f>
        <v/>
      </c>
      <c r="BP312" s="1425" t="str">
        <f aca="false">IF(ISNUMBER($AV312*BC312*1),$AV312*BC312*1,"")</f>
        <v/>
      </c>
      <c r="BQ312" s="1425" t="str">
        <f aca="false">IF(ISNUMBER($AU312*BD312*1),$AU312*BD312*1,"")</f>
        <v/>
      </c>
      <c r="BR312" s="1425" t="str">
        <f aca="false">IF(ISNUMBER($AV312*BE312*1),$AV312*BE312*1,"")</f>
        <v/>
      </c>
      <c r="BS312" s="1411" t="str">
        <f aca="false">IF(ISNUMBER($AU312*BF312),$AU312*BF312,"")</f>
        <v/>
      </c>
      <c r="BT312" s="1411" t="str">
        <f aca="false">IF(ISNUMBER($AV312*BG312),$AV312*BG312,"")</f>
        <v/>
      </c>
      <c r="BU312" s="1411"/>
      <c r="BV312" s="1411"/>
      <c r="BW312" s="1411"/>
      <c r="BX312" s="1411"/>
      <c r="BZ312" s="1372"/>
      <c r="CA312" s="1372"/>
      <c r="CB312" s="1426" t="str">
        <f aca="false">IF(ISNUMBER($AW312*BB312),$AW312*BB312,"")</f>
        <v/>
      </c>
      <c r="CC312" s="1426" t="str">
        <f aca="false">IF(ISNUMBER($AX312*BC312),$AX312*BC312,"")</f>
        <v/>
      </c>
      <c r="CD312" s="1426" t="str">
        <f aca="false">IF(ISNUMBER($AW312*BD312),$AW312*BD312,"")</f>
        <v/>
      </c>
      <c r="CE312" s="1426" t="str">
        <f aca="false">IF(ISNUMBER($AX312*BE312),$AX312*BE312,"")</f>
        <v/>
      </c>
      <c r="CF312" s="1372" t="str">
        <f aca="false">IF(ISNUMBER($AW312*BF312),$AW312*BF312,"")</f>
        <v/>
      </c>
      <c r="CG312" s="1372" t="str">
        <f aca="false">IF(ISNUMBER($AX312*BG312),$AX312*BG312,"")</f>
        <v/>
      </c>
      <c r="CH312" s="1438"/>
      <c r="CI312" s="1438"/>
      <c r="CJ312" s="1438"/>
      <c r="CK312" s="1438"/>
      <c r="CU312" s="1411"/>
      <c r="CV312" s="1411"/>
      <c r="CW312" s="1425"/>
      <c r="CX312" s="1425"/>
      <c r="CY312" s="1425"/>
      <c r="CZ312" s="1425"/>
      <c r="DA312" s="1411"/>
      <c r="DB312" s="1411"/>
      <c r="DC312" s="1411"/>
      <c r="DD312" s="1411"/>
      <c r="DE312" s="1411"/>
      <c r="DF312" s="1411"/>
      <c r="DH312" s="1432"/>
      <c r="DI312" s="1432"/>
      <c r="DJ312" s="1437"/>
      <c r="DK312" s="1437"/>
      <c r="DL312" s="1437"/>
      <c r="DM312" s="1437"/>
      <c r="DN312" s="1432"/>
      <c r="DO312" s="1432"/>
      <c r="DP312" s="1432"/>
      <c r="DQ312" s="1432"/>
      <c r="DR312" s="1432"/>
      <c r="DS312" s="1432"/>
      <c r="DT312" s="1316"/>
      <c r="DU312" s="1433"/>
      <c r="DV312" s="1433"/>
      <c r="DW312" s="1433"/>
      <c r="DX312" s="1433"/>
      <c r="DY312" s="1433"/>
      <c r="DZ312" s="1433"/>
      <c r="EA312" s="1433"/>
      <c r="EB312" s="1433"/>
    </row>
    <row r="313" customFormat="false" ht="14.25" hidden="false" customHeight="false" outlineLevel="0" collapsed="false">
      <c r="A313" s="2" t="n">
        <f aca="false">'V_DATOS PAC_SGA'!CC308</f>
        <v>0</v>
      </c>
      <c r="B313" s="2" t="n">
        <f aca="false">IF(OR(A313=0,A313=""),0,IF(I313="IV",CONCATENATE('V_DATOS PAC_SGA'!CC308,"4")+0,CONCATENATE('V_DATOS PAC_SGA'!CC308,"0")+0))</f>
        <v>0</v>
      </c>
      <c r="C313" s="2" t="n">
        <f aca="false">'V_DATOS PAC_SGA'!CD308</f>
        <v>0</v>
      </c>
      <c r="D313" s="1409" t="n">
        <f aca="false">'V_DATOS PAC_SGA'!Y308</f>
        <v>0</v>
      </c>
      <c r="E313" s="1410" t="str">
        <f aca="false">IF('V_DATOS PAC_SGA'!AV308="","Regadio",'V_DATOS PAC_SGA'!AV308)</f>
        <v>Regadio</v>
      </c>
      <c r="F313" s="1411" t="n">
        <f aca="false">'V_DATOS PAC_SGA'!BK308</f>
        <v>0</v>
      </c>
      <c r="G313" s="1412" t="n">
        <f aca="false">'V_DATOS PAC_SGA'!AN308</f>
        <v>0</v>
      </c>
      <c r="H313" s="1413" t="str">
        <f aca="false">IF(B313&gt;0,VLOOKUP(B313,'O_MN, PE_UTA_UGM 2024'!E$3:O$419,10),"")</f>
        <v/>
      </c>
      <c r="I313" s="1359" t="str">
        <f aca="false">IF('V_DATOS PAC_SGA'!BV308="IV",'V_DATOS PAC_SGA'!BV308,"")</f>
        <v/>
      </c>
      <c r="J313" s="2" t="str">
        <f aca="false">IF($A313&gt;0,IF(AND(J$4=$G313,J$6=$F313),$D313*J$5,""),"")</f>
        <v/>
      </c>
      <c r="K313" s="2" t="str">
        <f aca="false">IF($A313&gt;0,IF(AND(K$4=$G313,K$6=$F313),$D313*K$5,""),"")</f>
        <v/>
      </c>
      <c r="L313" s="2" t="str">
        <f aca="false">IF($A313&gt;0,IF(AND(L$4=$G313,L$6=$F313),$D313*L$5,""),"")</f>
        <v/>
      </c>
      <c r="M313" s="2" t="str">
        <f aca="false">IF($A313&gt;0,IF(AND(M$4=$G313,M$6=$F313),$D313*M$5,""),"")</f>
        <v/>
      </c>
      <c r="N313" s="1506" t="n">
        <f aca="false">VLOOKUP(B313,'O_MN, PE_UTA_UGM 2024'!$E$2:$K$419,IF(G313&gt;1,6,7))</f>
        <v>0</v>
      </c>
      <c r="O313" s="1434" t="str">
        <f aca="false">IF($H313=O$4,$D313*$N313,"")</f>
        <v/>
      </c>
      <c r="P313" s="1435" t="str">
        <f aca="false">IF($H313=P$4,$D313*$N313,"")</f>
        <v/>
      </c>
      <c r="Q313" s="1435" t="str">
        <f aca="false">IF($H313=Q$4,$D313*$N313,"")</f>
        <v/>
      </c>
      <c r="R313" s="1435" t="str">
        <f aca="false">IF($H313=R$4,$D313*$N313,"")</f>
        <v/>
      </c>
      <c r="S313" s="1435" t="str">
        <f aca="false">IF($H313=S$4,$D313*$N313,"")</f>
        <v/>
      </c>
      <c r="T313" s="1435" t="str">
        <f aca="false">IF($H313=T$4,$D313*$N313,"")</f>
        <v/>
      </c>
      <c r="U313" s="1436" t="str">
        <f aca="false">IF($H313=U$4,$D313*$N313,"")</f>
        <v/>
      </c>
      <c r="V313" s="1472"/>
      <c r="W313" s="1471"/>
      <c r="X313" s="1471"/>
      <c r="Y313" s="1471"/>
      <c r="Z313" s="1471"/>
      <c r="AA313" s="1471"/>
      <c r="AB313" s="1473"/>
      <c r="AC313" s="1319"/>
      <c r="AD313" s="2" t="str">
        <f aca="false">IF(AND(AD$4=$G313,AD$6=$F313),$B313,"")</f>
        <v/>
      </c>
      <c r="AE313" s="2" t="str">
        <f aca="false">IF(AND(AE$4=$G313,AE$6=$F313),$B313,"")</f>
        <v/>
      </c>
      <c r="AF313" s="2" t="str">
        <f aca="false">IF(AND(AF$4=$G313,AF$6=$F313),$B313,"")</f>
        <v/>
      </c>
      <c r="AG313" s="2" t="str">
        <f aca="false">IF(AND(AG$4=$G313,AG$6=$F313),$B313,"")</f>
        <v/>
      </c>
      <c r="AI313" s="366"/>
      <c r="AL313" s="367"/>
      <c r="AO313" s="367"/>
      <c r="AP313" s="2" t="str">
        <f aca="false">IF(AT313&gt;0,RANK(AT313,AT$7:AT$423),"")</f>
        <v/>
      </c>
      <c r="AQ313" s="1475" t="n">
        <f aca="false">'O_MN, PE_UTA_UGM 2024'!C309</f>
        <v>331</v>
      </c>
      <c r="AR313" s="1421" t="n">
        <v>3090</v>
      </c>
      <c r="AS313" s="2" t="str">
        <f aca="false">IF(AY313&lt;&gt;"",AY313,"")</f>
        <v/>
      </c>
      <c r="AT313" s="1422" t="n">
        <f aca="false">IF(ISNUMBER($AR313),SUMIF(B$7:B$505,AR313,D$7:D$505),"")</f>
        <v>0</v>
      </c>
      <c r="AU313" s="1411" t="n">
        <f aca="false">IF(ISNUMBER($AR313),SUMIF(AD$7:AD$503,$AR313,J$7:J$503),"")</f>
        <v>0</v>
      </c>
      <c r="AV313" s="1411" t="n">
        <f aca="false">IF(ISNUMBER($AR313),SUMIF(AF$7:AF$503,$AR313,L$7:L$503),"")</f>
        <v>0</v>
      </c>
      <c r="AW313" s="1423" t="n">
        <f aca="false">IF(ISNUMBER($AR313),SUMIF(AE$7:AE$503,$AR313,K$7:K$503),"")</f>
        <v>0</v>
      </c>
      <c r="AX313" s="1423" t="n">
        <f aca="false">IF(ISNUMBER($AR313),SUMIF(AG$7:AG$503,$AR313,M$7:M$503),"")</f>
        <v>0</v>
      </c>
      <c r="AY313" s="2" t="str">
        <f aca="false">IF($AT313&gt;0,VLOOKUP($AR313,'O_MN, PE_UTA_UGM 2024'!E309:O725,2),"")</f>
        <v/>
      </c>
      <c r="AZ313" s="1507"/>
      <c r="BA313" s="1507"/>
      <c r="BB313" s="1507" t="str">
        <f aca="false">IF($AT313&gt;0,VLOOKUP($AR313,'O_MN, PE_UTA_UGM 2024'!$E$3:$O$419,BB$6),"")</f>
        <v/>
      </c>
      <c r="BC313" s="1507" t="str">
        <f aca="false">IF($AT313&gt;0,VLOOKUP($AR313,'O_MN, PE_UTA_UGM 2024'!$E$3:$O$419,BC$6),"")</f>
        <v/>
      </c>
      <c r="BD313" s="1507" t="str">
        <f aca="false">IF($AT313&gt;0,VLOOKUP($AR313,'O_MN, PE_UTA_UGM 2024'!$E$3:$O$419,BD$6),"")</f>
        <v/>
      </c>
      <c r="BE313" s="1507" t="str">
        <f aca="false">IF($AT313&gt;0,VLOOKUP($AR313,'O_MN, PE_UTA_UGM 2024'!$E$3:$O$419,BE$6),"")</f>
        <v/>
      </c>
      <c r="BF313" s="1507" t="str">
        <f aca="false">IF($AT313&gt;0,VLOOKUP($AR313,'O_MN, PE_UTA_UGM 2024'!$E$3:$O$419,BF$6),"")</f>
        <v/>
      </c>
      <c r="BG313" s="1507" t="str">
        <f aca="false">IF($AT313&gt;0,VLOOKUP($AR313,'O_MN, PE_UTA_UGM 2024'!$E$3:$O$419,BG$6),"")</f>
        <v/>
      </c>
      <c r="BH313" s="1504"/>
      <c r="BI313" s="1504"/>
      <c r="BJ313" s="1504"/>
      <c r="BK313" s="1504"/>
      <c r="BM313" s="1411"/>
      <c r="BN313" s="1411"/>
      <c r="BO313" s="1425" t="str">
        <f aca="false">IF(ISNUMBER($AU313*BB313*1),$AU313*BB313*1,"")</f>
        <v/>
      </c>
      <c r="BP313" s="1425" t="str">
        <f aca="false">IF(ISNUMBER($AV313*BC313*1),$AV313*BC313*1,"")</f>
        <v/>
      </c>
      <c r="BQ313" s="1425" t="str">
        <f aca="false">IF(ISNUMBER($AU313*BD313*1),$AU313*BD313*1,"")</f>
        <v/>
      </c>
      <c r="BR313" s="1425" t="str">
        <f aca="false">IF(ISNUMBER($AV313*BE313*1),$AV313*BE313*1,"")</f>
        <v/>
      </c>
      <c r="BS313" s="1411" t="str">
        <f aca="false">IF(ISNUMBER($AU313*BF313),$AU313*BF313,"")</f>
        <v/>
      </c>
      <c r="BT313" s="1411" t="str">
        <f aca="false">IF(ISNUMBER($AV313*BG313),$AV313*BG313,"")</f>
        <v/>
      </c>
      <c r="BU313" s="1411"/>
      <c r="BV313" s="1411"/>
      <c r="BW313" s="1411"/>
      <c r="BX313" s="1411"/>
      <c r="BZ313" s="1372"/>
      <c r="CA313" s="1372"/>
      <c r="CB313" s="1426" t="str">
        <f aca="false">IF(ISNUMBER($AW313*BB313),$AW313*BB313,"")</f>
        <v/>
      </c>
      <c r="CC313" s="1426" t="str">
        <f aca="false">IF(ISNUMBER($AX313*BC313),$AX313*BC313,"")</f>
        <v/>
      </c>
      <c r="CD313" s="1426" t="str">
        <f aca="false">IF(ISNUMBER($AW313*BD313),$AW313*BD313,"")</f>
        <v/>
      </c>
      <c r="CE313" s="1426" t="str">
        <f aca="false">IF(ISNUMBER($AX313*BE313),$AX313*BE313,"")</f>
        <v/>
      </c>
      <c r="CF313" s="1372" t="str">
        <f aca="false">IF(ISNUMBER($AW313*BF313),$AW313*BF313,"")</f>
        <v/>
      </c>
      <c r="CG313" s="1372" t="str">
        <f aca="false">IF(ISNUMBER($AX313*BG313),$AX313*BG313,"")</f>
        <v/>
      </c>
      <c r="CH313" s="1438"/>
      <c r="CI313" s="1438"/>
      <c r="CJ313" s="1438"/>
      <c r="CK313" s="1438"/>
      <c r="CU313" s="1411"/>
      <c r="CV313" s="1411"/>
      <c r="CW313" s="1425"/>
      <c r="CX313" s="1425"/>
      <c r="CY313" s="1425"/>
      <c r="CZ313" s="1425"/>
      <c r="DA313" s="1411"/>
      <c r="DB313" s="1411"/>
      <c r="DC313" s="1411"/>
      <c r="DD313" s="1411"/>
      <c r="DE313" s="1411"/>
      <c r="DF313" s="1411"/>
      <c r="DH313" s="1432"/>
      <c r="DI313" s="1432"/>
      <c r="DJ313" s="1437"/>
      <c r="DK313" s="1437"/>
      <c r="DL313" s="1437"/>
      <c r="DM313" s="1437"/>
      <c r="DN313" s="1432"/>
      <c r="DO313" s="1432"/>
      <c r="DP313" s="1432"/>
      <c r="DQ313" s="1432"/>
      <c r="DR313" s="1432"/>
      <c r="DS313" s="1432"/>
      <c r="DT313" s="1316"/>
      <c r="DU313" s="1433"/>
      <c r="DV313" s="1433"/>
      <c r="DW313" s="1433"/>
      <c r="DX313" s="1433"/>
      <c r="DY313" s="1433"/>
      <c r="DZ313" s="1433"/>
      <c r="EA313" s="1433"/>
      <c r="EB313" s="1433"/>
    </row>
    <row r="314" customFormat="false" ht="14.25" hidden="false" customHeight="false" outlineLevel="0" collapsed="false">
      <c r="A314" s="2" t="n">
        <f aca="false">'V_DATOS PAC_SGA'!CC309</f>
        <v>0</v>
      </c>
      <c r="B314" s="2" t="n">
        <f aca="false">IF(OR(A314=0,A314=""),0,IF(I314="IV",CONCATENATE('V_DATOS PAC_SGA'!CC309,"4")+0,CONCATENATE('V_DATOS PAC_SGA'!CC309,"0")+0))</f>
        <v>0</v>
      </c>
      <c r="C314" s="2" t="n">
        <f aca="false">'V_DATOS PAC_SGA'!CD309</f>
        <v>0</v>
      </c>
      <c r="D314" s="1409" t="n">
        <f aca="false">'V_DATOS PAC_SGA'!Y309</f>
        <v>0</v>
      </c>
      <c r="E314" s="1410" t="str">
        <f aca="false">IF('V_DATOS PAC_SGA'!AV309="","Regadio",'V_DATOS PAC_SGA'!AV309)</f>
        <v>Regadio</v>
      </c>
      <c r="F314" s="1411" t="n">
        <f aca="false">'V_DATOS PAC_SGA'!BK309</f>
        <v>0</v>
      </c>
      <c r="G314" s="1412" t="n">
        <f aca="false">'V_DATOS PAC_SGA'!AN309</f>
        <v>0</v>
      </c>
      <c r="H314" s="1413" t="str">
        <f aca="false">IF(B314&gt;0,VLOOKUP(B314,'O_MN, PE_UTA_UGM 2024'!E$3:O$419,10),"")</f>
        <v/>
      </c>
      <c r="I314" s="1359" t="str">
        <f aca="false">IF('V_DATOS PAC_SGA'!BV309="IV",'V_DATOS PAC_SGA'!BV309,"")</f>
        <v/>
      </c>
      <c r="J314" s="2" t="str">
        <f aca="false">IF($A314&gt;0,IF(AND(J$4=$G314,J$6=$F314),$D314*J$5,""),"")</f>
        <v/>
      </c>
      <c r="K314" s="2" t="str">
        <f aca="false">IF($A314&gt;0,IF(AND(K$4=$G314,K$6=$F314),$D314*K$5,""),"")</f>
        <v/>
      </c>
      <c r="L314" s="2" t="str">
        <f aca="false">IF($A314&gt;0,IF(AND(L$4=$G314,L$6=$F314),$D314*L$5,""),"")</f>
        <v/>
      </c>
      <c r="M314" s="2" t="str">
        <f aca="false">IF($A314&gt;0,IF(AND(M$4=$G314,M$6=$F314),$D314*M$5,""),"")</f>
        <v/>
      </c>
      <c r="N314" s="1506" t="n">
        <f aca="false">VLOOKUP(B314,'O_MN, PE_UTA_UGM 2024'!$E$2:$K$419,IF(G314&gt;1,6,7))</f>
        <v>0</v>
      </c>
      <c r="O314" s="1434" t="str">
        <f aca="false">IF($H314=O$4,$D314*$N314,"")</f>
        <v/>
      </c>
      <c r="P314" s="1435" t="str">
        <f aca="false">IF($H314=P$4,$D314*$N314,"")</f>
        <v/>
      </c>
      <c r="Q314" s="1435" t="str">
        <f aca="false">IF($H314=Q$4,$D314*$N314,"")</f>
        <v/>
      </c>
      <c r="R314" s="1435" t="str">
        <f aca="false">IF($H314=R$4,$D314*$N314,"")</f>
        <v/>
      </c>
      <c r="S314" s="1435" t="str">
        <f aca="false">IF($H314=S$4,$D314*$N314,"")</f>
        <v/>
      </c>
      <c r="T314" s="1435" t="str">
        <f aca="false">IF($H314=T$4,$D314*$N314,"")</f>
        <v/>
      </c>
      <c r="U314" s="1436" t="str">
        <f aca="false">IF($H314=U$4,$D314*$N314,"")</f>
        <v/>
      </c>
      <c r="V314" s="1472"/>
      <c r="W314" s="1471"/>
      <c r="X314" s="1471"/>
      <c r="Y314" s="1471"/>
      <c r="Z314" s="1471"/>
      <c r="AA314" s="1471"/>
      <c r="AB314" s="1473"/>
      <c r="AC314" s="1319"/>
      <c r="AD314" s="2" t="str">
        <f aca="false">IF(AND(AD$4=$G314,AD$6=$F314),$B314,"")</f>
        <v/>
      </c>
      <c r="AE314" s="2" t="str">
        <f aca="false">IF(AND(AE$4=$G314,AE$6=$F314),$B314,"")</f>
        <v/>
      </c>
      <c r="AF314" s="2" t="str">
        <f aca="false">IF(AND(AF$4=$G314,AF$6=$F314),$B314,"")</f>
        <v/>
      </c>
      <c r="AG314" s="2" t="str">
        <f aca="false">IF(AND(AG$4=$G314,AG$6=$F314),$B314,"")</f>
        <v/>
      </c>
      <c r="AI314" s="366"/>
      <c r="AL314" s="367"/>
      <c r="AO314" s="367"/>
      <c r="AP314" s="2" t="str">
        <f aca="false">IF(AT314&gt;0,RANK(AT314,AT$7:AT$423),"")</f>
        <v/>
      </c>
      <c r="AQ314" s="1475" t="n">
        <f aca="false">'O_MN, PE_UTA_UGM 2024'!C310</f>
        <v>332</v>
      </c>
      <c r="AR314" s="1421" t="n">
        <v>3100</v>
      </c>
      <c r="AS314" s="2" t="str">
        <f aca="false">IF(AY314&lt;&gt;"",AY314,"")</f>
        <v/>
      </c>
      <c r="AT314" s="1422" t="n">
        <f aca="false">IF(ISNUMBER($AR314),SUMIF(B$7:B$505,AR314,D$7:D$505),"")</f>
        <v>0</v>
      </c>
      <c r="AU314" s="1411" t="n">
        <f aca="false">IF(ISNUMBER($AR314),SUMIF(AD$7:AD$503,$AR314,J$7:J$503),"")</f>
        <v>0</v>
      </c>
      <c r="AV314" s="1411" t="n">
        <f aca="false">IF(ISNUMBER($AR314),SUMIF(AF$7:AF$503,$AR314,L$7:L$503),"")</f>
        <v>0</v>
      </c>
      <c r="AW314" s="1423" t="n">
        <f aca="false">IF(ISNUMBER($AR314),SUMIF(AE$7:AE$503,$AR314,K$7:K$503),"")</f>
        <v>0</v>
      </c>
      <c r="AX314" s="1423" t="n">
        <f aca="false">IF(ISNUMBER($AR314),SUMIF(AG$7:AG$503,$AR314,M$7:M$503),"")</f>
        <v>0</v>
      </c>
      <c r="AY314" s="2" t="str">
        <f aca="false">IF($AT314&gt;0,VLOOKUP($AR314,'O_MN, PE_UTA_UGM 2024'!E310:O726,2),"")</f>
        <v/>
      </c>
      <c r="AZ314" s="1507"/>
      <c r="BA314" s="1507"/>
      <c r="BB314" s="1507" t="str">
        <f aca="false">IF($AT314&gt;0,VLOOKUP($AR314,'O_MN, PE_UTA_UGM 2024'!$E$3:$O$419,BB$6),"")</f>
        <v/>
      </c>
      <c r="BC314" s="1507" t="str">
        <f aca="false">IF($AT314&gt;0,VLOOKUP($AR314,'O_MN, PE_UTA_UGM 2024'!$E$3:$O$419,BC$6),"")</f>
        <v/>
      </c>
      <c r="BD314" s="1507" t="str">
        <f aca="false">IF($AT314&gt;0,VLOOKUP($AR314,'O_MN, PE_UTA_UGM 2024'!$E$3:$O$419,BD$6),"")</f>
        <v/>
      </c>
      <c r="BE314" s="1507" t="str">
        <f aca="false">IF($AT314&gt;0,VLOOKUP($AR314,'O_MN, PE_UTA_UGM 2024'!$E$3:$O$419,BE$6),"")</f>
        <v/>
      </c>
      <c r="BF314" s="1507" t="str">
        <f aca="false">IF($AT314&gt;0,VLOOKUP($AR314,'O_MN, PE_UTA_UGM 2024'!$E$3:$O$419,BF$6),"")</f>
        <v/>
      </c>
      <c r="BG314" s="1507" t="str">
        <f aca="false">IF($AT314&gt;0,VLOOKUP($AR314,'O_MN, PE_UTA_UGM 2024'!$E$3:$O$419,BG$6),"")</f>
        <v/>
      </c>
      <c r="BH314" s="1504"/>
      <c r="BI314" s="1504"/>
      <c r="BJ314" s="1504"/>
      <c r="BK314" s="1504"/>
      <c r="BM314" s="1411"/>
      <c r="BN314" s="1411"/>
      <c r="BO314" s="1425" t="str">
        <f aca="false">IF(ISNUMBER($AU314*BB314*1),$AU314*BB314*1,"")</f>
        <v/>
      </c>
      <c r="BP314" s="1425" t="str">
        <f aca="false">IF(ISNUMBER($AV314*BC314*1),$AV314*BC314*1,"")</f>
        <v/>
      </c>
      <c r="BQ314" s="1425" t="str">
        <f aca="false">IF(ISNUMBER($AU314*BD314*1),$AU314*BD314*1,"")</f>
        <v/>
      </c>
      <c r="BR314" s="1425" t="str">
        <f aca="false">IF(ISNUMBER($AV314*BE314*1),$AV314*BE314*1,"")</f>
        <v/>
      </c>
      <c r="BS314" s="1411" t="str">
        <f aca="false">IF(ISNUMBER($AU314*BF314),$AU314*BF314,"")</f>
        <v/>
      </c>
      <c r="BT314" s="1411" t="str">
        <f aca="false">IF(ISNUMBER($AV314*BG314),$AV314*BG314,"")</f>
        <v/>
      </c>
      <c r="BU314" s="1411"/>
      <c r="BV314" s="1411"/>
      <c r="BW314" s="1411"/>
      <c r="BX314" s="1411"/>
      <c r="BZ314" s="1372"/>
      <c r="CA314" s="1372"/>
      <c r="CB314" s="1426" t="str">
        <f aca="false">IF(ISNUMBER($AW314*BB314),$AW314*BB314,"")</f>
        <v/>
      </c>
      <c r="CC314" s="1426" t="str">
        <f aca="false">IF(ISNUMBER($AX314*BC314),$AX314*BC314,"")</f>
        <v/>
      </c>
      <c r="CD314" s="1426" t="str">
        <f aca="false">IF(ISNUMBER($AW314*BD314),$AW314*BD314,"")</f>
        <v/>
      </c>
      <c r="CE314" s="1426" t="str">
        <f aca="false">IF(ISNUMBER($AX314*BE314),$AX314*BE314,"")</f>
        <v/>
      </c>
      <c r="CF314" s="1372" t="str">
        <f aca="false">IF(ISNUMBER($AW314*BF314),$AW314*BF314,"")</f>
        <v/>
      </c>
      <c r="CG314" s="1372" t="str">
        <f aca="false">IF(ISNUMBER($AX314*BG314),$AX314*BG314,"")</f>
        <v/>
      </c>
      <c r="CH314" s="1438"/>
      <c r="CI314" s="1438"/>
      <c r="CJ314" s="1438"/>
      <c r="CK314" s="1438"/>
      <c r="CU314" s="1411"/>
      <c r="CV314" s="1411"/>
      <c r="CW314" s="1425"/>
      <c r="CX314" s="1425"/>
      <c r="CY314" s="1425"/>
      <c r="CZ314" s="1425"/>
      <c r="DA314" s="1411"/>
      <c r="DB314" s="1411"/>
      <c r="DC314" s="1411"/>
      <c r="DD314" s="1411"/>
      <c r="DE314" s="1411"/>
      <c r="DF314" s="1411"/>
      <c r="DH314" s="1432"/>
      <c r="DI314" s="1432"/>
      <c r="DJ314" s="1437"/>
      <c r="DK314" s="1437"/>
      <c r="DL314" s="1437"/>
      <c r="DM314" s="1437"/>
      <c r="DN314" s="1432"/>
      <c r="DO314" s="1432"/>
      <c r="DP314" s="1432"/>
      <c r="DQ314" s="1432"/>
      <c r="DR314" s="1432"/>
      <c r="DS314" s="1432"/>
      <c r="DT314" s="1316"/>
      <c r="DU314" s="1433"/>
      <c r="DV314" s="1433"/>
      <c r="DW314" s="1433"/>
      <c r="DX314" s="1433"/>
      <c r="DY314" s="1433"/>
      <c r="DZ314" s="1433"/>
      <c r="EA314" s="1433"/>
      <c r="EB314" s="1433"/>
    </row>
    <row r="315" customFormat="false" ht="14.25" hidden="false" customHeight="false" outlineLevel="0" collapsed="false">
      <c r="A315" s="2" t="n">
        <f aca="false">'V_DATOS PAC_SGA'!CC310</f>
        <v>0</v>
      </c>
      <c r="B315" s="2" t="n">
        <f aca="false">IF(OR(A315=0,A315=""),0,IF(I315="IV",CONCATENATE('V_DATOS PAC_SGA'!CC310,"4")+0,CONCATENATE('V_DATOS PAC_SGA'!CC310,"0")+0))</f>
        <v>0</v>
      </c>
      <c r="C315" s="2" t="n">
        <f aca="false">'V_DATOS PAC_SGA'!CD310</f>
        <v>0</v>
      </c>
      <c r="D315" s="1409" t="n">
        <f aca="false">'V_DATOS PAC_SGA'!Y310</f>
        <v>0</v>
      </c>
      <c r="E315" s="1410" t="str">
        <f aca="false">IF('V_DATOS PAC_SGA'!AV310="","Regadio",'V_DATOS PAC_SGA'!AV310)</f>
        <v>Regadio</v>
      </c>
      <c r="F315" s="1411" t="n">
        <f aca="false">'V_DATOS PAC_SGA'!BK310</f>
        <v>0</v>
      </c>
      <c r="G315" s="1412" t="n">
        <f aca="false">'V_DATOS PAC_SGA'!AN310</f>
        <v>0</v>
      </c>
      <c r="H315" s="1413" t="str">
        <f aca="false">IF(B315&gt;0,VLOOKUP(B315,'O_MN, PE_UTA_UGM 2024'!E$3:O$419,10),"")</f>
        <v/>
      </c>
      <c r="I315" s="1359" t="str">
        <f aca="false">IF('V_DATOS PAC_SGA'!BV310="IV",'V_DATOS PAC_SGA'!BV310,"")</f>
        <v/>
      </c>
      <c r="J315" s="2" t="str">
        <f aca="false">IF($A315&gt;0,IF(AND(J$4=$G315,J$6=$F315),$D315*J$5,""),"")</f>
        <v/>
      </c>
      <c r="K315" s="2" t="str">
        <f aca="false">IF($A315&gt;0,IF(AND(K$4=$G315,K$6=$F315),$D315*K$5,""),"")</f>
        <v/>
      </c>
      <c r="L315" s="2" t="str">
        <f aca="false">IF($A315&gt;0,IF(AND(L$4=$G315,L$6=$F315),$D315*L$5,""),"")</f>
        <v/>
      </c>
      <c r="M315" s="2" t="str">
        <f aca="false">IF($A315&gt;0,IF(AND(M$4=$G315,M$6=$F315),$D315*M$5,""),"")</f>
        <v/>
      </c>
      <c r="N315" s="1506" t="n">
        <f aca="false">VLOOKUP(B315,'O_MN, PE_UTA_UGM 2024'!$E$2:$K$419,IF(G315&gt;1,6,7))</f>
        <v>0</v>
      </c>
      <c r="O315" s="1434" t="str">
        <f aca="false">IF($H315=O$4,$D315*$N315,"")</f>
        <v/>
      </c>
      <c r="P315" s="1435" t="str">
        <f aca="false">IF($H315=P$4,$D315*$N315,"")</f>
        <v/>
      </c>
      <c r="Q315" s="1435" t="str">
        <f aca="false">IF($H315=Q$4,$D315*$N315,"")</f>
        <v/>
      </c>
      <c r="R315" s="1435" t="str">
        <f aca="false">IF($H315=R$4,$D315*$N315,"")</f>
        <v/>
      </c>
      <c r="S315" s="1435" t="str">
        <f aca="false">IF($H315=S$4,$D315*$N315,"")</f>
        <v/>
      </c>
      <c r="T315" s="1435" t="str">
        <f aca="false">IF($H315=T$4,$D315*$N315,"")</f>
        <v/>
      </c>
      <c r="U315" s="1436" t="str">
        <f aca="false">IF($H315=U$4,$D315*$N315,"")</f>
        <v/>
      </c>
      <c r="V315" s="1472"/>
      <c r="W315" s="1471"/>
      <c r="X315" s="1471"/>
      <c r="Y315" s="1471"/>
      <c r="Z315" s="1471"/>
      <c r="AA315" s="1471"/>
      <c r="AB315" s="1473"/>
      <c r="AC315" s="1319"/>
      <c r="AD315" s="2" t="str">
        <f aca="false">IF(AND(AD$4=$G315,AD$6=$F315),$B315,"")</f>
        <v/>
      </c>
      <c r="AE315" s="2" t="str">
        <f aca="false">IF(AND(AE$4=$G315,AE$6=$F315),$B315,"")</f>
        <v/>
      </c>
      <c r="AF315" s="2" t="str">
        <f aca="false">IF(AND(AF$4=$G315,AF$6=$F315),$B315,"")</f>
        <v/>
      </c>
      <c r="AG315" s="2" t="str">
        <f aca="false">IF(AND(AG$4=$G315,AG$6=$F315),$B315,"")</f>
        <v/>
      </c>
      <c r="AI315" s="366"/>
      <c r="AL315" s="367"/>
      <c r="AO315" s="367"/>
      <c r="AP315" s="2" t="str">
        <f aca="false">IF(AT315&gt;0,RANK(AT315,AT$7:AT$423),"")</f>
        <v/>
      </c>
      <c r="AQ315" s="1475" t="n">
        <f aca="false">'O_MN, PE_UTA_UGM 2024'!C311</f>
        <v>336</v>
      </c>
      <c r="AR315" s="1421" t="n">
        <v>3110</v>
      </c>
      <c r="AS315" s="2" t="str">
        <f aca="false">IF(AY315&lt;&gt;"",AY315,"")</f>
        <v/>
      </c>
      <c r="AT315" s="1422" t="n">
        <f aca="false">IF(ISNUMBER($AR315),SUMIF(B$7:B$505,AR315,D$7:D$505),"")</f>
        <v>0</v>
      </c>
      <c r="AU315" s="1411" t="n">
        <f aca="false">IF(ISNUMBER($AR315),SUMIF(AD$7:AD$503,$AR315,J$7:J$503),"")</f>
        <v>0</v>
      </c>
      <c r="AV315" s="1411" t="n">
        <f aca="false">IF(ISNUMBER($AR315),SUMIF(AF$7:AF$503,$AR315,L$7:L$503),"")</f>
        <v>0</v>
      </c>
      <c r="AW315" s="1423" t="n">
        <f aca="false">IF(ISNUMBER($AR315),SUMIF(AE$7:AE$503,$AR315,K$7:K$503),"")</f>
        <v>0</v>
      </c>
      <c r="AX315" s="1423" t="n">
        <f aca="false">IF(ISNUMBER($AR315),SUMIF(AG$7:AG$503,$AR315,M$7:M$503),"")</f>
        <v>0</v>
      </c>
      <c r="AY315" s="2" t="str">
        <f aca="false">IF($AT315&gt;0,VLOOKUP($AR315,'O_MN, PE_UTA_UGM 2024'!E311:O727,2),"")</f>
        <v/>
      </c>
      <c r="AZ315" s="1507"/>
      <c r="BA315" s="1507"/>
      <c r="BB315" s="1507" t="str">
        <f aca="false">IF($AT315&gt;0,VLOOKUP($AR315,'O_MN, PE_UTA_UGM 2024'!$E$3:$O$419,BB$6),"")</f>
        <v/>
      </c>
      <c r="BC315" s="1507" t="str">
        <f aca="false">IF($AT315&gt;0,VLOOKUP($AR315,'O_MN, PE_UTA_UGM 2024'!$E$3:$O$419,BC$6),"")</f>
        <v/>
      </c>
      <c r="BD315" s="1507" t="str">
        <f aca="false">IF($AT315&gt;0,VLOOKUP($AR315,'O_MN, PE_UTA_UGM 2024'!$E$3:$O$419,BD$6),"")</f>
        <v/>
      </c>
      <c r="BE315" s="1507" t="str">
        <f aca="false">IF($AT315&gt;0,VLOOKUP($AR315,'O_MN, PE_UTA_UGM 2024'!$E$3:$O$419,BE$6),"")</f>
        <v/>
      </c>
      <c r="BF315" s="1507" t="str">
        <f aca="false">IF($AT315&gt;0,VLOOKUP($AR315,'O_MN, PE_UTA_UGM 2024'!$E$3:$O$419,BF$6),"")</f>
        <v/>
      </c>
      <c r="BG315" s="1507" t="str">
        <f aca="false">IF($AT315&gt;0,VLOOKUP($AR315,'O_MN, PE_UTA_UGM 2024'!$E$3:$O$419,BG$6),"")</f>
        <v/>
      </c>
      <c r="BH315" s="1504"/>
      <c r="BI315" s="1504"/>
      <c r="BJ315" s="1504"/>
      <c r="BK315" s="1504"/>
      <c r="BM315" s="1411"/>
      <c r="BN315" s="1411"/>
      <c r="BO315" s="1425" t="str">
        <f aca="false">IF(ISNUMBER($AU315*BB315*1),$AU315*BB315*1,"")</f>
        <v/>
      </c>
      <c r="BP315" s="1425" t="str">
        <f aca="false">IF(ISNUMBER($AV315*BC315*1),$AV315*BC315*1,"")</f>
        <v/>
      </c>
      <c r="BQ315" s="1425" t="str">
        <f aca="false">IF(ISNUMBER($AU315*BD315*1),$AU315*BD315*1,"")</f>
        <v/>
      </c>
      <c r="BR315" s="1425" t="str">
        <f aca="false">IF(ISNUMBER($AV315*BE315*1),$AV315*BE315*1,"")</f>
        <v/>
      </c>
      <c r="BS315" s="1411" t="str">
        <f aca="false">IF(ISNUMBER($AU315*BF315),$AU315*BF315,"")</f>
        <v/>
      </c>
      <c r="BT315" s="1411" t="str">
        <f aca="false">IF(ISNUMBER($AV315*BG315),$AV315*BG315,"")</f>
        <v/>
      </c>
      <c r="BU315" s="1411"/>
      <c r="BV315" s="1411"/>
      <c r="BW315" s="1411"/>
      <c r="BX315" s="1411"/>
      <c r="BZ315" s="1372"/>
      <c r="CA315" s="1372"/>
      <c r="CB315" s="1426" t="str">
        <f aca="false">IF(ISNUMBER($AW315*BB315),$AW315*BB315,"")</f>
        <v/>
      </c>
      <c r="CC315" s="1426" t="str">
        <f aca="false">IF(ISNUMBER($AX315*BC315),$AX315*BC315,"")</f>
        <v/>
      </c>
      <c r="CD315" s="1426" t="str">
        <f aca="false">IF(ISNUMBER($AW315*BD315),$AW315*BD315,"")</f>
        <v/>
      </c>
      <c r="CE315" s="1426" t="str">
        <f aca="false">IF(ISNUMBER($AX315*BE315),$AX315*BE315,"")</f>
        <v/>
      </c>
      <c r="CF315" s="1372" t="str">
        <f aca="false">IF(ISNUMBER($AW315*BF315),$AW315*BF315,"")</f>
        <v/>
      </c>
      <c r="CG315" s="1372" t="str">
        <f aca="false">IF(ISNUMBER($AX315*BG315),$AX315*BG315,"")</f>
        <v/>
      </c>
      <c r="CH315" s="1438"/>
      <c r="CI315" s="1438"/>
      <c r="CJ315" s="1438"/>
      <c r="CK315" s="1438"/>
      <c r="CU315" s="1411"/>
      <c r="CV315" s="1411"/>
      <c r="CW315" s="1425"/>
      <c r="CX315" s="1425"/>
      <c r="CY315" s="1425"/>
      <c r="CZ315" s="1425"/>
      <c r="DA315" s="1411"/>
      <c r="DB315" s="1411"/>
      <c r="DC315" s="1411"/>
      <c r="DD315" s="1411"/>
      <c r="DE315" s="1411"/>
      <c r="DF315" s="1411"/>
      <c r="DH315" s="1432"/>
      <c r="DI315" s="1432"/>
      <c r="DJ315" s="1437"/>
      <c r="DK315" s="1437"/>
      <c r="DL315" s="1437"/>
      <c r="DM315" s="1437"/>
      <c r="DN315" s="1432"/>
      <c r="DO315" s="1432"/>
      <c r="DP315" s="1432"/>
      <c r="DQ315" s="1432"/>
      <c r="DR315" s="1432"/>
      <c r="DS315" s="1432"/>
      <c r="DT315" s="1316"/>
      <c r="DU315" s="1433"/>
      <c r="DV315" s="1433"/>
      <c r="DW315" s="1433"/>
      <c r="DX315" s="1433"/>
      <c r="DY315" s="1433"/>
      <c r="DZ315" s="1433"/>
      <c r="EA315" s="1433"/>
      <c r="EB315" s="1433"/>
    </row>
    <row r="316" customFormat="false" ht="14.25" hidden="false" customHeight="false" outlineLevel="0" collapsed="false">
      <c r="A316" s="2" t="n">
        <f aca="false">'V_DATOS PAC_SGA'!CC311</f>
        <v>0</v>
      </c>
      <c r="B316" s="2" t="n">
        <f aca="false">IF(OR(A316=0,A316=""),0,IF(I316="IV",CONCATENATE('V_DATOS PAC_SGA'!CC311,"4")+0,CONCATENATE('V_DATOS PAC_SGA'!CC311,"0")+0))</f>
        <v>0</v>
      </c>
      <c r="C316" s="2" t="n">
        <f aca="false">'V_DATOS PAC_SGA'!CD311</f>
        <v>0</v>
      </c>
      <c r="D316" s="1409" t="n">
        <f aca="false">'V_DATOS PAC_SGA'!Y311</f>
        <v>0</v>
      </c>
      <c r="E316" s="1410" t="str">
        <f aca="false">IF('V_DATOS PAC_SGA'!AV311="","Regadio",'V_DATOS PAC_SGA'!AV311)</f>
        <v>Regadio</v>
      </c>
      <c r="F316" s="1411" t="n">
        <f aca="false">'V_DATOS PAC_SGA'!BK311</f>
        <v>0</v>
      </c>
      <c r="G316" s="1412" t="n">
        <f aca="false">'V_DATOS PAC_SGA'!AN311</f>
        <v>0</v>
      </c>
      <c r="H316" s="1413" t="str">
        <f aca="false">IF(B316&gt;0,VLOOKUP(B316,'O_MN, PE_UTA_UGM 2024'!E$3:O$419,10),"")</f>
        <v/>
      </c>
      <c r="I316" s="1359" t="str">
        <f aca="false">IF('V_DATOS PAC_SGA'!BV311="IV",'V_DATOS PAC_SGA'!BV311,"")</f>
        <v/>
      </c>
      <c r="J316" s="2" t="str">
        <f aca="false">IF($A316&gt;0,IF(AND(J$4=$G316,J$6=$F316),$D316*J$5,""),"")</f>
        <v/>
      </c>
      <c r="K316" s="2" t="str">
        <f aca="false">IF($A316&gt;0,IF(AND(K$4=$G316,K$6=$F316),$D316*K$5,""),"")</f>
        <v/>
      </c>
      <c r="L316" s="2" t="str">
        <f aca="false">IF($A316&gt;0,IF(AND(L$4=$G316,L$6=$F316),$D316*L$5,""),"")</f>
        <v/>
      </c>
      <c r="M316" s="2" t="str">
        <f aca="false">IF($A316&gt;0,IF(AND(M$4=$G316,M$6=$F316),$D316*M$5,""),"")</f>
        <v/>
      </c>
      <c r="N316" s="1506" t="n">
        <f aca="false">VLOOKUP(B316,'O_MN, PE_UTA_UGM 2024'!$E$2:$K$419,IF(G316&gt;1,6,7))</f>
        <v>0</v>
      </c>
      <c r="O316" s="1434" t="str">
        <f aca="false">IF($H316=O$4,$D316*$N316,"")</f>
        <v/>
      </c>
      <c r="P316" s="1435" t="str">
        <f aca="false">IF($H316=P$4,$D316*$N316,"")</f>
        <v/>
      </c>
      <c r="Q316" s="1435" t="str">
        <f aca="false">IF($H316=Q$4,$D316*$N316,"")</f>
        <v/>
      </c>
      <c r="R316" s="1435" t="str">
        <f aca="false">IF($H316=R$4,$D316*$N316,"")</f>
        <v/>
      </c>
      <c r="S316" s="1435" t="str">
        <f aca="false">IF($H316=S$4,$D316*$N316,"")</f>
        <v/>
      </c>
      <c r="T316" s="1435" t="str">
        <f aca="false">IF($H316=T$4,$D316*$N316,"")</f>
        <v/>
      </c>
      <c r="U316" s="1436" t="str">
        <f aca="false">IF($H316=U$4,$D316*$N316,"")</f>
        <v/>
      </c>
      <c r="V316" s="1472"/>
      <c r="W316" s="1471"/>
      <c r="X316" s="1471"/>
      <c r="Y316" s="1471"/>
      <c r="Z316" s="1471"/>
      <c r="AA316" s="1471"/>
      <c r="AB316" s="1473"/>
      <c r="AC316" s="1319"/>
      <c r="AD316" s="2" t="str">
        <f aca="false">IF(AND(AD$4=$G316,AD$6=$F316),$B316,"")</f>
        <v/>
      </c>
      <c r="AE316" s="2" t="str">
        <f aca="false">IF(AND(AE$4=$G316,AE$6=$F316),$B316,"")</f>
        <v/>
      </c>
      <c r="AF316" s="2" t="str">
        <f aca="false">IF(AND(AF$4=$G316,AF$6=$F316),$B316,"")</f>
        <v/>
      </c>
      <c r="AG316" s="2" t="str">
        <f aca="false">IF(AND(AG$4=$G316,AG$6=$F316),$B316,"")</f>
        <v/>
      </c>
      <c r="AI316" s="366"/>
      <c r="AL316" s="367"/>
      <c r="AO316" s="367"/>
      <c r="AP316" s="2" t="str">
        <f aca="false">IF(AT316&gt;0,RANK(AT316,AT$7:AT$423),"")</f>
        <v/>
      </c>
      <c r="AQ316" s="1475" t="n">
        <f aca="false">'O_MN, PE_UTA_UGM 2024'!C312</f>
        <v>337</v>
      </c>
      <c r="AR316" s="1421" t="n">
        <v>3120</v>
      </c>
      <c r="AS316" s="2" t="str">
        <f aca="false">IF(AY316&lt;&gt;"",AY316,"")</f>
        <v/>
      </c>
      <c r="AT316" s="1422" t="n">
        <f aca="false">IF(ISNUMBER($AR316),SUMIF(B$7:B$505,AR316,D$7:D$505),"")</f>
        <v>0</v>
      </c>
      <c r="AU316" s="1411" t="n">
        <f aca="false">IF(ISNUMBER($AR316),SUMIF(AD$7:AD$503,$AR316,J$7:J$503),"")</f>
        <v>0</v>
      </c>
      <c r="AV316" s="1411" t="n">
        <f aca="false">IF(ISNUMBER($AR316),SUMIF(AF$7:AF$503,$AR316,L$7:L$503),"")</f>
        <v>0</v>
      </c>
      <c r="AW316" s="1423" t="n">
        <f aca="false">IF(ISNUMBER($AR316),SUMIF(AE$7:AE$503,$AR316,K$7:K$503),"")</f>
        <v>0</v>
      </c>
      <c r="AX316" s="1423" t="n">
        <f aca="false">IF(ISNUMBER($AR316),SUMIF(AG$7:AG$503,$AR316,M$7:M$503),"")</f>
        <v>0</v>
      </c>
      <c r="AY316" s="2" t="str">
        <f aca="false">IF($AT316&gt;0,VLOOKUP($AR316,'O_MN, PE_UTA_UGM 2024'!E312:O728,2),"")</f>
        <v/>
      </c>
      <c r="AZ316" s="1507"/>
      <c r="BA316" s="1507"/>
      <c r="BB316" s="1507" t="str">
        <f aca="false">IF($AT316&gt;0,VLOOKUP($AR316,'O_MN, PE_UTA_UGM 2024'!$E$3:$O$419,BB$6),"")</f>
        <v/>
      </c>
      <c r="BC316" s="1507" t="str">
        <f aca="false">IF($AT316&gt;0,VLOOKUP($AR316,'O_MN, PE_UTA_UGM 2024'!$E$3:$O$419,BC$6),"")</f>
        <v/>
      </c>
      <c r="BD316" s="1507" t="str">
        <f aca="false">IF($AT316&gt;0,VLOOKUP($AR316,'O_MN, PE_UTA_UGM 2024'!$E$3:$O$419,BD$6),"")</f>
        <v/>
      </c>
      <c r="BE316" s="1507" t="str">
        <f aca="false">IF($AT316&gt;0,VLOOKUP($AR316,'O_MN, PE_UTA_UGM 2024'!$E$3:$O$419,BE$6),"")</f>
        <v/>
      </c>
      <c r="BF316" s="1507" t="str">
        <f aca="false">IF($AT316&gt;0,VLOOKUP($AR316,'O_MN, PE_UTA_UGM 2024'!$E$3:$O$419,BF$6),"")</f>
        <v/>
      </c>
      <c r="BG316" s="1507" t="str">
        <f aca="false">IF($AT316&gt;0,VLOOKUP($AR316,'O_MN, PE_UTA_UGM 2024'!$E$3:$O$419,BG$6),"")</f>
        <v/>
      </c>
      <c r="BH316" s="1504"/>
      <c r="BI316" s="1504"/>
      <c r="BJ316" s="1504"/>
      <c r="BK316" s="1504"/>
      <c r="BM316" s="1411"/>
      <c r="BN316" s="1411"/>
      <c r="BO316" s="1425" t="str">
        <f aca="false">IF(ISNUMBER($AU316*BB316*1),$AU316*BB316*1,"")</f>
        <v/>
      </c>
      <c r="BP316" s="1425" t="str">
        <f aca="false">IF(ISNUMBER($AV316*BC316*1),$AV316*BC316*1,"")</f>
        <v/>
      </c>
      <c r="BQ316" s="1425" t="str">
        <f aca="false">IF(ISNUMBER($AU316*BD316*1),$AU316*BD316*1,"")</f>
        <v/>
      </c>
      <c r="BR316" s="1425" t="str">
        <f aca="false">IF(ISNUMBER($AV316*BE316*1),$AV316*BE316*1,"")</f>
        <v/>
      </c>
      <c r="BS316" s="1411" t="str">
        <f aca="false">IF(ISNUMBER($AU316*BF316),$AU316*BF316,"")</f>
        <v/>
      </c>
      <c r="BT316" s="1411" t="str">
        <f aca="false">IF(ISNUMBER($AV316*BG316),$AV316*BG316,"")</f>
        <v/>
      </c>
      <c r="BU316" s="1411"/>
      <c r="BV316" s="1411"/>
      <c r="BW316" s="1411"/>
      <c r="BX316" s="1411"/>
      <c r="BZ316" s="1372"/>
      <c r="CA316" s="1372"/>
      <c r="CB316" s="1426" t="str">
        <f aca="false">IF(ISNUMBER($AW316*BB316),$AW316*BB316,"")</f>
        <v/>
      </c>
      <c r="CC316" s="1426" t="str">
        <f aca="false">IF(ISNUMBER($AX316*BC316),$AX316*BC316,"")</f>
        <v/>
      </c>
      <c r="CD316" s="1426" t="str">
        <f aca="false">IF(ISNUMBER($AW316*BD316),$AW316*BD316,"")</f>
        <v/>
      </c>
      <c r="CE316" s="1426" t="str">
        <f aca="false">IF(ISNUMBER($AX316*BE316),$AX316*BE316,"")</f>
        <v/>
      </c>
      <c r="CF316" s="1372" t="str">
        <f aca="false">IF(ISNUMBER($AW316*BF316),$AW316*BF316,"")</f>
        <v/>
      </c>
      <c r="CG316" s="1372" t="str">
        <f aca="false">IF(ISNUMBER($AX316*BG316),$AX316*BG316,"")</f>
        <v/>
      </c>
      <c r="CH316" s="1438"/>
      <c r="CI316" s="1438"/>
      <c r="CJ316" s="1438"/>
      <c r="CK316" s="1438"/>
      <c r="CU316" s="1411"/>
      <c r="CV316" s="1411"/>
      <c r="CW316" s="1425"/>
      <c r="CX316" s="1425"/>
      <c r="CY316" s="1425"/>
      <c r="CZ316" s="1425"/>
      <c r="DA316" s="1411"/>
      <c r="DB316" s="1411"/>
      <c r="DC316" s="1411"/>
      <c r="DD316" s="1411"/>
      <c r="DE316" s="1411"/>
      <c r="DF316" s="1411"/>
      <c r="DH316" s="1432"/>
      <c r="DI316" s="1432"/>
      <c r="DJ316" s="1437"/>
      <c r="DK316" s="1437"/>
      <c r="DL316" s="1437"/>
      <c r="DM316" s="1437"/>
      <c r="DN316" s="1432"/>
      <c r="DO316" s="1432"/>
      <c r="DP316" s="1432"/>
      <c r="DQ316" s="1432"/>
      <c r="DR316" s="1432"/>
      <c r="DS316" s="1432"/>
      <c r="DT316" s="1316"/>
      <c r="DU316" s="1433"/>
      <c r="DV316" s="1433"/>
      <c r="DW316" s="1433"/>
      <c r="DX316" s="1433"/>
      <c r="DY316" s="1433"/>
      <c r="DZ316" s="1433"/>
      <c r="EA316" s="1433"/>
      <c r="EB316" s="1433"/>
    </row>
    <row r="317" customFormat="false" ht="14.25" hidden="false" customHeight="false" outlineLevel="0" collapsed="false">
      <c r="A317" s="2" t="n">
        <f aca="false">'V_DATOS PAC_SGA'!CC312</f>
        <v>0</v>
      </c>
      <c r="B317" s="2" t="n">
        <f aca="false">IF(OR(A317=0,A317=""),0,IF(I317="IV",CONCATENATE('V_DATOS PAC_SGA'!CC312,"4")+0,CONCATENATE('V_DATOS PAC_SGA'!CC312,"0")+0))</f>
        <v>0</v>
      </c>
      <c r="C317" s="2" t="n">
        <f aca="false">'V_DATOS PAC_SGA'!CD312</f>
        <v>0</v>
      </c>
      <c r="D317" s="1409" t="n">
        <f aca="false">'V_DATOS PAC_SGA'!Y312</f>
        <v>0</v>
      </c>
      <c r="E317" s="1410" t="str">
        <f aca="false">IF('V_DATOS PAC_SGA'!AV312="","Regadio",'V_DATOS PAC_SGA'!AV312)</f>
        <v>Regadio</v>
      </c>
      <c r="F317" s="1411" t="n">
        <f aca="false">'V_DATOS PAC_SGA'!BK312</f>
        <v>0</v>
      </c>
      <c r="G317" s="1412" t="n">
        <f aca="false">'V_DATOS PAC_SGA'!AN312</f>
        <v>0</v>
      </c>
      <c r="H317" s="1413" t="str">
        <f aca="false">IF(B317&gt;0,VLOOKUP(B317,'O_MN, PE_UTA_UGM 2024'!E$3:O$419,10),"")</f>
        <v/>
      </c>
      <c r="I317" s="1359" t="str">
        <f aca="false">IF('V_DATOS PAC_SGA'!BV312="IV",'V_DATOS PAC_SGA'!BV312,"")</f>
        <v/>
      </c>
      <c r="J317" s="2" t="str">
        <f aca="false">IF($A317&gt;0,IF(AND(J$4=$G317,J$6=$F317),$D317*J$5,""),"")</f>
        <v/>
      </c>
      <c r="K317" s="2" t="str">
        <f aca="false">IF($A317&gt;0,IF(AND(K$4=$G317,K$6=$F317),$D317*K$5,""),"")</f>
        <v/>
      </c>
      <c r="L317" s="2" t="str">
        <f aca="false">IF($A317&gt;0,IF(AND(L$4=$G317,L$6=$F317),$D317*L$5,""),"")</f>
        <v/>
      </c>
      <c r="M317" s="2" t="str">
        <f aca="false">IF($A317&gt;0,IF(AND(M$4=$G317,M$6=$F317),$D317*M$5,""),"")</f>
        <v/>
      </c>
      <c r="N317" s="1506" t="n">
        <f aca="false">VLOOKUP(B317,'O_MN, PE_UTA_UGM 2024'!$E$2:$K$419,IF(G317&gt;1,6,7))</f>
        <v>0</v>
      </c>
      <c r="O317" s="1434" t="str">
        <f aca="false">IF($H317=O$4,$D317*$N317,"")</f>
        <v/>
      </c>
      <c r="P317" s="1435" t="str">
        <f aca="false">IF($H317=P$4,$D317*$N317,"")</f>
        <v/>
      </c>
      <c r="Q317" s="1435" t="str">
        <f aca="false">IF($H317=Q$4,$D317*$N317,"")</f>
        <v/>
      </c>
      <c r="R317" s="1435" t="str">
        <f aca="false">IF($H317=R$4,$D317*$N317,"")</f>
        <v/>
      </c>
      <c r="S317" s="1435" t="str">
        <f aca="false">IF($H317=S$4,$D317*$N317,"")</f>
        <v/>
      </c>
      <c r="T317" s="1435" t="str">
        <f aca="false">IF($H317=T$4,$D317*$N317,"")</f>
        <v/>
      </c>
      <c r="U317" s="1436" t="str">
        <f aca="false">IF($H317=U$4,$D317*$N317,"")</f>
        <v/>
      </c>
      <c r="V317" s="1472"/>
      <c r="W317" s="1471"/>
      <c r="X317" s="1471"/>
      <c r="Y317" s="1471"/>
      <c r="Z317" s="1471"/>
      <c r="AA317" s="1471"/>
      <c r="AB317" s="1473"/>
      <c r="AC317" s="1319"/>
      <c r="AD317" s="2" t="str">
        <f aca="false">IF(AND(AD$4=$G317,AD$6=$F317),$B317,"")</f>
        <v/>
      </c>
      <c r="AE317" s="2" t="str">
        <f aca="false">IF(AND(AE$4=$G317,AE$6=$F317),$B317,"")</f>
        <v/>
      </c>
      <c r="AF317" s="2" t="str">
        <f aca="false">IF(AND(AF$4=$G317,AF$6=$F317),$B317,"")</f>
        <v/>
      </c>
      <c r="AG317" s="2" t="str">
        <f aca="false">IF(AND(AG$4=$G317,AG$6=$F317),$B317,"")</f>
        <v/>
      </c>
      <c r="AI317" s="366"/>
      <c r="AL317" s="367"/>
      <c r="AO317" s="367"/>
      <c r="AP317" s="2" t="str">
        <f aca="false">IF(AT317&gt;0,RANK(AT317,AT$7:AT$423),"")</f>
        <v/>
      </c>
      <c r="AQ317" s="1475" t="n">
        <f aca="false">'O_MN, PE_UTA_UGM 2024'!C313</f>
        <v>338</v>
      </c>
      <c r="AR317" s="1421" t="n">
        <v>3130</v>
      </c>
      <c r="AS317" s="2" t="str">
        <f aca="false">IF(AY317&lt;&gt;"",AY317,"")</f>
        <v/>
      </c>
      <c r="AT317" s="1422" t="n">
        <f aca="false">IF(ISNUMBER($AR317),SUMIF(B$7:B$505,AR317,D$7:D$505),"")</f>
        <v>0</v>
      </c>
      <c r="AU317" s="1411" t="n">
        <f aca="false">IF(ISNUMBER($AR317),SUMIF(AD$7:AD$503,$AR317,J$7:J$503),"")</f>
        <v>0</v>
      </c>
      <c r="AV317" s="1411" t="n">
        <f aca="false">IF(ISNUMBER($AR317),SUMIF(AF$7:AF$503,$AR317,L$7:L$503),"")</f>
        <v>0</v>
      </c>
      <c r="AW317" s="1423" t="n">
        <f aca="false">IF(ISNUMBER($AR317),SUMIF(AE$7:AE$503,$AR317,K$7:K$503),"")</f>
        <v>0</v>
      </c>
      <c r="AX317" s="1423" t="n">
        <f aca="false">IF(ISNUMBER($AR317),SUMIF(AG$7:AG$503,$AR317,M$7:M$503),"")</f>
        <v>0</v>
      </c>
      <c r="AY317" s="2" t="str">
        <f aca="false">IF($AT317&gt;0,VLOOKUP($AR317,'O_MN, PE_UTA_UGM 2024'!E313:O729,2),"")</f>
        <v/>
      </c>
      <c r="AZ317" s="1507"/>
      <c r="BA317" s="1507"/>
      <c r="BB317" s="1507" t="str">
        <f aca="false">IF($AT317&gt;0,VLOOKUP($AR317,'O_MN, PE_UTA_UGM 2024'!$E$3:$O$419,BB$6),"")</f>
        <v/>
      </c>
      <c r="BC317" s="1507" t="str">
        <f aca="false">IF($AT317&gt;0,VLOOKUP($AR317,'O_MN, PE_UTA_UGM 2024'!$E$3:$O$419,BC$6),"")</f>
        <v/>
      </c>
      <c r="BD317" s="1507" t="str">
        <f aca="false">IF($AT317&gt;0,VLOOKUP($AR317,'O_MN, PE_UTA_UGM 2024'!$E$3:$O$419,BD$6),"")</f>
        <v/>
      </c>
      <c r="BE317" s="1507" t="str">
        <f aca="false">IF($AT317&gt;0,VLOOKUP($AR317,'O_MN, PE_UTA_UGM 2024'!$E$3:$O$419,BE$6),"")</f>
        <v/>
      </c>
      <c r="BF317" s="1507" t="str">
        <f aca="false">IF($AT317&gt;0,VLOOKUP($AR317,'O_MN, PE_UTA_UGM 2024'!$E$3:$O$419,BF$6),"")</f>
        <v/>
      </c>
      <c r="BG317" s="1507" t="str">
        <f aca="false">IF($AT317&gt;0,VLOOKUP($AR317,'O_MN, PE_UTA_UGM 2024'!$E$3:$O$419,BG$6),"")</f>
        <v/>
      </c>
      <c r="BH317" s="1504"/>
      <c r="BI317" s="1504"/>
      <c r="BJ317" s="1504"/>
      <c r="BK317" s="1504"/>
      <c r="BM317" s="1411"/>
      <c r="BN317" s="1411"/>
      <c r="BO317" s="1425" t="str">
        <f aca="false">IF(ISNUMBER($AU317*BB317*1),$AU317*BB317*1,"")</f>
        <v/>
      </c>
      <c r="BP317" s="1425" t="str">
        <f aca="false">IF(ISNUMBER($AV317*BC317*1),$AV317*BC317*1,"")</f>
        <v/>
      </c>
      <c r="BQ317" s="1425" t="str">
        <f aca="false">IF(ISNUMBER($AU317*BD317*1),$AU317*BD317*1,"")</f>
        <v/>
      </c>
      <c r="BR317" s="1425" t="str">
        <f aca="false">IF(ISNUMBER($AV317*BE317*1),$AV317*BE317*1,"")</f>
        <v/>
      </c>
      <c r="BS317" s="1411" t="str">
        <f aca="false">IF(ISNUMBER($AU317*BF317),$AU317*BF317,"")</f>
        <v/>
      </c>
      <c r="BT317" s="1411" t="str">
        <f aca="false">IF(ISNUMBER($AV317*BG317),$AV317*BG317,"")</f>
        <v/>
      </c>
      <c r="BU317" s="1411"/>
      <c r="BV317" s="1411"/>
      <c r="BW317" s="1411"/>
      <c r="BX317" s="1411"/>
      <c r="BZ317" s="1372"/>
      <c r="CA317" s="1372"/>
      <c r="CB317" s="1426" t="str">
        <f aca="false">IF(ISNUMBER($AW317*BB317),$AW317*BB317,"")</f>
        <v/>
      </c>
      <c r="CC317" s="1426" t="str">
        <f aca="false">IF(ISNUMBER($AX317*BC317),$AX317*BC317,"")</f>
        <v/>
      </c>
      <c r="CD317" s="1426" t="str">
        <f aca="false">IF(ISNUMBER($AW317*BD317),$AW317*BD317,"")</f>
        <v/>
      </c>
      <c r="CE317" s="1426" t="str">
        <f aca="false">IF(ISNUMBER($AX317*BE317),$AX317*BE317,"")</f>
        <v/>
      </c>
      <c r="CF317" s="1372" t="str">
        <f aca="false">IF(ISNUMBER($AW317*BF317),$AW317*BF317,"")</f>
        <v/>
      </c>
      <c r="CG317" s="1372" t="str">
        <f aca="false">IF(ISNUMBER($AX317*BG317),$AX317*BG317,"")</f>
        <v/>
      </c>
      <c r="CH317" s="1438"/>
      <c r="CI317" s="1438"/>
      <c r="CJ317" s="1438"/>
      <c r="CK317" s="1438"/>
      <c r="CU317" s="1411"/>
      <c r="CV317" s="1411"/>
      <c r="CW317" s="1425"/>
      <c r="CX317" s="1425"/>
      <c r="CY317" s="1425"/>
      <c r="CZ317" s="1425"/>
      <c r="DA317" s="1411"/>
      <c r="DB317" s="1411"/>
      <c r="DC317" s="1411"/>
      <c r="DD317" s="1411"/>
      <c r="DE317" s="1411"/>
      <c r="DF317" s="1411"/>
      <c r="DH317" s="1432"/>
      <c r="DI317" s="1432"/>
      <c r="DJ317" s="1437"/>
      <c r="DK317" s="1437"/>
      <c r="DL317" s="1437"/>
      <c r="DM317" s="1437"/>
      <c r="DN317" s="1432"/>
      <c r="DO317" s="1432"/>
      <c r="DP317" s="1432"/>
      <c r="DQ317" s="1432"/>
      <c r="DR317" s="1432"/>
      <c r="DS317" s="1432"/>
      <c r="DT317" s="1316"/>
      <c r="DU317" s="1433"/>
      <c r="DV317" s="1433"/>
      <c r="DW317" s="1433"/>
      <c r="DX317" s="1433"/>
      <c r="DY317" s="1433"/>
      <c r="DZ317" s="1433"/>
      <c r="EA317" s="1433"/>
      <c r="EB317" s="1433"/>
    </row>
    <row r="318" customFormat="false" ht="14.25" hidden="false" customHeight="false" outlineLevel="0" collapsed="false">
      <c r="A318" s="2" t="n">
        <f aca="false">'V_DATOS PAC_SGA'!CC313</f>
        <v>0</v>
      </c>
      <c r="B318" s="2" t="n">
        <f aca="false">IF(OR(A318=0,A318=""),0,IF(I318="IV",CONCATENATE('V_DATOS PAC_SGA'!CC313,"4")+0,CONCATENATE('V_DATOS PAC_SGA'!CC313,"0")+0))</f>
        <v>0</v>
      </c>
      <c r="C318" s="2" t="n">
        <f aca="false">'V_DATOS PAC_SGA'!CD313</f>
        <v>0</v>
      </c>
      <c r="D318" s="1409" t="n">
        <f aca="false">'V_DATOS PAC_SGA'!Y313</f>
        <v>0</v>
      </c>
      <c r="E318" s="1410" t="str">
        <f aca="false">IF('V_DATOS PAC_SGA'!AV313="","Regadio",'V_DATOS PAC_SGA'!AV313)</f>
        <v>Regadio</v>
      </c>
      <c r="F318" s="1411" t="n">
        <f aca="false">'V_DATOS PAC_SGA'!BK313</f>
        <v>0</v>
      </c>
      <c r="G318" s="1412" t="n">
        <f aca="false">'V_DATOS PAC_SGA'!AN313</f>
        <v>0</v>
      </c>
      <c r="H318" s="1413" t="str">
        <f aca="false">IF(B318&gt;0,VLOOKUP(B318,'O_MN, PE_UTA_UGM 2024'!E$3:O$419,10),"")</f>
        <v/>
      </c>
      <c r="I318" s="1359" t="str">
        <f aca="false">IF('V_DATOS PAC_SGA'!BV313="IV",'V_DATOS PAC_SGA'!BV313,"")</f>
        <v/>
      </c>
      <c r="J318" s="2" t="str">
        <f aca="false">IF($A318&gt;0,IF(AND(J$4=$G318,J$6=$F318),$D318*J$5,""),"")</f>
        <v/>
      </c>
      <c r="K318" s="2" t="str">
        <f aca="false">IF($A318&gt;0,IF(AND(K$4=$G318,K$6=$F318),$D318*K$5,""),"")</f>
        <v/>
      </c>
      <c r="L318" s="2" t="str">
        <f aca="false">IF($A318&gt;0,IF(AND(L$4=$G318,L$6=$F318),$D318*L$5,""),"")</f>
        <v/>
      </c>
      <c r="M318" s="2" t="str">
        <f aca="false">IF($A318&gt;0,IF(AND(M$4=$G318,M$6=$F318),$D318*M$5,""),"")</f>
        <v/>
      </c>
      <c r="N318" s="1506" t="n">
        <f aca="false">VLOOKUP(B318,'O_MN, PE_UTA_UGM 2024'!$E$2:$K$419,IF(G318&gt;1,6,7))</f>
        <v>0</v>
      </c>
      <c r="O318" s="1434" t="str">
        <f aca="false">IF($H318=O$4,$D318*$N318,"")</f>
        <v/>
      </c>
      <c r="P318" s="1435" t="str">
        <f aca="false">IF($H318=P$4,$D318*$N318,"")</f>
        <v/>
      </c>
      <c r="Q318" s="1435" t="str">
        <f aca="false">IF($H318=Q$4,$D318*$N318,"")</f>
        <v/>
      </c>
      <c r="R318" s="1435" t="str">
        <f aca="false">IF($H318=R$4,$D318*$N318,"")</f>
        <v/>
      </c>
      <c r="S318" s="1435" t="str">
        <f aca="false">IF($H318=S$4,$D318*$N318,"")</f>
        <v/>
      </c>
      <c r="T318" s="1435" t="str">
        <f aca="false">IF($H318=T$4,$D318*$N318,"")</f>
        <v/>
      </c>
      <c r="U318" s="1436" t="str">
        <f aca="false">IF($H318=U$4,$D318*$N318,"")</f>
        <v/>
      </c>
      <c r="V318" s="1472"/>
      <c r="W318" s="1471"/>
      <c r="X318" s="1471"/>
      <c r="Y318" s="1471"/>
      <c r="Z318" s="1471"/>
      <c r="AA318" s="1471"/>
      <c r="AB318" s="1473"/>
      <c r="AC318" s="1319"/>
      <c r="AD318" s="2" t="str">
        <f aca="false">IF(AND(AD$4=$G318,AD$6=$F318),$B318,"")</f>
        <v/>
      </c>
      <c r="AE318" s="2" t="str">
        <f aca="false">IF(AND(AE$4=$G318,AE$6=$F318),$B318,"")</f>
        <v/>
      </c>
      <c r="AF318" s="2" t="str">
        <f aca="false">IF(AND(AF$4=$G318,AF$6=$F318),$B318,"")</f>
        <v/>
      </c>
      <c r="AG318" s="2" t="str">
        <f aca="false">IF(AND(AG$4=$G318,AG$6=$F318),$B318,"")</f>
        <v/>
      </c>
      <c r="AI318" s="366"/>
      <c r="AL318" s="367"/>
      <c r="AO318" s="367"/>
      <c r="AP318" s="2" t="str">
        <f aca="false">IF(AT318&gt;0,RANK(AT318,AT$7:AT$423),"")</f>
        <v/>
      </c>
      <c r="AQ318" s="1475" t="n">
        <f aca="false">'O_MN, PE_UTA_UGM 2024'!C314</f>
        <v>339</v>
      </c>
      <c r="AR318" s="1421" t="n">
        <v>3150</v>
      </c>
      <c r="AS318" s="2" t="str">
        <f aca="false">IF(AY318&lt;&gt;"",AY318,"")</f>
        <v/>
      </c>
      <c r="AT318" s="1422" t="n">
        <f aca="false">IF(ISNUMBER($AR318),SUMIF(B$7:B$505,AR318,D$7:D$505),"")</f>
        <v>0</v>
      </c>
      <c r="AU318" s="1411" t="n">
        <f aca="false">IF(ISNUMBER($AR318),SUMIF(AD$7:AD$503,$AR318,J$7:J$503),"")</f>
        <v>0</v>
      </c>
      <c r="AV318" s="1411" t="n">
        <f aca="false">IF(ISNUMBER($AR318),SUMIF(AF$7:AF$503,$AR318,L$7:L$503),"")</f>
        <v>0</v>
      </c>
      <c r="AW318" s="1423" t="n">
        <f aca="false">IF(ISNUMBER($AR318),SUMIF(AE$7:AE$503,$AR318,K$7:K$503),"")</f>
        <v>0</v>
      </c>
      <c r="AX318" s="1423" t="n">
        <f aca="false">IF(ISNUMBER($AR318),SUMIF(AG$7:AG$503,$AR318,M$7:M$503),"")</f>
        <v>0</v>
      </c>
      <c r="AY318" s="2" t="str">
        <f aca="false">IF($AT318&gt;0,VLOOKUP($AR318,'O_MN, PE_UTA_UGM 2024'!E314:O730,2),"")</f>
        <v/>
      </c>
      <c r="AZ318" s="1507"/>
      <c r="BA318" s="1507"/>
      <c r="BB318" s="1507" t="str">
        <f aca="false">IF($AT318&gt;0,VLOOKUP($AR318,'O_MN, PE_UTA_UGM 2024'!$E$3:$O$419,BB$6),"")</f>
        <v/>
      </c>
      <c r="BC318" s="1507" t="str">
        <f aca="false">IF($AT318&gt;0,VLOOKUP($AR318,'O_MN, PE_UTA_UGM 2024'!$E$3:$O$419,BC$6),"")</f>
        <v/>
      </c>
      <c r="BD318" s="1507" t="str">
        <f aca="false">IF($AT318&gt;0,VLOOKUP($AR318,'O_MN, PE_UTA_UGM 2024'!$E$3:$O$419,BD$6),"")</f>
        <v/>
      </c>
      <c r="BE318" s="1507" t="str">
        <f aca="false">IF($AT318&gt;0,VLOOKUP($AR318,'O_MN, PE_UTA_UGM 2024'!$E$3:$O$419,BE$6),"")</f>
        <v/>
      </c>
      <c r="BF318" s="1507" t="str">
        <f aca="false">IF($AT318&gt;0,VLOOKUP($AR318,'O_MN, PE_UTA_UGM 2024'!$E$3:$O$419,BF$6),"")</f>
        <v/>
      </c>
      <c r="BG318" s="1507" t="str">
        <f aca="false">IF($AT318&gt;0,VLOOKUP($AR318,'O_MN, PE_UTA_UGM 2024'!$E$3:$O$419,BG$6),"")</f>
        <v/>
      </c>
      <c r="BH318" s="1504"/>
      <c r="BI318" s="1504"/>
      <c r="BJ318" s="1504"/>
      <c r="BK318" s="1504"/>
      <c r="BM318" s="1411"/>
      <c r="BN318" s="1411"/>
      <c r="BO318" s="1425" t="str">
        <f aca="false">IF(ISNUMBER($AU318*BB318*1),$AU318*BB318*1,"")</f>
        <v/>
      </c>
      <c r="BP318" s="1425" t="str">
        <f aca="false">IF(ISNUMBER($AV318*BC318*1),$AV318*BC318*1,"")</f>
        <v/>
      </c>
      <c r="BQ318" s="1425" t="str">
        <f aca="false">IF(ISNUMBER($AU318*BD318*1),$AU318*BD318*1,"")</f>
        <v/>
      </c>
      <c r="BR318" s="1425" t="str">
        <f aca="false">IF(ISNUMBER($AV318*BE318*1),$AV318*BE318*1,"")</f>
        <v/>
      </c>
      <c r="BS318" s="1411" t="str">
        <f aca="false">IF(ISNUMBER($AU318*BF318),$AU318*BF318,"")</f>
        <v/>
      </c>
      <c r="BT318" s="1411" t="str">
        <f aca="false">IF(ISNUMBER($AV318*BG318),$AV318*BG318,"")</f>
        <v/>
      </c>
      <c r="BU318" s="1411"/>
      <c r="BV318" s="1411"/>
      <c r="BW318" s="1411"/>
      <c r="BX318" s="1411"/>
      <c r="BZ318" s="1372"/>
      <c r="CA318" s="1372"/>
      <c r="CB318" s="1426" t="str">
        <f aca="false">IF(ISNUMBER($AW318*BB318),$AW318*BB318,"")</f>
        <v/>
      </c>
      <c r="CC318" s="1426" t="str">
        <f aca="false">IF(ISNUMBER($AX318*BC318),$AX318*BC318,"")</f>
        <v/>
      </c>
      <c r="CD318" s="1426" t="str">
        <f aca="false">IF(ISNUMBER($AW318*BD318),$AW318*BD318,"")</f>
        <v/>
      </c>
      <c r="CE318" s="1426" t="str">
        <f aca="false">IF(ISNUMBER($AX318*BE318),$AX318*BE318,"")</f>
        <v/>
      </c>
      <c r="CF318" s="1372" t="str">
        <f aca="false">IF(ISNUMBER($AW318*BF318),$AW318*BF318,"")</f>
        <v/>
      </c>
      <c r="CG318" s="1372" t="str">
        <f aca="false">IF(ISNUMBER($AX318*BG318),$AX318*BG318,"")</f>
        <v/>
      </c>
      <c r="CH318" s="1438"/>
      <c r="CI318" s="1438"/>
      <c r="CJ318" s="1438"/>
      <c r="CK318" s="1438"/>
      <c r="CU318" s="1411"/>
      <c r="CV318" s="1411"/>
      <c r="CW318" s="1425"/>
      <c r="CX318" s="1425"/>
      <c r="CY318" s="1425"/>
      <c r="CZ318" s="1425"/>
      <c r="DA318" s="1411"/>
      <c r="DB318" s="1411"/>
      <c r="DC318" s="1411"/>
      <c r="DD318" s="1411"/>
      <c r="DE318" s="1411"/>
      <c r="DF318" s="1411"/>
      <c r="DH318" s="1432"/>
      <c r="DI318" s="1432"/>
      <c r="DJ318" s="1437"/>
      <c r="DK318" s="1437"/>
      <c r="DL318" s="1437"/>
      <c r="DM318" s="1437"/>
      <c r="DN318" s="1432"/>
      <c r="DO318" s="1432"/>
      <c r="DP318" s="1432"/>
      <c r="DQ318" s="1432"/>
      <c r="DR318" s="1432"/>
      <c r="DS318" s="1432"/>
      <c r="DT318" s="1316"/>
      <c r="DU318" s="1433"/>
      <c r="DV318" s="1433"/>
      <c r="DW318" s="1433"/>
      <c r="DX318" s="1433"/>
      <c r="DY318" s="1433"/>
      <c r="DZ318" s="1433"/>
      <c r="EA318" s="1433"/>
      <c r="EB318" s="1433"/>
    </row>
    <row r="319" customFormat="false" ht="14.25" hidden="false" customHeight="false" outlineLevel="0" collapsed="false">
      <c r="A319" s="2" t="n">
        <f aca="false">'V_DATOS PAC_SGA'!CC314</f>
        <v>0</v>
      </c>
      <c r="B319" s="2" t="n">
        <f aca="false">IF(OR(A319=0,A319=""),0,IF(I319="IV",CONCATENATE('V_DATOS PAC_SGA'!CC314,"4")+0,CONCATENATE('V_DATOS PAC_SGA'!CC314,"0")+0))</f>
        <v>0</v>
      </c>
      <c r="C319" s="2" t="n">
        <f aca="false">'V_DATOS PAC_SGA'!CD314</f>
        <v>0</v>
      </c>
      <c r="D319" s="1409" t="n">
        <f aca="false">'V_DATOS PAC_SGA'!Y314</f>
        <v>0</v>
      </c>
      <c r="E319" s="1410" t="str">
        <f aca="false">IF('V_DATOS PAC_SGA'!AV314="","Regadio",'V_DATOS PAC_SGA'!AV314)</f>
        <v>Regadio</v>
      </c>
      <c r="F319" s="1411" t="n">
        <f aca="false">'V_DATOS PAC_SGA'!BK314</f>
        <v>0</v>
      </c>
      <c r="G319" s="1412" t="n">
        <f aca="false">'V_DATOS PAC_SGA'!AN314</f>
        <v>0</v>
      </c>
      <c r="H319" s="1413" t="str">
        <f aca="false">IF(B319&gt;0,VLOOKUP(B319,'O_MN, PE_UTA_UGM 2024'!E$3:O$419,10),"")</f>
        <v/>
      </c>
      <c r="I319" s="1359" t="str">
        <f aca="false">IF('V_DATOS PAC_SGA'!BV314="IV",'V_DATOS PAC_SGA'!BV314,"")</f>
        <v/>
      </c>
      <c r="J319" s="2" t="str">
        <f aca="false">IF($A319&gt;0,IF(AND(J$4=$G319,J$6=$F319),$D319*J$5,""),"")</f>
        <v/>
      </c>
      <c r="K319" s="2" t="str">
        <f aca="false">IF($A319&gt;0,IF(AND(K$4=$G319,K$6=$F319),$D319*K$5,""),"")</f>
        <v/>
      </c>
      <c r="L319" s="2" t="str">
        <f aca="false">IF($A319&gt;0,IF(AND(L$4=$G319,L$6=$F319),$D319*L$5,""),"")</f>
        <v/>
      </c>
      <c r="M319" s="2" t="str">
        <f aca="false">IF($A319&gt;0,IF(AND(M$4=$G319,M$6=$F319),$D319*M$5,""),"")</f>
        <v/>
      </c>
      <c r="N319" s="1506" t="n">
        <f aca="false">VLOOKUP(B319,'O_MN, PE_UTA_UGM 2024'!$E$2:$K$419,IF(G319&gt;1,6,7))</f>
        <v>0</v>
      </c>
      <c r="O319" s="1434" t="str">
        <f aca="false">IF($H319=O$4,$D319*$N319,"")</f>
        <v/>
      </c>
      <c r="P319" s="1435" t="str">
        <f aca="false">IF($H319=P$4,$D319*$N319,"")</f>
        <v/>
      </c>
      <c r="Q319" s="1435" t="str">
        <f aca="false">IF($H319=Q$4,$D319*$N319,"")</f>
        <v/>
      </c>
      <c r="R319" s="1435" t="str">
        <f aca="false">IF($H319=R$4,$D319*$N319,"")</f>
        <v/>
      </c>
      <c r="S319" s="1435" t="str">
        <f aca="false">IF($H319=S$4,$D319*$N319,"")</f>
        <v/>
      </c>
      <c r="T319" s="1435" t="str">
        <f aca="false">IF($H319=T$4,$D319*$N319,"")</f>
        <v/>
      </c>
      <c r="U319" s="1436" t="str">
        <f aca="false">IF($H319=U$4,$D319*$N319,"")</f>
        <v/>
      </c>
      <c r="V319" s="1472"/>
      <c r="W319" s="1471"/>
      <c r="X319" s="1471"/>
      <c r="Y319" s="1471"/>
      <c r="Z319" s="1471"/>
      <c r="AA319" s="1471"/>
      <c r="AB319" s="1473"/>
      <c r="AC319" s="1319"/>
      <c r="AD319" s="2" t="str">
        <f aca="false">IF(AND(AD$4=$G319,AD$6=$F319),$B319,"")</f>
        <v/>
      </c>
      <c r="AE319" s="2" t="str">
        <f aca="false">IF(AND(AE$4=$G319,AE$6=$F319),$B319,"")</f>
        <v/>
      </c>
      <c r="AF319" s="2" t="str">
        <f aca="false">IF(AND(AF$4=$G319,AF$6=$F319),$B319,"")</f>
        <v/>
      </c>
      <c r="AG319" s="2" t="str">
        <f aca="false">IF(AND(AG$4=$G319,AG$6=$F319),$B319,"")</f>
        <v/>
      </c>
      <c r="AI319" s="366"/>
      <c r="AL319" s="367"/>
      <c r="AO319" s="367"/>
      <c r="AP319" s="2" t="str">
        <f aca="false">IF(AT319&gt;0,RANK(AT319,AT$7:AT$423),"")</f>
        <v/>
      </c>
      <c r="AQ319" s="1475" t="n">
        <f aca="false">'O_MN, PE_UTA_UGM 2024'!C315</f>
        <v>340</v>
      </c>
      <c r="AR319" s="1421" t="n">
        <v>3160</v>
      </c>
      <c r="AS319" s="2" t="str">
        <f aca="false">IF(AY319&lt;&gt;"",AY319,"")</f>
        <v/>
      </c>
      <c r="AT319" s="1422" t="n">
        <f aca="false">IF(ISNUMBER($AR319),SUMIF(B$7:B$505,AR319,D$7:D$505),"")</f>
        <v>0</v>
      </c>
      <c r="AU319" s="1411" t="n">
        <f aca="false">IF(ISNUMBER($AR319),SUMIF(AD$7:AD$503,$AR319,J$7:J$503),"")</f>
        <v>0</v>
      </c>
      <c r="AV319" s="1411" t="n">
        <f aca="false">IF(ISNUMBER($AR319),SUMIF(AF$7:AF$503,$AR319,L$7:L$503),"")</f>
        <v>0</v>
      </c>
      <c r="AW319" s="1423" t="n">
        <f aca="false">IF(ISNUMBER($AR319),SUMIF(AE$7:AE$503,$AR319,K$7:K$503),"")</f>
        <v>0</v>
      </c>
      <c r="AX319" s="1423" t="n">
        <f aca="false">IF(ISNUMBER($AR319),SUMIF(AG$7:AG$503,$AR319,M$7:M$503),"")</f>
        <v>0</v>
      </c>
      <c r="AY319" s="2" t="str">
        <f aca="false">IF($AT319&gt;0,VLOOKUP($AR319,'O_MN, PE_UTA_UGM 2024'!E315:O731,2),"")</f>
        <v/>
      </c>
      <c r="AZ319" s="1507"/>
      <c r="BA319" s="1507"/>
      <c r="BB319" s="1507" t="str">
        <f aca="false">IF($AT319&gt;0,VLOOKUP($AR319,'O_MN, PE_UTA_UGM 2024'!$E$3:$O$419,BB$6),"")</f>
        <v/>
      </c>
      <c r="BC319" s="1507" t="str">
        <f aca="false">IF($AT319&gt;0,VLOOKUP($AR319,'O_MN, PE_UTA_UGM 2024'!$E$3:$O$419,BC$6),"")</f>
        <v/>
      </c>
      <c r="BD319" s="1507" t="str">
        <f aca="false">IF($AT319&gt;0,VLOOKUP($AR319,'O_MN, PE_UTA_UGM 2024'!$E$3:$O$419,BD$6),"")</f>
        <v/>
      </c>
      <c r="BE319" s="1507" t="str">
        <f aca="false">IF($AT319&gt;0,VLOOKUP($AR319,'O_MN, PE_UTA_UGM 2024'!$E$3:$O$419,BE$6),"")</f>
        <v/>
      </c>
      <c r="BF319" s="1507" t="str">
        <f aca="false">IF($AT319&gt;0,VLOOKUP($AR319,'O_MN, PE_UTA_UGM 2024'!$E$3:$O$419,BF$6),"")</f>
        <v/>
      </c>
      <c r="BG319" s="1507" t="str">
        <f aca="false">IF($AT319&gt;0,VLOOKUP($AR319,'O_MN, PE_UTA_UGM 2024'!$E$3:$O$419,BG$6),"")</f>
        <v/>
      </c>
      <c r="BH319" s="1504"/>
      <c r="BI319" s="1504"/>
      <c r="BJ319" s="1504"/>
      <c r="BK319" s="1504"/>
      <c r="BM319" s="1411"/>
      <c r="BN319" s="1411"/>
      <c r="BO319" s="1425" t="str">
        <f aca="false">IF(ISNUMBER($AU319*BB319*1),$AU319*BB319*1,"")</f>
        <v/>
      </c>
      <c r="BP319" s="1425" t="str">
        <f aca="false">IF(ISNUMBER($AV319*BC319*1),$AV319*BC319*1,"")</f>
        <v/>
      </c>
      <c r="BQ319" s="1425" t="str">
        <f aca="false">IF(ISNUMBER($AU319*BD319*1),$AU319*BD319*1,"")</f>
        <v/>
      </c>
      <c r="BR319" s="1425" t="str">
        <f aca="false">IF(ISNUMBER($AV319*BE319*1),$AV319*BE319*1,"")</f>
        <v/>
      </c>
      <c r="BS319" s="1411" t="str">
        <f aca="false">IF(ISNUMBER($AU319*BF319),$AU319*BF319,"")</f>
        <v/>
      </c>
      <c r="BT319" s="1411" t="str">
        <f aca="false">IF(ISNUMBER($AV319*BG319),$AV319*BG319,"")</f>
        <v/>
      </c>
      <c r="BU319" s="1411"/>
      <c r="BV319" s="1411"/>
      <c r="BW319" s="1411"/>
      <c r="BX319" s="1411"/>
      <c r="BZ319" s="1372"/>
      <c r="CA319" s="1372"/>
      <c r="CB319" s="1426" t="str">
        <f aca="false">IF(ISNUMBER($AW319*BB319),$AW319*BB319,"")</f>
        <v/>
      </c>
      <c r="CC319" s="1426" t="str">
        <f aca="false">IF(ISNUMBER($AX319*BC319),$AX319*BC319,"")</f>
        <v/>
      </c>
      <c r="CD319" s="1426" t="str">
        <f aca="false">IF(ISNUMBER($AW319*BD319),$AW319*BD319,"")</f>
        <v/>
      </c>
      <c r="CE319" s="1426" t="str">
        <f aca="false">IF(ISNUMBER($AX319*BE319),$AX319*BE319,"")</f>
        <v/>
      </c>
      <c r="CF319" s="1372" t="str">
        <f aca="false">IF(ISNUMBER($AW319*BF319),$AW319*BF319,"")</f>
        <v/>
      </c>
      <c r="CG319" s="1372" t="str">
        <f aca="false">IF(ISNUMBER($AX319*BG319),$AX319*BG319,"")</f>
        <v/>
      </c>
      <c r="CH319" s="1438"/>
      <c r="CI319" s="1438"/>
      <c r="CJ319" s="1438"/>
      <c r="CK319" s="1438"/>
      <c r="CU319" s="1411"/>
      <c r="CV319" s="1411"/>
      <c r="CW319" s="1425"/>
      <c r="CX319" s="1425"/>
      <c r="CY319" s="1425"/>
      <c r="CZ319" s="1425"/>
      <c r="DA319" s="1411"/>
      <c r="DB319" s="1411"/>
      <c r="DC319" s="1411"/>
      <c r="DD319" s="1411"/>
      <c r="DE319" s="1411"/>
      <c r="DF319" s="1411"/>
      <c r="DH319" s="1432"/>
      <c r="DI319" s="1432"/>
      <c r="DJ319" s="1437"/>
      <c r="DK319" s="1437"/>
      <c r="DL319" s="1437"/>
      <c r="DM319" s="1437"/>
      <c r="DN319" s="1432"/>
      <c r="DO319" s="1432"/>
      <c r="DP319" s="1432"/>
      <c r="DQ319" s="1432"/>
      <c r="DR319" s="1432"/>
      <c r="DS319" s="1432"/>
      <c r="DT319" s="1316"/>
      <c r="DU319" s="1433"/>
      <c r="DV319" s="1433"/>
      <c r="DW319" s="1433"/>
      <c r="DX319" s="1433"/>
      <c r="DY319" s="1433"/>
      <c r="DZ319" s="1433"/>
      <c r="EA319" s="1433"/>
      <c r="EB319" s="1433"/>
    </row>
    <row r="320" customFormat="false" ht="14.25" hidden="false" customHeight="false" outlineLevel="0" collapsed="false">
      <c r="A320" s="2" t="n">
        <f aca="false">'V_DATOS PAC_SGA'!CC315</f>
        <v>0</v>
      </c>
      <c r="B320" s="2" t="n">
        <f aca="false">IF(OR(A320=0,A320=""),0,IF(I320="IV",CONCATENATE('V_DATOS PAC_SGA'!CC315,"4")+0,CONCATENATE('V_DATOS PAC_SGA'!CC315,"0")+0))</f>
        <v>0</v>
      </c>
      <c r="C320" s="2" t="n">
        <f aca="false">'V_DATOS PAC_SGA'!CD315</f>
        <v>0</v>
      </c>
      <c r="D320" s="1409" t="n">
        <f aca="false">'V_DATOS PAC_SGA'!Y315</f>
        <v>0</v>
      </c>
      <c r="E320" s="1410" t="str">
        <f aca="false">IF('V_DATOS PAC_SGA'!AV315="","Regadio",'V_DATOS PAC_SGA'!AV315)</f>
        <v>Regadio</v>
      </c>
      <c r="F320" s="1411" t="n">
        <f aca="false">'V_DATOS PAC_SGA'!BK315</f>
        <v>0</v>
      </c>
      <c r="G320" s="1412" t="n">
        <f aca="false">'V_DATOS PAC_SGA'!AN315</f>
        <v>0</v>
      </c>
      <c r="H320" s="1413" t="str">
        <f aca="false">IF(B320&gt;0,VLOOKUP(B320,'O_MN, PE_UTA_UGM 2024'!E$3:O$419,10),"")</f>
        <v/>
      </c>
      <c r="I320" s="1359" t="str">
        <f aca="false">IF('V_DATOS PAC_SGA'!BV315="IV",'V_DATOS PAC_SGA'!BV315,"")</f>
        <v/>
      </c>
      <c r="J320" s="2" t="str">
        <f aca="false">IF($A320&gt;0,IF(AND(J$4=$G320,J$6=$F320),$D320*J$5,""),"")</f>
        <v/>
      </c>
      <c r="K320" s="2" t="str">
        <f aca="false">IF($A320&gt;0,IF(AND(K$4=$G320,K$6=$F320),$D320*K$5,""),"")</f>
        <v/>
      </c>
      <c r="L320" s="2" t="str">
        <f aca="false">IF($A320&gt;0,IF(AND(L$4=$G320,L$6=$F320),$D320*L$5,""),"")</f>
        <v/>
      </c>
      <c r="M320" s="2" t="str">
        <f aca="false">IF($A320&gt;0,IF(AND(M$4=$G320,M$6=$F320),$D320*M$5,""),"")</f>
        <v/>
      </c>
      <c r="N320" s="1506" t="n">
        <f aca="false">VLOOKUP(B320,'O_MN, PE_UTA_UGM 2024'!$E$2:$K$419,IF(G320&gt;1,6,7))</f>
        <v>0</v>
      </c>
      <c r="O320" s="1434" t="str">
        <f aca="false">IF($H320=O$4,$D320*$N320,"")</f>
        <v/>
      </c>
      <c r="P320" s="1435" t="str">
        <f aca="false">IF($H320=P$4,$D320*$N320,"")</f>
        <v/>
      </c>
      <c r="Q320" s="1435" t="str">
        <f aca="false">IF($H320=Q$4,$D320*$N320,"")</f>
        <v/>
      </c>
      <c r="R320" s="1435" t="str">
        <f aca="false">IF($H320=R$4,$D320*$N320,"")</f>
        <v/>
      </c>
      <c r="S320" s="1435" t="str">
        <f aca="false">IF($H320=S$4,$D320*$N320,"")</f>
        <v/>
      </c>
      <c r="T320" s="1435" t="str">
        <f aca="false">IF($H320=T$4,$D320*$N320,"")</f>
        <v/>
      </c>
      <c r="U320" s="1436" t="str">
        <f aca="false">IF($H320=U$4,$D320*$N320,"")</f>
        <v/>
      </c>
      <c r="V320" s="1472"/>
      <c r="W320" s="1471"/>
      <c r="X320" s="1471"/>
      <c r="Y320" s="1471"/>
      <c r="Z320" s="1471"/>
      <c r="AA320" s="1471"/>
      <c r="AB320" s="1473"/>
      <c r="AC320" s="1319"/>
      <c r="AD320" s="2" t="str">
        <f aca="false">IF(AND(AD$4=$G320,AD$6=$F320),$B320,"")</f>
        <v/>
      </c>
      <c r="AE320" s="2" t="str">
        <f aca="false">IF(AND(AE$4=$G320,AE$6=$F320),$B320,"")</f>
        <v/>
      </c>
      <c r="AF320" s="2" t="str">
        <f aca="false">IF(AND(AF$4=$G320,AF$6=$F320),$B320,"")</f>
        <v/>
      </c>
      <c r="AG320" s="2" t="str">
        <f aca="false">IF(AND(AG$4=$G320,AG$6=$F320),$B320,"")</f>
        <v/>
      </c>
      <c r="AI320" s="366"/>
      <c r="AL320" s="367"/>
      <c r="AO320" s="367"/>
      <c r="AP320" s="2" t="str">
        <f aca="false">IF(AT320&gt;0,RANK(AT320,AT$7:AT$423),"")</f>
        <v/>
      </c>
      <c r="AQ320" s="1475" t="n">
        <f aca="false">'O_MN, PE_UTA_UGM 2024'!C316</f>
        <v>341</v>
      </c>
      <c r="AR320" s="1421" t="n">
        <v>3170</v>
      </c>
      <c r="AS320" s="2" t="str">
        <f aca="false">IF(AY320&lt;&gt;"",AY320,"")</f>
        <v/>
      </c>
      <c r="AT320" s="1422" t="n">
        <f aca="false">IF(ISNUMBER($AR320),SUMIF(B$7:B$505,AR320,D$7:D$505),"")</f>
        <v>0</v>
      </c>
      <c r="AU320" s="1411" t="n">
        <f aca="false">IF(ISNUMBER($AR320),SUMIF(AD$7:AD$503,$AR320,J$7:J$503),"")</f>
        <v>0</v>
      </c>
      <c r="AV320" s="1411" t="n">
        <f aca="false">IF(ISNUMBER($AR320),SUMIF(AF$7:AF$503,$AR320,L$7:L$503),"")</f>
        <v>0</v>
      </c>
      <c r="AW320" s="1423" t="n">
        <f aca="false">IF(ISNUMBER($AR320),SUMIF(AE$7:AE$503,$AR320,K$7:K$503),"")</f>
        <v>0</v>
      </c>
      <c r="AX320" s="1423" t="n">
        <f aca="false">IF(ISNUMBER($AR320),SUMIF(AG$7:AG$503,$AR320,M$7:M$503),"")</f>
        <v>0</v>
      </c>
      <c r="AY320" s="2" t="str">
        <f aca="false">IF($AT320&gt;0,VLOOKUP($AR320,'O_MN, PE_UTA_UGM 2024'!E316:O732,2),"")</f>
        <v/>
      </c>
      <c r="AZ320" s="1507"/>
      <c r="BA320" s="1507"/>
      <c r="BB320" s="1507" t="str">
        <f aca="false">IF($AT320&gt;0,VLOOKUP($AR320,'O_MN, PE_UTA_UGM 2024'!$E$3:$O$419,BB$6),"")</f>
        <v/>
      </c>
      <c r="BC320" s="1507" t="str">
        <f aca="false">IF($AT320&gt;0,VLOOKUP($AR320,'O_MN, PE_UTA_UGM 2024'!$E$3:$O$419,BC$6),"")</f>
        <v/>
      </c>
      <c r="BD320" s="1507" t="str">
        <f aca="false">IF($AT320&gt;0,VLOOKUP($AR320,'O_MN, PE_UTA_UGM 2024'!$E$3:$O$419,BD$6),"")</f>
        <v/>
      </c>
      <c r="BE320" s="1507" t="str">
        <f aca="false">IF($AT320&gt;0,VLOOKUP($AR320,'O_MN, PE_UTA_UGM 2024'!$E$3:$O$419,BE$6),"")</f>
        <v/>
      </c>
      <c r="BF320" s="1507" t="str">
        <f aca="false">IF($AT320&gt;0,VLOOKUP($AR320,'O_MN, PE_UTA_UGM 2024'!$E$3:$O$419,BF$6),"")</f>
        <v/>
      </c>
      <c r="BG320" s="1507" t="str">
        <f aca="false">IF($AT320&gt;0,VLOOKUP($AR320,'O_MN, PE_UTA_UGM 2024'!$E$3:$O$419,BG$6),"")</f>
        <v/>
      </c>
      <c r="BH320" s="1504"/>
      <c r="BI320" s="1504"/>
      <c r="BJ320" s="1504"/>
      <c r="BK320" s="1504"/>
      <c r="BM320" s="1411"/>
      <c r="BN320" s="1411"/>
      <c r="BO320" s="1425" t="str">
        <f aca="false">IF(ISNUMBER($AU320*BB320*1),$AU320*BB320*1,"")</f>
        <v/>
      </c>
      <c r="BP320" s="1425" t="str">
        <f aca="false">IF(ISNUMBER($AV320*BC320*1),$AV320*BC320*1,"")</f>
        <v/>
      </c>
      <c r="BQ320" s="1425" t="str">
        <f aca="false">IF(ISNUMBER($AU320*BD320*1),$AU320*BD320*1,"")</f>
        <v/>
      </c>
      <c r="BR320" s="1425" t="str">
        <f aca="false">IF(ISNUMBER($AV320*BE320*1),$AV320*BE320*1,"")</f>
        <v/>
      </c>
      <c r="BS320" s="1411" t="str">
        <f aca="false">IF(ISNUMBER($AU320*BF320),$AU320*BF320,"")</f>
        <v/>
      </c>
      <c r="BT320" s="1411" t="str">
        <f aca="false">IF(ISNUMBER($AV320*BG320),$AV320*BG320,"")</f>
        <v/>
      </c>
      <c r="BU320" s="1411"/>
      <c r="BV320" s="1411"/>
      <c r="BW320" s="1411"/>
      <c r="BX320" s="1411"/>
      <c r="BZ320" s="1372"/>
      <c r="CA320" s="1372"/>
      <c r="CB320" s="1426" t="str">
        <f aca="false">IF(ISNUMBER($AW320*BB320),$AW320*BB320,"")</f>
        <v/>
      </c>
      <c r="CC320" s="1426" t="str">
        <f aca="false">IF(ISNUMBER($AX320*BC320),$AX320*BC320,"")</f>
        <v/>
      </c>
      <c r="CD320" s="1426" t="str">
        <f aca="false">IF(ISNUMBER($AW320*BD320),$AW320*BD320,"")</f>
        <v/>
      </c>
      <c r="CE320" s="1426" t="str">
        <f aca="false">IF(ISNUMBER($AX320*BE320),$AX320*BE320,"")</f>
        <v/>
      </c>
      <c r="CF320" s="1372" t="str">
        <f aca="false">IF(ISNUMBER($AW320*BF320),$AW320*BF320,"")</f>
        <v/>
      </c>
      <c r="CG320" s="1372" t="str">
        <f aca="false">IF(ISNUMBER($AX320*BG320),$AX320*BG320,"")</f>
        <v/>
      </c>
      <c r="CH320" s="1438"/>
      <c r="CI320" s="1438"/>
      <c r="CJ320" s="1438"/>
      <c r="CK320" s="1438"/>
      <c r="CU320" s="1411"/>
      <c r="CV320" s="1411"/>
      <c r="CW320" s="1425"/>
      <c r="CX320" s="1425"/>
      <c r="CY320" s="1425"/>
      <c r="CZ320" s="1425"/>
      <c r="DA320" s="1411"/>
      <c r="DB320" s="1411"/>
      <c r="DC320" s="1411"/>
      <c r="DD320" s="1411"/>
      <c r="DE320" s="1411"/>
      <c r="DF320" s="1411"/>
      <c r="DH320" s="1432"/>
      <c r="DI320" s="1432"/>
      <c r="DJ320" s="1437"/>
      <c r="DK320" s="1437"/>
      <c r="DL320" s="1437"/>
      <c r="DM320" s="1437"/>
      <c r="DN320" s="1432"/>
      <c r="DO320" s="1432"/>
      <c r="DP320" s="1432"/>
      <c r="DQ320" s="1432"/>
      <c r="DR320" s="1432"/>
      <c r="DS320" s="1432"/>
      <c r="DT320" s="1316"/>
      <c r="DU320" s="1433"/>
      <c r="DV320" s="1433"/>
      <c r="DW320" s="1433"/>
      <c r="DX320" s="1433"/>
      <c r="DY320" s="1433"/>
      <c r="DZ320" s="1433"/>
      <c r="EA320" s="1433"/>
      <c r="EB320" s="1433"/>
    </row>
    <row r="321" customFormat="false" ht="14.25" hidden="false" customHeight="false" outlineLevel="0" collapsed="false">
      <c r="A321" s="2" t="n">
        <f aca="false">'V_DATOS PAC_SGA'!CC316</f>
        <v>0</v>
      </c>
      <c r="B321" s="2" t="n">
        <f aca="false">IF(OR(A321=0,A321=""),0,IF(I321="IV",CONCATENATE('V_DATOS PAC_SGA'!CC316,"4")+0,CONCATENATE('V_DATOS PAC_SGA'!CC316,"0")+0))</f>
        <v>0</v>
      </c>
      <c r="C321" s="2" t="n">
        <f aca="false">'V_DATOS PAC_SGA'!CD316</f>
        <v>0</v>
      </c>
      <c r="D321" s="1409" t="n">
        <f aca="false">'V_DATOS PAC_SGA'!Y316</f>
        <v>0</v>
      </c>
      <c r="E321" s="1410" t="str">
        <f aca="false">IF('V_DATOS PAC_SGA'!AV316="","Regadio",'V_DATOS PAC_SGA'!AV316)</f>
        <v>Regadio</v>
      </c>
      <c r="F321" s="1411" t="n">
        <f aca="false">'V_DATOS PAC_SGA'!BK316</f>
        <v>0</v>
      </c>
      <c r="G321" s="1412" t="n">
        <f aca="false">'V_DATOS PAC_SGA'!AN316</f>
        <v>0</v>
      </c>
      <c r="H321" s="1413" t="str">
        <f aca="false">IF(B321&gt;0,VLOOKUP(B321,'O_MN, PE_UTA_UGM 2024'!E$3:O$419,10),"")</f>
        <v/>
      </c>
      <c r="I321" s="1359" t="str">
        <f aca="false">IF('V_DATOS PAC_SGA'!BV316="IV",'V_DATOS PAC_SGA'!BV316,"")</f>
        <v/>
      </c>
      <c r="J321" s="2" t="str">
        <f aca="false">IF($A321&gt;0,IF(AND(J$4=$G321,J$6=$F321),$D321*J$5,""),"")</f>
        <v/>
      </c>
      <c r="K321" s="2" t="str">
        <f aca="false">IF($A321&gt;0,IF(AND(K$4=$G321,K$6=$F321),$D321*K$5,""),"")</f>
        <v/>
      </c>
      <c r="L321" s="2" t="str">
        <f aca="false">IF($A321&gt;0,IF(AND(L$4=$G321,L$6=$F321),$D321*L$5,""),"")</f>
        <v/>
      </c>
      <c r="M321" s="2" t="str">
        <f aca="false">IF($A321&gt;0,IF(AND(M$4=$G321,M$6=$F321),$D321*M$5,""),"")</f>
        <v/>
      </c>
      <c r="N321" s="1506" t="n">
        <f aca="false">VLOOKUP(B321,'O_MN, PE_UTA_UGM 2024'!$E$2:$K$419,IF(G321&gt;1,6,7))</f>
        <v>0</v>
      </c>
      <c r="O321" s="1434" t="str">
        <f aca="false">IF($H321=O$4,$D321*$N321,"")</f>
        <v/>
      </c>
      <c r="P321" s="1435" t="str">
        <f aca="false">IF($H321=P$4,$D321*$N321,"")</f>
        <v/>
      </c>
      <c r="Q321" s="1435" t="str">
        <f aca="false">IF($H321=Q$4,$D321*$N321,"")</f>
        <v/>
      </c>
      <c r="R321" s="1435" t="str">
        <f aca="false">IF($H321=R$4,$D321*$N321,"")</f>
        <v/>
      </c>
      <c r="S321" s="1435" t="str">
        <f aca="false">IF($H321=S$4,$D321*$N321,"")</f>
        <v/>
      </c>
      <c r="T321" s="1435" t="str">
        <f aca="false">IF($H321=T$4,$D321*$N321,"")</f>
        <v/>
      </c>
      <c r="U321" s="1436" t="str">
        <f aca="false">IF($H321=U$4,$D321*$N321,"")</f>
        <v/>
      </c>
      <c r="V321" s="1472"/>
      <c r="W321" s="1471"/>
      <c r="X321" s="1471"/>
      <c r="Y321" s="1471"/>
      <c r="Z321" s="1471"/>
      <c r="AA321" s="1471"/>
      <c r="AB321" s="1473"/>
      <c r="AC321" s="1319"/>
      <c r="AD321" s="2" t="str">
        <f aca="false">IF(AND(AD$4=$G321,AD$6=$F321),$B321,"")</f>
        <v/>
      </c>
      <c r="AE321" s="2" t="str">
        <f aca="false">IF(AND(AE$4=$G321,AE$6=$F321),$B321,"")</f>
        <v/>
      </c>
      <c r="AF321" s="2" t="str">
        <f aca="false">IF(AND(AF$4=$G321,AF$6=$F321),$B321,"")</f>
        <v/>
      </c>
      <c r="AG321" s="2" t="str">
        <f aca="false">IF(AND(AG$4=$G321,AG$6=$F321),$B321,"")</f>
        <v/>
      </c>
      <c r="AI321" s="366"/>
      <c r="AL321" s="367"/>
      <c r="AO321" s="367"/>
      <c r="AP321" s="2" t="str">
        <f aca="false">IF(AT321&gt;0,RANK(AT321,AT$7:AT$423),"")</f>
        <v/>
      </c>
      <c r="AQ321" s="1475" t="n">
        <f aca="false">'O_MN, PE_UTA_UGM 2024'!C317</f>
        <v>343</v>
      </c>
      <c r="AR321" s="1421" t="n">
        <v>3180</v>
      </c>
      <c r="AS321" s="2" t="str">
        <f aca="false">IF(AY321&lt;&gt;"",AY321,"")</f>
        <v/>
      </c>
      <c r="AT321" s="1422" t="n">
        <f aca="false">IF(ISNUMBER($AR321),SUMIF(B$7:B$505,AR321,D$7:D$505),"")</f>
        <v>0</v>
      </c>
      <c r="AU321" s="1411" t="n">
        <f aca="false">IF(ISNUMBER($AR321),SUMIF(AD$7:AD$503,$AR321,J$7:J$503),"")</f>
        <v>0</v>
      </c>
      <c r="AV321" s="1411" t="n">
        <f aca="false">IF(ISNUMBER($AR321),SUMIF(AF$7:AF$503,$AR321,L$7:L$503),"")</f>
        <v>0</v>
      </c>
      <c r="AW321" s="1423" t="n">
        <f aca="false">IF(ISNUMBER($AR321),SUMIF(AE$7:AE$503,$AR321,K$7:K$503),"")</f>
        <v>0</v>
      </c>
      <c r="AX321" s="1423" t="n">
        <f aca="false">IF(ISNUMBER($AR321),SUMIF(AG$7:AG$503,$AR321,M$7:M$503),"")</f>
        <v>0</v>
      </c>
      <c r="AY321" s="2" t="str">
        <f aca="false">IF($AT321&gt;0,VLOOKUP($AR321,'O_MN, PE_UTA_UGM 2024'!E317:O733,2),"")</f>
        <v/>
      </c>
      <c r="AZ321" s="1507"/>
      <c r="BA321" s="1507"/>
      <c r="BB321" s="1507" t="str">
        <f aca="false">IF($AT321&gt;0,VLOOKUP($AR321,'O_MN, PE_UTA_UGM 2024'!$E$3:$O$419,BB$6),"")</f>
        <v/>
      </c>
      <c r="BC321" s="1507" t="str">
        <f aca="false">IF($AT321&gt;0,VLOOKUP($AR321,'O_MN, PE_UTA_UGM 2024'!$E$3:$O$419,BC$6),"")</f>
        <v/>
      </c>
      <c r="BD321" s="1507" t="str">
        <f aca="false">IF($AT321&gt;0,VLOOKUP($AR321,'O_MN, PE_UTA_UGM 2024'!$E$3:$O$419,BD$6),"")</f>
        <v/>
      </c>
      <c r="BE321" s="1507" t="str">
        <f aca="false">IF($AT321&gt;0,VLOOKUP($AR321,'O_MN, PE_UTA_UGM 2024'!$E$3:$O$419,BE$6),"")</f>
        <v/>
      </c>
      <c r="BF321" s="1507" t="str">
        <f aca="false">IF($AT321&gt;0,VLOOKUP($AR321,'O_MN, PE_UTA_UGM 2024'!$E$3:$O$419,BF$6),"")</f>
        <v/>
      </c>
      <c r="BG321" s="1507" t="str">
        <f aca="false">IF($AT321&gt;0,VLOOKUP($AR321,'O_MN, PE_UTA_UGM 2024'!$E$3:$O$419,BG$6),"")</f>
        <v/>
      </c>
      <c r="BH321" s="1504"/>
      <c r="BI321" s="1504"/>
      <c r="BJ321" s="1504"/>
      <c r="BK321" s="1504"/>
      <c r="BM321" s="1411"/>
      <c r="BN321" s="1411"/>
      <c r="BO321" s="1425" t="str">
        <f aca="false">IF(ISNUMBER($AU321*BB321*1),$AU321*BB321*1,"")</f>
        <v/>
      </c>
      <c r="BP321" s="1425" t="str">
        <f aca="false">IF(ISNUMBER($AV321*BC321*1),$AV321*BC321*1,"")</f>
        <v/>
      </c>
      <c r="BQ321" s="1425" t="str">
        <f aca="false">IF(ISNUMBER($AU321*BD321*1),$AU321*BD321*1,"")</f>
        <v/>
      </c>
      <c r="BR321" s="1425" t="str">
        <f aca="false">IF(ISNUMBER($AV321*BE321*1),$AV321*BE321*1,"")</f>
        <v/>
      </c>
      <c r="BS321" s="1411" t="str">
        <f aca="false">IF(ISNUMBER($AU321*BF321),$AU321*BF321,"")</f>
        <v/>
      </c>
      <c r="BT321" s="1411" t="str">
        <f aca="false">IF(ISNUMBER($AV321*BG321),$AV321*BG321,"")</f>
        <v/>
      </c>
      <c r="BU321" s="1411"/>
      <c r="BV321" s="1411"/>
      <c r="BW321" s="1411"/>
      <c r="BX321" s="1411"/>
      <c r="BZ321" s="1372"/>
      <c r="CA321" s="1372"/>
      <c r="CB321" s="1426" t="str">
        <f aca="false">IF(ISNUMBER($AW321*BB321),$AW321*BB321,"")</f>
        <v/>
      </c>
      <c r="CC321" s="1426" t="str">
        <f aca="false">IF(ISNUMBER($AX321*BC321),$AX321*BC321,"")</f>
        <v/>
      </c>
      <c r="CD321" s="1426" t="str">
        <f aca="false">IF(ISNUMBER($AW321*BD321),$AW321*BD321,"")</f>
        <v/>
      </c>
      <c r="CE321" s="1426" t="str">
        <f aca="false">IF(ISNUMBER($AX321*BE321),$AX321*BE321,"")</f>
        <v/>
      </c>
      <c r="CF321" s="1372" t="str">
        <f aca="false">IF(ISNUMBER($AW321*BF321),$AW321*BF321,"")</f>
        <v/>
      </c>
      <c r="CG321" s="1372" t="str">
        <f aca="false">IF(ISNUMBER($AX321*BG321),$AX321*BG321,"")</f>
        <v/>
      </c>
      <c r="CH321" s="1438"/>
      <c r="CI321" s="1438"/>
      <c r="CJ321" s="1438"/>
      <c r="CK321" s="1438"/>
      <c r="CU321" s="1411"/>
      <c r="CV321" s="1411"/>
      <c r="CW321" s="1425"/>
      <c r="CX321" s="1425"/>
      <c r="CY321" s="1425"/>
      <c r="CZ321" s="1425"/>
      <c r="DA321" s="1411"/>
      <c r="DB321" s="1411"/>
      <c r="DC321" s="1411"/>
      <c r="DD321" s="1411"/>
      <c r="DE321" s="1411"/>
      <c r="DF321" s="1411"/>
      <c r="DH321" s="1432"/>
      <c r="DI321" s="1432"/>
      <c r="DJ321" s="1437"/>
      <c r="DK321" s="1437"/>
      <c r="DL321" s="1437"/>
      <c r="DM321" s="1437"/>
      <c r="DN321" s="1432"/>
      <c r="DO321" s="1432"/>
      <c r="DP321" s="1432"/>
      <c r="DQ321" s="1432"/>
      <c r="DR321" s="1432"/>
      <c r="DS321" s="1432"/>
      <c r="DT321" s="1316"/>
      <c r="DU321" s="1433"/>
      <c r="DV321" s="1433"/>
      <c r="DW321" s="1433"/>
      <c r="DX321" s="1433"/>
      <c r="DY321" s="1433"/>
      <c r="DZ321" s="1433"/>
      <c r="EA321" s="1433"/>
      <c r="EB321" s="1433"/>
    </row>
    <row r="322" customFormat="false" ht="14.25" hidden="false" customHeight="false" outlineLevel="0" collapsed="false">
      <c r="A322" s="2" t="n">
        <f aca="false">'V_DATOS PAC_SGA'!CC317</f>
        <v>0</v>
      </c>
      <c r="B322" s="2" t="n">
        <f aca="false">IF(OR(A322=0,A322=""),0,IF(I322="IV",CONCATENATE('V_DATOS PAC_SGA'!CC317,"4")+0,CONCATENATE('V_DATOS PAC_SGA'!CC317,"0")+0))</f>
        <v>0</v>
      </c>
      <c r="C322" s="2" t="n">
        <f aca="false">'V_DATOS PAC_SGA'!CD317</f>
        <v>0</v>
      </c>
      <c r="D322" s="1409" t="n">
        <f aca="false">'V_DATOS PAC_SGA'!Y317</f>
        <v>0</v>
      </c>
      <c r="E322" s="1410" t="str">
        <f aca="false">IF('V_DATOS PAC_SGA'!AV317="","Regadio",'V_DATOS PAC_SGA'!AV317)</f>
        <v>Regadio</v>
      </c>
      <c r="F322" s="1411" t="n">
        <f aca="false">'V_DATOS PAC_SGA'!BK317</f>
        <v>0</v>
      </c>
      <c r="G322" s="1412" t="n">
        <f aca="false">'V_DATOS PAC_SGA'!AN317</f>
        <v>0</v>
      </c>
      <c r="H322" s="1413" t="str">
        <f aca="false">IF(B322&gt;0,VLOOKUP(B322,'O_MN, PE_UTA_UGM 2024'!E$3:O$419,10),"")</f>
        <v/>
      </c>
      <c r="I322" s="1359" t="str">
        <f aca="false">IF('V_DATOS PAC_SGA'!BV317="IV",'V_DATOS PAC_SGA'!BV317,"")</f>
        <v/>
      </c>
      <c r="J322" s="2" t="str">
        <f aca="false">IF($A322&gt;0,IF(AND(J$4=$G322,J$6=$F322),$D322*J$5,""),"")</f>
        <v/>
      </c>
      <c r="K322" s="2" t="str">
        <f aca="false">IF($A322&gt;0,IF(AND(K$4=$G322,K$6=$F322),$D322*K$5,""),"")</f>
        <v/>
      </c>
      <c r="L322" s="2" t="str">
        <f aca="false">IF($A322&gt;0,IF(AND(L$4=$G322,L$6=$F322),$D322*L$5,""),"")</f>
        <v/>
      </c>
      <c r="M322" s="2" t="str">
        <f aca="false">IF($A322&gt;0,IF(AND(M$4=$G322,M$6=$F322),$D322*M$5,""),"")</f>
        <v/>
      </c>
      <c r="N322" s="1506" t="n">
        <f aca="false">VLOOKUP(B322,'O_MN, PE_UTA_UGM 2024'!$E$2:$K$419,IF(G322&gt;1,6,7))</f>
        <v>0</v>
      </c>
      <c r="O322" s="1434" t="str">
        <f aca="false">IF($H322=O$4,$D322*$N322,"")</f>
        <v/>
      </c>
      <c r="P322" s="1435" t="str">
        <f aca="false">IF($H322=P$4,$D322*$N322,"")</f>
        <v/>
      </c>
      <c r="Q322" s="1435" t="str">
        <f aca="false">IF($H322=Q$4,$D322*$N322,"")</f>
        <v/>
      </c>
      <c r="R322" s="1435" t="str">
        <f aca="false">IF($H322=R$4,$D322*$N322,"")</f>
        <v/>
      </c>
      <c r="S322" s="1435" t="str">
        <f aca="false">IF($H322=S$4,$D322*$N322,"")</f>
        <v/>
      </c>
      <c r="T322" s="1435" t="str">
        <f aca="false">IF($H322=T$4,$D322*$N322,"")</f>
        <v/>
      </c>
      <c r="U322" s="1436" t="str">
        <f aca="false">IF($H322=U$4,$D322*$N322,"")</f>
        <v/>
      </c>
      <c r="V322" s="1472"/>
      <c r="W322" s="1471"/>
      <c r="X322" s="1471"/>
      <c r="Y322" s="1471"/>
      <c r="Z322" s="1471"/>
      <c r="AA322" s="1471"/>
      <c r="AB322" s="1473"/>
      <c r="AC322" s="1319"/>
      <c r="AD322" s="2" t="str">
        <f aca="false">IF(AND(AD$4=$G322,AD$6=$F322),$B322,"")</f>
        <v/>
      </c>
      <c r="AE322" s="2" t="str">
        <f aca="false">IF(AND(AE$4=$G322,AE$6=$F322),$B322,"")</f>
        <v/>
      </c>
      <c r="AF322" s="2" t="str">
        <f aca="false">IF(AND(AF$4=$G322,AF$6=$F322),$B322,"")</f>
        <v/>
      </c>
      <c r="AG322" s="2" t="str">
        <f aca="false">IF(AND(AG$4=$G322,AG$6=$F322),$B322,"")</f>
        <v/>
      </c>
      <c r="AI322" s="366"/>
      <c r="AL322" s="367"/>
      <c r="AO322" s="367"/>
      <c r="AP322" s="2" t="str">
        <f aca="false">IF(AT322&gt;0,RANK(AT322,AT$7:AT$423),"")</f>
        <v/>
      </c>
      <c r="AQ322" s="1475" t="n">
        <f aca="false">'O_MN, PE_UTA_UGM 2024'!C318</f>
        <v>344</v>
      </c>
      <c r="AR322" s="1421" t="n">
        <v>3190</v>
      </c>
      <c r="AS322" s="2" t="str">
        <f aca="false">IF(AY322&lt;&gt;"",AY322,"")</f>
        <v/>
      </c>
      <c r="AT322" s="1422" t="n">
        <f aca="false">IF(ISNUMBER($AR322),SUMIF(B$7:B$505,AR322,D$7:D$505),"")</f>
        <v>0</v>
      </c>
      <c r="AU322" s="1411" t="n">
        <f aca="false">IF(ISNUMBER($AR322),SUMIF(AD$7:AD$503,$AR322,J$7:J$503),"")</f>
        <v>0</v>
      </c>
      <c r="AV322" s="1411" t="n">
        <f aca="false">IF(ISNUMBER($AR322),SUMIF(AF$7:AF$503,$AR322,L$7:L$503),"")</f>
        <v>0</v>
      </c>
      <c r="AW322" s="1423" t="n">
        <f aca="false">IF(ISNUMBER($AR322),SUMIF(AE$7:AE$503,$AR322,K$7:K$503),"")</f>
        <v>0</v>
      </c>
      <c r="AX322" s="1423" t="n">
        <f aca="false">IF(ISNUMBER($AR322),SUMIF(AG$7:AG$503,$AR322,M$7:M$503),"")</f>
        <v>0</v>
      </c>
      <c r="AY322" s="2" t="str">
        <f aca="false">IF($AT322&gt;0,VLOOKUP($AR322,'O_MN, PE_UTA_UGM 2024'!E318:O734,2),"")</f>
        <v/>
      </c>
      <c r="AZ322" s="1507"/>
      <c r="BA322" s="1507"/>
      <c r="BB322" s="1507" t="str">
        <f aca="false">IF($AT322&gt;0,VLOOKUP($AR322,'O_MN, PE_UTA_UGM 2024'!$E$3:$O$419,BB$6),"")</f>
        <v/>
      </c>
      <c r="BC322" s="1507" t="str">
        <f aca="false">IF($AT322&gt;0,VLOOKUP($AR322,'O_MN, PE_UTA_UGM 2024'!$E$3:$O$419,BC$6),"")</f>
        <v/>
      </c>
      <c r="BD322" s="1507" t="str">
        <f aca="false">IF($AT322&gt;0,VLOOKUP($AR322,'O_MN, PE_UTA_UGM 2024'!$E$3:$O$419,BD$6),"")</f>
        <v/>
      </c>
      <c r="BE322" s="1507" t="str">
        <f aca="false">IF($AT322&gt;0,VLOOKUP($AR322,'O_MN, PE_UTA_UGM 2024'!$E$3:$O$419,BE$6),"")</f>
        <v/>
      </c>
      <c r="BF322" s="1507" t="str">
        <f aca="false">IF($AT322&gt;0,VLOOKUP($AR322,'O_MN, PE_UTA_UGM 2024'!$E$3:$O$419,BF$6),"")</f>
        <v/>
      </c>
      <c r="BG322" s="1507" t="str">
        <f aca="false">IF($AT322&gt;0,VLOOKUP($AR322,'O_MN, PE_UTA_UGM 2024'!$E$3:$O$419,BG$6),"")</f>
        <v/>
      </c>
      <c r="BH322" s="1504"/>
      <c r="BI322" s="1504"/>
      <c r="BJ322" s="1504"/>
      <c r="BK322" s="1504"/>
      <c r="BM322" s="1411"/>
      <c r="BN322" s="1411"/>
      <c r="BO322" s="1425" t="str">
        <f aca="false">IF(ISNUMBER($AU322*BB322*1),$AU322*BB322*1,"")</f>
        <v/>
      </c>
      <c r="BP322" s="1425" t="str">
        <f aca="false">IF(ISNUMBER($AV322*BC322*1),$AV322*BC322*1,"")</f>
        <v/>
      </c>
      <c r="BQ322" s="1425" t="str">
        <f aca="false">IF(ISNUMBER($AU322*BD322*1),$AU322*BD322*1,"")</f>
        <v/>
      </c>
      <c r="BR322" s="1425" t="str">
        <f aca="false">IF(ISNUMBER($AV322*BE322*1),$AV322*BE322*1,"")</f>
        <v/>
      </c>
      <c r="BS322" s="1411" t="str">
        <f aca="false">IF(ISNUMBER($AU322*BF322),$AU322*BF322,"")</f>
        <v/>
      </c>
      <c r="BT322" s="1411" t="str">
        <f aca="false">IF(ISNUMBER($AV322*BG322),$AV322*BG322,"")</f>
        <v/>
      </c>
      <c r="BU322" s="1411"/>
      <c r="BV322" s="1411"/>
      <c r="BW322" s="1411"/>
      <c r="BX322" s="1411"/>
      <c r="BZ322" s="1372"/>
      <c r="CA322" s="1372"/>
      <c r="CB322" s="1426" t="str">
        <f aca="false">IF(ISNUMBER($AW322*BB322),$AW322*BB322,"")</f>
        <v/>
      </c>
      <c r="CC322" s="1426" t="str">
        <f aca="false">IF(ISNUMBER($AX322*BC322),$AX322*BC322,"")</f>
        <v/>
      </c>
      <c r="CD322" s="1426" t="str">
        <f aca="false">IF(ISNUMBER($AW322*BD322),$AW322*BD322,"")</f>
        <v/>
      </c>
      <c r="CE322" s="1426" t="str">
        <f aca="false">IF(ISNUMBER($AX322*BE322),$AX322*BE322,"")</f>
        <v/>
      </c>
      <c r="CF322" s="1372" t="str">
        <f aca="false">IF(ISNUMBER($AW322*BF322),$AW322*BF322,"")</f>
        <v/>
      </c>
      <c r="CG322" s="1372" t="str">
        <f aca="false">IF(ISNUMBER($AX322*BG322),$AX322*BG322,"")</f>
        <v/>
      </c>
      <c r="CH322" s="1438"/>
      <c r="CI322" s="1438"/>
      <c r="CJ322" s="1438"/>
      <c r="CK322" s="1438"/>
      <c r="CU322" s="1411"/>
      <c r="CV322" s="1411"/>
      <c r="CW322" s="1425"/>
      <c r="CX322" s="1425"/>
      <c r="CY322" s="1425"/>
      <c r="CZ322" s="1425"/>
      <c r="DA322" s="1411"/>
      <c r="DB322" s="1411"/>
      <c r="DC322" s="1411"/>
      <c r="DD322" s="1411"/>
      <c r="DE322" s="1411"/>
      <c r="DF322" s="1411"/>
      <c r="DH322" s="1432"/>
      <c r="DI322" s="1432"/>
      <c r="DJ322" s="1437"/>
      <c r="DK322" s="1437"/>
      <c r="DL322" s="1437"/>
      <c r="DM322" s="1437"/>
      <c r="DN322" s="1432"/>
      <c r="DO322" s="1432"/>
      <c r="DP322" s="1432"/>
      <c r="DQ322" s="1432"/>
      <c r="DR322" s="1432"/>
      <c r="DS322" s="1432"/>
      <c r="DT322" s="1316"/>
      <c r="DU322" s="1433"/>
      <c r="DV322" s="1433"/>
      <c r="DW322" s="1433"/>
      <c r="DX322" s="1433"/>
      <c r="DY322" s="1433"/>
      <c r="DZ322" s="1433"/>
      <c r="EA322" s="1433"/>
      <c r="EB322" s="1433"/>
    </row>
    <row r="323" customFormat="false" ht="14.25" hidden="false" customHeight="false" outlineLevel="0" collapsed="false">
      <c r="A323" s="2" t="n">
        <f aca="false">'V_DATOS PAC_SGA'!CC318</f>
        <v>0</v>
      </c>
      <c r="B323" s="2" t="n">
        <f aca="false">IF(OR(A323=0,A323=""),0,IF(I323="IV",CONCATENATE('V_DATOS PAC_SGA'!CC318,"4")+0,CONCATENATE('V_DATOS PAC_SGA'!CC318,"0")+0))</f>
        <v>0</v>
      </c>
      <c r="C323" s="2" t="n">
        <f aca="false">'V_DATOS PAC_SGA'!CD318</f>
        <v>0</v>
      </c>
      <c r="D323" s="1409" t="n">
        <f aca="false">'V_DATOS PAC_SGA'!Y318</f>
        <v>0</v>
      </c>
      <c r="E323" s="1410" t="str">
        <f aca="false">IF('V_DATOS PAC_SGA'!AV318="","Regadio",'V_DATOS PAC_SGA'!AV318)</f>
        <v>Regadio</v>
      </c>
      <c r="F323" s="1411" t="n">
        <f aca="false">'V_DATOS PAC_SGA'!BK318</f>
        <v>0</v>
      </c>
      <c r="G323" s="1412" t="n">
        <f aca="false">'V_DATOS PAC_SGA'!AN318</f>
        <v>0</v>
      </c>
      <c r="H323" s="1413" t="str">
        <f aca="false">IF(B323&gt;0,VLOOKUP(B323,'O_MN, PE_UTA_UGM 2024'!E$3:O$419,10),"")</f>
        <v/>
      </c>
      <c r="I323" s="1359" t="str">
        <f aca="false">IF('V_DATOS PAC_SGA'!BV318="IV",'V_DATOS PAC_SGA'!BV318,"")</f>
        <v/>
      </c>
      <c r="J323" s="2" t="str">
        <f aca="false">IF($A323&gt;0,IF(AND(J$4=$G323,J$6=$F323),$D323*J$5,""),"")</f>
        <v/>
      </c>
      <c r="K323" s="2" t="str">
        <f aca="false">IF($A323&gt;0,IF(AND(K$4=$G323,K$6=$F323),$D323*K$5,""),"")</f>
        <v/>
      </c>
      <c r="L323" s="2" t="str">
        <f aca="false">IF($A323&gt;0,IF(AND(L$4=$G323,L$6=$F323),$D323*L$5,""),"")</f>
        <v/>
      </c>
      <c r="M323" s="2" t="str">
        <f aca="false">IF($A323&gt;0,IF(AND(M$4=$G323,M$6=$F323),$D323*M$5,""),"")</f>
        <v/>
      </c>
      <c r="N323" s="1506" t="n">
        <f aca="false">VLOOKUP(B323,'O_MN, PE_UTA_UGM 2024'!$E$2:$K$419,IF(G323&gt;1,6,7))</f>
        <v>0</v>
      </c>
      <c r="O323" s="1434" t="str">
        <f aca="false">IF($H323=O$4,$D323*$N323,"")</f>
        <v/>
      </c>
      <c r="P323" s="1435" t="str">
        <f aca="false">IF($H323=P$4,$D323*$N323,"")</f>
        <v/>
      </c>
      <c r="Q323" s="1435" t="str">
        <f aca="false">IF($H323=Q$4,$D323*$N323,"")</f>
        <v/>
      </c>
      <c r="R323" s="1435" t="str">
        <f aca="false">IF($H323=R$4,$D323*$N323,"")</f>
        <v/>
      </c>
      <c r="S323" s="1435" t="str">
        <f aca="false">IF($H323=S$4,$D323*$N323,"")</f>
        <v/>
      </c>
      <c r="T323" s="1435" t="str">
        <f aca="false">IF($H323=T$4,$D323*$N323,"")</f>
        <v/>
      </c>
      <c r="U323" s="1436" t="str">
        <f aca="false">IF($H323=U$4,$D323*$N323,"")</f>
        <v/>
      </c>
      <c r="V323" s="1472"/>
      <c r="W323" s="1471"/>
      <c r="X323" s="1471"/>
      <c r="Y323" s="1471"/>
      <c r="Z323" s="1471"/>
      <c r="AA323" s="1471"/>
      <c r="AB323" s="1473"/>
      <c r="AC323" s="1319"/>
      <c r="AD323" s="2" t="str">
        <f aca="false">IF(AND(AD$4=$G323,AD$6=$F323),$B323,"")</f>
        <v/>
      </c>
      <c r="AE323" s="2" t="str">
        <f aca="false">IF(AND(AE$4=$G323,AE$6=$F323),$B323,"")</f>
        <v/>
      </c>
      <c r="AF323" s="2" t="str">
        <f aca="false">IF(AND(AF$4=$G323,AF$6=$F323),$B323,"")</f>
        <v/>
      </c>
      <c r="AG323" s="2" t="str">
        <f aca="false">IF(AND(AG$4=$G323,AG$6=$F323),$B323,"")</f>
        <v/>
      </c>
      <c r="AI323" s="366"/>
      <c r="AL323" s="367"/>
      <c r="AO323" s="367"/>
      <c r="AP323" s="2" t="str">
        <f aca="false">IF(AT323&gt;0,RANK(AT323,AT$7:AT$423),"")</f>
        <v/>
      </c>
      <c r="AQ323" s="1475" t="n">
        <f aca="false">'O_MN, PE_UTA_UGM 2024'!C319</f>
        <v>345</v>
      </c>
      <c r="AR323" s="1421" t="n">
        <v>3200</v>
      </c>
      <c r="AS323" s="2" t="str">
        <f aca="false">IF(AY323&lt;&gt;"",AY323,"")</f>
        <v/>
      </c>
      <c r="AT323" s="1422" t="n">
        <f aca="false">IF(ISNUMBER($AR323),SUMIF(B$7:B$505,AR323,D$7:D$505),"")</f>
        <v>0</v>
      </c>
      <c r="AU323" s="1411" t="n">
        <f aca="false">IF(ISNUMBER($AR323),SUMIF(AD$7:AD$503,$AR323,J$7:J$503),"")</f>
        <v>0</v>
      </c>
      <c r="AV323" s="1411" t="n">
        <f aca="false">IF(ISNUMBER($AR323),SUMIF(AF$7:AF$503,$AR323,L$7:L$503),"")</f>
        <v>0</v>
      </c>
      <c r="AW323" s="1423" t="n">
        <f aca="false">IF(ISNUMBER($AR323),SUMIF(AE$7:AE$503,$AR323,K$7:K$503),"")</f>
        <v>0</v>
      </c>
      <c r="AX323" s="1423" t="n">
        <f aca="false">IF(ISNUMBER($AR323),SUMIF(AG$7:AG$503,$AR323,M$7:M$503),"")</f>
        <v>0</v>
      </c>
      <c r="AY323" s="2" t="str">
        <f aca="false">IF($AT323&gt;0,VLOOKUP($AR323,'O_MN, PE_UTA_UGM 2024'!E319:O735,2),"")</f>
        <v/>
      </c>
      <c r="AZ323" s="1507"/>
      <c r="BA323" s="1507"/>
      <c r="BB323" s="1507" t="str">
        <f aca="false">IF($AT323&gt;0,VLOOKUP($AR323,'O_MN, PE_UTA_UGM 2024'!$E$3:$O$419,BB$6),"")</f>
        <v/>
      </c>
      <c r="BC323" s="1507" t="str">
        <f aca="false">IF($AT323&gt;0,VLOOKUP($AR323,'O_MN, PE_UTA_UGM 2024'!$E$3:$O$419,BC$6),"")</f>
        <v/>
      </c>
      <c r="BD323" s="1507" t="str">
        <f aca="false">IF($AT323&gt;0,VLOOKUP($AR323,'O_MN, PE_UTA_UGM 2024'!$E$3:$O$419,BD$6),"")</f>
        <v/>
      </c>
      <c r="BE323" s="1507" t="str">
        <f aca="false">IF($AT323&gt;0,VLOOKUP($AR323,'O_MN, PE_UTA_UGM 2024'!$E$3:$O$419,BE$6),"")</f>
        <v/>
      </c>
      <c r="BF323" s="1507" t="str">
        <f aca="false">IF($AT323&gt;0,VLOOKUP($AR323,'O_MN, PE_UTA_UGM 2024'!$E$3:$O$419,BF$6),"")</f>
        <v/>
      </c>
      <c r="BG323" s="1507" t="str">
        <f aca="false">IF($AT323&gt;0,VLOOKUP($AR323,'O_MN, PE_UTA_UGM 2024'!$E$3:$O$419,BG$6),"")</f>
        <v/>
      </c>
      <c r="BH323" s="1504"/>
      <c r="BI323" s="1504"/>
      <c r="BJ323" s="1504"/>
      <c r="BK323" s="1504"/>
      <c r="BM323" s="1411"/>
      <c r="BN323" s="1411"/>
      <c r="BO323" s="1425" t="str">
        <f aca="false">IF(ISNUMBER($AU323*BB323*1),$AU323*BB323*1,"")</f>
        <v/>
      </c>
      <c r="BP323" s="1425" t="str">
        <f aca="false">IF(ISNUMBER($AV323*BC323*1),$AV323*BC323*1,"")</f>
        <v/>
      </c>
      <c r="BQ323" s="1425" t="str">
        <f aca="false">IF(ISNUMBER($AU323*BD323*1),$AU323*BD323*1,"")</f>
        <v/>
      </c>
      <c r="BR323" s="1425" t="str">
        <f aca="false">IF(ISNUMBER($AV323*BE323*1),$AV323*BE323*1,"")</f>
        <v/>
      </c>
      <c r="BS323" s="1411" t="str">
        <f aca="false">IF(ISNUMBER($AU323*BF323),$AU323*BF323,"")</f>
        <v/>
      </c>
      <c r="BT323" s="1411" t="str">
        <f aca="false">IF(ISNUMBER($AV323*BG323),$AV323*BG323,"")</f>
        <v/>
      </c>
      <c r="BU323" s="1411"/>
      <c r="BV323" s="1411"/>
      <c r="BW323" s="1411"/>
      <c r="BX323" s="1411"/>
      <c r="BZ323" s="1372"/>
      <c r="CA323" s="1372"/>
      <c r="CB323" s="1426" t="str">
        <f aca="false">IF(ISNUMBER($AW323*BB323),$AW323*BB323,"")</f>
        <v/>
      </c>
      <c r="CC323" s="1426" t="str">
        <f aca="false">IF(ISNUMBER($AX323*BC323),$AX323*BC323,"")</f>
        <v/>
      </c>
      <c r="CD323" s="1426" t="str">
        <f aca="false">IF(ISNUMBER($AW323*BD323),$AW323*BD323,"")</f>
        <v/>
      </c>
      <c r="CE323" s="1426" t="str">
        <f aca="false">IF(ISNUMBER($AX323*BE323),$AX323*BE323,"")</f>
        <v/>
      </c>
      <c r="CF323" s="1372" t="str">
        <f aca="false">IF(ISNUMBER($AW323*BF323),$AW323*BF323,"")</f>
        <v/>
      </c>
      <c r="CG323" s="1372" t="str">
        <f aca="false">IF(ISNUMBER($AX323*BG323),$AX323*BG323,"")</f>
        <v/>
      </c>
      <c r="CH323" s="1438"/>
      <c r="CI323" s="1438"/>
      <c r="CJ323" s="1438"/>
      <c r="CK323" s="1438"/>
      <c r="CU323" s="1411"/>
      <c r="CV323" s="1411"/>
      <c r="CW323" s="1425"/>
      <c r="CX323" s="1425"/>
      <c r="CY323" s="1425"/>
      <c r="CZ323" s="1425"/>
      <c r="DA323" s="1411"/>
      <c r="DB323" s="1411"/>
      <c r="DC323" s="1411"/>
      <c r="DD323" s="1411"/>
      <c r="DE323" s="1411"/>
      <c r="DF323" s="1411"/>
      <c r="DH323" s="1432"/>
      <c r="DI323" s="1432"/>
      <c r="DJ323" s="1437"/>
      <c r="DK323" s="1437"/>
      <c r="DL323" s="1437"/>
      <c r="DM323" s="1437"/>
      <c r="DN323" s="1432"/>
      <c r="DO323" s="1432"/>
      <c r="DP323" s="1432"/>
      <c r="DQ323" s="1432"/>
      <c r="DR323" s="1432"/>
      <c r="DS323" s="1432"/>
      <c r="DT323" s="1316"/>
      <c r="DU323" s="1433"/>
      <c r="DV323" s="1433"/>
      <c r="DW323" s="1433"/>
      <c r="DX323" s="1433"/>
      <c r="DY323" s="1433"/>
      <c r="DZ323" s="1433"/>
      <c r="EA323" s="1433"/>
      <c r="EB323" s="1433"/>
    </row>
    <row r="324" customFormat="false" ht="14.25" hidden="false" customHeight="false" outlineLevel="0" collapsed="false">
      <c r="A324" s="2" t="n">
        <f aca="false">'V_DATOS PAC_SGA'!CC319</f>
        <v>0</v>
      </c>
      <c r="B324" s="2" t="n">
        <f aca="false">IF(OR(A324=0,A324=""),0,IF(I324="IV",CONCATENATE('V_DATOS PAC_SGA'!CC319,"4")+0,CONCATENATE('V_DATOS PAC_SGA'!CC319,"0")+0))</f>
        <v>0</v>
      </c>
      <c r="C324" s="2" t="n">
        <f aca="false">'V_DATOS PAC_SGA'!CD319</f>
        <v>0</v>
      </c>
      <c r="D324" s="1409" t="n">
        <f aca="false">'V_DATOS PAC_SGA'!Y319</f>
        <v>0</v>
      </c>
      <c r="E324" s="1410" t="str">
        <f aca="false">IF('V_DATOS PAC_SGA'!AV319="","Regadio",'V_DATOS PAC_SGA'!AV319)</f>
        <v>Regadio</v>
      </c>
      <c r="F324" s="1411" t="n">
        <f aca="false">'V_DATOS PAC_SGA'!BK319</f>
        <v>0</v>
      </c>
      <c r="G324" s="1412" t="n">
        <f aca="false">'V_DATOS PAC_SGA'!AN319</f>
        <v>0</v>
      </c>
      <c r="H324" s="1413" t="str">
        <f aca="false">IF(B324&gt;0,VLOOKUP(B324,'O_MN, PE_UTA_UGM 2024'!E$3:O$419,10),"")</f>
        <v/>
      </c>
      <c r="I324" s="1359" t="str">
        <f aca="false">IF('V_DATOS PAC_SGA'!BV319="IV",'V_DATOS PAC_SGA'!BV319,"")</f>
        <v/>
      </c>
      <c r="J324" s="2" t="str">
        <f aca="false">IF($A324&gt;0,IF(AND(J$4=$G324,J$6=$F324),$D324*J$5,""),"")</f>
        <v/>
      </c>
      <c r="K324" s="2" t="str">
        <f aca="false">IF($A324&gt;0,IF(AND(K$4=$G324,K$6=$F324),$D324*K$5,""),"")</f>
        <v/>
      </c>
      <c r="L324" s="2" t="str">
        <f aca="false">IF($A324&gt;0,IF(AND(L$4=$G324,L$6=$F324),$D324*L$5,""),"")</f>
        <v/>
      </c>
      <c r="M324" s="2" t="str">
        <f aca="false">IF($A324&gt;0,IF(AND(M$4=$G324,M$6=$F324),$D324*M$5,""),"")</f>
        <v/>
      </c>
      <c r="N324" s="1506" t="n">
        <f aca="false">VLOOKUP(B324,'O_MN, PE_UTA_UGM 2024'!$E$2:$K$419,IF(G324&gt;1,6,7))</f>
        <v>0</v>
      </c>
      <c r="O324" s="1434" t="str">
        <f aca="false">IF($H324=O$4,$D324*$N324,"")</f>
        <v/>
      </c>
      <c r="P324" s="1435" t="str">
        <f aca="false">IF($H324=P$4,$D324*$N324,"")</f>
        <v/>
      </c>
      <c r="Q324" s="1435" t="str">
        <f aca="false">IF($H324=Q$4,$D324*$N324,"")</f>
        <v/>
      </c>
      <c r="R324" s="1435" t="str">
        <f aca="false">IF($H324=R$4,$D324*$N324,"")</f>
        <v/>
      </c>
      <c r="S324" s="1435" t="str">
        <f aca="false">IF($H324=S$4,$D324*$N324,"")</f>
        <v/>
      </c>
      <c r="T324" s="1435" t="str">
        <f aca="false">IF($H324=T$4,$D324*$N324,"")</f>
        <v/>
      </c>
      <c r="U324" s="1436" t="str">
        <f aca="false">IF($H324=U$4,$D324*$N324,"")</f>
        <v/>
      </c>
      <c r="V324" s="1472"/>
      <c r="W324" s="1471"/>
      <c r="X324" s="1471"/>
      <c r="Y324" s="1471"/>
      <c r="Z324" s="1471"/>
      <c r="AA324" s="1471"/>
      <c r="AB324" s="1473"/>
      <c r="AC324" s="1319"/>
      <c r="AD324" s="2" t="str">
        <f aca="false">IF(AND(AD$4=$G324,AD$6=$F324),$B324,"")</f>
        <v/>
      </c>
      <c r="AE324" s="2" t="str">
        <f aca="false">IF(AND(AE$4=$G324,AE$6=$F324),$B324,"")</f>
        <v/>
      </c>
      <c r="AF324" s="2" t="str">
        <f aca="false">IF(AND(AF$4=$G324,AF$6=$F324),$B324,"")</f>
        <v/>
      </c>
      <c r="AG324" s="2" t="str">
        <f aca="false">IF(AND(AG$4=$G324,AG$6=$F324),$B324,"")</f>
        <v/>
      </c>
      <c r="AI324" s="366"/>
      <c r="AL324" s="367"/>
      <c r="AO324" s="367"/>
      <c r="AP324" s="2" t="str">
        <f aca="false">IF(AT324&gt;0,RANK(AT324,AT$7:AT$423),"")</f>
        <v/>
      </c>
      <c r="AQ324" s="1475" t="n">
        <f aca="false">'O_MN, PE_UTA_UGM 2024'!C320</f>
        <v>346</v>
      </c>
      <c r="AR324" s="1421" t="n">
        <v>3220</v>
      </c>
      <c r="AS324" s="2" t="str">
        <f aca="false">IF(AY324&lt;&gt;"",AY324,"")</f>
        <v/>
      </c>
      <c r="AT324" s="1422" t="n">
        <f aca="false">IF(ISNUMBER($AR324),SUMIF(B$7:B$505,AR324,D$7:D$505),"")</f>
        <v>0</v>
      </c>
      <c r="AU324" s="1411" t="n">
        <f aca="false">IF(ISNUMBER($AR324),SUMIF(AD$7:AD$503,$AR324,J$7:J$503),"")</f>
        <v>0</v>
      </c>
      <c r="AV324" s="1411" t="n">
        <f aca="false">IF(ISNUMBER($AR324),SUMIF(AF$7:AF$503,$AR324,L$7:L$503),"")</f>
        <v>0</v>
      </c>
      <c r="AW324" s="1423" t="n">
        <f aca="false">IF(ISNUMBER($AR324),SUMIF(AE$7:AE$503,$AR324,K$7:K$503),"")</f>
        <v>0</v>
      </c>
      <c r="AX324" s="1423" t="n">
        <f aca="false">IF(ISNUMBER($AR324),SUMIF(AG$7:AG$503,$AR324,M$7:M$503),"")</f>
        <v>0</v>
      </c>
      <c r="AY324" s="2" t="str">
        <f aca="false">IF($AT324&gt;0,VLOOKUP($AR324,'O_MN, PE_UTA_UGM 2024'!E320:O736,2),"")</f>
        <v/>
      </c>
      <c r="AZ324" s="1507"/>
      <c r="BA324" s="1507"/>
      <c r="BB324" s="1507" t="str">
        <f aca="false">IF($AT324&gt;0,VLOOKUP($AR324,'O_MN, PE_UTA_UGM 2024'!$E$3:$O$419,BB$6),"")</f>
        <v/>
      </c>
      <c r="BC324" s="1507" t="str">
        <f aca="false">IF($AT324&gt;0,VLOOKUP($AR324,'O_MN, PE_UTA_UGM 2024'!$E$3:$O$419,BC$6),"")</f>
        <v/>
      </c>
      <c r="BD324" s="1507" t="str">
        <f aca="false">IF($AT324&gt;0,VLOOKUP($AR324,'O_MN, PE_UTA_UGM 2024'!$E$3:$O$419,BD$6),"")</f>
        <v/>
      </c>
      <c r="BE324" s="1507" t="str">
        <f aca="false">IF($AT324&gt;0,VLOOKUP($AR324,'O_MN, PE_UTA_UGM 2024'!$E$3:$O$419,BE$6),"")</f>
        <v/>
      </c>
      <c r="BF324" s="1507" t="str">
        <f aca="false">IF($AT324&gt;0,VLOOKUP($AR324,'O_MN, PE_UTA_UGM 2024'!$E$3:$O$419,BF$6),"")</f>
        <v/>
      </c>
      <c r="BG324" s="1507" t="str">
        <f aca="false">IF($AT324&gt;0,VLOOKUP($AR324,'O_MN, PE_UTA_UGM 2024'!$E$3:$O$419,BG$6),"")</f>
        <v/>
      </c>
      <c r="BH324" s="1504"/>
      <c r="BI324" s="1504"/>
      <c r="BJ324" s="1504"/>
      <c r="BK324" s="1504"/>
      <c r="BM324" s="1411"/>
      <c r="BN324" s="1411"/>
      <c r="BO324" s="1425" t="str">
        <f aca="false">IF(ISNUMBER($AU324*BB324*1),$AU324*BB324*1,"")</f>
        <v/>
      </c>
      <c r="BP324" s="1425" t="str">
        <f aca="false">IF(ISNUMBER($AV324*BC324*1),$AV324*BC324*1,"")</f>
        <v/>
      </c>
      <c r="BQ324" s="1425" t="str">
        <f aca="false">IF(ISNUMBER($AU324*BD324*1),$AU324*BD324*1,"")</f>
        <v/>
      </c>
      <c r="BR324" s="1425" t="str">
        <f aca="false">IF(ISNUMBER($AV324*BE324*1),$AV324*BE324*1,"")</f>
        <v/>
      </c>
      <c r="BS324" s="1411" t="str">
        <f aca="false">IF(ISNUMBER($AU324*BF324),$AU324*BF324,"")</f>
        <v/>
      </c>
      <c r="BT324" s="1411" t="str">
        <f aca="false">IF(ISNUMBER($AV324*BG324),$AV324*BG324,"")</f>
        <v/>
      </c>
      <c r="BU324" s="1411"/>
      <c r="BV324" s="1411"/>
      <c r="BW324" s="1411"/>
      <c r="BX324" s="1411"/>
      <c r="BZ324" s="1372"/>
      <c r="CA324" s="1372"/>
      <c r="CB324" s="1426" t="str">
        <f aca="false">IF(ISNUMBER($AW324*BB324),$AW324*BB324,"")</f>
        <v/>
      </c>
      <c r="CC324" s="1426" t="str">
        <f aca="false">IF(ISNUMBER($AX324*BC324),$AX324*BC324,"")</f>
        <v/>
      </c>
      <c r="CD324" s="1426" t="str">
        <f aca="false">IF(ISNUMBER($AW324*BD324),$AW324*BD324,"")</f>
        <v/>
      </c>
      <c r="CE324" s="1426" t="str">
        <f aca="false">IF(ISNUMBER($AX324*BE324),$AX324*BE324,"")</f>
        <v/>
      </c>
      <c r="CF324" s="1372" t="str">
        <f aca="false">IF(ISNUMBER($AW324*BF324),$AW324*BF324,"")</f>
        <v/>
      </c>
      <c r="CG324" s="1372" t="str">
        <f aca="false">IF(ISNUMBER($AX324*BG324),$AX324*BG324,"")</f>
        <v/>
      </c>
      <c r="CH324" s="1438"/>
      <c r="CI324" s="1438"/>
      <c r="CJ324" s="1438"/>
      <c r="CK324" s="1438"/>
      <c r="CU324" s="1411"/>
      <c r="CV324" s="1411"/>
      <c r="CW324" s="1425"/>
      <c r="CX324" s="1425"/>
      <c r="CY324" s="1425"/>
      <c r="CZ324" s="1425"/>
      <c r="DA324" s="1411"/>
      <c r="DB324" s="1411"/>
      <c r="DC324" s="1411"/>
      <c r="DD324" s="1411"/>
      <c r="DE324" s="1411"/>
      <c r="DF324" s="1411"/>
      <c r="DH324" s="1432"/>
      <c r="DI324" s="1432"/>
      <c r="DJ324" s="1437"/>
      <c r="DK324" s="1437"/>
      <c r="DL324" s="1437"/>
      <c r="DM324" s="1437"/>
      <c r="DN324" s="1432"/>
      <c r="DO324" s="1432"/>
      <c r="DP324" s="1432"/>
      <c r="DQ324" s="1432"/>
      <c r="DR324" s="1432"/>
      <c r="DS324" s="1432"/>
      <c r="DT324" s="1316"/>
      <c r="DU324" s="1433"/>
      <c r="DV324" s="1433"/>
      <c r="DW324" s="1433"/>
      <c r="DX324" s="1433"/>
      <c r="DY324" s="1433"/>
      <c r="DZ324" s="1433"/>
      <c r="EA324" s="1433"/>
      <c r="EB324" s="1433"/>
    </row>
    <row r="325" customFormat="false" ht="14.25" hidden="false" customHeight="false" outlineLevel="0" collapsed="false">
      <c r="A325" s="2" t="n">
        <f aca="false">'V_DATOS PAC_SGA'!CC320</f>
        <v>0</v>
      </c>
      <c r="B325" s="2" t="n">
        <f aca="false">IF(OR(A325=0,A325=""),0,IF(I325="IV",CONCATENATE('V_DATOS PAC_SGA'!CC320,"4")+0,CONCATENATE('V_DATOS PAC_SGA'!CC320,"0")+0))</f>
        <v>0</v>
      </c>
      <c r="C325" s="2" t="n">
        <f aca="false">'V_DATOS PAC_SGA'!CD320</f>
        <v>0</v>
      </c>
      <c r="D325" s="1409" t="n">
        <f aca="false">'V_DATOS PAC_SGA'!Y320</f>
        <v>0</v>
      </c>
      <c r="E325" s="1410" t="str">
        <f aca="false">IF('V_DATOS PAC_SGA'!AV320="","Regadio",'V_DATOS PAC_SGA'!AV320)</f>
        <v>Regadio</v>
      </c>
      <c r="F325" s="1411" t="n">
        <f aca="false">'V_DATOS PAC_SGA'!BK320</f>
        <v>0</v>
      </c>
      <c r="G325" s="1412" t="n">
        <f aca="false">'V_DATOS PAC_SGA'!AN320</f>
        <v>0</v>
      </c>
      <c r="H325" s="1413" t="str">
        <f aca="false">IF(B325&gt;0,VLOOKUP(B325,'O_MN, PE_UTA_UGM 2024'!E$3:O$419,10),"")</f>
        <v/>
      </c>
      <c r="I325" s="1359" t="str">
        <f aca="false">IF('V_DATOS PAC_SGA'!BV320="IV",'V_DATOS PAC_SGA'!BV320,"")</f>
        <v/>
      </c>
      <c r="J325" s="2" t="str">
        <f aca="false">IF($A325&gt;0,IF(AND(J$4=$G325,J$6=$F325),$D325*J$5,""),"")</f>
        <v/>
      </c>
      <c r="K325" s="2" t="str">
        <f aca="false">IF($A325&gt;0,IF(AND(K$4=$G325,K$6=$F325),$D325*K$5,""),"")</f>
        <v/>
      </c>
      <c r="L325" s="2" t="str">
        <f aca="false">IF($A325&gt;0,IF(AND(L$4=$G325,L$6=$F325),$D325*L$5,""),"")</f>
        <v/>
      </c>
      <c r="M325" s="2" t="str">
        <f aca="false">IF($A325&gt;0,IF(AND(M$4=$G325,M$6=$F325),$D325*M$5,""),"")</f>
        <v/>
      </c>
      <c r="N325" s="1506" t="n">
        <f aca="false">VLOOKUP(B325,'O_MN, PE_UTA_UGM 2024'!$E$2:$K$419,IF(G325&gt;1,6,7))</f>
        <v>0</v>
      </c>
      <c r="O325" s="1434" t="str">
        <f aca="false">IF($H325=O$4,$D325*$N325,"")</f>
        <v/>
      </c>
      <c r="P325" s="1435" t="str">
        <f aca="false">IF($H325=P$4,$D325*$N325,"")</f>
        <v/>
      </c>
      <c r="Q325" s="1435" t="str">
        <f aca="false">IF($H325=Q$4,$D325*$N325,"")</f>
        <v/>
      </c>
      <c r="R325" s="1435" t="str">
        <f aca="false">IF($H325=R$4,$D325*$N325,"")</f>
        <v/>
      </c>
      <c r="S325" s="1435" t="str">
        <f aca="false">IF($H325=S$4,$D325*$N325,"")</f>
        <v/>
      </c>
      <c r="T325" s="1435" t="str">
        <f aca="false">IF($H325=T$4,$D325*$N325,"")</f>
        <v/>
      </c>
      <c r="U325" s="1436" t="str">
        <f aca="false">IF($H325=U$4,$D325*$N325,"")</f>
        <v/>
      </c>
      <c r="V325" s="1472"/>
      <c r="W325" s="1471"/>
      <c r="X325" s="1471"/>
      <c r="Y325" s="1471"/>
      <c r="Z325" s="1471"/>
      <c r="AA325" s="1471"/>
      <c r="AB325" s="1473"/>
      <c r="AC325" s="1319"/>
      <c r="AD325" s="2" t="str">
        <f aca="false">IF(AND(AD$4=$G325,AD$6=$F325),$B325,"")</f>
        <v/>
      </c>
      <c r="AE325" s="2" t="str">
        <f aca="false">IF(AND(AE$4=$G325,AE$6=$F325),$B325,"")</f>
        <v/>
      </c>
      <c r="AF325" s="2" t="str">
        <f aca="false">IF(AND(AF$4=$G325,AF$6=$F325),$B325,"")</f>
        <v/>
      </c>
      <c r="AG325" s="2" t="str">
        <f aca="false">IF(AND(AG$4=$G325,AG$6=$F325),$B325,"")</f>
        <v/>
      </c>
      <c r="AI325" s="366"/>
      <c r="AL325" s="367"/>
      <c r="AO325" s="367"/>
      <c r="AP325" s="2" t="str">
        <f aca="false">IF(AT325&gt;0,RANK(AT325,AT$7:AT$423),"")</f>
        <v/>
      </c>
      <c r="AQ325" s="1475" t="n">
        <f aca="false">'O_MN, PE_UTA_UGM 2024'!C321</f>
        <v>347</v>
      </c>
      <c r="AR325" s="1421" t="n">
        <v>3230</v>
      </c>
      <c r="AS325" s="2" t="str">
        <f aca="false">IF(AY325&lt;&gt;"",AY325,"")</f>
        <v/>
      </c>
      <c r="AT325" s="1422" t="n">
        <f aca="false">IF(ISNUMBER($AR325),SUMIF(B$7:B$505,AR325,D$7:D$505),"")</f>
        <v>0</v>
      </c>
      <c r="AU325" s="1411" t="n">
        <f aca="false">IF(ISNUMBER($AR325),SUMIF(AD$7:AD$503,$AR325,J$7:J$503),"")</f>
        <v>0</v>
      </c>
      <c r="AV325" s="1411" t="n">
        <f aca="false">IF(ISNUMBER($AR325),SUMIF(AF$7:AF$503,$AR325,L$7:L$503),"")</f>
        <v>0</v>
      </c>
      <c r="AW325" s="1423" t="n">
        <f aca="false">IF(ISNUMBER($AR325),SUMIF(AE$7:AE$503,$AR325,K$7:K$503),"")</f>
        <v>0</v>
      </c>
      <c r="AX325" s="1423" t="n">
        <f aca="false">IF(ISNUMBER($AR325),SUMIF(AG$7:AG$503,$AR325,M$7:M$503),"")</f>
        <v>0</v>
      </c>
      <c r="AY325" s="2" t="str">
        <f aca="false">IF($AT325&gt;0,VLOOKUP($AR325,'O_MN, PE_UTA_UGM 2024'!E321:O737,2),"")</f>
        <v/>
      </c>
      <c r="AZ325" s="1507"/>
      <c r="BA325" s="1507"/>
      <c r="BB325" s="1507" t="str">
        <f aca="false">IF($AT325&gt;0,VLOOKUP($AR325,'O_MN, PE_UTA_UGM 2024'!$E$3:$O$419,BB$6),"")</f>
        <v/>
      </c>
      <c r="BC325" s="1507" t="str">
        <f aca="false">IF($AT325&gt;0,VLOOKUP($AR325,'O_MN, PE_UTA_UGM 2024'!$E$3:$O$419,BC$6),"")</f>
        <v/>
      </c>
      <c r="BD325" s="1507" t="str">
        <f aca="false">IF($AT325&gt;0,VLOOKUP($AR325,'O_MN, PE_UTA_UGM 2024'!$E$3:$O$419,BD$6),"")</f>
        <v/>
      </c>
      <c r="BE325" s="1507" t="str">
        <f aca="false">IF($AT325&gt;0,VLOOKUP($AR325,'O_MN, PE_UTA_UGM 2024'!$E$3:$O$419,BE$6),"")</f>
        <v/>
      </c>
      <c r="BF325" s="1507" t="str">
        <f aca="false">IF($AT325&gt;0,VLOOKUP($AR325,'O_MN, PE_UTA_UGM 2024'!$E$3:$O$419,BF$6),"")</f>
        <v/>
      </c>
      <c r="BG325" s="1507" t="str">
        <f aca="false">IF($AT325&gt;0,VLOOKUP($AR325,'O_MN, PE_UTA_UGM 2024'!$E$3:$O$419,BG$6),"")</f>
        <v/>
      </c>
      <c r="BH325" s="1504"/>
      <c r="BI325" s="1504"/>
      <c r="BJ325" s="1504"/>
      <c r="BK325" s="1504"/>
      <c r="BM325" s="1411"/>
      <c r="BN325" s="1411"/>
      <c r="BO325" s="1425" t="str">
        <f aca="false">IF(ISNUMBER($AU325*BB325*1),$AU325*BB325*1,"")</f>
        <v/>
      </c>
      <c r="BP325" s="1425" t="str">
        <f aca="false">IF(ISNUMBER($AV325*BC325*1),$AV325*BC325*1,"")</f>
        <v/>
      </c>
      <c r="BQ325" s="1425" t="str">
        <f aca="false">IF(ISNUMBER($AU325*BD325*1),$AU325*BD325*1,"")</f>
        <v/>
      </c>
      <c r="BR325" s="1425" t="str">
        <f aca="false">IF(ISNUMBER($AV325*BE325*1),$AV325*BE325*1,"")</f>
        <v/>
      </c>
      <c r="BS325" s="1411" t="str">
        <f aca="false">IF(ISNUMBER($AU325*BF325),$AU325*BF325,"")</f>
        <v/>
      </c>
      <c r="BT325" s="1411" t="str">
        <f aca="false">IF(ISNUMBER($AV325*BG325),$AV325*BG325,"")</f>
        <v/>
      </c>
      <c r="BU325" s="1411"/>
      <c r="BV325" s="1411"/>
      <c r="BW325" s="1411"/>
      <c r="BX325" s="1411"/>
      <c r="BZ325" s="1372"/>
      <c r="CA325" s="1372"/>
      <c r="CB325" s="1426" t="str">
        <f aca="false">IF(ISNUMBER($AW325*BB325),$AW325*BB325,"")</f>
        <v/>
      </c>
      <c r="CC325" s="1426" t="str">
        <f aca="false">IF(ISNUMBER($AX325*BC325),$AX325*BC325,"")</f>
        <v/>
      </c>
      <c r="CD325" s="1426" t="str">
        <f aca="false">IF(ISNUMBER($AW325*BD325),$AW325*BD325,"")</f>
        <v/>
      </c>
      <c r="CE325" s="1426" t="str">
        <f aca="false">IF(ISNUMBER($AX325*BE325),$AX325*BE325,"")</f>
        <v/>
      </c>
      <c r="CF325" s="1372" t="str">
        <f aca="false">IF(ISNUMBER($AW325*BF325),$AW325*BF325,"")</f>
        <v/>
      </c>
      <c r="CG325" s="1372" t="str">
        <f aca="false">IF(ISNUMBER($AX325*BG325),$AX325*BG325,"")</f>
        <v/>
      </c>
      <c r="CH325" s="1438"/>
      <c r="CI325" s="1438"/>
      <c r="CJ325" s="1438"/>
      <c r="CK325" s="1438"/>
      <c r="CU325" s="1411"/>
      <c r="CV325" s="1411"/>
      <c r="CW325" s="1425"/>
      <c r="CX325" s="1425"/>
      <c r="CY325" s="1425"/>
      <c r="CZ325" s="1425"/>
      <c r="DA325" s="1411"/>
      <c r="DB325" s="1411"/>
      <c r="DC325" s="1411"/>
      <c r="DD325" s="1411"/>
      <c r="DE325" s="1411"/>
      <c r="DF325" s="1411"/>
      <c r="DH325" s="1432"/>
      <c r="DI325" s="1432"/>
      <c r="DJ325" s="1437"/>
      <c r="DK325" s="1437"/>
      <c r="DL325" s="1437"/>
      <c r="DM325" s="1437"/>
      <c r="DN325" s="1432"/>
      <c r="DO325" s="1432"/>
      <c r="DP325" s="1432"/>
      <c r="DQ325" s="1432"/>
      <c r="DR325" s="1432"/>
      <c r="DS325" s="1432"/>
      <c r="DT325" s="1316"/>
      <c r="DU325" s="1433"/>
      <c r="DV325" s="1433"/>
      <c r="DW325" s="1433"/>
      <c r="DX325" s="1433"/>
      <c r="DY325" s="1433"/>
      <c r="DZ325" s="1433"/>
      <c r="EA325" s="1433"/>
      <c r="EB325" s="1433"/>
    </row>
    <row r="326" customFormat="false" ht="14.25" hidden="false" customHeight="false" outlineLevel="0" collapsed="false">
      <c r="A326" s="2" t="n">
        <f aca="false">'V_DATOS PAC_SGA'!CC321</f>
        <v>0</v>
      </c>
      <c r="B326" s="2" t="n">
        <f aca="false">IF(OR(A326=0,A326=""),0,IF(I326="IV",CONCATENATE('V_DATOS PAC_SGA'!CC321,"4")+0,CONCATENATE('V_DATOS PAC_SGA'!CC321,"0")+0))</f>
        <v>0</v>
      </c>
      <c r="C326" s="2" t="n">
        <f aca="false">'V_DATOS PAC_SGA'!CD321</f>
        <v>0</v>
      </c>
      <c r="D326" s="1409" t="n">
        <f aca="false">'V_DATOS PAC_SGA'!Y321</f>
        <v>0</v>
      </c>
      <c r="E326" s="1410" t="str">
        <f aca="false">IF('V_DATOS PAC_SGA'!AV321="","Regadio",'V_DATOS PAC_SGA'!AV321)</f>
        <v>Regadio</v>
      </c>
      <c r="F326" s="1411" t="n">
        <f aca="false">'V_DATOS PAC_SGA'!BK321</f>
        <v>0</v>
      </c>
      <c r="G326" s="1412" t="n">
        <f aca="false">'V_DATOS PAC_SGA'!AN321</f>
        <v>0</v>
      </c>
      <c r="H326" s="1413" t="str">
        <f aca="false">IF(B326&gt;0,VLOOKUP(B326,'O_MN, PE_UTA_UGM 2024'!E$3:O$419,10),"")</f>
        <v/>
      </c>
      <c r="I326" s="1359" t="str">
        <f aca="false">IF('V_DATOS PAC_SGA'!BV321="IV",'V_DATOS PAC_SGA'!BV321,"")</f>
        <v/>
      </c>
      <c r="J326" s="2" t="str">
        <f aca="false">IF($A326&gt;0,IF(AND(J$4=$G326,J$6=$F326),$D326*J$5,""),"")</f>
        <v/>
      </c>
      <c r="K326" s="2" t="str">
        <f aca="false">IF($A326&gt;0,IF(AND(K$4=$G326,K$6=$F326),$D326*K$5,""),"")</f>
        <v/>
      </c>
      <c r="L326" s="2" t="str">
        <f aca="false">IF($A326&gt;0,IF(AND(L$4=$G326,L$6=$F326),$D326*L$5,""),"")</f>
        <v/>
      </c>
      <c r="M326" s="2" t="str">
        <f aca="false">IF($A326&gt;0,IF(AND(M$4=$G326,M$6=$F326),$D326*M$5,""),"")</f>
        <v/>
      </c>
      <c r="N326" s="1506" t="n">
        <f aca="false">VLOOKUP(B326,'O_MN, PE_UTA_UGM 2024'!$E$2:$K$419,IF(G326&gt;1,6,7))</f>
        <v>0</v>
      </c>
      <c r="O326" s="1434" t="str">
        <f aca="false">IF($H326=O$4,$D326*$N326,"")</f>
        <v/>
      </c>
      <c r="P326" s="1435" t="str">
        <f aca="false">IF($H326=P$4,$D326*$N326,"")</f>
        <v/>
      </c>
      <c r="Q326" s="1435" t="str">
        <f aca="false">IF($H326=Q$4,$D326*$N326,"")</f>
        <v/>
      </c>
      <c r="R326" s="1435" t="str">
        <f aca="false">IF($H326=R$4,$D326*$N326,"")</f>
        <v/>
      </c>
      <c r="S326" s="1435" t="str">
        <f aca="false">IF($H326=S$4,$D326*$N326,"")</f>
        <v/>
      </c>
      <c r="T326" s="1435" t="str">
        <f aca="false">IF($H326=T$4,$D326*$N326,"")</f>
        <v/>
      </c>
      <c r="U326" s="1436" t="str">
        <f aca="false">IF($H326=U$4,$D326*$N326,"")</f>
        <v/>
      </c>
      <c r="V326" s="1472"/>
      <c r="W326" s="1471"/>
      <c r="X326" s="1471"/>
      <c r="Y326" s="1471"/>
      <c r="Z326" s="1471"/>
      <c r="AA326" s="1471"/>
      <c r="AB326" s="1473"/>
      <c r="AC326" s="1319"/>
      <c r="AD326" s="2" t="str">
        <f aca="false">IF(AND(AD$4=$G326,AD$6=$F326),$B326,"")</f>
        <v/>
      </c>
      <c r="AE326" s="2" t="str">
        <f aca="false">IF(AND(AE$4=$G326,AE$6=$F326),$B326,"")</f>
        <v/>
      </c>
      <c r="AF326" s="2" t="str">
        <f aca="false">IF(AND(AF$4=$G326,AF$6=$F326),$B326,"")</f>
        <v/>
      </c>
      <c r="AG326" s="2" t="str">
        <f aca="false">IF(AND(AG$4=$G326,AG$6=$F326),$B326,"")</f>
        <v/>
      </c>
      <c r="AI326" s="366"/>
      <c r="AL326" s="367"/>
      <c r="AO326" s="367"/>
      <c r="AP326" s="2" t="str">
        <f aca="false">IF(AT326&gt;0,RANK(AT326,AT$7:AT$423),"")</f>
        <v/>
      </c>
      <c r="AQ326" s="1475" t="n">
        <f aca="false">'O_MN, PE_UTA_UGM 2024'!C322</f>
        <v>348</v>
      </c>
      <c r="AR326" s="1421" t="n">
        <v>3240</v>
      </c>
      <c r="AS326" s="2" t="str">
        <f aca="false">IF(AY326&lt;&gt;"",AY326,"")</f>
        <v/>
      </c>
      <c r="AT326" s="1422" t="n">
        <f aca="false">IF(ISNUMBER($AR326),SUMIF(B$7:B$505,AR326,D$7:D$505),"")</f>
        <v>0</v>
      </c>
      <c r="AU326" s="1411" t="n">
        <f aca="false">IF(ISNUMBER($AR326),SUMIF(AD$7:AD$503,$AR326,J$7:J$503),"")</f>
        <v>0</v>
      </c>
      <c r="AV326" s="1411" t="n">
        <f aca="false">IF(ISNUMBER($AR326),SUMIF(AF$7:AF$503,$AR326,L$7:L$503),"")</f>
        <v>0</v>
      </c>
      <c r="AW326" s="1423" t="n">
        <f aca="false">IF(ISNUMBER($AR326),SUMIF(AE$7:AE$503,$AR326,K$7:K$503),"")</f>
        <v>0</v>
      </c>
      <c r="AX326" s="1423" t="n">
        <f aca="false">IF(ISNUMBER($AR326),SUMIF(AG$7:AG$503,$AR326,M$7:M$503),"")</f>
        <v>0</v>
      </c>
      <c r="AY326" s="2" t="str">
        <f aca="false">IF($AT326&gt;0,VLOOKUP($AR326,'O_MN, PE_UTA_UGM 2024'!E322:O738,2),"")</f>
        <v/>
      </c>
      <c r="AZ326" s="1507"/>
      <c r="BA326" s="1507"/>
      <c r="BB326" s="1507" t="str">
        <f aca="false">IF($AT326&gt;0,VLOOKUP($AR326,'O_MN, PE_UTA_UGM 2024'!$E$3:$O$419,BB$6),"")</f>
        <v/>
      </c>
      <c r="BC326" s="1507" t="str">
        <f aca="false">IF($AT326&gt;0,VLOOKUP($AR326,'O_MN, PE_UTA_UGM 2024'!$E$3:$O$419,BC$6),"")</f>
        <v/>
      </c>
      <c r="BD326" s="1507" t="str">
        <f aca="false">IF($AT326&gt;0,VLOOKUP($AR326,'O_MN, PE_UTA_UGM 2024'!$E$3:$O$419,BD$6),"")</f>
        <v/>
      </c>
      <c r="BE326" s="1507" t="str">
        <f aca="false">IF($AT326&gt;0,VLOOKUP($AR326,'O_MN, PE_UTA_UGM 2024'!$E$3:$O$419,BE$6),"")</f>
        <v/>
      </c>
      <c r="BF326" s="1507" t="str">
        <f aca="false">IF($AT326&gt;0,VLOOKUP($AR326,'O_MN, PE_UTA_UGM 2024'!$E$3:$O$419,BF$6),"")</f>
        <v/>
      </c>
      <c r="BG326" s="1507" t="str">
        <f aca="false">IF($AT326&gt;0,VLOOKUP($AR326,'O_MN, PE_UTA_UGM 2024'!$E$3:$O$419,BG$6),"")</f>
        <v/>
      </c>
      <c r="BH326" s="1504"/>
      <c r="BI326" s="1504"/>
      <c r="BJ326" s="1504"/>
      <c r="BK326" s="1504"/>
      <c r="BM326" s="1411"/>
      <c r="BN326" s="1411"/>
      <c r="BO326" s="1425" t="str">
        <f aca="false">IF(ISNUMBER($AU326*BB326*1),$AU326*BB326*1,"")</f>
        <v/>
      </c>
      <c r="BP326" s="1425" t="str">
        <f aca="false">IF(ISNUMBER($AV326*BC326*1),$AV326*BC326*1,"")</f>
        <v/>
      </c>
      <c r="BQ326" s="1425" t="str">
        <f aca="false">IF(ISNUMBER($AU326*BD326*1),$AU326*BD326*1,"")</f>
        <v/>
      </c>
      <c r="BR326" s="1425" t="str">
        <f aca="false">IF(ISNUMBER($AV326*BE326*1),$AV326*BE326*1,"")</f>
        <v/>
      </c>
      <c r="BS326" s="1411" t="str">
        <f aca="false">IF(ISNUMBER($AU326*BF326),$AU326*BF326,"")</f>
        <v/>
      </c>
      <c r="BT326" s="1411" t="str">
        <f aca="false">IF(ISNUMBER($AV326*BG326),$AV326*BG326,"")</f>
        <v/>
      </c>
      <c r="BU326" s="1411"/>
      <c r="BV326" s="1411"/>
      <c r="BW326" s="1411"/>
      <c r="BX326" s="1411"/>
      <c r="BZ326" s="1372"/>
      <c r="CA326" s="1372"/>
      <c r="CB326" s="1426" t="str">
        <f aca="false">IF(ISNUMBER($AW326*BB326),$AW326*BB326,"")</f>
        <v/>
      </c>
      <c r="CC326" s="1426" t="str">
        <f aca="false">IF(ISNUMBER($AX326*BC326),$AX326*BC326,"")</f>
        <v/>
      </c>
      <c r="CD326" s="1426" t="str">
        <f aca="false">IF(ISNUMBER($AW326*BD326),$AW326*BD326,"")</f>
        <v/>
      </c>
      <c r="CE326" s="1426" t="str">
        <f aca="false">IF(ISNUMBER($AX326*BE326),$AX326*BE326,"")</f>
        <v/>
      </c>
      <c r="CF326" s="1372" t="str">
        <f aca="false">IF(ISNUMBER($AW326*BF326),$AW326*BF326,"")</f>
        <v/>
      </c>
      <c r="CG326" s="1372" t="str">
        <f aca="false">IF(ISNUMBER($AX326*BG326),$AX326*BG326,"")</f>
        <v/>
      </c>
      <c r="CH326" s="1438"/>
      <c r="CI326" s="1438"/>
      <c r="CJ326" s="1438"/>
      <c r="CK326" s="1438"/>
      <c r="CU326" s="1411"/>
      <c r="CV326" s="1411"/>
      <c r="CW326" s="1425"/>
      <c r="CX326" s="1425"/>
      <c r="CY326" s="1425"/>
      <c r="CZ326" s="1425"/>
      <c r="DA326" s="1411"/>
      <c r="DB326" s="1411"/>
      <c r="DC326" s="1411"/>
      <c r="DD326" s="1411"/>
      <c r="DE326" s="1411"/>
      <c r="DF326" s="1411"/>
      <c r="DH326" s="1432"/>
      <c r="DI326" s="1432"/>
      <c r="DJ326" s="1437"/>
      <c r="DK326" s="1437"/>
      <c r="DL326" s="1437"/>
      <c r="DM326" s="1437"/>
      <c r="DN326" s="1432"/>
      <c r="DO326" s="1432"/>
      <c r="DP326" s="1432"/>
      <c r="DQ326" s="1432"/>
      <c r="DR326" s="1432"/>
      <c r="DS326" s="1432"/>
      <c r="DT326" s="1316"/>
      <c r="DU326" s="1433"/>
      <c r="DV326" s="1433"/>
      <c r="DW326" s="1433"/>
      <c r="DX326" s="1433"/>
      <c r="DY326" s="1433"/>
      <c r="DZ326" s="1433"/>
      <c r="EA326" s="1433"/>
      <c r="EB326" s="1433"/>
    </row>
    <row r="327" customFormat="false" ht="14.25" hidden="false" customHeight="false" outlineLevel="0" collapsed="false">
      <c r="A327" s="2" t="n">
        <f aca="false">'V_DATOS PAC_SGA'!CC322</f>
        <v>0</v>
      </c>
      <c r="B327" s="2" t="n">
        <f aca="false">IF(OR(A327=0,A327=""),0,IF(I327="IV",CONCATENATE('V_DATOS PAC_SGA'!CC322,"4")+0,CONCATENATE('V_DATOS PAC_SGA'!CC322,"0")+0))</f>
        <v>0</v>
      </c>
      <c r="C327" s="2" t="n">
        <f aca="false">'V_DATOS PAC_SGA'!CD322</f>
        <v>0</v>
      </c>
      <c r="D327" s="1409" t="n">
        <f aca="false">'V_DATOS PAC_SGA'!Y322</f>
        <v>0</v>
      </c>
      <c r="E327" s="1410" t="str">
        <f aca="false">IF('V_DATOS PAC_SGA'!AV322="","Regadio",'V_DATOS PAC_SGA'!AV322)</f>
        <v>Regadio</v>
      </c>
      <c r="F327" s="1411" t="n">
        <f aca="false">'V_DATOS PAC_SGA'!BK322</f>
        <v>0</v>
      </c>
      <c r="G327" s="1412" t="n">
        <f aca="false">'V_DATOS PAC_SGA'!AN322</f>
        <v>0</v>
      </c>
      <c r="H327" s="1413" t="str">
        <f aca="false">IF(B327&gt;0,VLOOKUP(B327,'O_MN, PE_UTA_UGM 2024'!E$3:O$419,10),"")</f>
        <v/>
      </c>
      <c r="I327" s="1359" t="str">
        <f aca="false">IF('V_DATOS PAC_SGA'!BV322="IV",'V_DATOS PAC_SGA'!BV322,"")</f>
        <v/>
      </c>
      <c r="J327" s="2" t="str">
        <f aca="false">IF($A327&gt;0,IF(AND(J$4=$G327,J$6=$F327),$D327*J$5,""),"")</f>
        <v/>
      </c>
      <c r="K327" s="2" t="str">
        <f aca="false">IF($A327&gt;0,IF(AND(K$4=$G327,K$6=$F327),$D327*K$5,""),"")</f>
        <v/>
      </c>
      <c r="L327" s="2" t="str">
        <f aca="false">IF($A327&gt;0,IF(AND(L$4=$G327,L$6=$F327),$D327*L$5,""),"")</f>
        <v/>
      </c>
      <c r="M327" s="2" t="str">
        <f aca="false">IF($A327&gt;0,IF(AND(M$4=$G327,M$6=$F327),$D327*M$5,""),"")</f>
        <v/>
      </c>
      <c r="N327" s="1506" t="n">
        <f aca="false">VLOOKUP(B327,'O_MN, PE_UTA_UGM 2024'!$E$2:$K$419,IF(G327&gt;1,6,7))</f>
        <v>0</v>
      </c>
      <c r="O327" s="1434" t="str">
        <f aca="false">IF($H327=O$4,$D327*$N327,"")</f>
        <v/>
      </c>
      <c r="P327" s="1435" t="str">
        <f aca="false">IF($H327=P$4,$D327*$N327,"")</f>
        <v/>
      </c>
      <c r="Q327" s="1435" t="str">
        <f aca="false">IF($H327=Q$4,$D327*$N327,"")</f>
        <v/>
      </c>
      <c r="R327" s="1435" t="str">
        <f aca="false">IF($H327=R$4,$D327*$N327,"")</f>
        <v/>
      </c>
      <c r="S327" s="1435" t="str">
        <f aca="false">IF($H327=S$4,$D327*$N327,"")</f>
        <v/>
      </c>
      <c r="T327" s="1435" t="str">
        <f aca="false">IF($H327=T$4,$D327*$N327,"")</f>
        <v/>
      </c>
      <c r="U327" s="1436" t="str">
        <f aca="false">IF($H327=U$4,$D327*$N327,"")</f>
        <v/>
      </c>
      <c r="V327" s="1472"/>
      <c r="W327" s="1471"/>
      <c r="X327" s="1471"/>
      <c r="Y327" s="1471"/>
      <c r="Z327" s="1471"/>
      <c r="AA327" s="1471"/>
      <c r="AB327" s="1473"/>
      <c r="AC327" s="1319"/>
      <c r="AD327" s="2" t="str">
        <f aca="false">IF(AND(AD$4=$G327,AD$6=$F327),$B327,"")</f>
        <v/>
      </c>
      <c r="AE327" s="2" t="str">
        <f aca="false">IF(AND(AE$4=$G327,AE$6=$F327),$B327,"")</f>
        <v/>
      </c>
      <c r="AF327" s="2" t="str">
        <f aca="false">IF(AND(AF$4=$G327,AF$6=$F327),$B327,"")</f>
        <v/>
      </c>
      <c r="AG327" s="2" t="str">
        <f aca="false">IF(AND(AG$4=$G327,AG$6=$F327),$B327,"")</f>
        <v/>
      </c>
      <c r="AI327" s="366"/>
      <c r="AL327" s="367"/>
      <c r="AO327" s="367"/>
      <c r="AP327" s="2" t="str">
        <f aca="false">IF(AT327&gt;0,RANK(AT327,AT$7:AT$423),"")</f>
        <v/>
      </c>
      <c r="AQ327" s="1475" t="n">
        <f aca="false">'O_MN, PE_UTA_UGM 2024'!C323</f>
        <v>349</v>
      </c>
      <c r="AR327" s="1421" t="n">
        <v>3250</v>
      </c>
      <c r="AS327" s="2" t="str">
        <f aca="false">IF(AY327&lt;&gt;"",AY327,"")</f>
        <v/>
      </c>
      <c r="AT327" s="1422" t="n">
        <f aca="false">IF(ISNUMBER($AR327),SUMIF(B$7:B$505,AR327,D$7:D$505),"")</f>
        <v>0</v>
      </c>
      <c r="AU327" s="1411" t="n">
        <f aca="false">IF(ISNUMBER($AR327),SUMIF(AD$7:AD$503,$AR327,J$7:J$503),"")</f>
        <v>0</v>
      </c>
      <c r="AV327" s="1411" t="n">
        <f aca="false">IF(ISNUMBER($AR327),SUMIF(AF$7:AF$503,$AR327,L$7:L$503),"")</f>
        <v>0</v>
      </c>
      <c r="AW327" s="1423" t="n">
        <f aca="false">IF(ISNUMBER($AR327),SUMIF(AE$7:AE$503,$AR327,K$7:K$503),"")</f>
        <v>0</v>
      </c>
      <c r="AX327" s="1423" t="n">
        <f aca="false">IF(ISNUMBER($AR327),SUMIF(AG$7:AG$503,$AR327,M$7:M$503),"")</f>
        <v>0</v>
      </c>
      <c r="AY327" s="2" t="str">
        <f aca="false">IF($AT327&gt;0,VLOOKUP($AR327,'O_MN, PE_UTA_UGM 2024'!E323:O739,2),"")</f>
        <v/>
      </c>
      <c r="AZ327" s="1507"/>
      <c r="BA327" s="1507"/>
      <c r="BB327" s="1507" t="str">
        <f aca="false">IF($AT327&gt;0,VLOOKUP($AR327,'O_MN, PE_UTA_UGM 2024'!$E$3:$O$419,BB$6),"")</f>
        <v/>
      </c>
      <c r="BC327" s="1507" t="str">
        <f aca="false">IF($AT327&gt;0,VLOOKUP($AR327,'O_MN, PE_UTA_UGM 2024'!$E$3:$O$419,BC$6),"")</f>
        <v/>
      </c>
      <c r="BD327" s="1507" t="str">
        <f aca="false">IF($AT327&gt;0,VLOOKUP($AR327,'O_MN, PE_UTA_UGM 2024'!$E$3:$O$419,BD$6),"")</f>
        <v/>
      </c>
      <c r="BE327" s="1507" t="str">
        <f aca="false">IF($AT327&gt;0,VLOOKUP($AR327,'O_MN, PE_UTA_UGM 2024'!$E$3:$O$419,BE$6),"")</f>
        <v/>
      </c>
      <c r="BF327" s="1507" t="str">
        <f aca="false">IF($AT327&gt;0,VLOOKUP($AR327,'O_MN, PE_UTA_UGM 2024'!$E$3:$O$419,BF$6),"")</f>
        <v/>
      </c>
      <c r="BG327" s="1507" t="str">
        <f aca="false">IF($AT327&gt;0,VLOOKUP($AR327,'O_MN, PE_UTA_UGM 2024'!$E$3:$O$419,BG$6),"")</f>
        <v/>
      </c>
      <c r="BH327" s="1504"/>
      <c r="BI327" s="1504"/>
      <c r="BJ327" s="1504"/>
      <c r="BK327" s="1504"/>
      <c r="BM327" s="1411"/>
      <c r="BN327" s="1411"/>
      <c r="BO327" s="1425" t="str">
        <f aca="false">IF(ISNUMBER($AU327*BB327*1),$AU327*BB327*1,"")</f>
        <v/>
      </c>
      <c r="BP327" s="1425" t="str">
        <f aca="false">IF(ISNUMBER($AV327*BC327*1),$AV327*BC327*1,"")</f>
        <v/>
      </c>
      <c r="BQ327" s="1425" t="str">
        <f aca="false">IF(ISNUMBER($AU327*BD327*1),$AU327*BD327*1,"")</f>
        <v/>
      </c>
      <c r="BR327" s="1425" t="str">
        <f aca="false">IF(ISNUMBER($AV327*BE327*1),$AV327*BE327*1,"")</f>
        <v/>
      </c>
      <c r="BS327" s="1411" t="str">
        <f aca="false">IF(ISNUMBER($AU327*BF327),$AU327*BF327,"")</f>
        <v/>
      </c>
      <c r="BT327" s="1411" t="str">
        <f aca="false">IF(ISNUMBER($AV327*BG327),$AV327*BG327,"")</f>
        <v/>
      </c>
      <c r="BU327" s="1411"/>
      <c r="BV327" s="1411"/>
      <c r="BW327" s="1411"/>
      <c r="BX327" s="1411"/>
      <c r="BZ327" s="1372"/>
      <c r="CA327" s="1372"/>
      <c r="CB327" s="1426" t="str">
        <f aca="false">IF(ISNUMBER($AW327*BB327),$AW327*BB327,"")</f>
        <v/>
      </c>
      <c r="CC327" s="1426" t="str">
        <f aca="false">IF(ISNUMBER($AX327*BC327),$AX327*BC327,"")</f>
        <v/>
      </c>
      <c r="CD327" s="1426" t="str">
        <f aca="false">IF(ISNUMBER($AW327*BD327),$AW327*BD327,"")</f>
        <v/>
      </c>
      <c r="CE327" s="1426" t="str">
        <f aca="false">IF(ISNUMBER($AX327*BE327),$AX327*BE327,"")</f>
        <v/>
      </c>
      <c r="CF327" s="1372" t="str">
        <f aca="false">IF(ISNUMBER($AW327*BF327),$AW327*BF327,"")</f>
        <v/>
      </c>
      <c r="CG327" s="1372" t="str">
        <f aca="false">IF(ISNUMBER($AX327*BG327),$AX327*BG327,"")</f>
        <v/>
      </c>
      <c r="CH327" s="1438"/>
      <c r="CI327" s="1438"/>
      <c r="CJ327" s="1438"/>
      <c r="CK327" s="1438"/>
      <c r="CU327" s="1411"/>
      <c r="CV327" s="1411"/>
      <c r="CW327" s="1425"/>
      <c r="CX327" s="1425"/>
      <c r="CY327" s="1425"/>
      <c r="CZ327" s="1425"/>
      <c r="DA327" s="1411"/>
      <c r="DB327" s="1411"/>
      <c r="DC327" s="1411"/>
      <c r="DD327" s="1411"/>
      <c r="DE327" s="1411"/>
      <c r="DF327" s="1411"/>
      <c r="DH327" s="1432"/>
      <c r="DI327" s="1432"/>
      <c r="DJ327" s="1437"/>
      <c r="DK327" s="1437"/>
      <c r="DL327" s="1437"/>
      <c r="DM327" s="1437"/>
      <c r="DN327" s="1432"/>
      <c r="DO327" s="1432"/>
      <c r="DP327" s="1432"/>
      <c r="DQ327" s="1432"/>
      <c r="DR327" s="1432"/>
      <c r="DS327" s="1432"/>
      <c r="DT327" s="1316"/>
      <c r="DU327" s="1433"/>
      <c r="DV327" s="1433"/>
      <c r="DW327" s="1433"/>
      <c r="DX327" s="1433"/>
      <c r="DY327" s="1433"/>
      <c r="DZ327" s="1433"/>
      <c r="EA327" s="1433"/>
      <c r="EB327" s="1433"/>
    </row>
    <row r="328" customFormat="false" ht="14.25" hidden="false" customHeight="false" outlineLevel="0" collapsed="false">
      <c r="A328" s="2" t="n">
        <f aca="false">'V_DATOS PAC_SGA'!CC323</f>
        <v>0</v>
      </c>
      <c r="B328" s="2" t="n">
        <f aca="false">IF(OR(A328=0,A328=""),0,IF(I328="IV",CONCATENATE('V_DATOS PAC_SGA'!CC323,"4")+0,CONCATENATE('V_DATOS PAC_SGA'!CC323,"0")+0))</f>
        <v>0</v>
      </c>
      <c r="C328" s="2" t="n">
        <f aca="false">'V_DATOS PAC_SGA'!CD323</f>
        <v>0</v>
      </c>
      <c r="D328" s="1409" t="n">
        <f aca="false">'V_DATOS PAC_SGA'!Y323</f>
        <v>0</v>
      </c>
      <c r="E328" s="1410" t="str">
        <f aca="false">IF('V_DATOS PAC_SGA'!AV323="","Regadio",'V_DATOS PAC_SGA'!AV323)</f>
        <v>Regadio</v>
      </c>
      <c r="F328" s="1411" t="n">
        <f aca="false">'V_DATOS PAC_SGA'!BK323</f>
        <v>0</v>
      </c>
      <c r="G328" s="1412" t="n">
        <f aca="false">'V_DATOS PAC_SGA'!AN323</f>
        <v>0</v>
      </c>
      <c r="H328" s="1413" t="str">
        <f aca="false">IF(B328&gt;0,VLOOKUP(B328,'O_MN, PE_UTA_UGM 2024'!E$3:O$419,10),"")</f>
        <v/>
      </c>
      <c r="I328" s="1359" t="str">
        <f aca="false">IF('V_DATOS PAC_SGA'!BV323="IV",'V_DATOS PAC_SGA'!BV323,"")</f>
        <v/>
      </c>
      <c r="J328" s="2" t="str">
        <f aca="false">IF($A328&gt;0,IF(AND(J$4=$G328,J$6=$F328),$D328*J$5,""),"")</f>
        <v/>
      </c>
      <c r="K328" s="2" t="str">
        <f aca="false">IF($A328&gt;0,IF(AND(K$4=$G328,K$6=$F328),$D328*K$5,""),"")</f>
        <v/>
      </c>
      <c r="L328" s="2" t="str">
        <f aca="false">IF($A328&gt;0,IF(AND(L$4=$G328,L$6=$F328),$D328*L$5,""),"")</f>
        <v/>
      </c>
      <c r="M328" s="2" t="str">
        <f aca="false">IF($A328&gt;0,IF(AND(M$4=$G328,M$6=$F328),$D328*M$5,""),"")</f>
        <v/>
      </c>
      <c r="N328" s="1506" t="n">
        <f aca="false">VLOOKUP(B328,'O_MN, PE_UTA_UGM 2024'!$E$2:$K$419,IF(G328&gt;1,6,7))</f>
        <v>0</v>
      </c>
      <c r="O328" s="1434" t="str">
        <f aca="false">IF($H328=O$4,$D328*$N328,"")</f>
        <v/>
      </c>
      <c r="P328" s="1435" t="str">
        <f aca="false">IF($H328=P$4,$D328*$N328,"")</f>
        <v/>
      </c>
      <c r="Q328" s="1435" t="str">
        <f aca="false">IF($H328=Q$4,$D328*$N328,"")</f>
        <v/>
      </c>
      <c r="R328" s="1435" t="str">
        <f aca="false">IF($H328=R$4,$D328*$N328,"")</f>
        <v/>
      </c>
      <c r="S328" s="1435" t="str">
        <f aca="false">IF($H328=S$4,$D328*$N328,"")</f>
        <v/>
      </c>
      <c r="T328" s="1435" t="str">
        <f aca="false">IF($H328=T$4,$D328*$N328,"")</f>
        <v/>
      </c>
      <c r="U328" s="1436" t="str">
        <f aca="false">IF($H328=U$4,$D328*$N328,"")</f>
        <v/>
      </c>
      <c r="V328" s="1472"/>
      <c r="W328" s="1471"/>
      <c r="X328" s="1471"/>
      <c r="Y328" s="1471"/>
      <c r="Z328" s="1471"/>
      <c r="AA328" s="1471"/>
      <c r="AB328" s="1473"/>
      <c r="AC328" s="1319"/>
      <c r="AD328" s="2" t="str">
        <f aca="false">IF(AND(AD$4=$G328,AD$6=$F328),$B328,"")</f>
        <v/>
      </c>
      <c r="AE328" s="2" t="str">
        <f aca="false">IF(AND(AE$4=$G328,AE$6=$F328),$B328,"")</f>
        <v/>
      </c>
      <c r="AF328" s="2" t="str">
        <f aca="false">IF(AND(AF$4=$G328,AF$6=$F328),$B328,"")</f>
        <v/>
      </c>
      <c r="AG328" s="2" t="str">
        <f aca="false">IF(AND(AG$4=$G328,AG$6=$F328),$B328,"")</f>
        <v/>
      </c>
      <c r="AI328" s="366"/>
      <c r="AL328" s="367"/>
      <c r="AO328" s="367"/>
      <c r="AP328" s="2" t="str">
        <f aca="false">IF(AT328&gt;0,RANK(AT328,AT$7:AT$423),"")</f>
        <v/>
      </c>
      <c r="AQ328" s="1475" t="n">
        <f aca="false">'O_MN, PE_UTA_UGM 2024'!C324</f>
        <v>351</v>
      </c>
      <c r="AR328" s="1421" t="n">
        <v>3280</v>
      </c>
      <c r="AS328" s="2" t="str">
        <f aca="false">IF(AY328&lt;&gt;"",AY328,"")</f>
        <v/>
      </c>
      <c r="AT328" s="1422" t="n">
        <f aca="false">IF(ISNUMBER($AR328),SUMIF(B$7:B$505,AR328,D$7:D$505),"")</f>
        <v>0</v>
      </c>
      <c r="AU328" s="1411" t="n">
        <f aca="false">IF(ISNUMBER($AR328),SUMIF(AD$7:AD$503,$AR328,J$7:J$503),"")</f>
        <v>0</v>
      </c>
      <c r="AV328" s="1411" t="n">
        <f aca="false">IF(ISNUMBER($AR328),SUMIF(AF$7:AF$503,$AR328,L$7:L$503),"")</f>
        <v>0</v>
      </c>
      <c r="AW328" s="1423" t="n">
        <f aca="false">IF(ISNUMBER($AR328),SUMIF(AE$7:AE$503,$AR328,K$7:K$503),"")</f>
        <v>0</v>
      </c>
      <c r="AX328" s="1423" t="n">
        <f aca="false">IF(ISNUMBER($AR328),SUMIF(AG$7:AG$503,$AR328,M$7:M$503),"")</f>
        <v>0</v>
      </c>
      <c r="AY328" s="2" t="str">
        <f aca="false">IF($AT328&gt;0,VLOOKUP($AR328,'O_MN, PE_UTA_UGM 2024'!E324:O740,2),"")</f>
        <v/>
      </c>
      <c r="AZ328" s="1507"/>
      <c r="BA328" s="1507"/>
      <c r="BB328" s="1507" t="str">
        <f aca="false">IF($AT328&gt;0,VLOOKUP($AR328,'O_MN, PE_UTA_UGM 2024'!$E$3:$O$419,BB$6),"")</f>
        <v/>
      </c>
      <c r="BC328" s="1507" t="str">
        <f aca="false">IF($AT328&gt;0,VLOOKUP($AR328,'O_MN, PE_UTA_UGM 2024'!$E$3:$O$419,BC$6),"")</f>
        <v/>
      </c>
      <c r="BD328" s="1507" t="str">
        <f aca="false">IF($AT328&gt;0,VLOOKUP($AR328,'O_MN, PE_UTA_UGM 2024'!$E$3:$O$419,BD$6),"")</f>
        <v/>
      </c>
      <c r="BE328" s="1507" t="str">
        <f aca="false">IF($AT328&gt;0,VLOOKUP($AR328,'O_MN, PE_UTA_UGM 2024'!$E$3:$O$419,BE$6),"")</f>
        <v/>
      </c>
      <c r="BF328" s="1507" t="str">
        <f aca="false">IF($AT328&gt;0,VLOOKUP($AR328,'O_MN, PE_UTA_UGM 2024'!$E$3:$O$419,BF$6),"")</f>
        <v/>
      </c>
      <c r="BG328" s="1507" t="str">
        <f aca="false">IF($AT328&gt;0,VLOOKUP($AR328,'O_MN, PE_UTA_UGM 2024'!$E$3:$O$419,BG$6),"")</f>
        <v/>
      </c>
      <c r="BH328" s="1504"/>
      <c r="BI328" s="1504"/>
      <c r="BJ328" s="1504"/>
      <c r="BK328" s="1504"/>
      <c r="BM328" s="1411"/>
      <c r="BN328" s="1411"/>
      <c r="BO328" s="1425" t="str">
        <f aca="false">IF(ISNUMBER($AU328*BB328*1),$AU328*BB328*1,"")</f>
        <v/>
      </c>
      <c r="BP328" s="1425" t="str">
        <f aca="false">IF(ISNUMBER($AV328*BC328*1),$AV328*BC328*1,"")</f>
        <v/>
      </c>
      <c r="BQ328" s="1425" t="str">
        <f aca="false">IF(ISNUMBER($AU328*BD328*1),$AU328*BD328*1,"")</f>
        <v/>
      </c>
      <c r="BR328" s="1425" t="str">
        <f aca="false">IF(ISNUMBER($AV328*BE328*1),$AV328*BE328*1,"")</f>
        <v/>
      </c>
      <c r="BS328" s="1411" t="str">
        <f aca="false">IF(ISNUMBER($AU328*BF328),$AU328*BF328,"")</f>
        <v/>
      </c>
      <c r="BT328" s="1411" t="str">
        <f aca="false">IF(ISNUMBER($AV328*BG328),$AV328*BG328,"")</f>
        <v/>
      </c>
      <c r="BU328" s="1411"/>
      <c r="BV328" s="1411"/>
      <c r="BW328" s="1411"/>
      <c r="BX328" s="1411"/>
      <c r="BZ328" s="1372"/>
      <c r="CA328" s="1372"/>
      <c r="CB328" s="1426" t="str">
        <f aca="false">IF(ISNUMBER($AW328*BB328),$AW328*BB328,"")</f>
        <v/>
      </c>
      <c r="CC328" s="1426" t="str">
        <f aca="false">IF(ISNUMBER($AX328*BC328),$AX328*BC328,"")</f>
        <v/>
      </c>
      <c r="CD328" s="1426" t="str">
        <f aca="false">IF(ISNUMBER($AW328*BD328),$AW328*BD328,"")</f>
        <v/>
      </c>
      <c r="CE328" s="1426" t="str">
        <f aca="false">IF(ISNUMBER($AX328*BE328),$AX328*BE328,"")</f>
        <v/>
      </c>
      <c r="CF328" s="1372" t="str">
        <f aca="false">IF(ISNUMBER($AW328*BF328),$AW328*BF328,"")</f>
        <v/>
      </c>
      <c r="CG328" s="1372" t="str">
        <f aca="false">IF(ISNUMBER($AX328*BG328),$AX328*BG328,"")</f>
        <v/>
      </c>
      <c r="CH328" s="1438"/>
      <c r="CI328" s="1438"/>
      <c r="CJ328" s="1438"/>
      <c r="CK328" s="1438"/>
      <c r="CU328" s="1411"/>
      <c r="CV328" s="1411"/>
      <c r="CW328" s="1425"/>
      <c r="CX328" s="1425"/>
      <c r="CY328" s="1425"/>
      <c r="CZ328" s="1425"/>
      <c r="DA328" s="1411"/>
      <c r="DB328" s="1411"/>
      <c r="DC328" s="1411"/>
      <c r="DD328" s="1411"/>
      <c r="DE328" s="1411"/>
      <c r="DF328" s="1411"/>
      <c r="DH328" s="1432"/>
      <c r="DI328" s="1432"/>
      <c r="DJ328" s="1437"/>
      <c r="DK328" s="1437"/>
      <c r="DL328" s="1437"/>
      <c r="DM328" s="1437"/>
      <c r="DN328" s="1432"/>
      <c r="DO328" s="1432"/>
      <c r="DP328" s="1432"/>
      <c r="DQ328" s="1432"/>
      <c r="DR328" s="1432"/>
      <c r="DS328" s="1432"/>
      <c r="DT328" s="1316"/>
      <c r="DU328" s="1433"/>
      <c r="DV328" s="1433"/>
      <c r="DW328" s="1433"/>
      <c r="DX328" s="1433"/>
      <c r="DY328" s="1433"/>
      <c r="DZ328" s="1433"/>
      <c r="EA328" s="1433"/>
      <c r="EB328" s="1433"/>
    </row>
    <row r="329" customFormat="false" ht="14.25" hidden="false" customHeight="false" outlineLevel="0" collapsed="false">
      <c r="A329" s="2" t="n">
        <f aca="false">'V_DATOS PAC_SGA'!CC324</f>
        <v>0</v>
      </c>
      <c r="B329" s="2" t="n">
        <f aca="false">IF(OR(A329=0,A329=""),0,IF(I329="IV",CONCATENATE('V_DATOS PAC_SGA'!CC324,"4")+0,CONCATENATE('V_DATOS PAC_SGA'!CC324,"0")+0))</f>
        <v>0</v>
      </c>
      <c r="C329" s="2" t="n">
        <f aca="false">'V_DATOS PAC_SGA'!CD324</f>
        <v>0</v>
      </c>
      <c r="D329" s="1409" t="n">
        <f aca="false">'V_DATOS PAC_SGA'!Y324</f>
        <v>0</v>
      </c>
      <c r="E329" s="1410" t="str">
        <f aca="false">IF('V_DATOS PAC_SGA'!AV324="","Regadio",'V_DATOS PAC_SGA'!AV324)</f>
        <v>Regadio</v>
      </c>
      <c r="F329" s="1411" t="n">
        <f aca="false">'V_DATOS PAC_SGA'!BK324</f>
        <v>0</v>
      </c>
      <c r="G329" s="1412" t="n">
        <f aca="false">'V_DATOS PAC_SGA'!AN324</f>
        <v>0</v>
      </c>
      <c r="H329" s="1413" t="str">
        <f aca="false">IF(B329&gt;0,VLOOKUP(B329,'O_MN, PE_UTA_UGM 2024'!E$3:O$419,10),"")</f>
        <v/>
      </c>
      <c r="I329" s="1359" t="str">
        <f aca="false">IF('V_DATOS PAC_SGA'!BV324="IV",'V_DATOS PAC_SGA'!BV324,"")</f>
        <v/>
      </c>
      <c r="J329" s="2" t="str">
        <f aca="false">IF($A329&gt;0,IF(AND(J$4=$G329,J$6=$F329),$D329*J$5,""),"")</f>
        <v/>
      </c>
      <c r="K329" s="2" t="str">
        <f aca="false">IF($A329&gt;0,IF(AND(K$4=$G329,K$6=$F329),$D329*K$5,""),"")</f>
        <v/>
      </c>
      <c r="L329" s="2" t="str">
        <f aca="false">IF($A329&gt;0,IF(AND(L$4=$G329,L$6=$F329),$D329*L$5,""),"")</f>
        <v/>
      </c>
      <c r="M329" s="2" t="str">
        <f aca="false">IF($A329&gt;0,IF(AND(M$4=$G329,M$6=$F329),$D329*M$5,""),"")</f>
        <v/>
      </c>
      <c r="N329" s="1506" t="n">
        <f aca="false">VLOOKUP(B329,'O_MN, PE_UTA_UGM 2024'!$E$2:$K$419,IF(G329&gt;1,6,7))</f>
        <v>0</v>
      </c>
      <c r="O329" s="1434" t="str">
        <f aca="false">IF($H329=O$4,$D329*$N329,"")</f>
        <v/>
      </c>
      <c r="P329" s="1435" t="str">
        <f aca="false">IF($H329=P$4,$D329*$N329,"")</f>
        <v/>
      </c>
      <c r="Q329" s="1435" t="str">
        <f aca="false">IF($H329=Q$4,$D329*$N329,"")</f>
        <v/>
      </c>
      <c r="R329" s="1435" t="str">
        <f aca="false">IF($H329=R$4,$D329*$N329,"")</f>
        <v/>
      </c>
      <c r="S329" s="1435" t="str">
        <f aca="false">IF($H329=S$4,$D329*$N329,"")</f>
        <v/>
      </c>
      <c r="T329" s="1435" t="str">
        <f aca="false">IF($H329=T$4,$D329*$N329,"")</f>
        <v/>
      </c>
      <c r="U329" s="1436" t="str">
        <f aca="false">IF($H329=U$4,$D329*$N329,"")</f>
        <v/>
      </c>
      <c r="V329" s="1472"/>
      <c r="W329" s="1471"/>
      <c r="X329" s="1471"/>
      <c r="Y329" s="1471"/>
      <c r="Z329" s="1471"/>
      <c r="AA329" s="1471"/>
      <c r="AB329" s="1473"/>
      <c r="AC329" s="1319"/>
      <c r="AD329" s="2" t="str">
        <f aca="false">IF(AND(AD$4=$G329,AD$6=$F329),$B329,"")</f>
        <v/>
      </c>
      <c r="AE329" s="2" t="str">
        <f aca="false">IF(AND(AE$4=$G329,AE$6=$F329),$B329,"")</f>
        <v/>
      </c>
      <c r="AF329" s="2" t="str">
        <f aca="false">IF(AND(AF$4=$G329,AF$6=$F329),$B329,"")</f>
        <v/>
      </c>
      <c r="AG329" s="2" t="str">
        <f aca="false">IF(AND(AG$4=$G329,AG$6=$F329),$B329,"")</f>
        <v/>
      </c>
      <c r="AI329" s="366"/>
      <c r="AL329" s="367"/>
      <c r="AO329" s="367"/>
      <c r="AP329" s="2" t="str">
        <f aca="false">IF(AT329&gt;0,RANK(AT329,AT$7:AT$423),"")</f>
        <v/>
      </c>
      <c r="AQ329" s="1475" t="n">
        <f aca="false">'O_MN, PE_UTA_UGM 2024'!C325</f>
        <v>352</v>
      </c>
      <c r="AR329" s="1421" t="n">
        <v>3290</v>
      </c>
      <c r="AS329" s="2" t="str">
        <f aca="false">IF(AY329&lt;&gt;"",AY329,"")</f>
        <v/>
      </c>
      <c r="AT329" s="1422" t="n">
        <f aca="false">IF(ISNUMBER($AR329),SUMIF(B$7:B$505,AR329,D$7:D$505),"")</f>
        <v>0</v>
      </c>
      <c r="AU329" s="1411" t="n">
        <f aca="false">IF(ISNUMBER($AR329),SUMIF(AD$7:AD$503,$AR329,J$7:J$503),"")</f>
        <v>0</v>
      </c>
      <c r="AV329" s="1411" t="n">
        <f aca="false">IF(ISNUMBER($AR329),SUMIF(AF$7:AF$503,$AR329,L$7:L$503),"")</f>
        <v>0</v>
      </c>
      <c r="AW329" s="1423" t="n">
        <f aca="false">IF(ISNUMBER($AR329),SUMIF(AE$7:AE$503,$AR329,K$7:K$503),"")</f>
        <v>0</v>
      </c>
      <c r="AX329" s="1423" t="n">
        <f aca="false">IF(ISNUMBER($AR329),SUMIF(AG$7:AG$503,$AR329,M$7:M$503),"")</f>
        <v>0</v>
      </c>
      <c r="AY329" s="2" t="str">
        <f aca="false">IF($AT329&gt;0,VLOOKUP($AR329,'O_MN, PE_UTA_UGM 2024'!E325:O741,2),"")</f>
        <v/>
      </c>
      <c r="AZ329" s="1507"/>
      <c r="BA329" s="1507"/>
      <c r="BB329" s="1507" t="str">
        <f aca="false">IF($AT329&gt;0,VLOOKUP($AR329,'O_MN, PE_UTA_UGM 2024'!$E$3:$O$419,BB$6),"")</f>
        <v/>
      </c>
      <c r="BC329" s="1507" t="str">
        <f aca="false">IF($AT329&gt;0,VLOOKUP($AR329,'O_MN, PE_UTA_UGM 2024'!$E$3:$O$419,BC$6),"")</f>
        <v/>
      </c>
      <c r="BD329" s="1507" t="str">
        <f aca="false">IF($AT329&gt;0,VLOOKUP($AR329,'O_MN, PE_UTA_UGM 2024'!$E$3:$O$419,BD$6),"")</f>
        <v/>
      </c>
      <c r="BE329" s="1507" t="str">
        <f aca="false">IF($AT329&gt;0,VLOOKUP($AR329,'O_MN, PE_UTA_UGM 2024'!$E$3:$O$419,BE$6),"")</f>
        <v/>
      </c>
      <c r="BF329" s="1507" t="str">
        <f aca="false">IF($AT329&gt;0,VLOOKUP($AR329,'O_MN, PE_UTA_UGM 2024'!$E$3:$O$419,BF$6),"")</f>
        <v/>
      </c>
      <c r="BG329" s="1507" t="str">
        <f aca="false">IF($AT329&gt;0,VLOOKUP($AR329,'O_MN, PE_UTA_UGM 2024'!$E$3:$O$419,BG$6),"")</f>
        <v/>
      </c>
      <c r="BH329" s="1504"/>
      <c r="BI329" s="1504"/>
      <c r="BJ329" s="1504"/>
      <c r="BK329" s="1504"/>
      <c r="BM329" s="1411"/>
      <c r="BN329" s="1411"/>
      <c r="BO329" s="1425" t="str">
        <f aca="false">IF(ISNUMBER($AU329*BB329*1),$AU329*BB329*1,"")</f>
        <v/>
      </c>
      <c r="BP329" s="1425" t="str">
        <f aca="false">IF(ISNUMBER($AV329*BC329*1),$AV329*BC329*1,"")</f>
        <v/>
      </c>
      <c r="BQ329" s="1425" t="str">
        <f aca="false">IF(ISNUMBER($AU329*BD329*1),$AU329*BD329*1,"")</f>
        <v/>
      </c>
      <c r="BR329" s="1425" t="str">
        <f aca="false">IF(ISNUMBER($AV329*BE329*1),$AV329*BE329*1,"")</f>
        <v/>
      </c>
      <c r="BS329" s="1411" t="str">
        <f aca="false">IF(ISNUMBER($AU329*BF329),$AU329*BF329,"")</f>
        <v/>
      </c>
      <c r="BT329" s="1411" t="str">
        <f aca="false">IF(ISNUMBER($AV329*BG329),$AV329*BG329,"")</f>
        <v/>
      </c>
      <c r="BU329" s="1411"/>
      <c r="BV329" s="1411"/>
      <c r="BW329" s="1411"/>
      <c r="BX329" s="1411"/>
      <c r="BZ329" s="1372"/>
      <c r="CA329" s="1372"/>
      <c r="CB329" s="1426" t="str">
        <f aca="false">IF(ISNUMBER($AW329*BB329),$AW329*BB329,"")</f>
        <v/>
      </c>
      <c r="CC329" s="1426" t="str">
        <f aca="false">IF(ISNUMBER($AX329*BC329),$AX329*BC329,"")</f>
        <v/>
      </c>
      <c r="CD329" s="1426" t="str">
        <f aca="false">IF(ISNUMBER($AW329*BD329),$AW329*BD329,"")</f>
        <v/>
      </c>
      <c r="CE329" s="1426" t="str">
        <f aca="false">IF(ISNUMBER($AX329*BE329),$AX329*BE329,"")</f>
        <v/>
      </c>
      <c r="CF329" s="1372" t="str">
        <f aca="false">IF(ISNUMBER($AW329*BF329),$AW329*BF329,"")</f>
        <v/>
      </c>
      <c r="CG329" s="1372" t="str">
        <f aca="false">IF(ISNUMBER($AX329*BG329),$AX329*BG329,"")</f>
        <v/>
      </c>
      <c r="CH329" s="1438"/>
      <c r="CI329" s="1438"/>
      <c r="CJ329" s="1438"/>
      <c r="CK329" s="1438"/>
      <c r="CU329" s="1411"/>
      <c r="CV329" s="1411"/>
      <c r="CW329" s="1425"/>
      <c r="CX329" s="1425"/>
      <c r="CY329" s="1425"/>
      <c r="CZ329" s="1425"/>
      <c r="DA329" s="1411"/>
      <c r="DB329" s="1411"/>
      <c r="DC329" s="1411"/>
      <c r="DD329" s="1411"/>
      <c r="DE329" s="1411"/>
      <c r="DF329" s="1411"/>
      <c r="DH329" s="1432"/>
      <c r="DI329" s="1432"/>
      <c r="DJ329" s="1437"/>
      <c r="DK329" s="1437"/>
      <c r="DL329" s="1437"/>
      <c r="DM329" s="1437"/>
      <c r="DN329" s="1432"/>
      <c r="DO329" s="1432"/>
      <c r="DP329" s="1432"/>
      <c r="DQ329" s="1432"/>
      <c r="DR329" s="1432"/>
      <c r="DS329" s="1432"/>
      <c r="DT329" s="1316"/>
      <c r="DU329" s="1433"/>
      <c r="DV329" s="1433"/>
      <c r="DW329" s="1433"/>
      <c r="DX329" s="1433"/>
      <c r="DY329" s="1433"/>
      <c r="DZ329" s="1433"/>
      <c r="EA329" s="1433"/>
      <c r="EB329" s="1433"/>
    </row>
    <row r="330" customFormat="false" ht="14.25" hidden="false" customHeight="false" outlineLevel="0" collapsed="false">
      <c r="A330" s="2" t="n">
        <f aca="false">'V_DATOS PAC_SGA'!CC325</f>
        <v>0</v>
      </c>
      <c r="B330" s="2" t="n">
        <f aca="false">IF(OR(A330=0,A330=""),0,IF(I330="IV",CONCATENATE('V_DATOS PAC_SGA'!CC325,"4")+0,CONCATENATE('V_DATOS PAC_SGA'!CC325,"0")+0))</f>
        <v>0</v>
      </c>
      <c r="C330" s="2" t="n">
        <f aca="false">'V_DATOS PAC_SGA'!CD325</f>
        <v>0</v>
      </c>
      <c r="D330" s="1409" t="n">
        <f aca="false">'V_DATOS PAC_SGA'!Y325</f>
        <v>0</v>
      </c>
      <c r="E330" s="1410" t="str">
        <f aca="false">IF('V_DATOS PAC_SGA'!AV325="","Regadio",'V_DATOS PAC_SGA'!AV325)</f>
        <v>Regadio</v>
      </c>
      <c r="F330" s="1411" t="n">
        <f aca="false">'V_DATOS PAC_SGA'!BK325</f>
        <v>0</v>
      </c>
      <c r="G330" s="1412" t="n">
        <f aca="false">'V_DATOS PAC_SGA'!AN325</f>
        <v>0</v>
      </c>
      <c r="H330" s="1413" t="str">
        <f aca="false">IF(B330&gt;0,VLOOKUP(B330,'O_MN, PE_UTA_UGM 2024'!E$3:O$419,10),"")</f>
        <v/>
      </c>
      <c r="I330" s="1359" t="str">
        <f aca="false">IF('V_DATOS PAC_SGA'!BV325="IV",'V_DATOS PAC_SGA'!BV325,"")</f>
        <v/>
      </c>
      <c r="J330" s="2" t="str">
        <f aca="false">IF($A330&gt;0,IF(AND(J$4=$G330,J$6=$F330),$D330*J$5,""),"")</f>
        <v/>
      </c>
      <c r="K330" s="2" t="str">
        <f aca="false">IF($A330&gt;0,IF(AND(K$4=$G330,K$6=$F330),$D330*K$5,""),"")</f>
        <v/>
      </c>
      <c r="L330" s="2" t="str">
        <f aca="false">IF($A330&gt;0,IF(AND(L$4=$G330,L$6=$F330),$D330*L$5,""),"")</f>
        <v/>
      </c>
      <c r="M330" s="2" t="str">
        <f aca="false">IF($A330&gt;0,IF(AND(M$4=$G330,M$6=$F330),$D330*M$5,""),"")</f>
        <v/>
      </c>
      <c r="N330" s="1506" t="n">
        <f aca="false">VLOOKUP(B330,'O_MN, PE_UTA_UGM 2024'!$E$2:$K$419,IF(G330&gt;1,6,7))</f>
        <v>0</v>
      </c>
      <c r="O330" s="1434" t="str">
        <f aca="false">IF($H330=O$4,$D330*$N330,"")</f>
        <v/>
      </c>
      <c r="P330" s="1435" t="str">
        <f aca="false">IF($H330=P$4,$D330*$N330,"")</f>
        <v/>
      </c>
      <c r="Q330" s="1435" t="str">
        <f aca="false">IF($H330=Q$4,$D330*$N330,"")</f>
        <v/>
      </c>
      <c r="R330" s="1435" t="str">
        <f aca="false">IF($H330=R$4,$D330*$N330,"")</f>
        <v/>
      </c>
      <c r="S330" s="1435" t="str">
        <f aca="false">IF($H330=S$4,$D330*$N330,"")</f>
        <v/>
      </c>
      <c r="T330" s="1435" t="str">
        <f aca="false">IF($H330=T$4,$D330*$N330,"")</f>
        <v/>
      </c>
      <c r="U330" s="1436" t="str">
        <f aca="false">IF($H330=U$4,$D330*$N330,"")</f>
        <v/>
      </c>
      <c r="V330" s="1472"/>
      <c r="W330" s="1471"/>
      <c r="X330" s="1471"/>
      <c r="Y330" s="1471"/>
      <c r="Z330" s="1471"/>
      <c r="AA330" s="1471"/>
      <c r="AB330" s="1473"/>
      <c r="AC330" s="1319"/>
      <c r="AD330" s="2" t="str">
        <f aca="false">IF(AND(AD$4=$G330,AD$6=$F330),$B330,"")</f>
        <v/>
      </c>
      <c r="AE330" s="2" t="str">
        <f aca="false">IF(AND(AE$4=$G330,AE$6=$F330),$B330,"")</f>
        <v/>
      </c>
      <c r="AF330" s="2" t="str">
        <f aca="false">IF(AND(AF$4=$G330,AF$6=$F330),$B330,"")</f>
        <v/>
      </c>
      <c r="AG330" s="2" t="str">
        <f aca="false">IF(AND(AG$4=$G330,AG$6=$F330),$B330,"")</f>
        <v/>
      </c>
      <c r="AI330" s="366"/>
      <c r="AL330" s="367"/>
      <c r="AO330" s="367"/>
      <c r="AP330" s="2" t="str">
        <f aca="false">IF(AT330&gt;0,RANK(AT330,AT$7:AT$423),"")</f>
        <v/>
      </c>
      <c r="AQ330" s="1475" t="n">
        <f aca="false">'O_MN, PE_UTA_UGM 2024'!C326</f>
        <v>353</v>
      </c>
      <c r="AR330" s="1421" t="n">
        <v>3310</v>
      </c>
      <c r="AS330" s="2" t="str">
        <f aca="false">IF(AY330&lt;&gt;"",AY330,"")</f>
        <v/>
      </c>
      <c r="AT330" s="1422" t="n">
        <f aca="false">IF(ISNUMBER($AR330),SUMIF(B$7:B$505,AR330,D$7:D$505),"")</f>
        <v>0</v>
      </c>
      <c r="AU330" s="1411" t="n">
        <f aca="false">IF(ISNUMBER($AR330),SUMIF(AD$7:AD$503,$AR330,J$7:J$503),"")</f>
        <v>0</v>
      </c>
      <c r="AV330" s="1411" t="n">
        <f aca="false">IF(ISNUMBER($AR330),SUMIF(AF$7:AF$503,$AR330,L$7:L$503),"")</f>
        <v>0</v>
      </c>
      <c r="AW330" s="1423" t="n">
        <f aca="false">IF(ISNUMBER($AR330),SUMIF(AE$7:AE$503,$AR330,K$7:K$503),"")</f>
        <v>0</v>
      </c>
      <c r="AX330" s="1423" t="n">
        <f aca="false">IF(ISNUMBER($AR330),SUMIF(AG$7:AG$503,$AR330,M$7:M$503),"")</f>
        <v>0</v>
      </c>
      <c r="AY330" s="2" t="str">
        <f aca="false">IF($AT330&gt;0,VLOOKUP($AR330,'O_MN, PE_UTA_UGM 2024'!E326:O742,2),"")</f>
        <v/>
      </c>
      <c r="AZ330" s="1507"/>
      <c r="BA330" s="1507"/>
      <c r="BB330" s="1507" t="str">
        <f aca="false">IF($AT330&gt;0,VLOOKUP($AR330,'O_MN, PE_UTA_UGM 2024'!$E$3:$O$419,BB$6),"")</f>
        <v/>
      </c>
      <c r="BC330" s="1507" t="str">
        <f aca="false">IF($AT330&gt;0,VLOOKUP($AR330,'O_MN, PE_UTA_UGM 2024'!$E$3:$O$419,BC$6),"")</f>
        <v/>
      </c>
      <c r="BD330" s="1507" t="str">
        <f aca="false">IF($AT330&gt;0,VLOOKUP($AR330,'O_MN, PE_UTA_UGM 2024'!$E$3:$O$419,BD$6),"")</f>
        <v/>
      </c>
      <c r="BE330" s="1507" t="str">
        <f aca="false">IF($AT330&gt;0,VLOOKUP($AR330,'O_MN, PE_UTA_UGM 2024'!$E$3:$O$419,BE$6),"")</f>
        <v/>
      </c>
      <c r="BF330" s="1507" t="str">
        <f aca="false">IF($AT330&gt;0,VLOOKUP($AR330,'O_MN, PE_UTA_UGM 2024'!$E$3:$O$419,BF$6),"")</f>
        <v/>
      </c>
      <c r="BG330" s="1507" t="str">
        <f aca="false">IF($AT330&gt;0,VLOOKUP($AR330,'O_MN, PE_UTA_UGM 2024'!$E$3:$O$419,BG$6),"")</f>
        <v/>
      </c>
      <c r="BH330" s="1504"/>
      <c r="BI330" s="1504"/>
      <c r="BJ330" s="1504"/>
      <c r="BK330" s="1504"/>
      <c r="BM330" s="1411"/>
      <c r="BN330" s="1411"/>
      <c r="BO330" s="1425" t="str">
        <f aca="false">IF(ISNUMBER($AU330*BB330*1),$AU330*BB330*1,"")</f>
        <v/>
      </c>
      <c r="BP330" s="1425" t="str">
        <f aca="false">IF(ISNUMBER($AV330*BC330*1),$AV330*BC330*1,"")</f>
        <v/>
      </c>
      <c r="BQ330" s="1425" t="str">
        <f aca="false">IF(ISNUMBER($AU330*BD330*1),$AU330*BD330*1,"")</f>
        <v/>
      </c>
      <c r="BR330" s="1425" t="str">
        <f aca="false">IF(ISNUMBER($AV330*BE330*1),$AV330*BE330*1,"")</f>
        <v/>
      </c>
      <c r="BS330" s="1411" t="str">
        <f aca="false">IF(ISNUMBER($AU330*BF330),$AU330*BF330,"")</f>
        <v/>
      </c>
      <c r="BT330" s="1411" t="str">
        <f aca="false">IF(ISNUMBER($AV330*BG330),$AV330*BG330,"")</f>
        <v/>
      </c>
      <c r="BU330" s="1411"/>
      <c r="BV330" s="1411"/>
      <c r="BW330" s="1411"/>
      <c r="BX330" s="1411"/>
      <c r="BZ330" s="1372"/>
      <c r="CA330" s="1372"/>
      <c r="CB330" s="1426" t="str">
        <f aca="false">IF(ISNUMBER($AW330*BB330),$AW330*BB330,"")</f>
        <v/>
      </c>
      <c r="CC330" s="1426" t="str">
        <f aca="false">IF(ISNUMBER($AX330*BC330),$AX330*BC330,"")</f>
        <v/>
      </c>
      <c r="CD330" s="1426" t="str">
        <f aca="false">IF(ISNUMBER($AW330*BD330),$AW330*BD330,"")</f>
        <v/>
      </c>
      <c r="CE330" s="1426" t="str">
        <f aca="false">IF(ISNUMBER($AX330*BE330),$AX330*BE330,"")</f>
        <v/>
      </c>
      <c r="CF330" s="1372" t="str">
        <f aca="false">IF(ISNUMBER($AW330*BF330),$AW330*BF330,"")</f>
        <v/>
      </c>
      <c r="CG330" s="1372" t="str">
        <f aca="false">IF(ISNUMBER($AX330*BG330),$AX330*BG330,"")</f>
        <v/>
      </c>
      <c r="CH330" s="1438"/>
      <c r="CI330" s="1438"/>
      <c r="CJ330" s="1438"/>
      <c r="CK330" s="1438"/>
      <c r="CU330" s="1411"/>
      <c r="CV330" s="1411"/>
      <c r="CW330" s="1425"/>
      <c r="CX330" s="1425"/>
      <c r="CY330" s="1425"/>
      <c r="CZ330" s="1425"/>
      <c r="DA330" s="1411"/>
      <c r="DB330" s="1411"/>
      <c r="DC330" s="1411"/>
      <c r="DD330" s="1411"/>
      <c r="DE330" s="1411"/>
      <c r="DF330" s="1411"/>
      <c r="DH330" s="1432"/>
      <c r="DI330" s="1432"/>
      <c r="DJ330" s="1437"/>
      <c r="DK330" s="1437"/>
      <c r="DL330" s="1437"/>
      <c r="DM330" s="1437"/>
      <c r="DN330" s="1432"/>
      <c r="DO330" s="1432"/>
      <c r="DP330" s="1432"/>
      <c r="DQ330" s="1432"/>
      <c r="DR330" s="1432"/>
      <c r="DS330" s="1432"/>
      <c r="DT330" s="1316"/>
      <c r="DU330" s="1433"/>
      <c r="DV330" s="1433"/>
      <c r="DW330" s="1433"/>
      <c r="DX330" s="1433"/>
      <c r="DY330" s="1433"/>
      <c r="DZ330" s="1433"/>
      <c r="EA330" s="1433"/>
      <c r="EB330" s="1433"/>
    </row>
    <row r="331" customFormat="false" ht="14.25" hidden="false" customHeight="false" outlineLevel="0" collapsed="false">
      <c r="A331" s="2" t="n">
        <f aca="false">'V_DATOS PAC_SGA'!CC326</f>
        <v>0</v>
      </c>
      <c r="B331" s="2" t="n">
        <f aca="false">IF(OR(A331=0,A331=""),0,IF(I331="IV",CONCATENATE('V_DATOS PAC_SGA'!CC326,"4")+0,CONCATENATE('V_DATOS PAC_SGA'!CC326,"0")+0))</f>
        <v>0</v>
      </c>
      <c r="C331" s="2" t="n">
        <f aca="false">'V_DATOS PAC_SGA'!CD326</f>
        <v>0</v>
      </c>
      <c r="D331" s="1409" t="n">
        <f aca="false">'V_DATOS PAC_SGA'!Y326</f>
        <v>0</v>
      </c>
      <c r="E331" s="1410" t="str">
        <f aca="false">IF('V_DATOS PAC_SGA'!AV326="","Regadio",'V_DATOS PAC_SGA'!AV326)</f>
        <v>Regadio</v>
      </c>
      <c r="F331" s="1411" t="n">
        <f aca="false">'V_DATOS PAC_SGA'!BK326</f>
        <v>0</v>
      </c>
      <c r="G331" s="1412" t="n">
        <f aca="false">'V_DATOS PAC_SGA'!AN326</f>
        <v>0</v>
      </c>
      <c r="H331" s="1413" t="str">
        <f aca="false">IF(B331&gt;0,VLOOKUP(B331,'O_MN, PE_UTA_UGM 2024'!E$3:O$419,10),"")</f>
        <v/>
      </c>
      <c r="I331" s="1359" t="str">
        <f aca="false">IF('V_DATOS PAC_SGA'!BV326="IV",'V_DATOS PAC_SGA'!BV326,"")</f>
        <v/>
      </c>
      <c r="J331" s="2" t="str">
        <f aca="false">IF($A331&gt;0,IF(AND(J$4=$G331,J$6=$F331),$D331*J$5,""),"")</f>
        <v/>
      </c>
      <c r="K331" s="2" t="str">
        <f aca="false">IF($A331&gt;0,IF(AND(K$4=$G331,K$6=$F331),$D331*K$5,""),"")</f>
        <v/>
      </c>
      <c r="L331" s="2" t="str">
        <f aca="false">IF($A331&gt;0,IF(AND(L$4=$G331,L$6=$F331),$D331*L$5,""),"")</f>
        <v/>
      </c>
      <c r="M331" s="2" t="str">
        <f aca="false">IF($A331&gt;0,IF(AND(M$4=$G331,M$6=$F331),$D331*M$5,""),"")</f>
        <v/>
      </c>
      <c r="N331" s="1506" t="n">
        <f aca="false">VLOOKUP(B331,'O_MN, PE_UTA_UGM 2024'!$E$2:$K$419,IF(G331&gt;1,6,7))</f>
        <v>0</v>
      </c>
      <c r="O331" s="1434" t="str">
        <f aca="false">IF($H331=O$4,$D331*$N331,"")</f>
        <v/>
      </c>
      <c r="P331" s="1435" t="str">
        <f aca="false">IF($H331=P$4,$D331*$N331,"")</f>
        <v/>
      </c>
      <c r="Q331" s="1435" t="str">
        <f aca="false">IF($H331=Q$4,$D331*$N331,"")</f>
        <v/>
      </c>
      <c r="R331" s="1435" t="str">
        <f aca="false">IF($H331=R$4,$D331*$N331,"")</f>
        <v/>
      </c>
      <c r="S331" s="1435" t="str">
        <f aca="false">IF($H331=S$4,$D331*$N331,"")</f>
        <v/>
      </c>
      <c r="T331" s="1435" t="str">
        <f aca="false">IF($H331=T$4,$D331*$N331,"")</f>
        <v/>
      </c>
      <c r="U331" s="1436" t="str">
        <f aca="false">IF($H331=U$4,$D331*$N331,"")</f>
        <v/>
      </c>
      <c r="V331" s="1472"/>
      <c r="W331" s="1471"/>
      <c r="X331" s="1471"/>
      <c r="Y331" s="1471"/>
      <c r="Z331" s="1471"/>
      <c r="AA331" s="1471"/>
      <c r="AB331" s="1473"/>
      <c r="AC331" s="1319"/>
      <c r="AD331" s="2" t="str">
        <f aca="false">IF(AND(AD$4=$G331,AD$6=$F331),$B331,"")</f>
        <v/>
      </c>
      <c r="AE331" s="2" t="str">
        <f aca="false">IF(AND(AE$4=$G331,AE$6=$F331),$B331,"")</f>
        <v/>
      </c>
      <c r="AF331" s="2" t="str">
        <f aca="false">IF(AND(AF$4=$G331,AF$6=$F331),$B331,"")</f>
        <v/>
      </c>
      <c r="AG331" s="2" t="str">
        <f aca="false">IF(AND(AG$4=$G331,AG$6=$F331),$B331,"")</f>
        <v/>
      </c>
      <c r="AI331" s="366"/>
      <c r="AL331" s="367"/>
      <c r="AO331" s="367"/>
      <c r="AP331" s="2" t="str">
        <f aca="false">IF(AT331&gt;0,RANK(AT331,AT$7:AT$423),"")</f>
        <v/>
      </c>
      <c r="AQ331" s="1475" t="n">
        <f aca="false">'O_MN, PE_UTA_UGM 2024'!C327</f>
        <v>354</v>
      </c>
      <c r="AR331" s="1421" t="n">
        <v>3320</v>
      </c>
      <c r="AS331" s="2" t="str">
        <f aca="false">IF(AY331&lt;&gt;"",AY331,"")</f>
        <v/>
      </c>
      <c r="AT331" s="1422" t="n">
        <f aca="false">IF(ISNUMBER($AR331),SUMIF(B$7:B$505,AR331,D$7:D$505),"")</f>
        <v>0</v>
      </c>
      <c r="AU331" s="1411" t="n">
        <f aca="false">IF(ISNUMBER($AR331),SUMIF(AD$7:AD$503,$AR331,J$7:J$503),"")</f>
        <v>0</v>
      </c>
      <c r="AV331" s="1411" t="n">
        <f aca="false">IF(ISNUMBER($AR331),SUMIF(AF$7:AF$503,$AR331,L$7:L$503),"")</f>
        <v>0</v>
      </c>
      <c r="AW331" s="1423" t="n">
        <f aca="false">IF(ISNUMBER($AR331),SUMIF(AE$7:AE$503,$AR331,K$7:K$503),"")</f>
        <v>0</v>
      </c>
      <c r="AX331" s="1423" t="n">
        <f aca="false">IF(ISNUMBER($AR331),SUMIF(AG$7:AG$503,$AR331,M$7:M$503),"")</f>
        <v>0</v>
      </c>
      <c r="AY331" s="2" t="str">
        <f aca="false">IF($AT331&gt;0,VLOOKUP($AR331,'O_MN, PE_UTA_UGM 2024'!E327:O743,2),"")</f>
        <v/>
      </c>
      <c r="AZ331" s="1507"/>
      <c r="BA331" s="1507"/>
      <c r="BB331" s="1507" t="str">
        <f aca="false">IF($AT331&gt;0,VLOOKUP($AR331,'O_MN, PE_UTA_UGM 2024'!$E$3:$O$419,BB$6),"")</f>
        <v/>
      </c>
      <c r="BC331" s="1507" t="str">
        <f aca="false">IF($AT331&gt;0,VLOOKUP($AR331,'O_MN, PE_UTA_UGM 2024'!$E$3:$O$419,BC$6),"")</f>
        <v/>
      </c>
      <c r="BD331" s="1507" t="str">
        <f aca="false">IF($AT331&gt;0,VLOOKUP($AR331,'O_MN, PE_UTA_UGM 2024'!$E$3:$O$419,BD$6),"")</f>
        <v/>
      </c>
      <c r="BE331" s="1507" t="str">
        <f aca="false">IF($AT331&gt;0,VLOOKUP($AR331,'O_MN, PE_UTA_UGM 2024'!$E$3:$O$419,BE$6),"")</f>
        <v/>
      </c>
      <c r="BF331" s="1507" t="str">
        <f aca="false">IF($AT331&gt;0,VLOOKUP($AR331,'O_MN, PE_UTA_UGM 2024'!$E$3:$O$419,BF$6),"")</f>
        <v/>
      </c>
      <c r="BG331" s="1507" t="str">
        <f aca="false">IF($AT331&gt;0,VLOOKUP($AR331,'O_MN, PE_UTA_UGM 2024'!$E$3:$O$419,BG$6),"")</f>
        <v/>
      </c>
      <c r="BH331" s="1504"/>
      <c r="BI331" s="1504"/>
      <c r="BJ331" s="1504"/>
      <c r="BK331" s="1504"/>
      <c r="BM331" s="1411"/>
      <c r="BN331" s="1411"/>
      <c r="BO331" s="1425" t="str">
        <f aca="false">IF(ISNUMBER($AU331*BB331*1),$AU331*BB331*1,"")</f>
        <v/>
      </c>
      <c r="BP331" s="1425" t="str">
        <f aca="false">IF(ISNUMBER($AV331*BC331*1),$AV331*BC331*1,"")</f>
        <v/>
      </c>
      <c r="BQ331" s="1425" t="str">
        <f aca="false">IF(ISNUMBER($AU331*BD331*1),$AU331*BD331*1,"")</f>
        <v/>
      </c>
      <c r="BR331" s="1425" t="str">
        <f aca="false">IF(ISNUMBER($AV331*BE331*1),$AV331*BE331*1,"")</f>
        <v/>
      </c>
      <c r="BS331" s="1411" t="str">
        <f aca="false">IF(ISNUMBER($AU331*BF331),$AU331*BF331,"")</f>
        <v/>
      </c>
      <c r="BT331" s="1411" t="str">
        <f aca="false">IF(ISNUMBER($AV331*BG331),$AV331*BG331,"")</f>
        <v/>
      </c>
      <c r="BU331" s="1411"/>
      <c r="BV331" s="1411"/>
      <c r="BW331" s="1411"/>
      <c r="BX331" s="1411"/>
      <c r="BZ331" s="1372"/>
      <c r="CA331" s="1372"/>
      <c r="CB331" s="1426" t="str">
        <f aca="false">IF(ISNUMBER($AW331*BB331),$AW331*BB331,"")</f>
        <v/>
      </c>
      <c r="CC331" s="1426" t="str">
        <f aca="false">IF(ISNUMBER($AX331*BC331),$AX331*BC331,"")</f>
        <v/>
      </c>
      <c r="CD331" s="1426" t="str">
        <f aca="false">IF(ISNUMBER($AW331*BD331),$AW331*BD331,"")</f>
        <v/>
      </c>
      <c r="CE331" s="1426" t="str">
        <f aca="false">IF(ISNUMBER($AX331*BE331),$AX331*BE331,"")</f>
        <v/>
      </c>
      <c r="CF331" s="1372" t="str">
        <f aca="false">IF(ISNUMBER($AW331*BF331),$AW331*BF331,"")</f>
        <v/>
      </c>
      <c r="CG331" s="1372" t="str">
        <f aca="false">IF(ISNUMBER($AX331*BG331),$AX331*BG331,"")</f>
        <v/>
      </c>
      <c r="CH331" s="1438"/>
      <c r="CI331" s="1438"/>
      <c r="CJ331" s="1438"/>
      <c r="CK331" s="1438"/>
      <c r="CU331" s="1411"/>
      <c r="CV331" s="1411"/>
      <c r="CW331" s="1425"/>
      <c r="CX331" s="1425"/>
      <c r="CY331" s="1425"/>
      <c r="CZ331" s="1425"/>
      <c r="DA331" s="1411"/>
      <c r="DB331" s="1411"/>
      <c r="DC331" s="1411"/>
      <c r="DD331" s="1411"/>
      <c r="DE331" s="1411"/>
      <c r="DF331" s="1411"/>
      <c r="DH331" s="1432"/>
      <c r="DI331" s="1432"/>
      <c r="DJ331" s="1437"/>
      <c r="DK331" s="1437"/>
      <c r="DL331" s="1437"/>
      <c r="DM331" s="1437"/>
      <c r="DN331" s="1432"/>
      <c r="DO331" s="1432"/>
      <c r="DP331" s="1432"/>
      <c r="DQ331" s="1432"/>
      <c r="DR331" s="1432"/>
      <c r="DS331" s="1432"/>
      <c r="DT331" s="1316"/>
      <c r="DU331" s="1433"/>
      <c r="DV331" s="1433"/>
      <c r="DW331" s="1433"/>
      <c r="DX331" s="1433"/>
      <c r="DY331" s="1433"/>
      <c r="DZ331" s="1433"/>
      <c r="EA331" s="1433"/>
      <c r="EB331" s="1433"/>
    </row>
    <row r="332" customFormat="false" ht="14.25" hidden="false" customHeight="false" outlineLevel="0" collapsed="false">
      <c r="A332" s="2" t="n">
        <f aca="false">'V_DATOS PAC_SGA'!CC327</f>
        <v>0</v>
      </c>
      <c r="B332" s="2" t="n">
        <f aca="false">IF(OR(A332=0,A332=""),0,IF(I332="IV",CONCATENATE('V_DATOS PAC_SGA'!CC327,"4")+0,CONCATENATE('V_DATOS PAC_SGA'!CC327,"0")+0))</f>
        <v>0</v>
      </c>
      <c r="C332" s="2" t="n">
        <f aca="false">'V_DATOS PAC_SGA'!CD327</f>
        <v>0</v>
      </c>
      <c r="D332" s="1409" t="n">
        <f aca="false">'V_DATOS PAC_SGA'!Y327</f>
        <v>0</v>
      </c>
      <c r="E332" s="1410" t="str">
        <f aca="false">IF('V_DATOS PAC_SGA'!AV327="","Regadio",'V_DATOS PAC_SGA'!AV327)</f>
        <v>Regadio</v>
      </c>
      <c r="F332" s="1411" t="n">
        <f aca="false">'V_DATOS PAC_SGA'!BK327</f>
        <v>0</v>
      </c>
      <c r="G332" s="1412" t="n">
        <f aca="false">'V_DATOS PAC_SGA'!AN327</f>
        <v>0</v>
      </c>
      <c r="H332" s="1413" t="str">
        <f aca="false">IF(B332&gt;0,VLOOKUP(B332,'O_MN, PE_UTA_UGM 2024'!E$3:O$419,10),"")</f>
        <v/>
      </c>
      <c r="I332" s="1359" t="str">
        <f aca="false">IF('V_DATOS PAC_SGA'!BV327="IV",'V_DATOS PAC_SGA'!BV327,"")</f>
        <v/>
      </c>
      <c r="J332" s="2" t="str">
        <f aca="false">IF($A332&gt;0,IF(AND(J$4=$G332,J$6=$F332),$D332*J$5,""),"")</f>
        <v/>
      </c>
      <c r="K332" s="2" t="str">
        <f aca="false">IF($A332&gt;0,IF(AND(K$4=$G332,K$6=$F332),$D332*K$5,""),"")</f>
        <v/>
      </c>
      <c r="L332" s="2" t="str">
        <f aca="false">IF($A332&gt;0,IF(AND(L$4=$G332,L$6=$F332),$D332*L$5,""),"")</f>
        <v/>
      </c>
      <c r="M332" s="2" t="str">
        <f aca="false">IF($A332&gt;0,IF(AND(M$4=$G332,M$6=$F332),$D332*M$5,""),"")</f>
        <v/>
      </c>
      <c r="N332" s="1506" t="n">
        <f aca="false">VLOOKUP(B332,'O_MN, PE_UTA_UGM 2024'!$E$2:$K$419,IF(G332&gt;1,6,7))</f>
        <v>0</v>
      </c>
      <c r="O332" s="1434" t="str">
        <f aca="false">IF($H332=O$4,$D332*$N332,"")</f>
        <v/>
      </c>
      <c r="P332" s="1435" t="str">
        <f aca="false">IF($H332=P$4,$D332*$N332,"")</f>
        <v/>
      </c>
      <c r="Q332" s="1435" t="str">
        <f aca="false">IF($H332=Q$4,$D332*$N332,"")</f>
        <v/>
      </c>
      <c r="R332" s="1435" t="str">
        <f aca="false">IF($H332=R$4,$D332*$N332,"")</f>
        <v/>
      </c>
      <c r="S332" s="1435" t="str">
        <f aca="false">IF($H332=S$4,$D332*$N332,"")</f>
        <v/>
      </c>
      <c r="T332" s="1435" t="str">
        <f aca="false">IF($H332=T$4,$D332*$N332,"")</f>
        <v/>
      </c>
      <c r="U332" s="1436" t="str">
        <f aca="false">IF($H332=U$4,$D332*$N332,"")</f>
        <v/>
      </c>
      <c r="V332" s="1472"/>
      <c r="W332" s="1471"/>
      <c r="X332" s="1471"/>
      <c r="Y332" s="1471"/>
      <c r="Z332" s="1471"/>
      <c r="AA332" s="1471"/>
      <c r="AB332" s="1473"/>
      <c r="AC332" s="1319"/>
      <c r="AD332" s="2" t="str">
        <f aca="false">IF(AND(AD$4=$G332,AD$6=$F332),$B332,"")</f>
        <v/>
      </c>
      <c r="AE332" s="2" t="str">
        <f aca="false">IF(AND(AE$4=$G332,AE$6=$F332),$B332,"")</f>
        <v/>
      </c>
      <c r="AF332" s="2" t="str">
        <f aca="false">IF(AND(AF$4=$G332,AF$6=$F332),$B332,"")</f>
        <v/>
      </c>
      <c r="AG332" s="2" t="str">
        <f aca="false">IF(AND(AG$4=$G332,AG$6=$F332),$B332,"")</f>
        <v/>
      </c>
      <c r="AI332" s="366"/>
      <c r="AL332" s="367"/>
      <c r="AO332" s="367"/>
      <c r="AP332" s="2" t="str">
        <f aca="false">IF(AT332&gt;0,RANK(AT332,AT$7:AT$423),"")</f>
        <v/>
      </c>
      <c r="AQ332" s="1475" t="n">
        <f aca="false">'O_MN, PE_UTA_UGM 2024'!C328</f>
        <v>355</v>
      </c>
      <c r="AR332" s="1421" t="n">
        <v>3340</v>
      </c>
      <c r="AS332" s="2" t="str">
        <f aca="false">IF(AY332&lt;&gt;"",AY332,"")</f>
        <v/>
      </c>
      <c r="AT332" s="1422" t="n">
        <f aca="false">IF(ISNUMBER($AR332),SUMIF(B$7:B$505,AR332,D$7:D$505),"")</f>
        <v>0</v>
      </c>
      <c r="AU332" s="1411" t="n">
        <f aca="false">IF(ISNUMBER($AR332),SUMIF(AD$7:AD$503,$AR332,J$7:J$503),"")</f>
        <v>0</v>
      </c>
      <c r="AV332" s="1411" t="n">
        <f aca="false">IF(ISNUMBER($AR332),SUMIF(AF$7:AF$503,$AR332,L$7:L$503),"")</f>
        <v>0</v>
      </c>
      <c r="AW332" s="1423" t="n">
        <f aca="false">IF(ISNUMBER($AR332),SUMIF(AE$7:AE$503,$AR332,K$7:K$503),"")</f>
        <v>0</v>
      </c>
      <c r="AX332" s="1423" t="n">
        <f aca="false">IF(ISNUMBER($AR332),SUMIF(AG$7:AG$503,$AR332,M$7:M$503),"")</f>
        <v>0</v>
      </c>
      <c r="AY332" s="2" t="str">
        <f aca="false">IF($AT332&gt;0,VLOOKUP($AR332,'O_MN, PE_UTA_UGM 2024'!E328:O744,2),"")</f>
        <v/>
      </c>
      <c r="AZ332" s="1507"/>
      <c r="BA332" s="1507"/>
      <c r="BB332" s="1507" t="str">
        <f aca="false">IF($AT332&gt;0,VLOOKUP($AR332,'O_MN, PE_UTA_UGM 2024'!$E$3:$O$419,BB$6),"")</f>
        <v/>
      </c>
      <c r="BC332" s="1507" t="str">
        <f aca="false">IF($AT332&gt;0,VLOOKUP($AR332,'O_MN, PE_UTA_UGM 2024'!$E$3:$O$419,BC$6),"")</f>
        <v/>
      </c>
      <c r="BD332" s="1507" t="str">
        <f aca="false">IF($AT332&gt;0,VLOOKUP($AR332,'O_MN, PE_UTA_UGM 2024'!$E$3:$O$419,BD$6),"")</f>
        <v/>
      </c>
      <c r="BE332" s="1507" t="str">
        <f aca="false">IF($AT332&gt;0,VLOOKUP($AR332,'O_MN, PE_UTA_UGM 2024'!$E$3:$O$419,BE$6),"")</f>
        <v/>
      </c>
      <c r="BF332" s="1507" t="str">
        <f aca="false">IF($AT332&gt;0,VLOOKUP($AR332,'O_MN, PE_UTA_UGM 2024'!$E$3:$O$419,BF$6),"")</f>
        <v/>
      </c>
      <c r="BG332" s="1507" t="str">
        <f aca="false">IF($AT332&gt;0,VLOOKUP($AR332,'O_MN, PE_UTA_UGM 2024'!$E$3:$O$419,BG$6),"")</f>
        <v/>
      </c>
      <c r="BH332" s="1504"/>
      <c r="BI332" s="1504"/>
      <c r="BJ332" s="1504"/>
      <c r="BK332" s="1504"/>
      <c r="BM332" s="1411"/>
      <c r="BN332" s="1411"/>
      <c r="BO332" s="1425" t="str">
        <f aca="false">IF(ISNUMBER($AU332*BB332*1),$AU332*BB332*1,"")</f>
        <v/>
      </c>
      <c r="BP332" s="1425" t="str">
        <f aca="false">IF(ISNUMBER($AV332*BC332*1),$AV332*BC332*1,"")</f>
        <v/>
      </c>
      <c r="BQ332" s="1425" t="str">
        <f aca="false">IF(ISNUMBER($AU332*BD332*1),$AU332*BD332*1,"")</f>
        <v/>
      </c>
      <c r="BR332" s="1425" t="str">
        <f aca="false">IF(ISNUMBER($AV332*BE332*1),$AV332*BE332*1,"")</f>
        <v/>
      </c>
      <c r="BS332" s="1411" t="str">
        <f aca="false">IF(ISNUMBER($AU332*BF332),$AU332*BF332,"")</f>
        <v/>
      </c>
      <c r="BT332" s="1411" t="str">
        <f aca="false">IF(ISNUMBER($AV332*BG332),$AV332*BG332,"")</f>
        <v/>
      </c>
      <c r="BU332" s="1411"/>
      <c r="BV332" s="1411"/>
      <c r="BW332" s="1411"/>
      <c r="BX332" s="1411"/>
      <c r="BZ332" s="1372"/>
      <c r="CA332" s="1372"/>
      <c r="CB332" s="1426" t="str">
        <f aca="false">IF(ISNUMBER($AW332*BB332),$AW332*BB332,"")</f>
        <v/>
      </c>
      <c r="CC332" s="1426" t="str">
        <f aca="false">IF(ISNUMBER($AX332*BC332),$AX332*BC332,"")</f>
        <v/>
      </c>
      <c r="CD332" s="1426" t="str">
        <f aca="false">IF(ISNUMBER($AW332*BD332),$AW332*BD332,"")</f>
        <v/>
      </c>
      <c r="CE332" s="1426" t="str">
        <f aca="false">IF(ISNUMBER($AX332*BE332),$AX332*BE332,"")</f>
        <v/>
      </c>
      <c r="CF332" s="1372" t="str">
        <f aca="false">IF(ISNUMBER($AW332*BF332),$AW332*BF332,"")</f>
        <v/>
      </c>
      <c r="CG332" s="1372" t="str">
        <f aca="false">IF(ISNUMBER($AX332*BG332),$AX332*BG332,"")</f>
        <v/>
      </c>
      <c r="CH332" s="1438"/>
      <c r="CI332" s="1438"/>
      <c r="CJ332" s="1438"/>
      <c r="CK332" s="1438"/>
      <c r="CU332" s="1411"/>
      <c r="CV332" s="1411"/>
      <c r="CW332" s="1425"/>
      <c r="CX332" s="1425"/>
      <c r="CY332" s="1425"/>
      <c r="CZ332" s="1425"/>
      <c r="DA332" s="1411"/>
      <c r="DB332" s="1411"/>
      <c r="DC332" s="1411"/>
      <c r="DD332" s="1411"/>
      <c r="DE332" s="1411"/>
      <c r="DF332" s="1411"/>
      <c r="DH332" s="1432"/>
      <c r="DI332" s="1432"/>
      <c r="DJ332" s="1437"/>
      <c r="DK332" s="1437"/>
      <c r="DL332" s="1437"/>
      <c r="DM332" s="1437"/>
      <c r="DN332" s="1432"/>
      <c r="DO332" s="1432"/>
      <c r="DP332" s="1432"/>
      <c r="DQ332" s="1432"/>
      <c r="DR332" s="1432"/>
      <c r="DS332" s="1432"/>
      <c r="DT332" s="1316"/>
      <c r="DU332" s="1433"/>
      <c r="DV332" s="1433"/>
      <c r="DW332" s="1433"/>
      <c r="DX332" s="1433"/>
      <c r="DY332" s="1433"/>
      <c r="DZ332" s="1433"/>
      <c r="EA332" s="1433"/>
      <c r="EB332" s="1433"/>
    </row>
    <row r="333" customFormat="false" ht="14.25" hidden="false" customHeight="false" outlineLevel="0" collapsed="false">
      <c r="A333" s="2" t="n">
        <f aca="false">'V_DATOS PAC_SGA'!CC328</f>
        <v>0</v>
      </c>
      <c r="B333" s="2" t="n">
        <f aca="false">IF(OR(A333=0,A333=""),0,IF(I333="IV",CONCATENATE('V_DATOS PAC_SGA'!CC328,"4")+0,CONCATENATE('V_DATOS PAC_SGA'!CC328,"0")+0))</f>
        <v>0</v>
      </c>
      <c r="C333" s="2" t="n">
        <f aca="false">'V_DATOS PAC_SGA'!CD328</f>
        <v>0</v>
      </c>
      <c r="D333" s="1409" t="n">
        <f aca="false">'V_DATOS PAC_SGA'!Y328</f>
        <v>0</v>
      </c>
      <c r="E333" s="1410" t="str">
        <f aca="false">IF('V_DATOS PAC_SGA'!AV328="","Regadio",'V_DATOS PAC_SGA'!AV328)</f>
        <v>Regadio</v>
      </c>
      <c r="F333" s="1411" t="n">
        <f aca="false">'V_DATOS PAC_SGA'!BK328</f>
        <v>0</v>
      </c>
      <c r="G333" s="1412" t="n">
        <f aca="false">'V_DATOS PAC_SGA'!AN328</f>
        <v>0</v>
      </c>
      <c r="H333" s="1413" t="str">
        <f aca="false">IF(B333&gt;0,VLOOKUP(B333,'O_MN, PE_UTA_UGM 2024'!E$3:O$419,10),"")</f>
        <v/>
      </c>
      <c r="I333" s="1359" t="str">
        <f aca="false">IF('V_DATOS PAC_SGA'!BV328="IV",'V_DATOS PAC_SGA'!BV328,"")</f>
        <v/>
      </c>
      <c r="J333" s="2" t="str">
        <f aca="false">IF($A333&gt;0,IF(AND(J$4=$G333,J$6=$F333),$D333*J$5,""),"")</f>
        <v/>
      </c>
      <c r="K333" s="2" t="str">
        <f aca="false">IF($A333&gt;0,IF(AND(K$4=$G333,K$6=$F333),$D333*K$5,""),"")</f>
        <v/>
      </c>
      <c r="L333" s="2" t="str">
        <f aca="false">IF($A333&gt;0,IF(AND(L$4=$G333,L$6=$F333),$D333*L$5,""),"")</f>
        <v/>
      </c>
      <c r="M333" s="2" t="str">
        <f aca="false">IF($A333&gt;0,IF(AND(M$4=$G333,M$6=$F333),$D333*M$5,""),"")</f>
        <v/>
      </c>
      <c r="N333" s="1506" t="n">
        <f aca="false">VLOOKUP(B333,'O_MN, PE_UTA_UGM 2024'!$E$2:$K$419,IF(G333&gt;1,6,7))</f>
        <v>0</v>
      </c>
      <c r="O333" s="1434" t="str">
        <f aca="false">IF($H333=O$4,$D333*$N333,"")</f>
        <v/>
      </c>
      <c r="P333" s="1435" t="str">
        <f aca="false">IF($H333=P$4,$D333*$N333,"")</f>
        <v/>
      </c>
      <c r="Q333" s="1435" t="str">
        <f aca="false">IF($H333=Q$4,$D333*$N333,"")</f>
        <v/>
      </c>
      <c r="R333" s="1435" t="str">
        <f aca="false">IF($H333=R$4,$D333*$N333,"")</f>
        <v/>
      </c>
      <c r="S333" s="1435" t="str">
        <f aca="false">IF($H333=S$4,$D333*$N333,"")</f>
        <v/>
      </c>
      <c r="T333" s="1435" t="str">
        <f aca="false">IF($H333=T$4,$D333*$N333,"")</f>
        <v/>
      </c>
      <c r="U333" s="1436" t="str">
        <f aca="false">IF($H333=U$4,$D333*$N333,"")</f>
        <v/>
      </c>
      <c r="V333" s="1472"/>
      <c r="W333" s="1471"/>
      <c r="X333" s="1471"/>
      <c r="Y333" s="1471"/>
      <c r="Z333" s="1471"/>
      <c r="AA333" s="1471"/>
      <c r="AB333" s="1473"/>
      <c r="AC333" s="1319"/>
      <c r="AD333" s="2" t="str">
        <f aca="false">IF(AND(AD$4=$G333,AD$6=$F333),$B333,"")</f>
        <v/>
      </c>
      <c r="AE333" s="2" t="str">
        <f aca="false">IF(AND(AE$4=$G333,AE$6=$F333),$B333,"")</f>
        <v/>
      </c>
      <c r="AF333" s="2" t="str">
        <f aca="false">IF(AND(AF$4=$G333,AF$6=$F333),$B333,"")</f>
        <v/>
      </c>
      <c r="AG333" s="2" t="str">
        <f aca="false">IF(AND(AG$4=$G333,AG$6=$F333),$B333,"")</f>
        <v/>
      </c>
      <c r="AI333" s="366"/>
      <c r="AL333" s="367"/>
      <c r="AO333" s="367"/>
      <c r="AP333" s="2" t="str">
        <f aca="false">IF(AT333&gt;0,RANK(AT333,AT$7:AT$423),"")</f>
        <v/>
      </c>
      <c r="AQ333" s="1475" t="n">
        <f aca="false">'O_MN, PE_UTA_UGM 2024'!C329</f>
        <v>356</v>
      </c>
      <c r="AR333" s="1421" t="n">
        <v>3360</v>
      </c>
      <c r="AS333" s="2" t="str">
        <f aca="false">IF(AY333&lt;&gt;"",AY333,"")</f>
        <v/>
      </c>
      <c r="AT333" s="1422" t="n">
        <f aca="false">IF(ISNUMBER($AR333),SUMIF(B$7:B$505,AR333,D$7:D$505),"")</f>
        <v>0</v>
      </c>
      <c r="AU333" s="1411" t="n">
        <f aca="false">IF(ISNUMBER($AR333),SUMIF(AD$7:AD$503,$AR333,J$7:J$503),"")</f>
        <v>0</v>
      </c>
      <c r="AV333" s="1411" t="n">
        <f aca="false">IF(ISNUMBER($AR333),SUMIF(AF$7:AF$503,$AR333,L$7:L$503),"")</f>
        <v>0</v>
      </c>
      <c r="AW333" s="1423" t="n">
        <f aca="false">IF(ISNUMBER($AR333),SUMIF(AE$7:AE$503,$AR333,K$7:K$503),"")</f>
        <v>0</v>
      </c>
      <c r="AX333" s="1423" t="n">
        <f aca="false">IF(ISNUMBER($AR333),SUMIF(AG$7:AG$503,$AR333,M$7:M$503),"")</f>
        <v>0</v>
      </c>
      <c r="AY333" s="2" t="str">
        <f aca="false">IF($AT333&gt;0,VLOOKUP($AR333,'O_MN, PE_UTA_UGM 2024'!E329:O745,2),"")</f>
        <v/>
      </c>
      <c r="AZ333" s="1507"/>
      <c r="BA333" s="1507"/>
      <c r="BB333" s="1507" t="str">
        <f aca="false">IF($AT333&gt;0,VLOOKUP($AR333,'O_MN, PE_UTA_UGM 2024'!$E$3:$O$419,BB$6),"")</f>
        <v/>
      </c>
      <c r="BC333" s="1507" t="str">
        <f aca="false">IF($AT333&gt;0,VLOOKUP($AR333,'O_MN, PE_UTA_UGM 2024'!$E$3:$O$419,BC$6),"")</f>
        <v/>
      </c>
      <c r="BD333" s="1507" t="str">
        <f aca="false">IF($AT333&gt;0,VLOOKUP($AR333,'O_MN, PE_UTA_UGM 2024'!$E$3:$O$419,BD$6),"")</f>
        <v/>
      </c>
      <c r="BE333" s="1507" t="str">
        <f aca="false">IF($AT333&gt;0,VLOOKUP($AR333,'O_MN, PE_UTA_UGM 2024'!$E$3:$O$419,BE$6),"")</f>
        <v/>
      </c>
      <c r="BF333" s="1507" t="str">
        <f aca="false">IF($AT333&gt;0,VLOOKUP($AR333,'O_MN, PE_UTA_UGM 2024'!$E$3:$O$419,BF$6),"")</f>
        <v/>
      </c>
      <c r="BG333" s="1507" t="str">
        <f aca="false">IF($AT333&gt;0,VLOOKUP($AR333,'O_MN, PE_UTA_UGM 2024'!$E$3:$O$419,BG$6),"")</f>
        <v/>
      </c>
      <c r="BH333" s="1504"/>
      <c r="BI333" s="1504"/>
      <c r="BJ333" s="1504"/>
      <c r="BK333" s="1504"/>
      <c r="BM333" s="1411"/>
      <c r="BN333" s="1411"/>
      <c r="BO333" s="1425" t="str">
        <f aca="false">IF(ISNUMBER($AU333*BB333*1),$AU333*BB333*1,"")</f>
        <v/>
      </c>
      <c r="BP333" s="1425" t="str">
        <f aca="false">IF(ISNUMBER($AV333*BC333*1),$AV333*BC333*1,"")</f>
        <v/>
      </c>
      <c r="BQ333" s="1425" t="str">
        <f aca="false">IF(ISNUMBER($AU333*BD333*1),$AU333*BD333*1,"")</f>
        <v/>
      </c>
      <c r="BR333" s="1425" t="str">
        <f aca="false">IF(ISNUMBER($AV333*BE333*1),$AV333*BE333*1,"")</f>
        <v/>
      </c>
      <c r="BS333" s="1411" t="str">
        <f aca="false">IF(ISNUMBER($AU333*BF333),$AU333*BF333,"")</f>
        <v/>
      </c>
      <c r="BT333" s="1411" t="str">
        <f aca="false">IF(ISNUMBER($AV333*BG333),$AV333*BG333,"")</f>
        <v/>
      </c>
      <c r="BU333" s="1411"/>
      <c r="BV333" s="1411"/>
      <c r="BW333" s="1411"/>
      <c r="BX333" s="1411"/>
      <c r="BZ333" s="1372"/>
      <c r="CA333" s="1372"/>
      <c r="CB333" s="1426" t="str">
        <f aca="false">IF(ISNUMBER($AW333*BB333),$AW333*BB333,"")</f>
        <v/>
      </c>
      <c r="CC333" s="1426" t="str">
        <f aca="false">IF(ISNUMBER($AX333*BC333),$AX333*BC333,"")</f>
        <v/>
      </c>
      <c r="CD333" s="1426" t="str">
        <f aca="false">IF(ISNUMBER($AW333*BD333),$AW333*BD333,"")</f>
        <v/>
      </c>
      <c r="CE333" s="1426" t="str">
        <f aca="false">IF(ISNUMBER($AX333*BE333),$AX333*BE333,"")</f>
        <v/>
      </c>
      <c r="CF333" s="1372" t="str">
        <f aca="false">IF(ISNUMBER($AW333*BF333),$AW333*BF333,"")</f>
        <v/>
      </c>
      <c r="CG333" s="1372" t="str">
        <f aca="false">IF(ISNUMBER($AX333*BG333),$AX333*BG333,"")</f>
        <v/>
      </c>
      <c r="CH333" s="1438"/>
      <c r="CI333" s="1438"/>
      <c r="CJ333" s="1438"/>
      <c r="CK333" s="1438"/>
      <c r="CU333" s="1411"/>
      <c r="CV333" s="1411"/>
      <c r="CW333" s="1425"/>
      <c r="CX333" s="1425"/>
      <c r="CY333" s="1425"/>
      <c r="CZ333" s="1425"/>
      <c r="DA333" s="1411"/>
      <c r="DB333" s="1411"/>
      <c r="DC333" s="1411"/>
      <c r="DD333" s="1411"/>
      <c r="DE333" s="1411"/>
      <c r="DF333" s="1411"/>
      <c r="DH333" s="1432"/>
      <c r="DI333" s="1432"/>
      <c r="DJ333" s="1437"/>
      <c r="DK333" s="1437"/>
      <c r="DL333" s="1437"/>
      <c r="DM333" s="1437"/>
      <c r="DN333" s="1432"/>
      <c r="DO333" s="1432"/>
      <c r="DP333" s="1432"/>
      <c r="DQ333" s="1432"/>
      <c r="DR333" s="1432"/>
      <c r="DS333" s="1432"/>
      <c r="DT333" s="1316"/>
      <c r="DU333" s="1433"/>
      <c r="DV333" s="1433"/>
      <c r="DW333" s="1433"/>
      <c r="DX333" s="1433"/>
      <c r="DY333" s="1433"/>
      <c r="DZ333" s="1433"/>
      <c r="EA333" s="1433"/>
      <c r="EB333" s="1433"/>
    </row>
    <row r="334" customFormat="false" ht="14.25" hidden="false" customHeight="false" outlineLevel="0" collapsed="false">
      <c r="A334" s="2" t="n">
        <f aca="false">'V_DATOS PAC_SGA'!CC329</f>
        <v>0</v>
      </c>
      <c r="B334" s="2" t="n">
        <f aca="false">IF(OR(A334=0,A334=""),0,IF(I334="IV",CONCATENATE('V_DATOS PAC_SGA'!CC329,"4")+0,CONCATENATE('V_DATOS PAC_SGA'!CC329,"0")+0))</f>
        <v>0</v>
      </c>
      <c r="C334" s="2" t="n">
        <f aca="false">'V_DATOS PAC_SGA'!CD329</f>
        <v>0</v>
      </c>
      <c r="D334" s="1409" t="n">
        <f aca="false">'V_DATOS PAC_SGA'!Y329</f>
        <v>0</v>
      </c>
      <c r="E334" s="1410" t="str">
        <f aca="false">IF('V_DATOS PAC_SGA'!AV329="","Regadio",'V_DATOS PAC_SGA'!AV329)</f>
        <v>Regadio</v>
      </c>
      <c r="F334" s="1411" t="n">
        <f aca="false">'V_DATOS PAC_SGA'!BK329</f>
        <v>0</v>
      </c>
      <c r="G334" s="1412" t="n">
        <f aca="false">'V_DATOS PAC_SGA'!AN329</f>
        <v>0</v>
      </c>
      <c r="H334" s="1413" t="str">
        <f aca="false">IF(B334&gt;0,VLOOKUP(B334,'O_MN, PE_UTA_UGM 2024'!E$3:O$419,10),"")</f>
        <v/>
      </c>
      <c r="I334" s="1359" t="str">
        <f aca="false">IF('V_DATOS PAC_SGA'!BV329="IV",'V_DATOS PAC_SGA'!BV329,"")</f>
        <v/>
      </c>
      <c r="J334" s="2" t="str">
        <f aca="false">IF($A334&gt;0,IF(AND(J$4=$G334,J$6=$F334),$D334*J$5,""),"")</f>
        <v/>
      </c>
      <c r="K334" s="2" t="str">
        <f aca="false">IF($A334&gt;0,IF(AND(K$4=$G334,K$6=$F334),$D334*K$5,""),"")</f>
        <v/>
      </c>
      <c r="L334" s="2" t="str">
        <f aca="false">IF($A334&gt;0,IF(AND(L$4=$G334,L$6=$F334),$D334*L$5,""),"")</f>
        <v/>
      </c>
      <c r="M334" s="2" t="str">
        <f aca="false">IF($A334&gt;0,IF(AND(M$4=$G334,M$6=$F334),$D334*M$5,""),"")</f>
        <v/>
      </c>
      <c r="N334" s="1506" t="n">
        <f aca="false">VLOOKUP(B334,'O_MN, PE_UTA_UGM 2024'!$E$2:$K$419,IF(G334&gt;1,6,7))</f>
        <v>0</v>
      </c>
      <c r="O334" s="1434" t="str">
        <f aca="false">IF($H334=O$4,$D334*$N334,"")</f>
        <v/>
      </c>
      <c r="P334" s="1435" t="str">
        <f aca="false">IF($H334=P$4,$D334*$N334,"")</f>
        <v/>
      </c>
      <c r="Q334" s="1435" t="str">
        <f aca="false">IF($H334=Q$4,$D334*$N334,"")</f>
        <v/>
      </c>
      <c r="R334" s="1435" t="str">
        <f aca="false">IF($H334=R$4,$D334*$N334,"")</f>
        <v/>
      </c>
      <c r="S334" s="1435" t="str">
        <f aca="false">IF($H334=S$4,$D334*$N334,"")</f>
        <v/>
      </c>
      <c r="T334" s="1435" t="str">
        <f aca="false">IF($H334=T$4,$D334*$N334,"")</f>
        <v/>
      </c>
      <c r="U334" s="1436" t="str">
        <f aca="false">IF($H334=U$4,$D334*$N334,"")</f>
        <v/>
      </c>
      <c r="V334" s="1472"/>
      <c r="W334" s="1471"/>
      <c r="X334" s="1471"/>
      <c r="Y334" s="1471"/>
      <c r="Z334" s="1471"/>
      <c r="AA334" s="1471"/>
      <c r="AB334" s="1473"/>
      <c r="AC334" s="1319"/>
      <c r="AD334" s="2" t="str">
        <f aca="false">IF(AND(AD$4=$G334,AD$6=$F334),$B334,"")</f>
        <v/>
      </c>
      <c r="AE334" s="2" t="str">
        <f aca="false">IF(AND(AE$4=$G334,AE$6=$F334),$B334,"")</f>
        <v/>
      </c>
      <c r="AF334" s="2" t="str">
        <f aca="false">IF(AND(AF$4=$G334,AF$6=$F334),$B334,"")</f>
        <v/>
      </c>
      <c r="AG334" s="2" t="str">
        <f aca="false">IF(AND(AG$4=$G334,AG$6=$F334),$B334,"")</f>
        <v/>
      </c>
      <c r="AI334" s="366"/>
      <c r="AL334" s="367"/>
      <c r="AO334" s="367"/>
      <c r="AP334" s="2" t="str">
        <f aca="false">IF(AT334&gt;0,RANK(AT334,AT$7:AT$423),"")</f>
        <v/>
      </c>
      <c r="AQ334" s="1475" t="n">
        <f aca="false">'O_MN, PE_UTA_UGM 2024'!C330</f>
        <v>390</v>
      </c>
      <c r="AR334" s="1421" t="n">
        <v>3370</v>
      </c>
      <c r="AS334" s="2" t="str">
        <f aca="false">IF(AY334&lt;&gt;"",AY334,"")</f>
        <v/>
      </c>
      <c r="AT334" s="1422" t="n">
        <f aca="false">IF(ISNUMBER($AR334),SUMIF(B$7:B$505,AR334,D$7:D$505),"")</f>
        <v>0</v>
      </c>
      <c r="AU334" s="1411" t="n">
        <f aca="false">IF(ISNUMBER($AR334),SUMIF(AD$7:AD$503,$AR334,J$7:J$503),"")</f>
        <v>0</v>
      </c>
      <c r="AV334" s="1411" t="n">
        <f aca="false">IF(ISNUMBER($AR334),SUMIF(AF$7:AF$503,$AR334,L$7:L$503),"")</f>
        <v>0</v>
      </c>
      <c r="AW334" s="1423" t="n">
        <f aca="false">IF(ISNUMBER($AR334),SUMIF(AE$7:AE$503,$AR334,K$7:K$503),"")</f>
        <v>0</v>
      </c>
      <c r="AX334" s="1423" t="n">
        <f aca="false">IF(ISNUMBER($AR334),SUMIF(AG$7:AG$503,$AR334,M$7:M$503),"")</f>
        <v>0</v>
      </c>
      <c r="AY334" s="2" t="str">
        <f aca="false">IF($AT334&gt;0,VLOOKUP($AR334,'O_MN, PE_UTA_UGM 2024'!E330:O746,2),"")</f>
        <v/>
      </c>
      <c r="AZ334" s="1507"/>
      <c r="BA334" s="1507"/>
      <c r="BB334" s="1507" t="str">
        <f aca="false">IF($AT334&gt;0,VLOOKUP($AR334,'O_MN, PE_UTA_UGM 2024'!$E$3:$O$419,BB$6),"")</f>
        <v/>
      </c>
      <c r="BC334" s="1507" t="str">
        <f aca="false">IF($AT334&gt;0,VLOOKUP($AR334,'O_MN, PE_UTA_UGM 2024'!$E$3:$O$419,BC$6),"")</f>
        <v/>
      </c>
      <c r="BD334" s="1507" t="str">
        <f aca="false">IF($AT334&gt;0,VLOOKUP($AR334,'O_MN, PE_UTA_UGM 2024'!$E$3:$O$419,BD$6),"")</f>
        <v/>
      </c>
      <c r="BE334" s="1507" t="str">
        <f aca="false">IF($AT334&gt;0,VLOOKUP($AR334,'O_MN, PE_UTA_UGM 2024'!$E$3:$O$419,BE$6),"")</f>
        <v/>
      </c>
      <c r="BF334" s="1507" t="str">
        <f aca="false">IF($AT334&gt;0,VLOOKUP($AR334,'O_MN, PE_UTA_UGM 2024'!$E$3:$O$419,BF$6),"")</f>
        <v/>
      </c>
      <c r="BG334" s="1507" t="str">
        <f aca="false">IF($AT334&gt;0,VLOOKUP($AR334,'O_MN, PE_UTA_UGM 2024'!$E$3:$O$419,BG$6),"")</f>
        <v/>
      </c>
      <c r="BH334" s="1504"/>
      <c r="BI334" s="1504"/>
      <c r="BJ334" s="1504"/>
      <c r="BK334" s="1504"/>
      <c r="BM334" s="1411"/>
      <c r="BN334" s="1411"/>
      <c r="BO334" s="1425" t="str">
        <f aca="false">IF(ISNUMBER($AU334*BB334*1),$AU334*BB334*1,"")</f>
        <v/>
      </c>
      <c r="BP334" s="1425" t="str">
        <f aca="false">IF(ISNUMBER($AV334*BC334*1),$AV334*BC334*1,"")</f>
        <v/>
      </c>
      <c r="BQ334" s="1425" t="str">
        <f aca="false">IF(ISNUMBER($AU334*BD334*1),$AU334*BD334*1,"")</f>
        <v/>
      </c>
      <c r="BR334" s="1425" t="str">
        <f aca="false">IF(ISNUMBER($AV334*BE334*1),$AV334*BE334*1,"")</f>
        <v/>
      </c>
      <c r="BS334" s="1411" t="str">
        <f aca="false">IF(ISNUMBER($AU334*BF334),$AU334*BF334,"")</f>
        <v/>
      </c>
      <c r="BT334" s="1411" t="str">
        <f aca="false">IF(ISNUMBER($AV334*BG334),$AV334*BG334,"")</f>
        <v/>
      </c>
      <c r="BU334" s="1411"/>
      <c r="BV334" s="1411"/>
      <c r="BW334" s="1411"/>
      <c r="BX334" s="1411"/>
      <c r="BZ334" s="1372"/>
      <c r="CA334" s="1372"/>
      <c r="CB334" s="1426" t="str">
        <f aca="false">IF(ISNUMBER($AW334*BB334),$AW334*BB334,"")</f>
        <v/>
      </c>
      <c r="CC334" s="1426" t="str">
        <f aca="false">IF(ISNUMBER($AX334*BC334),$AX334*BC334,"")</f>
        <v/>
      </c>
      <c r="CD334" s="1426" t="str">
        <f aca="false">IF(ISNUMBER($AW334*BD334),$AW334*BD334,"")</f>
        <v/>
      </c>
      <c r="CE334" s="1426" t="str">
        <f aca="false">IF(ISNUMBER($AX334*BE334),$AX334*BE334,"")</f>
        <v/>
      </c>
      <c r="CF334" s="1372" t="str">
        <f aca="false">IF(ISNUMBER($AW334*BF334),$AW334*BF334,"")</f>
        <v/>
      </c>
      <c r="CG334" s="1372" t="str">
        <f aca="false">IF(ISNUMBER($AX334*BG334),$AX334*BG334,"")</f>
        <v/>
      </c>
      <c r="CH334" s="1438"/>
      <c r="CI334" s="1438"/>
      <c r="CJ334" s="1438"/>
      <c r="CK334" s="1438"/>
      <c r="CU334" s="1411"/>
      <c r="CV334" s="1411"/>
      <c r="CW334" s="1425"/>
      <c r="CX334" s="1425"/>
      <c r="CY334" s="1425"/>
      <c r="CZ334" s="1425"/>
      <c r="DA334" s="1411"/>
      <c r="DB334" s="1411"/>
      <c r="DC334" s="1411"/>
      <c r="DD334" s="1411"/>
      <c r="DE334" s="1411"/>
      <c r="DF334" s="1411"/>
      <c r="DH334" s="1432"/>
      <c r="DI334" s="1432"/>
      <c r="DJ334" s="1437"/>
      <c r="DK334" s="1437"/>
      <c r="DL334" s="1437"/>
      <c r="DM334" s="1437"/>
      <c r="DN334" s="1432"/>
      <c r="DO334" s="1432"/>
      <c r="DP334" s="1432"/>
      <c r="DQ334" s="1432"/>
      <c r="DR334" s="1432"/>
      <c r="DS334" s="1432"/>
      <c r="DT334" s="1316"/>
      <c r="DU334" s="1433"/>
      <c r="DV334" s="1433"/>
      <c r="DW334" s="1433"/>
      <c r="DX334" s="1433"/>
      <c r="DY334" s="1433"/>
      <c r="DZ334" s="1433"/>
      <c r="EA334" s="1433"/>
      <c r="EB334" s="1433"/>
    </row>
    <row r="335" customFormat="false" ht="14.25" hidden="false" customHeight="false" outlineLevel="0" collapsed="false">
      <c r="A335" s="2" t="n">
        <f aca="false">'V_DATOS PAC_SGA'!CC330</f>
        <v>0</v>
      </c>
      <c r="B335" s="2" t="n">
        <f aca="false">IF(OR(A335=0,A335=""),0,IF(I335="IV",CONCATENATE('V_DATOS PAC_SGA'!CC330,"4")+0,CONCATENATE('V_DATOS PAC_SGA'!CC330,"0")+0))</f>
        <v>0</v>
      </c>
      <c r="C335" s="2" t="n">
        <f aca="false">'V_DATOS PAC_SGA'!CD330</f>
        <v>0</v>
      </c>
      <c r="D335" s="1409" t="n">
        <f aca="false">'V_DATOS PAC_SGA'!Y330</f>
        <v>0</v>
      </c>
      <c r="E335" s="1410" t="str">
        <f aca="false">IF('V_DATOS PAC_SGA'!AV330="","Regadio",'V_DATOS PAC_SGA'!AV330)</f>
        <v>Regadio</v>
      </c>
      <c r="F335" s="1411" t="n">
        <f aca="false">'V_DATOS PAC_SGA'!BK330</f>
        <v>0</v>
      </c>
      <c r="G335" s="1412" t="n">
        <f aca="false">'V_DATOS PAC_SGA'!AN330</f>
        <v>0</v>
      </c>
      <c r="H335" s="1413" t="str">
        <f aca="false">IF(B335&gt;0,VLOOKUP(B335,'O_MN, PE_UTA_UGM 2024'!E$3:O$419,10),"")</f>
        <v/>
      </c>
      <c r="I335" s="1359" t="str">
        <f aca="false">IF('V_DATOS PAC_SGA'!BV330="IV",'V_DATOS PAC_SGA'!BV330,"")</f>
        <v/>
      </c>
      <c r="J335" s="2" t="str">
        <f aca="false">IF($A335&gt;0,IF(AND(J$4=$G335,J$6=$F335),$D335*J$5,""),"")</f>
        <v/>
      </c>
      <c r="K335" s="2" t="str">
        <f aca="false">IF($A335&gt;0,IF(AND(K$4=$G335,K$6=$F335),$D335*K$5,""),"")</f>
        <v/>
      </c>
      <c r="L335" s="2" t="str">
        <f aca="false">IF($A335&gt;0,IF(AND(L$4=$G335,L$6=$F335),$D335*L$5,""),"")</f>
        <v/>
      </c>
      <c r="M335" s="2" t="str">
        <f aca="false">IF($A335&gt;0,IF(AND(M$4=$G335,M$6=$F335),$D335*M$5,""),"")</f>
        <v/>
      </c>
      <c r="N335" s="1506" t="n">
        <f aca="false">VLOOKUP(B335,'O_MN, PE_UTA_UGM 2024'!$E$2:$K$419,IF(G335&gt;1,6,7))</f>
        <v>0</v>
      </c>
      <c r="O335" s="1434" t="str">
        <f aca="false">IF($H335=O$4,$D335*$N335,"")</f>
        <v/>
      </c>
      <c r="P335" s="1435" t="str">
        <f aca="false">IF($H335=P$4,$D335*$N335,"")</f>
        <v/>
      </c>
      <c r="Q335" s="1435" t="str">
        <f aca="false">IF($H335=Q$4,$D335*$N335,"")</f>
        <v/>
      </c>
      <c r="R335" s="1435" t="str">
        <f aca="false">IF($H335=R$4,$D335*$N335,"")</f>
        <v/>
      </c>
      <c r="S335" s="1435" t="str">
        <f aca="false">IF($H335=S$4,$D335*$N335,"")</f>
        <v/>
      </c>
      <c r="T335" s="1435" t="str">
        <f aca="false">IF($H335=T$4,$D335*$N335,"")</f>
        <v/>
      </c>
      <c r="U335" s="1436" t="str">
        <f aca="false">IF($H335=U$4,$D335*$N335,"")</f>
        <v/>
      </c>
      <c r="V335" s="1472"/>
      <c r="W335" s="1471"/>
      <c r="X335" s="1471"/>
      <c r="Y335" s="1471"/>
      <c r="Z335" s="1471"/>
      <c r="AA335" s="1471"/>
      <c r="AB335" s="1473"/>
      <c r="AC335" s="1319"/>
      <c r="AD335" s="2" t="str">
        <f aca="false">IF(AND(AD$4=$G335,AD$6=$F335),$B335,"")</f>
        <v/>
      </c>
      <c r="AE335" s="2" t="str">
        <f aca="false">IF(AND(AE$4=$G335,AE$6=$F335),$B335,"")</f>
        <v/>
      </c>
      <c r="AF335" s="2" t="str">
        <f aca="false">IF(AND(AF$4=$G335,AF$6=$F335),$B335,"")</f>
        <v/>
      </c>
      <c r="AG335" s="2" t="str">
        <f aca="false">IF(AND(AG$4=$G335,AG$6=$F335),$B335,"")</f>
        <v/>
      </c>
      <c r="AI335" s="366"/>
      <c r="AL335" s="367"/>
      <c r="AO335" s="367"/>
      <c r="AP335" s="2" t="str">
        <f aca="false">IF(AT335&gt;0,RANK(AT335,AT$7:AT$423),"")</f>
        <v/>
      </c>
      <c r="AQ335" s="1475" t="n">
        <f aca="false">'O_MN, PE_UTA_UGM 2024'!C331</f>
        <v>392</v>
      </c>
      <c r="AR335" s="1421" t="n">
        <v>3380</v>
      </c>
      <c r="AS335" s="2" t="str">
        <f aca="false">IF(AY335&lt;&gt;"",AY335,"")</f>
        <v/>
      </c>
      <c r="AT335" s="1422" t="n">
        <f aca="false">IF(ISNUMBER($AR335),SUMIF(B$7:B$505,AR335,D$7:D$505),"")</f>
        <v>0</v>
      </c>
      <c r="AU335" s="1411" t="n">
        <f aca="false">IF(ISNUMBER($AR335),SUMIF(AD$7:AD$503,$AR335,J$7:J$503),"")</f>
        <v>0</v>
      </c>
      <c r="AV335" s="1411" t="n">
        <f aca="false">IF(ISNUMBER($AR335),SUMIF(AF$7:AF$503,$AR335,L$7:L$503),"")</f>
        <v>0</v>
      </c>
      <c r="AW335" s="1423" t="n">
        <f aca="false">IF(ISNUMBER($AR335),SUMIF(AE$7:AE$503,$AR335,K$7:K$503),"")</f>
        <v>0</v>
      </c>
      <c r="AX335" s="1423" t="n">
        <f aca="false">IF(ISNUMBER($AR335),SUMIF(AG$7:AG$503,$AR335,M$7:M$503),"")</f>
        <v>0</v>
      </c>
      <c r="AY335" s="2" t="str">
        <f aca="false">IF($AT335&gt;0,VLOOKUP($AR335,'O_MN, PE_UTA_UGM 2024'!E331:O747,2),"")</f>
        <v/>
      </c>
      <c r="AZ335" s="1507"/>
      <c r="BA335" s="1507"/>
      <c r="BB335" s="1507" t="str">
        <f aca="false">IF($AT335&gt;0,VLOOKUP($AR335,'O_MN, PE_UTA_UGM 2024'!$E$3:$O$419,BB$6),"")</f>
        <v/>
      </c>
      <c r="BC335" s="1507" t="str">
        <f aca="false">IF($AT335&gt;0,VLOOKUP($AR335,'O_MN, PE_UTA_UGM 2024'!$E$3:$O$419,BC$6),"")</f>
        <v/>
      </c>
      <c r="BD335" s="1507" t="str">
        <f aca="false">IF($AT335&gt;0,VLOOKUP($AR335,'O_MN, PE_UTA_UGM 2024'!$E$3:$O$419,BD$6),"")</f>
        <v/>
      </c>
      <c r="BE335" s="1507" t="str">
        <f aca="false">IF($AT335&gt;0,VLOOKUP($AR335,'O_MN, PE_UTA_UGM 2024'!$E$3:$O$419,BE$6),"")</f>
        <v/>
      </c>
      <c r="BF335" s="1507" t="str">
        <f aca="false">IF($AT335&gt;0,VLOOKUP($AR335,'O_MN, PE_UTA_UGM 2024'!$E$3:$O$419,BF$6),"")</f>
        <v/>
      </c>
      <c r="BG335" s="1507" t="str">
        <f aca="false">IF($AT335&gt;0,VLOOKUP($AR335,'O_MN, PE_UTA_UGM 2024'!$E$3:$O$419,BG$6),"")</f>
        <v/>
      </c>
      <c r="BH335" s="1504"/>
      <c r="BI335" s="1504"/>
      <c r="BJ335" s="1504"/>
      <c r="BK335" s="1504"/>
      <c r="BM335" s="1411"/>
      <c r="BN335" s="1411"/>
      <c r="BO335" s="1425" t="str">
        <f aca="false">IF(ISNUMBER($AU335*BB335*1),$AU335*BB335*1,"")</f>
        <v/>
      </c>
      <c r="BP335" s="1425" t="str">
        <f aca="false">IF(ISNUMBER($AV335*BC335*1),$AV335*BC335*1,"")</f>
        <v/>
      </c>
      <c r="BQ335" s="1425" t="str">
        <f aca="false">IF(ISNUMBER($AU335*BD335*1),$AU335*BD335*1,"")</f>
        <v/>
      </c>
      <c r="BR335" s="1425" t="str">
        <f aca="false">IF(ISNUMBER($AV335*BE335*1),$AV335*BE335*1,"")</f>
        <v/>
      </c>
      <c r="BS335" s="1411" t="str">
        <f aca="false">IF(ISNUMBER($AU335*BF335),$AU335*BF335,"")</f>
        <v/>
      </c>
      <c r="BT335" s="1411" t="str">
        <f aca="false">IF(ISNUMBER($AV335*BG335),$AV335*BG335,"")</f>
        <v/>
      </c>
      <c r="BU335" s="1411"/>
      <c r="BV335" s="1411"/>
      <c r="BW335" s="1411"/>
      <c r="BX335" s="1411"/>
      <c r="BZ335" s="1372"/>
      <c r="CA335" s="1372"/>
      <c r="CB335" s="1426" t="str">
        <f aca="false">IF(ISNUMBER($AW335*BB335),$AW335*BB335,"")</f>
        <v/>
      </c>
      <c r="CC335" s="1426" t="str">
        <f aca="false">IF(ISNUMBER($AX335*BC335),$AX335*BC335,"")</f>
        <v/>
      </c>
      <c r="CD335" s="1426" t="str">
        <f aca="false">IF(ISNUMBER($AW335*BD335),$AW335*BD335,"")</f>
        <v/>
      </c>
      <c r="CE335" s="1426" t="str">
        <f aca="false">IF(ISNUMBER($AX335*BE335),$AX335*BE335,"")</f>
        <v/>
      </c>
      <c r="CF335" s="1372" t="str">
        <f aca="false">IF(ISNUMBER($AW335*BF335),$AW335*BF335,"")</f>
        <v/>
      </c>
      <c r="CG335" s="1372" t="str">
        <f aca="false">IF(ISNUMBER($AX335*BG335),$AX335*BG335,"")</f>
        <v/>
      </c>
      <c r="CH335" s="1438"/>
      <c r="CI335" s="1438"/>
      <c r="CJ335" s="1438"/>
      <c r="CK335" s="1438"/>
      <c r="CU335" s="1411"/>
      <c r="CV335" s="1411"/>
      <c r="CW335" s="1425"/>
      <c r="CX335" s="1425"/>
      <c r="CY335" s="1425"/>
      <c r="CZ335" s="1425"/>
      <c r="DA335" s="1411"/>
      <c r="DB335" s="1411"/>
      <c r="DC335" s="1411"/>
      <c r="DD335" s="1411"/>
      <c r="DE335" s="1411"/>
      <c r="DF335" s="1411"/>
      <c r="DH335" s="1432"/>
      <c r="DI335" s="1432"/>
      <c r="DJ335" s="1437"/>
      <c r="DK335" s="1437"/>
      <c r="DL335" s="1437"/>
      <c r="DM335" s="1437"/>
      <c r="DN335" s="1432"/>
      <c r="DO335" s="1432"/>
      <c r="DP335" s="1432"/>
      <c r="DQ335" s="1432"/>
      <c r="DR335" s="1432"/>
      <c r="DS335" s="1432"/>
      <c r="DT335" s="1316"/>
      <c r="DU335" s="1433"/>
      <c r="DV335" s="1433"/>
      <c r="DW335" s="1433"/>
      <c r="DX335" s="1433"/>
      <c r="DY335" s="1433"/>
      <c r="DZ335" s="1433"/>
      <c r="EA335" s="1433"/>
      <c r="EB335" s="1433"/>
    </row>
    <row r="336" customFormat="false" ht="14.25" hidden="false" customHeight="false" outlineLevel="0" collapsed="false">
      <c r="A336" s="2" t="n">
        <f aca="false">'V_DATOS PAC_SGA'!CC331</f>
        <v>0</v>
      </c>
      <c r="B336" s="2" t="n">
        <f aca="false">IF(OR(A336=0,A336=""),0,IF(I336="IV",CONCATENATE('V_DATOS PAC_SGA'!CC331,"4")+0,CONCATENATE('V_DATOS PAC_SGA'!CC331,"0")+0))</f>
        <v>0</v>
      </c>
      <c r="C336" s="2" t="n">
        <f aca="false">'V_DATOS PAC_SGA'!CD331</f>
        <v>0</v>
      </c>
      <c r="D336" s="1409" t="n">
        <f aca="false">'V_DATOS PAC_SGA'!Y331</f>
        <v>0</v>
      </c>
      <c r="E336" s="1410" t="str">
        <f aca="false">IF('V_DATOS PAC_SGA'!AV331="","Regadio",'V_DATOS PAC_SGA'!AV331)</f>
        <v>Regadio</v>
      </c>
      <c r="F336" s="1411" t="n">
        <f aca="false">'V_DATOS PAC_SGA'!BK331</f>
        <v>0</v>
      </c>
      <c r="G336" s="1412" t="n">
        <f aca="false">'V_DATOS PAC_SGA'!AN331</f>
        <v>0</v>
      </c>
      <c r="H336" s="1413" t="str">
        <f aca="false">IF(B336&gt;0,VLOOKUP(B336,'O_MN, PE_UTA_UGM 2024'!E$3:O$419,10),"")</f>
        <v/>
      </c>
      <c r="I336" s="1359" t="str">
        <f aca="false">IF('V_DATOS PAC_SGA'!BV331="IV",'V_DATOS PAC_SGA'!BV331,"")</f>
        <v/>
      </c>
      <c r="J336" s="2" t="str">
        <f aca="false">IF($A336&gt;0,IF(AND(J$4=$G336,J$6=$F336),$D336*J$5,""),"")</f>
        <v/>
      </c>
      <c r="K336" s="2" t="str">
        <f aca="false">IF($A336&gt;0,IF(AND(K$4=$G336,K$6=$F336),$D336*K$5,""),"")</f>
        <v/>
      </c>
      <c r="L336" s="2" t="str">
        <f aca="false">IF($A336&gt;0,IF(AND(L$4=$G336,L$6=$F336),$D336*L$5,""),"")</f>
        <v/>
      </c>
      <c r="M336" s="2" t="str">
        <f aca="false">IF($A336&gt;0,IF(AND(M$4=$G336,M$6=$F336),$D336*M$5,""),"")</f>
        <v/>
      </c>
      <c r="N336" s="1506" t="n">
        <f aca="false">VLOOKUP(B336,'O_MN, PE_UTA_UGM 2024'!$E$2:$K$419,IF(G336&gt;1,6,7))</f>
        <v>0</v>
      </c>
      <c r="O336" s="1434" t="str">
        <f aca="false">IF($H336=O$4,$D336*$N336,"")</f>
        <v/>
      </c>
      <c r="P336" s="1435" t="str">
        <f aca="false">IF($H336=P$4,$D336*$N336,"")</f>
        <v/>
      </c>
      <c r="Q336" s="1435" t="str">
        <f aca="false">IF($H336=Q$4,$D336*$N336,"")</f>
        <v/>
      </c>
      <c r="R336" s="1435" t="str">
        <f aca="false">IF($H336=R$4,$D336*$N336,"")</f>
        <v/>
      </c>
      <c r="S336" s="1435" t="str">
        <f aca="false">IF($H336=S$4,$D336*$N336,"")</f>
        <v/>
      </c>
      <c r="T336" s="1435" t="str">
        <f aca="false">IF($H336=T$4,$D336*$N336,"")</f>
        <v/>
      </c>
      <c r="U336" s="1436" t="str">
        <f aca="false">IF($H336=U$4,$D336*$N336,"")</f>
        <v/>
      </c>
      <c r="V336" s="1472"/>
      <c r="W336" s="1471"/>
      <c r="X336" s="1471"/>
      <c r="Y336" s="1471"/>
      <c r="Z336" s="1471"/>
      <c r="AA336" s="1471"/>
      <c r="AB336" s="1473"/>
      <c r="AC336" s="1319"/>
      <c r="AD336" s="2" t="str">
        <f aca="false">IF(AND(AD$4=$G336,AD$6=$F336),$B336,"")</f>
        <v/>
      </c>
      <c r="AE336" s="2" t="str">
        <f aca="false">IF(AND(AE$4=$G336,AE$6=$F336),$B336,"")</f>
        <v/>
      </c>
      <c r="AF336" s="2" t="str">
        <f aca="false">IF(AND(AF$4=$G336,AF$6=$F336),$B336,"")</f>
        <v/>
      </c>
      <c r="AG336" s="2" t="str">
        <f aca="false">IF(AND(AG$4=$G336,AG$6=$F336),$B336,"")</f>
        <v/>
      </c>
      <c r="AI336" s="366"/>
      <c r="AL336" s="367"/>
      <c r="AO336" s="367"/>
      <c r="AP336" s="2" t="str">
        <f aca="false">IF(AT336&gt;0,RANK(AT336,AT$7:AT$423),"")</f>
        <v/>
      </c>
      <c r="AQ336" s="1475" t="n">
        <f aca="false">'O_MN, PE_UTA_UGM 2024'!C332</f>
        <v>393</v>
      </c>
      <c r="AR336" s="1421" t="n">
        <v>3390</v>
      </c>
      <c r="AS336" s="2" t="str">
        <f aca="false">IF(AY336&lt;&gt;"",AY336,"")</f>
        <v/>
      </c>
      <c r="AT336" s="1422" t="n">
        <f aca="false">IF(ISNUMBER($AR336),SUMIF(B$7:B$505,AR336,D$7:D$505),"")</f>
        <v>0</v>
      </c>
      <c r="AU336" s="1411" t="n">
        <f aca="false">IF(ISNUMBER($AR336),SUMIF(AD$7:AD$503,$AR336,J$7:J$503),"")</f>
        <v>0</v>
      </c>
      <c r="AV336" s="1411" t="n">
        <f aca="false">IF(ISNUMBER($AR336),SUMIF(AF$7:AF$503,$AR336,L$7:L$503),"")</f>
        <v>0</v>
      </c>
      <c r="AW336" s="1423" t="n">
        <f aca="false">IF(ISNUMBER($AR336),SUMIF(AE$7:AE$503,$AR336,K$7:K$503),"")</f>
        <v>0</v>
      </c>
      <c r="AX336" s="1423" t="n">
        <f aca="false">IF(ISNUMBER($AR336),SUMIF(AG$7:AG$503,$AR336,M$7:M$503),"")</f>
        <v>0</v>
      </c>
      <c r="AY336" s="2" t="str">
        <f aca="false">IF($AT336&gt;0,VLOOKUP($AR336,'O_MN, PE_UTA_UGM 2024'!E332:O748,2),"")</f>
        <v/>
      </c>
      <c r="AZ336" s="1507"/>
      <c r="BA336" s="1507"/>
      <c r="BB336" s="1507" t="str">
        <f aca="false">IF($AT336&gt;0,VLOOKUP($AR336,'O_MN, PE_UTA_UGM 2024'!$E$3:$O$419,BB$6),"")</f>
        <v/>
      </c>
      <c r="BC336" s="1507" t="str">
        <f aca="false">IF($AT336&gt;0,VLOOKUP($AR336,'O_MN, PE_UTA_UGM 2024'!$E$3:$O$419,BC$6),"")</f>
        <v/>
      </c>
      <c r="BD336" s="1507" t="str">
        <f aca="false">IF($AT336&gt;0,VLOOKUP($AR336,'O_MN, PE_UTA_UGM 2024'!$E$3:$O$419,BD$6),"")</f>
        <v/>
      </c>
      <c r="BE336" s="1507" t="str">
        <f aca="false">IF($AT336&gt;0,VLOOKUP($AR336,'O_MN, PE_UTA_UGM 2024'!$E$3:$O$419,BE$6),"")</f>
        <v/>
      </c>
      <c r="BF336" s="1507" t="str">
        <f aca="false">IF($AT336&gt;0,VLOOKUP($AR336,'O_MN, PE_UTA_UGM 2024'!$E$3:$O$419,BF$6),"")</f>
        <v/>
      </c>
      <c r="BG336" s="1507" t="str">
        <f aca="false">IF($AT336&gt;0,VLOOKUP($AR336,'O_MN, PE_UTA_UGM 2024'!$E$3:$O$419,BG$6),"")</f>
        <v/>
      </c>
      <c r="BH336" s="1504"/>
      <c r="BI336" s="1504"/>
      <c r="BJ336" s="1504"/>
      <c r="BK336" s="1504"/>
      <c r="BM336" s="1411"/>
      <c r="BN336" s="1411"/>
      <c r="BO336" s="1425" t="str">
        <f aca="false">IF(ISNUMBER($AU336*BB336*1),$AU336*BB336*1,"")</f>
        <v/>
      </c>
      <c r="BP336" s="1425" t="str">
        <f aca="false">IF(ISNUMBER($AV336*BC336*1),$AV336*BC336*1,"")</f>
        <v/>
      </c>
      <c r="BQ336" s="1425" t="str">
        <f aca="false">IF(ISNUMBER($AU336*BD336*1),$AU336*BD336*1,"")</f>
        <v/>
      </c>
      <c r="BR336" s="1425" t="str">
        <f aca="false">IF(ISNUMBER($AV336*BE336*1),$AV336*BE336*1,"")</f>
        <v/>
      </c>
      <c r="BS336" s="1411" t="str">
        <f aca="false">IF(ISNUMBER($AU336*BF336),$AU336*BF336,"")</f>
        <v/>
      </c>
      <c r="BT336" s="1411" t="str">
        <f aca="false">IF(ISNUMBER($AV336*BG336),$AV336*BG336,"")</f>
        <v/>
      </c>
      <c r="BU336" s="1411"/>
      <c r="BV336" s="1411"/>
      <c r="BW336" s="1411"/>
      <c r="BX336" s="1411"/>
      <c r="BZ336" s="1372"/>
      <c r="CA336" s="1372"/>
      <c r="CB336" s="1426" t="str">
        <f aca="false">IF(ISNUMBER($AW336*BB336),$AW336*BB336,"")</f>
        <v/>
      </c>
      <c r="CC336" s="1426" t="str">
        <f aca="false">IF(ISNUMBER($AX336*BC336),$AX336*BC336,"")</f>
        <v/>
      </c>
      <c r="CD336" s="1426" t="str">
        <f aca="false">IF(ISNUMBER($AW336*BD336),$AW336*BD336,"")</f>
        <v/>
      </c>
      <c r="CE336" s="1426" t="str">
        <f aca="false">IF(ISNUMBER($AX336*BE336),$AX336*BE336,"")</f>
        <v/>
      </c>
      <c r="CF336" s="1372" t="str">
        <f aca="false">IF(ISNUMBER($AW336*BF336),$AW336*BF336,"")</f>
        <v/>
      </c>
      <c r="CG336" s="1372" t="str">
        <f aca="false">IF(ISNUMBER($AX336*BG336),$AX336*BG336,"")</f>
        <v/>
      </c>
      <c r="CH336" s="1438"/>
      <c r="CI336" s="1438"/>
      <c r="CJ336" s="1438"/>
      <c r="CK336" s="1438"/>
      <c r="CU336" s="1411"/>
      <c r="CV336" s="1411"/>
      <c r="CW336" s="1425"/>
      <c r="CX336" s="1425"/>
      <c r="CY336" s="1425"/>
      <c r="CZ336" s="1425"/>
      <c r="DA336" s="1411"/>
      <c r="DB336" s="1411"/>
      <c r="DC336" s="1411"/>
      <c r="DD336" s="1411"/>
      <c r="DE336" s="1411"/>
      <c r="DF336" s="1411"/>
      <c r="DH336" s="1432"/>
      <c r="DI336" s="1432"/>
      <c r="DJ336" s="1437"/>
      <c r="DK336" s="1437"/>
      <c r="DL336" s="1437"/>
      <c r="DM336" s="1437"/>
      <c r="DN336" s="1432"/>
      <c r="DO336" s="1432"/>
      <c r="DP336" s="1432"/>
      <c r="DQ336" s="1432"/>
      <c r="DR336" s="1432"/>
      <c r="DS336" s="1432"/>
      <c r="DT336" s="1316"/>
      <c r="DU336" s="1433"/>
      <c r="DV336" s="1433"/>
      <c r="DW336" s="1433"/>
      <c r="DX336" s="1433"/>
      <c r="DY336" s="1433"/>
      <c r="DZ336" s="1433"/>
      <c r="EA336" s="1433"/>
      <c r="EB336" s="1433"/>
    </row>
    <row r="337" customFormat="false" ht="14.25" hidden="false" customHeight="false" outlineLevel="0" collapsed="false">
      <c r="A337" s="2" t="n">
        <f aca="false">'V_DATOS PAC_SGA'!CC332</f>
        <v>0</v>
      </c>
      <c r="B337" s="2" t="n">
        <f aca="false">IF(OR(A337=0,A337=""),0,IF(I337="IV",CONCATENATE('V_DATOS PAC_SGA'!CC332,"4")+0,CONCATENATE('V_DATOS PAC_SGA'!CC332,"0")+0))</f>
        <v>0</v>
      </c>
      <c r="C337" s="2" t="n">
        <f aca="false">'V_DATOS PAC_SGA'!CD332</f>
        <v>0</v>
      </c>
      <c r="D337" s="1409" t="n">
        <f aca="false">'V_DATOS PAC_SGA'!Y332</f>
        <v>0</v>
      </c>
      <c r="E337" s="1410" t="str">
        <f aca="false">IF('V_DATOS PAC_SGA'!AV332="","Regadio",'V_DATOS PAC_SGA'!AV332)</f>
        <v>Regadio</v>
      </c>
      <c r="F337" s="1411" t="n">
        <f aca="false">'V_DATOS PAC_SGA'!BK332</f>
        <v>0</v>
      </c>
      <c r="G337" s="1412" t="n">
        <f aca="false">'V_DATOS PAC_SGA'!AN332</f>
        <v>0</v>
      </c>
      <c r="H337" s="1413" t="str">
        <f aca="false">IF(B337&gt;0,VLOOKUP(B337,'O_MN, PE_UTA_UGM 2024'!E$3:O$419,10),"")</f>
        <v/>
      </c>
      <c r="I337" s="1359" t="str">
        <f aca="false">IF('V_DATOS PAC_SGA'!BV332="IV",'V_DATOS PAC_SGA'!BV332,"")</f>
        <v/>
      </c>
      <c r="J337" s="2" t="str">
        <f aca="false">IF($A337&gt;0,IF(AND(J$4=$G337,J$6=$F337),$D337*J$5,""),"")</f>
        <v/>
      </c>
      <c r="K337" s="2" t="str">
        <f aca="false">IF($A337&gt;0,IF(AND(K$4=$G337,K$6=$F337),$D337*K$5,""),"")</f>
        <v/>
      </c>
      <c r="L337" s="2" t="str">
        <f aca="false">IF($A337&gt;0,IF(AND(L$4=$G337,L$6=$F337),$D337*L$5,""),"")</f>
        <v/>
      </c>
      <c r="M337" s="2" t="str">
        <f aca="false">IF($A337&gt;0,IF(AND(M$4=$G337,M$6=$F337),$D337*M$5,""),"")</f>
        <v/>
      </c>
      <c r="N337" s="1506" t="n">
        <f aca="false">VLOOKUP(B337,'O_MN, PE_UTA_UGM 2024'!$E$2:$K$419,IF(G337&gt;1,6,7))</f>
        <v>0</v>
      </c>
      <c r="O337" s="1434" t="str">
        <f aca="false">IF($H337=O$4,$D337*$N337,"")</f>
        <v/>
      </c>
      <c r="P337" s="1435" t="str">
        <f aca="false">IF($H337=P$4,$D337*$N337,"")</f>
        <v/>
      </c>
      <c r="Q337" s="1435" t="str">
        <f aca="false">IF($H337=Q$4,$D337*$N337,"")</f>
        <v/>
      </c>
      <c r="R337" s="1435" t="str">
        <f aca="false">IF($H337=R$4,$D337*$N337,"")</f>
        <v/>
      </c>
      <c r="S337" s="1435" t="str">
        <f aca="false">IF($H337=S$4,$D337*$N337,"")</f>
        <v/>
      </c>
      <c r="T337" s="1435" t="str">
        <f aca="false">IF($H337=T$4,$D337*$N337,"")</f>
        <v/>
      </c>
      <c r="U337" s="1436" t="str">
        <f aca="false">IF($H337=U$4,$D337*$N337,"")</f>
        <v/>
      </c>
      <c r="V337" s="1472"/>
      <c r="W337" s="1471"/>
      <c r="X337" s="1471"/>
      <c r="Y337" s="1471"/>
      <c r="Z337" s="1471"/>
      <c r="AA337" s="1471"/>
      <c r="AB337" s="1473"/>
      <c r="AC337" s="1319"/>
      <c r="AD337" s="2" t="str">
        <f aca="false">IF(AND(AD$4=$G337,AD$6=$F337),$B337,"")</f>
        <v/>
      </c>
      <c r="AE337" s="2" t="str">
        <f aca="false">IF(AND(AE$4=$G337,AE$6=$F337),$B337,"")</f>
        <v/>
      </c>
      <c r="AF337" s="2" t="str">
        <f aca="false">IF(AND(AF$4=$G337,AF$6=$F337),$B337,"")</f>
        <v/>
      </c>
      <c r="AG337" s="2" t="str">
        <f aca="false">IF(AND(AG$4=$G337,AG$6=$F337),$B337,"")</f>
        <v/>
      </c>
      <c r="AI337" s="366"/>
      <c r="AL337" s="367"/>
      <c r="AO337" s="367"/>
      <c r="AP337" s="2" t="str">
        <f aca="false">IF(AT337&gt;0,RANK(AT337,AT$7:AT$423),"")</f>
        <v/>
      </c>
      <c r="AQ337" s="1475" t="n">
        <f aca="false">'O_MN, PE_UTA_UGM 2024'!C333</f>
        <v>394</v>
      </c>
      <c r="AR337" s="1421" t="n">
        <v>3400</v>
      </c>
      <c r="AS337" s="2" t="str">
        <f aca="false">IF(AY337&lt;&gt;"",AY337,"")</f>
        <v/>
      </c>
      <c r="AT337" s="1422" t="n">
        <f aca="false">IF(ISNUMBER($AR337),SUMIF(B$7:B$505,AR337,D$7:D$505),"")</f>
        <v>0</v>
      </c>
      <c r="AU337" s="1411" t="n">
        <f aca="false">IF(ISNUMBER($AR337),SUMIF(AD$7:AD$503,$AR337,J$7:J$503),"")</f>
        <v>0</v>
      </c>
      <c r="AV337" s="1411" t="n">
        <f aca="false">IF(ISNUMBER($AR337),SUMIF(AF$7:AF$503,$AR337,L$7:L$503),"")</f>
        <v>0</v>
      </c>
      <c r="AW337" s="1423" t="n">
        <f aca="false">IF(ISNUMBER($AR337),SUMIF(AE$7:AE$503,$AR337,K$7:K$503),"")</f>
        <v>0</v>
      </c>
      <c r="AX337" s="1423" t="n">
        <f aca="false">IF(ISNUMBER($AR337),SUMIF(AG$7:AG$503,$AR337,M$7:M$503),"")</f>
        <v>0</v>
      </c>
      <c r="AY337" s="2" t="str">
        <f aca="false">IF($AT337&gt;0,VLOOKUP($AR337,'O_MN, PE_UTA_UGM 2024'!E333:O749,2),"")</f>
        <v/>
      </c>
      <c r="AZ337" s="1507"/>
      <c r="BA337" s="1507"/>
      <c r="BB337" s="1507" t="str">
        <f aca="false">IF($AT337&gt;0,VLOOKUP($AR337,'O_MN, PE_UTA_UGM 2024'!$E$3:$O$419,BB$6),"")</f>
        <v/>
      </c>
      <c r="BC337" s="1507" t="str">
        <f aca="false">IF($AT337&gt;0,VLOOKUP($AR337,'O_MN, PE_UTA_UGM 2024'!$E$3:$O$419,BC$6),"")</f>
        <v/>
      </c>
      <c r="BD337" s="1507" t="str">
        <f aca="false">IF($AT337&gt;0,VLOOKUP($AR337,'O_MN, PE_UTA_UGM 2024'!$E$3:$O$419,BD$6),"")</f>
        <v/>
      </c>
      <c r="BE337" s="1507" t="str">
        <f aca="false">IF($AT337&gt;0,VLOOKUP($AR337,'O_MN, PE_UTA_UGM 2024'!$E$3:$O$419,BE$6),"")</f>
        <v/>
      </c>
      <c r="BF337" s="1507" t="str">
        <f aca="false">IF($AT337&gt;0,VLOOKUP($AR337,'O_MN, PE_UTA_UGM 2024'!$E$3:$O$419,BF$6),"")</f>
        <v/>
      </c>
      <c r="BG337" s="1507" t="str">
        <f aca="false">IF($AT337&gt;0,VLOOKUP($AR337,'O_MN, PE_UTA_UGM 2024'!$E$3:$O$419,BG$6),"")</f>
        <v/>
      </c>
      <c r="BH337" s="1504"/>
      <c r="BI337" s="1504"/>
      <c r="BJ337" s="1504"/>
      <c r="BK337" s="1504"/>
      <c r="BM337" s="1411"/>
      <c r="BN337" s="1411"/>
      <c r="BO337" s="1425" t="str">
        <f aca="false">IF(ISNUMBER($AU337*BB337*1),$AU337*BB337*1,"")</f>
        <v/>
      </c>
      <c r="BP337" s="1425" t="str">
        <f aca="false">IF(ISNUMBER($AV337*BC337*1),$AV337*BC337*1,"")</f>
        <v/>
      </c>
      <c r="BQ337" s="1425" t="str">
        <f aca="false">IF(ISNUMBER($AU337*BD337*1),$AU337*BD337*1,"")</f>
        <v/>
      </c>
      <c r="BR337" s="1425" t="str">
        <f aca="false">IF(ISNUMBER($AV337*BE337*1),$AV337*BE337*1,"")</f>
        <v/>
      </c>
      <c r="BS337" s="1411" t="str">
        <f aca="false">IF(ISNUMBER($AU337*BF337),$AU337*BF337,"")</f>
        <v/>
      </c>
      <c r="BT337" s="1411" t="str">
        <f aca="false">IF(ISNUMBER($AV337*BG337),$AV337*BG337,"")</f>
        <v/>
      </c>
      <c r="BU337" s="1411"/>
      <c r="BV337" s="1411"/>
      <c r="BW337" s="1411"/>
      <c r="BX337" s="1411"/>
      <c r="BZ337" s="1372"/>
      <c r="CA337" s="1372"/>
      <c r="CB337" s="1426" t="str">
        <f aca="false">IF(ISNUMBER($AW337*BB337),$AW337*BB337,"")</f>
        <v/>
      </c>
      <c r="CC337" s="1426" t="str">
        <f aca="false">IF(ISNUMBER($AX337*BC337),$AX337*BC337,"")</f>
        <v/>
      </c>
      <c r="CD337" s="1426" t="str">
        <f aca="false">IF(ISNUMBER($AW337*BD337),$AW337*BD337,"")</f>
        <v/>
      </c>
      <c r="CE337" s="1426" t="str">
        <f aca="false">IF(ISNUMBER($AX337*BE337),$AX337*BE337,"")</f>
        <v/>
      </c>
      <c r="CF337" s="1372" t="str">
        <f aca="false">IF(ISNUMBER($AW337*BF337),$AW337*BF337,"")</f>
        <v/>
      </c>
      <c r="CG337" s="1372" t="str">
        <f aca="false">IF(ISNUMBER($AX337*BG337),$AX337*BG337,"")</f>
        <v/>
      </c>
      <c r="CH337" s="1438"/>
      <c r="CI337" s="1438"/>
      <c r="CJ337" s="1438"/>
      <c r="CK337" s="1438"/>
      <c r="CU337" s="1411"/>
      <c r="CV337" s="1411"/>
      <c r="CW337" s="1425"/>
      <c r="CX337" s="1425"/>
      <c r="CY337" s="1425"/>
      <c r="CZ337" s="1425"/>
      <c r="DA337" s="1411"/>
      <c r="DB337" s="1411"/>
      <c r="DC337" s="1411"/>
      <c r="DD337" s="1411"/>
      <c r="DE337" s="1411"/>
      <c r="DF337" s="1411"/>
      <c r="DH337" s="1432"/>
      <c r="DI337" s="1432"/>
      <c r="DJ337" s="1437"/>
      <c r="DK337" s="1437"/>
      <c r="DL337" s="1437"/>
      <c r="DM337" s="1437"/>
      <c r="DN337" s="1432"/>
      <c r="DO337" s="1432"/>
      <c r="DP337" s="1432"/>
      <c r="DQ337" s="1432"/>
      <c r="DR337" s="1432"/>
      <c r="DS337" s="1432"/>
      <c r="DT337" s="1316"/>
      <c r="DU337" s="1433"/>
      <c r="DV337" s="1433"/>
      <c r="DW337" s="1433"/>
      <c r="DX337" s="1433"/>
      <c r="DY337" s="1433"/>
      <c r="DZ337" s="1433"/>
      <c r="EA337" s="1433"/>
      <c r="EB337" s="1433"/>
    </row>
    <row r="338" customFormat="false" ht="14.25" hidden="false" customHeight="false" outlineLevel="0" collapsed="false">
      <c r="A338" s="2" t="n">
        <f aca="false">'V_DATOS PAC_SGA'!CC333</f>
        <v>0</v>
      </c>
      <c r="B338" s="2" t="n">
        <f aca="false">IF(OR(A338=0,A338=""),0,IF(I338="IV",CONCATENATE('V_DATOS PAC_SGA'!CC333,"4")+0,CONCATENATE('V_DATOS PAC_SGA'!CC333,"0")+0))</f>
        <v>0</v>
      </c>
      <c r="C338" s="2" t="n">
        <f aca="false">'V_DATOS PAC_SGA'!CD333</f>
        <v>0</v>
      </c>
      <c r="D338" s="1409" t="n">
        <f aca="false">'V_DATOS PAC_SGA'!Y333</f>
        <v>0</v>
      </c>
      <c r="E338" s="1410" t="str">
        <f aca="false">IF('V_DATOS PAC_SGA'!AV333="","Regadio",'V_DATOS PAC_SGA'!AV333)</f>
        <v>Regadio</v>
      </c>
      <c r="F338" s="1411" t="n">
        <f aca="false">'V_DATOS PAC_SGA'!BK333</f>
        <v>0</v>
      </c>
      <c r="G338" s="1412" t="n">
        <f aca="false">'V_DATOS PAC_SGA'!AN333</f>
        <v>0</v>
      </c>
      <c r="H338" s="1413" t="str">
        <f aca="false">IF(B338&gt;0,VLOOKUP(B338,'O_MN, PE_UTA_UGM 2024'!E$3:O$419,10),"")</f>
        <v/>
      </c>
      <c r="I338" s="1359" t="str">
        <f aca="false">IF('V_DATOS PAC_SGA'!BV333="IV",'V_DATOS PAC_SGA'!BV333,"")</f>
        <v/>
      </c>
      <c r="J338" s="2" t="str">
        <f aca="false">IF($A338&gt;0,IF(AND(J$4=$G338,J$6=$F338),$D338*J$5,""),"")</f>
        <v/>
      </c>
      <c r="K338" s="2" t="str">
        <f aca="false">IF($A338&gt;0,IF(AND(K$4=$G338,K$6=$F338),$D338*K$5,""),"")</f>
        <v/>
      </c>
      <c r="L338" s="2" t="str">
        <f aca="false">IF($A338&gt;0,IF(AND(L$4=$G338,L$6=$F338),$D338*L$5,""),"")</f>
        <v/>
      </c>
      <c r="M338" s="2" t="str">
        <f aca="false">IF($A338&gt;0,IF(AND(M$4=$G338,M$6=$F338),$D338*M$5,""),"")</f>
        <v/>
      </c>
      <c r="N338" s="1506" t="n">
        <f aca="false">VLOOKUP(B338,'O_MN, PE_UTA_UGM 2024'!$E$2:$K$419,IF(G338&gt;1,6,7))</f>
        <v>0</v>
      </c>
      <c r="O338" s="1434" t="str">
        <f aca="false">IF($H338=O$4,$D338*$N338,"")</f>
        <v/>
      </c>
      <c r="P338" s="1435" t="str">
        <f aca="false">IF($H338=P$4,$D338*$N338,"")</f>
        <v/>
      </c>
      <c r="Q338" s="1435" t="str">
        <f aca="false">IF($H338=Q$4,$D338*$N338,"")</f>
        <v/>
      </c>
      <c r="R338" s="1435" t="str">
        <f aca="false">IF($H338=R$4,$D338*$N338,"")</f>
        <v/>
      </c>
      <c r="S338" s="1435" t="str">
        <f aca="false">IF($H338=S$4,$D338*$N338,"")</f>
        <v/>
      </c>
      <c r="T338" s="1435" t="str">
        <f aca="false">IF($H338=T$4,$D338*$N338,"")</f>
        <v/>
      </c>
      <c r="U338" s="1436" t="str">
        <f aca="false">IF($H338=U$4,$D338*$N338,"")</f>
        <v/>
      </c>
      <c r="V338" s="1472"/>
      <c r="W338" s="1471"/>
      <c r="X338" s="1471"/>
      <c r="Y338" s="1471"/>
      <c r="Z338" s="1471"/>
      <c r="AA338" s="1471"/>
      <c r="AB338" s="1473"/>
      <c r="AC338" s="1319"/>
      <c r="AD338" s="2" t="str">
        <f aca="false">IF(AND(AD$4=$G338,AD$6=$F338),$B338,"")</f>
        <v/>
      </c>
      <c r="AE338" s="2" t="str">
        <f aca="false">IF(AND(AE$4=$G338,AE$6=$F338),$B338,"")</f>
        <v/>
      </c>
      <c r="AF338" s="2" t="str">
        <f aca="false">IF(AND(AF$4=$G338,AF$6=$F338),$B338,"")</f>
        <v/>
      </c>
      <c r="AG338" s="2" t="str">
        <f aca="false">IF(AND(AG$4=$G338,AG$6=$F338),$B338,"")</f>
        <v/>
      </c>
      <c r="AI338" s="366"/>
      <c r="AL338" s="367"/>
      <c r="AO338" s="367"/>
      <c r="AP338" s="2" t="str">
        <f aca="false">IF(AT338&gt;0,RANK(AT338,AT$7:AT$423),"")</f>
        <v/>
      </c>
      <c r="AQ338" s="1475" t="n">
        <f aca="false">'O_MN, PE_UTA_UGM 2024'!C334</f>
        <v>395</v>
      </c>
      <c r="AR338" s="1421" t="n">
        <v>3410</v>
      </c>
      <c r="AS338" s="2" t="str">
        <f aca="false">IF(AY338&lt;&gt;"",AY338,"")</f>
        <v/>
      </c>
      <c r="AT338" s="1422" t="n">
        <f aca="false">IF(ISNUMBER($AR338),SUMIF(B$7:B$505,AR338,D$7:D$505),"")</f>
        <v>0</v>
      </c>
      <c r="AU338" s="1411" t="n">
        <f aca="false">IF(ISNUMBER($AR338),SUMIF(AD$7:AD$503,$AR338,J$7:J$503),"")</f>
        <v>0</v>
      </c>
      <c r="AV338" s="1411" t="n">
        <f aca="false">IF(ISNUMBER($AR338),SUMIF(AF$7:AF$503,$AR338,L$7:L$503),"")</f>
        <v>0</v>
      </c>
      <c r="AW338" s="1423" t="n">
        <f aca="false">IF(ISNUMBER($AR338),SUMIF(AE$7:AE$503,$AR338,K$7:K$503),"")</f>
        <v>0</v>
      </c>
      <c r="AX338" s="1423" t="n">
        <f aca="false">IF(ISNUMBER($AR338),SUMIF(AG$7:AG$503,$AR338,M$7:M$503),"")</f>
        <v>0</v>
      </c>
      <c r="AY338" s="2" t="str">
        <f aca="false">IF($AT338&gt;0,VLOOKUP($AR338,'O_MN, PE_UTA_UGM 2024'!E334:O750,2),"")</f>
        <v/>
      </c>
      <c r="AZ338" s="1507"/>
      <c r="BA338" s="1507"/>
      <c r="BB338" s="1507" t="str">
        <f aca="false">IF($AT338&gt;0,VLOOKUP($AR338,'O_MN, PE_UTA_UGM 2024'!$E$3:$O$419,BB$6),"")</f>
        <v/>
      </c>
      <c r="BC338" s="1507" t="str">
        <f aca="false">IF($AT338&gt;0,VLOOKUP($AR338,'O_MN, PE_UTA_UGM 2024'!$E$3:$O$419,BC$6),"")</f>
        <v/>
      </c>
      <c r="BD338" s="1507" t="str">
        <f aca="false">IF($AT338&gt;0,VLOOKUP($AR338,'O_MN, PE_UTA_UGM 2024'!$E$3:$O$419,BD$6),"")</f>
        <v/>
      </c>
      <c r="BE338" s="1507" t="str">
        <f aca="false">IF($AT338&gt;0,VLOOKUP($AR338,'O_MN, PE_UTA_UGM 2024'!$E$3:$O$419,BE$6),"")</f>
        <v/>
      </c>
      <c r="BF338" s="1507" t="str">
        <f aca="false">IF($AT338&gt;0,VLOOKUP($AR338,'O_MN, PE_UTA_UGM 2024'!$E$3:$O$419,BF$6),"")</f>
        <v/>
      </c>
      <c r="BG338" s="1507" t="str">
        <f aca="false">IF($AT338&gt;0,VLOOKUP($AR338,'O_MN, PE_UTA_UGM 2024'!$E$3:$O$419,BG$6),"")</f>
        <v/>
      </c>
      <c r="BH338" s="1504"/>
      <c r="BI338" s="1504"/>
      <c r="BJ338" s="1504"/>
      <c r="BK338" s="1504"/>
      <c r="BM338" s="1411"/>
      <c r="BN338" s="1411"/>
      <c r="BO338" s="1425" t="str">
        <f aca="false">IF(ISNUMBER($AU338*BB338*1),$AU338*BB338*1,"")</f>
        <v/>
      </c>
      <c r="BP338" s="1425" t="str">
        <f aca="false">IF(ISNUMBER($AV338*BC338*1),$AV338*BC338*1,"")</f>
        <v/>
      </c>
      <c r="BQ338" s="1425" t="str">
        <f aca="false">IF(ISNUMBER($AU338*BD338*1),$AU338*BD338*1,"")</f>
        <v/>
      </c>
      <c r="BR338" s="1425" t="str">
        <f aca="false">IF(ISNUMBER($AV338*BE338*1),$AV338*BE338*1,"")</f>
        <v/>
      </c>
      <c r="BS338" s="1411" t="str">
        <f aca="false">IF(ISNUMBER($AU338*BF338),$AU338*BF338,"")</f>
        <v/>
      </c>
      <c r="BT338" s="1411" t="str">
        <f aca="false">IF(ISNUMBER($AV338*BG338),$AV338*BG338,"")</f>
        <v/>
      </c>
      <c r="BU338" s="1411"/>
      <c r="BV338" s="1411"/>
      <c r="BW338" s="1411"/>
      <c r="BX338" s="1411"/>
      <c r="BZ338" s="1372"/>
      <c r="CA338" s="1372"/>
      <c r="CB338" s="1426" t="str">
        <f aca="false">IF(ISNUMBER($AW338*BB338),$AW338*BB338,"")</f>
        <v/>
      </c>
      <c r="CC338" s="1426" t="str">
        <f aca="false">IF(ISNUMBER($AX338*BC338),$AX338*BC338,"")</f>
        <v/>
      </c>
      <c r="CD338" s="1426" t="str">
        <f aca="false">IF(ISNUMBER($AW338*BD338),$AW338*BD338,"")</f>
        <v/>
      </c>
      <c r="CE338" s="1426" t="str">
        <f aca="false">IF(ISNUMBER($AX338*BE338),$AX338*BE338,"")</f>
        <v/>
      </c>
      <c r="CF338" s="1372" t="str">
        <f aca="false">IF(ISNUMBER($AW338*BF338),$AW338*BF338,"")</f>
        <v/>
      </c>
      <c r="CG338" s="1372" t="str">
        <f aca="false">IF(ISNUMBER($AX338*BG338),$AX338*BG338,"")</f>
        <v/>
      </c>
      <c r="CH338" s="1438"/>
      <c r="CI338" s="1438"/>
      <c r="CJ338" s="1438"/>
      <c r="CK338" s="1438"/>
      <c r="CU338" s="1411"/>
      <c r="CV338" s="1411"/>
      <c r="CW338" s="1425"/>
      <c r="CX338" s="1425"/>
      <c r="CY338" s="1425"/>
      <c r="CZ338" s="1425"/>
      <c r="DA338" s="1411"/>
      <c r="DB338" s="1411"/>
      <c r="DC338" s="1411"/>
      <c r="DD338" s="1411"/>
      <c r="DE338" s="1411"/>
      <c r="DF338" s="1411"/>
      <c r="DH338" s="1432"/>
      <c r="DI338" s="1432"/>
      <c r="DJ338" s="1437"/>
      <c r="DK338" s="1437"/>
      <c r="DL338" s="1437"/>
      <c r="DM338" s="1437"/>
      <c r="DN338" s="1432"/>
      <c r="DO338" s="1432"/>
      <c r="DP338" s="1432"/>
      <c r="DQ338" s="1432"/>
      <c r="DR338" s="1432"/>
      <c r="DS338" s="1432"/>
      <c r="DT338" s="1316"/>
      <c r="DU338" s="1433"/>
      <c r="DV338" s="1433"/>
      <c r="DW338" s="1433"/>
      <c r="DX338" s="1433"/>
      <c r="DY338" s="1433"/>
      <c r="DZ338" s="1433"/>
      <c r="EA338" s="1433"/>
      <c r="EB338" s="1433"/>
    </row>
    <row r="339" customFormat="false" ht="14.25" hidden="false" customHeight="false" outlineLevel="0" collapsed="false">
      <c r="A339" s="2" t="n">
        <f aca="false">'V_DATOS PAC_SGA'!CC334</f>
        <v>0</v>
      </c>
      <c r="B339" s="2" t="n">
        <f aca="false">IF(OR(A339=0,A339=""),0,IF(I339="IV",CONCATENATE('V_DATOS PAC_SGA'!CC334,"4")+0,CONCATENATE('V_DATOS PAC_SGA'!CC334,"0")+0))</f>
        <v>0</v>
      </c>
      <c r="C339" s="2" t="n">
        <f aca="false">'V_DATOS PAC_SGA'!CD334</f>
        <v>0</v>
      </c>
      <c r="D339" s="1409" t="n">
        <f aca="false">'V_DATOS PAC_SGA'!Y334</f>
        <v>0</v>
      </c>
      <c r="E339" s="1410" t="str">
        <f aca="false">IF('V_DATOS PAC_SGA'!AV334="","Regadio",'V_DATOS PAC_SGA'!AV334)</f>
        <v>Regadio</v>
      </c>
      <c r="F339" s="1411" t="n">
        <f aca="false">'V_DATOS PAC_SGA'!BK334</f>
        <v>0</v>
      </c>
      <c r="G339" s="1412" t="n">
        <f aca="false">'V_DATOS PAC_SGA'!AN334</f>
        <v>0</v>
      </c>
      <c r="H339" s="1413" t="str">
        <f aca="false">IF(B339&gt;0,VLOOKUP(B339,'O_MN, PE_UTA_UGM 2024'!E$3:O$419,10),"")</f>
        <v/>
      </c>
      <c r="I339" s="1359" t="str">
        <f aca="false">IF('V_DATOS PAC_SGA'!BV334="IV",'V_DATOS PAC_SGA'!BV334,"")</f>
        <v/>
      </c>
      <c r="J339" s="2" t="str">
        <f aca="false">IF($A339&gt;0,IF(AND(J$4=$G339,J$6=$F339),$D339*J$5,""),"")</f>
        <v/>
      </c>
      <c r="K339" s="2" t="str">
        <f aca="false">IF($A339&gt;0,IF(AND(K$4=$G339,K$6=$F339),$D339*K$5,""),"")</f>
        <v/>
      </c>
      <c r="L339" s="2" t="str">
        <f aca="false">IF($A339&gt;0,IF(AND(L$4=$G339,L$6=$F339),$D339*L$5,""),"")</f>
        <v/>
      </c>
      <c r="M339" s="2" t="str">
        <f aca="false">IF($A339&gt;0,IF(AND(M$4=$G339,M$6=$F339),$D339*M$5,""),"")</f>
        <v/>
      </c>
      <c r="N339" s="1506" t="n">
        <f aca="false">VLOOKUP(B339,'O_MN, PE_UTA_UGM 2024'!$E$2:$K$419,IF(G339&gt;1,6,7))</f>
        <v>0</v>
      </c>
      <c r="O339" s="1434" t="str">
        <f aca="false">IF($H339=O$4,$D339*$N339,"")</f>
        <v/>
      </c>
      <c r="P339" s="1435" t="str">
        <f aca="false">IF($H339=P$4,$D339*$N339,"")</f>
        <v/>
      </c>
      <c r="Q339" s="1435" t="str">
        <f aca="false">IF($H339=Q$4,$D339*$N339,"")</f>
        <v/>
      </c>
      <c r="R339" s="1435" t="str">
        <f aca="false">IF($H339=R$4,$D339*$N339,"")</f>
        <v/>
      </c>
      <c r="S339" s="1435" t="str">
        <f aca="false">IF($H339=S$4,$D339*$N339,"")</f>
        <v/>
      </c>
      <c r="T339" s="1435" t="str">
        <f aca="false">IF($H339=T$4,$D339*$N339,"")</f>
        <v/>
      </c>
      <c r="U339" s="1436" t="str">
        <f aca="false">IF($H339=U$4,$D339*$N339,"")</f>
        <v/>
      </c>
      <c r="V339" s="1472"/>
      <c r="W339" s="1471"/>
      <c r="X339" s="1471"/>
      <c r="Y339" s="1471"/>
      <c r="Z339" s="1471"/>
      <c r="AA339" s="1471"/>
      <c r="AB339" s="1473"/>
      <c r="AC339" s="1319"/>
      <c r="AD339" s="2" t="str">
        <f aca="false">IF(AND(AD$4=$G339,AD$6=$F339),$B339,"")</f>
        <v/>
      </c>
      <c r="AE339" s="2" t="str">
        <f aca="false">IF(AND(AE$4=$G339,AE$6=$F339),$B339,"")</f>
        <v/>
      </c>
      <c r="AF339" s="2" t="str">
        <f aca="false">IF(AND(AF$4=$G339,AF$6=$F339),$B339,"")</f>
        <v/>
      </c>
      <c r="AG339" s="2" t="str">
        <f aca="false">IF(AND(AG$4=$G339,AG$6=$F339),$B339,"")</f>
        <v/>
      </c>
      <c r="AI339" s="366"/>
      <c r="AL339" s="367"/>
      <c r="AO339" s="367"/>
      <c r="AP339" s="2" t="str">
        <f aca="false">IF(AT339&gt;0,RANK(AT339,AT$7:AT$423),"")</f>
        <v/>
      </c>
      <c r="AQ339" s="1475" t="n">
        <f aca="false">'O_MN, PE_UTA_UGM 2024'!C335</f>
        <v>397</v>
      </c>
      <c r="AR339" s="1421" t="n">
        <v>3430</v>
      </c>
      <c r="AS339" s="2" t="str">
        <f aca="false">IF(AY339&lt;&gt;"",AY339,"")</f>
        <v/>
      </c>
      <c r="AT339" s="1422" t="n">
        <f aca="false">IF(ISNUMBER($AR339),SUMIF(B$7:B$505,AR339,D$7:D$505),"")</f>
        <v>0</v>
      </c>
      <c r="AU339" s="1411" t="n">
        <f aca="false">IF(ISNUMBER($AR339),SUMIF(AD$7:AD$503,$AR339,J$7:J$503),"")</f>
        <v>0</v>
      </c>
      <c r="AV339" s="1411" t="n">
        <f aca="false">IF(ISNUMBER($AR339),SUMIF(AF$7:AF$503,$AR339,L$7:L$503),"")</f>
        <v>0</v>
      </c>
      <c r="AW339" s="1423" t="n">
        <f aca="false">IF(ISNUMBER($AR339),SUMIF(AE$7:AE$503,$AR339,K$7:K$503),"")</f>
        <v>0</v>
      </c>
      <c r="AX339" s="1423" t="n">
        <f aca="false">IF(ISNUMBER($AR339),SUMIF(AG$7:AG$503,$AR339,M$7:M$503),"")</f>
        <v>0</v>
      </c>
      <c r="AY339" s="2" t="str">
        <f aca="false">IF($AT339&gt;0,VLOOKUP($AR339,'O_MN, PE_UTA_UGM 2024'!E335:O751,2),"")</f>
        <v/>
      </c>
      <c r="AZ339" s="1507"/>
      <c r="BA339" s="1507"/>
      <c r="BB339" s="1507" t="str">
        <f aca="false">IF($AT339&gt;0,VLOOKUP($AR339,'O_MN, PE_UTA_UGM 2024'!$E$3:$O$419,BB$6),"")</f>
        <v/>
      </c>
      <c r="BC339" s="1507" t="str">
        <f aca="false">IF($AT339&gt;0,VLOOKUP($AR339,'O_MN, PE_UTA_UGM 2024'!$E$3:$O$419,BC$6),"")</f>
        <v/>
      </c>
      <c r="BD339" s="1507" t="str">
        <f aca="false">IF($AT339&gt;0,VLOOKUP($AR339,'O_MN, PE_UTA_UGM 2024'!$E$3:$O$419,BD$6),"")</f>
        <v/>
      </c>
      <c r="BE339" s="1507" t="str">
        <f aca="false">IF($AT339&gt;0,VLOOKUP($AR339,'O_MN, PE_UTA_UGM 2024'!$E$3:$O$419,BE$6),"")</f>
        <v/>
      </c>
      <c r="BF339" s="1507" t="str">
        <f aca="false">IF($AT339&gt;0,VLOOKUP($AR339,'O_MN, PE_UTA_UGM 2024'!$E$3:$O$419,BF$6),"")</f>
        <v/>
      </c>
      <c r="BG339" s="1507" t="str">
        <f aca="false">IF($AT339&gt;0,VLOOKUP($AR339,'O_MN, PE_UTA_UGM 2024'!$E$3:$O$419,BG$6),"")</f>
        <v/>
      </c>
      <c r="BH339" s="1504"/>
      <c r="BI339" s="1504"/>
      <c r="BJ339" s="1504"/>
      <c r="BK339" s="1504"/>
      <c r="BM339" s="1411"/>
      <c r="BN339" s="1411"/>
      <c r="BO339" s="1425" t="str">
        <f aca="false">IF(ISNUMBER($AU339*BB339*1),$AU339*BB339*1,"")</f>
        <v/>
      </c>
      <c r="BP339" s="1425" t="str">
        <f aca="false">IF(ISNUMBER($AV339*BC339*1),$AV339*BC339*1,"")</f>
        <v/>
      </c>
      <c r="BQ339" s="1425" t="str">
        <f aca="false">IF(ISNUMBER($AU339*BD339*1),$AU339*BD339*1,"")</f>
        <v/>
      </c>
      <c r="BR339" s="1425" t="str">
        <f aca="false">IF(ISNUMBER($AV339*BE339*1),$AV339*BE339*1,"")</f>
        <v/>
      </c>
      <c r="BS339" s="1411" t="str">
        <f aca="false">IF(ISNUMBER($AU339*BF339),$AU339*BF339,"")</f>
        <v/>
      </c>
      <c r="BT339" s="1411" t="str">
        <f aca="false">IF(ISNUMBER($AV339*BG339),$AV339*BG339,"")</f>
        <v/>
      </c>
      <c r="BU339" s="1411"/>
      <c r="BV339" s="1411"/>
      <c r="BW339" s="1411"/>
      <c r="BX339" s="1411"/>
      <c r="BZ339" s="1372"/>
      <c r="CA339" s="1372"/>
      <c r="CB339" s="1426" t="str">
        <f aca="false">IF(ISNUMBER($AW339*BB339),$AW339*BB339,"")</f>
        <v/>
      </c>
      <c r="CC339" s="1426" t="str">
        <f aca="false">IF(ISNUMBER($AX339*BC339),$AX339*BC339,"")</f>
        <v/>
      </c>
      <c r="CD339" s="1426" t="str">
        <f aca="false">IF(ISNUMBER($AW339*BD339),$AW339*BD339,"")</f>
        <v/>
      </c>
      <c r="CE339" s="1426" t="str">
        <f aca="false">IF(ISNUMBER($AX339*BE339),$AX339*BE339,"")</f>
        <v/>
      </c>
      <c r="CF339" s="1372" t="str">
        <f aca="false">IF(ISNUMBER($AW339*BF339),$AW339*BF339,"")</f>
        <v/>
      </c>
      <c r="CG339" s="1372" t="str">
        <f aca="false">IF(ISNUMBER($AX339*BG339),$AX339*BG339,"")</f>
        <v/>
      </c>
      <c r="CH339" s="1438"/>
      <c r="CI339" s="1438"/>
      <c r="CJ339" s="1438"/>
      <c r="CK339" s="1438"/>
      <c r="CU339" s="1411"/>
      <c r="CV339" s="1411"/>
      <c r="CW339" s="1425"/>
      <c r="CX339" s="1425"/>
      <c r="CY339" s="1425"/>
      <c r="CZ339" s="1425"/>
      <c r="DA339" s="1411"/>
      <c r="DB339" s="1411"/>
      <c r="DC339" s="1411"/>
      <c r="DD339" s="1411"/>
      <c r="DE339" s="1411"/>
      <c r="DF339" s="1411"/>
      <c r="DH339" s="1432"/>
      <c r="DI339" s="1432"/>
      <c r="DJ339" s="1437"/>
      <c r="DK339" s="1437"/>
      <c r="DL339" s="1437"/>
      <c r="DM339" s="1437"/>
      <c r="DN339" s="1432"/>
      <c r="DO339" s="1432"/>
      <c r="DP339" s="1432"/>
      <c r="DQ339" s="1432"/>
      <c r="DR339" s="1432"/>
      <c r="DS339" s="1432"/>
      <c r="DT339" s="1316"/>
      <c r="DU339" s="1433"/>
      <c r="DV339" s="1433"/>
      <c r="DW339" s="1433"/>
      <c r="DX339" s="1433"/>
      <c r="DY339" s="1433"/>
      <c r="DZ339" s="1433"/>
      <c r="EA339" s="1433"/>
      <c r="EB339" s="1433"/>
    </row>
    <row r="340" customFormat="false" ht="14.25" hidden="false" customHeight="false" outlineLevel="0" collapsed="false">
      <c r="A340" s="2" t="n">
        <f aca="false">'V_DATOS PAC_SGA'!CC335</f>
        <v>0</v>
      </c>
      <c r="B340" s="2" t="n">
        <f aca="false">IF(OR(A340=0,A340=""),0,IF(I340="IV",CONCATENATE('V_DATOS PAC_SGA'!CC335,"4")+0,CONCATENATE('V_DATOS PAC_SGA'!CC335,"0")+0))</f>
        <v>0</v>
      </c>
      <c r="C340" s="2" t="n">
        <f aca="false">'V_DATOS PAC_SGA'!CD335</f>
        <v>0</v>
      </c>
      <c r="D340" s="1409" t="n">
        <f aca="false">'V_DATOS PAC_SGA'!Y335</f>
        <v>0</v>
      </c>
      <c r="E340" s="1410" t="str">
        <f aca="false">IF('V_DATOS PAC_SGA'!AV335="","Regadio",'V_DATOS PAC_SGA'!AV335)</f>
        <v>Regadio</v>
      </c>
      <c r="F340" s="1411" t="n">
        <f aca="false">'V_DATOS PAC_SGA'!BK335</f>
        <v>0</v>
      </c>
      <c r="G340" s="1412" t="n">
        <f aca="false">'V_DATOS PAC_SGA'!AN335</f>
        <v>0</v>
      </c>
      <c r="H340" s="1413" t="str">
        <f aca="false">IF(B340&gt;0,VLOOKUP(B340,'O_MN, PE_UTA_UGM 2024'!E$3:O$419,10),"")</f>
        <v/>
      </c>
      <c r="I340" s="1359" t="str">
        <f aca="false">IF('V_DATOS PAC_SGA'!BV335="IV",'V_DATOS PAC_SGA'!BV335,"")</f>
        <v/>
      </c>
      <c r="J340" s="2" t="str">
        <f aca="false">IF($A340&gt;0,IF(AND(J$4=$G340,J$6=$F340),$D340*J$5,""),"")</f>
        <v/>
      </c>
      <c r="K340" s="2" t="str">
        <f aca="false">IF($A340&gt;0,IF(AND(K$4=$G340,K$6=$F340),$D340*K$5,""),"")</f>
        <v/>
      </c>
      <c r="L340" s="2" t="str">
        <f aca="false">IF($A340&gt;0,IF(AND(L$4=$G340,L$6=$F340),$D340*L$5,""),"")</f>
        <v/>
      </c>
      <c r="M340" s="2" t="str">
        <f aca="false">IF($A340&gt;0,IF(AND(M$4=$G340,M$6=$F340),$D340*M$5,""),"")</f>
        <v/>
      </c>
      <c r="N340" s="1506" t="n">
        <f aca="false">VLOOKUP(B340,'O_MN, PE_UTA_UGM 2024'!$E$2:$K$419,IF(G340&gt;1,6,7))</f>
        <v>0</v>
      </c>
      <c r="O340" s="1434" t="str">
        <f aca="false">IF($H340=O$4,$D340*$N340,"")</f>
        <v/>
      </c>
      <c r="P340" s="1435" t="str">
        <f aca="false">IF($H340=P$4,$D340*$N340,"")</f>
        <v/>
      </c>
      <c r="Q340" s="1435" t="str">
        <f aca="false">IF($H340=Q$4,$D340*$N340,"")</f>
        <v/>
      </c>
      <c r="R340" s="1435" t="str">
        <f aca="false">IF($H340=R$4,$D340*$N340,"")</f>
        <v/>
      </c>
      <c r="S340" s="1435" t="str">
        <f aca="false">IF($H340=S$4,$D340*$N340,"")</f>
        <v/>
      </c>
      <c r="T340" s="1435" t="str">
        <f aca="false">IF($H340=T$4,$D340*$N340,"")</f>
        <v/>
      </c>
      <c r="U340" s="1436" t="str">
        <f aca="false">IF($H340=U$4,$D340*$N340,"")</f>
        <v/>
      </c>
      <c r="V340" s="1472"/>
      <c r="W340" s="1471"/>
      <c r="X340" s="1471"/>
      <c r="Y340" s="1471"/>
      <c r="Z340" s="1471"/>
      <c r="AA340" s="1471"/>
      <c r="AB340" s="1473"/>
      <c r="AC340" s="1319"/>
      <c r="AD340" s="2" t="str">
        <f aca="false">IF(AND(AD$4=$G340,AD$6=$F340),$B340,"")</f>
        <v/>
      </c>
      <c r="AE340" s="2" t="str">
        <f aca="false">IF(AND(AE$4=$G340,AE$6=$F340),$B340,"")</f>
        <v/>
      </c>
      <c r="AF340" s="2" t="str">
        <f aca="false">IF(AND(AF$4=$G340,AF$6=$F340),$B340,"")</f>
        <v/>
      </c>
      <c r="AG340" s="2" t="str">
        <f aca="false">IF(AND(AG$4=$G340,AG$6=$F340),$B340,"")</f>
        <v/>
      </c>
      <c r="AI340" s="366"/>
      <c r="AL340" s="367"/>
      <c r="AO340" s="367"/>
      <c r="AP340" s="2" t="str">
        <f aca="false">IF(AT340&gt;0,RANK(AT340,AT$7:AT$423),"")</f>
        <v/>
      </c>
      <c r="AQ340" s="1475" t="n">
        <f aca="false">'O_MN, PE_UTA_UGM 2024'!C336</f>
        <v>398</v>
      </c>
      <c r="AR340" s="1421" t="n">
        <v>3440</v>
      </c>
      <c r="AS340" s="2" t="str">
        <f aca="false">IF(AY340&lt;&gt;"",AY340,"")</f>
        <v/>
      </c>
      <c r="AT340" s="1422" t="n">
        <f aca="false">IF(ISNUMBER($AR340),SUMIF(B$7:B$505,AR340,D$7:D$505),"")</f>
        <v>0</v>
      </c>
      <c r="AU340" s="1411" t="n">
        <f aca="false">IF(ISNUMBER($AR340),SUMIF(AD$7:AD$503,$AR340,J$7:J$503),"")</f>
        <v>0</v>
      </c>
      <c r="AV340" s="1411" t="n">
        <f aca="false">IF(ISNUMBER($AR340),SUMIF(AF$7:AF$503,$AR340,L$7:L$503),"")</f>
        <v>0</v>
      </c>
      <c r="AW340" s="1423" t="n">
        <f aca="false">IF(ISNUMBER($AR340),SUMIF(AE$7:AE$503,$AR340,K$7:K$503),"")</f>
        <v>0</v>
      </c>
      <c r="AX340" s="1423" t="n">
        <f aca="false">IF(ISNUMBER($AR340),SUMIF(AG$7:AG$503,$AR340,M$7:M$503),"")</f>
        <v>0</v>
      </c>
      <c r="AY340" s="2" t="str">
        <f aca="false">IF($AT340&gt;0,VLOOKUP($AR340,'O_MN, PE_UTA_UGM 2024'!E336:O752,2),"")</f>
        <v/>
      </c>
      <c r="AZ340" s="1507"/>
      <c r="BA340" s="1507"/>
      <c r="BB340" s="1507" t="str">
        <f aca="false">IF($AT340&gt;0,VLOOKUP($AR340,'O_MN, PE_UTA_UGM 2024'!$E$3:$O$419,BB$6),"")</f>
        <v/>
      </c>
      <c r="BC340" s="1507" t="str">
        <f aca="false">IF($AT340&gt;0,VLOOKUP($AR340,'O_MN, PE_UTA_UGM 2024'!$E$3:$O$419,BC$6),"")</f>
        <v/>
      </c>
      <c r="BD340" s="1507" t="str">
        <f aca="false">IF($AT340&gt;0,VLOOKUP($AR340,'O_MN, PE_UTA_UGM 2024'!$E$3:$O$419,BD$6),"")</f>
        <v/>
      </c>
      <c r="BE340" s="1507" t="str">
        <f aca="false">IF($AT340&gt;0,VLOOKUP($AR340,'O_MN, PE_UTA_UGM 2024'!$E$3:$O$419,BE$6),"")</f>
        <v/>
      </c>
      <c r="BF340" s="1507" t="str">
        <f aca="false">IF($AT340&gt;0,VLOOKUP($AR340,'O_MN, PE_UTA_UGM 2024'!$E$3:$O$419,BF$6),"")</f>
        <v/>
      </c>
      <c r="BG340" s="1507" t="str">
        <f aca="false">IF($AT340&gt;0,VLOOKUP($AR340,'O_MN, PE_UTA_UGM 2024'!$E$3:$O$419,BG$6),"")</f>
        <v/>
      </c>
      <c r="BH340" s="1504"/>
      <c r="BI340" s="1504"/>
      <c r="BJ340" s="1504"/>
      <c r="BK340" s="1504"/>
      <c r="BM340" s="1411"/>
      <c r="BN340" s="1411"/>
      <c r="BO340" s="1425" t="str">
        <f aca="false">IF(ISNUMBER($AU340*BB340*1),$AU340*BB340*1,"")</f>
        <v/>
      </c>
      <c r="BP340" s="1425" t="str">
        <f aca="false">IF(ISNUMBER($AV340*BC340*1),$AV340*BC340*1,"")</f>
        <v/>
      </c>
      <c r="BQ340" s="1425" t="str">
        <f aca="false">IF(ISNUMBER($AU340*BD340*1),$AU340*BD340*1,"")</f>
        <v/>
      </c>
      <c r="BR340" s="1425" t="str">
        <f aca="false">IF(ISNUMBER($AV340*BE340*1),$AV340*BE340*1,"")</f>
        <v/>
      </c>
      <c r="BS340" s="1411" t="str">
        <f aca="false">IF(ISNUMBER($AU340*BF340),$AU340*BF340,"")</f>
        <v/>
      </c>
      <c r="BT340" s="1411" t="str">
        <f aca="false">IF(ISNUMBER($AV340*BG340),$AV340*BG340,"")</f>
        <v/>
      </c>
      <c r="BU340" s="1411"/>
      <c r="BV340" s="1411"/>
      <c r="BW340" s="1411"/>
      <c r="BX340" s="1411"/>
      <c r="BZ340" s="1372"/>
      <c r="CA340" s="1372"/>
      <c r="CB340" s="1426" t="str">
        <f aca="false">IF(ISNUMBER($AW340*BB340),$AW340*BB340,"")</f>
        <v/>
      </c>
      <c r="CC340" s="1426" t="str">
        <f aca="false">IF(ISNUMBER($AX340*BC340),$AX340*BC340,"")</f>
        <v/>
      </c>
      <c r="CD340" s="1426" t="str">
        <f aca="false">IF(ISNUMBER($AW340*BD340),$AW340*BD340,"")</f>
        <v/>
      </c>
      <c r="CE340" s="1426" t="str">
        <f aca="false">IF(ISNUMBER($AX340*BE340),$AX340*BE340,"")</f>
        <v/>
      </c>
      <c r="CF340" s="1372" t="str">
        <f aca="false">IF(ISNUMBER($AW340*BF340),$AW340*BF340,"")</f>
        <v/>
      </c>
      <c r="CG340" s="1372" t="str">
        <f aca="false">IF(ISNUMBER($AX340*BG340),$AX340*BG340,"")</f>
        <v/>
      </c>
      <c r="CH340" s="1438"/>
      <c r="CI340" s="1438"/>
      <c r="CJ340" s="1438"/>
      <c r="CK340" s="1438"/>
      <c r="CU340" s="1411"/>
      <c r="CV340" s="1411"/>
      <c r="CW340" s="1425"/>
      <c r="CX340" s="1425"/>
      <c r="CY340" s="1425"/>
      <c r="CZ340" s="1425"/>
      <c r="DA340" s="1411"/>
      <c r="DB340" s="1411"/>
      <c r="DC340" s="1411"/>
      <c r="DD340" s="1411"/>
      <c r="DE340" s="1411"/>
      <c r="DF340" s="1411"/>
      <c r="DH340" s="1432"/>
      <c r="DI340" s="1432"/>
      <c r="DJ340" s="1437"/>
      <c r="DK340" s="1437"/>
      <c r="DL340" s="1437"/>
      <c r="DM340" s="1437"/>
      <c r="DN340" s="1432"/>
      <c r="DO340" s="1432"/>
      <c r="DP340" s="1432"/>
      <c r="DQ340" s="1432"/>
      <c r="DR340" s="1432"/>
      <c r="DS340" s="1432"/>
      <c r="DT340" s="1316"/>
      <c r="DU340" s="1433"/>
      <c r="DV340" s="1433"/>
      <c r="DW340" s="1433"/>
      <c r="DX340" s="1433"/>
      <c r="DY340" s="1433"/>
      <c r="DZ340" s="1433"/>
      <c r="EA340" s="1433"/>
      <c r="EB340" s="1433"/>
    </row>
    <row r="341" customFormat="false" ht="14.25" hidden="false" customHeight="false" outlineLevel="0" collapsed="false">
      <c r="A341" s="2" t="n">
        <f aca="false">'V_DATOS PAC_SGA'!CC336</f>
        <v>0</v>
      </c>
      <c r="B341" s="2" t="n">
        <f aca="false">IF(OR(A341=0,A341=""),0,IF(I341="IV",CONCATENATE('V_DATOS PAC_SGA'!CC336,"4")+0,CONCATENATE('V_DATOS PAC_SGA'!CC336,"0")+0))</f>
        <v>0</v>
      </c>
      <c r="C341" s="2" t="n">
        <f aca="false">'V_DATOS PAC_SGA'!CD336</f>
        <v>0</v>
      </c>
      <c r="D341" s="1409" t="n">
        <f aca="false">'V_DATOS PAC_SGA'!Y336</f>
        <v>0</v>
      </c>
      <c r="E341" s="1410" t="str">
        <f aca="false">IF('V_DATOS PAC_SGA'!AV336="","Regadio",'V_DATOS PAC_SGA'!AV336)</f>
        <v>Regadio</v>
      </c>
      <c r="F341" s="1411" t="n">
        <f aca="false">'V_DATOS PAC_SGA'!BK336</f>
        <v>0</v>
      </c>
      <c r="G341" s="1412" t="n">
        <f aca="false">'V_DATOS PAC_SGA'!AN336</f>
        <v>0</v>
      </c>
      <c r="H341" s="1413" t="str">
        <f aca="false">IF(B341&gt;0,VLOOKUP(B341,'O_MN, PE_UTA_UGM 2024'!E$3:O$419,10),"")</f>
        <v/>
      </c>
      <c r="I341" s="1359" t="str">
        <f aca="false">IF('V_DATOS PAC_SGA'!BV336="IV",'V_DATOS PAC_SGA'!BV336,"")</f>
        <v/>
      </c>
      <c r="J341" s="2" t="str">
        <f aca="false">IF($A341&gt;0,IF(AND(J$4=$G341,J$6=$F341),$D341*J$5,""),"")</f>
        <v/>
      </c>
      <c r="K341" s="2" t="str">
        <f aca="false">IF($A341&gt;0,IF(AND(K$4=$G341,K$6=$F341),$D341*K$5,""),"")</f>
        <v/>
      </c>
      <c r="L341" s="2" t="str">
        <f aca="false">IF($A341&gt;0,IF(AND(L$4=$G341,L$6=$F341),$D341*L$5,""),"")</f>
        <v/>
      </c>
      <c r="M341" s="2" t="str">
        <f aca="false">IF($A341&gt;0,IF(AND(M$4=$G341,M$6=$F341),$D341*M$5,""),"")</f>
        <v/>
      </c>
      <c r="N341" s="1506" t="n">
        <f aca="false">VLOOKUP(B341,'O_MN, PE_UTA_UGM 2024'!$E$2:$K$419,IF(G341&gt;1,6,7))</f>
        <v>0</v>
      </c>
      <c r="O341" s="1434" t="str">
        <f aca="false">IF($H341=O$4,$D341*$N341,"")</f>
        <v/>
      </c>
      <c r="P341" s="1435" t="str">
        <f aca="false">IF($H341=P$4,$D341*$N341,"")</f>
        <v/>
      </c>
      <c r="Q341" s="1435" t="str">
        <f aca="false">IF($H341=Q$4,$D341*$N341,"")</f>
        <v/>
      </c>
      <c r="R341" s="1435" t="str">
        <f aca="false">IF($H341=R$4,$D341*$N341,"")</f>
        <v/>
      </c>
      <c r="S341" s="1435" t="str">
        <f aca="false">IF($H341=S$4,$D341*$N341,"")</f>
        <v/>
      </c>
      <c r="T341" s="1435" t="str">
        <f aca="false">IF($H341=T$4,$D341*$N341,"")</f>
        <v/>
      </c>
      <c r="U341" s="1436" t="str">
        <f aca="false">IF($H341=U$4,$D341*$N341,"")</f>
        <v/>
      </c>
      <c r="V341" s="1472"/>
      <c r="W341" s="1471"/>
      <c r="X341" s="1471"/>
      <c r="Y341" s="1471"/>
      <c r="Z341" s="1471"/>
      <c r="AA341" s="1471"/>
      <c r="AB341" s="1473"/>
      <c r="AC341" s="1319"/>
      <c r="AD341" s="2" t="str">
        <f aca="false">IF(AND(AD$4=$G341,AD$6=$F341),$B341,"")</f>
        <v/>
      </c>
      <c r="AE341" s="2" t="str">
        <f aca="false">IF(AND(AE$4=$G341,AE$6=$F341),$B341,"")</f>
        <v/>
      </c>
      <c r="AF341" s="2" t="str">
        <f aca="false">IF(AND(AF$4=$G341,AF$6=$F341),$B341,"")</f>
        <v/>
      </c>
      <c r="AG341" s="2" t="str">
        <f aca="false">IF(AND(AG$4=$G341,AG$6=$F341),$B341,"")</f>
        <v/>
      </c>
      <c r="AI341" s="366"/>
      <c r="AL341" s="367"/>
      <c r="AO341" s="367"/>
      <c r="AP341" s="2" t="str">
        <f aca="false">IF(AT341&gt;0,RANK(AT341,AT$7:AT$423),"")</f>
        <v/>
      </c>
      <c r="AQ341" s="1475" t="n">
        <f aca="false">'O_MN, PE_UTA_UGM 2024'!C337</f>
        <v>401</v>
      </c>
      <c r="AR341" s="1421" t="n">
        <v>3450</v>
      </c>
      <c r="AS341" s="2" t="str">
        <f aca="false">IF(AY341&lt;&gt;"",AY341,"")</f>
        <v/>
      </c>
      <c r="AT341" s="1422" t="n">
        <f aca="false">IF(ISNUMBER($AR341),SUMIF(B$7:B$505,AR341,D$7:D$505),"")</f>
        <v>0</v>
      </c>
      <c r="AU341" s="1411" t="n">
        <f aca="false">IF(ISNUMBER($AR341),SUMIF(AD$7:AD$503,$AR341,J$7:J$503),"")</f>
        <v>0</v>
      </c>
      <c r="AV341" s="1411" t="n">
        <f aca="false">IF(ISNUMBER($AR341),SUMIF(AF$7:AF$503,$AR341,L$7:L$503),"")</f>
        <v>0</v>
      </c>
      <c r="AW341" s="1423" t="n">
        <f aca="false">IF(ISNUMBER($AR341),SUMIF(AE$7:AE$503,$AR341,K$7:K$503),"")</f>
        <v>0</v>
      </c>
      <c r="AX341" s="1423" t="n">
        <f aca="false">IF(ISNUMBER($AR341),SUMIF(AG$7:AG$503,$AR341,M$7:M$503),"")</f>
        <v>0</v>
      </c>
      <c r="AY341" s="2" t="str">
        <f aca="false">IF($AT341&gt;0,VLOOKUP($AR341,'O_MN, PE_UTA_UGM 2024'!E337:O753,2),"")</f>
        <v/>
      </c>
      <c r="AZ341" s="1507"/>
      <c r="BA341" s="1507"/>
      <c r="BB341" s="1507" t="str">
        <f aca="false">IF($AT341&gt;0,VLOOKUP($AR341,'O_MN, PE_UTA_UGM 2024'!$E$3:$O$419,BB$6),"")</f>
        <v/>
      </c>
      <c r="BC341" s="1507" t="str">
        <f aca="false">IF($AT341&gt;0,VLOOKUP($AR341,'O_MN, PE_UTA_UGM 2024'!$E$3:$O$419,BC$6),"")</f>
        <v/>
      </c>
      <c r="BD341" s="1507" t="str">
        <f aca="false">IF($AT341&gt;0,VLOOKUP($AR341,'O_MN, PE_UTA_UGM 2024'!$E$3:$O$419,BD$6),"")</f>
        <v/>
      </c>
      <c r="BE341" s="1507" t="str">
        <f aca="false">IF($AT341&gt;0,VLOOKUP($AR341,'O_MN, PE_UTA_UGM 2024'!$E$3:$O$419,BE$6),"")</f>
        <v/>
      </c>
      <c r="BF341" s="1507" t="str">
        <f aca="false">IF($AT341&gt;0,VLOOKUP($AR341,'O_MN, PE_UTA_UGM 2024'!$E$3:$O$419,BF$6),"")</f>
        <v/>
      </c>
      <c r="BG341" s="1507" t="str">
        <f aca="false">IF($AT341&gt;0,VLOOKUP($AR341,'O_MN, PE_UTA_UGM 2024'!$E$3:$O$419,BG$6),"")</f>
        <v/>
      </c>
      <c r="BH341" s="1504"/>
      <c r="BI341" s="1504"/>
      <c r="BJ341" s="1504"/>
      <c r="BK341" s="1504"/>
      <c r="BM341" s="1411"/>
      <c r="BN341" s="1411"/>
      <c r="BO341" s="1425" t="str">
        <f aca="false">IF(ISNUMBER($AU341*BB341*1),$AU341*BB341*1,"")</f>
        <v/>
      </c>
      <c r="BP341" s="1425" t="str">
        <f aca="false">IF(ISNUMBER($AV341*BC341*1),$AV341*BC341*1,"")</f>
        <v/>
      </c>
      <c r="BQ341" s="1425" t="str">
        <f aca="false">IF(ISNUMBER($AU341*BD341*1),$AU341*BD341*1,"")</f>
        <v/>
      </c>
      <c r="BR341" s="1425" t="str">
        <f aca="false">IF(ISNUMBER($AV341*BE341*1),$AV341*BE341*1,"")</f>
        <v/>
      </c>
      <c r="BS341" s="1411" t="str">
        <f aca="false">IF(ISNUMBER($AU341*BF341),$AU341*BF341,"")</f>
        <v/>
      </c>
      <c r="BT341" s="1411" t="str">
        <f aca="false">IF(ISNUMBER($AV341*BG341),$AV341*BG341,"")</f>
        <v/>
      </c>
      <c r="BU341" s="1411"/>
      <c r="BV341" s="1411"/>
      <c r="BW341" s="1411"/>
      <c r="BX341" s="1411"/>
      <c r="BZ341" s="1372"/>
      <c r="CA341" s="1372"/>
      <c r="CB341" s="1426" t="str">
        <f aca="false">IF(ISNUMBER($AW341*BB341),$AW341*BB341,"")</f>
        <v/>
      </c>
      <c r="CC341" s="1426" t="str">
        <f aca="false">IF(ISNUMBER($AX341*BC341),$AX341*BC341,"")</f>
        <v/>
      </c>
      <c r="CD341" s="1426" t="str">
        <f aca="false">IF(ISNUMBER($AW341*BD341),$AW341*BD341,"")</f>
        <v/>
      </c>
      <c r="CE341" s="1426" t="str">
        <f aca="false">IF(ISNUMBER($AX341*BE341),$AX341*BE341,"")</f>
        <v/>
      </c>
      <c r="CF341" s="1372" t="str">
        <f aca="false">IF(ISNUMBER($AW341*BF341),$AW341*BF341,"")</f>
        <v/>
      </c>
      <c r="CG341" s="1372" t="str">
        <f aca="false">IF(ISNUMBER($AX341*BG341),$AX341*BG341,"")</f>
        <v/>
      </c>
      <c r="CH341" s="1438"/>
      <c r="CI341" s="1438"/>
      <c r="CJ341" s="1438"/>
      <c r="CK341" s="1438"/>
      <c r="CU341" s="1411"/>
      <c r="CV341" s="1411"/>
      <c r="CW341" s="1425"/>
      <c r="CX341" s="1425"/>
      <c r="CY341" s="1425"/>
      <c r="CZ341" s="1425"/>
      <c r="DA341" s="1411"/>
      <c r="DB341" s="1411"/>
      <c r="DC341" s="1411"/>
      <c r="DD341" s="1411"/>
      <c r="DE341" s="1411"/>
      <c r="DF341" s="1411"/>
      <c r="DH341" s="1432"/>
      <c r="DI341" s="1432"/>
      <c r="DJ341" s="1437"/>
      <c r="DK341" s="1437"/>
      <c r="DL341" s="1437"/>
      <c r="DM341" s="1437"/>
      <c r="DN341" s="1432"/>
      <c r="DO341" s="1432"/>
      <c r="DP341" s="1432"/>
      <c r="DQ341" s="1432"/>
      <c r="DR341" s="1432"/>
      <c r="DS341" s="1432"/>
      <c r="DT341" s="1316"/>
      <c r="DU341" s="1433"/>
      <c r="DV341" s="1433"/>
      <c r="DW341" s="1433"/>
      <c r="DX341" s="1433"/>
      <c r="DY341" s="1433"/>
      <c r="DZ341" s="1433"/>
      <c r="EA341" s="1433"/>
      <c r="EB341" s="1433"/>
    </row>
    <row r="342" customFormat="false" ht="14.25" hidden="false" customHeight="false" outlineLevel="0" collapsed="false">
      <c r="A342" s="2" t="n">
        <f aca="false">'V_DATOS PAC_SGA'!CC337</f>
        <v>0</v>
      </c>
      <c r="B342" s="2" t="n">
        <f aca="false">IF(OR(A342=0,A342=""),0,IF(I342="IV",CONCATENATE('V_DATOS PAC_SGA'!CC337,"4")+0,CONCATENATE('V_DATOS PAC_SGA'!CC337,"0")+0))</f>
        <v>0</v>
      </c>
      <c r="C342" s="2" t="n">
        <f aca="false">'V_DATOS PAC_SGA'!CD337</f>
        <v>0</v>
      </c>
      <c r="D342" s="1409" t="n">
        <f aca="false">'V_DATOS PAC_SGA'!Y337</f>
        <v>0</v>
      </c>
      <c r="E342" s="1410" t="str">
        <f aca="false">IF('V_DATOS PAC_SGA'!AV337="","Regadio",'V_DATOS PAC_SGA'!AV337)</f>
        <v>Regadio</v>
      </c>
      <c r="F342" s="1411" t="n">
        <f aca="false">'V_DATOS PAC_SGA'!BK337</f>
        <v>0</v>
      </c>
      <c r="G342" s="1412" t="n">
        <f aca="false">'V_DATOS PAC_SGA'!AN337</f>
        <v>0</v>
      </c>
      <c r="H342" s="1413" t="str">
        <f aca="false">IF(B342&gt;0,VLOOKUP(B342,'O_MN, PE_UTA_UGM 2024'!E$3:O$419,10),"")</f>
        <v/>
      </c>
      <c r="I342" s="1359" t="str">
        <f aca="false">IF('V_DATOS PAC_SGA'!BV337="IV",'V_DATOS PAC_SGA'!BV337,"")</f>
        <v/>
      </c>
      <c r="J342" s="2" t="str">
        <f aca="false">IF($A342&gt;0,IF(AND(J$4=$G342,J$6=$F342),$D342*J$5,""),"")</f>
        <v/>
      </c>
      <c r="K342" s="2" t="str">
        <f aca="false">IF($A342&gt;0,IF(AND(K$4=$G342,K$6=$F342),$D342*K$5,""),"")</f>
        <v/>
      </c>
      <c r="L342" s="2" t="str">
        <f aca="false">IF($A342&gt;0,IF(AND(L$4=$G342,L$6=$F342),$D342*L$5,""),"")</f>
        <v/>
      </c>
      <c r="M342" s="2" t="str">
        <f aca="false">IF($A342&gt;0,IF(AND(M$4=$G342,M$6=$F342),$D342*M$5,""),"")</f>
        <v/>
      </c>
      <c r="N342" s="1506" t="n">
        <f aca="false">VLOOKUP(B342,'O_MN, PE_UTA_UGM 2024'!$E$2:$K$419,IF(G342&gt;1,6,7))</f>
        <v>0</v>
      </c>
      <c r="O342" s="1434" t="str">
        <f aca="false">IF($H342=O$4,$D342*$N342,"")</f>
        <v/>
      </c>
      <c r="P342" s="1435" t="str">
        <f aca="false">IF($H342=P$4,$D342*$N342,"")</f>
        <v/>
      </c>
      <c r="Q342" s="1435" t="str">
        <f aca="false">IF($H342=Q$4,$D342*$N342,"")</f>
        <v/>
      </c>
      <c r="R342" s="1435" t="str">
        <f aca="false">IF($H342=R$4,$D342*$N342,"")</f>
        <v/>
      </c>
      <c r="S342" s="1435" t="str">
        <f aca="false">IF($H342=S$4,$D342*$N342,"")</f>
        <v/>
      </c>
      <c r="T342" s="1435" t="str">
        <f aca="false">IF($H342=T$4,$D342*$N342,"")</f>
        <v/>
      </c>
      <c r="U342" s="1436" t="str">
        <f aca="false">IF($H342=U$4,$D342*$N342,"")</f>
        <v/>
      </c>
      <c r="V342" s="1472"/>
      <c r="W342" s="1471"/>
      <c r="X342" s="1471"/>
      <c r="Y342" s="1471"/>
      <c r="Z342" s="1471"/>
      <c r="AA342" s="1471"/>
      <c r="AB342" s="1473"/>
      <c r="AC342" s="1319"/>
      <c r="AD342" s="2" t="str">
        <f aca="false">IF(AND(AD$4=$G342,AD$6=$F342),$B342,"")</f>
        <v/>
      </c>
      <c r="AE342" s="2" t="str">
        <f aca="false">IF(AND(AE$4=$G342,AE$6=$F342),$B342,"")</f>
        <v/>
      </c>
      <c r="AF342" s="2" t="str">
        <f aca="false">IF(AND(AF$4=$G342,AF$6=$F342),$B342,"")</f>
        <v/>
      </c>
      <c r="AG342" s="2" t="str">
        <f aca="false">IF(AND(AG$4=$G342,AG$6=$F342),$B342,"")</f>
        <v/>
      </c>
      <c r="AI342" s="366"/>
      <c r="AL342" s="367"/>
      <c r="AO342" s="367"/>
      <c r="AP342" s="2" t="str">
        <f aca="false">IF(AT342&gt;0,RANK(AT342,AT$7:AT$423),"")</f>
        <v/>
      </c>
      <c r="AQ342" s="1475" t="n">
        <f aca="false">'O_MN, PE_UTA_UGM 2024'!C338</f>
        <v>417</v>
      </c>
      <c r="AR342" s="1421" t="n">
        <v>3460</v>
      </c>
      <c r="AS342" s="2" t="str">
        <f aca="false">IF(AY342&lt;&gt;"",AY342,"")</f>
        <v/>
      </c>
      <c r="AT342" s="1422" t="n">
        <f aca="false">IF(ISNUMBER($AR342),SUMIF(B$7:B$505,AR342,D$7:D$505),"")</f>
        <v>0</v>
      </c>
      <c r="AU342" s="1411" t="n">
        <f aca="false">IF(ISNUMBER($AR342),SUMIF(AD$7:AD$503,$AR342,J$7:J$503),"")</f>
        <v>0</v>
      </c>
      <c r="AV342" s="1411" t="n">
        <f aca="false">IF(ISNUMBER($AR342),SUMIF(AF$7:AF$503,$AR342,L$7:L$503),"")</f>
        <v>0</v>
      </c>
      <c r="AW342" s="1423" t="n">
        <f aca="false">IF(ISNUMBER($AR342),SUMIF(AE$7:AE$503,$AR342,K$7:K$503),"")</f>
        <v>0</v>
      </c>
      <c r="AX342" s="1423" t="n">
        <f aca="false">IF(ISNUMBER($AR342),SUMIF(AG$7:AG$503,$AR342,M$7:M$503),"")</f>
        <v>0</v>
      </c>
      <c r="AY342" s="2" t="str">
        <f aca="false">IF($AT342&gt;0,VLOOKUP($AR342,'O_MN, PE_UTA_UGM 2024'!E338:O754,2),"")</f>
        <v/>
      </c>
      <c r="AZ342" s="1507"/>
      <c r="BA342" s="1507"/>
      <c r="BB342" s="1507" t="str">
        <f aca="false">IF($AT342&gt;0,VLOOKUP($AR342,'O_MN, PE_UTA_UGM 2024'!$E$3:$O$419,BB$6),"")</f>
        <v/>
      </c>
      <c r="BC342" s="1507" t="str">
        <f aca="false">IF($AT342&gt;0,VLOOKUP($AR342,'O_MN, PE_UTA_UGM 2024'!$E$3:$O$419,BC$6),"")</f>
        <v/>
      </c>
      <c r="BD342" s="1507" t="str">
        <f aca="false">IF($AT342&gt;0,VLOOKUP($AR342,'O_MN, PE_UTA_UGM 2024'!$E$3:$O$419,BD$6),"")</f>
        <v/>
      </c>
      <c r="BE342" s="1507" t="str">
        <f aca="false">IF($AT342&gt;0,VLOOKUP($AR342,'O_MN, PE_UTA_UGM 2024'!$E$3:$O$419,BE$6),"")</f>
        <v/>
      </c>
      <c r="BF342" s="1507" t="str">
        <f aca="false">IF($AT342&gt;0,VLOOKUP($AR342,'O_MN, PE_UTA_UGM 2024'!$E$3:$O$419,BF$6),"")</f>
        <v/>
      </c>
      <c r="BG342" s="1507" t="str">
        <f aca="false">IF($AT342&gt;0,VLOOKUP($AR342,'O_MN, PE_UTA_UGM 2024'!$E$3:$O$419,BG$6),"")</f>
        <v/>
      </c>
      <c r="BH342" s="1504"/>
      <c r="BI342" s="1504"/>
      <c r="BJ342" s="1504"/>
      <c r="BK342" s="1504"/>
      <c r="BM342" s="1411"/>
      <c r="BN342" s="1411"/>
      <c r="BO342" s="1425" t="str">
        <f aca="false">IF(ISNUMBER($AU342*BB342*1),$AU342*BB342*1,"")</f>
        <v/>
      </c>
      <c r="BP342" s="1425" t="str">
        <f aca="false">IF(ISNUMBER($AV342*BC342*1),$AV342*BC342*1,"")</f>
        <v/>
      </c>
      <c r="BQ342" s="1425" t="str">
        <f aca="false">IF(ISNUMBER($AU342*BD342*1),$AU342*BD342*1,"")</f>
        <v/>
      </c>
      <c r="BR342" s="1425" t="str">
        <f aca="false">IF(ISNUMBER($AV342*BE342*1),$AV342*BE342*1,"")</f>
        <v/>
      </c>
      <c r="BS342" s="1411" t="str">
        <f aca="false">IF(ISNUMBER($AU342*BF342),$AU342*BF342,"")</f>
        <v/>
      </c>
      <c r="BT342" s="1411" t="str">
        <f aca="false">IF(ISNUMBER($AV342*BG342),$AV342*BG342,"")</f>
        <v/>
      </c>
      <c r="BU342" s="1411"/>
      <c r="BV342" s="1411"/>
      <c r="BW342" s="1411"/>
      <c r="BX342" s="1411"/>
      <c r="BZ342" s="1372"/>
      <c r="CA342" s="1372"/>
      <c r="CB342" s="1426" t="str">
        <f aca="false">IF(ISNUMBER($AW342*BB342),$AW342*BB342,"")</f>
        <v/>
      </c>
      <c r="CC342" s="1426" t="str">
        <f aca="false">IF(ISNUMBER($AX342*BC342),$AX342*BC342,"")</f>
        <v/>
      </c>
      <c r="CD342" s="1426" t="str">
        <f aca="false">IF(ISNUMBER($AW342*BD342),$AW342*BD342,"")</f>
        <v/>
      </c>
      <c r="CE342" s="1426" t="str">
        <f aca="false">IF(ISNUMBER($AX342*BE342),$AX342*BE342,"")</f>
        <v/>
      </c>
      <c r="CF342" s="1372" t="str">
        <f aca="false">IF(ISNUMBER($AW342*BF342),$AW342*BF342,"")</f>
        <v/>
      </c>
      <c r="CG342" s="1372" t="str">
        <f aca="false">IF(ISNUMBER($AX342*BG342),$AX342*BG342,"")</f>
        <v/>
      </c>
      <c r="CH342" s="1438"/>
      <c r="CI342" s="1438"/>
      <c r="CJ342" s="1438"/>
      <c r="CK342" s="1438"/>
      <c r="CU342" s="1411"/>
      <c r="CV342" s="1411"/>
      <c r="CW342" s="1425"/>
      <c r="CX342" s="1425"/>
      <c r="CY342" s="1425"/>
      <c r="CZ342" s="1425"/>
      <c r="DA342" s="1411"/>
      <c r="DB342" s="1411"/>
      <c r="DC342" s="1411"/>
      <c r="DD342" s="1411"/>
      <c r="DE342" s="1411"/>
      <c r="DF342" s="1411"/>
      <c r="DH342" s="1432"/>
      <c r="DI342" s="1432"/>
      <c r="DJ342" s="1437"/>
      <c r="DK342" s="1437"/>
      <c r="DL342" s="1437"/>
      <c r="DM342" s="1437"/>
      <c r="DN342" s="1432"/>
      <c r="DO342" s="1432"/>
      <c r="DP342" s="1432"/>
      <c r="DQ342" s="1432"/>
      <c r="DR342" s="1432"/>
      <c r="DS342" s="1432"/>
      <c r="DT342" s="1316"/>
      <c r="DU342" s="1433"/>
      <c r="DV342" s="1433"/>
      <c r="DW342" s="1433"/>
      <c r="DX342" s="1433"/>
      <c r="DY342" s="1433"/>
      <c r="DZ342" s="1433"/>
      <c r="EA342" s="1433"/>
      <c r="EB342" s="1433"/>
    </row>
    <row r="343" customFormat="false" ht="14.25" hidden="false" customHeight="false" outlineLevel="0" collapsed="false">
      <c r="A343" s="2" t="n">
        <f aca="false">'V_DATOS PAC_SGA'!CC338</f>
        <v>0</v>
      </c>
      <c r="B343" s="2" t="n">
        <f aca="false">IF(OR(A343=0,A343=""),0,IF(I343="IV",CONCATENATE('V_DATOS PAC_SGA'!CC338,"4")+0,CONCATENATE('V_DATOS PAC_SGA'!CC338,"0")+0))</f>
        <v>0</v>
      </c>
      <c r="C343" s="2" t="n">
        <f aca="false">'V_DATOS PAC_SGA'!CD338</f>
        <v>0</v>
      </c>
      <c r="D343" s="1409" t="n">
        <f aca="false">'V_DATOS PAC_SGA'!Y338</f>
        <v>0</v>
      </c>
      <c r="E343" s="1410" t="str">
        <f aca="false">IF('V_DATOS PAC_SGA'!AV338="","Regadio",'V_DATOS PAC_SGA'!AV338)</f>
        <v>Regadio</v>
      </c>
      <c r="F343" s="1411" t="n">
        <f aca="false">'V_DATOS PAC_SGA'!BK338</f>
        <v>0</v>
      </c>
      <c r="G343" s="1412" t="n">
        <f aca="false">'V_DATOS PAC_SGA'!AN338</f>
        <v>0</v>
      </c>
      <c r="H343" s="1413" t="str">
        <f aca="false">IF(B343&gt;0,VLOOKUP(B343,'O_MN, PE_UTA_UGM 2024'!E$3:O$419,10),"")</f>
        <v/>
      </c>
      <c r="I343" s="1359" t="str">
        <f aca="false">IF('V_DATOS PAC_SGA'!BV338="IV",'V_DATOS PAC_SGA'!BV338,"")</f>
        <v/>
      </c>
      <c r="J343" s="2" t="str">
        <f aca="false">IF($A343&gt;0,IF(AND(J$4=$G343,J$6=$F343),$D343*J$5,""),"")</f>
        <v/>
      </c>
      <c r="K343" s="2" t="str">
        <f aca="false">IF($A343&gt;0,IF(AND(K$4=$G343,K$6=$F343),$D343*K$5,""),"")</f>
        <v/>
      </c>
      <c r="L343" s="2" t="str">
        <f aca="false">IF($A343&gt;0,IF(AND(L$4=$G343,L$6=$F343),$D343*L$5,""),"")</f>
        <v/>
      </c>
      <c r="M343" s="2" t="str">
        <f aca="false">IF($A343&gt;0,IF(AND(M$4=$G343,M$6=$F343),$D343*M$5,""),"")</f>
        <v/>
      </c>
      <c r="N343" s="1506" t="n">
        <f aca="false">VLOOKUP(B343,'O_MN, PE_UTA_UGM 2024'!$E$2:$K$419,IF(G343&gt;1,6,7))</f>
        <v>0</v>
      </c>
      <c r="O343" s="1434" t="str">
        <f aca="false">IF($H343=O$4,$D343*$N343,"")</f>
        <v/>
      </c>
      <c r="P343" s="1435" t="str">
        <f aca="false">IF($H343=P$4,$D343*$N343,"")</f>
        <v/>
      </c>
      <c r="Q343" s="1435" t="str">
        <f aca="false">IF($H343=Q$4,$D343*$N343,"")</f>
        <v/>
      </c>
      <c r="R343" s="1435" t="str">
        <f aca="false">IF($H343=R$4,$D343*$N343,"")</f>
        <v/>
      </c>
      <c r="S343" s="1435" t="str">
        <f aca="false">IF($H343=S$4,$D343*$N343,"")</f>
        <v/>
      </c>
      <c r="T343" s="1435" t="str">
        <f aca="false">IF($H343=T$4,$D343*$N343,"")</f>
        <v/>
      </c>
      <c r="U343" s="1436" t="str">
        <f aca="false">IF($H343=U$4,$D343*$N343,"")</f>
        <v/>
      </c>
      <c r="V343" s="1472"/>
      <c r="W343" s="1471"/>
      <c r="X343" s="1471"/>
      <c r="Y343" s="1471"/>
      <c r="Z343" s="1471"/>
      <c r="AA343" s="1471"/>
      <c r="AB343" s="1473"/>
      <c r="AC343" s="1319"/>
      <c r="AD343" s="2" t="str">
        <f aca="false">IF(AND(AD$4=$G343,AD$6=$F343),$B343,"")</f>
        <v/>
      </c>
      <c r="AE343" s="2" t="str">
        <f aca="false">IF(AND(AE$4=$G343,AE$6=$F343),$B343,"")</f>
        <v/>
      </c>
      <c r="AF343" s="2" t="str">
        <f aca="false">IF(AND(AF$4=$G343,AF$6=$F343),$B343,"")</f>
        <v/>
      </c>
      <c r="AG343" s="2" t="str">
        <f aca="false">IF(AND(AG$4=$G343,AG$6=$F343),$B343,"")</f>
        <v/>
      </c>
      <c r="AI343" s="366"/>
      <c r="AL343" s="367"/>
      <c r="AO343" s="367"/>
      <c r="AP343" s="2" t="str">
        <f aca="false">IF(AT343&gt;0,RANK(AT343,AT$7:AT$423),"")</f>
        <v/>
      </c>
      <c r="AQ343" s="1475" t="n">
        <f aca="false">'O_MN, PE_UTA_UGM 2024'!C339</f>
        <v>420</v>
      </c>
      <c r="AR343" s="1421" t="n">
        <v>3470</v>
      </c>
      <c r="AS343" s="2" t="str">
        <f aca="false">IF(AY343&lt;&gt;"",AY343,"")</f>
        <v/>
      </c>
      <c r="AT343" s="1422" t="n">
        <f aca="false">IF(ISNUMBER($AR343),SUMIF(B$7:B$505,AR343,D$7:D$505),"")</f>
        <v>0</v>
      </c>
      <c r="AU343" s="1411" t="n">
        <f aca="false">IF(ISNUMBER($AR343),SUMIF(AD$7:AD$503,$AR343,J$7:J$503),"")</f>
        <v>0</v>
      </c>
      <c r="AV343" s="1411" t="n">
        <f aca="false">IF(ISNUMBER($AR343),SUMIF(AF$7:AF$503,$AR343,L$7:L$503),"")</f>
        <v>0</v>
      </c>
      <c r="AW343" s="1423" t="n">
        <f aca="false">IF(ISNUMBER($AR343),SUMIF(AE$7:AE$503,$AR343,K$7:K$503),"")</f>
        <v>0</v>
      </c>
      <c r="AX343" s="1423" t="n">
        <f aca="false">IF(ISNUMBER($AR343),SUMIF(AG$7:AG$503,$AR343,M$7:M$503),"")</f>
        <v>0</v>
      </c>
      <c r="AY343" s="2" t="str">
        <f aca="false">IF($AT343&gt;0,VLOOKUP($AR343,'O_MN, PE_UTA_UGM 2024'!E339:O755,2),"")</f>
        <v/>
      </c>
      <c r="AZ343" s="1507"/>
      <c r="BA343" s="1507"/>
      <c r="BB343" s="1507" t="str">
        <f aca="false">IF($AT343&gt;0,VLOOKUP($AR343,'O_MN, PE_UTA_UGM 2024'!$E$3:$O$419,BB$6),"")</f>
        <v/>
      </c>
      <c r="BC343" s="1507" t="str">
        <f aca="false">IF($AT343&gt;0,VLOOKUP($AR343,'O_MN, PE_UTA_UGM 2024'!$E$3:$O$419,BC$6),"")</f>
        <v/>
      </c>
      <c r="BD343" s="1507" t="str">
        <f aca="false">IF($AT343&gt;0,VLOOKUP($AR343,'O_MN, PE_UTA_UGM 2024'!$E$3:$O$419,BD$6),"")</f>
        <v/>
      </c>
      <c r="BE343" s="1507" t="str">
        <f aca="false">IF($AT343&gt;0,VLOOKUP($AR343,'O_MN, PE_UTA_UGM 2024'!$E$3:$O$419,BE$6),"")</f>
        <v/>
      </c>
      <c r="BF343" s="1507" t="str">
        <f aca="false">IF($AT343&gt;0,VLOOKUP($AR343,'O_MN, PE_UTA_UGM 2024'!$E$3:$O$419,BF$6),"")</f>
        <v/>
      </c>
      <c r="BG343" s="1507" t="str">
        <f aca="false">IF($AT343&gt;0,VLOOKUP($AR343,'O_MN, PE_UTA_UGM 2024'!$E$3:$O$419,BG$6),"")</f>
        <v/>
      </c>
      <c r="BH343" s="1504"/>
      <c r="BI343" s="1504"/>
      <c r="BJ343" s="1504"/>
      <c r="BK343" s="1504"/>
      <c r="BM343" s="1411"/>
      <c r="BN343" s="1411"/>
      <c r="BO343" s="1425" t="str">
        <f aca="false">IF(ISNUMBER($AU343*BB343*1),$AU343*BB343*1,"")</f>
        <v/>
      </c>
      <c r="BP343" s="1425" t="str">
        <f aca="false">IF(ISNUMBER($AV343*BC343*1),$AV343*BC343*1,"")</f>
        <v/>
      </c>
      <c r="BQ343" s="1425" t="str">
        <f aca="false">IF(ISNUMBER($AU343*BD343*1),$AU343*BD343*1,"")</f>
        <v/>
      </c>
      <c r="BR343" s="1425" t="str">
        <f aca="false">IF(ISNUMBER($AV343*BE343*1),$AV343*BE343*1,"")</f>
        <v/>
      </c>
      <c r="BS343" s="1411" t="str">
        <f aca="false">IF(ISNUMBER($AU343*BF343),$AU343*BF343,"")</f>
        <v/>
      </c>
      <c r="BT343" s="1411" t="str">
        <f aca="false">IF(ISNUMBER($AV343*BG343),$AV343*BG343,"")</f>
        <v/>
      </c>
      <c r="BU343" s="1411"/>
      <c r="BV343" s="1411"/>
      <c r="BW343" s="1411"/>
      <c r="BX343" s="1411"/>
      <c r="BZ343" s="1372"/>
      <c r="CA343" s="1372"/>
      <c r="CB343" s="1426" t="str">
        <f aca="false">IF(ISNUMBER($AW343*BB343),$AW343*BB343,"")</f>
        <v/>
      </c>
      <c r="CC343" s="1426" t="str">
        <f aca="false">IF(ISNUMBER($AX343*BC343),$AX343*BC343,"")</f>
        <v/>
      </c>
      <c r="CD343" s="1426" t="str">
        <f aca="false">IF(ISNUMBER($AW343*BD343),$AW343*BD343,"")</f>
        <v/>
      </c>
      <c r="CE343" s="1426" t="str">
        <f aca="false">IF(ISNUMBER($AX343*BE343),$AX343*BE343,"")</f>
        <v/>
      </c>
      <c r="CF343" s="1372" t="str">
        <f aca="false">IF(ISNUMBER($AW343*BF343),$AW343*BF343,"")</f>
        <v/>
      </c>
      <c r="CG343" s="1372" t="str">
        <f aca="false">IF(ISNUMBER($AX343*BG343),$AX343*BG343,"")</f>
        <v/>
      </c>
      <c r="CH343" s="1438"/>
      <c r="CI343" s="1438"/>
      <c r="CJ343" s="1438"/>
      <c r="CK343" s="1438"/>
      <c r="CU343" s="1411"/>
      <c r="CV343" s="1411"/>
      <c r="CW343" s="1425"/>
      <c r="CX343" s="1425"/>
      <c r="CY343" s="1425"/>
      <c r="CZ343" s="1425"/>
      <c r="DA343" s="1411"/>
      <c r="DB343" s="1411"/>
      <c r="DC343" s="1411"/>
      <c r="DD343" s="1411"/>
      <c r="DE343" s="1411"/>
      <c r="DF343" s="1411"/>
      <c r="DH343" s="1432"/>
      <c r="DI343" s="1432"/>
      <c r="DJ343" s="1437"/>
      <c r="DK343" s="1437"/>
      <c r="DL343" s="1437"/>
      <c r="DM343" s="1437"/>
      <c r="DN343" s="1432"/>
      <c r="DO343" s="1432"/>
      <c r="DP343" s="1432"/>
      <c r="DQ343" s="1432"/>
      <c r="DR343" s="1432"/>
      <c r="DS343" s="1432"/>
      <c r="DT343" s="1316"/>
      <c r="DU343" s="1433"/>
      <c r="DV343" s="1433"/>
      <c r="DW343" s="1433"/>
      <c r="DX343" s="1433"/>
      <c r="DY343" s="1433"/>
      <c r="DZ343" s="1433"/>
      <c r="EA343" s="1433"/>
      <c r="EB343" s="1433"/>
    </row>
    <row r="344" customFormat="false" ht="14.25" hidden="false" customHeight="false" outlineLevel="0" collapsed="false">
      <c r="A344" s="2" t="n">
        <f aca="false">'V_DATOS PAC_SGA'!CC339</f>
        <v>0</v>
      </c>
      <c r="B344" s="2" t="n">
        <f aca="false">IF(OR(A344=0,A344=""),0,IF(I344="IV",CONCATENATE('V_DATOS PAC_SGA'!CC339,"4")+0,CONCATENATE('V_DATOS PAC_SGA'!CC339,"0")+0))</f>
        <v>0</v>
      </c>
      <c r="C344" s="2" t="n">
        <f aca="false">'V_DATOS PAC_SGA'!CD339</f>
        <v>0</v>
      </c>
      <c r="D344" s="1409" t="n">
        <f aca="false">'V_DATOS PAC_SGA'!Y339</f>
        <v>0</v>
      </c>
      <c r="E344" s="1410" t="str">
        <f aca="false">IF('V_DATOS PAC_SGA'!AV339="","Regadio",'V_DATOS PAC_SGA'!AV339)</f>
        <v>Regadio</v>
      </c>
      <c r="F344" s="1411" t="n">
        <f aca="false">'V_DATOS PAC_SGA'!BK339</f>
        <v>0</v>
      </c>
      <c r="G344" s="1412" t="n">
        <f aca="false">'V_DATOS PAC_SGA'!AN339</f>
        <v>0</v>
      </c>
      <c r="H344" s="1413" t="str">
        <f aca="false">IF(B344&gt;0,VLOOKUP(B344,'O_MN, PE_UTA_UGM 2024'!E$3:O$419,10),"")</f>
        <v/>
      </c>
      <c r="I344" s="1359" t="str">
        <f aca="false">IF('V_DATOS PAC_SGA'!BV339="IV",'V_DATOS PAC_SGA'!BV339,"")</f>
        <v/>
      </c>
      <c r="J344" s="2" t="str">
        <f aca="false">IF($A344&gt;0,IF(AND(J$4=$G344,J$6=$F344),$D344*J$5,""),"")</f>
        <v/>
      </c>
      <c r="K344" s="2" t="str">
        <f aca="false">IF($A344&gt;0,IF(AND(K$4=$G344,K$6=$F344),$D344*K$5,""),"")</f>
        <v/>
      </c>
      <c r="L344" s="2" t="str">
        <f aca="false">IF($A344&gt;0,IF(AND(L$4=$G344,L$6=$F344),$D344*L$5,""),"")</f>
        <v/>
      </c>
      <c r="M344" s="2" t="str">
        <f aca="false">IF($A344&gt;0,IF(AND(M$4=$G344,M$6=$F344),$D344*M$5,""),"")</f>
        <v/>
      </c>
      <c r="N344" s="1506" t="n">
        <f aca="false">VLOOKUP(B344,'O_MN, PE_UTA_UGM 2024'!$E$2:$K$419,IF(G344&gt;1,6,7))</f>
        <v>0</v>
      </c>
      <c r="O344" s="1434" t="str">
        <f aca="false">IF($H344=O$4,$D344*$N344,"")</f>
        <v/>
      </c>
      <c r="P344" s="1435" t="str">
        <f aca="false">IF($H344=P$4,$D344*$N344,"")</f>
        <v/>
      </c>
      <c r="Q344" s="1435" t="str">
        <f aca="false">IF($H344=Q$4,$D344*$N344,"")</f>
        <v/>
      </c>
      <c r="R344" s="1435" t="str">
        <f aca="false">IF($H344=R$4,$D344*$N344,"")</f>
        <v/>
      </c>
      <c r="S344" s="1435" t="str">
        <f aca="false">IF($H344=S$4,$D344*$N344,"")</f>
        <v/>
      </c>
      <c r="T344" s="1435" t="str">
        <f aca="false">IF($H344=T$4,$D344*$N344,"")</f>
        <v/>
      </c>
      <c r="U344" s="1436" t="str">
        <f aca="false">IF($H344=U$4,$D344*$N344,"")</f>
        <v/>
      </c>
      <c r="V344" s="1472"/>
      <c r="W344" s="1471"/>
      <c r="X344" s="1471"/>
      <c r="Y344" s="1471"/>
      <c r="Z344" s="1471"/>
      <c r="AA344" s="1471"/>
      <c r="AB344" s="1473"/>
      <c r="AC344" s="1319"/>
      <c r="AD344" s="2" t="str">
        <f aca="false">IF(AND(AD$4=$G344,AD$6=$F344),$B344,"")</f>
        <v/>
      </c>
      <c r="AE344" s="2" t="str">
        <f aca="false">IF(AND(AE$4=$G344,AE$6=$F344),$B344,"")</f>
        <v/>
      </c>
      <c r="AF344" s="2" t="str">
        <f aca="false">IF(AND(AF$4=$G344,AF$6=$F344),$B344,"")</f>
        <v/>
      </c>
      <c r="AG344" s="2" t="str">
        <f aca="false">IF(AND(AG$4=$G344,AG$6=$F344),$B344,"")</f>
        <v/>
      </c>
      <c r="AI344" s="366"/>
      <c r="AL344" s="367"/>
      <c r="AO344" s="367"/>
      <c r="AP344" s="2" t="str">
        <f aca="false">IF(AT344&gt;0,RANK(AT344,AT$7:AT$423),"")</f>
        <v/>
      </c>
      <c r="AQ344" s="1475" t="n">
        <f aca="false">'O_MN, PE_UTA_UGM 2024'!C340</f>
        <v>427</v>
      </c>
      <c r="AR344" s="1421" t="n">
        <v>3480</v>
      </c>
      <c r="AS344" s="2" t="str">
        <f aca="false">IF(AY344&lt;&gt;"",AY344,"")</f>
        <v/>
      </c>
      <c r="AT344" s="1422" t="n">
        <f aca="false">IF(ISNUMBER($AR344),SUMIF(B$7:B$505,AR344,D$7:D$505),"")</f>
        <v>0</v>
      </c>
      <c r="AU344" s="1411" t="n">
        <f aca="false">IF(ISNUMBER($AR344),SUMIF(AD$7:AD$503,$AR344,J$7:J$503),"")</f>
        <v>0</v>
      </c>
      <c r="AV344" s="1411" t="n">
        <f aca="false">IF(ISNUMBER($AR344),SUMIF(AF$7:AF$503,$AR344,L$7:L$503),"")</f>
        <v>0</v>
      </c>
      <c r="AW344" s="1423" t="n">
        <f aca="false">IF(ISNUMBER($AR344),SUMIF(AE$7:AE$503,$AR344,K$7:K$503),"")</f>
        <v>0</v>
      </c>
      <c r="AX344" s="1423" t="n">
        <f aca="false">IF(ISNUMBER($AR344),SUMIF(AG$7:AG$503,$AR344,M$7:M$503),"")</f>
        <v>0</v>
      </c>
      <c r="AY344" s="2" t="str">
        <f aca="false">IF($AT344&gt;0,VLOOKUP($AR344,'O_MN, PE_UTA_UGM 2024'!E340:O756,2),"")</f>
        <v/>
      </c>
      <c r="AZ344" s="1507"/>
      <c r="BA344" s="1507"/>
      <c r="BB344" s="1507" t="str">
        <f aca="false">IF($AT344&gt;0,VLOOKUP($AR344,'O_MN, PE_UTA_UGM 2024'!$E$3:$O$419,BB$6),"")</f>
        <v/>
      </c>
      <c r="BC344" s="1507" t="str">
        <f aca="false">IF($AT344&gt;0,VLOOKUP($AR344,'O_MN, PE_UTA_UGM 2024'!$E$3:$O$419,BC$6),"")</f>
        <v/>
      </c>
      <c r="BD344" s="1507" t="str">
        <f aca="false">IF($AT344&gt;0,VLOOKUP($AR344,'O_MN, PE_UTA_UGM 2024'!$E$3:$O$419,BD$6),"")</f>
        <v/>
      </c>
      <c r="BE344" s="1507" t="str">
        <f aca="false">IF($AT344&gt;0,VLOOKUP($AR344,'O_MN, PE_UTA_UGM 2024'!$E$3:$O$419,BE$6),"")</f>
        <v/>
      </c>
      <c r="BF344" s="1507" t="str">
        <f aca="false">IF($AT344&gt;0,VLOOKUP($AR344,'O_MN, PE_UTA_UGM 2024'!$E$3:$O$419,BF$6),"")</f>
        <v/>
      </c>
      <c r="BG344" s="1507" t="str">
        <f aca="false">IF($AT344&gt;0,VLOOKUP($AR344,'O_MN, PE_UTA_UGM 2024'!$E$3:$O$419,BG$6),"")</f>
        <v/>
      </c>
      <c r="BH344" s="1504"/>
      <c r="BI344" s="1504"/>
      <c r="BJ344" s="1504"/>
      <c r="BK344" s="1504"/>
      <c r="BM344" s="1411"/>
      <c r="BN344" s="1411"/>
      <c r="BO344" s="1425" t="str">
        <f aca="false">IF(ISNUMBER($AU344*BB344*1),$AU344*BB344*1,"")</f>
        <v/>
      </c>
      <c r="BP344" s="1425" t="str">
        <f aca="false">IF(ISNUMBER($AV344*BC344*1),$AV344*BC344*1,"")</f>
        <v/>
      </c>
      <c r="BQ344" s="1425" t="str">
        <f aca="false">IF(ISNUMBER($AU344*BD344*1),$AU344*BD344*1,"")</f>
        <v/>
      </c>
      <c r="BR344" s="1425" t="str">
        <f aca="false">IF(ISNUMBER($AV344*BE344*1),$AV344*BE344*1,"")</f>
        <v/>
      </c>
      <c r="BS344" s="1411" t="str">
        <f aca="false">IF(ISNUMBER($AU344*BF344),$AU344*BF344,"")</f>
        <v/>
      </c>
      <c r="BT344" s="1411" t="str">
        <f aca="false">IF(ISNUMBER($AV344*BG344),$AV344*BG344,"")</f>
        <v/>
      </c>
      <c r="BU344" s="1411"/>
      <c r="BV344" s="1411"/>
      <c r="BW344" s="1411"/>
      <c r="BX344" s="1411"/>
      <c r="BZ344" s="1372"/>
      <c r="CA344" s="1372"/>
      <c r="CB344" s="1426" t="str">
        <f aca="false">IF(ISNUMBER($AW344*BB344),$AW344*BB344,"")</f>
        <v/>
      </c>
      <c r="CC344" s="1426" t="str">
        <f aca="false">IF(ISNUMBER($AX344*BC344),$AX344*BC344,"")</f>
        <v/>
      </c>
      <c r="CD344" s="1426" t="str">
        <f aca="false">IF(ISNUMBER($AW344*BD344),$AW344*BD344,"")</f>
        <v/>
      </c>
      <c r="CE344" s="1426" t="str">
        <f aca="false">IF(ISNUMBER($AX344*BE344),$AX344*BE344,"")</f>
        <v/>
      </c>
      <c r="CF344" s="1372" t="str">
        <f aca="false">IF(ISNUMBER($AW344*BF344),$AW344*BF344,"")</f>
        <v/>
      </c>
      <c r="CG344" s="1372" t="str">
        <f aca="false">IF(ISNUMBER($AX344*BG344),$AX344*BG344,"")</f>
        <v/>
      </c>
      <c r="CH344" s="1438"/>
      <c r="CI344" s="1438"/>
      <c r="CJ344" s="1438"/>
      <c r="CK344" s="1438"/>
      <c r="CU344" s="1411"/>
      <c r="CV344" s="1411"/>
      <c r="CW344" s="1425"/>
      <c r="CX344" s="1425"/>
      <c r="CY344" s="1425"/>
      <c r="CZ344" s="1425"/>
      <c r="DA344" s="1411"/>
      <c r="DB344" s="1411"/>
      <c r="DC344" s="1411"/>
      <c r="DD344" s="1411"/>
      <c r="DE344" s="1411"/>
      <c r="DF344" s="1411"/>
      <c r="DH344" s="1432"/>
      <c r="DI344" s="1432"/>
      <c r="DJ344" s="1437"/>
      <c r="DK344" s="1437"/>
      <c r="DL344" s="1437"/>
      <c r="DM344" s="1437"/>
      <c r="DN344" s="1432"/>
      <c r="DO344" s="1432"/>
      <c r="DP344" s="1432"/>
      <c r="DQ344" s="1432"/>
      <c r="DR344" s="1432"/>
      <c r="DS344" s="1432"/>
      <c r="DT344" s="1316"/>
      <c r="DU344" s="1433"/>
      <c r="DV344" s="1433"/>
      <c r="DW344" s="1433"/>
      <c r="DX344" s="1433"/>
      <c r="DY344" s="1433"/>
      <c r="DZ344" s="1433"/>
      <c r="EA344" s="1433"/>
      <c r="EB344" s="1433"/>
    </row>
    <row r="345" customFormat="false" ht="14.25" hidden="false" customHeight="false" outlineLevel="0" collapsed="false">
      <c r="A345" s="2" t="n">
        <f aca="false">'V_DATOS PAC_SGA'!CC340</f>
        <v>0</v>
      </c>
      <c r="B345" s="2" t="n">
        <f aca="false">IF(OR(A345=0,A345=""),0,IF(I345="IV",CONCATENATE('V_DATOS PAC_SGA'!CC340,"4")+0,CONCATENATE('V_DATOS PAC_SGA'!CC340,"0")+0))</f>
        <v>0</v>
      </c>
      <c r="C345" s="2" t="n">
        <f aca="false">'V_DATOS PAC_SGA'!CD340</f>
        <v>0</v>
      </c>
      <c r="D345" s="1409" t="n">
        <f aca="false">'V_DATOS PAC_SGA'!Y340</f>
        <v>0</v>
      </c>
      <c r="E345" s="1410" t="str">
        <f aca="false">IF('V_DATOS PAC_SGA'!AV340="","Regadio",'V_DATOS PAC_SGA'!AV340)</f>
        <v>Regadio</v>
      </c>
      <c r="F345" s="1411" t="n">
        <f aca="false">'V_DATOS PAC_SGA'!BK340</f>
        <v>0</v>
      </c>
      <c r="G345" s="1412" t="n">
        <f aca="false">'V_DATOS PAC_SGA'!AN340</f>
        <v>0</v>
      </c>
      <c r="H345" s="1413" t="str">
        <f aca="false">IF(B345&gt;0,VLOOKUP(B345,'O_MN, PE_UTA_UGM 2024'!E$3:O$419,10),"")</f>
        <v/>
      </c>
      <c r="I345" s="1359" t="str">
        <f aca="false">IF('V_DATOS PAC_SGA'!BV340="IV",'V_DATOS PAC_SGA'!BV340,"")</f>
        <v/>
      </c>
      <c r="J345" s="2" t="str">
        <f aca="false">IF($A345&gt;0,IF(AND(J$4=$G345,J$6=$F345),$D345*J$5,""),"")</f>
        <v/>
      </c>
      <c r="K345" s="2" t="str">
        <f aca="false">IF($A345&gt;0,IF(AND(K$4=$G345,K$6=$F345),$D345*K$5,""),"")</f>
        <v/>
      </c>
      <c r="L345" s="2" t="str">
        <f aca="false">IF($A345&gt;0,IF(AND(L$4=$G345,L$6=$F345),$D345*L$5,""),"")</f>
        <v/>
      </c>
      <c r="M345" s="2" t="str">
        <f aca="false">IF($A345&gt;0,IF(AND(M$4=$G345,M$6=$F345),$D345*M$5,""),"")</f>
        <v/>
      </c>
      <c r="N345" s="1506" t="n">
        <f aca="false">VLOOKUP(B345,'O_MN, PE_UTA_UGM 2024'!$E$2:$K$419,IF(G345&gt;1,6,7))</f>
        <v>0</v>
      </c>
      <c r="O345" s="1434" t="str">
        <f aca="false">IF($H345=O$4,$D345*$N345,"")</f>
        <v/>
      </c>
      <c r="P345" s="1435" t="str">
        <f aca="false">IF($H345=P$4,$D345*$N345,"")</f>
        <v/>
      </c>
      <c r="Q345" s="1435" t="str">
        <f aca="false">IF($H345=Q$4,$D345*$N345,"")</f>
        <v/>
      </c>
      <c r="R345" s="1435" t="str">
        <f aca="false">IF($H345=R$4,$D345*$N345,"")</f>
        <v/>
      </c>
      <c r="S345" s="1435" t="str">
        <f aca="false">IF($H345=S$4,$D345*$N345,"")</f>
        <v/>
      </c>
      <c r="T345" s="1435" t="str">
        <f aca="false">IF($H345=T$4,$D345*$N345,"")</f>
        <v/>
      </c>
      <c r="U345" s="1436" t="str">
        <f aca="false">IF($H345=U$4,$D345*$N345,"")</f>
        <v/>
      </c>
      <c r="V345" s="1472"/>
      <c r="W345" s="1471"/>
      <c r="X345" s="1471"/>
      <c r="Y345" s="1471"/>
      <c r="Z345" s="1471"/>
      <c r="AA345" s="1471"/>
      <c r="AB345" s="1473"/>
      <c r="AC345" s="1319"/>
      <c r="AD345" s="2" t="str">
        <f aca="false">IF(AND(AD$4=$G345,AD$6=$F345),$B345,"")</f>
        <v/>
      </c>
      <c r="AE345" s="2" t="str">
        <f aca="false">IF(AND(AE$4=$G345,AE$6=$F345),$B345,"")</f>
        <v/>
      </c>
      <c r="AF345" s="2" t="str">
        <f aca="false">IF(AND(AF$4=$G345,AF$6=$F345),$B345,"")</f>
        <v/>
      </c>
      <c r="AG345" s="2" t="str">
        <f aca="false">IF(AND(AG$4=$G345,AG$6=$F345),$B345,"")</f>
        <v/>
      </c>
      <c r="AI345" s="366"/>
      <c r="AL345" s="367"/>
      <c r="AO345" s="367"/>
      <c r="AP345" s="2" t="str">
        <f aca="false">IF(AT345&gt;0,RANK(AT345,AT$7:AT$423),"")</f>
        <v/>
      </c>
      <c r="AQ345" s="1475" t="n">
        <f aca="false">'O_MN, PE_UTA_UGM 2024'!C341</f>
        <v>428</v>
      </c>
      <c r="AR345" s="1421" t="n">
        <v>3490</v>
      </c>
      <c r="AS345" s="2" t="str">
        <f aca="false">IF(AY345&lt;&gt;"",AY345,"")</f>
        <v/>
      </c>
      <c r="AT345" s="1422" t="n">
        <f aca="false">IF(ISNUMBER($AR345),SUMIF(B$7:B$505,AR345,D$7:D$505),"")</f>
        <v>0</v>
      </c>
      <c r="AU345" s="1411" t="n">
        <f aca="false">IF(ISNUMBER($AR345),SUMIF(AD$7:AD$503,$AR345,J$7:J$503),"")</f>
        <v>0</v>
      </c>
      <c r="AV345" s="1411" t="n">
        <f aca="false">IF(ISNUMBER($AR345),SUMIF(AF$7:AF$503,$AR345,L$7:L$503),"")</f>
        <v>0</v>
      </c>
      <c r="AW345" s="1423" t="n">
        <f aca="false">IF(ISNUMBER($AR345),SUMIF(AE$7:AE$503,$AR345,K$7:K$503),"")</f>
        <v>0</v>
      </c>
      <c r="AX345" s="1423" t="n">
        <f aca="false">IF(ISNUMBER($AR345),SUMIF(AG$7:AG$503,$AR345,M$7:M$503),"")</f>
        <v>0</v>
      </c>
      <c r="AY345" s="2" t="str">
        <f aca="false">IF($AT345&gt;0,VLOOKUP($AR345,'O_MN, PE_UTA_UGM 2024'!E341:O757,2),"")</f>
        <v/>
      </c>
      <c r="AZ345" s="1507"/>
      <c r="BA345" s="1507"/>
      <c r="BB345" s="1507" t="str">
        <f aca="false">IF($AT345&gt;0,VLOOKUP($AR345,'O_MN, PE_UTA_UGM 2024'!$E$3:$O$419,BB$6),"")</f>
        <v/>
      </c>
      <c r="BC345" s="1507" t="str">
        <f aca="false">IF($AT345&gt;0,VLOOKUP($AR345,'O_MN, PE_UTA_UGM 2024'!$E$3:$O$419,BC$6),"")</f>
        <v/>
      </c>
      <c r="BD345" s="1507" t="str">
        <f aca="false">IF($AT345&gt;0,VLOOKUP($AR345,'O_MN, PE_UTA_UGM 2024'!$E$3:$O$419,BD$6),"")</f>
        <v/>
      </c>
      <c r="BE345" s="1507" t="str">
        <f aca="false">IF($AT345&gt;0,VLOOKUP($AR345,'O_MN, PE_UTA_UGM 2024'!$E$3:$O$419,BE$6),"")</f>
        <v/>
      </c>
      <c r="BF345" s="1507" t="str">
        <f aca="false">IF($AT345&gt;0,VLOOKUP($AR345,'O_MN, PE_UTA_UGM 2024'!$E$3:$O$419,BF$6),"")</f>
        <v/>
      </c>
      <c r="BG345" s="1507" t="str">
        <f aca="false">IF($AT345&gt;0,VLOOKUP($AR345,'O_MN, PE_UTA_UGM 2024'!$E$3:$O$419,BG$6),"")</f>
        <v/>
      </c>
      <c r="BH345" s="1504"/>
      <c r="BI345" s="1504"/>
      <c r="BJ345" s="1504"/>
      <c r="BK345" s="1504"/>
      <c r="BM345" s="1411"/>
      <c r="BN345" s="1411"/>
      <c r="BO345" s="1425" t="str">
        <f aca="false">IF(ISNUMBER($AU345*BB345*1),$AU345*BB345*1,"")</f>
        <v/>
      </c>
      <c r="BP345" s="1425" t="str">
        <f aca="false">IF(ISNUMBER($AV345*BC345*1),$AV345*BC345*1,"")</f>
        <v/>
      </c>
      <c r="BQ345" s="1425" t="str">
        <f aca="false">IF(ISNUMBER($AU345*BD345*1),$AU345*BD345*1,"")</f>
        <v/>
      </c>
      <c r="BR345" s="1425" t="str">
        <f aca="false">IF(ISNUMBER($AV345*BE345*1),$AV345*BE345*1,"")</f>
        <v/>
      </c>
      <c r="BS345" s="1411" t="str">
        <f aca="false">IF(ISNUMBER($AU345*BF345),$AU345*BF345,"")</f>
        <v/>
      </c>
      <c r="BT345" s="1411" t="str">
        <f aca="false">IF(ISNUMBER($AV345*BG345),$AV345*BG345,"")</f>
        <v/>
      </c>
      <c r="BU345" s="1411"/>
      <c r="BV345" s="1411"/>
      <c r="BW345" s="1411"/>
      <c r="BX345" s="1411"/>
      <c r="BZ345" s="1372"/>
      <c r="CA345" s="1372"/>
      <c r="CB345" s="1426" t="str">
        <f aca="false">IF(ISNUMBER($AW345*BB345),$AW345*BB345,"")</f>
        <v/>
      </c>
      <c r="CC345" s="1426" t="str">
        <f aca="false">IF(ISNUMBER($AX345*BC345),$AX345*BC345,"")</f>
        <v/>
      </c>
      <c r="CD345" s="1426" t="str">
        <f aca="false">IF(ISNUMBER($AW345*BD345),$AW345*BD345,"")</f>
        <v/>
      </c>
      <c r="CE345" s="1426" t="str">
        <f aca="false">IF(ISNUMBER($AX345*BE345),$AX345*BE345,"")</f>
        <v/>
      </c>
      <c r="CF345" s="1372" t="str">
        <f aca="false">IF(ISNUMBER($AW345*BF345),$AW345*BF345,"")</f>
        <v/>
      </c>
      <c r="CG345" s="1372" t="str">
        <f aca="false">IF(ISNUMBER($AX345*BG345),$AX345*BG345,"")</f>
        <v/>
      </c>
      <c r="CH345" s="1438"/>
      <c r="CI345" s="1438"/>
      <c r="CJ345" s="1438"/>
      <c r="CK345" s="1438"/>
      <c r="CU345" s="1411"/>
      <c r="CV345" s="1411"/>
      <c r="CW345" s="1425"/>
      <c r="CX345" s="1425"/>
      <c r="CY345" s="1425"/>
      <c r="CZ345" s="1425"/>
      <c r="DA345" s="1411"/>
      <c r="DB345" s="1411"/>
      <c r="DC345" s="1411"/>
      <c r="DD345" s="1411"/>
      <c r="DE345" s="1411"/>
      <c r="DF345" s="1411"/>
      <c r="DH345" s="1432"/>
      <c r="DI345" s="1432"/>
      <c r="DJ345" s="1437"/>
      <c r="DK345" s="1437"/>
      <c r="DL345" s="1437"/>
      <c r="DM345" s="1437"/>
      <c r="DN345" s="1432"/>
      <c r="DO345" s="1432"/>
      <c r="DP345" s="1432"/>
      <c r="DQ345" s="1432"/>
      <c r="DR345" s="1432"/>
      <c r="DS345" s="1432"/>
      <c r="DT345" s="1316"/>
      <c r="DU345" s="1433"/>
      <c r="DV345" s="1433"/>
      <c r="DW345" s="1433"/>
      <c r="DX345" s="1433"/>
      <c r="DY345" s="1433"/>
      <c r="DZ345" s="1433"/>
      <c r="EA345" s="1433"/>
      <c r="EB345" s="1433"/>
    </row>
    <row r="346" customFormat="false" ht="14.25" hidden="false" customHeight="false" outlineLevel="0" collapsed="false">
      <c r="A346" s="1476" t="n">
        <f aca="false">'V_DATOS PAC_SGA'!CC341</f>
        <v>0</v>
      </c>
      <c r="B346" s="1476" t="n">
        <f aca="false">IF(OR(A346=0,A346=""),0,IF(I346="IV",CONCATENATE('V_DATOS PAC_SGA'!CC341,"4")+0,CONCATENATE('V_DATOS PAC_SGA'!CC341,"0")+0))</f>
        <v>0</v>
      </c>
      <c r="C346" s="1476" t="n">
        <f aca="false">'V_DATOS PAC_SGA'!CD341</f>
        <v>0</v>
      </c>
      <c r="D346" s="1409" t="n">
        <f aca="false">'V_DATOS PAC_SGA'!Y341</f>
        <v>0</v>
      </c>
      <c r="E346" s="1410" t="str">
        <f aca="false">IF('V_DATOS PAC_SGA'!AV341="","Regadio",'V_DATOS PAC_SGA'!AV341)</f>
        <v>Regadio</v>
      </c>
      <c r="F346" s="1411" t="n">
        <f aca="false">'V_DATOS PAC_SGA'!BK341</f>
        <v>0</v>
      </c>
      <c r="G346" s="1412" t="n">
        <f aca="false">'V_DATOS PAC_SGA'!AN341</f>
        <v>0</v>
      </c>
      <c r="H346" s="1413" t="str">
        <f aca="false">IF(B346&gt;0,VLOOKUP(B346,'O_MN, PE_UTA_UGM 2024'!E$3:O$419,10),"")</f>
        <v/>
      </c>
      <c r="I346" s="1359" t="str">
        <f aca="false">IF('V_DATOS PAC_SGA'!BV341="IV",'V_DATOS PAC_SGA'!BV341,"")</f>
        <v/>
      </c>
      <c r="J346" s="1476" t="str">
        <f aca="false">IF($A346&gt;0,IF(AND(J$4=$G346,J$6=$F346),$D346*J$5,""),"")</f>
        <v/>
      </c>
      <c r="K346" s="1476" t="str">
        <f aca="false">IF($A346&gt;0,IF(AND(K$4=$G346,K$6=$F346),$D346*K$5,""),"")</f>
        <v/>
      </c>
      <c r="L346" s="1476" t="str">
        <f aca="false">IF($A346&gt;0,IF(AND(L$4=$G346,L$6=$F346),$D346*L$5,""),"")</f>
        <v/>
      </c>
      <c r="M346" s="1476" t="str">
        <f aca="false">IF($A346&gt;0,IF(AND(M$4=$G346,M$6=$F346),$D346*M$5,""),"")</f>
        <v/>
      </c>
      <c r="N346" s="1506" t="n">
        <f aca="false">VLOOKUP(B346,'O_MN, PE_UTA_UGM 2024'!$E$2:$K$419,IF(G346&gt;1,6,7))</f>
        <v>0</v>
      </c>
      <c r="O346" s="1434" t="str">
        <f aca="false">IF($H346=O$4,$D346*$N346,"")</f>
        <v/>
      </c>
      <c r="P346" s="1435" t="str">
        <f aca="false">IF($H346=P$4,$D346*$N346,"")</f>
        <v/>
      </c>
      <c r="Q346" s="1435" t="str">
        <f aca="false">IF($H346=Q$4,$D346*$N346,"")</f>
        <v/>
      </c>
      <c r="R346" s="1435" t="str">
        <f aca="false">IF($H346=R$4,$D346*$N346,"")</f>
        <v/>
      </c>
      <c r="S346" s="1435" t="str">
        <f aca="false">IF($H346=S$4,$D346*$N346,"")</f>
        <v/>
      </c>
      <c r="T346" s="1435" t="str">
        <f aca="false">IF($H346=T$4,$D346*$N346,"")</f>
        <v/>
      </c>
      <c r="U346" s="1436" t="str">
        <f aca="false">IF($H346=U$4,$D346*$N346,"")</f>
        <v/>
      </c>
      <c r="V346" s="1472"/>
      <c r="W346" s="1471"/>
      <c r="X346" s="1471"/>
      <c r="Y346" s="1471"/>
      <c r="Z346" s="1471"/>
      <c r="AA346" s="1471"/>
      <c r="AB346" s="1473"/>
      <c r="AC346" s="1319"/>
      <c r="AD346" s="1476" t="str">
        <f aca="false">IF(AND(AD$4=$G346,AD$6=$F346),$B346,"")</f>
        <v/>
      </c>
      <c r="AE346" s="1476" t="str">
        <f aca="false">IF(AND(AE$4=$G346,AE$6=$F346),$B346,"")</f>
        <v/>
      </c>
      <c r="AF346" s="1476" t="str">
        <f aca="false">IF(AND(AF$4=$G346,AF$6=$F346),$B346,"")</f>
        <v/>
      </c>
      <c r="AG346" s="1476" t="str">
        <f aca="false">IF(AND(AG$4=$G346,AG$6=$F346),$B346,"")</f>
        <v/>
      </c>
      <c r="AH346" s="1476"/>
      <c r="AI346" s="366"/>
      <c r="AJ346" s="1476"/>
      <c r="AK346" s="1476"/>
      <c r="AL346" s="367"/>
      <c r="AM346" s="1476"/>
      <c r="AN346" s="1476"/>
      <c r="AO346" s="367"/>
      <c r="AP346" s="1476" t="str">
        <f aca="false">IF(AT346&gt;0,RANK(AT346,AT$7:AT$423),"")</f>
        <v/>
      </c>
      <c r="AQ346" s="1475" t="n">
        <f aca="false">'O_MN, PE_UTA_UGM 2024'!C342</f>
        <v>445</v>
      </c>
      <c r="AR346" s="1421" t="n">
        <v>3510</v>
      </c>
      <c r="AS346" s="1476" t="str">
        <f aca="false">IF(AY346&lt;&gt;"",AY346,"")</f>
        <v/>
      </c>
      <c r="AT346" s="1422" t="n">
        <f aca="false">IF(ISNUMBER($AR346),SUMIF(B$7:B$505,AR346,D$7:D$505),"")</f>
        <v>0</v>
      </c>
      <c r="AU346" s="1411" t="n">
        <f aca="false">IF(ISNUMBER($AR346),SUMIF(AD$7:AD$503,$AR346,J$7:J$503),"")</f>
        <v>0</v>
      </c>
      <c r="AV346" s="1411" t="n">
        <f aca="false">IF(ISNUMBER($AR346),SUMIF(AF$7:AF$503,$AR346,L$7:L$503),"")</f>
        <v>0</v>
      </c>
      <c r="AW346" s="1423" t="n">
        <f aca="false">IF(ISNUMBER($AR346),SUMIF(AE$7:AE$503,$AR346,K$7:K$503),"")</f>
        <v>0</v>
      </c>
      <c r="AX346" s="1423" t="n">
        <f aca="false">IF(ISNUMBER($AR346),SUMIF(AG$7:AG$503,$AR346,M$7:M$503),"")</f>
        <v>0</v>
      </c>
      <c r="AY346" s="1476" t="str">
        <f aca="false">IF($AT346&gt;0,VLOOKUP($AR346,'O_MN, PE_UTA_UGM 2024'!E342:O758,2),"")</f>
        <v/>
      </c>
      <c r="AZ346" s="1507"/>
      <c r="BA346" s="1507"/>
      <c r="BB346" s="1507" t="str">
        <f aca="false">IF($AT346&gt;0,VLOOKUP($AR346,'O_MN, PE_UTA_UGM 2024'!$E$3:$O$419,BB$6),"")</f>
        <v/>
      </c>
      <c r="BC346" s="1507" t="str">
        <f aca="false">IF($AT346&gt;0,VLOOKUP($AR346,'O_MN, PE_UTA_UGM 2024'!$E$3:$O$419,BC$6),"")</f>
        <v/>
      </c>
      <c r="BD346" s="1507" t="str">
        <f aca="false">IF($AT346&gt;0,VLOOKUP($AR346,'O_MN, PE_UTA_UGM 2024'!$E$3:$O$419,BD$6),"")</f>
        <v/>
      </c>
      <c r="BE346" s="1507" t="str">
        <f aca="false">IF($AT346&gt;0,VLOOKUP($AR346,'O_MN, PE_UTA_UGM 2024'!$E$3:$O$419,BE$6),"")</f>
        <v/>
      </c>
      <c r="BF346" s="1507" t="str">
        <f aca="false">IF($AT346&gt;0,VLOOKUP($AR346,'O_MN, PE_UTA_UGM 2024'!$E$3:$O$419,BF$6),"")</f>
        <v/>
      </c>
      <c r="BG346" s="1507" t="str">
        <f aca="false">IF($AT346&gt;0,VLOOKUP($AR346,'O_MN, PE_UTA_UGM 2024'!$E$3:$O$419,BG$6),"")</f>
        <v/>
      </c>
      <c r="BH346" s="1504"/>
      <c r="BI346" s="1504"/>
      <c r="BJ346" s="1504"/>
      <c r="BK346" s="1504"/>
      <c r="BL346" s="1476"/>
      <c r="BM346" s="1411"/>
      <c r="BN346" s="1411"/>
      <c r="BO346" s="1425" t="str">
        <f aca="false">IF(ISNUMBER($AU346*BB346*1),$AU346*BB346*1,"")</f>
        <v/>
      </c>
      <c r="BP346" s="1425" t="str">
        <f aca="false">IF(ISNUMBER($AV346*BC346*1),$AV346*BC346*1,"")</f>
        <v/>
      </c>
      <c r="BQ346" s="1425" t="str">
        <f aca="false">IF(ISNUMBER($AU346*BD346*1),$AU346*BD346*1,"")</f>
        <v/>
      </c>
      <c r="BR346" s="1425" t="str">
        <f aca="false">IF(ISNUMBER($AV346*BE346*1),$AV346*BE346*1,"")</f>
        <v/>
      </c>
      <c r="BS346" s="1411" t="str">
        <f aca="false">IF(ISNUMBER($AU346*BF346),$AU346*BF346,"")</f>
        <v/>
      </c>
      <c r="BT346" s="1411" t="str">
        <f aca="false">IF(ISNUMBER($AV346*BG346),$AV346*BG346,"")</f>
        <v/>
      </c>
      <c r="BU346" s="1411"/>
      <c r="BV346" s="1411"/>
      <c r="BW346" s="1411"/>
      <c r="BX346" s="1411"/>
      <c r="BY346" s="1476"/>
      <c r="BZ346" s="1372"/>
      <c r="CA346" s="1372"/>
      <c r="CB346" s="1426" t="str">
        <f aca="false">IF(ISNUMBER($AW346*BB346),$AW346*BB346,"")</f>
        <v/>
      </c>
      <c r="CC346" s="1426" t="str">
        <f aca="false">IF(ISNUMBER($AX346*BC346),$AX346*BC346,"")</f>
        <v/>
      </c>
      <c r="CD346" s="1426" t="str">
        <f aca="false">IF(ISNUMBER($AW346*BD346),$AW346*BD346,"")</f>
        <v/>
      </c>
      <c r="CE346" s="1426" t="str">
        <f aca="false">IF(ISNUMBER($AX346*BE346),$AX346*BE346,"")</f>
        <v/>
      </c>
      <c r="CF346" s="1372" t="str">
        <f aca="false">IF(ISNUMBER($AW346*BF346),$AW346*BF346,"")</f>
        <v/>
      </c>
      <c r="CG346" s="1372" t="str">
        <f aca="false">IF(ISNUMBER($AX346*BG346),$AX346*BG346,"")</f>
        <v/>
      </c>
      <c r="CH346" s="1438"/>
      <c r="CI346" s="1438"/>
      <c r="CJ346" s="1438"/>
      <c r="CK346" s="1438"/>
      <c r="CL346" s="1476"/>
      <c r="CM346" s="1476"/>
      <c r="CN346" s="1476"/>
      <c r="CO346" s="1476"/>
      <c r="CP346" s="1476"/>
      <c r="CQ346" s="1476"/>
      <c r="CR346" s="1476"/>
      <c r="CS346" s="1476"/>
      <c r="CT346" s="1476"/>
      <c r="CU346" s="1411"/>
      <c r="CV346" s="1411"/>
      <c r="CW346" s="1425"/>
      <c r="CX346" s="1425"/>
      <c r="CY346" s="1425"/>
      <c r="CZ346" s="1425"/>
      <c r="DA346" s="1411"/>
      <c r="DB346" s="1411"/>
      <c r="DC346" s="1411"/>
      <c r="DD346" s="1411"/>
      <c r="DE346" s="1411"/>
      <c r="DF346" s="1411"/>
      <c r="DG346" s="1476"/>
      <c r="DH346" s="1432"/>
      <c r="DI346" s="1432"/>
      <c r="DJ346" s="1437"/>
      <c r="DK346" s="1437"/>
      <c r="DL346" s="1437"/>
      <c r="DM346" s="1437"/>
      <c r="DN346" s="1432"/>
      <c r="DO346" s="1432"/>
      <c r="DP346" s="1432"/>
      <c r="DQ346" s="1432"/>
      <c r="DR346" s="1432"/>
      <c r="DS346" s="1432"/>
      <c r="DT346" s="1316"/>
      <c r="DU346" s="1433"/>
      <c r="DV346" s="1433"/>
      <c r="DW346" s="1433"/>
      <c r="DX346" s="1433"/>
      <c r="DY346" s="1433"/>
      <c r="DZ346" s="1433"/>
      <c r="EA346" s="1433"/>
      <c r="EB346" s="1433"/>
    </row>
    <row r="347" customFormat="false" ht="14.25" hidden="false" customHeight="false" outlineLevel="0" collapsed="false">
      <c r="A347" s="1476" t="n">
        <f aca="false">'V_DATOS PAC_SGA'!CC342</f>
        <v>0</v>
      </c>
      <c r="B347" s="1476" t="n">
        <f aca="false">IF(OR(A347=0,A347=""),0,IF(I347="IV",CONCATENATE('V_DATOS PAC_SGA'!CC342,"4")+0,CONCATENATE('V_DATOS PAC_SGA'!CC342,"0")+0))</f>
        <v>0</v>
      </c>
      <c r="C347" s="1476" t="n">
        <f aca="false">'V_DATOS PAC_SGA'!CD342</f>
        <v>0</v>
      </c>
      <c r="D347" s="1409" t="n">
        <f aca="false">'V_DATOS PAC_SGA'!Y342</f>
        <v>0</v>
      </c>
      <c r="E347" s="1410" t="str">
        <f aca="false">IF('V_DATOS PAC_SGA'!AV342="","Regadio",'V_DATOS PAC_SGA'!AV342)</f>
        <v>Regadio</v>
      </c>
      <c r="F347" s="1411" t="n">
        <f aca="false">'V_DATOS PAC_SGA'!BK342</f>
        <v>0</v>
      </c>
      <c r="G347" s="1412" t="n">
        <f aca="false">'V_DATOS PAC_SGA'!AN342</f>
        <v>0</v>
      </c>
      <c r="H347" s="1413" t="str">
        <f aca="false">IF(B347&gt;0,VLOOKUP(B347,'O_MN, PE_UTA_UGM 2024'!E$3:O$419,10),"")</f>
        <v/>
      </c>
      <c r="I347" s="1359" t="str">
        <f aca="false">IF('V_DATOS PAC_SGA'!BV342="IV",'V_DATOS PAC_SGA'!BV342,"")</f>
        <v/>
      </c>
      <c r="J347" s="1476" t="str">
        <f aca="false">IF($A347&gt;0,IF(AND(J$4=$G347,J$6=$F347),$D347*J$5,""),"")</f>
        <v/>
      </c>
      <c r="K347" s="1476" t="str">
        <f aca="false">IF($A347&gt;0,IF(AND(K$4=$G347,K$6=$F347),$D347*K$5,""),"")</f>
        <v/>
      </c>
      <c r="L347" s="1476" t="str">
        <f aca="false">IF($A347&gt;0,IF(AND(L$4=$G347,L$6=$F347),$D347*L$5,""),"")</f>
        <v/>
      </c>
      <c r="M347" s="1476" t="str">
        <f aca="false">IF($A347&gt;0,IF(AND(M$4=$G347,M$6=$F347),$D347*M$5,""),"")</f>
        <v/>
      </c>
      <c r="N347" s="1506" t="n">
        <f aca="false">VLOOKUP(B347,'O_MN, PE_UTA_UGM 2024'!$E$2:$K$419,IF(G347&gt;1,6,7))</f>
        <v>0</v>
      </c>
      <c r="O347" s="1434" t="str">
        <f aca="false">IF($H347=O$4,$D347*$N347,"")</f>
        <v/>
      </c>
      <c r="P347" s="1435" t="str">
        <f aca="false">IF($H347=P$4,$D347*$N347,"")</f>
        <v/>
      </c>
      <c r="Q347" s="1435" t="str">
        <f aca="false">IF($H347=Q$4,$D347*$N347,"")</f>
        <v/>
      </c>
      <c r="R347" s="1435" t="str">
        <f aca="false">IF($H347=R$4,$D347*$N347,"")</f>
        <v/>
      </c>
      <c r="S347" s="1435" t="str">
        <f aca="false">IF($H347=S$4,$D347*$N347,"")</f>
        <v/>
      </c>
      <c r="T347" s="1435" t="str">
        <f aca="false">IF($H347=T$4,$D347*$N347,"")</f>
        <v/>
      </c>
      <c r="U347" s="1436" t="str">
        <f aca="false">IF($H347=U$4,$D347*$N347,"")</f>
        <v/>
      </c>
      <c r="V347" s="1472"/>
      <c r="W347" s="1471"/>
      <c r="X347" s="1471"/>
      <c r="Y347" s="1471"/>
      <c r="Z347" s="1471"/>
      <c r="AA347" s="1471"/>
      <c r="AB347" s="1473"/>
      <c r="AC347" s="1319"/>
      <c r="AD347" s="1476" t="str">
        <f aca="false">IF(AND(AD$4=$G347,AD$6=$F347),$B347,"")</f>
        <v/>
      </c>
      <c r="AE347" s="1476" t="str">
        <f aca="false">IF(AND(AE$4=$G347,AE$6=$F347),$B347,"")</f>
        <v/>
      </c>
      <c r="AF347" s="1476" t="str">
        <f aca="false">IF(AND(AF$4=$G347,AF$6=$F347),$B347,"")</f>
        <v/>
      </c>
      <c r="AG347" s="1476" t="str">
        <f aca="false">IF(AND(AG$4=$G347,AG$6=$F347),$B347,"")</f>
        <v/>
      </c>
      <c r="AH347" s="1476"/>
      <c r="AI347" s="366"/>
      <c r="AJ347" s="1476"/>
      <c r="AK347" s="1476"/>
      <c r="AL347" s="367"/>
      <c r="AM347" s="1476"/>
      <c r="AN347" s="1476"/>
      <c r="AO347" s="367"/>
      <c r="AP347" s="1476" t="str">
        <f aca="false">IF(AT347&gt;0,RANK(AT347,AT$7:AT$423),"")</f>
        <v/>
      </c>
      <c r="AQ347" s="1475" t="n">
        <f aca="false">'O_MN, PE_UTA_UGM 2024'!C343</f>
        <v>447</v>
      </c>
      <c r="AR347" s="1421" t="n">
        <v>3520</v>
      </c>
      <c r="AS347" s="1476" t="str">
        <f aca="false">IF(AY347&lt;&gt;"",AY347,"")</f>
        <v/>
      </c>
      <c r="AT347" s="1422" t="n">
        <f aca="false">IF(ISNUMBER($AR347),SUMIF(B$7:B$505,AR347,D$7:D$505),"")</f>
        <v>0</v>
      </c>
      <c r="AU347" s="1411" t="n">
        <f aca="false">IF(ISNUMBER($AR347),SUMIF(AD$7:AD$503,$AR347,J$7:J$503),"")</f>
        <v>0</v>
      </c>
      <c r="AV347" s="1411" t="n">
        <f aca="false">IF(ISNUMBER($AR347),SUMIF(AF$7:AF$503,$AR347,L$7:L$503),"")</f>
        <v>0</v>
      </c>
      <c r="AW347" s="1423" t="n">
        <f aca="false">IF(ISNUMBER($AR347),SUMIF(AE$7:AE$503,$AR347,K$7:K$503),"")</f>
        <v>0</v>
      </c>
      <c r="AX347" s="1423" t="n">
        <f aca="false">IF(ISNUMBER($AR347),SUMIF(AG$7:AG$503,$AR347,M$7:M$503),"")</f>
        <v>0</v>
      </c>
      <c r="AY347" s="1476" t="str">
        <f aca="false">IF($AT347&gt;0,VLOOKUP($AR347,'O_MN, PE_UTA_UGM 2024'!E343:O759,2),"")</f>
        <v/>
      </c>
      <c r="AZ347" s="1507"/>
      <c r="BA347" s="1507"/>
      <c r="BB347" s="1507" t="str">
        <f aca="false">IF($AT347&gt;0,VLOOKUP($AR347,'O_MN, PE_UTA_UGM 2024'!$E$3:$O$419,BB$6),"")</f>
        <v/>
      </c>
      <c r="BC347" s="1507" t="str">
        <f aca="false">IF($AT347&gt;0,VLOOKUP($AR347,'O_MN, PE_UTA_UGM 2024'!$E$3:$O$419,BC$6),"")</f>
        <v/>
      </c>
      <c r="BD347" s="1507" t="str">
        <f aca="false">IF($AT347&gt;0,VLOOKUP($AR347,'O_MN, PE_UTA_UGM 2024'!$E$3:$O$419,BD$6),"")</f>
        <v/>
      </c>
      <c r="BE347" s="1507" t="str">
        <f aca="false">IF($AT347&gt;0,VLOOKUP($AR347,'O_MN, PE_UTA_UGM 2024'!$E$3:$O$419,BE$6),"")</f>
        <v/>
      </c>
      <c r="BF347" s="1507" t="str">
        <f aca="false">IF($AT347&gt;0,VLOOKUP($AR347,'O_MN, PE_UTA_UGM 2024'!$E$3:$O$419,BF$6),"")</f>
        <v/>
      </c>
      <c r="BG347" s="1507" t="str">
        <f aca="false">IF($AT347&gt;0,VLOOKUP($AR347,'O_MN, PE_UTA_UGM 2024'!$E$3:$O$419,BG$6),"")</f>
        <v/>
      </c>
      <c r="BH347" s="1504"/>
      <c r="BI347" s="1504"/>
      <c r="BJ347" s="1504"/>
      <c r="BK347" s="1504"/>
      <c r="BL347" s="1476"/>
      <c r="BM347" s="1411"/>
      <c r="BN347" s="1411"/>
      <c r="BO347" s="1425" t="str">
        <f aca="false">IF(ISNUMBER($AU347*BB347*1),$AU347*BB347*1,"")</f>
        <v/>
      </c>
      <c r="BP347" s="1425" t="str">
        <f aca="false">IF(ISNUMBER($AV347*BC347*1),$AV347*BC347*1,"")</f>
        <v/>
      </c>
      <c r="BQ347" s="1425" t="str">
        <f aca="false">IF(ISNUMBER($AU347*BD347*1),$AU347*BD347*1,"")</f>
        <v/>
      </c>
      <c r="BR347" s="1425" t="str">
        <f aca="false">IF(ISNUMBER($AV347*BE347*1),$AV347*BE347*1,"")</f>
        <v/>
      </c>
      <c r="BS347" s="1411" t="str">
        <f aca="false">IF(ISNUMBER($AU347*BF347),$AU347*BF347,"")</f>
        <v/>
      </c>
      <c r="BT347" s="1411" t="str">
        <f aca="false">IF(ISNUMBER($AV347*BG347),$AV347*BG347,"")</f>
        <v/>
      </c>
      <c r="BU347" s="1411"/>
      <c r="BV347" s="1411"/>
      <c r="BW347" s="1411"/>
      <c r="BX347" s="1411"/>
      <c r="BY347" s="1476"/>
      <c r="BZ347" s="1372"/>
      <c r="CA347" s="1372"/>
      <c r="CB347" s="1426" t="str">
        <f aca="false">IF(ISNUMBER($AW347*BB347),$AW347*BB347,"")</f>
        <v/>
      </c>
      <c r="CC347" s="1426" t="str">
        <f aca="false">IF(ISNUMBER($AX347*BC347),$AX347*BC347,"")</f>
        <v/>
      </c>
      <c r="CD347" s="1426" t="str">
        <f aca="false">IF(ISNUMBER($AW347*BD347),$AW347*BD347,"")</f>
        <v/>
      </c>
      <c r="CE347" s="1426" t="str">
        <f aca="false">IF(ISNUMBER($AX347*BE347),$AX347*BE347,"")</f>
        <v/>
      </c>
      <c r="CF347" s="1372" t="str">
        <f aca="false">IF(ISNUMBER($AW347*BF347),$AW347*BF347,"")</f>
        <v/>
      </c>
      <c r="CG347" s="1372" t="str">
        <f aca="false">IF(ISNUMBER($AX347*BG347),$AX347*BG347,"")</f>
        <v/>
      </c>
      <c r="CH347" s="1476"/>
      <c r="CI347" s="1476"/>
      <c r="CJ347" s="1476"/>
      <c r="CK347" s="1476"/>
      <c r="CL347" s="1476"/>
      <c r="CM347" s="1476"/>
      <c r="CN347" s="1476"/>
      <c r="CO347" s="1476"/>
      <c r="CP347" s="1476"/>
      <c r="CQ347" s="1476"/>
      <c r="CR347" s="1476"/>
      <c r="CS347" s="1476"/>
      <c r="CT347" s="1476"/>
      <c r="CU347" s="1476"/>
      <c r="CV347" s="1476"/>
      <c r="CW347" s="1476"/>
      <c r="CX347" s="1476"/>
      <c r="CY347" s="1476"/>
      <c r="CZ347" s="1476"/>
      <c r="DA347" s="1476"/>
      <c r="DB347" s="1476"/>
      <c r="DC347" s="1476"/>
      <c r="DD347" s="1476"/>
      <c r="DE347" s="1476"/>
      <c r="DF347" s="1476"/>
      <c r="DG347" s="1476"/>
      <c r="DH347" s="1476"/>
      <c r="DI347" s="1476"/>
      <c r="DJ347" s="1476"/>
      <c r="DK347" s="1476"/>
      <c r="DL347" s="1476"/>
      <c r="DM347" s="1476"/>
      <c r="DN347" s="1476"/>
      <c r="DO347" s="1476"/>
      <c r="DP347" s="1476"/>
      <c r="DQ347" s="1476"/>
      <c r="DR347" s="1476"/>
      <c r="DS347" s="1476"/>
      <c r="DT347" s="1476"/>
      <c r="DU347" s="1476"/>
      <c r="DV347" s="1476"/>
      <c r="DW347" s="1476"/>
      <c r="DX347" s="1476"/>
      <c r="DY347" s="1476"/>
      <c r="DZ347" s="1476"/>
      <c r="EA347" s="1476"/>
      <c r="EB347" s="1476"/>
    </row>
    <row r="348" customFormat="false" ht="14.25" hidden="false" customHeight="false" outlineLevel="0" collapsed="false">
      <c r="A348" s="1477" t="n">
        <f aca="false">'V_DATOS PAC_SGA'!CC343</f>
        <v>0</v>
      </c>
      <c r="B348" s="1477" t="n">
        <f aca="false">IF(OR(A348=0,A348=""),0,IF(I348="IV",CONCATENATE('V_DATOS PAC_SGA'!CC343,"4")+0,CONCATENATE('V_DATOS PAC_SGA'!CC343,"0")+0))</f>
        <v>0</v>
      </c>
      <c r="C348" s="1477" t="n">
        <f aca="false">'V_DATOS PAC_SGA'!CD343</f>
        <v>0</v>
      </c>
      <c r="D348" s="1409" t="n">
        <f aca="false">'V_DATOS PAC_SGA'!Y343</f>
        <v>0</v>
      </c>
      <c r="E348" s="1410" t="str">
        <f aca="false">IF('V_DATOS PAC_SGA'!AV343="","Regadio",'V_DATOS PAC_SGA'!AV343)</f>
        <v>Regadio</v>
      </c>
      <c r="F348" s="1411" t="n">
        <f aca="false">'V_DATOS PAC_SGA'!BK343</f>
        <v>0</v>
      </c>
      <c r="G348" s="1412" t="n">
        <f aca="false">'V_DATOS PAC_SGA'!AN343</f>
        <v>0</v>
      </c>
      <c r="H348" s="1413" t="str">
        <f aca="false">IF(B348&gt;0,VLOOKUP(B348,'O_MN, PE_UTA_UGM 2024'!E$3:O$419,10),"")</f>
        <v/>
      </c>
      <c r="I348" s="1359" t="str">
        <f aca="false">IF('V_DATOS PAC_SGA'!BV343="IV",'V_DATOS PAC_SGA'!BV343,"")</f>
        <v/>
      </c>
      <c r="J348" s="1477" t="str">
        <f aca="false">IF($A348&gt;0,IF(AND(J$4=$G348,J$6=$F348),$D348*J$5,""),"")</f>
        <v/>
      </c>
      <c r="K348" s="1477" t="str">
        <f aca="false">IF($A348&gt;0,IF(AND(K$4=$G348,K$6=$F348),$D348*K$5,""),"")</f>
        <v/>
      </c>
      <c r="L348" s="1477" t="str">
        <f aca="false">IF($A348&gt;0,IF(AND(L$4=$G348,L$6=$F348),$D348*L$5,""),"")</f>
        <v/>
      </c>
      <c r="M348" s="1477" t="str">
        <f aca="false">IF($A348&gt;0,IF(AND(M$4=$G348,M$6=$F348),$D348*M$5,""),"")</f>
        <v/>
      </c>
      <c r="N348" s="1506" t="n">
        <f aca="false">VLOOKUP(B348,'O_MN, PE_UTA_UGM 2024'!$E$2:$K$419,IF(G348&gt;1,6,7))</f>
        <v>0</v>
      </c>
      <c r="O348" s="1434" t="str">
        <f aca="false">IF($H348=O$4,$D348*$N348,"")</f>
        <v/>
      </c>
      <c r="P348" s="1435" t="str">
        <f aca="false">IF($H348=P$4,$D348*$N348,"")</f>
        <v/>
      </c>
      <c r="Q348" s="1435" t="str">
        <f aca="false">IF($H348=Q$4,$D348*$N348,"")</f>
        <v/>
      </c>
      <c r="R348" s="1435" t="str">
        <f aca="false">IF($H348=R$4,$D348*$N348,"")</f>
        <v/>
      </c>
      <c r="S348" s="1435" t="str">
        <f aca="false">IF($H348=S$4,$D348*$N348,"")</f>
        <v/>
      </c>
      <c r="T348" s="1435" t="str">
        <f aca="false">IF($H348=T$4,$D348*$N348,"")</f>
        <v/>
      </c>
      <c r="U348" s="1436" t="str">
        <f aca="false">IF($H348=U$4,$D348*$N348,"")</f>
        <v/>
      </c>
      <c r="V348" s="1472"/>
      <c r="W348" s="1471"/>
      <c r="X348" s="1471"/>
      <c r="Y348" s="1471"/>
      <c r="Z348" s="1471"/>
      <c r="AA348" s="1471"/>
      <c r="AB348" s="1473"/>
      <c r="AC348" s="1319"/>
      <c r="AD348" s="1477" t="str">
        <f aca="false">IF(AND(AD$4=$G348,AD$6=$F348),$B348,"")</f>
        <v/>
      </c>
      <c r="AE348" s="1477" t="str">
        <f aca="false">IF(AND(AE$4=$G348,AE$6=$F348),$B348,"")</f>
        <v/>
      </c>
      <c r="AF348" s="1477" t="str">
        <f aca="false">IF(AND(AF$4=$G348,AF$6=$F348),$B348,"")</f>
        <v/>
      </c>
      <c r="AG348" s="1477" t="str">
        <f aca="false">IF(AND(AG$4=$G348,AG$6=$F348),$B348,"")</f>
        <v/>
      </c>
      <c r="AH348" s="1477"/>
      <c r="AI348" s="366"/>
      <c r="AJ348" s="1477"/>
      <c r="AK348" s="1477"/>
      <c r="AL348" s="367"/>
      <c r="AM348" s="1477"/>
      <c r="AN348" s="1477"/>
      <c r="AO348" s="367"/>
      <c r="AP348" s="1477" t="str">
        <f aca="false">IF(AT348&gt;0,RANK(AT348,AT$7:AT$423),"")</f>
        <v/>
      </c>
      <c r="AQ348" s="1475" t="n">
        <f aca="false">'O_MN, PE_UTA_UGM 2024'!C344</f>
        <v>448</v>
      </c>
      <c r="AR348" s="1421" t="n">
        <v>3530</v>
      </c>
      <c r="AS348" s="1477" t="str">
        <f aca="false">IF(AY348&lt;&gt;"",AY348,"")</f>
        <v/>
      </c>
      <c r="AT348" s="1422" t="n">
        <f aca="false">IF(ISNUMBER($AR348),SUMIF(B$7:B$505,AR348,D$7:D$505),"")</f>
        <v>0</v>
      </c>
      <c r="AU348" s="1411" t="n">
        <f aca="false">IF(ISNUMBER($AR348),SUMIF(AD$7:AD$503,$AR348,J$7:J$503),"")</f>
        <v>0</v>
      </c>
      <c r="AV348" s="1411" t="n">
        <f aca="false">IF(ISNUMBER($AR348),SUMIF(AF$7:AF$503,$AR348,L$7:L$503),"")</f>
        <v>0</v>
      </c>
      <c r="AW348" s="1423" t="n">
        <f aca="false">IF(ISNUMBER($AR348),SUMIF(AE$7:AE$503,$AR348,K$7:K$503),"")</f>
        <v>0</v>
      </c>
      <c r="AX348" s="1423" t="n">
        <f aca="false">IF(ISNUMBER($AR348),SUMIF(AG$7:AG$503,$AR348,M$7:M$503),"")</f>
        <v>0</v>
      </c>
      <c r="AY348" s="1477" t="str">
        <f aca="false">IF($AT348&gt;0,VLOOKUP($AR348,'O_MN, PE_UTA_UGM 2024'!E344:O760,2),"")</f>
        <v/>
      </c>
      <c r="AZ348" s="1507"/>
      <c r="BA348" s="1507"/>
      <c r="BB348" s="1507" t="str">
        <f aca="false">IF($AT348&gt;0,VLOOKUP($AR348,'O_MN, PE_UTA_UGM 2024'!$E$3:$O$419,BB$6),"")</f>
        <v/>
      </c>
      <c r="BC348" s="1507" t="str">
        <f aca="false">IF($AT348&gt;0,VLOOKUP($AR348,'O_MN, PE_UTA_UGM 2024'!$E$3:$O$419,BC$6),"")</f>
        <v/>
      </c>
      <c r="BD348" s="1507" t="str">
        <f aca="false">IF($AT348&gt;0,VLOOKUP($AR348,'O_MN, PE_UTA_UGM 2024'!$E$3:$O$419,BD$6),"")</f>
        <v/>
      </c>
      <c r="BE348" s="1507" t="str">
        <f aca="false">IF($AT348&gt;0,VLOOKUP($AR348,'O_MN, PE_UTA_UGM 2024'!$E$3:$O$419,BE$6),"")</f>
        <v/>
      </c>
      <c r="BF348" s="1507" t="str">
        <f aca="false">IF($AT348&gt;0,VLOOKUP($AR348,'O_MN, PE_UTA_UGM 2024'!$E$3:$O$419,BF$6),"")</f>
        <v/>
      </c>
      <c r="BG348" s="1507" t="str">
        <f aca="false">IF($AT348&gt;0,VLOOKUP($AR348,'O_MN, PE_UTA_UGM 2024'!$E$3:$O$419,BG$6),"")</f>
        <v/>
      </c>
      <c r="BH348" s="1504"/>
      <c r="BI348" s="1504"/>
      <c r="BJ348" s="1504"/>
      <c r="BK348" s="1504"/>
      <c r="BL348" s="1477"/>
      <c r="BM348" s="1411"/>
      <c r="BN348" s="1411"/>
      <c r="BO348" s="1425" t="str">
        <f aca="false">IF(ISNUMBER($AU348*BB348*1),$AU348*BB348*1,"")</f>
        <v/>
      </c>
      <c r="BP348" s="1425" t="str">
        <f aca="false">IF(ISNUMBER($AV348*BC348*1),$AV348*BC348*1,"")</f>
        <v/>
      </c>
      <c r="BQ348" s="1425" t="str">
        <f aca="false">IF(ISNUMBER($AU348*BD348*1),$AU348*BD348*1,"")</f>
        <v/>
      </c>
      <c r="BR348" s="1425" t="str">
        <f aca="false">IF(ISNUMBER($AV348*BE348*1),$AV348*BE348*1,"")</f>
        <v/>
      </c>
      <c r="BS348" s="1411" t="str">
        <f aca="false">IF(ISNUMBER($AU348*BF348),$AU348*BF348,"")</f>
        <v/>
      </c>
      <c r="BT348" s="1411" t="str">
        <f aca="false">IF(ISNUMBER($AV348*BG348),$AV348*BG348,"")</f>
        <v/>
      </c>
      <c r="BU348" s="1411"/>
      <c r="BV348" s="1411"/>
      <c r="BW348" s="1411"/>
      <c r="BX348" s="1411"/>
      <c r="BY348" s="1477"/>
      <c r="BZ348" s="1372"/>
      <c r="CA348" s="1372"/>
      <c r="CB348" s="1426" t="str">
        <f aca="false">IF(ISNUMBER($AW348*BB348),$AW348*BB348,"")</f>
        <v/>
      </c>
      <c r="CC348" s="1426" t="str">
        <f aca="false">IF(ISNUMBER($AX348*BC348),$AX348*BC348,"")</f>
        <v/>
      </c>
      <c r="CD348" s="1426" t="str">
        <f aca="false">IF(ISNUMBER($AW348*BD348),$AW348*BD348,"")</f>
        <v/>
      </c>
      <c r="CE348" s="1426" t="str">
        <f aca="false">IF(ISNUMBER($AX348*BE348),$AX348*BE348,"")</f>
        <v/>
      </c>
      <c r="CF348" s="1372" t="str">
        <f aca="false">IF(ISNUMBER($AW348*BF348),$AW348*BF348,"")</f>
        <v/>
      </c>
      <c r="CG348" s="1372" t="str">
        <f aca="false">IF(ISNUMBER($AX348*BG348),$AX348*BG348,"")</f>
        <v/>
      </c>
      <c r="CH348" s="1477"/>
      <c r="CI348" s="1477"/>
      <c r="CJ348" s="1477"/>
      <c r="CK348" s="1477"/>
      <c r="CL348" s="1477"/>
      <c r="CM348" s="1477"/>
      <c r="CN348" s="1477"/>
      <c r="CO348" s="1477"/>
      <c r="CP348" s="1477"/>
      <c r="CQ348" s="1477"/>
      <c r="CR348" s="1477"/>
      <c r="CS348" s="1477"/>
      <c r="CT348" s="1477"/>
      <c r="CU348" s="1477"/>
      <c r="CV348" s="1477"/>
      <c r="CW348" s="1477"/>
      <c r="CX348" s="1477"/>
      <c r="CY348" s="1477"/>
      <c r="CZ348" s="1477"/>
      <c r="DA348" s="1477"/>
      <c r="DB348" s="1477"/>
      <c r="DC348" s="1477"/>
      <c r="DD348" s="1477"/>
      <c r="DE348" s="1477"/>
      <c r="DF348" s="1477"/>
      <c r="DG348" s="1477"/>
      <c r="DH348" s="1477"/>
      <c r="DI348" s="1477"/>
      <c r="DJ348" s="1477"/>
      <c r="DK348" s="1477"/>
      <c r="DL348" s="1477"/>
      <c r="DM348" s="1477"/>
      <c r="DN348" s="1477"/>
      <c r="DO348" s="1477"/>
      <c r="DP348" s="1477"/>
      <c r="DQ348" s="1477"/>
      <c r="DR348" s="1477"/>
      <c r="DS348" s="1477"/>
      <c r="DT348" s="1477"/>
      <c r="DU348" s="1477"/>
      <c r="DV348" s="1477"/>
      <c r="DW348" s="1477"/>
      <c r="DX348" s="1477"/>
      <c r="DY348" s="1477"/>
      <c r="DZ348" s="1477"/>
      <c r="EA348" s="1477"/>
      <c r="EB348" s="1477"/>
    </row>
    <row r="349" customFormat="false" ht="14.25" hidden="false" customHeight="false" outlineLevel="0" collapsed="false">
      <c r="A349" s="2" t="n">
        <f aca="false">'V_DATOS PAC_SGA'!CC344</f>
        <v>0</v>
      </c>
      <c r="B349" s="2" t="n">
        <f aca="false">IF(OR(A349=0,A349=""),0,IF(I349="IV",CONCATENATE('V_DATOS PAC_SGA'!CC344,"4")+0,CONCATENATE('V_DATOS PAC_SGA'!CC344,"0")+0))</f>
        <v>0</v>
      </c>
      <c r="C349" s="2" t="n">
        <f aca="false">'V_DATOS PAC_SGA'!CD344</f>
        <v>0</v>
      </c>
      <c r="D349" s="1409" t="n">
        <f aca="false">'V_DATOS PAC_SGA'!Y344</f>
        <v>0</v>
      </c>
      <c r="E349" s="1410" t="str">
        <f aca="false">IF('V_DATOS PAC_SGA'!AV344="","Regadio",'V_DATOS PAC_SGA'!AV344)</f>
        <v>Regadio</v>
      </c>
      <c r="F349" s="1411" t="n">
        <f aca="false">'V_DATOS PAC_SGA'!BK344</f>
        <v>0</v>
      </c>
      <c r="G349" s="1412" t="n">
        <f aca="false">'V_DATOS PAC_SGA'!AN344</f>
        <v>0</v>
      </c>
      <c r="H349" s="1413" t="str">
        <f aca="false">IF(B349&gt;0,VLOOKUP(B349,'O_MN, PE_UTA_UGM 2024'!E$3:O$419,10),"")</f>
        <v/>
      </c>
      <c r="I349" s="1359" t="str">
        <f aca="false">IF('V_DATOS PAC_SGA'!BV344="IV",'V_DATOS PAC_SGA'!BV344,"")</f>
        <v/>
      </c>
      <c r="J349" s="2" t="str">
        <f aca="false">IF($A349&gt;0,IF(AND(J$4=$G349,J$6=$F349),$D349*J$5,""),"")</f>
        <v/>
      </c>
      <c r="K349" s="2" t="str">
        <f aca="false">IF($A349&gt;0,IF(AND(K$4=$G349,K$6=$F349),$D349*K$5,""),"")</f>
        <v/>
      </c>
      <c r="L349" s="2" t="str">
        <f aca="false">IF($A349&gt;0,IF(AND(L$4=$G349,L$6=$F349),$D349*L$5,""),"")</f>
        <v/>
      </c>
      <c r="M349" s="2" t="str">
        <f aca="false">IF($A349&gt;0,IF(AND(M$4=$G349,M$6=$F349),$D349*M$5,""),"")</f>
        <v/>
      </c>
      <c r="N349" s="1506" t="n">
        <f aca="false">VLOOKUP(B349,'O_MN, PE_UTA_UGM 2024'!$E$2:$K$419,IF(G349&gt;1,6,7))</f>
        <v>0</v>
      </c>
      <c r="O349" s="1434" t="str">
        <f aca="false">IF($H349=O$4,$D349*$N349,"")</f>
        <v/>
      </c>
      <c r="P349" s="1435" t="str">
        <f aca="false">IF($H349=P$4,$D349*$N349,"")</f>
        <v/>
      </c>
      <c r="Q349" s="1435" t="str">
        <f aca="false">IF($H349=Q$4,$D349*$N349,"")</f>
        <v/>
      </c>
      <c r="R349" s="1435" t="str">
        <f aca="false">IF($H349=R$4,$D349*$N349,"")</f>
        <v/>
      </c>
      <c r="S349" s="1435" t="str">
        <f aca="false">IF($H349=S$4,$D349*$N349,"")</f>
        <v/>
      </c>
      <c r="T349" s="1435" t="str">
        <f aca="false">IF($H349=T$4,$D349*$N349,"")</f>
        <v/>
      </c>
      <c r="U349" s="1436" t="str">
        <f aca="false">IF($H349=U$4,$D349*$N349,"")</f>
        <v/>
      </c>
      <c r="V349" s="1472"/>
      <c r="W349" s="1471"/>
      <c r="X349" s="1471"/>
      <c r="Y349" s="1471"/>
      <c r="Z349" s="1471"/>
      <c r="AA349" s="1471"/>
      <c r="AB349" s="1473"/>
      <c r="AC349" s="1319"/>
      <c r="AD349" s="2" t="str">
        <f aca="false">IF(AND(AD$4=$G349,AD$6=$F349),$B349,"")</f>
        <v/>
      </c>
      <c r="AE349" s="2" t="str">
        <f aca="false">IF(AND(AE$4=$G349,AE$6=$F349),$B349,"")</f>
        <v/>
      </c>
      <c r="AF349" s="2" t="str">
        <f aca="false">IF(AND(AF$4=$G349,AF$6=$F349),$B349,"")</f>
        <v/>
      </c>
      <c r="AG349" s="2" t="str">
        <f aca="false">IF(AND(AG$4=$G349,AG$6=$F349),$B349,"")</f>
        <v/>
      </c>
      <c r="AI349" s="366"/>
      <c r="AL349" s="367"/>
      <c r="AO349" s="367"/>
      <c r="AP349" s="2" t="str">
        <f aca="false">IF(AT349&gt;0,RANK(AT349,AT$7:AT$423),"")</f>
        <v/>
      </c>
      <c r="AQ349" s="1475" t="n">
        <f aca="false">'O_MN, PE_UTA_UGM 2024'!C345</f>
        <v>449</v>
      </c>
      <c r="AR349" s="1421" t="n">
        <v>3540</v>
      </c>
      <c r="AS349" s="2" t="str">
        <f aca="false">IF(AY349&lt;&gt;"",AY349,"")</f>
        <v/>
      </c>
      <c r="AT349" s="1422" t="n">
        <f aca="false">IF(ISNUMBER($AR349),SUMIF(B$7:B$505,AR349,D$7:D$505),"")</f>
        <v>0</v>
      </c>
      <c r="AU349" s="1411" t="n">
        <f aca="false">IF(ISNUMBER($AR349),SUMIF(AD$7:AD$503,$AR349,J$7:J$503),"")</f>
        <v>0</v>
      </c>
      <c r="AV349" s="1411" t="n">
        <f aca="false">IF(ISNUMBER($AR349),SUMIF(AF$7:AF$503,$AR349,L$7:L$503),"")</f>
        <v>0</v>
      </c>
      <c r="AW349" s="1423" t="n">
        <f aca="false">IF(ISNUMBER($AR349),SUMIF(AE$7:AE$503,$AR349,K$7:K$503),"")</f>
        <v>0</v>
      </c>
      <c r="AX349" s="1423" t="n">
        <f aca="false">IF(ISNUMBER($AR349),SUMIF(AG$7:AG$503,$AR349,M$7:M$503),"")</f>
        <v>0</v>
      </c>
      <c r="AY349" s="2" t="str">
        <f aca="false">IF($AT349&gt;0,VLOOKUP($AR349,'O_MN, PE_UTA_UGM 2024'!E345:O761,2),"")</f>
        <v/>
      </c>
      <c r="AZ349" s="1507"/>
      <c r="BA349" s="1507"/>
      <c r="BB349" s="1507" t="str">
        <f aca="false">IF($AT349&gt;0,VLOOKUP($AR349,'O_MN, PE_UTA_UGM 2024'!$E$3:$O$419,BB$6),"")</f>
        <v/>
      </c>
      <c r="BC349" s="1507" t="str">
        <f aca="false">IF($AT349&gt;0,VLOOKUP($AR349,'O_MN, PE_UTA_UGM 2024'!$E$3:$O$419,BC$6),"")</f>
        <v/>
      </c>
      <c r="BD349" s="1507" t="str">
        <f aca="false">IF($AT349&gt;0,VLOOKUP($AR349,'O_MN, PE_UTA_UGM 2024'!$E$3:$O$419,BD$6),"")</f>
        <v/>
      </c>
      <c r="BE349" s="1507" t="str">
        <f aca="false">IF($AT349&gt;0,VLOOKUP($AR349,'O_MN, PE_UTA_UGM 2024'!$E$3:$O$419,BE$6),"")</f>
        <v/>
      </c>
      <c r="BF349" s="1507" t="str">
        <f aca="false">IF($AT349&gt;0,VLOOKUP($AR349,'O_MN, PE_UTA_UGM 2024'!$E$3:$O$419,BF$6),"")</f>
        <v/>
      </c>
      <c r="BG349" s="1507" t="str">
        <f aca="false">IF($AT349&gt;0,VLOOKUP($AR349,'O_MN, PE_UTA_UGM 2024'!$E$3:$O$419,BG$6),"")</f>
        <v/>
      </c>
      <c r="BH349" s="1504"/>
      <c r="BI349" s="1504"/>
      <c r="BJ349" s="1504"/>
      <c r="BK349" s="1504"/>
      <c r="BM349" s="1411"/>
      <c r="BN349" s="1411"/>
      <c r="BO349" s="1425" t="str">
        <f aca="false">IF(ISNUMBER($AU349*BB349*1),$AU349*BB349*1,"")</f>
        <v/>
      </c>
      <c r="BP349" s="1425" t="str">
        <f aca="false">IF(ISNUMBER($AV349*BC349*1),$AV349*BC349*1,"")</f>
        <v/>
      </c>
      <c r="BQ349" s="1425" t="str">
        <f aca="false">IF(ISNUMBER($AU349*BD349*1),$AU349*BD349*1,"")</f>
        <v/>
      </c>
      <c r="BR349" s="1425" t="str">
        <f aca="false">IF(ISNUMBER($AV349*BE349*1),$AV349*BE349*1,"")</f>
        <v/>
      </c>
      <c r="BS349" s="1411" t="str">
        <f aca="false">IF(ISNUMBER($AU349*BF349),$AU349*BF349,"")</f>
        <v/>
      </c>
      <c r="BT349" s="1411" t="str">
        <f aca="false">IF(ISNUMBER($AV349*BG349),$AV349*BG349,"")</f>
        <v/>
      </c>
      <c r="BU349" s="1411"/>
      <c r="BV349" s="1411"/>
      <c r="BW349" s="1411"/>
      <c r="BX349" s="1411"/>
      <c r="BZ349" s="1372"/>
      <c r="CA349" s="1372"/>
      <c r="CB349" s="1426" t="str">
        <f aca="false">IF(ISNUMBER($AW349*BB349),$AW349*BB349,"")</f>
        <v/>
      </c>
      <c r="CC349" s="1426" t="str">
        <f aca="false">IF(ISNUMBER($AX349*BC349),$AX349*BC349,"")</f>
        <v/>
      </c>
      <c r="CD349" s="1426" t="str">
        <f aca="false">IF(ISNUMBER($AW349*BD349),$AW349*BD349,"")</f>
        <v/>
      </c>
      <c r="CE349" s="1426" t="str">
        <f aca="false">IF(ISNUMBER($AX349*BE349),$AX349*BE349,"")</f>
        <v/>
      </c>
      <c r="CF349" s="1372" t="str">
        <f aca="false">IF(ISNUMBER($AW349*BF349),$AW349*BF349,"")</f>
        <v/>
      </c>
      <c r="CG349" s="1372" t="str">
        <f aca="false">IF(ISNUMBER($AX349*BG349),$AX349*BG349,"")</f>
        <v/>
      </c>
      <c r="CH349" s="1438"/>
      <c r="CI349" s="1438"/>
      <c r="CJ349" s="1438"/>
      <c r="CK349" s="1438"/>
      <c r="CU349" s="1411"/>
      <c r="CV349" s="1411"/>
      <c r="CW349" s="1425"/>
      <c r="CX349" s="1425"/>
      <c r="CY349" s="1425"/>
      <c r="CZ349" s="1425"/>
      <c r="DA349" s="1411"/>
      <c r="DB349" s="1411"/>
      <c r="DC349" s="1411"/>
      <c r="DD349" s="1411"/>
      <c r="DE349" s="1411"/>
      <c r="DF349" s="1411"/>
      <c r="DH349" s="1432"/>
      <c r="DI349" s="1432"/>
      <c r="DJ349" s="1437"/>
      <c r="DK349" s="1437"/>
      <c r="DL349" s="1437"/>
      <c r="DM349" s="1437"/>
      <c r="DN349" s="1432"/>
      <c r="DO349" s="1432"/>
      <c r="DP349" s="1432"/>
      <c r="DQ349" s="1432"/>
      <c r="DR349" s="1432"/>
      <c r="DS349" s="1432"/>
      <c r="DT349" s="1316"/>
      <c r="DU349" s="1433"/>
      <c r="DV349" s="1433"/>
      <c r="DW349" s="1433"/>
      <c r="DX349" s="1433"/>
      <c r="DY349" s="1433"/>
      <c r="DZ349" s="1433"/>
      <c r="EA349" s="1433"/>
      <c r="EB349" s="1433"/>
    </row>
    <row r="350" customFormat="false" ht="14.25" hidden="false" customHeight="false" outlineLevel="0" collapsed="false">
      <c r="A350" s="2" t="n">
        <f aca="false">'V_DATOS PAC_SGA'!CC345</f>
        <v>0</v>
      </c>
      <c r="B350" s="2" t="n">
        <f aca="false">IF(OR(A350=0,A350=""),0,IF(I350="IV",CONCATENATE('V_DATOS PAC_SGA'!CC345,"4")+0,CONCATENATE('V_DATOS PAC_SGA'!CC345,"0")+0))</f>
        <v>0</v>
      </c>
      <c r="C350" s="2" t="n">
        <f aca="false">'V_DATOS PAC_SGA'!CD345</f>
        <v>0</v>
      </c>
      <c r="D350" s="1409" t="n">
        <f aca="false">'V_DATOS PAC_SGA'!Y345</f>
        <v>0</v>
      </c>
      <c r="E350" s="1410" t="str">
        <f aca="false">IF('V_DATOS PAC_SGA'!AV345="","Regadio",'V_DATOS PAC_SGA'!AV345)</f>
        <v>Regadio</v>
      </c>
      <c r="F350" s="1411" t="n">
        <f aca="false">'V_DATOS PAC_SGA'!BK345</f>
        <v>0</v>
      </c>
      <c r="G350" s="1412" t="n">
        <f aca="false">'V_DATOS PAC_SGA'!AN345</f>
        <v>0</v>
      </c>
      <c r="H350" s="1413" t="str">
        <f aca="false">IF(B350&gt;0,VLOOKUP(B350,'O_MN, PE_UTA_UGM 2024'!E$3:O$419,10),"")</f>
        <v/>
      </c>
      <c r="I350" s="1359" t="str">
        <f aca="false">IF('V_DATOS PAC_SGA'!BV345="IV",'V_DATOS PAC_SGA'!BV345,"")</f>
        <v/>
      </c>
      <c r="J350" s="2" t="str">
        <f aca="false">IF($A350&gt;0,IF(AND(J$4=$G350,J$6=$F350),$D350*J$5,""),"")</f>
        <v/>
      </c>
      <c r="K350" s="2" t="str">
        <f aca="false">IF($A350&gt;0,IF(AND(K$4=$G350,K$6=$F350),$D350*K$5,""),"")</f>
        <v/>
      </c>
      <c r="L350" s="2" t="str">
        <f aca="false">IF($A350&gt;0,IF(AND(L$4=$G350,L$6=$F350),$D350*L$5,""),"")</f>
        <v/>
      </c>
      <c r="M350" s="2" t="str">
        <f aca="false">IF($A350&gt;0,IF(AND(M$4=$G350,M$6=$F350),$D350*M$5,""),"")</f>
        <v/>
      </c>
      <c r="N350" s="1506" t="n">
        <f aca="false">VLOOKUP(B350,'O_MN, PE_UTA_UGM 2024'!$E$2:$K$419,IF(G350&gt;1,6,7))</f>
        <v>0</v>
      </c>
      <c r="O350" s="1434" t="str">
        <f aca="false">IF($H350=O$4,$D350*$N350,"")</f>
        <v/>
      </c>
      <c r="P350" s="1435" t="str">
        <f aca="false">IF($H350=P$4,$D350*$N350,"")</f>
        <v/>
      </c>
      <c r="Q350" s="1435" t="str">
        <f aca="false">IF($H350=Q$4,$D350*$N350,"")</f>
        <v/>
      </c>
      <c r="R350" s="1435" t="str">
        <f aca="false">IF($H350=R$4,$D350*$N350,"")</f>
        <v/>
      </c>
      <c r="S350" s="1435" t="str">
        <f aca="false">IF($H350=S$4,$D350*$N350,"")</f>
        <v/>
      </c>
      <c r="T350" s="1435" t="str">
        <f aca="false">IF($H350=T$4,$D350*$N350,"")</f>
        <v/>
      </c>
      <c r="U350" s="1436" t="str">
        <f aca="false">IF($H350=U$4,$D350*$N350,"")</f>
        <v/>
      </c>
      <c r="V350" s="1472"/>
      <c r="W350" s="1471"/>
      <c r="X350" s="1471"/>
      <c r="Y350" s="1471"/>
      <c r="Z350" s="1471"/>
      <c r="AA350" s="1471"/>
      <c r="AB350" s="1473"/>
      <c r="AC350" s="1319"/>
      <c r="AD350" s="2" t="str">
        <f aca="false">IF(AND(AD$4=$G350,AD$6=$F350),$B350,"")</f>
        <v/>
      </c>
      <c r="AE350" s="2" t="str">
        <f aca="false">IF(AND(AE$4=$G350,AE$6=$F350),$B350,"")</f>
        <v/>
      </c>
      <c r="AF350" s="2" t="str">
        <f aca="false">IF(AND(AF$4=$G350,AF$6=$F350),$B350,"")</f>
        <v/>
      </c>
      <c r="AG350" s="2" t="str">
        <f aca="false">IF(AND(AG$4=$G350,AG$6=$F350),$B350,"")</f>
        <v/>
      </c>
      <c r="AI350" s="366"/>
      <c r="AL350" s="367"/>
      <c r="AO350" s="367"/>
      <c r="AP350" s="2" t="str">
        <f aca="false">IF(AT350&gt;0,RANK(AT350,AT$7:AT$423),"")</f>
        <v/>
      </c>
      <c r="AQ350" s="1475" t="n">
        <f aca="false">'O_MN, PE_UTA_UGM 2024'!C346</f>
        <v>450</v>
      </c>
      <c r="AR350" s="1421" t="n">
        <v>3550</v>
      </c>
      <c r="AS350" s="2" t="str">
        <f aca="false">IF(AY350&lt;&gt;"",AY350,"")</f>
        <v/>
      </c>
      <c r="AT350" s="1422" t="n">
        <f aca="false">IF(ISNUMBER($AR350),SUMIF(B$7:B$505,AR350,D$7:D$505),"")</f>
        <v>0</v>
      </c>
      <c r="AU350" s="1411" t="n">
        <f aca="false">IF(ISNUMBER($AR350),SUMIF(AD$7:AD$503,$AR350,J$7:J$503),"")</f>
        <v>0</v>
      </c>
      <c r="AV350" s="1411" t="n">
        <f aca="false">IF(ISNUMBER($AR350),SUMIF(AF$7:AF$503,$AR350,L$7:L$503),"")</f>
        <v>0</v>
      </c>
      <c r="AW350" s="1423" t="n">
        <f aca="false">IF(ISNUMBER($AR350),SUMIF(AE$7:AE$503,$AR350,K$7:K$503),"")</f>
        <v>0</v>
      </c>
      <c r="AX350" s="1423" t="n">
        <f aca="false">IF(ISNUMBER($AR350),SUMIF(AG$7:AG$503,$AR350,M$7:M$503),"")</f>
        <v>0</v>
      </c>
      <c r="AY350" s="2" t="str">
        <f aca="false">IF($AT350&gt;0,VLOOKUP($AR350,'O_MN, PE_UTA_UGM 2024'!E346:O762,2),"")</f>
        <v/>
      </c>
      <c r="AZ350" s="1507"/>
      <c r="BA350" s="1507"/>
      <c r="BB350" s="1507" t="str">
        <f aca="false">IF($AT350&gt;0,VLOOKUP($AR350,'O_MN, PE_UTA_UGM 2024'!$E$3:$O$419,BB$6),"")</f>
        <v/>
      </c>
      <c r="BC350" s="1507" t="str">
        <f aca="false">IF($AT350&gt;0,VLOOKUP($AR350,'O_MN, PE_UTA_UGM 2024'!$E$3:$O$419,BC$6),"")</f>
        <v/>
      </c>
      <c r="BD350" s="1507" t="str">
        <f aca="false">IF($AT350&gt;0,VLOOKUP($AR350,'O_MN, PE_UTA_UGM 2024'!$E$3:$O$419,BD$6),"")</f>
        <v/>
      </c>
      <c r="BE350" s="1507" t="str">
        <f aca="false">IF($AT350&gt;0,VLOOKUP($AR350,'O_MN, PE_UTA_UGM 2024'!$E$3:$O$419,BE$6),"")</f>
        <v/>
      </c>
      <c r="BF350" s="1507" t="str">
        <f aca="false">IF($AT350&gt;0,VLOOKUP($AR350,'O_MN, PE_UTA_UGM 2024'!$E$3:$O$419,BF$6),"")</f>
        <v/>
      </c>
      <c r="BG350" s="1507" t="str">
        <f aca="false">IF($AT350&gt;0,VLOOKUP($AR350,'O_MN, PE_UTA_UGM 2024'!$E$3:$O$419,BG$6),"")</f>
        <v/>
      </c>
      <c r="BH350" s="1504"/>
      <c r="BI350" s="1504"/>
      <c r="BJ350" s="1504"/>
      <c r="BK350" s="1504"/>
      <c r="BM350" s="1411"/>
      <c r="BN350" s="1411"/>
      <c r="BO350" s="1425" t="str">
        <f aca="false">IF(ISNUMBER($AU350*BB350*1),$AU350*BB350*1,"")</f>
        <v/>
      </c>
      <c r="BP350" s="1425" t="str">
        <f aca="false">IF(ISNUMBER($AV350*BC350*1),$AV350*BC350*1,"")</f>
        <v/>
      </c>
      <c r="BQ350" s="1425" t="str">
        <f aca="false">IF(ISNUMBER($AU350*BD350*1),$AU350*BD350*1,"")</f>
        <v/>
      </c>
      <c r="BR350" s="1425" t="str">
        <f aca="false">IF(ISNUMBER($AV350*BE350*1),$AV350*BE350*1,"")</f>
        <v/>
      </c>
      <c r="BS350" s="1411" t="str">
        <f aca="false">IF(ISNUMBER($AU350*BF350),$AU350*BF350,"")</f>
        <v/>
      </c>
      <c r="BT350" s="1411" t="str">
        <f aca="false">IF(ISNUMBER($AV350*BG350),$AV350*BG350,"")</f>
        <v/>
      </c>
      <c r="BU350" s="1411"/>
      <c r="BV350" s="1411"/>
      <c r="BW350" s="1411"/>
      <c r="BX350" s="1411"/>
      <c r="BZ350" s="1372"/>
      <c r="CA350" s="1372"/>
      <c r="CB350" s="1426" t="str">
        <f aca="false">IF(ISNUMBER($AW350*BB350),$AW350*BB350,"")</f>
        <v/>
      </c>
      <c r="CC350" s="1426" t="str">
        <f aca="false">IF(ISNUMBER($AX350*BC350),$AX350*BC350,"")</f>
        <v/>
      </c>
      <c r="CD350" s="1426" t="str">
        <f aca="false">IF(ISNUMBER($AW350*BD350),$AW350*BD350,"")</f>
        <v/>
      </c>
      <c r="CE350" s="1426" t="str">
        <f aca="false">IF(ISNUMBER($AX350*BE350),$AX350*BE350,"")</f>
        <v/>
      </c>
      <c r="CF350" s="1372" t="str">
        <f aca="false">IF(ISNUMBER($AW350*BF350),$AW350*BF350,"")</f>
        <v/>
      </c>
      <c r="CG350" s="1372" t="str">
        <f aca="false">IF(ISNUMBER($AX350*BG350),$AX350*BG350,"")</f>
        <v/>
      </c>
      <c r="CH350" s="1438"/>
      <c r="CI350" s="1438"/>
      <c r="CJ350" s="1438"/>
      <c r="CK350" s="1438"/>
      <c r="CU350" s="1411"/>
      <c r="CV350" s="1411"/>
      <c r="CW350" s="1425"/>
      <c r="CX350" s="1425"/>
      <c r="CY350" s="1425"/>
      <c r="CZ350" s="1425"/>
      <c r="DA350" s="1411"/>
      <c r="DB350" s="1411"/>
      <c r="DC350" s="1411"/>
      <c r="DD350" s="1411"/>
      <c r="DE350" s="1411"/>
      <c r="DF350" s="1411"/>
      <c r="DH350" s="1432"/>
      <c r="DI350" s="1432"/>
      <c r="DJ350" s="1437"/>
      <c r="DK350" s="1437"/>
      <c r="DL350" s="1437"/>
      <c r="DM350" s="1437"/>
      <c r="DN350" s="1432"/>
      <c r="DO350" s="1432"/>
      <c r="DP350" s="1432"/>
      <c r="DQ350" s="1432"/>
      <c r="DR350" s="1432"/>
      <c r="DS350" s="1432"/>
      <c r="DT350" s="1316"/>
      <c r="DU350" s="1433"/>
      <c r="DV350" s="1433"/>
      <c r="DW350" s="1433"/>
      <c r="DX350" s="1433"/>
      <c r="DY350" s="1433"/>
      <c r="DZ350" s="1433"/>
      <c r="EA350" s="1433"/>
      <c r="EB350" s="1433"/>
    </row>
    <row r="351" customFormat="false" ht="14.25" hidden="false" customHeight="false" outlineLevel="0" collapsed="false">
      <c r="A351" s="2" t="n">
        <f aca="false">'V_DATOS PAC_SGA'!CC346</f>
        <v>0</v>
      </c>
      <c r="B351" s="2" t="n">
        <f aca="false">IF(OR(A351=0,A351=""),0,IF(I351="IV",CONCATENATE('V_DATOS PAC_SGA'!CC346,"4")+0,CONCATENATE('V_DATOS PAC_SGA'!CC346,"0")+0))</f>
        <v>0</v>
      </c>
      <c r="C351" s="2" t="n">
        <f aca="false">'V_DATOS PAC_SGA'!CD346</f>
        <v>0</v>
      </c>
      <c r="D351" s="1409" t="n">
        <f aca="false">'V_DATOS PAC_SGA'!Y346</f>
        <v>0</v>
      </c>
      <c r="E351" s="1410" t="str">
        <f aca="false">IF('V_DATOS PAC_SGA'!AV346="","Regadio",'V_DATOS PAC_SGA'!AV346)</f>
        <v>Regadio</v>
      </c>
      <c r="F351" s="1411" t="n">
        <f aca="false">'V_DATOS PAC_SGA'!BK346</f>
        <v>0</v>
      </c>
      <c r="G351" s="1412" t="n">
        <f aca="false">'V_DATOS PAC_SGA'!AN346</f>
        <v>0</v>
      </c>
      <c r="H351" s="1413" t="str">
        <f aca="false">IF(B351&gt;0,VLOOKUP(B351,'O_MN, PE_UTA_UGM 2024'!E$3:O$419,10),"")</f>
        <v/>
      </c>
      <c r="I351" s="1359" t="str">
        <f aca="false">IF('V_DATOS PAC_SGA'!BV346="IV",'V_DATOS PAC_SGA'!BV346,"")</f>
        <v/>
      </c>
      <c r="J351" s="2" t="str">
        <f aca="false">IF($A351&gt;0,IF(AND(J$4=$G351,J$6=$F351),$D351*J$5,""),"")</f>
        <v/>
      </c>
      <c r="K351" s="2" t="str">
        <f aca="false">IF($A351&gt;0,IF(AND(K$4=$G351,K$6=$F351),$D351*K$5,""),"")</f>
        <v/>
      </c>
      <c r="L351" s="2" t="str">
        <f aca="false">IF($A351&gt;0,IF(AND(L$4=$G351,L$6=$F351),$D351*L$5,""),"")</f>
        <v/>
      </c>
      <c r="M351" s="2" t="str">
        <f aca="false">IF($A351&gt;0,IF(AND(M$4=$G351,M$6=$F351),$D351*M$5,""),"")</f>
        <v/>
      </c>
      <c r="N351" s="1506" t="n">
        <f aca="false">VLOOKUP(B351,'O_MN, PE_UTA_UGM 2024'!$E$2:$K$419,IF(G351&gt;1,6,7))</f>
        <v>0</v>
      </c>
      <c r="O351" s="1434" t="str">
        <f aca="false">IF($H351=O$4,$D351*$N351,"")</f>
        <v/>
      </c>
      <c r="P351" s="1435" t="str">
        <f aca="false">IF($H351=P$4,$D351*$N351,"")</f>
        <v/>
      </c>
      <c r="Q351" s="1435" t="str">
        <f aca="false">IF($H351=Q$4,$D351*$N351,"")</f>
        <v/>
      </c>
      <c r="R351" s="1435" t="str">
        <f aca="false">IF($H351=R$4,$D351*$N351,"")</f>
        <v/>
      </c>
      <c r="S351" s="1435" t="str">
        <f aca="false">IF($H351=S$4,$D351*$N351,"")</f>
        <v/>
      </c>
      <c r="T351" s="1435" t="str">
        <f aca="false">IF($H351=T$4,$D351*$N351,"")</f>
        <v/>
      </c>
      <c r="U351" s="1436" t="str">
        <f aca="false">IF($H351=U$4,$D351*$N351,"")</f>
        <v/>
      </c>
      <c r="V351" s="1472"/>
      <c r="W351" s="1471"/>
      <c r="X351" s="1471"/>
      <c r="Y351" s="1471"/>
      <c r="Z351" s="1471"/>
      <c r="AA351" s="1471"/>
      <c r="AB351" s="1473"/>
      <c r="AC351" s="1319"/>
      <c r="AD351" s="2" t="str">
        <f aca="false">IF(AND(AD$4=$G351,AD$6=$F351),$B351,"")</f>
        <v/>
      </c>
      <c r="AE351" s="2" t="str">
        <f aca="false">IF(AND(AE$4=$G351,AE$6=$F351),$B351,"")</f>
        <v/>
      </c>
      <c r="AF351" s="2" t="str">
        <f aca="false">IF(AND(AF$4=$G351,AF$6=$F351),$B351,"")</f>
        <v/>
      </c>
      <c r="AG351" s="2" t="str">
        <f aca="false">IF(AND(AG$4=$G351,AG$6=$F351),$B351,"")</f>
        <v/>
      </c>
      <c r="AI351" s="366"/>
      <c r="AL351" s="367"/>
      <c r="AO351" s="367"/>
      <c r="AP351" s="2" t="str">
        <f aca="false">IF(AT351&gt;0,RANK(AT351,AT$7:AT$423),"")</f>
        <v/>
      </c>
      <c r="AQ351" s="1475" t="n">
        <f aca="false">'O_MN, PE_UTA_UGM 2024'!C347</f>
        <v>451</v>
      </c>
      <c r="AR351" s="1421" t="n">
        <v>3560</v>
      </c>
      <c r="AS351" s="2" t="str">
        <f aca="false">IF(AY351&lt;&gt;"",AY351,"")</f>
        <v/>
      </c>
      <c r="AT351" s="1422" t="n">
        <f aca="false">IF(ISNUMBER($AR351),SUMIF(B$7:B$505,AR351,D$7:D$505),"")</f>
        <v>0</v>
      </c>
      <c r="AU351" s="1411" t="n">
        <f aca="false">IF(ISNUMBER($AR351),SUMIF(AD$7:AD$503,$AR351,J$7:J$503),"")</f>
        <v>0</v>
      </c>
      <c r="AV351" s="1411" t="n">
        <f aca="false">IF(ISNUMBER($AR351),SUMIF(AF$7:AF$503,$AR351,L$7:L$503),"")</f>
        <v>0</v>
      </c>
      <c r="AW351" s="1423" t="n">
        <f aca="false">IF(ISNUMBER($AR351),SUMIF(AE$7:AE$503,$AR351,K$7:K$503),"")</f>
        <v>0</v>
      </c>
      <c r="AX351" s="1423" t="n">
        <f aca="false">IF(ISNUMBER($AR351),SUMIF(AG$7:AG$503,$AR351,M$7:M$503),"")</f>
        <v>0</v>
      </c>
      <c r="AY351" s="2" t="str">
        <f aca="false">IF($AT351&gt;0,VLOOKUP($AR351,'O_MN, PE_UTA_UGM 2024'!E347:O763,2),"")</f>
        <v/>
      </c>
      <c r="AZ351" s="1507"/>
      <c r="BA351" s="1507"/>
      <c r="BB351" s="1507" t="str">
        <f aca="false">IF($AT351&gt;0,VLOOKUP($AR351,'O_MN, PE_UTA_UGM 2024'!$E$3:$O$419,BB$6),"")</f>
        <v/>
      </c>
      <c r="BC351" s="1507" t="str">
        <f aca="false">IF($AT351&gt;0,VLOOKUP($AR351,'O_MN, PE_UTA_UGM 2024'!$E$3:$O$419,BC$6),"")</f>
        <v/>
      </c>
      <c r="BD351" s="1507" t="str">
        <f aca="false">IF($AT351&gt;0,VLOOKUP($AR351,'O_MN, PE_UTA_UGM 2024'!$E$3:$O$419,BD$6),"")</f>
        <v/>
      </c>
      <c r="BE351" s="1507" t="str">
        <f aca="false">IF($AT351&gt;0,VLOOKUP($AR351,'O_MN, PE_UTA_UGM 2024'!$E$3:$O$419,BE$6),"")</f>
        <v/>
      </c>
      <c r="BF351" s="1507" t="str">
        <f aca="false">IF($AT351&gt;0,VLOOKUP($AR351,'O_MN, PE_UTA_UGM 2024'!$E$3:$O$419,BF$6),"")</f>
        <v/>
      </c>
      <c r="BG351" s="1507" t="str">
        <f aca="false">IF($AT351&gt;0,VLOOKUP($AR351,'O_MN, PE_UTA_UGM 2024'!$E$3:$O$419,BG$6),"")</f>
        <v/>
      </c>
      <c r="BH351" s="1504"/>
      <c r="BI351" s="1504"/>
      <c r="BJ351" s="1504"/>
      <c r="BK351" s="1504"/>
      <c r="BM351" s="1411"/>
      <c r="BN351" s="1411"/>
      <c r="BO351" s="1425" t="str">
        <f aca="false">IF(ISNUMBER($AU351*BB351*1),$AU351*BB351*1,"")</f>
        <v/>
      </c>
      <c r="BP351" s="1425" t="str">
        <f aca="false">IF(ISNUMBER($AV351*BC351*1),$AV351*BC351*1,"")</f>
        <v/>
      </c>
      <c r="BQ351" s="1425" t="str">
        <f aca="false">IF(ISNUMBER($AU351*BD351*1),$AU351*BD351*1,"")</f>
        <v/>
      </c>
      <c r="BR351" s="1425" t="str">
        <f aca="false">IF(ISNUMBER($AV351*BE351*1),$AV351*BE351*1,"")</f>
        <v/>
      </c>
      <c r="BS351" s="1411" t="str">
        <f aca="false">IF(ISNUMBER($AU351*BF351),$AU351*BF351,"")</f>
        <v/>
      </c>
      <c r="BT351" s="1411" t="str">
        <f aca="false">IF(ISNUMBER($AV351*BG351),$AV351*BG351,"")</f>
        <v/>
      </c>
      <c r="BU351" s="1411"/>
      <c r="BV351" s="1411"/>
      <c r="BW351" s="1411"/>
      <c r="BX351" s="1411"/>
      <c r="BZ351" s="1372"/>
      <c r="CA351" s="1372"/>
      <c r="CB351" s="1426" t="str">
        <f aca="false">IF(ISNUMBER($AW351*BB351),$AW351*BB351,"")</f>
        <v/>
      </c>
      <c r="CC351" s="1426" t="str">
        <f aca="false">IF(ISNUMBER($AX351*BC351),$AX351*BC351,"")</f>
        <v/>
      </c>
      <c r="CD351" s="1426" t="str">
        <f aca="false">IF(ISNUMBER($AW351*BD351),$AW351*BD351,"")</f>
        <v/>
      </c>
      <c r="CE351" s="1426" t="str">
        <f aca="false">IF(ISNUMBER($AX351*BE351),$AX351*BE351,"")</f>
        <v/>
      </c>
      <c r="CF351" s="1372" t="str">
        <f aca="false">IF(ISNUMBER($AW351*BF351),$AW351*BF351,"")</f>
        <v/>
      </c>
      <c r="CG351" s="1372" t="str">
        <f aca="false">IF(ISNUMBER($AX351*BG351),$AX351*BG351,"")</f>
        <v/>
      </c>
      <c r="CH351" s="1438"/>
      <c r="CI351" s="1438"/>
      <c r="CJ351" s="1438"/>
      <c r="CK351" s="1438"/>
      <c r="CU351" s="1411"/>
      <c r="CV351" s="1411"/>
      <c r="CW351" s="1425"/>
      <c r="CX351" s="1425"/>
      <c r="CY351" s="1425"/>
      <c r="CZ351" s="1425"/>
      <c r="DA351" s="1411"/>
      <c r="DB351" s="1411"/>
      <c r="DC351" s="1411"/>
      <c r="DD351" s="1411"/>
      <c r="DE351" s="1411"/>
      <c r="DF351" s="1411"/>
      <c r="DH351" s="1432"/>
      <c r="DI351" s="1432"/>
      <c r="DJ351" s="1437"/>
      <c r="DK351" s="1437"/>
      <c r="DL351" s="1437"/>
      <c r="DM351" s="1437"/>
      <c r="DN351" s="1432"/>
      <c r="DO351" s="1432"/>
      <c r="DP351" s="1432"/>
      <c r="DQ351" s="1432"/>
      <c r="DR351" s="1432"/>
      <c r="DS351" s="1432"/>
      <c r="DT351" s="1316"/>
      <c r="DU351" s="1433"/>
      <c r="DV351" s="1433"/>
      <c r="DW351" s="1433"/>
      <c r="DX351" s="1433"/>
      <c r="DY351" s="1433"/>
      <c r="DZ351" s="1433"/>
      <c r="EA351" s="1433"/>
      <c r="EB351" s="1433"/>
    </row>
    <row r="352" customFormat="false" ht="14.25" hidden="false" customHeight="false" outlineLevel="0" collapsed="false">
      <c r="A352" s="2" t="n">
        <f aca="false">'V_DATOS PAC_SGA'!CC347</f>
        <v>0</v>
      </c>
      <c r="B352" s="2" t="n">
        <f aca="false">IF(OR(A352=0,A352=""),0,IF(I352="IV",CONCATENATE('V_DATOS PAC_SGA'!CC347,"4")+0,CONCATENATE('V_DATOS PAC_SGA'!CC347,"0")+0))</f>
        <v>0</v>
      </c>
      <c r="C352" s="2" t="n">
        <f aca="false">'V_DATOS PAC_SGA'!CD347</f>
        <v>0</v>
      </c>
      <c r="D352" s="1409" t="n">
        <f aca="false">'V_DATOS PAC_SGA'!Y347</f>
        <v>0</v>
      </c>
      <c r="E352" s="1410" t="str">
        <f aca="false">IF('V_DATOS PAC_SGA'!AV347="","Regadio",'V_DATOS PAC_SGA'!AV347)</f>
        <v>Regadio</v>
      </c>
      <c r="F352" s="1411" t="n">
        <f aca="false">'V_DATOS PAC_SGA'!BK347</f>
        <v>0</v>
      </c>
      <c r="G352" s="1412" t="n">
        <f aca="false">'V_DATOS PAC_SGA'!AN347</f>
        <v>0</v>
      </c>
      <c r="H352" s="1413" t="str">
        <f aca="false">IF(B352&gt;0,VLOOKUP(B352,'O_MN, PE_UTA_UGM 2024'!E$3:O$419,10),"")</f>
        <v/>
      </c>
      <c r="I352" s="1359" t="str">
        <f aca="false">IF('V_DATOS PAC_SGA'!BV347="IV",'V_DATOS PAC_SGA'!BV347,"")</f>
        <v/>
      </c>
      <c r="J352" s="2" t="str">
        <f aca="false">IF($A352&gt;0,IF(AND(J$4=$G352,J$6=$F352),$D352*J$5,""),"")</f>
        <v/>
      </c>
      <c r="K352" s="2" t="str">
        <f aca="false">IF($A352&gt;0,IF(AND(K$4=$G352,K$6=$F352),$D352*K$5,""),"")</f>
        <v/>
      </c>
      <c r="L352" s="2" t="str">
        <f aca="false">IF($A352&gt;0,IF(AND(L$4=$G352,L$6=$F352),$D352*L$5,""),"")</f>
        <v/>
      </c>
      <c r="M352" s="2" t="str">
        <f aca="false">IF($A352&gt;0,IF(AND(M$4=$G352,M$6=$F352),$D352*M$5,""),"")</f>
        <v/>
      </c>
      <c r="N352" s="1506" t="n">
        <f aca="false">VLOOKUP(B352,'O_MN, PE_UTA_UGM 2024'!$E$2:$K$419,IF(G352&gt;1,6,7))</f>
        <v>0</v>
      </c>
      <c r="O352" s="1434" t="str">
        <f aca="false">IF($H352=O$4,$D352*$N352,"")</f>
        <v/>
      </c>
      <c r="P352" s="1435" t="str">
        <f aca="false">IF($H352=P$4,$D352*$N352,"")</f>
        <v/>
      </c>
      <c r="Q352" s="1435" t="str">
        <f aca="false">IF($H352=Q$4,$D352*$N352,"")</f>
        <v/>
      </c>
      <c r="R352" s="1435" t="str">
        <f aca="false">IF($H352=R$4,$D352*$N352,"")</f>
        <v/>
      </c>
      <c r="S352" s="1435" t="str">
        <f aca="false">IF($H352=S$4,$D352*$N352,"")</f>
        <v/>
      </c>
      <c r="T352" s="1435" t="str">
        <f aca="false">IF($H352=T$4,$D352*$N352,"")</f>
        <v/>
      </c>
      <c r="U352" s="1436" t="str">
        <f aca="false">IF($H352=U$4,$D352*$N352,"")</f>
        <v/>
      </c>
      <c r="V352" s="1472"/>
      <c r="W352" s="1471"/>
      <c r="X352" s="1471"/>
      <c r="Y352" s="1471"/>
      <c r="Z352" s="1471"/>
      <c r="AA352" s="1471"/>
      <c r="AB352" s="1473"/>
      <c r="AC352" s="1319"/>
      <c r="AD352" s="2" t="str">
        <f aca="false">IF(AND(AD$4=$G352,AD$6=$F352),$B352,"")</f>
        <v/>
      </c>
      <c r="AE352" s="2" t="str">
        <f aca="false">IF(AND(AE$4=$G352,AE$6=$F352),$B352,"")</f>
        <v/>
      </c>
      <c r="AF352" s="2" t="str">
        <f aca="false">IF(AND(AF$4=$G352,AF$6=$F352),$B352,"")</f>
        <v/>
      </c>
      <c r="AG352" s="2" t="str">
        <f aca="false">IF(AND(AG$4=$G352,AG$6=$F352),$B352,"")</f>
        <v/>
      </c>
      <c r="AI352" s="366"/>
      <c r="AL352" s="367"/>
      <c r="AO352" s="367"/>
      <c r="AP352" s="2" t="str">
        <f aca="false">IF(AT352&gt;0,RANK(AT352,AT$7:AT$423),"")</f>
        <v/>
      </c>
      <c r="AQ352" s="1475" t="n">
        <f aca="false">'O_MN, PE_UTA_UGM 2024'!C349</f>
        <v>453</v>
      </c>
      <c r="AR352" s="1421" t="n">
        <v>3590</v>
      </c>
      <c r="AS352" s="2" t="str">
        <f aca="false">IF(AY352&lt;&gt;"",AY352,"")</f>
        <v/>
      </c>
      <c r="AT352" s="1422" t="n">
        <f aca="false">IF(ISNUMBER($AR352),SUMIF(B$7:B$505,AR352,D$7:D$505),"")</f>
        <v>0</v>
      </c>
      <c r="AU352" s="1411" t="n">
        <f aca="false">IF(ISNUMBER($AR352),SUMIF(AD$7:AD$503,$AR352,J$7:J$503),"")</f>
        <v>0</v>
      </c>
      <c r="AV352" s="1411" t="n">
        <f aca="false">IF(ISNUMBER($AR352),SUMIF(AF$7:AF$503,$AR352,L$7:L$503),"")</f>
        <v>0</v>
      </c>
      <c r="AW352" s="1423" t="n">
        <f aca="false">IF(ISNUMBER($AR352),SUMIF(AE$7:AE$503,$AR352,K$7:K$503),"")</f>
        <v>0</v>
      </c>
      <c r="AX352" s="1423" t="n">
        <f aca="false">IF(ISNUMBER($AR352),SUMIF(AG$7:AG$503,$AR352,M$7:M$503),"")</f>
        <v>0</v>
      </c>
      <c r="AY352" s="2" t="str">
        <f aca="false">IF($AT352&gt;0,VLOOKUP($AR352,'O_MN, PE_UTA_UGM 2024'!E349:O764,2),"")</f>
        <v/>
      </c>
      <c r="AZ352" s="1507"/>
      <c r="BA352" s="1507"/>
      <c r="BB352" s="1507" t="str">
        <f aca="false">IF($AT352&gt;0,VLOOKUP($AR352,'O_MN, PE_UTA_UGM 2024'!$E$3:$O$419,BB$6),"")</f>
        <v/>
      </c>
      <c r="BC352" s="1507" t="str">
        <f aca="false">IF($AT352&gt;0,VLOOKUP($AR352,'O_MN, PE_UTA_UGM 2024'!$E$3:$O$419,BC$6),"")</f>
        <v/>
      </c>
      <c r="BD352" s="1507" t="str">
        <f aca="false">IF($AT352&gt;0,VLOOKUP($AR352,'O_MN, PE_UTA_UGM 2024'!$E$3:$O$419,BD$6),"")</f>
        <v/>
      </c>
      <c r="BE352" s="1507" t="str">
        <f aca="false">IF($AT352&gt;0,VLOOKUP($AR352,'O_MN, PE_UTA_UGM 2024'!$E$3:$O$419,BE$6),"")</f>
        <v/>
      </c>
      <c r="BF352" s="1507" t="str">
        <f aca="false">IF($AT352&gt;0,VLOOKUP($AR352,'O_MN, PE_UTA_UGM 2024'!$E$3:$O$419,BF$6),"")</f>
        <v/>
      </c>
      <c r="BG352" s="1507" t="str">
        <f aca="false">IF($AT352&gt;0,VLOOKUP($AR352,'O_MN, PE_UTA_UGM 2024'!$E$3:$O$419,BG$6),"")</f>
        <v/>
      </c>
      <c r="BH352" s="1504"/>
      <c r="BI352" s="1504"/>
      <c r="BJ352" s="1504"/>
      <c r="BK352" s="1504"/>
      <c r="BM352" s="1411"/>
      <c r="BN352" s="1411"/>
      <c r="BO352" s="1425" t="str">
        <f aca="false">IF(ISNUMBER($AU352*BB352*1),$AU352*BB352*1,"")</f>
        <v/>
      </c>
      <c r="BP352" s="1425" t="str">
        <f aca="false">IF(ISNUMBER($AV352*BC352*1),$AV352*BC352*1,"")</f>
        <v/>
      </c>
      <c r="BQ352" s="1425" t="str">
        <f aca="false">IF(ISNUMBER($AU352*BD352*1),$AU352*BD352*1,"")</f>
        <v/>
      </c>
      <c r="BR352" s="1425" t="str">
        <f aca="false">IF(ISNUMBER($AV352*BE352*1),$AV352*BE352*1,"")</f>
        <v/>
      </c>
      <c r="BS352" s="1411" t="str">
        <f aca="false">IF(ISNUMBER($AU352*BF352),$AU352*BF352,"")</f>
        <v/>
      </c>
      <c r="BT352" s="1411" t="str">
        <f aca="false">IF(ISNUMBER($AV352*BG352),$AV352*BG352,"")</f>
        <v/>
      </c>
      <c r="BU352" s="1411"/>
      <c r="BV352" s="1411"/>
      <c r="BW352" s="1411"/>
      <c r="BX352" s="1411"/>
      <c r="BZ352" s="1372"/>
      <c r="CA352" s="1372"/>
      <c r="CB352" s="1426" t="str">
        <f aca="false">IF(ISNUMBER($AW352*BB352),$AW352*BB352,"")</f>
        <v/>
      </c>
      <c r="CC352" s="1426" t="str">
        <f aca="false">IF(ISNUMBER($AX352*BC352),$AX352*BC352,"")</f>
        <v/>
      </c>
      <c r="CD352" s="1426" t="str">
        <f aca="false">IF(ISNUMBER($AW352*BD352),$AW352*BD352,"")</f>
        <v/>
      </c>
      <c r="CE352" s="1426" t="str">
        <f aca="false">IF(ISNUMBER($AX352*BE352),$AX352*BE352,"")</f>
        <v/>
      </c>
      <c r="CF352" s="1372" t="str">
        <f aca="false">IF(ISNUMBER($AW352*BF352),$AW352*BF352,"")</f>
        <v/>
      </c>
      <c r="CG352" s="1372" t="str">
        <f aca="false">IF(ISNUMBER($AX352*BG352),$AX352*BG352,"")</f>
        <v/>
      </c>
      <c r="CH352" s="1438"/>
      <c r="CI352" s="1438"/>
      <c r="CJ352" s="1438"/>
      <c r="CK352" s="1438"/>
      <c r="CU352" s="1411"/>
      <c r="CV352" s="1411"/>
      <c r="CW352" s="1425"/>
      <c r="CX352" s="1425"/>
      <c r="CY352" s="1425"/>
      <c r="CZ352" s="1425"/>
      <c r="DA352" s="1411"/>
      <c r="DB352" s="1411"/>
      <c r="DC352" s="1411"/>
      <c r="DD352" s="1411"/>
      <c r="DE352" s="1411"/>
      <c r="DF352" s="1411"/>
      <c r="DH352" s="1432"/>
      <c r="DI352" s="1432"/>
      <c r="DJ352" s="1437"/>
      <c r="DK352" s="1437"/>
      <c r="DL352" s="1437"/>
      <c r="DM352" s="1437"/>
      <c r="DN352" s="1432"/>
      <c r="DO352" s="1432"/>
      <c r="DP352" s="1432"/>
      <c r="DQ352" s="1432"/>
      <c r="DR352" s="1432"/>
      <c r="DS352" s="1432"/>
      <c r="DT352" s="1316"/>
      <c r="DU352" s="1433"/>
      <c r="DV352" s="1433"/>
      <c r="DW352" s="1433"/>
      <c r="DX352" s="1433"/>
      <c r="DY352" s="1433"/>
      <c r="DZ352" s="1433"/>
      <c r="EA352" s="1433"/>
      <c r="EB352" s="1433"/>
    </row>
    <row r="353" customFormat="false" ht="14.25" hidden="false" customHeight="false" outlineLevel="0" collapsed="false">
      <c r="A353" s="2" t="n">
        <f aca="false">'V_DATOS PAC_SGA'!CC348</f>
        <v>0</v>
      </c>
      <c r="B353" s="2" t="n">
        <f aca="false">IF(OR(A353=0,A353=""),0,IF(I353="IV",CONCATENATE('V_DATOS PAC_SGA'!CC348,"4")+0,CONCATENATE('V_DATOS PAC_SGA'!CC348,"0")+0))</f>
        <v>0</v>
      </c>
      <c r="C353" s="2" t="n">
        <f aca="false">'V_DATOS PAC_SGA'!CD348</f>
        <v>0</v>
      </c>
      <c r="D353" s="1409" t="n">
        <f aca="false">'V_DATOS PAC_SGA'!Y348</f>
        <v>0</v>
      </c>
      <c r="E353" s="1410" t="str">
        <f aca="false">IF('V_DATOS PAC_SGA'!AV348="","Regadio",'V_DATOS PAC_SGA'!AV348)</f>
        <v>Regadio</v>
      </c>
      <c r="F353" s="1411" t="n">
        <f aca="false">'V_DATOS PAC_SGA'!BK348</f>
        <v>0</v>
      </c>
      <c r="G353" s="1412" t="n">
        <f aca="false">'V_DATOS PAC_SGA'!AN348</f>
        <v>0</v>
      </c>
      <c r="H353" s="1413" t="str">
        <f aca="false">IF(B353&gt;0,VLOOKUP(B353,'O_MN, PE_UTA_UGM 2024'!E$3:O$419,10),"")</f>
        <v/>
      </c>
      <c r="I353" s="1359" t="str">
        <f aca="false">IF('V_DATOS PAC_SGA'!BV348="IV",'V_DATOS PAC_SGA'!BV348,"")</f>
        <v/>
      </c>
      <c r="J353" s="2" t="str">
        <f aca="false">IF($A353&gt;0,IF(AND(J$4=$G353,J$6=$F353),$D353*J$5,""),"")</f>
        <v/>
      </c>
      <c r="K353" s="2" t="str">
        <f aca="false">IF($A353&gt;0,IF(AND(K$4=$G353,K$6=$F353),$D353*K$5,""),"")</f>
        <v/>
      </c>
      <c r="L353" s="2" t="str">
        <f aca="false">IF($A353&gt;0,IF(AND(L$4=$G353,L$6=$F353),$D353*L$5,""),"")</f>
        <v/>
      </c>
      <c r="M353" s="2" t="str">
        <f aca="false">IF($A353&gt;0,IF(AND(M$4=$G353,M$6=$F353),$D353*M$5,""),"")</f>
        <v/>
      </c>
      <c r="N353" s="1506" t="n">
        <f aca="false">VLOOKUP(B353,'O_MN, PE_UTA_UGM 2024'!$E$2:$K$419,IF(G353&gt;1,6,7))</f>
        <v>0</v>
      </c>
      <c r="O353" s="1434" t="str">
        <f aca="false">IF($H353=O$4,$D353*$N353,"")</f>
        <v/>
      </c>
      <c r="P353" s="1435" t="str">
        <f aca="false">IF($H353=P$4,$D353*$N353,"")</f>
        <v/>
      </c>
      <c r="Q353" s="1435" t="str">
        <f aca="false">IF($H353=Q$4,$D353*$N353,"")</f>
        <v/>
      </c>
      <c r="R353" s="1435" t="str">
        <f aca="false">IF($H353=R$4,$D353*$N353,"")</f>
        <v/>
      </c>
      <c r="S353" s="1435" t="str">
        <f aca="false">IF($H353=S$4,$D353*$N353,"")</f>
        <v/>
      </c>
      <c r="T353" s="1435" t="str">
        <f aca="false">IF($H353=T$4,$D353*$N353,"")</f>
        <v/>
      </c>
      <c r="U353" s="1436" t="str">
        <f aca="false">IF($H353=U$4,$D353*$N353,"")</f>
        <v/>
      </c>
      <c r="V353" s="1472"/>
      <c r="W353" s="1471"/>
      <c r="X353" s="1471"/>
      <c r="Y353" s="1471"/>
      <c r="Z353" s="1471"/>
      <c r="AA353" s="1471"/>
      <c r="AB353" s="1473"/>
      <c r="AC353" s="1319"/>
      <c r="AD353" s="2" t="str">
        <f aca="false">IF(AND(AD$4=$G353,AD$6=$F353),$B353,"")</f>
        <v/>
      </c>
      <c r="AE353" s="2" t="str">
        <f aca="false">IF(AND(AE$4=$G353,AE$6=$F353),$B353,"")</f>
        <v/>
      </c>
      <c r="AF353" s="2" t="str">
        <f aca="false">IF(AND(AF$4=$G353,AF$6=$F353),$B353,"")</f>
        <v/>
      </c>
      <c r="AG353" s="2" t="str">
        <f aca="false">IF(AND(AG$4=$G353,AG$6=$F353),$B353,"")</f>
        <v/>
      </c>
      <c r="AI353" s="366"/>
      <c r="AL353" s="367"/>
      <c r="AO353" s="367"/>
      <c r="AP353" s="2" t="str">
        <f aca="false">IF(AT353&gt;0,RANK(AT353,AT$7:AT$423),"")</f>
        <v/>
      </c>
      <c r="AQ353" s="1475" t="n">
        <f aca="false">'O_MN, PE_UTA_UGM 2024'!C350</f>
        <v>454</v>
      </c>
      <c r="AR353" s="1421" t="n">
        <v>3900</v>
      </c>
      <c r="AS353" s="2" t="str">
        <f aca="false">IF(AY353&lt;&gt;"",AY353,"")</f>
        <v/>
      </c>
      <c r="AT353" s="1422" t="n">
        <f aca="false">IF(ISNUMBER($AR353),SUMIF(B$7:B$505,AR353,D$7:D$505),"")</f>
        <v>0</v>
      </c>
      <c r="AU353" s="1411" t="n">
        <f aca="false">IF(ISNUMBER($AR353),SUMIF(AD$7:AD$503,$AR353,J$7:J$503),"")</f>
        <v>0</v>
      </c>
      <c r="AV353" s="1411" t="n">
        <f aca="false">IF(ISNUMBER($AR353),SUMIF(AF$7:AF$503,$AR353,L$7:L$503),"")</f>
        <v>0</v>
      </c>
      <c r="AW353" s="1423" t="n">
        <f aca="false">IF(ISNUMBER($AR353),SUMIF(AE$7:AE$503,$AR353,K$7:K$503),"")</f>
        <v>0</v>
      </c>
      <c r="AX353" s="1423" t="n">
        <f aca="false">IF(ISNUMBER($AR353),SUMIF(AG$7:AG$503,$AR353,M$7:M$503),"")</f>
        <v>0</v>
      </c>
      <c r="AY353" s="2" t="str">
        <f aca="false">IF($AT353&gt;0,VLOOKUP($AR353,'O_MN, PE_UTA_UGM 2024'!E350:O765,2),"")</f>
        <v/>
      </c>
      <c r="AZ353" s="1507"/>
      <c r="BA353" s="1507"/>
      <c r="BB353" s="1507" t="str">
        <f aca="false">IF($AT353&gt;0,VLOOKUP($AR353,'O_MN, PE_UTA_UGM 2024'!$E$3:$O$419,BB$6),"")</f>
        <v/>
      </c>
      <c r="BC353" s="1507" t="str">
        <f aca="false">IF($AT353&gt;0,VLOOKUP($AR353,'O_MN, PE_UTA_UGM 2024'!$E$3:$O$419,BC$6),"")</f>
        <v/>
      </c>
      <c r="BD353" s="1507" t="str">
        <f aca="false">IF($AT353&gt;0,VLOOKUP($AR353,'O_MN, PE_UTA_UGM 2024'!$E$3:$O$419,BD$6),"")</f>
        <v/>
      </c>
      <c r="BE353" s="1507" t="str">
        <f aca="false">IF($AT353&gt;0,VLOOKUP($AR353,'O_MN, PE_UTA_UGM 2024'!$E$3:$O$419,BE$6),"")</f>
        <v/>
      </c>
      <c r="BF353" s="1507" t="str">
        <f aca="false">IF($AT353&gt;0,VLOOKUP($AR353,'O_MN, PE_UTA_UGM 2024'!$E$3:$O$419,BF$6),"")</f>
        <v/>
      </c>
      <c r="BG353" s="1507" t="str">
        <f aca="false">IF($AT353&gt;0,VLOOKUP($AR353,'O_MN, PE_UTA_UGM 2024'!$E$3:$O$419,BG$6),"")</f>
        <v/>
      </c>
      <c r="BH353" s="1504"/>
      <c r="BI353" s="1504"/>
      <c r="BJ353" s="1504"/>
      <c r="BK353" s="1504"/>
      <c r="BM353" s="1411"/>
      <c r="BN353" s="1411"/>
      <c r="BO353" s="1425" t="str">
        <f aca="false">IF(ISNUMBER($AU353*BB353*1),$AU353*BB353*1,"")</f>
        <v/>
      </c>
      <c r="BP353" s="1425" t="str">
        <f aca="false">IF(ISNUMBER($AV353*BC353*1),$AV353*BC353*1,"")</f>
        <v/>
      </c>
      <c r="BQ353" s="1425" t="str">
        <f aca="false">IF(ISNUMBER($AU353*BD353*1),$AU353*BD353*1,"")</f>
        <v/>
      </c>
      <c r="BR353" s="1425" t="str">
        <f aca="false">IF(ISNUMBER($AV353*BE353*1),$AV353*BE353*1,"")</f>
        <v/>
      </c>
      <c r="BS353" s="1411" t="str">
        <f aca="false">IF(ISNUMBER($AU353*BF353),$AU353*BF353,"")</f>
        <v/>
      </c>
      <c r="BT353" s="1411" t="str">
        <f aca="false">IF(ISNUMBER($AV353*BG353),$AV353*BG353,"")</f>
        <v/>
      </c>
      <c r="BU353" s="1411"/>
      <c r="BV353" s="1411"/>
      <c r="BW353" s="1411"/>
      <c r="BX353" s="1411"/>
      <c r="BZ353" s="1372"/>
      <c r="CA353" s="1372"/>
      <c r="CB353" s="1426" t="str">
        <f aca="false">IF(ISNUMBER($AW353*BB353),$AW353*BB353,"")</f>
        <v/>
      </c>
      <c r="CC353" s="1426" t="str">
        <f aca="false">IF(ISNUMBER($AX353*BC353),$AX353*BC353,"")</f>
        <v/>
      </c>
      <c r="CD353" s="1426" t="str">
        <f aca="false">IF(ISNUMBER($AW353*BD353),$AW353*BD353,"")</f>
        <v/>
      </c>
      <c r="CE353" s="1426" t="str">
        <f aca="false">IF(ISNUMBER($AX353*BE353),$AX353*BE353,"")</f>
        <v/>
      </c>
      <c r="CF353" s="1372" t="str">
        <f aca="false">IF(ISNUMBER($AW353*BF353),$AW353*BF353,"")</f>
        <v/>
      </c>
      <c r="CG353" s="1372" t="str">
        <f aca="false">IF(ISNUMBER($AX353*BG353),$AX353*BG353,"")</f>
        <v/>
      </c>
      <c r="CH353" s="1438"/>
      <c r="CI353" s="1438"/>
      <c r="CJ353" s="1438"/>
      <c r="CK353" s="1438"/>
      <c r="CU353" s="1411"/>
      <c r="CV353" s="1411"/>
      <c r="CW353" s="1425"/>
      <c r="CX353" s="1425"/>
      <c r="CY353" s="1425"/>
      <c r="CZ353" s="1425"/>
      <c r="DA353" s="1411"/>
      <c r="DB353" s="1411"/>
      <c r="DC353" s="1411"/>
      <c r="DD353" s="1411"/>
      <c r="DE353" s="1411"/>
      <c r="DF353" s="1411"/>
      <c r="DH353" s="1432"/>
      <c r="DI353" s="1432"/>
      <c r="DJ353" s="1437"/>
      <c r="DK353" s="1437"/>
      <c r="DL353" s="1437"/>
      <c r="DM353" s="1437"/>
      <c r="DN353" s="1432"/>
      <c r="DO353" s="1432"/>
      <c r="DP353" s="1432"/>
      <c r="DQ353" s="1432"/>
      <c r="DR353" s="1432"/>
      <c r="DS353" s="1432"/>
      <c r="DT353" s="1316"/>
      <c r="DU353" s="1433"/>
      <c r="DV353" s="1433"/>
      <c r="DW353" s="1433"/>
      <c r="DX353" s="1433"/>
      <c r="DY353" s="1433"/>
      <c r="DZ353" s="1433"/>
      <c r="EA353" s="1433"/>
      <c r="EB353" s="1433"/>
    </row>
    <row r="354" customFormat="false" ht="14.25" hidden="false" customHeight="false" outlineLevel="0" collapsed="false">
      <c r="A354" s="2" t="n">
        <f aca="false">'V_DATOS PAC_SGA'!CC349</f>
        <v>0</v>
      </c>
      <c r="B354" s="2" t="n">
        <f aca="false">IF(OR(A354=0,A354=""),0,IF(I354="IV",CONCATENATE('V_DATOS PAC_SGA'!CC349,"4")+0,CONCATENATE('V_DATOS PAC_SGA'!CC349,"0")+0))</f>
        <v>0</v>
      </c>
      <c r="C354" s="2" t="n">
        <f aca="false">'V_DATOS PAC_SGA'!CD349</f>
        <v>0</v>
      </c>
      <c r="D354" s="1409" t="n">
        <f aca="false">'V_DATOS PAC_SGA'!Y349</f>
        <v>0</v>
      </c>
      <c r="E354" s="1410" t="str">
        <f aca="false">IF('V_DATOS PAC_SGA'!AV349="","Regadio",'V_DATOS PAC_SGA'!AV349)</f>
        <v>Regadio</v>
      </c>
      <c r="F354" s="1411" t="n">
        <f aca="false">'V_DATOS PAC_SGA'!BK349</f>
        <v>0</v>
      </c>
      <c r="G354" s="1412" t="n">
        <f aca="false">'V_DATOS PAC_SGA'!AN349</f>
        <v>0</v>
      </c>
      <c r="H354" s="1413" t="str">
        <f aca="false">IF(B354&gt;0,VLOOKUP(B354,'O_MN, PE_UTA_UGM 2024'!E$3:O$419,10),"")</f>
        <v/>
      </c>
      <c r="I354" s="1359" t="str">
        <f aca="false">IF('V_DATOS PAC_SGA'!BV349="IV",'V_DATOS PAC_SGA'!BV349,"")</f>
        <v/>
      </c>
      <c r="J354" s="2" t="str">
        <f aca="false">IF($A354&gt;0,IF(AND(J$4=$G354,J$6=$F354),$D354*J$5,""),"")</f>
        <v/>
      </c>
      <c r="K354" s="2" t="str">
        <f aca="false">IF($A354&gt;0,IF(AND(K$4=$G354,K$6=$F354),$D354*K$5,""),"")</f>
        <v/>
      </c>
      <c r="L354" s="2" t="str">
        <f aca="false">IF($A354&gt;0,IF(AND(L$4=$G354,L$6=$F354),$D354*L$5,""),"")</f>
        <v/>
      </c>
      <c r="M354" s="2" t="str">
        <f aca="false">IF($A354&gt;0,IF(AND(M$4=$G354,M$6=$F354),$D354*M$5,""),"")</f>
        <v/>
      </c>
      <c r="N354" s="1506" t="n">
        <f aca="false">VLOOKUP(B354,'O_MN, PE_UTA_UGM 2024'!$E$2:$K$419,IF(G354&gt;1,6,7))</f>
        <v>0</v>
      </c>
      <c r="O354" s="1434" t="str">
        <f aca="false">IF($H354=O$4,$D354*$N354,"")</f>
        <v/>
      </c>
      <c r="P354" s="1435" t="str">
        <f aca="false">IF($H354=P$4,$D354*$N354,"")</f>
        <v/>
      </c>
      <c r="Q354" s="1435" t="str">
        <f aca="false">IF($H354=Q$4,$D354*$N354,"")</f>
        <v/>
      </c>
      <c r="R354" s="1435" t="str">
        <f aca="false">IF($H354=R$4,$D354*$N354,"")</f>
        <v/>
      </c>
      <c r="S354" s="1435" t="str">
        <f aca="false">IF($H354=S$4,$D354*$N354,"")</f>
        <v/>
      </c>
      <c r="T354" s="1435" t="str">
        <f aca="false">IF($H354=T$4,$D354*$N354,"")</f>
        <v/>
      </c>
      <c r="U354" s="1436" t="str">
        <f aca="false">IF($H354=U$4,$D354*$N354,"")</f>
        <v/>
      </c>
      <c r="V354" s="1472"/>
      <c r="W354" s="1471"/>
      <c r="X354" s="1471"/>
      <c r="Y354" s="1471"/>
      <c r="Z354" s="1471"/>
      <c r="AA354" s="1471"/>
      <c r="AB354" s="1473"/>
      <c r="AC354" s="1319"/>
      <c r="AD354" s="2" t="str">
        <f aca="false">IF(AND(AD$4=$G354,AD$6=$F354),$B354,"")</f>
        <v/>
      </c>
      <c r="AE354" s="2" t="str">
        <f aca="false">IF(AND(AE$4=$G354,AE$6=$F354),$B354,"")</f>
        <v/>
      </c>
      <c r="AF354" s="2" t="str">
        <f aca="false">IF(AND(AF$4=$G354,AF$6=$F354),$B354,"")</f>
        <v/>
      </c>
      <c r="AG354" s="2" t="str">
        <f aca="false">IF(AND(AG$4=$G354,AG$6=$F354),$B354,"")</f>
        <v/>
      </c>
      <c r="AI354" s="366"/>
      <c r="AL354" s="367"/>
      <c r="AO354" s="367"/>
      <c r="AP354" s="2" t="str">
        <f aca="false">IF(AT354&gt;0,RANK(AT354,AT$7:AT$423),"")</f>
        <v/>
      </c>
      <c r="AQ354" s="1475" t="n">
        <f aca="false">'O_MN, PE_UTA_UGM 2024'!C351</f>
        <v>455</v>
      </c>
      <c r="AR354" s="1421" t="n">
        <v>3920</v>
      </c>
      <c r="AS354" s="2" t="str">
        <f aca="false">IF(AY354&lt;&gt;"",AY354,"")</f>
        <v/>
      </c>
      <c r="AT354" s="1422" t="n">
        <f aca="false">IF(ISNUMBER($AR354),SUMIF(B$7:B$505,AR354,D$7:D$505),"")</f>
        <v>0</v>
      </c>
      <c r="AU354" s="1411" t="n">
        <f aca="false">IF(ISNUMBER($AR354),SUMIF(AD$7:AD$503,$AR354,J$7:J$503),"")</f>
        <v>0</v>
      </c>
      <c r="AV354" s="1411" t="n">
        <f aca="false">IF(ISNUMBER($AR354),SUMIF(AF$7:AF$503,$AR354,L$7:L$503),"")</f>
        <v>0</v>
      </c>
      <c r="AW354" s="1423" t="n">
        <f aca="false">IF(ISNUMBER($AR354),SUMIF(AE$7:AE$503,$AR354,K$7:K$503),"")</f>
        <v>0</v>
      </c>
      <c r="AX354" s="1423" t="n">
        <f aca="false">IF(ISNUMBER($AR354),SUMIF(AG$7:AG$503,$AR354,M$7:M$503),"")</f>
        <v>0</v>
      </c>
      <c r="AY354" s="2" t="str">
        <f aca="false">IF($AT354&gt;0,VLOOKUP($AR354,'O_MN, PE_UTA_UGM 2024'!E351:O766,2),"")</f>
        <v/>
      </c>
      <c r="AZ354" s="1507"/>
      <c r="BA354" s="1507"/>
      <c r="BB354" s="1507" t="str">
        <f aca="false">IF($AT354&gt;0,VLOOKUP($AR354,'O_MN, PE_UTA_UGM 2024'!$E$3:$O$419,BB$6),"")</f>
        <v/>
      </c>
      <c r="BC354" s="1507" t="str">
        <f aca="false">IF($AT354&gt;0,VLOOKUP($AR354,'O_MN, PE_UTA_UGM 2024'!$E$3:$O$419,BC$6),"")</f>
        <v/>
      </c>
      <c r="BD354" s="1507" t="str">
        <f aca="false">IF($AT354&gt;0,VLOOKUP($AR354,'O_MN, PE_UTA_UGM 2024'!$E$3:$O$419,BD$6),"")</f>
        <v/>
      </c>
      <c r="BE354" s="1507" t="str">
        <f aca="false">IF($AT354&gt;0,VLOOKUP($AR354,'O_MN, PE_UTA_UGM 2024'!$E$3:$O$419,BE$6),"")</f>
        <v/>
      </c>
      <c r="BF354" s="1507" t="str">
        <f aca="false">IF($AT354&gt;0,VLOOKUP($AR354,'O_MN, PE_UTA_UGM 2024'!$E$3:$O$419,BF$6),"")</f>
        <v/>
      </c>
      <c r="BG354" s="1507" t="str">
        <f aca="false">IF($AT354&gt;0,VLOOKUP($AR354,'O_MN, PE_UTA_UGM 2024'!$E$3:$O$419,BG$6),"")</f>
        <v/>
      </c>
      <c r="BH354" s="1504"/>
      <c r="BI354" s="1504"/>
      <c r="BJ354" s="1504"/>
      <c r="BK354" s="1504"/>
      <c r="BM354" s="1411"/>
      <c r="BN354" s="1411"/>
      <c r="BO354" s="1425" t="str">
        <f aca="false">IF(ISNUMBER($AU354*BB354*1),$AU354*BB354*1,"")</f>
        <v/>
      </c>
      <c r="BP354" s="1425" t="str">
        <f aca="false">IF(ISNUMBER($AV354*BC354*1),$AV354*BC354*1,"")</f>
        <v/>
      </c>
      <c r="BQ354" s="1425" t="str">
        <f aca="false">IF(ISNUMBER($AU354*BD354*1),$AU354*BD354*1,"")</f>
        <v/>
      </c>
      <c r="BR354" s="1425" t="str">
        <f aca="false">IF(ISNUMBER($AV354*BE354*1),$AV354*BE354*1,"")</f>
        <v/>
      </c>
      <c r="BS354" s="1411" t="str">
        <f aca="false">IF(ISNUMBER($AU354*BF354),$AU354*BF354,"")</f>
        <v/>
      </c>
      <c r="BT354" s="1411" t="str">
        <f aca="false">IF(ISNUMBER($AV354*BG354),$AV354*BG354,"")</f>
        <v/>
      </c>
      <c r="BU354" s="1411"/>
      <c r="BV354" s="1411"/>
      <c r="BW354" s="1411"/>
      <c r="BX354" s="1411"/>
      <c r="BZ354" s="1372"/>
      <c r="CA354" s="1372"/>
      <c r="CB354" s="1426" t="str">
        <f aca="false">IF(ISNUMBER($AW354*BB354),$AW354*BB354,"")</f>
        <v/>
      </c>
      <c r="CC354" s="1426" t="str">
        <f aca="false">IF(ISNUMBER($AX354*BC354),$AX354*BC354,"")</f>
        <v/>
      </c>
      <c r="CD354" s="1426" t="str">
        <f aca="false">IF(ISNUMBER($AW354*BD354),$AW354*BD354,"")</f>
        <v/>
      </c>
      <c r="CE354" s="1426" t="str">
        <f aca="false">IF(ISNUMBER($AX354*BE354),$AX354*BE354,"")</f>
        <v/>
      </c>
      <c r="CF354" s="1372" t="str">
        <f aca="false">IF(ISNUMBER($AW354*BF354),$AW354*BF354,"")</f>
        <v/>
      </c>
      <c r="CG354" s="1372" t="str">
        <f aca="false">IF(ISNUMBER($AX354*BG354),$AX354*BG354,"")</f>
        <v/>
      </c>
      <c r="CH354" s="1438"/>
      <c r="CI354" s="1438"/>
      <c r="CJ354" s="1438"/>
      <c r="CK354" s="1438"/>
      <c r="CU354" s="1411"/>
      <c r="CV354" s="1411"/>
      <c r="CW354" s="1425"/>
      <c r="CX354" s="1425"/>
      <c r="CY354" s="1425"/>
      <c r="CZ354" s="1425"/>
      <c r="DA354" s="1411"/>
      <c r="DB354" s="1411"/>
      <c r="DC354" s="1411"/>
      <c r="DD354" s="1411"/>
      <c r="DE354" s="1411"/>
      <c r="DF354" s="1411"/>
      <c r="DH354" s="1432"/>
      <c r="DI354" s="1432"/>
      <c r="DJ354" s="1437"/>
      <c r="DK354" s="1437"/>
      <c r="DL354" s="1437"/>
      <c r="DM354" s="1437"/>
      <c r="DN354" s="1432"/>
      <c r="DO354" s="1432"/>
      <c r="DP354" s="1432"/>
      <c r="DQ354" s="1432"/>
      <c r="DR354" s="1432"/>
      <c r="DS354" s="1432"/>
      <c r="DT354" s="1316"/>
      <c r="DU354" s="1433"/>
      <c r="DV354" s="1433"/>
      <c r="DW354" s="1433"/>
      <c r="DX354" s="1433"/>
      <c r="DY354" s="1433"/>
      <c r="DZ354" s="1433"/>
      <c r="EA354" s="1433"/>
      <c r="EB354" s="1433"/>
    </row>
    <row r="355" customFormat="false" ht="14.25" hidden="false" customHeight="false" outlineLevel="0" collapsed="false">
      <c r="A355" s="2" t="n">
        <f aca="false">'V_DATOS PAC_SGA'!CC350</f>
        <v>0</v>
      </c>
      <c r="B355" s="2" t="n">
        <f aca="false">IF(OR(A355=0,A355=""),0,IF(I355="IV",CONCATENATE('V_DATOS PAC_SGA'!CC350,"4")+0,CONCATENATE('V_DATOS PAC_SGA'!CC350,"0")+0))</f>
        <v>0</v>
      </c>
      <c r="C355" s="2" t="n">
        <f aca="false">'V_DATOS PAC_SGA'!CD350</f>
        <v>0</v>
      </c>
      <c r="D355" s="1409" t="n">
        <f aca="false">'V_DATOS PAC_SGA'!Y350</f>
        <v>0</v>
      </c>
      <c r="E355" s="1410" t="str">
        <f aca="false">IF('V_DATOS PAC_SGA'!AV350="","Regadio",'V_DATOS PAC_SGA'!AV350)</f>
        <v>Regadio</v>
      </c>
      <c r="F355" s="1411" t="n">
        <f aca="false">'V_DATOS PAC_SGA'!BK350</f>
        <v>0</v>
      </c>
      <c r="G355" s="1412" t="n">
        <f aca="false">'V_DATOS PAC_SGA'!AN350</f>
        <v>0</v>
      </c>
      <c r="H355" s="1413" t="str">
        <f aca="false">IF(B355&gt;0,VLOOKUP(B355,'O_MN, PE_UTA_UGM 2024'!E$3:O$419,10),"")</f>
        <v/>
      </c>
      <c r="I355" s="1359" t="str">
        <f aca="false">IF('V_DATOS PAC_SGA'!BV350="IV",'V_DATOS PAC_SGA'!BV350,"")</f>
        <v/>
      </c>
      <c r="J355" s="2" t="str">
        <f aca="false">IF($A355&gt;0,IF(AND(J$4=$G355,J$6=$F355),$D355*J$5,""),"")</f>
        <v/>
      </c>
      <c r="K355" s="2" t="str">
        <f aca="false">IF($A355&gt;0,IF(AND(K$4=$G355,K$6=$F355),$D355*K$5,""),"")</f>
        <v/>
      </c>
      <c r="L355" s="2" t="str">
        <f aca="false">IF($A355&gt;0,IF(AND(L$4=$G355,L$6=$F355),$D355*L$5,""),"")</f>
        <v/>
      </c>
      <c r="M355" s="2" t="str">
        <f aca="false">IF($A355&gt;0,IF(AND(M$4=$G355,M$6=$F355),$D355*M$5,""),"")</f>
        <v/>
      </c>
      <c r="N355" s="1506" t="n">
        <f aca="false">VLOOKUP(B355,'O_MN, PE_UTA_UGM 2024'!$E$2:$K$419,IF(G355&gt;1,6,7))</f>
        <v>0</v>
      </c>
      <c r="O355" s="1434" t="str">
        <f aca="false">IF($H355=O$4,$D355*$N355,"")</f>
        <v/>
      </c>
      <c r="P355" s="1435" t="str">
        <f aca="false">IF($H355=P$4,$D355*$N355,"")</f>
        <v/>
      </c>
      <c r="Q355" s="1435" t="str">
        <f aca="false">IF($H355=Q$4,$D355*$N355,"")</f>
        <v/>
      </c>
      <c r="R355" s="1435" t="str">
        <f aca="false">IF($H355=R$4,$D355*$N355,"")</f>
        <v/>
      </c>
      <c r="S355" s="1435" t="str">
        <f aca="false">IF($H355=S$4,$D355*$N355,"")</f>
        <v/>
      </c>
      <c r="T355" s="1435" t="str">
        <f aca="false">IF($H355=T$4,$D355*$N355,"")</f>
        <v/>
      </c>
      <c r="U355" s="1436" t="str">
        <f aca="false">IF($H355=U$4,$D355*$N355,"")</f>
        <v/>
      </c>
      <c r="V355" s="1472"/>
      <c r="W355" s="1471"/>
      <c r="X355" s="1471"/>
      <c r="Y355" s="1471"/>
      <c r="Z355" s="1471"/>
      <c r="AA355" s="1471"/>
      <c r="AB355" s="1473"/>
      <c r="AC355" s="1319"/>
      <c r="AD355" s="2" t="str">
        <f aca="false">IF(AND(AD$4=$G355,AD$6=$F355),$B355,"")</f>
        <v/>
      </c>
      <c r="AE355" s="2" t="str">
        <f aca="false">IF(AND(AE$4=$G355,AE$6=$F355),$B355,"")</f>
        <v/>
      </c>
      <c r="AF355" s="2" t="str">
        <f aca="false">IF(AND(AF$4=$G355,AF$6=$F355),$B355,"")</f>
        <v/>
      </c>
      <c r="AG355" s="2" t="str">
        <f aca="false">IF(AND(AG$4=$G355,AG$6=$F355),$B355,"")</f>
        <v/>
      </c>
      <c r="AI355" s="366"/>
      <c r="AL355" s="367"/>
      <c r="AO355" s="367"/>
      <c r="AP355" s="2" t="str">
        <f aca="false">IF(AT355&gt;0,RANK(AT355,AT$7:AT$423),"")</f>
        <v/>
      </c>
      <c r="AQ355" s="1475" t="n">
        <f aca="false">'O_MN, PE_UTA_UGM 2024'!C352</f>
        <v>456</v>
      </c>
      <c r="AR355" s="1421" t="n">
        <v>3930</v>
      </c>
      <c r="AS355" s="2" t="str">
        <f aca="false">IF(AY355&lt;&gt;"",AY355,"")</f>
        <v/>
      </c>
      <c r="AT355" s="1422" t="n">
        <f aca="false">IF(ISNUMBER($AR355),SUMIF(B$7:B$505,AR355,D$7:D$505),"")</f>
        <v>0</v>
      </c>
      <c r="AU355" s="1411" t="n">
        <f aca="false">IF(ISNUMBER($AR355),SUMIF(AD$7:AD$503,$AR355,J$7:J$503),"")</f>
        <v>0</v>
      </c>
      <c r="AV355" s="1411" t="n">
        <f aca="false">IF(ISNUMBER($AR355),SUMIF(AF$7:AF$503,$AR355,L$7:L$503),"")</f>
        <v>0</v>
      </c>
      <c r="AW355" s="1423" t="n">
        <f aca="false">IF(ISNUMBER($AR355),SUMIF(AE$7:AE$503,$AR355,K$7:K$503),"")</f>
        <v>0</v>
      </c>
      <c r="AX355" s="1423" t="n">
        <f aca="false">IF(ISNUMBER($AR355),SUMIF(AG$7:AG$503,$AR355,M$7:M$503),"")</f>
        <v>0</v>
      </c>
      <c r="AY355" s="2" t="str">
        <f aca="false">IF($AT355&gt;0,VLOOKUP($AR355,'O_MN, PE_UTA_UGM 2024'!E352:O767,2),"")</f>
        <v/>
      </c>
      <c r="AZ355" s="1507"/>
      <c r="BA355" s="1507"/>
      <c r="BB355" s="1507" t="str">
        <f aca="false">IF($AT355&gt;0,VLOOKUP($AR355,'O_MN, PE_UTA_UGM 2024'!$E$3:$O$419,BB$6),"")</f>
        <v/>
      </c>
      <c r="BC355" s="1507" t="str">
        <f aca="false">IF($AT355&gt;0,VLOOKUP($AR355,'O_MN, PE_UTA_UGM 2024'!$E$3:$O$419,BC$6),"")</f>
        <v/>
      </c>
      <c r="BD355" s="1507" t="str">
        <f aca="false">IF($AT355&gt;0,VLOOKUP($AR355,'O_MN, PE_UTA_UGM 2024'!$E$3:$O$419,BD$6),"")</f>
        <v/>
      </c>
      <c r="BE355" s="1507" t="str">
        <f aca="false">IF($AT355&gt;0,VLOOKUP($AR355,'O_MN, PE_UTA_UGM 2024'!$E$3:$O$419,BE$6),"")</f>
        <v/>
      </c>
      <c r="BF355" s="1507" t="str">
        <f aca="false">IF($AT355&gt;0,VLOOKUP($AR355,'O_MN, PE_UTA_UGM 2024'!$E$3:$O$419,BF$6),"")</f>
        <v/>
      </c>
      <c r="BG355" s="1507" t="str">
        <f aca="false">IF($AT355&gt;0,VLOOKUP($AR355,'O_MN, PE_UTA_UGM 2024'!$E$3:$O$419,BG$6),"")</f>
        <v/>
      </c>
      <c r="BH355" s="1504"/>
      <c r="BI355" s="1504"/>
      <c r="BJ355" s="1504"/>
      <c r="BK355" s="1504"/>
      <c r="BM355" s="1411"/>
      <c r="BN355" s="1411"/>
      <c r="BO355" s="1425" t="str">
        <f aca="false">IF(ISNUMBER($AU355*BB355*1),$AU355*BB355*1,"")</f>
        <v/>
      </c>
      <c r="BP355" s="1425" t="str">
        <f aca="false">IF(ISNUMBER($AV355*BC355*1),$AV355*BC355*1,"")</f>
        <v/>
      </c>
      <c r="BQ355" s="1425" t="str">
        <f aca="false">IF(ISNUMBER($AU355*BD355*1),$AU355*BD355*1,"")</f>
        <v/>
      </c>
      <c r="BR355" s="1425" t="str">
        <f aca="false">IF(ISNUMBER($AV355*BE355*1),$AV355*BE355*1,"")</f>
        <v/>
      </c>
      <c r="BS355" s="1411" t="str">
        <f aca="false">IF(ISNUMBER($AU355*BF355),$AU355*BF355,"")</f>
        <v/>
      </c>
      <c r="BT355" s="1411" t="str">
        <f aca="false">IF(ISNUMBER($AV355*BG355),$AV355*BG355,"")</f>
        <v/>
      </c>
      <c r="BU355" s="1411"/>
      <c r="BV355" s="1411"/>
      <c r="BW355" s="1411"/>
      <c r="BX355" s="1411"/>
      <c r="BZ355" s="1372"/>
      <c r="CA355" s="1372"/>
      <c r="CB355" s="1426" t="str">
        <f aca="false">IF(ISNUMBER($AW355*BB355),$AW355*BB355,"")</f>
        <v/>
      </c>
      <c r="CC355" s="1426" t="str">
        <f aca="false">IF(ISNUMBER($AX355*BC355),$AX355*BC355,"")</f>
        <v/>
      </c>
      <c r="CD355" s="1426" t="str">
        <f aca="false">IF(ISNUMBER($AW355*BD355),$AW355*BD355,"")</f>
        <v/>
      </c>
      <c r="CE355" s="1426" t="str">
        <f aca="false">IF(ISNUMBER($AX355*BE355),$AX355*BE355,"")</f>
        <v/>
      </c>
      <c r="CF355" s="1372" t="str">
        <f aca="false">IF(ISNUMBER($AW355*BF355),$AW355*BF355,"")</f>
        <v/>
      </c>
      <c r="CG355" s="1372" t="str">
        <f aca="false">IF(ISNUMBER($AX355*BG355),$AX355*BG355,"")</f>
        <v/>
      </c>
      <c r="CH355" s="1438"/>
      <c r="CI355" s="1438"/>
      <c r="CJ355" s="1438"/>
      <c r="CK355" s="1438"/>
      <c r="CU355" s="1411"/>
      <c r="CV355" s="1411"/>
      <c r="CW355" s="1425"/>
      <c r="CX355" s="1425"/>
      <c r="CY355" s="1425"/>
      <c r="CZ355" s="1425"/>
      <c r="DA355" s="1411"/>
      <c r="DB355" s="1411"/>
      <c r="DC355" s="1411"/>
      <c r="DD355" s="1411"/>
      <c r="DE355" s="1411"/>
      <c r="DF355" s="1411"/>
      <c r="DH355" s="1432"/>
      <c r="DI355" s="1432"/>
      <c r="DJ355" s="1437"/>
      <c r="DK355" s="1437"/>
      <c r="DL355" s="1437"/>
      <c r="DM355" s="1437"/>
      <c r="DN355" s="1432"/>
      <c r="DO355" s="1432"/>
      <c r="DP355" s="1432"/>
      <c r="DQ355" s="1432"/>
      <c r="DR355" s="1432"/>
      <c r="DS355" s="1432"/>
      <c r="DT355" s="1316"/>
      <c r="DU355" s="1433"/>
      <c r="DV355" s="1433"/>
      <c r="DW355" s="1433"/>
      <c r="DX355" s="1433"/>
      <c r="DY355" s="1433"/>
      <c r="DZ355" s="1433"/>
      <c r="EA355" s="1433"/>
      <c r="EB355" s="1433"/>
    </row>
    <row r="356" customFormat="false" ht="14.25" hidden="false" customHeight="false" outlineLevel="0" collapsed="false">
      <c r="A356" s="2" t="n">
        <f aca="false">'V_DATOS PAC_SGA'!CC351</f>
        <v>0</v>
      </c>
      <c r="B356" s="2" t="n">
        <f aca="false">IF(OR(A356=0,A356=""),0,IF(I356="IV",CONCATENATE('V_DATOS PAC_SGA'!CC351,"4")+0,CONCATENATE('V_DATOS PAC_SGA'!CC351,"0")+0))</f>
        <v>0</v>
      </c>
      <c r="C356" s="2" t="n">
        <f aca="false">'V_DATOS PAC_SGA'!CD351</f>
        <v>0</v>
      </c>
      <c r="D356" s="1409" t="n">
        <f aca="false">'V_DATOS PAC_SGA'!Y351</f>
        <v>0</v>
      </c>
      <c r="E356" s="1410" t="str">
        <f aca="false">IF('V_DATOS PAC_SGA'!AV351="","Regadio",'V_DATOS PAC_SGA'!AV351)</f>
        <v>Regadio</v>
      </c>
      <c r="F356" s="1411" t="n">
        <f aca="false">'V_DATOS PAC_SGA'!BK351</f>
        <v>0</v>
      </c>
      <c r="G356" s="1412" t="n">
        <f aca="false">'V_DATOS PAC_SGA'!AN351</f>
        <v>0</v>
      </c>
      <c r="H356" s="1413" t="str">
        <f aca="false">IF(B356&gt;0,VLOOKUP(B356,'O_MN, PE_UTA_UGM 2024'!E$3:O$419,10),"")</f>
        <v/>
      </c>
      <c r="I356" s="1359" t="str">
        <f aca="false">IF('V_DATOS PAC_SGA'!BV351="IV",'V_DATOS PAC_SGA'!BV351,"")</f>
        <v/>
      </c>
      <c r="J356" s="2" t="str">
        <f aca="false">IF($A356&gt;0,IF(AND(J$4=$G356,J$6=$F356),$D356*J$5,""),"")</f>
        <v/>
      </c>
      <c r="K356" s="2" t="str">
        <f aca="false">IF($A356&gt;0,IF(AND(K$4=$G356,K$6=$F356),$D356*K$5,""),"")</f>
        <v/>
      </c>
      <c r="L356" s="2" t="str">
        <f aca="false">IF($A356&gt;0,IF(AND(L$4=$G356,L$6=$F356),$D356*L$5,""),"")</f>
        <v/>
      </c>
      <c r="M356" s="2" t="str">
        <f aca="false">IF($A356&gt;0,IF(AND(M$4=$G356,M$6=$F356),$D356*M$5,""),"")</f>
        <v/>
      </c>
      <c r="N356" s="1506" t="n">
        <f aca="false">VLOOKUP(B356,'O_MN, PE_UTA_UGM 2024'!$E$2:$K$419,IF(G356&gt;1,6,7))</f>
        <v>0</v>
      </c>
      <c r="O356" s="1434" t="str">
        <f aca="false">IF($H356=O$4,$D356*$N356,"")</f>
        <v/>
      </c>
      <c r="P356" s="1435" t="str">
        <f aca="false">IF($H356=P$4,$D356*$N356,"")</f>
        <v/>
      </c>
      <c r="Q356" s="1435" t="str">
        <f aca="false">IF($H356=Q$4,$D356*$N356,"")</f>
        <v/>
      </c>
      <c r="R356" s="1435" t="str">
        <f aca="false">IF($H356=R$4,$D356*$N356,"")</f>
        <v/>
      </c>
      <c r="S356" s="1435" t="str">
        <f aca="false">IF($H356=S$4,$D356*$N356,"")</f>
        <v/>
      </c>
      <c r="T356" s="1435" t="str">
        <f aca="false">IF($H356=T$4,$D356*$N356,"")</f>
        <v/>
      </c>
      <c r="U356" s="1436" t="str">
        <f aca="false">IF($H356=U$4,$D356*$N356,"")</f>
        <v/>
      </c>
      <c r="V356" s="1472"/>
      <c r="W356" s="1471"/>
      <c r="X356" s="1471"/>
      <c r="Y356" s="1471"/>
      <c r="Z356" s="1471"/>
      <c r="AA356" s="1471"/>
      <c r="AB356" s="1473"/>
      <c r="AC356" s="1319"/>
      <c r="AD356" s="2" t="str">
        <f aca="false">IF(AND(AD$4=$G356,AD$6=$F356),$B356,"")</f>
        <v/>
      </c>
      <c r="AE356" s="2" t="str">
        <f aca="false">IF(AND(AE$4=$G356,AE$6=$F356),$B356,"")</f>
        <v/>
      </c>
      <c r="AF356" s="2" t="str">
        <f aca="false">IF(AND(AF$4=$G356,AF$6=$F356),$B356,"")</f>
        <v/>
      </c>
      <c r="AG356" s="2" t="str">
        <f aca="false">IF(AND(AG$4=$G356,AG$6=$F356),$B356,"")</f>
        <v/>
      </c>
      <c r="AI356" s="366"/>
      <c r="AL356" s="367"/>
      <c r="AO356" s="367"/>
      <c r="AP356" s="2" t="str">
        <f aca="false">IF(AT356&gt;0,RANK(AT356,AT$7:AT$423),"")</f>
        <v/>
      </c>
      <c r="AQ356" s="1475" t="n">
        <f aca="false">'O_MN, PE_UTA_UGM 2024'!C353</f>
        <v>457</v>
      </c>
      <c r="AR356" s="1421" t="n">
        <v>3940</v>
      </c>
      <c r="AS356" s="2" t="str">
        <f aca="false">IF(AY356&lt;&gt;"",AY356,"")</f>
        <v/>
      </c>
      <c r="AT356" s="1422" t="n">
        <f aca="false">IF(ISNUMBER($AR356),SUMIF(B$7:B$505,AR356,D$7:D$505),"")</f>
        <v>0</v>
      </c>
      <c r="AU356" s="1411" t="n">
        <f aca="false">IF(ISNUMBER($AR356),SUMIF(AD$7:AD$503,$AR356,J$7:J$503),"")</f>
        <v>0</v>
      </c>
      <c r="AV356" s="1411" t="n">
        <f aca="false">IF(ISNUMBER($AR356),SUMIF(AF$7:AF$503,$AR356,L$7:L$503),"")</f>
        <v>0</v>
      </c>
      <c r="AW356" s="1423" t="n">
        <f aca="false">IF(ISNUMBER($AR356),SUMIF(AE$7:AE$503,$AR356,K$7:K$503),"")</f>
        <v>0</v>
      </c>
      <c r="AX356" s="1423" t="n">
        <f aca="false">IF(ISNUMBER($AR356),SUMIF(AG$7:AG$503,$AR356,M$7:M$503),"")</f>
        <v>0</v>
      </c>
      <c r="AY356" s="2" t="str">
        <f aca="false">IF($AT356&gt;0,VLOOKUP($AR356,'O_MN, PE_UTA_UGM 2024'!E353:O768,2),"")</f>
        <v/>
      </c>
      <c r="AZ356" s="1507"/>
      <c r="BA356" s="1507"/>
      <c r="BB356" s="1507" t="str">
        <f aca="false">IF($AT356&gt;0,VLOOKUP($AR356,'O_MN, PE_UTA_UGM 2024'!$E$3:$O$419,BB$6),"")</f>
        <v/>
      </c>
      <c r="BC356" s="1507" t="str">
        <f aca="false">IF($AT356&gt;0,VLOOKUP($AR356,'O_MN, PE_UTA_UGM 2024'!$E$3:$O$419,BC$6),"")</f>
        <v/>
      </c>
      <c r="BD356" s="1507" t="str">
        <f aca="false">IF($AT356&gt;0,VLOOKUP($AR356,'O_MN, PE_UTA_UGM 2024'!$E$3:$O$419,BD$6),"")</f>
        <v/>
      </c>
      <c r="BE356" s="1507" t="str">
        <f aca="false">IF($AT356&gt;0,VLOOKUP($AR356,'O_MN, PE_UTA_UGM 2024'!$E$3:$O$419,BE$6),"")</f>
        <v/>
      </c>
      <c r="BF356" s="1507" t="str">
        <f aca="false">IF($AT356&gt;0,VLOOKUP($AR356,'O_MN, PE_UTA_UGM 2024'!$E$3:$O$419,BF$6),"")</f>
        <v/>
      </c>
      <c r="BG356" s="1507" t="str">
        <f aca="false">IF($AT356&gt;0,VLOOKUP($AR356,'O_MN, PE_UTA_UGM 2024'!$E$3:$O$419,BG$6),"")</f>
        <v/>
      </c>
      <c r="BH356" s="1504"/>
      <c r="BI356" s="1504"/>
      <c r="BJ356" s="1504"/>
      <c r="BK356" s="1504"/>
      <c r="BM356" s="1411"/>
      <c r="BN356" s="1411"/>
      <c r="BO356" s="1425" t="str">
        <f aca="false">IF(ISNUMBER($AU356*BB356*1),$AU356*BB356*1,"")</f>
        <v/>
      </c>
      <c r="BP356" s="1425" t="str">
        <f aca="false">IF(ISNUMBER($AV356*BC356*1),$AV356*BC356*1,"")</f>
        <v/>
      </c>
      <c r="BQ356" s="1425" t="str">
        <f aca="false">IF(ISNUMBER($AU356*BD356*1),$AU356*BD356*1,"")</f>
        <v/>
      </c>
      <c r="BR356" s="1425" t="str">
        <f aca="false">IF(ISNUMBER($AV356*BE356*1),$AV356*BE356*1,"")</f>
        <v/>
      </c>
      <c r="BS356" s="1411" t="str">
        <f aca="false">IF(ISNUMBER($AU356*BF356),$AU356*BF356,"")</f>
        <v/>
      </c>
      <c r="BT356" s="1411" t="str">
        <f aca="false">IF(ISNUMBER($AV356*BG356),$AV356*BG356,"")</f>
        <v/>
      </c>
      <c r="BU356" s="1411"/>
      <c r="BV356" s="1411"/>
      <c r="BW356" s="1411"/>
      <c r="BX356" s="1411"/>
      <c r="BZ356" s="1372"/>
      <c r="CA356" s="1372"/>
      <c r="CB356" s="1426" t="str">
        <f aca="false">IF(ISNUMBER($AW356*BB356),$AW356*BB356,"")</f>
        <v/>
      </c>
      <c r="CC356" s="1426" t="str">
        <f aca="false">IF(ISNUMBER($AX356*BC356),$AX356*BC356,"")</f>
        <v/>
      </c>
      <c r="CD356" s="1426" t="str">
        <f aca="false">IF(ISNUMBER($AW356*BD356),$AW356*BD356,"")</f>
        <v/>
      </c>
      <c r="CE356" s="1426" t="str">
        <f aca="false">IF(ISNUMBER($AX356*BE356),$AX356*BE356,"")</f>
        <v/>
      </c>
      <c r="CF356" s="1372" t="str">
        <f aca="false">IF(ISNUMBER($AW356*BF356),$AW356*BF356,"")</f>
        <v/>
      </c>
      <c r="CG356" s="1372" t="str">
        <f aca="false">IF(ISNUMBER($AX356*BG356),$AX356*BG356,"")</f>
        <v/>
      </c>
      <c r="CH356" s="1438"/>
      <c r="CI356" s="1438"/>
      <c r="CJ356" s="1438"/>
      <c r="CK356" s="1438"/>
      <c r="CU356" s="1411"/>
      <c r="CV356" s="1411"/>
      <c r="CW356" s="1425"/>
      <c r="CX356" s="1425"/>
      <c r="CY356" s="1425"/>
      <c r="CZ356" s="1425"/>
      <c r="DA356" s="1411"/>
      <c r="DB356" s="1411"/>
      <c r="DC356" s="1411"/>
      <c r="DD356" s="1411"/>
      <c r="DE356" s="1411"/>
      <c r="DF356" s="1411"/>
      <c r="DH356" s="1432"/>
      <c r="DI356" s="1432"/>
      <c r="DJ356" s="1437"/>
      <c r="DK356" s="1437"/>
      <c r="DL356" s="1437"/>
      <c r="DM356" s="1437"/>
      <c r="DN356" s="1432"/>
      <c r="DO356" s="1432"/>
      <c r="DP356" s="1432"/>
      <c r="DQ356" s="1432"/>
      <c r="DR356" s="1432"/>
      <c r="DS356" s="1432"/>
      <c r="DT356" s="1316"/>
      <c r="DU356" s="1433"/>
      <c r="DV356" s="1433"/>
      <c r="DW356" s="1433"/>
      <c r="DX356" s="1433"/>
      <c r="DY356" s="1433"/>
      <c r="DZ356" s="1433"/>
      <c r="EA356" s="1433"/>
      <c r="EB356" s="1433"/>
    </row>
    <row r="357" customFormat="false" ht="14.25" hidden="false" customHeight="false" outlineLevel="0" collapsed="false">
      <c r="A357" s="2" t="n">
        <f aca="false">'V_DATOS PAC_SGA'!CC352</f>
        <v>0</v>
      </c>
      <c r="B357" s="2" t="n">
        <f aca="false">IF(OR(A357=0,A357=""),0,IF(I357="IV",CONCATENATE('V_DATOS PAC_SGA'!CC352,"4")+0,CONCATENATE('V_DATOS PAC_SGA'!CC352,"0")+0))</f>
        <v>0</v>
      </c>
      <c r="C357" s="2" t="n">
        <f aca="false">'V_DATOS PAC_SGA'!CD352</f>
        <v>0</v>
      </c>
      <c r="D357" s="1409" t="n">
        <f aca="false">'V_DATOS PAC_SGA'!Y352</f>
        <v>0</v>
      </c>
      <c r="E357" s="1410" t="str">
        <f aca="false">IF('V_DATOS PAC_SGA'!AV352="","Regadio",'V_DATOS PAC_SGA'!AV352)</f>
        <v>Regadio</v>
      </c>
      <c r="F357" s="1411" t="n">
        <f aca="false">'V_DATOS PAC_SGA'!BK352</f>
        <v>0</v>
      </c>
      <c r="G357" s="1412" t="n">
        <f aca="false">'V_DATOS PAC_SGA'!AN352</f>
        <v>0</v>
      </c>
      <c r="H357" s="1413" t="str">
        <f aca="false">IF(B357&gt;0,VLOOKUP(B357,'O_MN, PE_UTA_UGM 2024'!E$3:O$419,10),"")</f>
        <v/>
      </c>
      <c r="I357" s="1359" t="str">
        <f aca="false">IF('V_DATOS PAC_SGA'!BV352="IV",'V_DATOS PAC_SGA'!BV352,"")</f>
        <v/>
      </c>
      <c r="J357" s="2" t="str">
        <f aca="false">IF($A357&gt;0,IF(AND(J$4=$G357,J$6=$F357),$D357*J$5,""),"")</f>
        <v/>
      </c>
      <c r="K357" s="2" t="str">
        <f aca="false">IF($A357&gt;0,IF(AND(K$4=$G357,K$6=$F357),$D357*K$5,""),"")</f>
        <v/>
      </c>
      <c r="L357" s="2" t="str">
        <f aca="false">IF($A357&gt;0,IF(AND(L$4=$G357,L$6=$F357),$D357*L$5,""),"")</f>
        <v/>
      </c>
      <c r="M357" s="2" t="str">
        <f aca="false">IF($A357&gt;0,IF(AND(M$4=$G357,M$6=$F357),$D357*M$5,""),"")</f>
        <v/>
      </c>
      <c r="N357" s="1506" t="n">
        <f aca="false">VLOOKUP(B357,'O_MN, PE_UTA_UGM 2024'!$E$2:$K$419,IF(G357&gt;1,6,7))</f>
        <v>0</v>
      </c>
      <c r="O357" s="1434" t="str">
        <f aca="false">IF($H357=O$4,$D357*$N357,"")</f>
        <v/>
      </c>
      <c r="P357" s="1435" t="str">
        <f aca="false">IF($H357=P$4,$D357*$N357,"")</f>
        <v/>
      </c>
      <c r="Q357" s="1435" t="str">
        <f aca="false">IF($H357=Q$4,$D357*$N357,"")</f>
        <v/>
      </c>
      <c r="R357" s="1435" t="str">
        <f aca="false">IF($H357=R$4,$D357*$N357,"")</f>
        <v/>
      </c>
      <c r="S357" s="1435" t="str">
        <f aca="false">IF($H357=S$4,$D357*$N357,"")</f>
        <v/>
      </c>
      <c r="T357" s="1435" t="str">
        <f aca="false">IF($H357=T$4,$D357*$N357,"")</f>
        <v/>
      </c>
      <c r="U357" s="1436" t="str">
        <f aca="false">IF($H357=U$4,$D357*$N357,"")</f>
        <v/>
      </c>
      <c r="V357" s="1472"/>
      <c r="W357" s="1471"/>
      <c r="X357" s="1471"/>
      <c r="Y357" s="1471"/>
      <c r="Z357" s="1471"/>
      <c r="AA357" s="1471"/>
      <c r="AB357" s="1473"/>
      <c r="AC357" s="1319"/>
      <c r="AD357" s="2" t="str">
        <f aca="false">IF(AND(AD$4=$G357,AD$6=$F357),$B357,"")</f>
        <v/>
      </c>
      <c r="AE357" s="2" t="str">
        <f aca="false">IF(AND(AE$4=$G357,AE$6=$F357),$B357,"")</f>
        <v/>
      </c>
      <c r="AF357" s="2" t="str">
        <f aca="false">IF(AND(AF$4=$G357,AF$6=$F357),$B357,"")</f>
        <v/>
      </c>
      <c r="AG357" s="2" t="str">
        <f aca="false">IF(AND(AG$4=$G357,AG$6=$F357),$B357,"")</f>
        <v/>
      </c>
      <c r="AI357" s="366"/>
      <c r="AL357" s="367"/>
      <c r="AO357" s="367"/>
      <c r="AP357" s="2" t="str">
        <f aca="false">IF(AT357&gt;0,RANK(AT357,AT$7:AT$423),"")</f>
        <v/>
      </c>
      <c r="AQ357" s="1475" t="n">
        <f aca="false">'O_MN, PE_UTA_UGM 2024'!C354</f>
        <v>460</v>
      </c>
      <c r="AR357" s="1421" t="n">
        <v>3950</v>
      </c>
      <c r="AS357" s="2" t="str">
        <f aca="false">IF(AY357&lt;&gt;"",AY357,"")</f>
        <v/>
      </c>
      <c r="AT357" s="1422" t="n">
        <f aca="false">IF(ISNUMBER($AR357),SUMIF(B$7:B$505,AR357,D$7:D$505),"")</f>
        <v>0</v>
      </c>
      <c r="AU357" s="1411" t="n">
        <f aca="false">IF(ISNUMBER($AR357),SUMIF(AD$7:AD$503,$AR357,J$7:J$503),"")</f>
        <v>0</v>
      </c>
      <c r="AV357" s="1411" t="n">
        <f aca="false">IF(ISNUMBER($AR357),SUMIF(AF$7:AF$503,$AR357,L$7:L$503),"")</f>
        <v>0</v>
      </c>
      <c r="AW357" s="1423" t="n">
        <f aca="false">IF(ISNUMBER($AR357),SUMIF(AE$7:AE$503,$AR357,K$7:K$503),"")</f>
        <v>0</v>
      </c>
      <c r="AX357" s="1423" t="n">
        <f aca="false">IF(ISNUMBER($AR357),SUMIF(AG$7:AG$503,$AR357,M$7:M$503),"")</f>
        <v>0</v>
      </c>
      <c r="AY357" s="2" t="str">
        <f aca="false">IF($AT357&gt;0,VLOOKUP($AR357,'O_MN, PE_UTA_UGM 2024'!E354:O769,2),"")</f>
        <v/>
      </c>
      <c r="AZ357" s="1507"/>
      <c r="BA357" s="1507"/>
      <c r="BB357" s="1507" t="str">
        <f aca="false">IF($AT357&gt;0,VLOOKUP($AR357,'O_MN, PE_UTA_UGM 2024'!$E$3:$O$419,BB$6),"")</f>
        <v/>
      </c>
      <c r="BC357" s="1507" t="str">
        <f aca="false">IF($AT357&gt;0,VLOOKUP($AR357,'O_MN, PE_UTA_UGM 2024'!$E$3:$O$419,BC$6),"")</f>
        <v/>
      </c>
      <c r="BD357" s="1507" t="str">
        <f aca="false">IF($AT357&gt;0,VLOOKUP($AR357,'O_MN, PE_UTA_UGM 2024'!$E$3:$O$419,BD$6),"")</f>
        <v/>
      </c>
      <c r="BE357" s="1507" t="str">
        <f aca="false">IF($AT357&gt;0,VLOOKUP($AR357,'O_MN, PE_UTA_UGM 2024'!$E$3:$O$419,BE$6),"")</f>
        <v/>
      </c>
      <c r="BF357" s="1507" t="str">
        <f aca="false">IF($AT357&gt;0,VLOOKUP($AR357,'O_MN, PE_UTA_UGM 2024'!$E$3:$O$419,BF$6),"")</f>
        <v/>
      </c>
      <c r="BG357" s="1507" t="str">
        <f aca="false">IF($AT357&gt;0,VLOOKUP($AR357,'O_MN, PE_UTA_UGM 2024'!$E$3:$O$419,BG$6),"")</f>
        <v/>
      </c>
      <c r="BH357" s="1504"/>
      <c r="BI357" s="1504"/>
      <c r="BJ357" s="1504"/>
      <c r="BK357" s="1504"/>
      <c r="BM357" s="1411"/>
      <c r="BN357" s="1411"/>
      <c r="BO357" s="1425" t="str">
        <f aca="false">IF(ISNUMBER($AU357*BB357*1),$AU357*BB357*1,"")</f>
        <v/>
      </c>
      <c r="BP357" s="1425" t="str">
        <f aca="false">IF(ISNUMBER($AV357*BC357*1),$AV357*BC357*1,"")</f>
        <v/>
      </c>
      <c r="BQ357" s="1425" t="str">
        <f aca="false">IF(ISNUMBER($AU357*BD357*1),$AU357*BD357*1,"")</f>
        <v/>
      </c>
      <c r="BR357" s="1425" t="str">
        <f aca="false">IF(ISNUMBER($AV357*BE357*1),$AV357*BE357*1,"")</f>
        <v/>
      </c>
      <c r="BS357" s="1411" t="str">
        <f aca="false">IF(ISNUMBER($AU357*BF357),$AU357*BF357,"")</f>
        <v/>
      </c>
      <c r="BT357" s="1411" t="str">
        <f aca="false">IF(ISNUMBER($AV357*BG357),$AV357*BG357,"")</f>
        <v/>
      </c>
      <c r="BU357" s="1411"/>
      <c r="BV357" s="1411"/>
      <c r="BW357" s="1411"/>
      <c r="BX357" s="1411"/>
      <c r="BZ357" s="1372"/>
      <c r="CA357" s="1372"/>
      <c r="CB357" s="1426" t="str">
        <f aca="false">IF(ISNUMBER($AW357*BB357),$AW357*BB357,"")</f>
        <v/>
      </c>
      <c r="CC357" s="1426" t="str">
        <f aca="false">IF(ISNUMBER($AX357*BC357),$AX357*BC357,"")</f>
        <v/>
      </c>
      <c r="CD357" s="1426" t="str">
        <f aca="false">IF(ISNUMBER($AW357*BD357),$AW357*BD357,"")</f>
        <v/>
      </c>
      <c r="CE357" s="1426" t="str">
        <f aca="false">IF(ISNUMBER($AX357*BE357),$AX357*BE357,"")</f>
        <v/>
      </c>
      <c r="CF357" s="1372" t="str">
        <f aca="false">IF(ISNUMBER($AW357*BF357),$AW357*BF357,"")</f>
        <v/>
      </c>
      <c r="CG357" s="1372" t="str">
        <f aca="false">IF(ISNUMBER($AX357*BG357),$AX357*BG357,"")</f>
        <v/>
      </c>
      <c r="CH357" s="1438"/>
      <c r="CI357" s="1438"/>
      <c r="CJ357" s="1438"/>
      <c r="CK357" s="1438"/>
      <c r="CU357" s="1411"/>
      <c r="CV357" s="1411"/>
      <c r="CW357" s="1425"/>
      <c r="CX357" s="1425"/>
      <c r="CY357" s="1425"/>
      <c r="CZ357" s="1425"/>
      <c r="DA357" s="1411"/>
      <c r="DB357" s="1411"/>
      <c r="DC357" s="1411"/>
      <c r="DD357" s="1411"/>
      <c r="DE357" s="1411"/>
      <c r="DF357" s="1411"/>
      <c r="DH357" s="1432"/>
      <c r="DI357" s="1432"/>
      <c r="DJ357" s="1437"/>
      <c r="DK357" s="1437"/>
      <c r="DL357" s="1437"/>
      <c r="DM357" s="1437"/>
      <c r="DN357" s="1432"/>
      <c r="DO357" s="1432"/>
      <c r="DP357" s="1432"/>
      <c r="DQ357" s="1432"/>
      <c r="DR357" s="1432"/>
      <c r="DS357" s="1432"/>
      <c r="DT357" s="1316"/>
      <c r="DU357" s="1433"/>
      <c r="DV357" s="1433"/>
      <c r="DW357" s="1433"/>
      <c r="DX357" s="1433"/>
      <c r="DY357" s="1433"/>
      <c r="DZ357" s="1433"/>
      <c r="EA357" s="1433"/>
      <c r="EB357" s="1433"/>
    </row>
    <row r="358" customFormat="false" ht="14.25" hidden="false" customHeight="false" outlineLevel="0" collapsed="false">
      <c r="A358" s="2" t="n">
        <f aca="false">'V_DATOS PAC_SGA'!CC353</f>
        <v>0</v>
      </c>
      <c r="B358" s="2" t="n">
        <f aca="false">IF(OR(A358=0,A358=""),0,IF(I358="IV",CONCATENATE('V_DATOS PAC_SGA'!CC353,"4")+0,CONCATENATE('V_DATOS PAC_SGA'!CC353,"0")+0))</f>
        <v>0</v>
      </c>
      <c r="C358" s="2" t="n">
        <f aca="false">'V_DATOS PAC_SGA'!CD353</f>
        <v>0</v>
      </c>
      <c r="D358" s="1409" t="n">
        <f aca="false">'V_DATOS PAC_SGA'!Y353</f>
        <v>0</v>
      </c>
      <c r="E358" s="1410" t="str">
        <f aca="false">IF('V_DATOS PAC_SGA'!AV353="","Regadio",'V_DATOS PAC_SGA'!AV353)</f>
        <v>Regadio</v>
      </c>
      <c r="F358" s="1411" t="n">
        <f aca="false">'V_DATOS PAC_SGA'!BK353</f>
        <v>0</v>
      </c>
      <c r="G358" s="1412" t="n">
        <f aca="false">'V_DATOS PAC_SGA'!AN353</f>
        <v>0</v>
      </c>
      <c r="H358" s="1413" t="str">
        <f aca="false">IF(B358&gt;0,VLOOKUP(B358,'O_MN, PE_UTA_UGM 2024'!E$3:O$419,10),"")</f>
        <v/>
      </c>
      <c r="I358" s="1359" t="str">
        <f aca="false">IF('V_DATOS PAC_SGA'!BV353="IV",'V_DATOS PAC_SGA'!BV353,"")</f>
        <v/>
      </c>
      <c r="J358" s="2" t="str">
        <f aca="false">IF($A358&gt;0,IF(AND(J$4=$G358,J$6=$F358),$D358*J$5,""),"")</f>
        <v/>
      </c>
      <c r="K358" s="2" t="str">
        <f aca="false">IF($A358&gt;0,IF(AND(K$4=$G358,K$6=$F358),$D358*K$5,""),"")</f>
        <v/>
      </c>
      <c r="L358" s="2" t="str">
        <f aca="false">IF($A358&gt;0,IF(AND(L$4=$G358,L$6=$F358),$D358*L$5,""),"")</f>
        <v/>
      </c>
      <c r="M358" s="2" t="str">
        <f aca="false">IF($A358&gt;0,IF(AND(M$4=$G358,M$6=$F358),$D358*M$5,""),"")</f>
        <v/>
      </c>
      <c r="N358" s="1506" t="n">
        <f aca="false">VLOOKUP(B358,'O_MN, PE_UTA_UGM 2024'!$E$2:$K$419,IF(G358&gt;1,6,7))</f>
        <v>0</v>
      </c>
      <c r="O358" s="1434" t="str">
        <f aca="false">IF($H358=O$4,$D358*$N358,"")</f>
        <v/>
      </c>
      <c r="P358" s="1435" t="str">
        <f aca="false">IF($H358=P$4,$D358*$N358,"")</f>
        <v/>
      </c>
      <c r="Q358" s="1435" t="str">
        <f aca="false">IF($H358=Q$4,$D358*$N358,"")</f>
        <v/>
      </c>
      <c r="R358" s="1435" t="str">
        <f aca="false">IF($H358=R$4,$D358*$N358,"")</f>
        <v/>
      </c>
      <c r="S358" s="1435" t="str">
        <f aca="false">IF($H358=S$4,$D358*$N358,"")</f>
        <v/>
      </c>
      <c r="T358" s="1435" t="str">
        <f aca="false">IF($H358=T$4,$D358*$N358,"")</f>
        <v/>
      </c>
      <c r="U358" s="1436" t="str">
        <f aca="false">IF($H358=U$4,$D358*$N358,"")</f>
        <v/>
      </c>
      <c r="V358" s="1472"/>
      <c r="W358" s="1471"/>
      <c r="X358" s="1471"/>
      <c r="Y358" s="1471"/>
      <c r="Z358" s="1471"/>
      <c r="AA358" s="1471"/>
      <c r="AB358" s="1473"/>
      <c r="AC358" s="1319"/>
      <c r="AD358" s="2" t="str">
        <f aca="false">IF(AND(AD$4=$G358,AD$6=$F358),$B358,"")</f>
        <v/>
      </c>
      <c r="AE358" s="2" t="str">
        <f aca="false">IF(AND(AE$4=$G358,AE$6=$F358),$B358,"")</f>
        <v/>
      </c>
      <c r="AF358" s="2" t="str">
        <f aca="false">IF(AND(AF$4=$G358,AF$6=$F358),$B358,"")</f>
        <v/>
      </c>
      <c r="AG358" s="2" t="str">
        <f aca="false">IF(AND(AG$4=$G358,AG$6=$F358),$B358,"")</f>
        <v/>
      </c>
      <c r="AI358" s="366"/>
      <c r="AL358" s="367"/>
      <c r="AO358" s="367"/>
      <c r="AP358" s="2" t="str">
        <f aca="false">IF(AT358&gt;0,RANK(AT358,AT$7:AT$423),"")</f>
        <v/>
      </c>
      <c r="AQ358" s="1475" t="n">
        <f aca="false">'O_MN, PE_UTA_UGM 2024'!C355</f>
        <v>461</v>
      </c>
      <c r="AR358" s="1421" t="n">
        <v>3970</v>
      </c>
      <c r="AS358" s="2" t="str">
        <f aca="false">IF(AY358&lt;&gt;"",AY358,"")</f>
        <v/>
      </c>
      <c r="AT358" s="1422" t="n">
        <f aca="false">IF(ISNUMBER($AR358),SUMIF(B$7:B$505,AR358,D$7:D$505),"")</f>
        <v>0</v>
      </c>
      <c r="AU358" s="1411" t="n">
        <f aca="false">IF(ISNUMBER($AR358),SUMIF(AD$7:AD$503,$AR358,J$7:J$503),"")</f>
        <v>0</v>
      </c>
      <c r="AV358" s="1411" t="n">
        <f aca="false">IF(ISNUMBER($AR358),SUMIF(AF$7:AF$503,$AR358,L$7:L$503),"")</f>
        <v>0</v>
      </c>
      <c r="AW358" s="1423" t="n">
        <f aca="false">IF(ISNUMBER($AR358),SUMIF(AE$7:AE$503,$AR358,K$7:K$503),"")</f>
        <v>0</v>
      </c>
      <c r="AX358" s="1423" t="n">
        <f aca="false">IF(ISNUMBER($AR358),SUMIF(AG$7:AG$503,$AR358,M$7:M$503),"")</f>
        <v>0</v>
      </c>
      <c r="AY358" s="2" t="str">
        <f aca="false">IF($AT358&gt;0,VLOOKUP($AR358,'O_MN, PE_UTA_UGM 2024'!E355:O770,2),"")</f>
        <v/>
      </c>
      <c r="AZ358" s="1507"/>
      <c r="BA358" s="1507"/>
      <c r="BB358" s="1507" t="str">
        <f aca="false">IF($AT358&gt;0,VLOOKUP($AR358,'O_MN, PE_UTA_UGM 2024'!$E$3:$O$419,BB$6),"")</f>
        <v/>
      </c>
      <c r="BC358" s="1507" t="str">
        <f aca="false">IF($AT358&gt;0,VLOOKUP($AR358,'O_MN, PE_UTA_UGM 2024'!$E$3:$O$419,BC$6),"")</f>
        <v/>
      </c>
      <c r="BD358" s="1507" t="str">
        <f aca="false">IF($AT358&gt;0,VLOOKUP($AR358,'O_MN, PE_UTA_UGM 2024'!$E$3:$O$419,BD$6),"")</f>
        <v/>
      </c>
      <c r="BE358" s="1507" t="str">
        <f aca="false">IF($AT358&gt;0,VLOOKUP($AR358,'O_MN, PE_UTA_UGM 2024'!$E$3:$O$419,BE$6),"")</f>
        <v/>
      </c>
      <c r="BF358" s="1507" t="str">
        <f aca="false">IF($AT358&gt;0,VLOOKUP($AR358,'O_MN, PE_UTA_UGM 2024'!$E$3:$O$419,BF$6),"")</f>
        <v/>
      </c>
      <c r="BG358" s="1507" t="str">
        <f aca="false">IF($AT358&gt;0,VLOOKUP($AR358,'O_MN, PE_UTA_UGM 2024'!$E$3:$O$419,BG$6),"")</f>
        <v/>
      </c>
      <c r="BH358" s="1504"/>
      <c r="BI358" s="1504"/>
      <c r="BJ358" s="1504"/>
      <c r="BK358" s="1504"/>
      <c r="BM358" s="1411"/>
      <c r="BN358" s="1411"/>
      <c r="BO358" s="1425" t="str">
        <f aca="false">IF(ISNUMBER($AU358*BB358*1),$AU358*BB358*1,"")</f>
        <v/>
      </c>
      <c r="BP358" s="1425" t="str">
        <f aca="false">IF(ISNUMBER($AV358*BC358*1),$AV358*BC358*1,"")</f>
        <v/>
      </c>
      <c r="BQ358" s="1425" t="str">
        <f aca="false">IF(ISNUMBER($AU358*BD358*1),$AU358*BD358*1,"")</f>
        <v/>
      </c>
      <c r="BR358" s="1425" t="str">
        <f aca="false">IF(ISNUMBER($AV358*BE358*1),$AV358*BE358*1,"")</f>
        <v/>
      </c>
      <c r="BS358" s="1411" t="str">
        <f aca="false">IF(ISNUMBER($AU358*BF358),$AU358*BF358,"")</f>
        <v/>
      </c>
      <c r="BT358" s="1411" t="str">
        <f aca="false">IF(ISNUMBER($AV358*BG358),$AV358*BG358,"")</f>
        <v/>
      </c>
      <c r="BU358" s="1411"/>
      <c r="BV358" s="1411"/>
      <c r="BW358" s="1411"/>
      <c r="BX358" s="1411"/>
      <c r="BZ358" s="1372"/>
      <c r="CA358" s="1372"/>
      <c r="CB358" s="1426" t="str">
        <f aca="false">IF(ISNUMBER($AW358*BB358),$AW358*BB358,"")</f>
        <v/>
      </c>
      <c r="CC358" s="1426" t="str">
        <f aca="false">IF(ISNUMBER($AX358*BC358),$AX358*BC358,"")</f>
        <v/>
      </c>
      <c r="CD358" s="1426" t="str">
        <f aca="false">IF(ISNUMBER($AW358*BD358),$AW358*BD358,"")</f>
        <v/>
      </c>
      <c r="CE358" s="1426" t="str">
        <f aca="false">IF(ISNUMBER($AX358*BE358),$AX358*BE358,"")</f>
        <v/>
      </c>
      <c r="CF358" s="1372" t="str">
        <f aca="false">IF(ISNUMBER($AW358*BF358),$AW358*BF358,"")</f>
        <v/>
      </c>
      <c r="CG358" s="1372" t="str">
        <f aca="false">IF(ISNUMBER($AX358*BG358),$AX358*BG358,"")</f>
        <v/>
      </c>
      <c r="CH358" s="1438"/>
      <c r="CI358" s="1438"/>
      <c r="CJ358" s="1438"/>
      <c r="CK358" s="1438"/>
      <c r="CU358" s="1411"/>
      <c r="CV358" s="1411"/>
      <c r="CW358" s="1425"/>
      <c r="CX358" s="1425"/>
      <c r="CY358" s="1425"/>
      <c r="CZ358" s="1425"/>
      <c r="DA358" s="1411"/>
      <c r="DB358" s="1411"/>
      <c r="DC358" s="1411"/>
      <c r="DD358" s="1411"/>
      <c r="DE358" s="1411"/>
      <c r="DF358" s="1411"/>
      <c r="DH358" s="1432"/>
      <c r="DI358" s="1432"/>
      <c r="DJ358" s="1437"/>
      <c r="DK358" s="1437"/>
      <c r="DL358" s="1437"/>
      <c r="DM358" s="1437"/>
      <c r="DN358" s="1432"/>
      <c r="DO358" s="1432"/>
      <c r="DP358" s="1432"/>
      <c r="DQ358" s="1432"/>
      <c r="DR358" s="1432"/>
      <c r="DS358" s="1432"/>
      <c r="DT358" s="1316"/>
      <c r="DU358" s="1433"/>
      <c r="DV358" s="1433"/>
      <c r="DW358" s="1433"/>
      <c r="DX358" s="1433"/>
      <c r="DY358" s="1433"/>
      <c r="DZ358" s="1433"/>
      <c r="EA358" s="1433"/>
      <c r="EB358" s="1433"/>
    </row>
    <row r="359" customFormat="false" ht="14.25" hidden="false" customHeight="false" outlineLevel="0" collapsed="false">
      <c r="A359" s="2" t="n">
        <f aca="false">'V_DATOS PAC_SGA'!CC354</f>
        <v>0</v>
      </c>
      <c r="B359" s="2" t="n">
        <f aca="false">IF(OR(A359=0,A359=""),0,IF(I359="IV",CONCATENATE('V_DATOS PAC_SGA'!CC354,"4")+0,CONCATENATE('V_DATOS PAC_SGA'!CC354,"0")+0))</f>
        <v>0</v>
      </c>
      <c r="C359" s="2" t="n">
        <f aca="false">'V_DATOS PAC_SGA'!CD354</f>
        <v>0</v>
      </c>
      <c r="D359" s="1409" t="n">
        <f aca="false">'V_DATOS PAC_SGA'!Y354</f>
        <v>0</v>
      </c>
      <c r="E359" s="1410" t="str">
        <f aca="false">IF('V_DATOS PAC_SGA'!AV354="","Regadio",'V_DATOS PAC_SGA'!AV354)</f>
        <v>Regadio</v>
      </c>
      <c r="F359" s="1411" t="n">
        <f aca="false">'V_DATOS PAC_SGA'!BK354</f>
        <v>0</v>
      </c>
      <c r="G359" s="1412" t="n">
        <f aca="false">'V_DATOS PAC_SGA'!AN354</f>
        <v>0</v>
      </c>
      <c r="H359" s="1413" t="str">
        <f aca="false">IF(B359&gt;0,VLOOKUP(B359,'O_MN, PE_UTA_UGM 2024'!E$3:O$419,10),"")</f>
        <v/>
      </c>
      <c r="I359" s="1359" t="str">
        <f aca="false">IF('V_DATOS PAC_SGA'!BV354="IV",'V_DATOS PAC_SGA'!BV354,"")</f>
        <v/>
      </c>
      <c r="J359" s="2" t="str">
        <f aca="false">IF($A359&gt;0,IF(AND(J$4=$G359,J$6=$F359),$D359*J$5,""),"")</f>
        <v/>
      </c>
      <c r="K359" s="2" t="str">
        <f aca="false">IF($A359&gt;0,IF(AND(K$4=$G359,K$6=$F359),$D359*K$5,""),"")</f>
        <v/>
      </c>
      <c r="L359" s="2" t="str">
        <f aca="false">IF($A359&gt;0,IF(AND(L$4=$G359,L$6=$F359),$D359*L$5,""),"")</f>
        <v/>
      </c>
      <c r="M359" s="2" t="str">
        <f aca="false">IF($A359&gt;0,IF(AND(M$4=$G359,M$6=$F359),$D359*M$5,""),"")</f>
        <v/>
      </c>
      <c r="N359" s="1506" t="n">
        <f aca="false">VLOOKUP(B359,'O_MN, PE_UTA_UGM 2024'!$E$2:$K$419,IF(G359&gt;1,6,7))</f>
        <v>0</v>
      </c>
      <c r="O359" s="1434" t="str">
        <f aca="false">IF($H359=O$4,$D359*$N359,"")</f>
        <v/>
      </c>
      <c r="P359" s="1435" t="str">
        <f aca="false">IF($H359=P$4,$D359*$N359,"")</f>
        <v/>
      </c>
      <c r="Q359" s="1435" t="str">
        <f aca="false">IF($H359=Q$4,$D359*$N359,"")</f>
        <v/>
      </c>
      <c r="R359" s="1435" t="str">
        <f aca="false">IF($H359=R$4,$D359*$N359,"")</f>
        <v/>
      </c>
      <c r="S359" s="1435" t="str">
        <f aca="false">IF($H359=S$4,$D359*$N359,"")</f>
        <v/>
      </c>
      <c r="T359" s="1435" t="str">
        <f aca="false">IF($H359=T$4,$D359*$N359,"")</f>
        <v/>
      </c>
      <c r="U359" s="1436" t="str">
        <f aca="false">IF($H359=U$4,$D359*$N359,"")</f>
        <v/>
      </c>
      <c r="V359" s="1472"/>
      <c r="W359" s="1471"/>
      <c r="X359" s="1471"/>
      <c r="Y359" s="1471"/>
      <c r="Z359" s="1471"/>
      <c r="AA359" s="1471"/>
      <c r="AB359" s="1473"/>
      <c r="AC359" s="1319"/>
      <c r="AD359" s="2" t="str">
        <f aca="false">IF(AND(AD$4=$G359,AD$6=$F359),$B359,"")</f>
        <v/>
      </c>
      <c r="AE359" s="2" t="str">
        <f aca="false">IF(AND(AE$4=$G359,AE$6=$F359),$B359,"")</f>
        <v/>
      </c>
      <c r="AF359" s="2" t="str">
        <f aca="false">IF(AND(AF$4=$G359,AF$6=$F359),$B359,"")</f>
        <v/>
      </c>
      <c r="AG359" s="2" t="str">
        <f aca="false">IF(AND(AG$4=$G359,AG$6=$F359),$B359,"")</f>
        <v/>
      </c>
      <c r="AI359" s="366"/>
      <c r="AL359" s="367"/>
      <c r="AO359" s="367"/>
      <c r="AP359" s="2" t="str">
        <f aca="false">IF(AT359&gt;0,RANK(AT359,AT$7:AT$423),"")</f>
        <v/>
      </c>
      <c r="AQ359" s="1475" t="n">
        <f aca="false">'O_MN, PE_UTA_UGM 2024'!C356</f>
        <v>464</v>
      </c>
      <c r="AR359" s="1421" t="n">
        <v>3980</v>
      </c>
      <c r="AS359" s="2" t="str">
        <f aca="false">IF(AY359&lt;&gt;"",AY359,"")</f>
        <v/>
      </c>
      <c r="AT359" s="1422" t="n">
        <f aca="false">IF(ISNUMBER($AR359),SUMIF(B$7:B$505,AR359,D$7:D$505),"")</f>
        <v>0</v>
      </c>
      <c r="AU359" s="1411" t="n">
        <f aca="false">IF(ISNUMBER($AR359),SUMIF(AD$7:AD$503,$AR359,J$7:J$503),"")</f>
        <v>0</v>
      </c>
      <c r="AV359" s="1411" t="n">
        <f aca="false">IF(ISNUMBER($AR359),SUMIF(AF$7:AF$503,$AR359,L$7:L$503),"")</f>
        <v>0</v>
      </c>
      <c r="AW359" s="1423" t="n">
        <f aca="false">IF(ISNUMBER($AR359),SUMIF(AE$7:AE$503,$AR359,K$7:K$503),"")</f>
        <v>0</v>
      </c>
      <c r="AX359" s="1423" t="n">
        <f aca="false">IF(ISNUMBER($AR359),SUMIF(AG$7:AG$503,$AR359,M$7:M$503),"")</f>
        <v>0</v>
      </c>
      <c r="AY359" s="2" t="str">
        <f aca="false">IF($AT359&gt;0,VLOOKUP($AR359,'O_MN, PE_UTA_UGM 2024'!E356:O771,2),"")</f>
        <v/>
      </c>
      <c r="AZ359" s="1507"/>
      <c r="BA359" s="1507"/>
      <c r="BB359" s="1507" t="str">
        <f aca="false">IF($AT359&gt;0,VLOOKUP($AR359,'O_MN, PE_UTA_UGM 2024'!$E$3:$O$419,BB$6),"")</f>
        <v/>
      </c>
      <c r="BC359" s="1507" t="str">
        <f aca="false">IF($AT359&gt;0,VLOOKUP($AR359,'O_MN, PE_UTA_UGM 2024'!$E$3:$O$419,BC$6),"")</f>
        <v/>
      </c>
      <c r="BD359" s="1507" t="str">
        <f aca="false">IF($AT359&gt;0,VLOOKUP($AR359,'O_MN, PE_UTA_UGM 2024'!$E$3:$O$419,BD$6),"")</f>
        <v/>
      </c>
      <c r="BE359" s="1507" t="str">
        <f aca="false">IF($AT359&gt;0,VLOOKUP($AR359,'O_MN, PE_UTA_UGM 2024'!$E$3:$O$419,BE$6),"")</f>
        <v/>
      </c>
      <c r="BF359" s="1507" t="str">
        <f aca="false">IF($AT359&gt;0,VLOOKUP($AR359,'O_MN, PE_UTA_UGM 2024'!$E$3:$O$419,BF$6),"")</f>
        <v/>
      </c>
      <c r="BG359" s="1507" t="str">
        <f aca="false">IF($AT359&gt;0,VLOOKUP($AR359,'O_MN, PE_UTA_UGM 2024'!$E$3:$O$419,BG$6),"")</f>
        <v/>
      </c>
      <c r="BH359" s="1504"/>
      <c r="BI359" s="1504"/>
      <c r="BJ359" s="1504"/>
      <c r="BK359" s="1504"/>
      <c r="BM359" s="1411"/>
      <c r="BN359" s="1411"/>
      <c r="BO359" s="1425" t="str">
        <f aca="false">IF(ISNUMBER($AU359*BB359*1),$AU359*BB359*1,"")</f>
        <v/>
      </c>
      <c r="BP359" s="1425" t="str">
        <f aca="false">IF(ISNUMBER($AV359*BC359*1),$AV359*BC359*1,"")</f>
        <v/>
      </c>
      <c r="BQ359" s="1425" t="str">
        <f aca="false">IF(ISNUMBER($AU359*BD359*1),$AU359*BD359*1,"")</f>
        <v/>
      </c>
      <c r="BR359" s="1425" t="str">
        <f aca="false">IF(ISNUMBER($AV359*BE359*1),$AV359*BE359*1,"")</f>
        <v/>
      </c>
      <c r="BS359" s="1411" t="str">
        <f aca="false">IF(ISNUMBER($AU359*BF359),$AU359*BF359,"")</f>
        <v/>
      </c>
      <c r="BT359" s="1411" t="str">
        <f aca="false">IF(ISNUMBER($AV359*BG359),$AV359*BG359,"")</f>
        <v/>
      </c>
      <c r="BU359" s="1411"/>
      <c r="BV359" s="1411"/>
      <c r="BW359" s="1411"/>
      <c r="BX359" s="1411"/>
      <c r="BZ359" s="1372"/>
      <c r="CA359" s="1372"/>
      <c r="CB359" s="1426" t="str">
        <f aca="false">IF(ISNUMBER($AW359*BB359),$AW359*BB359,"")</f>
        <v/>
      </c>
      <c r="CC359" s="1426" t="str">
        <f aca="false">IF(ISNUMBER($AX359*BC359),$AX359*BC359,"")</f>
        <v/>
      </c>
      <c r="CD359" s="1426" t="str">
        <f aca="false">IF(ISNUMBER($AW359*BD359),$AW359*BD359,"")</f>
        <v/>
      </c>
      <c r="CE359" s="1426" t="str">
        <f aca="false">IF(ISNUMBER($AX359*BE359),$AX359*BE359,"")</f>
        <v/>
      </c>
      <c r="CF359" s="1372" t="str">
        <f aca="false">IF(ISNUMBER($AW359*BF359),$AW359*BF359,"")</f>
        <v/>
      </c>
      <c r="CG359" s="1372" t="str">
        <f aca="false">IF(ISNUMBER($AX359*BG359),$AX359*BG359,"")</f>
        <v/>
      </c>
      <c r="CH359" s="1438"/>
      <c r="CI359" s="1438"/>
      <c r="CJ359" s="1438"/>
      <c r="CK359" s="1438"/>
      <c r="CU359" s="1411"/>
      <c r="CV359" s="1411"/>
      <c r="CW359" s="1425"/>
      <c r="CX359" s="1425"/>
      <c r="CY359" s="1425"/>
      <c r="CZ359" s="1425"/>
      <c r="DA359" s="1411"/>
      <c r="DB359" s="1411"/>
      <c r="DC359" s="1411"/>
      <c r="DD359" s="1411"/>
      <c r="DE359" s="1411"/>
      <c r="DF359" s="1411"/>
      <c r="DH359" s="1432"/>
      <c r="DI359" s="1432"/>
      <c r="DJ359" s="1437"/>
      <c r="DK359" s="1437"/>
      <c r="DL359" s="1437"/>
      <c r="DM359" s="1437"/>
      <c r="DN359" s="1432"/>
      <c r="DO359" s="1432"/>
      <c r="DP359" s="1432"/>
      <c r="DQ359" s="1432"/>
      <c r="DR359" s="1432"/>
      <c r="DS359" s="1432"/>
      <c r="DT359" s="1316"/>
      <c r="DU359" s="1433"/>
      <c r="DV359" s="1433"/>
      <c r="DW359" s="1433"/>
      <c r="DX359" s="1433"/>
      <c r="DY359" s="1433"/>
      <c r="DZ359" s="1433"/>
      <c r="EA359" s="1433"/>
      <c r="EB359" s="1433"/>
    </row>
    <row r="360" customFormat="false" ht="14.25" hidden="false" customHeight="false" outlineLevel="0" collapsed="false">
      <c r="A360" s="2" t="n">
        <f aca="false">'V_DATOS PAC_SGA'!CC355</f>
        <v>0</v>
      </c>
      <c r="B360" s="2" t="n">
        <f aca="false">IF(OR(A360=0,A360=""),0,IF(I360="IV",CONCATENATE('V_DATOS PAC_SGA'!CC355,"4")+0,CONCATENATE('V_DATOS PAC_SGA'!CC355,"0")+0))</f>
        <v>0</v>
      </c>
      <c r="C360" s="2" t="n">
        <f aca="false">'V_DATOS PAC_SGA'!CD355</f>
        <v>0</v>
      </c>
      <c r="D360" s="1409" t="n">
        <f aca="false">'V_DATOS PAC_SGA'!Y355</f>
        <v>0</v>
      </c>
      <c r="E360" s="1410" t="str">
        <f aca="false">IF('V_DATOS PAC_SGA'!AV355="","Regadio",'V_DATOS PAC_SGA'!AV355)</f>
        <v>Regadio</v>
      </c>
      <c r="F360" s="1411" t="n">
        <f aca="false">'V_DATOS PAC_SGA'!BK355</f>
        <v>0</v>
      </c>
      <c r="G360" s="1412" t="n">
        <f aca="false">'V_DATOS PAC_SGA'!AN355</f>
        <v>0</v>
      </c>
      <c r="H360" s="1413" t="str">
        <f aca="false">IF(B360&gt;0,VLOOKUP(B360,'O_MN, PE_UTA_UGM 2024'!E$3:O$419,10),"")</f>
        <v/>
      </c>
      <c r="I360" s="1359" t="str">
        <f aca="false">IF('V_DATOS PAC_SGA'!BV355="IV",'V_DATOS PAC_SGA'!BV355,"")</f>
        <v/>
      </c>
      <c r="J360" s="2" t="str">
        <f aca="false">IF($A360&gt;0,IF(AND(J$4=$G360,J$6=$F360),$D360*J$5,""),"")</f>
        <v/>
      </c>
      <c r="K360" s="2" t="str">
        <f aca="false">IF($A360&gt;0,IF(AND(K$4=$G360,K$6=$F360),$D360*K$5,""),"")</f>
        <v/>
      </c>
      <c r="L360" s="2" t="str">
        <f aca="false">IF($A360&gt;0,IF(AND(L$4=$G360,L$6=$F360),$D360*L$5,""),"")</f>
        <v/>
      </c>
      <c r="M360" s="2" t="str">
        <f aca="false">IF($A360&gt;0,IF(AND(M$4=$G360,M$6=$F360),$D360*M$5,""),"")</f>
        <v/>
      </c>
      <c r="N360" s="1506" t="n">
        <f aca="false">VLOOKUP(B360,'O_MN, PE_UTA_UGM 2024'!$E$2:$K$419,IF(G360&gt;1,6,7))</f>
        <v>0</v>
      </c>
      <c r="O360" s="1434" t="str">
        <f aca="false">IF($H360=O$4,$D360*$N360,"")</f>
        <v/>
      </c>
      <c r="P360" s="1435" t="str">
        <f aca="false">IF($H360=P$4,$D360*$N360,"")</f>
        <v/>
      </c>
      <c r="Q360" s="1435" t="str">
        <f aca="false">IF($H360=Q$4,$D360*$N360,"")</f>
        <v/>
      </c>
      <c r="R360" s="1435" t="str">
        <f aca="false">IF($H360=R$4,$D360*$N360,"")</f>
        <v/>
      </c>
      <c r="S360" s="1435" t="str">
        <f aca="false">IF($H360=S$4,$D360*$N360,"")</f>
        <v/>
      </c>
      <c r="T360" s="1435" t="str">
        <f aca="false">IF($H360=T$4,$D360*$N360,"")</f>
        <v/>
      </c>
      <c r="U360" s="1436" t="str">
        <f aca="false">IF($H360=U$4,$D360*$N360,"")</f>
        <v/>
      </c>
      <c r="V360" s="1472"/>
      <c r="W360" s="1471"/>
      <c r="X360" s="1471"/>
      <c r="Y360" s="1471"/>
      <c r="Z360" s="1471"/>
      <c r="AA360" s="1471"/>
      <c r="AB360" s="1473"/>
      <c r="AC360" s="1319"/>
      <c r="AD360" s="2" t="str">
        <f aca="false">IF(AND(AD$4=$G360,AD$6=$F360),$B360,"")</f>
        <v/>
      </c>
      <c r="AE360" s="2" t="str">
        <f aca="false">IF(AND(AE$4=$G360,AE$6=$F360),$B360,"")</f>
        <v/>
      </c>
      <c r="AF360" s="2" t="str">
        <f aca="false">IF(AND(AF$4=$G360,AF$6=$F360),$B360,"")</f>
        <v/>
      </c>
      <c r="AG360" s="2" t="str">
        <f aca="false">IF(AND(AG$4=$G360,AG$6=$F360),$B360,"")</f>
        <v/>
      </c>
      <c r="AI360" s="366"/>
      <c r="AL360" s="367"/>
      <c r="AO360" s="367"/>
      <c r="AP360" s="2" t="str">
        <f aca="false">IF(AT360&gt;0,RANK(AT360,AT$7:AT$423),"")</f>
        <v/>
      </c>
      <c r="AQ360" s="1475" t="n">
        <f aca="false">'O_MN, PE_UTA_UGM 2024'!C357</f>
        <v>465</v>
      </c>
      <c r="AR360" s="1421" t="n">
        <v>4010</v>
      </c>
      <c r="AS360" s="2" t="str">
        <f aca="false">IF(AY360&lt;&gt;"",AY360,"")</f>
        <v/>
      </c>
      <c r="AT360" s="1422" t="n">
        <f aca="false">IF(ISNUMBER($AR360),SUMIF(B$7:B$505,AR360,D$7:D$505),"")</f>
        <v>0</v>
      </c>
      <c r="AU360" s="1411" t="n">
        <f aca="false">IF(ISNUMBER($AR360),SUMIF(AD$7:AD$503,$AR360,J$7:J$503),"")</f>
        <v>0</v>
      </c>
      <c r="AV360" s="1411" t="n">
        <f aca="false">IF(ISNUMBER($AR360),SUMIF(AF$7:AF$503,$AR360,L$7:L$503),"")</f>
        <v>0</v>
      </c>
      <c r="AW360" s="1423" t="n">
        <f aca="false">IF(ISNUMBER($AR360),SUMIF(AE$7:AE$503,$AR360,K$7:K$503),"")</f>
        <v>0</v>
      </c>
      <c r="AX360" s="1423" t="n">
        <f aca="false">IF(ISNUMBER($AR360),SUMIF(AG$7:AG$503,$AR360,M$7:M$503),"")</f>
        <v>0</v>
      </c>
      <c r="AY360" s="2" t="str">
        <f aca="false">IF($AT360&gt;0,VLOOKUP($AR360,'O_MN, PE_UTA_UGM 2024'!E357:O772,2),"")</f>
        <v/>
      </c>
      <c r="AZ360" s="1507"/>
      <c r="BA360" s="1507"/>
      <c r="BB360" s="1507" t="str">
        <f aca="false">IF($AT360&gt;0,VLOOKUP($AR360,'O_MN, PE_UTA_UGM 2024'!$E$3:$O$419,BB$6),"")</f>
        <v/>
      </c>
      <c r="BC360" s="1507" t="str">
        <f aca="false">IF($AT360&gt;0,VLOOKUP($AR360,'O_MN, PE_UTA_UGM 2024'!$E$3:$O$419,BC$6),"")</f>
        <v/>
      </c>
      <c r="BD360" s="1507" t="str">
        <f aca="false">IF($AT360&gt;0,VLOOKUP($AR360,'O_MN, PE_UTA_UGM 2024'!$E$3:$O$419,BD$6),"")</f>
        <v/>
      </c>
      <c r="BE360" s="1507" t="str">
        <f aca="false">IF($AT360&gt;0,VLOOKUP($AR360,'O_MN, PE_UTA_UGM 2024'!$E$3:$O$419,BE$6),"")</f>
        <v/>
      </c>
      <c r="BF360" s="1507" t="str">
        <f aca="false">IF($AT360&gt;0,VLOOKUP($AR360,'O_MN, PE_UTA_UGM 2024'!$E$3:$O$419,BF$6),"")</f>
        <v/>
      </c>
      <c r="BG360" s="1507" t="str">
        <f aca="false">IF($AT360&gt;0,VLOOKUP($AR360,'O_MN, PE_UTA_UGM 2024'!$E$3:$O$419,BG$6),"")</f>
        <v/>
      </c>
      <c r="BH360" s="1504"/>
      <c r="BI360" s="1504"/>
      <c r="BJ360" s="1504"/>
      <c r="BK360" s="1504"/>
      <c r="BM360" s="1411"/>
      <c r="BN360" s="1411"/>
      <c r="BO360" s="1425" t="str">
        <f aca="false">IF(ISNUMBER($AU360*BB360*1),$AU360*BB360*1,"")</f>
        <v/>
      </c>
      <c r="BP360" s="1425" t="str">
        <f aca="false">IF(ISNUMBER($AV360*BC360*1),$AV360*BC360*1,"")</f>
        <v/>
      </c>
      <c r="BQ360" s="1425" t="str">
        <f aca="false">IF(ISNUMBER($AU360*BD360*1),$AU360*BD360*1,"")</f>
        <v/>
      </c>
      <c r="BR360" s="1425" t="str">
        <f aca="false">IF(ISNUMBER($AV360*BE360*1),$AV360*BE360*1,"")</f>
        <v/>
      </c>
      <c r="BS360" s="1411" t="str">
        <f aca="false">IF(ISNUMBER($AU360*BF360),$AU360*BF360,"")</f>
        <v/>
      </c>
      <c r="BT360" s="1411" t="str">
        <f aca="false">IF(ISNUMBER($AV360*BG360),$AV360*BG360,"")</f>
        <v/>
      </c>
      <c r="BU360" s="1411"/>
      <c r="BV360" s="1411"/>
      <c r="BW360" s="1411"/>
      <c r="BX360" s="1411"/>
      <c r="BZ360" s="1372"/>
      <c r="CA360" s="1372"/>
      <c r="CB360" s="1426" t="str">
        <f aca="false">IF(ISNUMBER($AW360*BB360),$AW360*BB360,"")</f>
        <v/>
      </c>
      <c r="CC360" s="1426" t="str">
        <f aca="false">IF(ISNUMBER($AX360*BC360),$AX360*BC360,"")</f>
        <v/>
      </c>
      <c r="CD360" s="1426" t="str">
        <f aca="false">IF(ISNUMBER($AW360*BD360),$AW360*BD360,"")</f>
        <v/>
      </c>
      <c r="CE360" s="1426" t="str">
        <f aca="false">IF(ISNUMBER($AX360*BE360),$AX360*BE360,"")</f>
        <v/>
      </c>
      <c r="CF360" s="1372" t="str">
        <f aca="false">IF(ISNUMBER($AW360*BF360),$AW360*BF360,"")</f>
        <v/>
      </c>
      <c r="CG360" s="1372" t="str">
        <f aca="false">IF(ISNUMBER($AX360*BG360),$AX360*BG360,"")</f>
        <v/>
      </c>
      <c r="CH360" s="1438"/>
      <c r="CI360" s="1438"/>
      <c r="CJ360" s="1438"/>
      <c r="CK360" s="1438"/>
      <c r="CU360" s="1411"/>
      <c r="CV360" s="1411"/>
      <c r="CW360" s="1425"/>
      <c r="CX360" s="1425"/>
      <c r="CY360" s="1425"/>
      <c r="CZ360" s="1425"/>
      <c r="DA360" s="1411"/>
      <c r="DB360" s="1411"/>
      <c r="DC360" s="1411"/>
      <c r="DD360" s="1411"/>
      <c r="DE360" s="1411"/>
      <c r="DF360" s="1411"/>
      <c r="DH360" s="1432"/>
      <c r="DI360" s="1432"/>
      <c r="DJ360" s="1437"/>
      <c r="DK360" s="1437"/>
      <c r="DL360" s="1437"/>
      <c r="DM360" s="1437"/>
      <c r="DN360" s="1432"/>
      <c r="DO360" s="1432"/>
      <c r="DP360" s="1432"/>
      <c r="DQ360" s="1432"/>
      <c r="DR360" s="1432"/>
      <c r="DS360" s="1432"/>
      <c r="DT360" s="1316"/>
      <c r="DU360" s="1433"/>
      <c r="DV360" s="1433"/>
      <c r="DW360" s="1433"/>
      <c r="DX360" s="1433"/>
      <c r="DY360" s="1433"/>
      <c r="DZ360" s="1433"/>
      <c r="EA360" s="1433"/>
      <c r="EB360" s="1433"/>
    </row>
    <row r="361" customFormat="false" ht="14.25" hidden="false" customHeight="false" outlineLevel="0" collapsed="false">
      <c r="A361" s="2" t="n">
        <f aca="false">'V_DATOS PAC_SGA'!CC356</f>
        <v>0</v>
      </c>
      <c r="B361" s="2" t="n">
        <f aca="false">IF(OR(A361=0,A361=""),0,IF(I361="IV",CONCATENATE('V_DATOS PAC_SGA'!CC356,"4")+0,CONCATENATE('V_DATOS PAC_SGA'!CC356,"0")+0))</f>
        <v>0</v>
      </c>
      <c r="C361" s="2" t="n">
        <f aca="false">'V_DATOS PAC_SGA'!CD356</f>
        <v>0</v>
      </c>
      <c r="D361" s="1409" t="n">
        <f aca="false">'V_DATOS PAC_SGA'!Y356</f>
        <v>0</v>
      </c>
      <c r="E361" s="1410" t="str">
        <f aca="false">IF('V_DATOS PAC_SGA'!AV356="","Regadio",'V_DATOS PAC_SGA'!AV356)</f>
        <v>Regadio</v>
      </c>
      <c r="F361" s="1411" t="n">
        <f aca="false">'V_DATOS PAC_SGA'!BK356</f>
        <v>0</v>
      </c>
      <c r="G361" s="1412" t="n">
        <f aca="false">'V_DATOS PAC_SGA'!AN356</f>
        <v>0</v>
      </c>
      <c r="H361" s="1413" t="str">
        <f aca="false">IF(B361&gt;0,VLOOKUP(B361,'O_MN, PE_UTA_UGM 2024'!E$3:O$419,10),"")</f>
        <v/>
      </c>
      <c r="I361" s="1359" t="str">
        <f aca="false">IF('V_DATOS PAC_SGA'!BV356="IV",'V_DATOS PAC_SGA'!BV356,"")</f>
        <v/>
      </c>
      <c r="J361" s="2" t="str">
        <f aca="false">IF($A361&gt;0,IF(AND(J$4=$G361,J$6=$F361),$D361*J$5,""),"")</f>
        <v/>
      </c>
      <c r="K361" s="2" t="str">
        <f aca="false">IF($A361&gt;0,IF(AND(K$4=$G361,K$6=$F361),$D361*K$5,""),"")</f>
        <v/>
      </c>
      <c r="L361" s="2" t="str">
        <f aca="false">IF($A361&gt;0,IF(AND(L$4=$G361,L$6=$F361),$D361*L$5,""),"")</f>
        <v/>
      </c>
      <c r="M361" s="2" t="str">
        <f aca="false">IF($A361&gt;0,IF(AND(M$4=$G361,M$6=$F361),$D361*M$5,""),"")</f>
        <v/>
      </c>
      <c r="N361" s="1506" t="n">
        <f aca="false">VLOOKUP(B361,'O_MN, PE_UTA_UGM 2024'!$E$2:$K$419,IF(G361&gt;1,6,7))</f>
        <v>0</v>
      </c>
      <c r="O361" s="1434" t="str">
        <f aca="false">IF($H361=O$4,$D361*$N361,"")</f>
        <v/>
      </c>
      <c r="P361" s="1435" t="str">
        <f aca="false">IF($H361=P$4,$D361*$N361,"")</f>
        <v/>
      </c>
      <c r="Q361" s="1435" t="str">
        <f aca="false">IF($H361=Q$4,$D361*$N361,"")</f>
        <v/>
      </c>
      <c r="R361" s="1435" t="str">
        <f aca="false">IF($H361=R$4,$D361*$N361,"")</f>
        <v/>
      </c>
      <c r="S361" s="1435" t="str">
        <f aca="false">IF($H361=S$4,$D361*$N361,"")</f>
        <v/>
      </c>
      <c r="T361" s="1435" t="str">
        <f aca="false">IF($H361=T$4,$D361*$N361,"")</f>
        <v/>
      </c>
      <c r="U361" s="1436" t="str">
        <f aca="false">IF($H361=U$4,$D361*$N361,"")</f>
        <v/>
      </c>
      <c r="V361" s="1472"/>
      <c r="W361" s="1471"/>
      <c r="X361" s="1471"/>
      <c r="Y361" s="1471"/>
      <c r="Z361" s="1471"/>
      <c r="AA361" s="1471"/>
      <c r="AB361" s="1473"/>
      <c r="AC361" s="1319"/>
      <c r="AD361" s="2" t="str">
        <f aca="false">IF(AND(AD$4=$G361,AD$6=$F361),$B361,"")</f>
        <v/>
      </c>
      <c r="AE361" s="2" t="str">
        <f aca="false">IF(AND(AE$4=$G361,AE$6=$F361),$B361,"")</f>
        <v/>
      </c>
      <c r="AF361" s="2" t="str">
        <f aca="false">IF(AND(AF$4=$G361,AF$6=$F361),$B361,"")</f>
        <v/>
      </c>
      <c r="AG361" s="2" t="str">
        <f aca="false">IF(AND(AG$4=$G361,AG$6=$F361),$B361,"")</f>
        <v/>
      </c>
      <c r="AI361" s="366"/>
      <c r="AL361" s="367"/>
      <c r="AO361" s="367"/>
      <c r="AP361" s="2" t="str">
        <f aca="false">IF(AT361&gt;0,RANK(AT361,AT$7:AT$423),"")</f>
        <v/>
      </c>
      <c r="AQ361" s="1475" t="n">
        <f aca="false">'O_MN, PE_UTA_UGM 2024'!C358</f>
        <v>470</v>
      </c>
      <c r="AR361" s="1421" t="n">
        <v>4020</v>
      </c>
      <c r="AS361" s="2" t="str">
        <f aca="false">IF(AY361&lt;&gt;"",AY361,"")</f>
        <v/>
      </c>
      <c r="AT361" s="1422" t="n">
        <f aca="false">IF(ISNUMBER($AR361),SUMIF(B$7:B$505,AR361,D$7:D$505),"")</f>
        <v>0</v>
      </c>
      <c r="AU361" s="1411" t="n">
        <f aca="false">IF(ISNUMBER($AR361),SUMIF(AD$7:AD$503,$AR361,J$7:J$503),"")</f>
        <v>0</v>
      </c>
      <c r="AV361" s="1411" t="n">
        <f aca="false">IF(ISNUMBER($AR361),SUMIF(AF$7:AF$503,$AR361,L$7:L$503),"")</f>
        <v>0</v>
      </c>
      <c r="AW361" s="1423" t="n">
        <f aca="false">IF(ISNUMBER($AR361),SUMIF(AE$7:AE$503,$AR361,K$7:K$503),"")</f>
        <v>0</v>
      </c>
      <c r="AX361" s="1423" t="n">
        <f aca="false">IF(ISNUMBER($AR361),SUMIF(AG$7:AG$503,$AR361,M$7:M$503),"")</f>
        <v>0</v>
      </c>
      <c r="AY361" s="2" t="str">
        <f aca="false">IF($AT361&gt;0,VLOOKUP($AR361,'O_MN, PE_UTA_UGM 2024'!E358:O773,2),"")</f>
        <v/>
      </c>
      <c r="AZ361" s="1507"/>
      <c r="BA361" s="1507"/>
      <c r="BB361" s="1507" t="str">
        <f aca="false">IF($AT361&gt;0,VLOOKUP($AR361,'O_MN, PE_UTA_UGM 2024'!$E$3:$O$419,BB$6),"")</f>
        <v/>
      </c>
      <c r="BC361" s="1507" t="str">
        <f aca="false">IF($AT361&gt;0,VLOOKUP($AR361,'O_MN, PE_UTA_UGM 2024'!$E$3:$O$419,BC$6),"")</f>
        <v/>
      </c>
      <c r="BD361" s="1507" t="str">
        <f aca="false">IF($AT361&gt;0,VLOOKUP($AR361,'O_MN, PE_UTA_UGM 2024'!$E$3:$O$419,BD$6),"")</f>
        <v/>
      </c>
      <c r="BE361" s="1507" t="str">
        <f aca="false">IF($AT361&gt;0,VLOOKUP($AR361,'O_MN, PE_UTA_UGM 2024'!$E$3:$O$419,BE$6),"")</f>
        <v/>
      </c>
      <c r="BF361" s="1507" t="str">
        <f aca="false">IF($AT361&gt;0,VLOOKUP($AR361,'O_MN, PE_UTA_UGM 2024'!$E$3:$O$419,BF$6),"")</f>
        <v/>
      </c>
      <c r="BG361" s="1507" t="str">
        <f aca="false">IF($AT361&gt;0,VLOOKUP($AR361,'O_MN, PE_UTA_UGM 2024'!$E$3:$O$419,BG$6),"")</f>
        <v/>
      </c>
      <c r="BH361" s="1504"/>
      <c r="BI361" s="1504"/>
      <c r="BJ361" s="1504"/>
      <c r="BK361" s="1504"/>
      <c r="BM361" s="1411"/>
      <c r="BN361" s="1411"/>
      <c r="BO361" s="1425" t="str">
        <f aca="false">IF(ISNUMBER($AU361*BB361*1),$AU361*BB361*1,"")</f>
        <v/>
      </c>
      <c r="BP361" s="1425" t="str">
        <f aca="false">IF(ISNUMBER($AV361*BC361*1),$AV361*BC361*1,"")</f>
        <v/>
      </c>
      <c r="BQ361" s="1425" t="str">
        <f aca="false">IF(ISNUMBER($AU361*BD361*1),$AU361*BD361*1,"")</f>
        <v/>
      </c>
      <c r="BR361" s="1425" t="str">
        <f aca="false">IF(ISNUMBER($AV361*BE361*1),$AV361*BE361*1,"")</f>
        <v/>
      </c>
      <c r="BS361" s="1411" t="str">
        <f aca="false">IF(ISNUMBER($AU361*BF361),$AU361*BF361,"")</f>
        <v/>
      </c>
      <c r="BT361" s="1411" t="str">
        <f aca="false">IF(ISNUMBER($AV361*BG361),$AV361*BG361,"")</f>
        <v/>
      </c>
      <c r="BU361" s="1411"/>
      <c r="BV361" s="1411"/>
      <c r="BW361" s="1411"/>
      <c r="BX361" s="1411"/>
      <c r="BZ361" s="1372"/>
      <c r="CA361" s="1372"/>
      <c r="CB361" s="1426" t="str">
        <f aca="false">IF(ISNUMBER($AW361*BB361),$AW361*BB361,"")</f>
        <v/>
      </c>
      <c r="CC361" s="1426" t="str">
        <f aca="false">IF(ISNUMBER($AX361*BC361),$AX361*BC361,"")</f>
        <v/>
      </c>
      <c r="CD361" s="1426" t="str">
        <f aca="false">IF(ISNUMBER($AW361*BD361),$AW361*BD361,"")</f>
        <v/>
      </c>
      <c r="CE361" s="1426" t="str">
        <f aca="false">IF(ISNUMBER($AX361*BE361),$AX361*BE361,"")</f>
        <v/>
      </c>
      <c r="CF361" s="1372" t="str">
        <f aca="false">IF(ISNUMBER($AW361*BF361),$AW361*BF361,"")</f>
        <v/>
      </c>
      <c r="CG361" s="1372" t="str">
        <f aca="false">IF(ISNUMBER($AX361*BG361),$AX361*BG361,"")</f>
        <v/>
      </c>
      <c r="CH361" s="1438"/>
      <c r="CI361" s="1438"/>
      <c r="CJ361" s="1438"/>
      <c r="CK361" s="1438"/>
      <c r="CU361" s="1411"/>
      <c r="CV361" s="1411"/>
      <c r="CW361" s="1425"/>
      <c r="CX361" s="1425"/>
      <c r="CY361" s="1425"/>
      <c r="CZ361" s="1425"/>
      <c r="DA361" s="1411"/>
      <c r="DB361" s="1411"/>
      <c r="DC361" s="1411"/>
      <c r="DD361" s="1411"/>
      <c r="DE361" s="1411"/>
      <c r="DF361" s="1411"/>
      <c r="DH361" s="1432"/>
      <c r="DI361" s="1432"/>
      <c r="DJ361" s="1437"/>
      <c r="DK361" s="1437"/>
      <c r="DL361" s="1437"/>
      <c r="DM361" s="1437"/>
      <c r="DN361" s="1432"/>
      <c r="DO361" s="1432"/>
      <c r="DP361" s="1432"/>
      <c r="DQ361" s="1432"/>
      <c r="DR361" s="1432"/>
      <c r="DS361" s="1432"/>
      <c r="DT361" s="1316"/>
      <c r="DU361" s="1433"/>
      <c r="DV361" s="1433"/>
      <c r="DW361" s="1433"/>
      <c r="DX361" s="1433"/>
      <c r="DY361" s="1433"/>
      <c r="DZ361" s="1433"/>
      <c r="EA361" s="1433"/>
      <c r="EB361" s="1433"/>
    </row>
    <row r="362" customFormat="false" ht="14.25" hidden="false" customHeight="false" outlineLevel="0" collapsed="false">
      <c r="A362" s="2" t="n">
        <f aca="false">'V_DATOS PAC_SGA'!CC357</f>
        <v>0</v>
      </c>
      <c r="B362" s="2" t="n">
        <f aca="false">IF(OR(A362=0,A362=""),0,IF(I362="IV",CONCATENATE('V_DATOS PAC_SGA'!CC357,"4")+0,CONCATENATE('V_DATOS PAC_SGA'!CC357,"0")+0))</f>
        <v>0</v>
      </c>
      <c r="C362" s="2" t="n">
        <f aca="false">'V_DATOS PAC_SGA'!CD357</f>
        <v>0</v>
      </c>
      <c r="D362" s="1409" t="n">
        <f aca="false">'V_DATOS PAC_SGA'!Y357</f>
        <v>0</v>
      </c>
      <c r="E362" s="1410" t="str">
        <f aca="false">IF('V_DATOS PAC_SGA'!AV357="","Regadio",'V_DATOS PAC_SGA'!AV357)</f>
        <v>Regadio</v>
      </c>
      <c r="F362" s="1411" t="n">
        <f aca="false">'V_DATOS PAC_SGA'!BK357</f>
        <v>0</v>
      </c>
      <c r="G362" s="1412" t="n">
        <f aca="false">'V_DATOS PAC_SGA'!AN357</f>
        <v>0</v>
      </c>
      <c r="H362" s="1413" t="str">
        <f aca="false">IF(B362&gt;0,VLOOKUP(B362,'O_MN, PE_UTA_UGM 2024'!E$3:O$419,10),"")</f>
        <v/>
      </c>
      <c r="I362" s="1359" t="str">
        <f aca="false">IF('V_DATOS PAC_SGA'!BV357="IV",'V_DATOS PAC_SGA'!BV357,"")</f>
        <v/>
      </c>
      <c r="J362" s="2" t="str">
        <f aca="false">IF($A362&gt;0,IF(AND(J$4=$G362,J$6=$F362),$D362*J$5,""),"")</f>
        <v/>
      </c>
      <c r="K362" s="2" t="str">
        <f aca="false">IF($A362&gt;0,IF(AND(K$4=$G362,K$6=$F362),$D362*K$5,""),"")</f>
        <v/>
      </c>
      <c r="L362" s="2" t="str">
        <f aca="false">IF($A362&gt;0,IF(AND(L$4=$G362,L$6=$F362),$D362*L$5,""),"")</f>
        <v/>
      </c>
      <c r="M362" s="2" t="str">
        <f aca="false">IF($A362&gt;0,IF(AND(M$4=$G362,M$6=$F362),$D362*M$5,""),"")</f>
        <v/>
      </c>
      <c r="N362" s="1506" t="n">
        <f aca="false">VLOOKUP(B362,'O_MN, PE_UTA_UGM 2024'!$E$2:$K$419,IF(G362&gt;1,6,7))</f>
        <v>0</v>
      </c>
      <c r="O362" s="1434" t="str">
        <f aca="false">IF($H362=O$4,$D362*$N362,"")</f>
        <v/>
      </c>
      <c r="P362" s="1435" t="str">
        <f aca="false">IF($H362=P$4,$D362*$N362,"")</f>
        <v/>
      </c>
      <c r="Q362" s="1435" t="str">
        <f aca="false">IF($H362=Q$4,$D362*$N362,"")</f>
        <v/>
      </c>
      <c r="R362" s="1435" t="str">
        <f aca="false">IF($H362=R$4,$D362*$N362,"")</f>
        <v/>
      </c>
      <c r="S362" s="1435" t="str">
        <f aca="false">IF($H362=S$4,$D362*$N362,"")</f>
        <v/>
      </c>
      <c r="T362" s="1435" t="str">
        <f aca="false">IF($H362=T$4,$D362*$N362,"")</f>
        <v/>
      </c>
      <c r="U362" s="1436" t="str">
        <f aca="false">IF($H362=U$4,$D362*$N362,"")</f>
        <v/>
      </c>
      <c r="V362" s="1472"/>
      <c r="W362" s="1471"/>
      <c r="X362" s="1471"/>
      <c r="Y362" s="1471"/>
      <c r="Z362" s="1471"/>
      <c r="AA362" s="1471"/>
      <c r="AB362" s="1473"/>
      <c r="AC362" s="1319"/>
      <c r="AD362" s="2" t="str">
        <f aca="false">IF(AND(AD$4=$G362,AD$6=$F362),$B362,"")</f>
        <v/>
      </c>
      <c r="AE362" s="2" t="str">
        <f aca="false">IF(AND(AE$4=$G362,AE$6=$F362),$B362,"")</f>
        <v/>
      </c>
      <c r="AF362" s="2" t="str">
        <f aca="false">IF(AND(AF$4=$G362,AF$6=$F362),$B362,"")</f>
        <v/>
      </c>
      <c r="AG362" s="2" t="str">
        <f aca="false">IF(AND(AG$4=$G362,AG$6=$F362),$B362,"")</f>
        <v/>
      </c>
      <c r="AI362" s="366"/>
      <c r="AL362" s="367"/>
      <c r="AO362" s="367"/>
      <c r="AP362" s="2" t="str">
        <f aca="false">IF(AT362&gt;0,RANK(AT362,AT$7:AT$423),"")</f>
        <v/>
      </c>
      <c r="AQ362" s="1475" t="n">
        <f aca="false">'O_MN, PE_UTA_UGM 2024'!C359</f>
        <v>478</v>
      </c>
      <c r="AR362" s="1421" t="n">
        <v>4030</v>
      </c>
      <c r="AS362" s="2" t="str">
        <f aca="false">IF(AY362&lt;&gt;"",AY362,"")</f>
        <v/>
      </c>
      <c r="AT362" s="1422" t="n">
        <f aca="false">IF(ISNUMBER($AR362),SUMIF(B$7:B$505,AR362,D$7:D$505),"")</f>
        <v>0</v>
      </c>
      <c r="AU362" s="1411" t="n">
        <f aca="false">IF(ISNUMBER($AR362),SUMIF(AD$7:AD$503,$AR362,J$7:J$503),"")</f>
        <v>0</v>
      </c>
      <c r="AV362" s="1411" t="n">
        <f aca="false">IF(ISNUMBER($AR362),SUMIF(AF$7:AF$503,$AR362,L$7:L$503),"")</f>
        <v>0</v>
      </c>
      <c r="AW362" s="1423" t="n">
        <f aca="false">IF(ISNUMBER($AR362),SUMIF(AE$7:AE$503,$AR362,K$7:K$503),"")</f>
        <v>0</v>
      </c>
      <c r="AX362" s="1423" t="n">
        <f aca="false">IF(ISNUMBER($AR362),SUMIF(AG$7:AG$503,$AR362,M$7:M$503),"")</f>
        <v>0</v>
      </c>
      <c r="AY362" s="2" t="str">
        <f aca="false">IF($AT362&gt;0,VLOOKUP($AR362,'O_MN, PE_UTA_UGM 2024'!E359:O774,2),"")</f>
        <v/>
      </c>
      <c r="AZ362" s="1507"/>
      <c r="BA362" s="1507"/>
      <c r="BB362" s="1507" t="str">
        <f aca="false">IF($AT362&gt;0,VLOOKUP($AR362,'O_MN, PE_UTA_UGM 2024'!$E$3:$O$419,BB$6),"")</f>
        <v/>
      </c>
      <c r="BC362" s="1507" t="str">
        <f aca="false">IF($AT362&gt;0,VLOOKUP($AR362,'O_MN, PE_UTA_UGM 2024'!$E$3:$O$419,BC$6),"")</f>
        <v/>
      </c>
      <c r="BD362" s="1507" t="str">
        <f aca="false">IF($AT362&gt;0,VLOOKUP($AR362,'O_MN, PE_UTA_UGM 2024'!$E$3:$O$419,BD$6),"")</f>
        <v/>
      </c>
      <c r="BE362" s="1507" t="str">
        <f aca="false">IF($AT362&gt;0,VLOOKUP($AR362,'O_MN, PE_UTA_UGM 2024'!$E$3:$O$419,BE$6),"")</f>
        <v/>
      </c>
      <c r="BF362" s="1507" t="str">
        <f aca="false">IF($AT362&gt;0,VLOOKUP($AR362,'O_MN, PE_UTA_UGM 2024'!$E$3:$O$419,BF$6),"")</f>
        <v/>
      </c>
      <c r="BG362" s="1507" t="str">
        <f aca="false">IF($AT362&gt;0,VLOOKUP($AR362,'O_MN, PE_UTA_UGM 2024'!$E$3:$O$419,BG$6),"")</f>
        <v/>
      </c>
      <c r="BH362" s="1504"/>
      <c r="BI362" s="1504"/>
      <c r="BJ362" s="1504"/>
      <c r="BK362" s="1504"/>
      <c r="BM362" s="1411"/>
      <c r="BN362" s="1411"/>
      <c r="BO362" s="1425" t="str">
        <f aca="false">IF(ISNUMBER($AU362*BB362*1),$AU362*BB362*1,"")</f>
        <v/>
      </c>
      <c r="BP362" s="1425" t="str">
        <f aca="false">IF(ISNUMBER($AV362*BC362*1),$AV362*BC362*1,"")</f>
        <v/>
      </c>
      <c r="BQ362" s="1425" t="str">
        <f aca="false">IF(ISNUMBER($AU362*BD362*1),$AU362*BD362*1,"")</f>
        <v/>
      </c>
      <c r="BR362" s="1425" t="str">
        <f aca="false">IF(ISNUMBER($AV362*BE362*1),$AV362*BE362*1,"")</f>
        <v/>
      </c>
      <c r="BS362" s="1411" t="str">
        <f aca="false">IF(ISNUMBER($AU362*BF362),$AU362*BF362,"")</f>
        <v/>
      </c>
      <c r="BT362" s="1411" t="str">
        <f aca="false">IF(ISNUMBER($AV362*BG362),$AV362*BG362,"")</f>
        <v/>
      </c>
      <c r="BU362" s="1411"/>
      <c r="BV362" s="1411"/>
      <c r="BW362" s="1411"/>
      <c r="BX362" s="1411"/>
      <c r="BZ362" s="1372"/>
      <c r="CA362" s="1372"/>
      <c r="CB362" s="1426" t="str">
        <f aca="false">IF(ISNUMBER($AW362*BB362),$AW362*BB362,"")</f>
        <v/>
      </c>
      <c r="CC362" s="1426" t="str">
        <f aca="false">IF(ISNUMBER($AX362*BC362),$AX362*BC362,"")</f>
        <v/>
      </c>
      <c r="CD362" s="1426" t="str">
        <f aca="false">IF(ISNUMBER($AW362*BD362),$AW362*BD362,"")</f>
        <v/>
      </c>
      <c r="CE362" s="1426" t="str">
        <f aca="false">IF(ISNUMBER($AX362*BE362),$AX362*BE362,"")</f>
        <v/>
      </c>
      <c r="CF362" s="1372" t="str">
        <f aca="false">IF(ISNUMBER($AW362*BF362),$AW362*BF362,"")</f>
        <v/>
      </c>
      <c r="CG362" s="1372" t="str">
        <f aca="false">IF(ISNUMBER($AX362*BG362),$AX362*BG362,"")</f>
        <v/>
      </c>
      <c r="CH362" s="1438"/>
      <c r="CI362" s="1438"/>
      <c r="CJ362" s="1438"/>
      <c r="CK362" s="1438"/>
      <c r="CU362" s="1411"/>
      <c r="CV362" s="1411"/>
      <c r="CW362" s="1425"/>
      <c r="CX362" s="1425"/>
      <c r="CY362" s="1425"/>
      <c r="CZ362" s="1425"/>
      <c r="DA362" s="1411"/>
      <c r="DB362" s="1411"/>
      <c r="DC362" s="1411"/>
      <c r="DD362" s="1411"/>
      <c r="DE362" s="1411"/>
      <c r="DF362" s="1411"/>
      <c r="DH362" s="1432"/>
      <c r="DI362" s="1432"/>
      <c r="DJ362" s="1437"/>
      <c r="DK362" s="1437"/>
      <c r="DL362" s="1437"/>
      <c r="DM362" s="1437"/>
      <c r="DN362" s="1432"/>
      <c r="DO362" s="1432"/>
      <c r="DP362" s="1432"/>
      <c r="DQ362" s="1432"/>
      <c r="DR362" s="1432"/>
      <c r="DS362" s="1432"/>
      <c r="DT362" s="1316"/>
      <c r="DU362" s="1433"/>
      <c r="DV362" s="1433"/>
      <c r="DW362" s="1433"/>
      <c r="DX362" s="1433"/>
      <c r="DY362" s="1433"/>
      <c r="DZ362" s="1433"/>
      <c r="EA362" s="1433"/>
      <c r="EB362" s="1433"/>
    </row>
    <row r="363" customFormat="false" ht="14.25" hidden="false" customHeight="false" outlineLevel="0" collapsed="false">
      <c r="A363" s="2" t="n">
        <f aca="false">'V_DATOS PAC_SGA'!CC358</f>
        <v>0</v>
      </c>
      <c r="B363" s="2" t="n">
        <f aca="false">IF(OR(A363=0,A363=""),0,IF(I363="IV",CONCATENATE('V_DATOS PAC_SGA'!CC358,"4")+0,CONCATENATE('V_DATOS PAC_SGA'!CC358,"0")+0))</f>
        <v>0</v>
      </c>
      <c r="C363" s="2" t="n">
        <f aca="false">'V_DATOS PAC_SGA'!CD358</f>
        <v>0</v>
      </c>
      <c r="D363" s="1409" t="n">
        <f aca="false">'V_DATOS PAC_SGA'!Y358</f>
        <v>0</v>
      </c>
      <c r="E363" s="1410" t="str">
        <f aca="false">IF('V_DATOS PAC_SGA'!AV358="","Regadio",'V_DATOS PAC_SGA'!AV358)</f>
        <v>Regadio</v>
      </c>
      <c r="F363" s="1411" t="n">
        <f aca="false">'V_DATOS PAC_SGA'!BK358</f>
        <v>0</v>
      </c>
      <c r="G363" s="1412" t="n">
        <f aca="false">'V_DATOS PAC_SGA'!AN358</f>
        <v>0</v>
      </c>
      <c r="H363" s="1413" t="str">
        <f aca="false">IF(B363&gt;0,VLOOKUP(B363,'O_MN, PE_UTA_UGM 2024'!E$3:O$419,10),"")</f>
        <v/>
      </c>
      <c r="I363" s="1359" t="str">
        <f aca="false">IF('V_DATOS PAC_SGA'!BV358="IV",'V_DATOS PAC_SGA'!BV358,"")</f>
        <v/>
      </c>
      <c r="J363" s="2" t="str">
        <f aca="false">IF($A363&gt;0,IF(AND(J$4=$G363,J$6=$F363),$D363*J$5,""),"")</f>
        <v/>
      </c>
      <c r="K363" s="2" t="str">
        <f aca="false">IF($A363&gt;0,IF(AND(K$4=$G363,K$6=$F363),$D363*K$5,""),"")</f>
        <v/>
      </c>
      <c r="L363" s="2" t="str">
        <f aca="false">IF($A363&gt;0,IF(AND(L$4=$G363,L$6=$F363),$D363*L$5,""),"")</f>
        <v/>
      </c>
      <c r="M363" s="2" t="str">
        <f aca="false">IF($A363&gt;0,IF(AND(M$4=$G363,M$6=$F363),$D363*M$5,""),"")</f>
        <v/>
      </c>
      <c r="N363" s="1506" t="n">
        <f aca="false">VLOOKUP(B363,'O_MN, PE_UTA_UGM 2024'!$E$2:$K$419,IF(G363&gt;1,6,7))</f>
        <v>0</v>
      </c>
      <c r="O363" s="1434" t="str">
        <f aca="false">IF($H363=O$4,$D363*$N363,"")</f>
        <v/>
      </c>
      <c r="P363" s="1435" t="str">
        <f aca="false">IF($H363=P$4,$D363*$N363,"")</f>
        <v/>
      </c>
      <c r="Q363" s="1435" t="str">
        <f aca="false">IF($H363=Q$4,$D363*$N363,"")</f>
        <v/>
      </c>
      <c r="R363" s="1435" t="str">
        <f aca="false">IF($H363=R$4,$D363*$N363,"")</f>
        <v/>
      </c>
      <c r="S363" s="1435" t="str">
        <f aca="false">IF($H363=S$4,$D363*$N363,"")</f>
        <v/>
      </c>
      <c r="T363" s="1435" t="str">
        <f aca="false">IF($H363=T$4,$D363*$N363,"")</f>
        <v/>
      </c>
      <c r="U363" s="1436" t="str">
        <f aca="false">IF($H363=U$4,$D363*$N363,"")</f>
        <v/>
      </c>
      <c r="V363" s="1472"/>
      <c r="W363" s="1471"/>
      <c r="X363" s="1471"/>
      <c r="Y363" s="1471"/>
      <c r="Z363" s="1471"/>
      <c r="AA363" s="1471"/>
      <c r="AB363" s="1473"/>
      <c r="AC363" s="1319"/>
      <c r="AD363" s="2" t="str">
        <f aca="false">IF(AND(AD$4=$G363,AD$6=$F363),$B363,"")</f>
        <v/>
      </c>
      <c r="AE363" s="2" t="str">
        <f aca="false">IF(AND(AE$4=$G363,AE$6=$F363),$B363,"")</f>
        <v/>
      </c>
      <c r="AF363" s="2" t="str">
        <f aca="false">IF(AND(AF$4=$G363,AF$6=$F363),$B363,"")</f>
        <v/>
      </c>
      <c r="AG363" s="2" t="str">
        <f aca="false">IF(AND(AG$4=$G363,AG$6=$F363),$B363,"")</f>
        <v/>
      </c>
      <c r="AI363" s="366"/>
      <c r="AL363" s="367"/>
      <c r="AO363" s="367"/>
      <c r="AP363" s="2" t="str">
        <f aca="false">IF(AT363&gt;0,RANK(AT363,AT$7:AT$423),"")</f>
        <v/>
      </c>
      <c r="AQ363" s="1475" t="n">
        <f aca="false">'O_MN, PE_UTA_UGM 2024'!C360</f>
        <v>483</v>
      </c>
      <c r="AR363" s="1421" t="n">
        <v>4050</v>
      </c>
      <c r="AS363" s="2" t="str">
        <f aca="false">IF(AY363&lt;&gt;"",AY363,"")</f>
        <v/>
      </c>
      <c r="AT363" s="1422" t="n">
        <f aca="false">IF(ISNUMBER($AR363),SUMIF(B$7:B$505,AR363,D$7:D$505),"")</f>
        <v>0</v>
      </c>
      <c r="AU363" s="1411" t="n">
        <f aca="false">IF(ISNUMBER($AR363),SUMIF(AD$7:AD$503,$AR363,J$7:J$503),"")</f>
        <v>0</v>
      </c>
      <c r="AV363" s="1411" t="n">
        <f aca="false">IF(ISNUMBER($AR363),SUMIF(AF$7:AF$503,$AR363,L$7:L$503),"")</f>
        <v>0</v>
      </c>
      <c r="AW363" s="1423" t="n">
        <f aca="false">IF(ISNUMBER($AR363),SUMIF(AE$7:AE$503,$AR363,K$7:K$503),"")</f>
        <v>0</v>
      </c>
      <c r="AX363" s="1423" t="n">
        <f aca="false">IF(ISNUMBER($AR363),SUMIF(AG$7:AG$503,$AR363,M$7:M$503),"")</f>
        <v>0</v>
      </c>
      <c r="AY363" s="2" t="str">
        <f aca="false">IF($AT363&gt;0,VLOOKUP($AR363,'O_MN, PE_UTA_UGM 2024'!E360:O775,2),"")</f>
        <v/>
      </c>
      <c r="AZ363" s="1507"/>
      <c r="BA363" s="1507"/>
      <c r="BB363" s="1507" t="str">
        <f aca="false">IF($AT363&gt;0,VLOOKUP($AR363,'O_MN, PE_UTA_UGM 2024'!$E$3:$O$419,BB$6),"")</f>
        <v/>
      </c>
      <c r="BC363" s="1507" t="str">
        <f aca="false">IF($AT363&gt;0,VLOOKUP($AR363,'O_MN, PE_UTA_UGM 2024'!$E$3:$O$419,BC$6),"")</f>
        <v/>
      </c>
      <c r="BD363" s="1507" t="str">
        <f aca="false">IF($AT363&gt;0,VLOOKUP($AR363,'O_MN, PE_UTA_UGM 2024'!$E$3:$O$419,BD$6),"")</f>
        <v/>
      </c>
      <c r="BE363" s="1507" t="str">
        <f aca="false">IF($AT363&gt;0,VLOOKUP($AR363,'O_MN, PE_UTA_UGM 2024'!$E$3:$O$419,BE$6),"")</f>
        <v/>
      </c>
      <c r="BF363" s="1507" t="str">
        <f aca="false">IF($AT363&gt;0,VLOOKUP($AR363,'O_MN, PE_UTA_UGM 2024'!$E$3:$O$419,BF$6),"")</f>
        <v/>
      </c>
      <c r="BG363" s="1507" t="str">
        <f aca="false">IF($AT363&gt;0,VLOOKUP($AR363,'O_MN, PE_UTA_UGM 2024'!$E$3:$O$419,BG$6),"")</f>
        <v/>
      </c>
      <c r="BH363" s="1504"/>
      <c r="BI363" s="1504"/>
      <c r="BJ363" s="1504"/>
      <c r="BK363" s="1504"/>
      <c r="BM363" s="1411"/>
      <c r="BN363" s="1411"/>
      <c r="BO363" s="1425" t="str">
        <f aca="false">IF(ISNUMBER($AU363*BB363*1),$AU363*BB363*1,"")</f>
        <v/>
      </c>
      <c r="BP363" s="1425" t="str">
        <f aca="false">IF(ISNUMBER($AV363*BC363*1),$AV363*BC363*1,"")</f>
        <v/>
      </c>
      <c r="BQ363" s="1425" t="str">
        <f aca="false">IF(ISNUMBER($AU363*BD363*1),$AU363*BD363*1,"")</f>
        <v/>
      </c>
      <c r="BR363" s="1425" t="str">
        <f aca="false">IF(ISNUMBER($AV363*BE363*1),$AV363*BE363*1,"")</f>
        <v/>
      </c>
      <c r="BS363" s="1411" t="str">
        <f aca="false">IF(ISNUMBER($AU363*BF363),$AU363*BF363,"")</f>
        <v/>
      </c>
      <c r="BT363" s="1411" t="str">
        <f aca="false">IF(ISNUMBER($AV363*BG363),$AV363*BG363,"")</f>
        <v/>
      </c>
      <c r="BU363" s="1411"/>
      <c r="BV363" s="1411"/>
      <c r="BW363" s="1411"/>
      <c r="BX363" s="1411"/>
      <c r="BZ363" s="1372"/>
      <c r="CA363" s="1372"/>
      <c r="CB363" s="1426" t="str">
        <f aca="false">IF(ISNUMBER($AW363*BB363),$AW363*BB363,"")</f>
        <v/>
      </c>
      <c r="CC363" s="1426" t="str">
        <f aca="false">IF(ISNUMBER($AX363*BC363),$AX363*BC363,"")</f>
        <v/>
      </c>
      <c r="CD363" s="1426" t="str">
        <f aca="false">IF(ISNUMBER($AW363*BD363),$AW363*BD363,"")</f>
        <v/>
      </c>
      <c r="CE363" s="1426" t="str">
        <f aca="false">IF(ISNUMBER($AX363*BE363),$AX363*BE363,"")</f>
        <v/>
      </c>
      <c r="CF363" s="1372" t="str">
        <f aca="false">IF(ISNUMBER($AW363*BF363),$AW363*BF363,"")</f>
        <v/>
      </c>
      <c r="CG363" s="1372" t="str">
        <f aca="false">IF(ISNUMBER($AX363*BG363),$AX363*BG363,"")</f>
        <v/>
      </c>
      <c r="CH363" s="1438"/>
      <c r="CI363" s="1438"/>
      <c r="CJ363" s="1438"/>
      <c r="CK363" s="1438"/>
      <c r="CU363" s="1411"/>
      <c r="CV363" s="1411"/>
      <c r="CW363" s="1425"/>
      <c r="CX363" s="1425"/>
      <c r="CY363" s="1425"/>
      <c r="CZ363" s="1425"/>
      <c r="DA363" s="1411"/>
      <c r="DB363" s="1411"/>
      <c r="DC363" s="1411"/>
      <c r="DD363" s="1411"/>
      <c r="DE363" s="1411"/>
      <c r="DF363" s="1411"/>
      <c r="DH363" s="1432"/>
      <c r="DI363" s="1432"/>
      <c r="DJ363" s="1437"/>
      <c r="DK363" s="1437"/>
      <c r="DL363" s="1437"/>
      <c r="DM363" s="1437"/>
      <c r="DN363" s="1432"/>
      <c r="DO363" s="1432"/>
      <c r="DP363" s="1432"/>
      <c r="DQ363" s="1432"/>
      <c r="DR363" s="1432"/>
      <c r="DS363" s="1432"/>
      <c r="DT363" s="1316"/>
      <c r="DU363" s="1433"/>
      <c r="DV363" s="1433"/>
      <c r="DW363" s="1433"/>
      <c r="DX363" s="1433"/>
      <c r="DY363" s="1433"/>
      <c r="DZ363" s="1433"/>
      <c r="EA363" s="1433"/>
      <c r="EB363" s="1433"/>
    </row>
    <row r="364" customFormat="false" ht="14.25" hidden="false" customHeight="false" outlineLevel="0" collapsed="false">
      <c r="A364" s="2" t="n">
        <f aca="false">'V_DATOS PAC_SGA'!CC359</f>
        <v>0</v>
      </c>
      <c r="B364" s="2" t="n">
        <f aca="false">IF(OR(A364=0,A364=""),0,IF(I364="IV",CONCATENATE('V_DATOS PAC_SGA'!CC359,"4")+0,CONCATENATE('V_DATOS PAC_SGA'!CC359,"0")+0))</f>
        <v>0</v>
      </c>
      <c r="C364" s="2" t="n">
        <f aca="false">'V_DATOS PAC_SGA'!CD359</f>
        <v>0</v>
      </c>
      <c r="D364" s="1409" t="n">
        <f aca="false">'V_DATOS PAC_SGA'!Y359</f>
        <v>0</v>
      </c>
      <c r="E364" s="1410" t="str">
        <f aca="false">IF('V_DATOS PAC_SGA'!AV359="","Regadio",'V_DATOS PAC_SGA'!AV359)</f>
        <v>Regadio</v>
      </c>
      <c r="F364" s="1411" t="n">
        <f aca="false">'V_DATOS PAC_SGA'!BK359</f>
        <v>0</v>
      </c>
      <c r="G364" s="1412" t="n">
        <f aca="false">'V_DATOS PAC_SGA'!AN359</f>
        <v>0</v>
      </c>
      <c r="H364" s="1413" t="str">
        <f aca="false">IF(B364&gt;0,VLOOKUP(B364,'O_MN, PE_UTA_UGM 2024'!E$3:O$419,10),"")</f>
        <v/>
      </c>
      <c r="I364" s="1359" t="str">
        <f aca="false">IF('V_DATOS PAC_SGA'!BV359="IV",'V_DATOS PAC_SGA'!BV359,"")</f>
        <v/>
      </c>
      <c r="J364" s="2" t="str">
        <f aca="false">IF($A364&gt;0,IF(AND(J$4=$G364,J$6=$F364),$D364*J$5,""),"")</f>
        <v/>
      </c>
      <c r="K364" s="2" t="str">
        <f aca="false">IF($A364&gt;0,IF(AND(K$4=$G364,K$6=$F364),$D364*K$5,""),"")</f>
        <v/>
      </c>
      <c r="L364" s="2" t="str">
        <f aca="false">IF($A364&gt;0,IF(AND(L$4=$G364,L$6=$F364),$D364*L$5,""),"")</f>
        <v/>
      </c>
      <c r="M364" s="2" t="str">
        <f aca="false">IF($A364&gt;0,IF(AND(M$4=$G364,M$6=$F364),$D364*M$5,""),"")</f>
        <v/>
      </c>
      <c r="N364" s="1506" t="n">
        <f aca="false">VLOOKUP(B364,'O_MN, PE_UTA_UGM 2024'!$E$2:$K$419,IF(G364&gt;1,6,7))</f>
        <v>0</v>
      </c>
      <c r="O364" s="1434" t="str">
        <f aca="false">IF($H364=O$4,$D364*$N364,"")</f>
        <v/>
      </c>
      <c r="P364" s="1435" t="str">
        <f aca="false">IF($H364=P$4,$D364*$N364,"")</f>
        <v/>
      </c>
      <c r="Q364" s="1435" t="str">
        <f aca="false">IF($H364=Q$4,$D364*$N364,"")</f>
        <v/>
      </c>
      <c r="R364" s="1435" t="str">
        <f aca="false">IF($H364=R$4,$D364*$N364,"")</f>
        <v/>
      </c>
      <c r="S364" s="1435" t="str">
        <f aca="false">IF($H364=S$4,$D364*$N364,"")</f>
        <v/>
      </c>
      <c r="T364" s="1435" t="str">
        <f aca="false">IF($H364=T$4,$D364*$N364,"")</f>
        <v/>
      </c>
      <c r="U364" s="1436" t="str">
        <f aca="false">IF($H364=U$4,$D364*$N364,"")</f>
        <v/>
      </c>
      <c r="V364" s="1472"/>
      <c r="W364" s="1471"/>
      <c r="X364" s="1471"/>
      <c r="Y364" s="1471"/>
      <c r="Z364" s="1471"/>
      <c r="AA364" s="1471"/>
      <c r="AB364" s="1473"/>
      <c r="AC364" s="1319"/>
      <c r="AD364" s="2" t="str">
        <f aca="false">IF(AND(AD$4=$G364,AD$6=$F364),$B364,"")</f>
        <v/>
      </c>
      <c r="AE364" s="2" t="str">
        <f aca="false">IF(AND(AE$4=$G364,AE$6=$F364),$B364,"")</f>
        <v/>
      </c>
      <c r="AF364" s="2" t="str">
        <f aca="false">IF(AND(AF$4=$G364,AF$6=$F364),$B364,"")</f>
        <v/>
      </c>
      <c r="AG364" s="2" t="str">
        <f aca="false">IF(AND(AG$4=$G364,AG$6=$F364),$B364,"")</f>
        <v/>
      </c>
      <c r="AI364" s="366"/>
      <c r="AL364" s="367"/>
      <c r="AO364" s="367"/>
      <c r="AP364" s="2" t="str">
        <f aca="false">IF(AT364&gt;0,RANK(AT364,AT$7:AT$423),"")</f>
        <v/>
      </c>
      <c r="AQ364" s="1475" t="n">
        <f aca="false">'O_MN, PE_UTA_UGM 2024'!C361</f>
        <v>486</v>
      </c>
      <c r="AR364" s="1421" t="n">
        <v>4060</v>
      </c>
      <c r="AS364" s="2" t="str">
        <f aca="false">IF(AY364&lt;&gt;"",AY364,"")</f>
        <v/>
      </c>
      <c r="AT364" s="1422" t="n">
        <f aca="false">IF(ISNUMBER($AR364),SUMIF(B$7:B$505,AR364,D$7:D$505),"")</f>
        <v>0</v>
      </c>
      <c r="AU364" s="1411" t="n">
        <f aca="false">IF(ISNUMBER($AR364),SUMIF(AD$7:AD$503,$AR364,J$7:J$503),"")</f>
        <v>0</v>
      </c>
      <c r="AV364" s="1411" t="n">
        <f aca="false">IF(ISNUMBER($AR364),SUMIF(AF$7:AF$503,$AR364,L$7:L$503),"")</f>
        <v>0</v>
      </c>
      <c r="AW364" s="1423" t="n">
        <f aca="false">IF(ISNUMBER($AR364),SUMIF(AE$7:AE$503,$AR364,K$7:K$503),"")</f>
        <v>0</v>
      </c>
      <c r="AX364" s="1423" t="n">
        <f aca="false">IF(ISNUMBER($AR364),SUMIF(AG$7:AG$503,$AR364,M$7:M$503),"")</f>
        <v>0</v>
      </c>
      <c r="AY364" s="2" t="str">
        <f aca="false">IF($AT364&gt;0,VLOOKUP($AR364,'O_MN, PE_UTA_UGM 2024'!E361:O776,2),"")</f>
        <v/>
      </c>
      <c r="AZ364" s="1507"/>
      <c r="BA364" s="1507"/>
      <c r="BB364" s="1507" t="str">
        <f aca="false">IF($AT364&gt;0,VLOOKUP($AR364,'O_MN, PE_UTA_UGM 2024'!$E$3:$O$419,BB$6),"")</f>
        <v/>
      </c>
      <c r="BC364" s="1507" t="str">
        <f aca="false">IF($AT364&gt;0,VLOOKUP($AR364,'O_MN, PE_UTA_UGM 2024'!$E$3:$O$419,BC$6),"")</f>
        <v/>
      </c>
      <c r="BD364" s="1507" t="str">
        <f aca="false">IF($AT364&gt;0,VLOOKUP($AR364,'O_MN, PE_UTA_UGM 2024'!$E$3:$O$419,BD$6),"")</f>
        <v/>
      </c>
      <c r="BE364" s="1507" t="str">
        <f aca="false">IF($AT364&gt;0,VLOOKUP($AR364,'O_MN, PE_UTA_UGM 2024'!$E$3:$O$419,BE$6),"")</f>
        <v/>
      </c>
      <c r="BF364" s="1507" t="str">
        <f aca="false">IF($AT364&gt;0,VLOOKUP($AR364,'O_MN, PE_UTA_UGM 2024'!$E$3:$O$419,BF$6),"")</f>
        <v/>
      </c>
      <c r="BG364" s="1507" t="str">
        <f aca="false">IF($AT364&gt;0,VLOOKUP($AR364,'O_MN, PE_UTA_UGM 2024'!$E$3:$O$419,BG$6),"")</f>
        <v/>
      </c>
      <c r="BH364" s="1504"/>
      <c r="BI364" s="1504"/>
      <c r="BJ364" s="1504"/>
      <c r="BK364" s="1504"/>
      <c r="BM364" s="1411"/>
      <c r="BN364" s="1411"/>
      <c r="BO364" s="1425" t="str">
        <f aca="false">IF(ISNUMBER($AU364*BB364*1),$AU364*BB364*1,"")</f>
        <v/>
      </c>
      <c r="BP364" s="1425" t="str">
        <f aca="false">IF(ISNUMBER($AV364*BC364*1),$AV364*BC364*1,"")</f>
        <v/>
      </c>
      <c r="BQ364" s="1425" t="str">
        <f aca="false">IF(ISNUMBER($AU364*BD364*1),$AU364*BD364*1,"")</f>
        <v/>
      </c>
      <c r="BR364" s="1425" t="str">
        <f aca="false">IF(ISNUMBER($AV364*BE364*1),$AV364*BE364*1,"")</f>
        <v/>
      </c>
      <c r="BS364" s="1411" t="str">
        <f aca="false">IF(ISNUMBER($AU364*BF364),$AU364*BF364,"")</f>
        <v/>
      </c>
      <c r="BT364" s="1411" t="str">
        <f aca="false">IF(ISNUMBER($AV364*BG364),$AV364*BG364,"")</f>
        <v/>
      </c>
      <c r="BU364" s="1411"/>
      <c r="BV364" s="1411"/>
      <c r="BW364" s="1411"/>
      <c r="BX364" s="1411"/>
      <c r="BZ364" s="1372"/>
      <c r="CA364" s="1372"/>
      <c r="CB364" s="1426" t="str">
        <f aca="false">IF(ISNUMBER($AW364*BB364),$AW364*BB364,"")</f>
        <v/>
      </c>
      <c r="CC364" s="1426" t="str">
        <f aca="false">IF(ISNUMBER($AX364*BC364),$AX364*BC364,"")</f>
        <v/>
      </c>
      <c r="CD364" s="1426" t="str">
        <f aca="false">IF(ISNUMBER($AW364*BD364),$AW364*BD364,"")</f>
        <v/>
      </c>
      <c r="CE364" s="1426" t="str">
        <f aca="false">IF(ISNUMBER($AX364*BE364),$AX364*BE364,"")</f>
        <v/>
      </c>
      <c r="CF364" s="1372" t="str">
        <f aca="false">IF(ISNUMBER($AW364*BF364),$AW364*BF364,"")</f>
        <v/>
      </c>
      <c r="CG364" s="1372" t="str">
        <f aca="false">IF(ISNUMBER($AX364*BG364),$AX364*BG364,"")</f>
        <v/>
      </c>
      <c r="CH364" s="1438"/>
      <c r="CI364" s="1438"/>
      <c r="CJ364" s="1438"/>
      <c r="CK364" s="1438"/>
      <c r="CU364" s="1411"/>
      <c r="CV364" s="1411"/>
      <c r="CW364" s="1425"/>
      <c r="CX364" s="1425"/>
      <c r="CY364" s="1425"/>
      <c r="CZ364" s="1425"/>
      <c r="DA364" s="1411"/>
      <c r="DB364" s="1411"/>
      <c r="DC364" s="1411"/>
      <c r="DD364" s="1411"/>
      <c r="DE364" s="1411"/>
      <c r="DF364" s="1411"/>
      <c r="DH364" s="1432"/>
      <c r="DI364" s="1432"/>
      <c r="DJ364" s="1437"/>
      <c r="DK364" s="1437"/>
      <c r="DL364" s="1437"/>
      <c r="DM364" s="1437"/>
      <c r="DN364" s="1432"/>
      <c r="DO364" s="1432"/>
      <c r="DP364" s="1432"/>
      <c r="DQ364" s="1432"/>
      <c r="DR364" s="1432"/>
      <c r="DS364" s="1432"/>
      <c r="DT364" s="1316"/>
      <c r="DU364" s="1433"/>
      <c r="DV364" s="1433"/>
      <c r="DW364" s="1433"/>
      <c r="DX364" s="1433"/>
      <c r="DY364" s="1433"/>
      <c r="DZ364" s="1433"/>
      <c r="EA364" s="1433"/>
      <c r="EB364" s="1433"/>
    </row>
    <row r="365" customFormat="false" ht="14.25" hidden="false" customHeight="false" outlineLevel="0" collapsed="false">
      <c r="A365" s="2" t="n">
        <f aca="false">'V_DATOS PAC_SGA'!CC360</f>
        <v>0</v>
      </c>
      <c r="B365" s="2" t="n">
        <f aca="false">IF(OR(A365=0,A365=""),0,IF(I365="IV",CONCATENATE('V_DATOS PAC_SGA'!CC360,"4")+0,CONCATENATE('V_DATOS PAC_SGA'!CC360,"0")+0))</f>
        <v>0</v>
      </c>
      <c r="C365" s="2" t="n">
        <f aca="false">'V_DATOS PAC_SGA'!CD360</f>
        <v>0</v>
      </c>
      <c r="D365" s="1409" t="n">
        <f aca="false">'V_DATOS PAC_SGA'!Y360</f>
        <v>0</v>
      </c>
      <c r="E365" s="1410" t="str">
        <f aca="false">IF('V_DATOS PAC_SGA'!AV360="","Regadio",'V_DATOS PAC_SGA'!AV360)</f>
        <v>Regadio</v>
      </c>
      <c r="F365" s="1411" t="n">
        <f aca="false">'V_DATOS PAC_SGA'!BK360</f>
        <v>0</v>
      </c>
      <c r="G365" s="1412" t="n">
        <f aca="false">'V_DATOS PAC_SGA'!AN360</f>
        <v>0</v>
      </c>
      <c r="H365" s="1413" t="str">
        <f aca="false">IF(B365&gt;0,VLOOKUP(B365,'O_MN, PE_UTA_UGM 2024'!E$3:O$419,10),"")</f>
        <v/>
      </c>
      <c r="I365" s="1359" t="str">
        <f aca="false">IF('V_DATOS PAC_SGA'!BV360="IV",'V_DATOS PAC_SGA'!BV360,"")</f>
        <v/>
      </c>
      <c r="J365" s="2" t="str">
        <f aca="false">IF($A365&gt;0,IF(AND(J$4=$G365,J$6=$F365),$D365*J$5,""),"")</f>
        <v/>
      </c>
      <c r="K365" s="2" t="str">
        <f aca="false">IF($A365&gt;0,IF(AND(K$4=$G365,K$6=$F365),$D365*K$5,""),"")</f>
        <v/>
      </c>
      <c r="L365" s="2" t="str">
        <f aca="false">IF($A365&gt;0,IF(AND(L$4=$G365,L$6=$F365),$D365*L$5,""),"")</f>
        <v/>
      </c>
      <c r="M365" s="2" t="str">
        <f aca="false">IF($A365&gt;0,IF(AND(M$4=$G365,M$6=$F365),$D365*M$5,""),"")</f>
        <v/>
      </c>
      <c r="N365" s="1506" t="n">
        <f aca="false">VLOOKUP(B365,'O_MN, PE_UTA_UGM 2024'!$E$2:$K$419,IF(G365&gt;1,6,7))</f>
        <v>0</v>
      </c>
      <c r="O365" s="1434" t="str">
        <f aca="false">IF($H365=O$4,$D365*$N365,"")</f>
        <v/>
      </c>
      <c r="P365" s="1435" t="str">
        <f aca="false">IF($H365=P$4,$D365*$N365,"")</f>
        <v/>
      </c>
      <c r="Q365" s="1435" t="str">
        <f aca="false">IF($H365=Q$4,$D365*$N365,"")</f>
        <v/>
      </c>
      <c r="R365" s="1435" t="str">
        <f aca="false">IF($H365=R$4,$D365*$N365,"")</f>
        <v/>
      </c>
      <c r="S365" s="1435" t="str">
        <f aca="false">IF($H365=S$4,$D365*$N365,"")</f>
        <v/>
      </c>
      <c r="T365" s="1435" t="str">
        <f aca="false">IF($H365=T$4,$D365*$N365,"")</f>
        <v/>
      </c>
      <c r="U365" s="1436" t="str">
        <f aca="false">IF($H365=U$4,$D365*$N365,"")</f>
        <v/>
      </c>
      <c r="V365" s="1472"/>
      <c r="W365" s="1471"/>
      <c r="X365" s="1471"/>
      <c r="Y365" s="1471"/>
      <c r="Z365" s="1471"/>
      <c r="AA365" s="1471"/>
      <c r="AB365" s="1473"/>
      <c r="AC365" s="1319"/>
      <c r="AD365" s="2" t="str">
        <f aca="false">IF(AND(AD$4=$G365,AD$6=$F365),$B365,"")</f>
        <v/>
      </c>
      <c r="AE365" s="2" t="str">
        <f aca="false">IF(AND(AE$4=$G365,AE$6=$F365),$B365,"")</f>
        <v/>
      </c>
      <c r="AF365" s="2" t="str">
        <f aca="false">IF(AND(AF$4=$G365,AF$6=$F365),$B365,"")</f>
        <v/>
      </c>
      <c r="AG365" s="2" t="str">
        <f aca="false">IF(AND(AG$4=$G365,AG$6=$F365),$B365,"")</f>
        <v/>
      </c>
      <c r="AI365" s="366"/>
      <c r="AL365" s="367"/>
      <c r="AO365" s="367"/>
      <c r="AP365" s="2" t="str">
        <f aca="false">IF(AT365&gt;0,RANK(AT365,AT$7:AT$423),"")</f>
        <v/>
      </c>
      <c r="AQ365" s="1475" t="n">
        <f aca="false">'O_MN, PE_UTA_UGM 2024'!C362</f>
        <v>496</v>
      </c>
      <c r="AR365" s="1421" t="n">
        <v>4110</v>
      </c>
      <c r="AS365" s="2" t="str">
        <f aca="false">IF(AY365&lt;&gt;"",AY365,"")</f>
        <v/>
      </c>
      <c r="AT365" s="1422" t="n">
        <f aca="false">IF(ISNUMBER($AR365),SUMIF(B$7:B$505,AR365,D$7:D$505),"")</f>
        <v>0</v>
      </c>
      <c r="AU365" s="1411" t="n">
        <f aca="false">IF(ISNUMBER($AR365),SUMIF(AD$7:AD$503,$AR365,J$7:J$503),"")</f>
        <v>0</v>
      </c>
      <c r="AV365" s="1411" t="n">
        <f aca="false">IF(ISNUMBER($AR365),SUMIF(AF$7:AF$503,$AR365,L$7:L$503),"")</f>
        <v>0</v>
      </c>
      <c r="AW365" s="1423" t="n">
        <f aca="false">IF(ISNUMBER($AR365),SUMIF(AE$7:AE$503,$AR365,K$7:K$503),"")</f>
        <v>0</v>
      </c>
      <c r="AX365" s="1423" t="n">
        <f aca="false">IF(ISNUMBER($AR365),SUMIF(AG$7:AG$503,$AR365,M$7:M$503),"")</f>
        <v>0</v>
      </c>
      <c r="AY365" s="2" t="str">
        <f aca="false">IF($AT365&gt;0,VLOOKUP($AR365,'O_MN, PE_UTA_UGM 2024'!E362:O777,2),"")</f>
        <v/>
      </c>
      <c r="AZ365" s="1507"/>
      <c r="BA365" s="1507"/>
      <c r="BB365" s="1507" t="str">
        <f aca="false">IF($AT365&gt;0,VLOOKUP($AR365,'O_MN, PE_UTA_UGM 2024'!$E$3:$O$419,BB$6),"")</f>
        <v/>
      </c>
      <c r="BC365" s="1507" t="str">
        <f aca="false">IF($AT365&gt;0,VLOOKUP($AR365,'O_MN, PE_UTA_UGM 2024'!$E$3:$O$419,BC$6),"")</f>
        <v/>
      </c>
      <c r="BD365" s="1507" t="str">
        <f aca="false">IF($AT365&gt;0,VLOOKUP($AR365,'O_MN, PE_UTA_UGM 2024'!$E$3:$O$419,BD$6),"")</f>
        <v/>
      </c>
      <c r="BE365" s="1507" t="str">
        <f aca="false">IF($AT365&gt;0,VLOOKUP($AR365,'O_MN, PE_UTA_UGM 2024'!$E$3:$O$419,BE$6),"")</f>
        <v/>
      </c>
      <c r="BF365" s="1507" t="str">
        <f aca="false">IF($AT365&gt;0,VLOOKUP($AR365,'O_MN, PE_UTA_UGM 2024'!$E$3:$O$419,BF$6),"")</f>
        <v/>
      </c>
      <c r="BG365" s="1507" t="str">
        <f aca="false">IF($AT365&gt;0,VLOOKUP($AR365,'O_MN, PE_UTA_UGM 2024'!$E$3:$O$419,BG$6),"")</f>
        <v/>
      </c>
      <c r="BH365" s="1504"/>
      <c r="BI365" s="1504"/>
      <c r="BJ365" s="1504"/>
      <c r="BK365" s="1504"/>
      <c r="BM365" s="1411"/>
      <c r="BN365" s="1411"/>
      <c r="BO365" s="1425" t="str">
        <f aca="false">IF(ISNUMBER($AU365*BB365*1),$AU365*BB365*1,"")</f>
        <v/>
      </c>
      <c r="BP365" s="1425" t="str">
        <f aca="false">IF(ISNUMBER($AV365*BC365*1),$AV365*BC365*1,"")</f>
        <v/>
      </c>
      <c r="BQ365" s="1425" t="str">
        <f aca="false">IF(ISNUMBER($AU365*BD365*1),$AU365*BD365*1,"")</f>
        <v/>
      </c>
      <c r="BR365" s="1425" t="str">
        <f aca="false">IF(ISNUMBER($AV365*BE365*1),$AV365*BE365*1,"")</f>
        <v/>
      </c>
      <c r="BS365" s="1411" t="str">
        <f aca="false">IF(ISNUMBER($AU365*BF365),$AU365*BF365,"")</f>
        <v/>
      </c>
      <c r="BT365" s="1411" t="str">
        <f aca="false">IF(ISNUMBER($AV365*BG365),$AV365*BG365,"")</f>
        <v/>
      </c>
      <c r="BU365" s="1411"/>
      <c r="BV365" s="1411"/>
      <c r="BW365" s="1411"/>
      <c r="BX365" s="1411"/>
      <c r="BZ365" s="1372"/>
      <c r="CA365" s="1372"/>
      <c r="CB365" s="1426" t="str">
        <f aca="false">IF(ISNUMBER($AW365*BB365),$AW365*BB365,"")</f>
        <v/>
      </c>
      <c r="CC365" s="1426" t="str">
        <f aca="false">IF(ISNUMBER($AX365*BC365),$AX365*BC365,"")</f>
        <v/>
      </c>
      <c r="CD365" s="1426" t="str">
        <f aca="false">IF(ISNUMBER($AW365*BD365),$AW365*BD365,"")</f>
        <v/>
      </c>
      <c r="CE365" s="1426" t="str">
        <f aca="false">IF(ISNUMBER($AX365*BE365),$AX365*BE365,"")</f>
        <v/>
      </c>
      <c r="CF365" s="1372" t="str">
        <f aca="false">IF(ISNUMBER($AW365*BF365),$AW365*BF365,"")</f>
        <v/>
      </c>
      <c r="CG365" s="1372" t="str">
        <f aca="false">IF(ISNUMBER($AX365*BG365),$AX365*BG365,"")</f>
        <v/>
      </c>
      <c r="CH365" s="1438"/>
      <c r="CI365" s="1438"/>
      <c r="CJ365" s="1438"/>
      <c r="CK365" s="1438"/>
      <c r="CU365" s="1411"/>
      <c r="CV365" s="1411"/>
      <c r="CW365" s="1425"/>
      <c r="CX365" s="1425"/>
      <c r="CY365" s="1425"/>
      <c r="CZ365" s="1425"/>
      <c r="DA365" s="1411"/>
      <c r="DB365" s="1411"/>
      <c r="DC365" s="1411"/>
      <c r="DD365" s="1411"/>
      <c r="DE365" s="1411"/>
      <c r="DF365" s="1411"/>
      <c r="DH365" s="1432"/>
      <c r="DI365" s="1432"/>
      <c r="DJ365" s="1437"/>
      <c r="DK365" s="1437"/>
      <c r="DL365" s="1437"/>
      <c r="DM365" s="1437"/>
      <c r="DN365" s="1432"/>
      <c r="DO365" s="1432"/>
      <c r="DP365" s="1432"/>
      <c r="DQ365" s="1432"/>
      <c r="DR365" s="1432"/>
      <c r="DS365" s="1432"/>
      <c r="DT365" s="1316"/>
      <c r="DU365" s="1433"/>
      <c r="DV365" s="1433"/>
      <c r="DW365" s="1433"/>
      <c r="DX365" s="1433"/>
      <c r="DY365" s="1433"/>
      <c r="DZ365" s="1433"/>
      <c r="EA365" s="1433"/>
      <c r="EB365" s="1433"/>
    </row>
    <row r="366" customFormat="false" ht="14.25" hidden="false" customHeight="false" outlineLevel="0" collapsed="false">
      <c r="A366" s="2" t="n">
        <f aca="false">'V_DATOS PAC_SGA'!CC361</f>
        <v>0</v>
      </c>
      <c r="B366" s="2" t="n">
        <f aca="false">IF(OR(A366=0,A366=""),0,IF(I366="IV",CONCATENATE('V_DATOS PAC_SGA'!CC361,"4")+0,CONCATENATE('V_DATOS PAC_SGA'!CC361,"0")+0))</f>
        <v>0</v>
      </c>
      <c r="C366" s="2" t="n">
        <f aca="false">'V_DATOS PAC_SGA'!CD361</f>
        <v>0</v>
      </c>
      <c r="D366" s="1409" t="n">
        <f aca="false">'V_DATOS PAC_SGA'!Y361</f>
        <v>0</v>
      </c>
      <c r="E366" s="1410" t="str">
        <f aca="false">IF('V_DATOS PAC_SGA'!AV361="","Regadio",'V_DATOS PAC_SGA'!AV361)</f>
        <v>Regadio</v>
      </c>
      <c r="F366" s="1411" t="n">
        <f aca="false">'V_DATOS PAC_SGA'!BK361</f>
        <v>0</v>
      </c>
      <c r="G366" s="1412" t="n">
        <f aca="false">'V_DATOS PAC_SGA'!AN361</f>
        <v>0</v>
      </c>
      <c r="H366" s="1413" t="str">
        <f aca="false">IF(B366&gt;0,VLOOKUP(B366,'O_MN, PE_UTA_UGM 2024'!E$3:O$419,10),"")</f>
        <v/>
      </c>
      <c r="I366" s="1359" t="str">
        <f aca="false">IF('V_DATOS PAC_SGA'!BV361="IV",'V_DATOS PAC_SGA'!BV361,"")</f>
        <v/>
      </c>
      <c r="J366" s="2" t="str">
        <f aca="false">IF($A366&gt;0,IF(AND(J$4=$G366,J$6=$F366),$D366*J$5,""),"")</f>
        <v/>
      </c>
      <c r="K366" s="2" t="str">
        <f aca="false">IF($A366&gt;0,IF(AND(K$4=$G366,K$6=$F366),$D366*K$5,""),"")</f>
        <v/>
      </c>
      <c r="L366" s="2" t="str">
        <f aca="false">IF($A366&gt;0,IF(AND(L$4=$G366,L$6=$F366),$D366*L$5,""),"")</f>
        <v/>
      </c>
      <c r="M366" s="2" t="str">
        <f aca="false">IF($A366&gt;0,IF(AND(M$4=$G366,M$6=$F366),$D366*M$5,""),"")</f>
        <v/>
      </c>
      <c r="N366" s="1506" t="n">
        <f aca="false">VLOOKUP(B366,'O_MN, PE_UTA_UGM 2024'!$E$2:$K$419,IF(G366&gt;1,6,7))</f>
        <v>0</v>
      </c>
      <c r="O366" s="1434" t="str">
        <f aca="false">IF($H366=O$4,$D366*$N366,"")</f>
        <v/>
      </c>
      <c r="P366" s="1435" t="str">
        <f aca="false">IF($H366=P$4,$D366*$N366,"")</f>
        <v/>
      </c>
      <c r="Q366" s="1435" t="str">
        <f aca="false">IF($H366=Q$4,$D366*$N366,"")</f>
        <v/>
      </c>
      <c r="R366" s="1435" t="str">
        <f aca="false">IF($H366=R$4,$D366*$N366,"")</f>
        <v/>
      </c>
      <c r="S366" s="1435" t="str">
        <f aca="false">IF($H366=S$4,$D366*$N366,"")</f>
        <v/>
      </c>
      <c r="T366" s="1435" t="str">
        <f aca="false">IF($H366=T$4,$D366*$N366,"")</f>
        <v/>
      </c>
      <c r="U366" s="1436" t="str">
        <f aca="false">IF($H366=U$4,$D366*$N366,"")</f>
        <v/>
      </c>
      <c r="V366" s="1472"/>
      <c r="W366" s="1471"/>
      <c r="X366" s="1471"/>
      <c r="Y366" s="1471"/>
      <c r="Z366" s="1471"/>
      <c r="AA366" s="1471"/>
      <c r="AB366" s="1473"/>
      <c r="AC366" s="1319"/>
      <c r="AD366" s="2" t="str">
        <f aca="false">IF(AND(AD$4=$G366,AD$6=$F366),$B366,"")</f>
        <v/>
      </c>
      <c r="AE366" s="2" t="str">
        <f aca="false">IF(AND(AE$4=$G366,AE$6=$F366),$B366,"")</f>
        <v/>
      </c>
      <c r="AF366" s="2" t="str">
        <f aca="false">IF(AND(AF$4=$G366,AF$6=$F366),$B366,"")</f>
        <v/>
      </c>
      <c r="AG366" s="2" t="str">
        <f aca="false">IF(AND(AG$4=$G366,AG$6=$F366),$B366,"")</f>
        <v/>
      </c>
      <c r="AI366" s="366"/>
      <c r="AL366" s="367"/>
      <c r="AO366" s="367"/>
      <c r="AP366" s="2" t="str">
        <f aca="false">IF(AT366&gt;0,RANK(AT366,AT$7:AT$423),"")</f>
        <v/>
      </c>
      <c r="AQ366" s="1475" t="n">
        <f aca="false">'O_MN, PE_UTA_UGM 2024'!C363</f>
        <v>904</v>
      </c>
      <c r="AR366" s="1421" t="n">
        <v>4120</v>
      </c>
      <c r="AS366" s="2" t="str">
        <f aca="false">IF(AY366&lt;&gt;"",AY366,"")</f>
        <v/>
      </c>
      <c r="AT366" s="1422" t="n">
        <f aca="false">IF(ISNUMBER($AR366),SUMIF(B$7:B$505,AR366,D$7:D$505),"")</f>
        <v>0</v>
      </c>
      <c r="AU366" s="1411" t="n">
        <f aca="false">IF(ISNUMBER($AR366),SUMIF(AD$7:AD$503,$AR366,J$7:J$503),"")</f>
        <v>0</v>
      </c>
      <c r="AV366" s="1411" t="n">
        <f aca="false">IF(ISNUMBER($AR366),SUMIF(AF$7:AF$503,$AR366,L$7:L$503),"")</f>
        <v>0</v>
      </c>
      <c r="AW366" s="1423" t="n">
        <f aca="false">IF(ISNUMBER($AR366),SUMIF(AE$7:AE$503,$AR366,K$7:K$503),"")</f>
        <v>0</v>
      </c>
      <c r="AX366" s="1423" t="n">
        <f aca="false">IF(ISNUMBER($AR366),SUMIF(AG$7:AG$503,$AR366,M$7:M$503),"")</f>
        <v>0</v>
      </c>
      <c r="AY366" s="2" t="str">
        <f aca="false">IF($AT366&gt;0,VLOOKUP($AR366,'O_MN, PE_UTA_UGM 2024'!E363:O778,2),"")</f>
        <v/>
      </c>
      <c r="AZ366" s="1507"/>
      <c r="BA366" s="1507"/>
      <c r="BB366" s="1507" t="str">
        <f aca="false">IF($AT366&gt;0,VLOOKUP($AR366,'O_MN, PE_UTA_UGM 2024'!$E$3:$O$419,BB$6),"")</f>
        <v/>
      </c>
      <c r="BC366" s="1507" t="str">
        <f aca="false">IF($AT366&gt;0,VLOOKUP($AR366,'O_MN, PE_UTA_UGM 2024'!$E$3:$O$419,BC$6),"")</f>
        <v/>
      </c>
      <c r="BD366" s="1507" t="str">
        <f aca="false">IF($AT366&gt;0,VLOOKUP($AR366,'O_MN, PE_UTA_UGM 2024'!$E$3:$O$419,BD$6),"")</f>
        <v/>
      </c>
      <c r="BE366" s="1507" t="str">
        <f aca="false">IF($AT366&gt;0,VLOOKUP($AR366,'O_MN, PE_UTA_UGM 2024'!$E$3:$O$419,BE$6),"")</f>
        <v/>
      </c>
      <c r="BF366" s="1507" t="str">
        <f aca="false">IF($AT366&gt;0,VLOOKUP($AR366,'O_MN, PE_UTA_UGM 2024'!$E$3:$O$419,BF$6),"")</f>
        <v/>
      </c>
      <c r="BG366" s="1507" t="str">
        <f aca="false">IF($AT366&gt;0,VLOOKUP($AR366,'O_MN, PE_UTA_UGM 2024'!$E$3:$O$419,BG$6),"")</f>
        <v/>
      </c>
      <c r="BH366" s="1504"/>
      <c r="BI366" s="1504"/>
      <c r="BJ366" s="1504"/>
      <c r="BK366" s="1504"/>
      <c r="BM366" s="1411"/>
      <c r="BN366" s="1411"/>
      <c r="BO366" s="1425" t="str">
        <f aca="false">IF(ISNUMBER($AU366*BB366*1),$AU366*BB366*1,"")</f>
        <v/>
      </c>
      <c r="BP366" s="1425" t="str">
        <f aca="false">IF(ISNUMBER($AV366*BC366*1),$AV366*BC366*1,"")</f>
        <v/>
      </c>
      <c r="BQ366" s="1425" t="str">
        <f aca="false">IF(ISNUMBER($AU366*BD366*1),$AU366*BD366*1,"")</f>
        <v/>
      </c>
      <c r="BR366" s="1425" t="str">
        <f aca="false">IF(ISNUMBER($AV366*BE366*1),$AV366*BE366*1,"")</f>
        <v/>
      </c>
      <c r="BS366" s="1411" t="str">
        <f aca="false">IF(ISNUMBER($AU366*BF366),$AU366*BF366,"")</f>
        <v/>
      </c>
      <c r="BT366" s="1411" t="str">
        <f aca="false">IF(ISNUMBER($AV366*BG366),$AV366*BG366,"")</f>
        <v/>
      </c>
      <c r="BU366" s="1411"/>
      <c r="BV366" s="1411"/>
      <c r="BW366" s="1411"/>
      <c r="BX366" s="1411"/>
      <c r="BZ366" s="1372"/>
      <c r="CA366" s="1372"/>
      <c r="CB366" s="1426" t="str">
        <f aca="false">IF(ISNUMBER($AW366*BB366),$AW366*BB366,"")</f>
        <v/>
      </c>
      <c r="CC366" s="1426" t="str">
        <f aca="false">IF(ISNUMBER($AX366*BC366),$AX366*BC366,"")</f>
        <v/>
      </c>
      <c r="CD366" s="1426" t="str">
        <f aca="false">IF(ISNUMBER($AW366*BD366),$AW366*BD366,"")</f>
        <v/>
      </c>
      <c r="CE366" s="1426" t="str">
        <f aca="false">IF(ISNUMBER($AX366*BE366),$AX366*BE366,"")</f>
        <v/>
      </c>
      <c r="CF366" s="1372" t="str">
        <f aca="false">IF(ISNUMBER($AW366*BF366),$AW366*BF366,"")</f>
        <v/>
      </c>
      <c r="CG366" s="1372" t="str">
        <f aca="false">IF(ISNUMBER($AX366*BG366),$AX366*BG366,"")</f>
        <v/>
      </c>
      <c r="CH366" s="1438"/>
      <c r="CI366" s="1438"/>
      <c r="CJ366" s="1438"/>
      <c r="CK366" s="1438"/>
      <c r="CU366" s="1411"/>
      <c r="CV366" s="1411"/>
      <c r="CW366" s="1425"/>
      <c r="CX366" s="1425"/>
      <c r="CY366" s="1425"/>
      <c r="CZ366" s="1425"/>
      <c r="DA366" s="1411"/>
      <c r="DB366" s="1411"/>
      <c r="DC366" s="1411"/>
      <c r="DD366" s="1411"/>
      <c r="DE366" s="1411"/>
      <c r="DF366" s="1411"/>
      <c r="DH366" s="1432"/>
      <c r="DI366" s="1432"/>
      <c r="DJ366" s="1437"/>
      <c r="DK366" s="1437"/>
      <c r="DL366" s="1437"/>
      <c r="DM366" s="1437"/>
      <c r="DN366" s="1432"/>
      <c r="DO366" s="1432"/>
      <c r="DP366" s="1432"/>
      <c r="DQ366" s="1432"/>
      <c r="DR366" s="1432"/>
      <c r="DS366" s="1432"/>
      <c r="DT366" s="1316"/>
      <c r="DU366" s="1433"/>
      <c r="DV366" s="1433"/>
      <c r="DW366" s="1433"/>
      <c r="DX366" s="1433"/>
      <c r="DY366" s="1433"/>
      <c r="DZ366" s="1433"/>
      <c r="EA366" s="1433"/>
      <c r="EB366" s="1433"/>
    </row>
    <row r="367" customFormat="false" ht="14.25" hidden="false" customHeight="false" outlineLevel="0" collapsed="false">
      <c r="A367" s="2" t="n">
        <f aca="false">'V_DATOS PAC_SGA'!CC362</f>
        <v>0</v>
      </c>
      <c r="B367" s="2" t="n">
        <f aca="false">IF(OR(A367=0,A367=""),0,IF(I367="IV",CONCATENATE('V_DATOS PAC_SGA'!CC362,"4")+0,CONCATENATE('V_DATOS PAC_SGA'!CC362,"0")+0))</f>
        <v>0</v>
      </c>
      <c r="C367" s="2" t="n">
        <f aca="false">'V_DATOS PAC_SGA'!CD362</f>
        <v>0</v>
      </c>
      <c r="D367" s="1409" t="n">
        <f aca="false">'V_DATOS PAC_SGA'!Y362</f>
        <v>0</v>
      </c>
      <c r="E367" s="1410" t="str">
        <f aca="false">IF('V_DATOS PAC_SGA'!AV362="","Regadio",'V_DATOS PAC_SGA'!AV362)</f>
        <v>Regadio</v>
      </c>
      <c r="F367" s="1411" t="n">
        <f aca="false">'V_DATOS PAC_SGA'!BK362</f>
        <v>0</v>
      </c>
      <c r="G367" s="1412" t="n">
        <f aca="false">'V_DATOS PAC_SGA'!AN362</f>
        <v>0</v>
      </c>
      <c r="H367" s="1413" t="str">
        <f aca="false">IF(B367&gt;0,VLOOKUP(B367,'O_MN, PE_UTA_UGM 2024'!E$3:O$419,10),"")</f>
        <v/>
      </c>
      <c r="I367" s="1359" t="str">
        <f aca="false">IF('V_DATOS PAC_SGA'!BV362="IV",'V_DATOS PAC_SGA'!BV362,"")</f>
        <v/>
      </c>
      <c r="J367" s="2" t="str">
        <f aca="false">IF($A367&gt;0,IF(AND(J$4=$G367,J$6=$F367),$D367*J$5,""),"")</f>
        <v/>
      </c>
      <c r="K367" s="2" t="str">
        <f aca="false">IF($A367&gt;0,IF(AND(K$4=$G367,K$6=$F367),$D367*K$5,""),"")</f>
        <v/>
      </c>
      <c r="L367" s="2" t="str">
        <f aca="false">IF($A367&gt;0,IF(AND(L$4=$G367,L$6=$F367),$D367*L$5,""),"")</f>
        <v/>
      </c>
      <c r="M367" s="2" t="str">
        <f aca="false">IF($A367&gt;0,IF(AND(M$4=$G367,M$6=$F367),$D367*M$5,""),"")</f>
        <v/>
      </c>
      <c r="N367" s="1506" t="n">
        <f aca="false">VLOOKUP(B367,'O_MN, PE_UTA_UGM 2024'!$E$2:$K$419,IF(G367&gt;1,6,7))</f>
        <v>0</v>
      </c>
      <c r="O367" s="1434" t="str">
        <f aca="false">IF($H367=O$4,$D367*$N367,"")</f>
        <v/>
      </c>
      <c r="P367" s="1435" t="str">
        <f aca="false">IF($H367=P$4,$D367*$N367,"")</f>
        <v/>
      </c>
      <c r="Q367" s="1435" t="str">
        <f aca="false">IF($H367=Q$4,$D367*$N367,"")</f>
        <v/>
      </c>
      <c r="R367" s="1435" t="str">
        <f aca="false">IF($H367=R$4,$D367*$N367,"")</f>
        <v/>
      </c>
      <c r="S367" s="1435" t="str">
        <f aca="false">IF($H367=S$4,$D367*$N367,"")</f>
        <v/>
      </c>
      <c r="T367" s="1435" t="str">
        <f aca="false">IF($H367=T$4,$D367*$N367,"")</f>
        <v/>
      </c>
      <c r="U367" s="1436" t="str">
        <f aca="false">IF($H367=U$4,$D367*$N367,"")</f>
        <v/>
      </c>
      <c r="V367" s="1472"/>
      <c r="W367" s="1471"/>
      <c r="X367" s="1471"/>
      <c r="Y367" s="1471"/>
      <c r="Z367" s="1471"/>
      <c r="AA367" s="1471"/>
      <c r="AB367" s="1473"/>
      <c r="AC367" s="1319"/>
      <c r="AD367" s="2" t="str">
        <f aca="false">IF(AND(AD$4=$G367,AD$6=$F367),$B367,"")</f>
        <v/>
      </c>
      <c r="AE367" s="2" t="str">
        <f aca="false">IF(AND(AE$4=$G367,AE$6=$F367),$B367,"")</f>
        <v/>
      </c>
      <c r="AF367" s="2" t="str">
        <f aca="false">IF(AND(AF$4=$G367,AF$6=$F367),$B367,"")</f>
        <v/>
      </c>
      <c r="AG367" s="2" t="str">
        <f aca="false">IF(AND(AG$4=$G367,AG$6=$F367),$B367,"")</f>
        <v/>
      </c>
      <c r="AI367" s="366"/>
      <c r="AL367" s="367"/>
      <c r="AO367" s="367"/>
      <c r="AP367" s="2" t="str">
        <f aca="false">IF(AT367&gt;0,RANK(AT367,AT$7:AT$423),"")</f>
        <v/>
      </c>
      <c r="AQ367" s="1475" t="n">
        <f aca="false">'O_MN, PE_UTA_UGM 2024'!C364</f>
        <v>915</v>
      </c>
      <c r="AR367" s="1421" t="n">
        <v>4130</v>
      </c>
      <c r="AS367" s="2" t="str">
        <f aca="false">IF(AY367&lt;&gt;"",AY367,"")</f>
        <v/>
      </c>
      <c r="AT367" s="1422" t="n">
        <f aca="false">IF(ISNUMBER($AR367),SUMIF(B$7:B$505,AR367,D$7:D$505),"")</f>
        <v>0</v>
      </c>
      <c r="AU367" s="1411" t="n">
        <f aca="false">IF(ISNUMBER($AR367),SUMIF(AD$7:AD$503,$AR367,J$7:J$503),"")</f>
        <v>0</v>
      </c>
      <c r="AV367" s="1411" t="n">
        <f aca="false">IF(ISNUMBER($AR367),SUMIF(AF$7:AF$503,$AR367,L$7:L$503),"")</f>
        <v>0</v>
      </c>
      <c r="AW367" s="1423" t="n">
        <f aca="false">IF(ISNUMBER($AR367),SUMIF(AE$7:AE$503,$AR367,K$7:K$503),"")</f>
        <v>0</v>
      </c>
      <c r="AX367" s="1423" t="n">
        <f aca="false">IF(ISNUMBER($AR367),SUMIF(AG$7:AG$503,$AR367,M$7:M$503),"")</f>
        <v>0</v>
      </c>
      <c r="AY367" s="2" t="str">
        <f aca="false">IF($AT367&gt;0,VLOOKUP($AR367,'O_MN, PE_UTA_UGM 2024'!E364:O779,2),"")</f>
        <v/>
      </c>
      <c r="AZ367" s="1507"/>
      <c r="BA367" s="1507"/>
      <c r="BB367" s="1507" t="str">
        <f aca="false">IF($AT367&gt;0,VLOOKUP($AR367,'O_MN, PE_UTA_UGM 2024'!$E$3:$O$419,BB$6),"")</f>
        <v/>
      </c>
      <c r="BC367" s="1507" t="str">
        <f aca="false">IF($AT367&gt;0,VLOOKUP($AR367,'O_MN, PE_UTA_UGM 2024'!$E$3:$O$419,BC$6),"")</f>
        <v/>
      </c>
      <c r="BD367" s="1507" t="str">
        <f aca="false">IF($AT367&gt;0,VLOOKUP($AR367,'O_MN, PE_UTA_UGM 2024'!$E$3:$O$419,BD$6),"")</f>
        <v/>
      </c>
      <c r="BE367" s="1507" t="str">
        <f aca="false">IF($AT367&gt;0,VLOOKUP($AR367,'O_MN, PE_UTA_UGM 2024'!$E$3:$O$419,BE$6),"")</f>
        <v/>
      </c>
      <c r="BF367" s="1507" t="str">
        <f aca="false">IF($AT367&gt;0,VLOOKUP($AR367,'O_MN, PE_UTA_UGM 2024'!$E$3:$O$419,BF$6),"")</f>
        <v/>
      </c>
      <c r="BG367" s="1507" t="str">
        <f aca="false">IF($AT367&gt;0,VLOOKUP($AR367,'O_MN, PE_UTA_UGM 2024'!$E$3:$O$419,BG$6),"")</f>
        <v/>
      </c>
      <c r="BH367" s="1504"/>
      <c r="BI367" s="1504"/>
      <c r="BJ367" s="1504"/>
      <c r="BK367" s="1504"/>
      <c r="BM367" s="1411"/>
      <c r="BN367" s="1411"/>
      <c r="BO367" s="1425" t="str">
        <f aca="false">IF(ISNUMBER($AU367*BB367*1),$AU367*BB367*1,"")</f>
        <v/>
      </c>
      <c r="BP367" s="1425" t="str">
        <f aca="false">IF(ISNUMBER($AV367*BC367*1),$AV367*BC367*1,"")</f>
        <v/>
      </c>
      <c r="BQ367" s="1425" t="str">
        <f aca="false">IF(ISNUMBER($AU367*BD367*1),$AU367*BD367*1,"")</f>
        <v/>
      </c>
      <c r="BR367" s="1425" t="str">
        <f aca="false">IF(ISNUMBER($AV367*BE367*1),$AV367*BE367*1,"")</f>
        <v/>
      </c>
      <c r="BS367" s="1411" t="str">
        <f aca="false">IF(ISNUMBER($AU367*BF367),$AU367*BF367,"")</f>
        <v/>
      </c>
      <c r="BT367" s="1411" t="str">
        <f aca="false">IF(ISNUMBER($AV367*BG367),$AV367*BG367,"")</f>
        <v/>
      </c>
      <c r="BU367" s="1411"/>
      <c r="BV367" s="1411"/>
      <c r="BW367" s="1411"/>
      <c r="BX367" s="1411"/>
      <c r="BZ367" s="1372"/>
      <c r="CA367" s="1372"/>
      <c r="CB367" s="1426" t="str">
        <f aca="false">IF(ISNUMBER($AW367*BB367),$AW367*BB367,"")</f>
        <v/>
      </c>
      <c r="CC367" s="1426" t="str">
        <f aca="false">IF(ISNUMBER($AX367*BC367),$AX367*BC367,"")</f>
        <v/>
      </c>
      <c r="CD367" s="1426" t="str">
        <f aca="false">IF(ISNUMBER($AW367*BD367),$AW367*BD367,"")</f>
        <v/>
      </c>
      <c r="CE367" s="1426" t="str">
        <f aca="false">IF(ISNUMBER($AX367*BE367),$AX367*BE367,"")</f>
        <v/>
      </c>
      <c r="CF367" s="1372" t="str">
        <f aca="false">IF(ISNUMBER($AW367*BF367),$AW367*BF367,"")</f>
        <v/>
      </c>
      <c r="CG367" s="1372" t="str">
        <f aca="false">IF(ISNUMBER($AX367*BG367),$AX367*BG367,"")</f>
        <v/>
      </c>
      <c r="CH367" s="1438"/>
      <c r="CI367" s="1438"/>
      <c r="CJ367" s="1438"/>
      <c r="CK367" s="1438"/>
      <c r="CU367" s="1411"/>
      <c r="CV367" s="1411"/>
      <c r="CW367" s="1425"/>
      <c r="CX367" s="1425"/>
      <c r="CY367" s="1425"/>
      <c r="CZ367" s="1425"/>
      <c r="DA367" s="1411"/>
      <c r="DB367" s="1411"/>
      <c r="DC367" s="1411"/>
      <c r="DD367" s="1411"/>
      <c r="DE367" s="1411"/>
      <c r="DF367" s="1411"/>
      <c r="DH367" s="1432"/>
      <c r="DI367" s="1432"/>
      <c r="DJ367" s="1437"/>
      <c r="DK367" s="1437"/>
      <c r="DL367" s="1437"/>
      <c r="DM367" s="1437"/>
      <c r="DN367" s="1432"/>
      <c r="DO367" s="1432"/>
      <c r="DP367" s="1432"/>
      <c r="DQ367" s="1432"/>
      <c r="DR367" s="1432"/>
      <c r="DS367" s="1432"/>
      <c r="DT367" s="1316"/>
      <c r="DU367" s="1433"/>
      <c r="DV367" s="1433"/>
      <c r="DW367" s="1433"/>
      <c r="DX367" s="1433"/>
      <c r="DY367" s="1433"/>
      <c r="DZ367" s="1433"/>
      <c r="EA367" s="1433"/>
      <c r="EB367" s="1433"/>
    </row>
    <row r="368" customFormat="false" ht="14.25" hidden="false" customHeight="false" outlineLevel="0" collapsed="false">
      <c r="A368" s="2" t="n">
        <f aca="false">'V_DATOS PAC_SGA'!CC363</f>
        <v>0</v>
      </c>
      <c r="B368" s="2" t="n">
        <f aca="false">IF(OR(A368=0,A368=""),0,IF(I368="IV",CONCATENATE('V_DATOS PAC_SGA'!CC363,"4")+0,CONCATENATE('V_DATOS PAC_SGA'!CC363,"0")+0))</f>
        <v>0</v>
      </c>
      <c r="C368" s="2" t="n">
        <f aca="false">'V_DATOS PAC_SGA'!CD363</f>
        <v>0</v>
      </c>
      <c r="D368" s="1409" t="n">
        <f aca="false">'V_DATOS PAC_SGA'!Y363</f>
        <v>0</v>
      </c>
      <c r="E368" s="1410" t="str">
        <f aca="false">IF('V_DATOS PAC_SGA'!AV363="","Regadio",'V_DATOS PAC_SGA'!AV363)</f>
        <v>Regadio</v>
      </c>
      <c r="F368" s="1411" t="n">
        <f aca="false">'V_DATOS PAC_SGA'!BK363</f>
        <v>0</v>
      </c>
      <c r="G368" s="1412" t="n">
        <f aca="false">'V_DATOS PAC_SGA'!AN363</f>
        <v>0</v>
      </c>
      <c r="H368" s="1413" t="str">
        <f aca="false">IF(B368&gt;0,VLOOKUP(B368,'O_MN, PE_UTA_UGM 2024'!E$3:O$419,10),"")</f>
        <v/>
      </c>
      <c r="I368" s="1359" t="str">
        <f aca="false">IF('V_DATOS PAC_SGA'!BV363="IV",'V_DATOS PAC_SGA'!BV363,"")</f>
        <v/>
      </c>
      <c r="J368" s="2" t="str">
        <f aca="false">IF($A368&gt;0,IF(AND(J$4=$G368,J$6=$F368),$D368*J$5,""),"")</f>
        <v/>
      </c>
      <c r="K368" s="2" t="str">
        <f aca="false">IF($A368&gt;0,IF(AND(K$4=$G368,K$6=$F368),$D368*K$5,""),"")</f>
        <v/>
      </c>
      <c r="L368" s="2" t="str">
        <f aca="false">IF($A368&gt;0,IF(AND(L$4=$G368,L$6=$F368),$D368*L$5,""),"")</f>
        <v/>
      </c>
      <c r="M368" s="2" t="str">
        <f aca="false">IF($A368&gt;0,IF(AND(M$4=$G368,M$6=$F368),$D368*M$5,""),"")</f>
        <v/>
      </c>
      <c r="N368" s="1506" t="n">
        <f aca="false">VLOOKUP(B368,'O_MN, PE_UTA_UGM 2024'!$E$2:$K$419,IF(G368&gt;1,6,7))</f>
        <v>0</v>
      </c>
      <c r="O368" s="1434" t="str">
        <f aca="false">IF($H368=O$4,$D368*$N368,"")</f>
        <v/>
      </c>
      <c r="P368" s="1435" t="str">
        <f aca="false">IF($H368=P$4,$D368*$N368,"")</f>
        <v/>
      </c>
      <c r="Q368" s="1435" t="str">
        <f aca="false">IF($H368=Q$4,$D368*$N368,"")</f>
        <v/>
      </c>
      <c r="R368" s="1435" t="str">
        <f aca="false">IF($H368=R$4,$D368*$N368,"")</f>
        <v/>
      </c>
      <c r="S368" s="1435" t="str">
        <f aca="false">IF($H368=S$4,$D368*$N368,"")</f>
        <v/>
      </c>
      <c r="T368" s="1435" t="str">
        <f aca="false">IF($H368=T$4,$D368*$N368,"")</f>
        <v/>
      </c>
      <c r="U368" s="1436" t="str">
        <f aca="false">IF($H368=U$4,$D368*$N368,"")</f>
        <v/>
      </c>
      <c r="V368" s="1472"/>
      <c r="W368" s="1471"/>
      <c r="X368" s="1471"/>
      <c r="Y368" s="1471"/>
      <c r="Z368" s="1471"/>
      <c r="AA368" s="1471"/>
      <c r="AB368" s="1473"/>
      <c r="AC368" s="1319"/>
      <c r="AD368" s="2" t="str">
        <f aca="false">IF(AND(AD$4=$G368,AD$6=$F368),$B368,"")</f>
        <v/>
      </c>
      <c r="AE368" s="2" t="str">
        <f aca="false">IF(AND(AE$4=$G368,AE$6=$F368),$B368,"")</f>
        <v/>
      </c>
      <c r="AF368" s="2" t="str">
        <f aca="false">IF(AND(AF$4=$G368,AF$6=$F368),$B368,"")</f>
        <v/>
      </c>
      <c r="AG368" s="2" t="str">
        <f aca="false">IF(AND(AG$4=$G368,AG$6=$F368),$B368,"")</f>
        <v/>
      </c>
      <c r="AI368" s="366"/>
      <c r="AL368" s="367"/>
      <c r="AO368" s="367"/>
      <c r="AP368" s="2" t="str">
        <f aca="false">IF(AT368&gt;0,RANK(AT368,AT$7:AT$423),"")</f>
        <v/>
      </c>
      <c r="AQ368" s="1475" t="n">
        <f aca="false">'O_MN, PE_UTA_UGM 2024'!C365</f>
        <v>916</v>
      </c>
      <c r="AR368" s="1421" t="n">
        <v>4140</v>
      </c>
      <c r="AS368" s="2" t="str">
        <f aca="false">IF(AY368&lt;&gt;"",AY368,"")</f>
        <v/>
      </c>
      <c r="AT368" s="1422" t="n">
        <f aca="false">IF(ISNUMBER($AR368),SUMIF(B$7:B$505,AR368,D$7:D$505),"")</f>
        <v>0</v>
      </c>
      <c r="AU368" s="1411" t="n">
        <f aca="false">IF(ISNUMBER($AR368),SUMIF(AD$7:AD$503,$AR368,J$7:J$503),"")</f>
        <v>0</v>
      </c>
      <c r="AV368" s="1411" t="n">
        <f aca="false">IF(ISNUMBER($AR368),SUMIF(AF$7:AF$503,$AR368,L$7:L$503),"")</f>
        <v>0</v>
      </c>
      <c r="AW368" s="1423" t="n">
        <f aca="false">IF(ISNUMBER($AR368),SUMIF(AE$7:AE$503,$AR368,K$7:K$503),"")</f>
        <v>0</v>
      </c>
      <c r="AX368" s="1423" t="n">
        <f aca="false">IF(ISNUMBER($AR368),SUMIF(AG$7:AG$503,$AR368,M$7:M$503),"")</f>
        <v>0</v>
      </c>
      <c r="AY368" s="2" t="str">
        <f aca="false">IF($AT368&gt;0,VLOOKUP($AR368,'O_MN, PE_UTA_UGM 2024'!E365:O780,2),"")</f>
        <v/>
      </c>
      <c r="AZ368" s="1507"/>
      <c r="BA368" s="1507"/>
      <c r="BB368" s="1507" t="str">
        <f aca="false">IF($AT368&gt;0,VLOOKUP($AR368,'O_MN, PE_UTA_UGM 2024'!$E$3:$O$419,BB$6),"")</f>
        <v/>
      </c>
      <c r="BC368" s="1507" t="str">
        <f aca="false">IF($AT368&gt;0,VLOOKUP($AR368,'O_MN, PE_UTA_UGM 2024'!$E$3:$O$419,BC$6),"")</f>
        <v/>
      </c>
      <c r="BD368" s="1507" t="str">
        <f aca="false">IF($AT368&gt;0,VLOOKUP($AR368,'O_MN, PE_UTA_UGM 2024'!$E$3:$O$419,BD$6),"")</f>
        <v/>
      </c>
      <c r="BE368" s="1507" t="str">
        <f aca="false">IF($AT368&gt;0,VLOOKUP($AR368,'O_MN, PE_UTA_UGM 2024'!$E$3:$O$419,BE$6),"")</f>
        <v/>
      </c>
      <c r="BF368" s="1507" t="str">
        <f aca="false">IF($AT368&gt;0,VLOOKUP($AR368,'O_MN, PE_UTA_UGM 2024'!$E$3:$O$419,BF$6),"")</f>
        <v/>
      </c>
      <c r="BG368" s="1507" t="str">
        <f aca="false">IF($AT368&gt;0,VLOOKUP($AR368,'O_MN, PE_UTA_UGM 2024'!$E$3:$O$419,BG$6),"")</f>
        <v/>
      </c>
      <c r="BH368" s="1504"/>
      <c r="BI368" s="1504"/>
      <c r="BJ368" s="1504"/>
      <c r="BK368" s="1504"/>
      <c r="BM368" s="1411"/>
      <c r="BN368" s="1411"/>
      <c r="BO368" s="1425" t="str">
        <f aca="false">IF(ISNUMBER($AU368*BB368*1),$AU368*BB368*1,"")</f>
        <v/>
      </c>
      <c r="BP368" s="1425" t="str">
        <f aca="false">IF(ISNUMBER($AV368*BC368*1),$AV368*BC368*1,"")</f>
        <v/>
      </c>
      <c r="BQ368" s="1425" t="str">
        <f aca="false">IF(ISNUMBER($AU368*BD368*1),$AU368*BD368*1,"")</f>
        <v/>
      </c>
      <c r="BR368" s="1425" t="str">
        <f aca="false">IF(ISNUMBER($AV368*BE368*1),$AV368*BE368*1,"")</f>
        <v/>
      </c>
      <c r="BS368" s="1411" t="str">
        <f aca="false">IF(ISNUMBER($AU368*BF368),$AU368*BF368,"")</f>
        <v/>
      </c>
      <c r="BT368" s="1411" t="str">
        <f aca="false">IF(ISNUMBER($AV368*BG368),$AV368*BG368,"")</f>
        <v/>
      </c>
      <c r="BU368" s="1411"/>
      <c r="BV368" s="1411"/>
      <c r="BW368" s="1411"/>
      <c r="BX368" s="1411"/>
      <c r="BZ368" s="1372"/>
      <c r="CA368" s="1372"/>
      <c r="CB368" s="1426" t="str">
        <f aca="false">IF(ISNUMBER($AW368*BB368),$AW368*BB368,"")</f>
        <v/>
      </c>
      <c r="CC368" s="1426" t="str">
        <f aca="false">IF(ISNUMBER($AX368*BC368),$AX368*BC368,"")</f>
        <v/>
      </c>
      <c r="CD368" s="1426" t="str">
        <f aca="false">IF(ISNUMBER($AW368*BD368),$AW368*BD368,"")</f>
        <v/>
      </c>
      <c r="CE368" s="1426" t="str">
        <f aca="false">IF(ISNUMBER($AX368*BE368),$AX368*BE368,"")</f>
        <v/>
      </c>
      <c r="CF368" s="1372" t="str">
        <f aca="false">IF(ISNUMBER($AW368*BF368),$AW368*BF368,"")</f>
        <v/>
      </c>
      <c r="CG368" s="1372" t="str">
        <f aca="false">IF(ISNUMBER($AX368*BG368),$AX368*BG368,"")</f>
        <v/>
      </c>
      <c r="CH368" s="1438"/>
      <c r="CI368" s="1438"/>
      <c r="CJ368" s="1438"/>
      <c r="CK368" s="1438"/>
      <c r="CU368" s="1411"/>
      <c r="CV368" s="1411"/>
      <c r="CW368" s="1425"/>
      <c r="CX368" s="1425"/>
      <c r="CY368" s="1425"/>
      <c r="CZ368" s="1425"/>
      <c r="DA368" s="1411"/>
      <c r="DB368" s="1411"/>
      <c r="DC368" s="1411"/>
      <c r="DD368" s="1411"/>
      <c r="DE368" s="1411"/>
      <c r="DF368" s="1411"/>
      <c r="DH368" s="1432"/>
      <c r="DI368" s="1432"/>
      <c r="DJ368" s="1437"/>
      <c r="DK368" s="1437"/>
      <c r="DL368" s="1437"/>
      <c r="DM368" s="1437"/>
      <c r="DN368" s="1432"/>
      <c r="DO368" s="1432"/>
      <c r="DP368" s="1432"/>
      <c r="DQ368" s="1432"/>
      <c r="DR368" s="1432"/>
      <c r="DS368" s="1432"/>
      <c r="DT368" s="1316"/>
      <c r="DU368" s="1433"/>
      <c r="DV368" s="1433"/>
      <c r="DW368" s="1433"/>
      <c r="DX368" s="1433"/>
      <c r="DY368" s="1433"/>
      <c r="DZ368" s="1433"/>
      <c r="EA368" s="1433"/>
      <c r="EB368" s="1433"/>
    </row>
    <row r="369" customFormat="false" ht="14.25" hidden="false" customHeight="false" outlineLevel="0" collapsed="false">
      <c r="A369" s="2" t="n">
        <f aca="false">'V_DATOS PAC_SGA'!CC364</f>
        <v>0</v>
      </c>
      <c r="B369" s="2" t="n">
        <f aca="false">IF(OR(A369=0,A369=""),0,IF(I369="IV",CONCATENATE('V_DATOS PAC_SGA'!CC364,"4")+0,CONCATENATE('V_DATOS PAC_SGA'!CC364,"0")+0))</f>
        <v>0</v>
      </c>
      <c r="C369" s="2" t="n">
        <f aca="false">'V_DATOS PAC_SGA'!CD364</f>
        <v>0</v>
      </c>
      <c r="D369" s="1409" t="n">
        <f aca="false">'V_DATOS PAC_SGA'!Y364</f>
        <v>0</v>
      </c>
      <c r="E369" s="1410" t="str">
        <f aca="false">IF('V_DATOS PAC_SGA'!AV364="","Regadio",'V_DATOS PAC_SGA'!AV364)</f>
        <v>Regadio</v>
      </c>
      <c r="F369" s="1411" t="n">
        <f aca="false">'V_DATOS PAC_SGA'!BK364</f>
        <v>0</v>
      </c>
      <c r="G369" s="1412" t="n">
        <f aca="false">'V_DATOS PAC_SGA'!AN364</f>
        <v>0</v>
      </c>
      <c r="H369" s="1413" t="str">
        <f aca="false">IF(B369&gt;0,VLOOKUP(B369,'O_MN, PE_UTA_UGM 2024'!E$3:O$419,10),"")</f>
        <v/>
      </c>
      <c r="I369" s="1359" t="str">
        <f aca="false">IF('V_DATOS PAC_SGA'!BV364="IV",'V_DATOS PAC_SGA'!BV364,"")</f>
        <v/>
      </c>
      <c r="J369" s="2" t="str">
        <f aca="false">IF($A369&gt;0,IF(AND(J$4=$G369,J$6=$F369),$D369*J$5,""),"")</f>
        <v/>
      </c>
      <c r="K369" s="2" t="str">
        <f aca="false">IF($A369&gt;0,IF(AND(K$4=$G369,K$6=$F369),$D369*K$5,""),"")</f>
        <v/>
      </c>
      <c r="L369" s="2" t="str">
        <f aca="false">IF($A369&gt;0,IF(AND(L$4=$G369,L$6=$F369),$D369*L$5,""),"")</f>
        <v/>
      </c>
      <c r="M369" s="2" t="str">
        <f aca="false">IF($A369&gt;0,IF(AND(M$4=$G369,M$6=$F369),$D369*M$5,""),"")</f>
        <v/>
      </c>
      <c r="N369" s="1506" t="n">
        <f aca="false">VLOOKUP(B369,'O_MN, PE_UTA_UGM 2024'!$E$2:$K$419,IF(G369&gt;1,6,7))</f>
        <v>0</v>
      </c>
      <c r="O369" s="1434" t="str">
        <f aca="false">IF($H369=O$4,$D369*$N369,"")</f>
        <v/>
      </c>
      <c r="P369" s="1435" t="str">
        <f aca="false">IF($H369=P$4,$D369*$N369,"")</f>
        <v/>
      </c>
      <c r="Q369" s="1435" t="str">
        <f aca="false">IF($H369=Q$4,$D369*$N369,"")</f>
        <v/>
      </c>
      <c r="R369" s="1435" t="str">
        <f aca="false">IF($H369=R$4,$D369*$N369,"")</f>
        <v/>
      </c>
      <c r="S369" s="1435" t="str">
        <f aca="false">IF($H369=S$4,$D369*$N369,"")</f>
        <v/>
      </c>
      <c r="T369" s="1435" t="str">
        <f aca="false">IF($H369=T$4,$D369*$N369,"")</f>
        <v/>
      </c>
      <c r="U369" s="1436" t="str">
        <f aca="false">IF($H369=U$4,$D369*$N369,"")</f>
        <v/>
      </c>
      <c r="V369" s="1472"/>
      <c r="W369" s="1471"/>
      <c r="X369" s="1471"/>
      <c r="Y369" s="1471"/>
      <c r="Z369" s="1471"/>
      <c r="AA369" s="1471"/>
      <c r="AB369" s="1473"/>
      <c r="AC369" s="1319"/>
      <c r="AD369" s="2" t="str">
        <f aca="false">IF(AND(AD$4=$G369,AD$6=$F369),$B369,"")</f>
        <v/>
      </c>
      <c r="AE369" s="2" t="str">
        <f aca="false">IF(AND(AE$4=$G369,AE$6=$F369),$B369,"")</f>
        <v/>
      </c>
      <c r="AF369" s="2" t="str">
        <f aca="false">IF(AND(AF$4=$G369,AF$6=$F369),$B369,"")</f>
        <v/>
      </c>
      <c r="AG369" s="2" t="str">
        <f aca="false">IF(AND(AG$4=$G369,AG$6=$F369),$B369,"")</f>
        <v/>
      </c>
      <c r="AI369" s="366"/>
      <c r="AL369" s="367"/>
      <c r="AO369" s="367"/>
      <c r="AP369" s="2" t="str">
        <f aca="false">IF(AT369&gt;0,RANK(AT369,AT$7:AT$423),"")</f>
        <v/>
      </c>
      <c r="AQ369" s="1475" t="n">
        <f aca="false">'O_MN, PE_UTA_UGM 2024'!C366</f>
        <v>927</v>
      </c>
      <c r="AR369" s="1421" t="n">
        <v>4150</v>
      </c>
      <c r="AS369" s="2" t="str">
        <f aca="false">IF(AY369&lt;&gt;"",AY369,"")</f>
        <v/>
      </c>
      <c r="AT369" s="1422" t="n">
        <f aca="false">IF(ISNUMBER($AR369),SUMIF(B$7:B$505,AR369,D$7:D$505),"")</f>
        <v>0</v>
      </c>
      <c r="AU369" s="1411" t="n">
        <f aca="false">IF(ISNUMBER($AR369),SUMIF(AD$7:AD$503,$AR369,J$7:J$503),"")</f>
        <v>0</v>
      </c>
      <c r="AV369" s="1411" t="n">
        <f aca="false">IF(ISNUMBER($AR369),SUMIF(AF$7:AF$503,$AR369,L$7:L$503),"")</f>
        <v>0</v>
      </c>
      <c r="AW369" s="1423" t="n">
        <f aca="false">IF(ISNUMBER($AR369),SUMIF(AE$7:AE$503,$AR369,K$7:K$503),"")</f>
        <v>0</v>
      </c>
      <c r="AX369" s="1423" t="n">
        <f aca="false">IF(ISNUMBER($AR369),SUMIF(AG$7:AG$503,$AR369,M$7:M$503),"")</f>
        <v>0</v>
      </c>
      <c r="AY369" s="2" t="str">
        <f aca="false">IF($AT369&gt;0,VLOOKUP($AR369,'O_MN, PE_UTA_UGM 2024'!E366:O781,2),"")</f>
        <v/>
      </c>
      <c r="AZ369" s="1507"/>
      <c r="BA369" s="1507"/>
      <c r="BB369" s="1507" t="str">
        <f aca="false">IF($AT369&gt;0,VLOOKUP($AR369,'O_MN, PE_UTA_UGM 2024'!$E$3:$O$419,BB$6),"")</f>
        <v/>
      </c>
      <c r="BC369" s="1507" t="str">
        <f aca="false">IF($AT369&gt;0,VLOOKUP($AR369,'O_MN, PE_UTA_UGM 2024'!$E$3:$O$419,BC$6),"")</f>
        <v/>
      </c>
      <c r="BD369" s="1507" t="str">
        <f aca="false">IF($AT369&gt;0,VLOOKUP($AR369,'O_MN, PE_UTA_UGM 2024'!$E$3:$O$419,BD$6),"")</f>
        <v/>
      </c>
      <c r="BE369" s="1507" t="str">
        <f aca="false">IF($AT369&gt;0,VLOOKUP($AR369,'O_MN, PE_UTA_UGM 2024'!$E$3:$O$419,BE$6),"")</f>
        <v/>
      </c>
      <c r="BF369" s="1507" t="str">
        <f aca="false">IF($AT369&gt;0,VLOOKUP($AR369,'O_MN, PE_UTA_UGM 2024'!$E$3:$O$419,BF$6),"")</f>
        <v/>
      </c>
      <c r="BG369" s="1507" t="str">
        <f aca="false">IF($AT369&gt;0,VLOOKUP($AR369,'O_MN, PE_UTA_UGM 2024'!$E$3:$O$419,BG$6),"")</f>
        <v/>
      </c>
      <c r="BH369" s="1504"/>
      <c r="BI369" s="1504"/>
      <c r="BJ369" s="1504"/>
      <c r="BK369" s="1504"/>
      <c r="BM369" s="1411"/>
      <c r="BN369" s="1411"/>
      <c r="BO369" s="1425" t="str">
        <f aca="false">IF(ISNUMBER($AU369*BB369*1),$AU369*BB369*1,"")</f>
        <v/>
      </c>
      <c r="BP369" s="1425" t="str">
        <f aca="false">IF(ISNUMBER($AV369*BC369*1),$AV369*BC369*1,"")</f>
        <v/>
      </c>
      <c r="BQ369" s="1425" t="str">
        <f aca="false">IF(ISNUMBER($AU369*BD369*1),$AU369*BD369*1,"")</f>
        <v/>
      </c>
      <c r="BR369" s="1425" t="str">
        <f aca="false">IF(ISNUMBER($AV369*BE369*1),$AV369*BE369*1,"")</f>
        <v/>
      </c>
      <c r="BS369" s="1411" t="str">
        <f aca="false">IF(ISNUMBER($AU369*BF369),$AU369*BF369,"")</f>
        <v/>
      </c>
      <c r="BT369" s="1411" t="str">
        <f aca="false">IF(ISNUMBER($AV369*BG369),$AV369*BG369,"")</f>
        <v/>
      </c>
      <c r="BU369" s="1411"/>
      <c r="BV369" s="1411"/>
      <c r="BW369" s="1411"/>
      <c r="BX369" s="1411"/>
      <c r="BZ369" s="1372"/>
      <c r="CA369" s="1372"/>
      <c r="CB369" s="1426" t="str">
        <f aca="false">IF(ISNUMBER($AW369*BB369),$AW369*BB369,"")</f>
        <v/>
      </c>
      <c r="CC369" s="1426" t="str">
        <f aca="false">IF(ISNUMBER($AX369*BC369),$AX369*BC369,"")</f>
        <v/>
      </c>
      <c r="CD369" s="1426" t="str">
        <f aca="false">IF(ISNUMBER($AW369*BD369),$AW369*BD369,"")</f>
        <v/>
      </c>
      <c r="CE369" s="1426" t="str">
        <f aca="false">IF(ISNUMBER($AX369*BE369),$AX369*BE369,"")</f>
        <v/>
      </c>
      <c r="CF369" s="1372" t="str">
        <f aca="false">IF(ISNUMBER($AW369*BF369),$AW369*BF369,"")</f>
        <v/>
      </c>
      <c r="CG369" s="1372" t="str">
        <f aca="false">IF(ISNUMBER($AX369*BG369),$AX369*BG369,"")</f>
        <v/>
      </c>
      <c r="CH369" s="1438"/>
      <c r="CI369" s="1438"/>
      <c r="CJ369" s="1438"/>
      <c r="CK369" s="1438"/>
      <c r="CU369" s="1411"/>
      <c r="CV369" s="1411"/>
      <c r="CW369" s="1425"/>
      <c r="CX369" s="1425"/>
      <c r="CY369" s="1425"/>
      <c r="CZ369" s="1425"/>
      <c r="DA369" s="1411"/>
      <c r="DB369" s="1411"/>
      <c r="DC369" s="1411"/>
      <c r="DD369" s="1411"/>
      <c r="DE369" s="1411"/>
      <c r="DF369" s="1411"/>
      <c r="DH369" s="1432"/>
      <c r="DI369" s="1432"/>
      <c r="DJ369" s="1437"/>
      <c r="DK369" s="1437"/>
      <c r="DL369" s="1437"/>
      <c r="DM369" s="1437"/>
      <c r="DN369" s="1432"/>
      <c r="DO369" s="1432"/>
      <c r="DP369" s="1432"/>
      <c r="DQ369" s="1432"/>
      <c r="DR369" s="1432"/>
      <c r="DS369" s="1432"/>
      <c r="DT369" s="1316"/>
      <c r="DU369" s="1433"/>
      <c r="DV369" s="1433"/>
      <c r="DW369" s="1433"/>
      <c r="DX369" s="1433"/>
      <c r="DY369" s="1433"/>
      <c r="DZ369" s="1433"/>
      <c r="EA369" s="1433"/>
      <c r="EB369" s="1433"/>
    </row>
    <row r="370" customFormat="false" ht="14.25" hidden="false" customHeight="false" outlineLevel="0" collapsed="false">
      <c r="A370" s="2" t="n">
        <f aca="false">'V_DATOS PAC_SGA'!CC365</f>
        <v>0</v>
      </c>
      <c r="B370" s="2" t="n">
        <f aca="false">IF(OR(A370=0,A370=""),0,IF(I370="IV",CONCATENATE('V_DATOS PAC_SGA'!CC365,"4")+0,CONCATENATE('V_DATOS PAC_SGA'!CC365,"0")+0))</f>
        <v>0</v>
      </c>
      <c r="C370" s="2" t="n">
        <f aca="false">'V_DATOS PAC_SGA'!CD365</f>
        <v>0</v>
      </c>
      <c r="D370" s="1409" t="n">
        <f aca="false">'V_DATOS PAC_SGA'!Y365</f>
        <v>0</v>
      </c>
      <c r="E370" s="1410" t="str">
        <f aca="false">IF('V_DATOS PAC_SGA'!AV365="","Regadio",'V_DATOS PAC_SGA'!AV365)</f>
        <v>Regadio</v>
      </c>
      <c r="F370" s="1411" t="n">
        <f aca="false">'V_DATOS PAC_SGA'!BK365</f>
        <v>0</v>
      </c>
      <c r="G370" s="1412" t="n">
        <f aca="false">'V_DATOS PAC_SGA'!AN365</f>
        <v>0</v>
      </c>
      <c r="H370" s="1413" t="str">
        <f aca="false">IF(B370&gt;0,VLOOKUP(B370,'O_MN, PE_UTA_UGM 2024'!E$3:O$419,10),"")</f>
        <v/>
      </c>
      <c r="I370" s="1359" t="str">
        <f aca="false">IF('V_DATOS PAC_SGA'!BV365="IV",'V_DATOS PAC_SGA'!BV365,"")</f>
        <v/>
      </c>
      <c r="J370" s="2" t="str">
        <f aca="false">IF($A370&gt;0,IF(AND(J$4=$G370,J$6=$F370),$D370*J$5,""),"")</f>
        <v/>
      </c>
      <c r="K370" s="2" t="str">
        <f aca="false">IF($A370&gt;0,IF(AND(K$4=$G370,K$6=$F370),$D370*K$5,""),"")</f>
        <v/>
      </c>
      <c r="L370" s="2" t="str">
        <f aca="false">IF($A370&gt;0,IF(AND(L$4=$G370,L$6=$F370),$D370*L$5,""),"")</f>
        <v/>
      </c>
      <c r="M370" s="2" t="str">
        <f aca="false">IF($A370&gt;0,IF(AND(M$4=$G370,M$6=$F370),$D370*M$5,""),"")</f>
        <v/>
      </c>
      <c r="N370" s="1506" t="n">
        <f aca="false">VLOOKUP(B370,'O_MN, PE_UTA_UGM 2024'!$E$2:$K$419,IF(G370&gt;1,6,7))</f>
        <v>0</v>
      </c>
      <c r="O370" s="1434" t="str">
        <f aca="false">IF($H370=O$4,$D370*$N370,"")</f>
        <v/>
      </c>
      <c r="P370" s="1435" t="str">
        <f aca="false">IF($H370=P$4,$D370*$N370,"")</f>
        <v/>
      </c>
      <c r="Q370" s="1435" t="str">
        <f aca="false">IF($H370=Q$4,$D370*$N370,"")</f>
        <v/>
      </c>
      <c r="R370" s="1435" t="str">
        <f aca="false">IF($H370=R$4,$D370*$N370,"")</f>
        <v/>
      </c>
      <c r="S370" s="1435" t="str">
        <f aca="false">IF($H370=S$4,$D370*$N370,"")</f>
        <v/>
      </c>
      <c r="T370" s="1435" t="str">
        <f aca="false">IF($H370=T$4,$D370*$N370,"")</f>
        <v/>
      </c>
      <c r="U370" s="1436" t="str">
        <f aca="false">IF($H370=U$4,$D370*$N370,"")</f>
        <v/>
      </c>
      <c r="V370" s="1472"/>
      <c r="W370" s="1471"/>
      <c r="X370" s="1471"/>
      <c r="Y370" s="1471"/>
      <c r="Z370" s="1471"/>
      <c r="AA370" s="1471"/>
      <c r="AB370" s="1473"/>
      <c r="AC370" s="1319"/>
      <c r="AD370" s="2" t="str">
        <f aca="false">IF(AND(AD$4=$G370,AD$6=$F370),$B370,"")</f>
        <v/>
      </c>
      <c r="AE370" s="2" t="str">
        <f aca="false">IF(AND(AE$4=$G370,AE$6=$F370),$B370,"")</f>
        <v/>
      </c>
      <c r="AF370" s="2" t="str">
        <f aca="false">IF(AND(AF$4=$G370,AF$6=$F370),$B370,"")</f>
        <v/>
      </c>
      <c r="AG370" s="2" t="str">
        <f aca="false">IF(AND(AG$4=$G370,AG$6=$F370),$B370,"")</f>
        <v/>
      </c>
      <c r="AI370" s="366"/>
      <c r="AL370" s="367"/>
      <c r="AO370" s="367"/>
      <c r="AP370" s="2" t="str">
        <f aca="false">IF(AT370&gt;0,RANK(AT370,AT$7:AT$423),"")</f>
        <v/>
      </c>
      <c r="AQ370" s="1475" t="n">
        <f aca="false">'O_MN, PE_UTA_UGM 2024'!C367</f>
        <v>938</v>
      </c>
      <c r="AR370" s="1421" t="n">
        <v>4170</v>
      </c>
      <c r="AS370" s="2" t="str">
        <f aca="false">IF(AY370&lt;&gt;"",AY370,"")</f>
        <v/>
      </c>
      <c r="AT370" s="1422" t="n">
        <f aca="false">IF(ISNUMBER($AR370),SUMIF(B$7:B$505,AR370,D$7:D$505),"")</f>
        <v>0</v>
      </c>
      <c r="AU370" s="1411" t="n">
        <f aca="false">IF(ISNUMBER($AR370),SUMIF(AD$7:AD$503,$AR370,J$7:J$503),"")</f>
        <v>0</v>
      </c>
      <c r="AV370" s="1411" t="n">
        <f aca="false">IF(ISNUMBER($AR370),SUMIF(AF$7:AF$503,$AR370,L$7:L$503),"")</f>
        <v>0</v>
      </c>
      <c r="AW370" s="1423" t="n">
        <f aca="false">IF(ISNUMBER($AR370),SUMIF(AE$7:AE$503,$AR370,K$7:K$503),"")</f>
        <v>0</v>
      </c>
      <c r="AX370" s="1423" t="n">
        <f aca="false">IF(ISNUMBER($AR370),SUMIF(AG$7:AG$503,$AR370,M$7:M$503),"")</f>
        <v>0</v>
      </c>
      <c r="AY370" s="2" t="str">
        <f aca="false">IF($AT370&gt;0,VLOOKUP($AR370,'O_MN, PE_UTA_UGM 2024'!E367:O782,2),"")</f>
        <v/>
      </c>
      <c r="AZ370" s="1507"/>
      <c r="BA370" s="1507"/>
      <c r="BB370" s="1507" t="str">
        <f aca="false">IF($AT370&gt;0,VLOOKUP($AR370,'O_MN, PE_UTA_UGM 2024'!$E$3:$O$419,BB$6),"")</f>
        <v/>
      </c>
      <c r="BC370" s="1507" t="str">
        <f aca="false">IF($AT370&gt;0,VLOOKUP($AR370,'O_MN, PE_UTA_UGM 2024'!$E$3:$O$419,BC$6),"")</f>
        <v/>
      </c>
      <c r="BD370" s="1507" t="str">
        <f aca="false">IF($AT370&gt;0,VLOOKUP($AR370,'O_MN, PE_UTA_UGM 2024'!$E$3:$O$419,BD$6),"")</f>
        <v/>
      </c>
      <c r="BE370" s="1507" t="str">
        <f aca="false">IF($AT370&gt;0,VLOOKUP($AR370,'O_MN, PE_UTA_UGM 2024'!$E$3:$O$419,BE$6),"")</f>
        <v/>
      </c>
      <c r="BF370" s="1507" t="str">
        <f aca="false">IF($AT370&gt;0,VLOOKUP($AR370,'O_MN, PE_UTA_UGM 2024'!$E$3:$O$419,BF$6),"")</f>
        <v/>
      </c>
      <c r="BG370" s="1507" t="str">
        <f aca="false">IF($AT370&gt;0,VLOOKUP($AR370,'O_MN, PE_UTA_UGM 2024'!$E$3:$O$419,BG$6),"")</f>
        <v/>
      </c>
      <c r="BH370" s="1504"/>
      <c r="BI370" s="1504"/>
      <c r="BJ370" s="1504"/>
      <c r="BK370" s="1504"/>
      <c r="BM370" s="1411"/>
      <c r="BN370" s="1411"/>
      <c r="BO370" s="1425" t="str">
        <f aca="false">IF(ISNUMBER($AU370*BB370*1),$AU370*BB370*1,"")</f>
        <v/>
      </c>
      <c r="BP370" s="1425" t="str">
        <f aca="false">IF(ISNUMBER($AV370*BC370*1),$AV370*BC370*1,"")</f>
        <v/>
      </c>
      <c r="BQ370" s="1425" t="str">
        <f aca="false">IF(ISNUMBER($AU370*BD370*1),$AU370*BD370*1,"")</f>
        <v/>
      </c>
      <c r="BR370" s="1425" t="str">
        <f aca="false">IF(ISNUMBER($AV370*BE370*1),$AV370*BE370*1,"")</f>
        <v/>
      </c>
      <c r="BS370" s="1411" t="str">
        <f aca="false">IF(ISNUMBER($AU370*BF370),$AU370*BF370,"")</f>
        <v/>
      </c>
      <c r="BT370" s="1411" t="str">
        <f aca="false">IF(ISNUMBER($AV370*BG370),$AV370*BG370,"")</f>
        <v/>
      </c>
      <c r="BU370" s="1411"/>
      <c r="BV370" s="1411"/>
      <c r="BW370" s="1411"/>
      <c r="BX370" s="1411"/>
      <c r="BZ370" s="1372"/>
      <c r="CA370" s="1372"/>
      <c r="CB370" s="1426" t="str">
        <f aca="false">IF(ISNUMBER($AW370*BB370),$AW370*BB370,"")</f>
        <v/>
      </c>
      <c r="CC370" s="1426" t="str">
        <f aca="false">IF(ISNUMBER($AX370*BC370),$AX370*BC370,"")</f>
        <v/>
      </c>
      <c r="CD370" s="1426" t="str">
        <f aca="false">IF(ISNUMBER($AW370*BD370),$AW370*BD370,"")</f>
        <v/>
      </c>
      <c r="CE370" s="1426" t="str">
        <f aca="false">IF(ISNUMBER($AX370*BE370),$AX370*BE370,"")</f>
        <v/>
      </c>
      <c r="CF370" s="1372" t="str">
        <f aca="false">IF(ISNUMBER($AW370*BF370),$AW370*BF370,"")</f>
        <v/>
      </c>
      <c r="CG370" s="1372" t="str">
        <f aca="false">IF(ISNUMBER($AX370*BG370),$AX370*BG370,"")</f>
        <v/>
      </c>
      <c r="CH370" s="1438"/>
      <c r="CI370" s="1438"/>
      <c r="CJ370" s="1438"/>
      <c r="CK370" s="1438"/>
      <c r="CU370" s="1411"/>
      <c r="CV370" s="1411"/>
      <c r="CW370" s="1425"/>
      <c r="CX370" s="1425"/>
      <c r="CY370" s="1425"/>
      <c r="CZ370" s="1425"/>
      <c r="DA370" s="1411"/>
      <c r="DB370" s="1411"/>
      <c r="DC370" s="1411"/>
      <c r="DD370" s="1411"/>
      <c r="DE370" s="1411"/>
      <c r="DF370" s="1411"/>
      <c r="DH370" s="1432"/>
      <c r="DI370" s="1432"/>
      <c r="DJ370" s="1437"/>
      <c r="DK370" s="1437"/>
      <c r="DL370" s="1437"/>
      <c r="DM370" s="1437"/>
      <c r="DN370" s="1432"/>
      <c r="DO370" s="1432"/>
      <c r="DP370" s="1432"/>
      <c r="DQ370" s="1432"/>
      <c r="DR370" s="1432"/>
      <c r="DS370" s="1432"/>
      <c r="DT370" s="1316"/>
      <c r="DU370" s="1433"/>
      <c r="DV370" s="1433"/>
      <c r="DW370" s="1433"/>
      <c r="DX370" s="1433"/>
      <c r="DY370" s="1433"/>
      <c r="DZ370" s="1433"/>
      <c r="EA370" s="1433"/>
      <c r="EB370" s="1433"/>
    </row>
    <row r="371" customFormat="false" ht="14.25" hidden="false" customHeight="false" outlineLevel="0" collapsed="false">
      <c r="A371" s="2" t="n">
        <f aca="false">'V_DATOS PAC_SGA'!CC366</f>
        <v>0</v>
      </c>
      <c r="B371" s="2" t="n">
        <f aca="false">IF(OR(A371=0,A371=""),0,IF(I371="IV",CONCATENATE('V_DATOS PAC_SGA'!CC366,"4")+0,CONCATENATE('V_DATOS PAC_SGA'!CC366,"0")+0))</f>
        <v>0</v>
      </c>
      <c r="C371" s="2" t="n">
        <f aca="false">'V_DATOS PAC_SGA'!CD366</f>
        <v>0</v>
      </c>
      <c r="D371" s="1409" t="n">
        <f aca="false">'V_DATOS PAC_SGA'!Y366</f>
        <v>0</v>
      </c>
      <c r="E371" s="1410" t="str">
        <f aca="false">IF('V_DATOS PAC_SGA'!AV366="","Regadio",'V_DATOS PAC_SGA'!AV366)</f>
        <v>Regadio</v>
      </c>
      <c r="F371" s="1411" t="n">
        <f aca="false">'V_DATOS PAC_SGA'!BK366</f>
        <v>0</v>
      </c>
      <c r="G371" s="1412" t="n">
        <f aca="false">'V_DATOS PAC_SGA'!AN366</f>
        <v>0</v>
      </c>
      <c r="H371" s="1413" t="str">
        <f aca="false">IF(B371&gt;0,VLOOKUP(B371,'O_MN, PE_UTA_UGM 2024'!E$3:O$419,10),"")</f>
        <v/>
      </c>
      <c r="I371" s="1359" t="str">
        <f aca="false">IF('V_DATOS PAC_SGA'!BV366="IV",'V_DATOS PAC_SGA'!BV366,"")</f>
        <v/>
      </c>
      <c r="J371" s="2" t="str">
        <f aca="false">IF($A371&gt;0,IF(AND(J$4=$G371,J$6=$F371),$D371*J$5,""),"")</f>
        <v/>
      </c>
      <c r="K371" s="2" t="str">
        <f aca="false">IF($A371&gt;0,IF(AND(K$4=$G371,K$6=$F371),$D371*K$5,""),"")</f>
        <v/>
      </c>
      <c r="L371" s="2" t="str">
        <f aca="false">IF($A371&gt;0,IF(AND(L$4=$G371,L$6=$F371),$D371*L$5,""),"")</f>
        <v/>
      </c>
      <c r="M371" s="2" t="str">
        <f aca="false">IF($A371&gt;0,IF(AND(M$4=$G371,M$6=$F371),$D371*M$5,""),"")</f>
        <v/>
      </c>
      <c r="N371" s="1506" t="n">
        <f aca="false">VLOOKUP(B371,'O_MN, PE_UTA_UGM 2024'!$E$2:$K$419,IF(G371&gt;1,6,7))</f>
        <v>0</v>
      </c>
      <c r="O371" s="1434" t="str">
        <f aca="false">IF($H371=O$4,$D371*$N371,"")</f>
        <v/>
      </c>
      <c r="P371" s="1435" t="str">
        <f aca="false">IF($H371=P$4,$D371*$N371,"")</f>
        <v/>
      </c>
      <c r="Q371" s="1435" t="str">
        <f aca="false">IF($H371=Q$4,$D371*$N371,"")</f>
        <v/>
      </c>
      <c r="R371" s="1435" t="str">
        <f aca="false">IF($H371=R$4,$D371*$N371,"")</f>
        <v/>
      </c>
      <c r="S371" s="1435" t="str">
        <f aca="false">IF($H371=S$4,$D371*$N371,"")</f>
        <v/>
      </c>
      <c r="T371" s="1435" t="str">
        <f aca="false">IF($H371=T$4,$D371*$N371,"")</f>
        <v/>
      </c>
      <c r="U371" s="1436" t="str">
        <f aca="false">IF($H371=U$4,$D371*$N371,"")</f>
        <v/>
      </c>
      <c r="V371" s="1472"/>
      <c r="W371" s="1471"/>
      <c r="X371" s="1471"/>
      <c r="Y371" s="1471"/>
      <c r="Z371" s="1471"/>
      <c r="AA371" s="1471"/>
      <c r="AB371" s="1473"/>
      <c r="AC371" s="1319"/>
      <c r="AD371" s="2" t="str">
        <f aca="false">IF(AND(AD$4=$G371,AD$6=$F371),$B371,"")</f>
        <v/>
      </c>
      <c r="AE371" s="2" t="str">
        <f aca="false">IF(AND(AE$4=$G371,AE$6=$F371),$B371,"")</f>
        <v/>
      </c>
      <c r="AF371" s="2" t="str">
        <f aca="false">IF(AND(AF$4=$G371,AF$6=$F371),$B371,"")</f>
        <v/>
      </c>
      <c r="AG371" s="2" t="str">
        <f aca="false">IF(AND(AG$4=$G371,AG$6=$F371),$B371,"")</f>
        <v/>
      </c>
      <c r="AI371" s="366"/>
      <c r="AL371" s="367"/>
      <c r="AO371" s="367"/>
      <c r="AP371" s="2" t="str">
        <f aca="false">IF(AT371&gt;0,RANK(AT371,AT$7:AT$423),"")</f>
        <v/>
      </c>
      <c r="AQ371" s="1475" t="n">
        <f aca="false">'O_MN, PE_UTA_UGM 2024'!C368</f>
        <v>939</v>
      </c>
      <c r="AR371" s="1421" t="n">
        <v>4180</v>
      </c>
      <c r="AS371" s="2" t="str">
        <f aca="false">IF(AY371&lt;&gt;"",AY371,"")</f>
        <v/>
      </c>
      <c r="AT371" s="1422" t="n">
        <f aca="false">IF(ISNUMBER($AR371),SUMIF(B$7:B$505,AR371,D$7:D$505),"")</f>
        <v>0</v>
      </c>
      <c r="AU371" s="1411" t="n">
        <f aca="false">IF(ISNUMBER($AR371),SUMIF(AD$7:AD$503,$AR371,J$7:J$503),"")</f>
        <v>0</v>
      </c>
      <c r="AV371" s="1411" t="n">
        <f aca="false">IF(ISNUMBER($AR371),SUMIF(AF$7:AF$503,$AR371,L$7:L$503),"")</f>
        <v>0</v>
      </c>
      <c r="AW371" s="1423" t="n">
        <f aca="false">IF(ISNUMBER($AR371),SUMIF(AE$7:AE$503,$AR371,K$7:K$503),"")</f>
        <v>0</v>
      </c>
      <c r="AX371" s="1423" t="n">
        <f aca="false">IF(ISNUMBER($AR371),SUMIF(AG$7:AG$503,$AR371,M$7:M$503),"")</f>
        <v>0</v>
      </c>
      <c r="AY371" s="2" t="str">
        <f aca="false">IF($AT371&gt;0,VLOOKUP($AR371,'O_MN, PE_UTA_UGM 2024'!E368:O783,2),"")</f>
        <v/>
      </c>
      <c r="AZ371" s="1507"/>
      <c r="BA371" s="1507"/>
      <c r="BB371" s="1507" t="str">
        <f aca="false">IF($AT371&gt;0,VLOOKUP($AR371,'O_MN, PE_UTA_UGM 2024'!$E$3:$O$419,BB$6),"")</f>
        <v/>
      </c>
      <c r="BC371" s="1507" t="str">
        <f aca="false">IF($AT371&gt;0,VLOOKUP($AR371,'O_MN, PE_UTA_UGM 2024'!$E$3:$O$419,BC$6),"")</f>
        <v/>
      </c>
      <c r="BD371" s="1507" t="str">
        <f aca="false">IF($AT371&gt;0,VLOOKUP($AR371,'O_MN, PE_UTA_UGM 2024'!$E$3:$O$419,BD$6),"")</f>
        <v/>
      </c>
      <c r="BE371" s="1507" t="str">
        <f aca="false">IF($AT371&gt;0,VLOOKUP($AR371,'O_MN, PE_UTA_UGM 2024'!$E$3:$O$419,BE$6),"")</f>
        <v/>
      </c>
      <c r="BF371" s="1507" t="str">
        <f aca="false">IF($AT371&gt;0,VLOOKUP($AR371,'O_MN, PE_UTA_UGM 2024'!$E$3:$O$419,BF$6),"")</f>
        <v/>
      </c>
      <c r="BG371" s="1507" t="str">
        <f aca="false">IF($AT371&gt;0,VLOOKUP($AR371,'O_MN, PE_UTA_UGM 2024'!$E$3:$O$419,BG$6),"")</f>
        <v/>
      </c>
      <c r="BH371" s="1504"/>
      <c r="BI371" s="1504"/>
      <c r="BJ371" s="1504"/>
      <c r="BK371" s="1504"/>
      <c r="BM371" s="1411"/>
      <c r="BN371" s="1411"/>
      <c r="BO371" s="1425" t="str">
        <f aca="false">IF(ISNUMBER($AU371*BB371*1),$AU371*BB371*1,"")</f>
        <v/>
      </c>
      <c r="BP371" s="1425" t="str">
        <f aca="false">IF(ISNUMBER($AV371*BC371*1),$AV371*BC371*1,"")</f>
        <v/>
      </c>
      <c r="BQ371" s="1425" t="str">
        <f aca="false">IF(ISNUMBER($AU371*BD371*1),$AU371*BD371*1,"")</f>
        <v/>
      </c>
      <c r="BR371" s="1425" t="str">
        <f aca="false">IF(ISNUMBER($AV371*BE371*1),$AV371*BE371*1,"")</f>
        <v/>
      </c>
      <c r="BS371" s="1411" t="str">
        <f aca="false">IF(ISNUMBER($AU371*BF371),$AU371*BF371,"")</f>
        <v/>
      </c>
      <c r="BT371" s="1411" t="str">
        <f aca="false">IF(ISNUMBER($AV371*BG371),$AV371*BG371,"")</f>
        <v/>
      </c>
      <c r="BU371" s="1411"/>
      <c r="BV371" s="1411"/>
      <c r="BW371" s="1411"/>
      <c r="BX371" s="1411"/>
      <c r="BZ371" s="1372"/>
      <c r="CA371" s="1372"/>
      <c r="CB371" s="1426" t="str">
        <f aca="false">IF(ISNUMBER($AW371*BB371),$AW371*BB371,"")</f>
        <v/>
      </c>
      <c r="CC371" s="1426" t="str">
        <f aca="false">IF(ISNUMBER($AX371*BC371),$AX371*BC371,"")</f>
        <v/>
      </c>
      <c r="CD371" s="1426" t="str">
        <f aca="false">IF(ISNUMBER($AW371*BD371),$AW371*BD371,"")</f>
        <v/>
      </c>
      <c r="CE371" s="1426" t="str">
        <f aca="false">IF(ISNUMBER($AX371*BE371),$AX371*BE371,"")</f>
        <v/>
      </c>
      <c r="CF371" s="1372" t="str">
        <f aca="false">IF(ISNUMBER($AW371*BF371),$AW371*BF371,"")</f>
        <v/>
      </c>
      <c r="CG371" s="1372" t="str">
        <f aca="false">IF(ISNUMBER($AX371*BG371),$AX371*BG371,"")</f>
        <v/>
      </c>
      <c r="CH371" s="1438"/>
      <c r="CI371" s="1438"/>
      <c r="CJ371" s="1438"/>
      <c r="CK371" s="1438"/>
      <c r="CU371" s="1411"/>
      <c r="CV371" s="1411"/>
      <c r="CW371" s="1425"/>
      <c r="CX371" s="1425"/>
      <c r="CY371" s="1425"/>
      <c r="CZ371" s="1425"/>
      <c r="DA371" s="1411"/>
      <c r="DB371" s="1411"/>
      <c r="DC371" s="1411"/>
      <c r="DD371" s="1411"/>
      <c r="DE371" s="1411"/>
      <c r="DF371" s="1411"/>
      <c r="DH371" s="1432"/>
      <c r="DI371" s="1432"/>
      <c r="DJ371" s="1437"/>
      <c r="DK371" s="1437"/>
      <c r="DL371" s="1437"/>
      <c r="DM371" s="1437"/>
      <c r="DN371" s="1432"/>
      <c r="DO371" s="1432"/>
      <c r="DP371" s="1432"/>
      <c r="DQ371" s="1432"/>
      <c r="DR371" s="1432"/>
      <c r="DS371" s="1432"/>
      <c r="DT371" s="1316"/>
      <c r="DU371" s="1433"/>
      <c r="DV371" s="1433"/>
      <c r="DW371" s="1433"/>
      <c r="DX371" s="1433"/>
      <c r="DY371" s="1433"/>
      <c r="DZ371" s="1433"/>
      <c r="EA371" s="1433"/>
      <c r="EB371" s="1433"/>
    </row>
    <row r="372" customFormat="false" ht="14.25" hidden="false" customHeight="false" outlineLevel="0" collapsed="false">
      <c r="A372" s="2" t="n">
        <f aca="false">'V_DATOS PAC_SGA'!CC367</f>
        <v>0</v>
      </c>
      <c r="B372" s="2" t="n">
        <f aca="false">IF(OR(A372=0,A372=""),0,IF(I372="IV",CONCATENATE('V_DATOS PAC_SGA'!CC367,"4")+0,CONCATENATE('V_DATOS PAC_SGA'!CC367,"0")+0))</f>
        <v>0</v>
      </c>
      <c r="C372" s="2" t="n">
        <f aca="false">'V_DATOS PAC_SGA'!CD367</f>
        <v>0</v>
      </c>
      <c r="D372" s="1409" t="n">
        <f aca="false">'V_DATOS PAC_SGA'!Y367</f>
        <v>0</v>
      </c>
      <c r="E372" s="1410" t="str">
        <f aca="false">IF('V_DATOS PAC_SGA'!AV367="","Regadio",'V_DATOS PAC_SGA'!AV367)</f>
        <v>Regadio</v>
      </c>
      <c r="F372" s="1411" t="n">
        <f aca="false">'V_DATOS PAC_SGA'!BK367</f>
        <v>0</v>
      </c>
      <c r="G372" s="1412" t="n">
        <f aca="false">'V_DATOS PAC_SGA'!AN367</f>
        <v>0</v>
      </c>
      <c r="H372" s="1413" t="str">
        <f aca="false">IF(B372&gt;0,VLOOKUP(B372,'O_MN, PE_UTA_UGM 2024'!E$3:O$419,10),"")</f>
        <v/>
      </c>
      <c r="I372" s="1359" t="str">
        <f aca="false">IF('V_DATOS PAC_SGA'!BV367="IV",'V_DATOS PAC_SGA'!BV367,"")</f>
        <v/>
      </c>
      <c r="J372" s="2" t="str">
        <f aca="false">IF($A372&gt;0,IF(AND(J$4=$G372,J$6=$F372),$D372*J$5,""),"")</f>
        <v/>
      </c>
      <c r="K372" s="2" t="str">
        <f aca="false">IF($A372&gt;0,IF(AND(K$4=$G372,K$6=$F372),$D372*K$5,""),"")</f>
        <v/>
      </c>
      <c r="L372" s="2" t="str">
        <f aca="false">IF($A372&gt;0,IF(AND(L$4=$G372,L$6=$F372),$D372*L$5,""),"")</f>
        <v/>
      </c>
      <c r="M372" s="2" t="str">
        <f aca="false">IF($A372&gt;0,IF(AND(M$4=$G372,M$6=$F372),$D372*M$5,""),"")</f>
        <v/>
      </c>
      <c r="N372" s="1506" t="n">
        <f aca="false">VLOOKUP(B372,'O_MN, PE_UTA_UGM 2024'!$E$2:$K$419,IF(G372&gt;1,6,7))</f>
        <v>0</v>
      </c>
      <c r="O372" s="1434" t="str">
        <f aca="false">IF($H372=O$4,$D372*$N372,"")</f>
        <v/>
      </c>
      <c r="P372" s="1435" t="str">
        <f aca="false">IF($H372=P$4,$D372*$N372,"")</f>
        <v/>
      </c>
      <c r="Q372" s="1435" t="str">
        <f aca="false">IF($H372=Q$4,$D372*$N372,"")</f>
        <v/>
      </c>
      <c r="R372" s="1435" t="str">
        <f aca="false">IF($H372=R$4,$D372*$N372,"")</f>
        <v/>
      </c>
      <c r="S372" s="1435" t="str">
        <f aca="false">IF($H372=S$4,$D372*$N372,"")</f>
        <v/>
      </c>
      <c r="T372" s="1435" t="str">
        <f aca="false">IF($H372=T$4,$D372*$N372,"")</f>
        <v/>
      </c>
      <c r="U372" s="1436" t="str">
        <f aca="false">IF($H372=U$4,$D372*$N372,"")</f>
        <v/>
      </c>
      <c r="V372" s="1472"/>
      <c r="W372" s="1471"/>
      <c r="X372" s="1471"/>
      <c r="Y372" s="1471"/>
      <c r="Z372" s="1471"/>
      <c r="AA372" s="1471"/>
      <c r="AB372" s="1473"/>
      <c r="AC372" s="1319"/>
      <c r="AD372" s="2" t="str">
        <f aca="false">IF(AND(AD$4=$G372,AD$6=$F372),$B372,"")</f>
        <v/>
      </c>
      <c r="AE372" s="2" t="str">
        <f aca="false">IF(AND(AE$4=$G372,AE$6=$F372),$B372,"")</f>
        <v/>
      </c>
      <c r="AF372" s="2" t="str">
        <f aca="false">IF(AND(AF$4=$G372,AF$6=$F372),$B372,"")</f>
        <v/>
      </c>
      <c r="AG372" s="2" t="str">
        <f aca="false">IF(AND(AG$4=$G372,AG$6=$F372),$B372,"")</f>
        <v/>
      </c>
      <c r="AI372" s="366"/>
      <c r="AL372" s="367"/>
      <c r="AO372" s="367"/>
      <c r="AP372" s="2" t="str">
        <f aca="false">IF(AT372&gt;0,RANK(AT372,AT$7:AT$423),"")</f>
        <v/>
      </c>
      <c r="AQ372" s="1475" t="n">
        <f aca="false">'O_MN, PE_UTA_UGM 2024'!C369</f>
        <v>940</v>
      </c>
      <c r="AR372" s="1421" t="n">
        <v>4190</v>
      </c>
      <c r="AS372" s="2" t="str">
        <f aca="false">IF(AY372&lt;&gt;"",AY372,"")</f>
        <v/>
      </c>
      <c r="AT372" s="1422" t="n">
        <f aca="false">IF(ISNUMBER($AR372),SUMIF(B$7:B$505,AR372,D$7:D$505),"")</f>
        <v>0</v>
      </c>
      <c r="AU372" s="1411" t="n">
        <f aca="false">IF(ISNUMBER($AR372),SUMIF(AD$7:AD$503,$AR372,J$7:J$503),"")</f>
        <v>0</v>
      </c>
      <c r="AV372" s="1411" t="n">
        <f aca="false">IF(ISNUMBER($AR372),SUMIF(AF$7:AF$503,$AR372,L$7:L$503),"")</f>
        <v>0</v>
      </c>
      <c r="AW372" s="1423" t="n">
        <f aca="false">IF(ISNUMBER($AR372),SUMIF(AE$7:AE$503,$AR372,K$7:K$503),"")</f>
        <v>0</v>
      </c>
      <c r="AX372" s="1423" t="n">
        <f aca="false">IF(ISNUMBER($AR372),SUMIF(AG$7:AG$503,$AR372,M$7:M$503),"")</f>
        <v>0</v>
      </c>
      <c r="AY372" s="2" t="str">
        <f aca="false">IF($AT372&gt;0,VLOOKUP($AR372,'O_MN, PE_UTA_UGM 2024'!E369:O784,2),"")</f>
        <v/>
      </c>
      <c r="AZ372" s="1507"/>
      <c r="BA372" s="1507"/>
      <c r="BB372" s="1507" t="str">
        <f aca="false">IF($AT372&gt;0,VLOOKUP($AR372,'O_MN, PE_UTA_UGM 2024'!$E$3:$O$419,BB$6),"")</f>
        <v/>
      </c>
      <c r="BC372" s="1507" t="str">
        <f aca="false">IF($AT372&gt;0,VLOOKUP($AR372,'O_MN, PE_UTA_UGM 2024'!$E$3:$O$419,BC$6),"")</f>
        <v/>
      </c>
      <c r="BD372" s="1507" t="str">
        <f aca="false">IF($AT372&gt;0,VLOOKUP($AR372,'O_MN, PE_UTA_UGM 2024'!$E$3:$O$419,BD$6),"")</f>
        <v/>
      </c>
      <c r="BE372" s="1507" t="str">
        <f aca="false">IF($AT372&gt;0,VLOOKUP($AR372,'O_MN, PE_UTA_UGM 2024'!$E$3:$O$419,BE$6),"")</f>
        <v/>
      </c>
      <c r="BF372" s="1507" t="str">
        <f aca="false">IF($AT372&gt;0,VLOOKUP($AR372,'O_MN, PE_UTA_UGM 2024'!$E$3:$O$419,BF$6),"")</f>
        <v/>
      </c>
      <c r="BG372" s="1507" t="str">
        <f aca="false">IF($AT372&gt;0,VLOOKUP($AR372,'O_MN, PE_UTA_UGM 2024'!$E$3:$O$419,BG$6),"")</f>
        <v/>
      </c>
      <c r="BH372" s="1504"/>
      <c r="BI372" s="1504"/>
      <c r="BJ372" s="1504"/>
      <c r="BK372" s="1504"/>
      <c r="BM372" s="1411"/>
      <c r="BN372" s="1411"/>
      <c r="BO372" s="1425" t="str">
        <f aca="false">IF(ISNUMBER($AU372*BB372*1),$AU372*BB372*1,"")</f>
        <v/>
      </c>
      <c r="BP372" s="1425" t="str">
        <f aca="false">IF(ISNUMBER($AV372*BC372*1),$AV372*BC372*1,"")</f>
        <v/>
      </c>
      <c r="BQ372" s="1425" t="str">
        <f aca="false">IF(ISNUMBER($AU372*BD372*1),$AU372*BD372*1,"")</f>
        <v/>
      </c>
      <c r="BR372" s="1425" t="str">
        <f aca="false">IF(ISNUMBER($AV372*BE372*1),$AV372*BE372*1,"")</f>
        <v/>
      </c>
      <c r="BS372" s="1411" t="str">
        <f aca="false">IF(ISNUMBER($AU372*BF372),$AU372*BF372,"")</f>
        <v/>
      </c>
      <c r="BT372" s="1411" t="str">
        <f aca="false">IF(ISNUMBER($AV372*BG372),$AV372*BG372,"")</f>
        <v/>
      </c>
      <c r="BU372" s="1411"/>
      <c r="BV372" s="1411"/>
      <c r="BW372" s="1411"/>
      <c r="BX372" s="1411"/>
      <c r="BZ372" s="1372"/>
      <c r="CA372" s="1372"/>
      <c r="CB372" s="1426" t="str">
        <f aca="false">IF(ISNUMBER($AW372*BB372),$AW372*BB372,"")</f>
        <v/>
      </c>
      <c r="CC372" s="1426" t="str">
        <f aca="false">IF(ISNUMBER($AX372*BC372),$AX372*BC372,"")</f>
        <v/>
      </c>
      <c r="CD372" s="1426" t="str">
        <f aca="false">IF(ISNUMBER($AW372*BD372),$AW372*BD372,"")</f>
        <v/>
      </c>
      <c r="CE372" s="1426" t="str">
        <f aca="false">IF(ISNUMBER($AX372*BE372),$AX372*BE372,"")</f>
        <v/>
      </c>
      <c r="CF372" s="1372" t="str">
        <f aca="false">IF(ISNUMBER($AW372*BF372),$AW372*BF372,"")</f>
        <v/>
      </c>
      <c r="CG372" s="1372" t="str">
        <f aca="false">IF(ISNUMBER($AX372*BG372),$AX372*BG372,"")</f>
        <v/>
      </c>
      <c r="CH372" s="1438"/>
      <c r="CI372" s="1438"/>
      <c r="CJ372" s="1438"/>
      <c r="CK372" s="1438"/>
      <c r="CU372" s="1411"/>
      <c r="CV372" s="1411"/>
      <c r="CW372" s="1425"/>
      <c r="CX372" s="1425"/>
      <c r="CY372" s="1425"/>
      <c r="CZ372" s="1425"/>
      <c r="DA372" s="1411"/>
      <c r="DB372" s="1411"/>
      <c r="DC372" s="1411"/>
      <c r="DD372" s="1411"/>
      <c r="DE372" s="1411"/>
      <c r="DF372" s="1411"/>
      <c r="DH372" s="1432"/>
      <c r="DI372" s="1432"/>
      <c r="DJ372" s="1437"/>
      <c r="DK372" s="1437"/>
      <c r="DL372" s="1437"/>
      <c r="DM372" s="1437"/>
      <c r="DN372" s="1432"/>
      <c r="DO372" s="1432"/>
      <c r="DP372" s="1432"/>
      <c r="DQ372" s="1432"/>
      <c r="DR372" s="1432"/>
      <c r="DS372" s="1432"/>
      <c r="DT372" s="1316"/>
      <c r="DU372" s="1433"/>
      <c r="DV372" s="1433"/>
      <c r="DW372" s="1433"/>
      <c r="DX372" s="1433"/>
      <c r="DY372" s="1433"/>
      <c r="DZ372" s="1433"/>
      <c r="EA372" s="1433"/>
      <c r="EB372" s="1433"/>
    </row>
    <row r="373" customFormat="false" ht="14.25" hidden="false" customHeight="false" outlineLevel="0" collapsed="false">
      <c r="A373" s="2" t="n">
        <f aca="false">'V_DATOS PAC_SGA'!CC368</f>
        <v>0</v>
      </c>
      <c r="B373" s="2" t="n">
        <f aca="false">IF(OR(A373=0,A373=""),0,IF(I373="IV",CONCATENATE('V_DATOS PAC_SGA'!CC368,"4")+0,CONCATENATE('V_DATOS PAC_SGA'!CC368,"0")+0))</f>
        <v>0</v>
      </c>
      <c r="C373" s="2" t="n">
        <f aca="false">'V_DATOS PAC_SGA'!CD368</f>
        <v>0</v>
      </c>
      <c r="D373" s="1409" t="n">
        <f aca="false">'V_DATOS PAC_SGA'!Y368</f>
        <v>0</v>
      </c>
      <c r="E373" s="1410" t="str">
        <f aca="false">IF('V_DATOS PAC_SGA'!AV368="","Regadio",'V_DATOS PAC_SGA'!AV368)</f>
        <v>Regadio</v>
      </c>
      <c r="F373" s="1411" t="n">
        <f aca="false">'V_DATOS PAC_SGA'!BK368</f>
        <v>0</v>
      </c>
      <c r="G373" s="1412" t="n">
        <f aca="false">'V_DATOS PAC_SGA'!AN368</f>
        <v>0</v>
      </c>
      <c r="H373" s="1413" t="str">
        <f aca="false">IF(B373&gt;0,VLOOKUP(B373,'O_MN, PE_UTA_UGM 2024'!E$3:O$419,10),"")</f>
        <v/>
      </c>
      <c r="I373" s="1359" t="str">
        <f aca="false">IF('V_DATOS PAC_SGA'!BV368="IV",'V_DATOS PAC_SGA'!BV368,"")</f>
        <v/>
      </c>
      <c r="J373" s="2" t="str">
        <f aca="false">IF($A373&gt;0,IF(AND(J$4=$G373,J$6=$F373),$D373*J$5,""),"")</f>
        <v/>
      </c>
      <c r="K373" s="2" t="str">
        <f aca="false">IF($A373&gt;0,IF(AND(K$4=$G373,K$6=$F373),$D373*K$5,""),"")</f>
        <v/>
      </c>
      <c r="L373" s="2" t="str">
        <f aca="false">IF($A373&gt;0,IF(AND(L$4=$G373,L$6=$F373),$D373*L$5,""),"")</f>
        <v/>
      </c>
      <c r="M373" s="2" t="str">
        <f aca="false">IF($A373&gt;0,IF(AND(M$4=$G373,M$6=$F373),$D373*M$5,""),"")</f>
        <v/>
      </c>
      <c r="N373" s="1506" t="n">
        <f aca="false">VLOOKUP(B373,'O_MN, PE_UTA_UGM 2024'!$E$2:$K$419,IF(G373&gt;1,6,7))</f>
        <v>0</v>
      </c>
      <c r="O373" s="1434" t="str">
        <f aca="false">IF($H373=O$4,$D373*$N373,"")</f>
        <v/>
      </c>
      <c r="P373" s="1435" t="str">
        <f aca="false">IF($H373=P$4,$D373*$N373,"")</f>
        <v/>
      </c>
      <c r="Q373" s="1435" t="str">
        <f aca="false">IF($H373=Q$4,$D373*$N373,"")</f>
        <v/>
      </c>
      <c r="R373" s="1435" t="str">
        <f aca="false">IF($H373=R$4,$D373*$N373,"")</f>
        <v/>
      </c>
      <c r="S373" s="1435" t="str">
        <f aca="false">IF($H373=S$4,$D373*$N373,"")</f>
        <v/>
      </c>
      <c r="T373" s="1435" t="str">
        <f aca="false">IF($H373=T$4,$D373*$N373,"")</f>
        <v/>
      </c>
      <c r="U373" s="1436" t="str">
        <f aca="false">IF($H373=U$4,$D373*$N373,"")</f>
        <v/>
      </c>
      <c r="V373" s="1472"/>
      <c r="W373" s="1471"/>
      <c r="X373" s="1471"/>
      <c r="Y373" s="1471"/>
      <c r="Z373" s="1471"/>
      <c r="AA373" s="1471"/>
      <c r="AB373" s="1473"/>
      <c r="AC373" s="1319"/>
      <c r="AD373" s="2" t="str">
        <f aca="false">IF(AND(AD$4=$G373,AD$6=$F373),$B373,"")</f>
        <v/>
      </c>
      <c r="AE373" s="2" t="str">
        <f aca="false">IF(AND(AE$4=$G373,AE$6=$F373),$B373,"")</f>
        <v/>
      </c>
      <c r="AF373" s="2" t="str">
        <f aca="false">IF(AND(AF$4=$G373,AF$6=$F373),$B373,"")</f>
        <v/>
      </c>
      <c r="AG373" s="2" t="str">
        <f aca="false">IF(AND(AG$4=$G373,AG$6=$F373),$B373,"")</f>
        <v/>
      </c>
      <c r="AI373" s="366"/>
      <c r="AL373" s="367"/>
      <c r="AO373" s="367"/>
      <c r="AP373" s="2" t="str">
        <f aca="false">IF(AT373&gt;0,RANK(AT373,AT$7:AT$423),"")</f>
        <v/>
      </c>
      <c r="AQ373" s="1475" t="n">
        <f aca="false">'O_MN, PE_UTA_UGM 2024'!C370</f>
        <v>941</v>
      </c>
      <c r="AR373" s="1421" t="n">
        <v>4200</v>
      </c>
      <c r="AS373" s="2" t="str">
        <f aca="false">IF(AY373&lt;&gt;"",AY373,"")</f>
        <v/>
      </c>
      <c r="AT373" s="1422" t="n">
        <f aca="false">IF(ISNUMBER($AR373),SUMIF(B$7:B$505,AR373,D$7:D$505),"")</f>
        <v>0</v>
      </c>
      <c r="AU373" s="1411" t="n">
        <f aca="false">IF(ISNUMBER($AR373),SUMIF(AD$7:AD$503,$AR373,J$7:J$503),"")</f>
        <v>0</v>
      </c>
      <c r="AV373" s="1411" t="n">
        <f aca="false">IF(ISNUMBER($AR373),SUMIF(AF$7:AF$503,$AR373,L$7:L$503),"")</f>
        <v>0</v>
      </c>
      <c r="AW373" s="1423" t="n">
        <f aca="false">IF(ISNUMBER($AR373),SUMIF(AE$7:AE$503,$AR373,K$7:K$503),"")</f>
        <v>0</v>
      </c>
      <c r="AX373" s="1423" t="n">
        <f aca="false">IF(ISNUMBER($AR373),SUMIF(AG$7:AG$503,$AR373,M$7:M$503),"")</f>
        <v>0</v>
      </c>
      <c r="AY373" s="2" t="str">
        <f aca="false">IF($AT373&gt;0,VLOOKUP($AR373,'O_MN, PE_UTA_UGM 2024'!E370:O785,2),"")</f>
        <v/>
      </c>
      <c r="AZ373" s="1507"/>
      <c r="BA373" s="1507"/>
      <c r="BB373" s="1507" t="str">
        <f aca="false">IF($AT373&gt;0,VLOOKUP($AR373,'O_MN, PE_UTA_UGM 2024'!$E$3:$O$419,BB$6),"")</f>
        <v/>
      </c>
      <c r="BC373" s="1507" t="str">
        <f aca="false">IF($AT373&gt;0,VLOOKUP($AR373,'O_MN, PE_UTA_UGM 2024'!$E$3:$O$419,BC$6),"")</f>
        <v/>
      </c>
      <c r="BD373" s="1507" t="str">
        <f aca="false">IF($AT373&gt;0,VLOOKUP($AR373,'O_MN, PE_UTA_UGM 2024'!$E$3:$O$419,BD$6),"")</f>
        <v/>
      </c>
      <c r="BE373" s="1507" t="str">
        <f aca="false">IF($AT373&gt;0,VLOOKUP($AR373,'O_MN, PE_UTA_UGM 2024'!$E$3:$O$419,BE$6),"")</f>
        <v/>
      </c>
      <c r="BF373" s="1507" t="str">
        <f aca="false">IF($AT373&gt;0,VLOOKUP($AR373,'O_MN, PE_UTA_UGM 2024'!$E$3:$O$419,BF$6),"")</f>
        <v/>
      </c>
      <c r="BG373" s="1507" t="str">
        <f aca="false">IF($AT373&gt;0,VLOOKUP($AR373,'O_MN, PE_UTA_UGM 2024'!$E$3:$O$419,BG$6),"")</f>
        <v/>
      </c>
      <c r="BH373" s="1504"/>
      <c r="BI373" s="1504"/>
      <c r="BJ373" s="1504"/>
      <c r="BK373" s="1504"/>
      <c r="BM373" s="1411"/>
      <c r="BN373" s="1411"/>
      <c r="BO373" s="1425" t="str">
        <f aca="false">IF(ISNUMBER($AU373*BB373*1),$AU373*BB373*1,"")</f>
        <v/>
      </c>
      <c r="BP373" s="1425" t="str">
        <f aca="false">IF(ISNUMBER($AV373*BC373*1),$AV373*BC373*1,"")</f>
        <v/>
      </c>
      <c r="BQ373" s="1425" t="str">
        <f aca="false">IF(ISNUMBER($AU373*BD373*1),$AU373*BD373*1,"")</f>
        <v/>
      </c>
      <c r="BR373" s="1425" t="str">
        <f aca="false">IF(ISNUMBER($AV373*BE373*1),$AV373*BE373*1,"")</f>
        <v/>
      </c>
      <c r="BS373" s="1411" t="str">
        <f aca="false">IF(ISNUMBER($AU373*BF373),$AU373*BF373,"")</f>
        <v/>
      </c>
      <c r="BT373" s="1411" t="str">
        <f aca="false">IF(ISNUMBER($AV373*BG373),$AV373*BG373,"")</f>
        <v/>
      </c>
      <c r="BU373" s="1411"/>
      <c r="BV373" s="1411"/>
      <c r="BW373" s="1411"/>
      <c r="BX373" s="1411"/>
      <c r="BZ373" s="1372"/>
      <c r="CA373" s="1372"/>
      <c r="CB373" s="1426" t="str">
        <f aca="false">IF(ISNUMBER($AW373*BB373),$AW373*BB373,"")</f>
        <v/>
      </c>
      <c r="CC373" s="1426" t="str">
        <f aca="false">IF(ISNUMBER($AX373*BC373),$AX373*BC373,"")</f>
        <v/>
      </c>
      <c r="CD373" s="1426" t="str">
        <f aca="false">IF(ISNUMBER($AW373*BD373),$AW373*BD373,"")</f>
        <v/>
      </c>
      <c r="CE373" s="1426" t="str">
        <f aca="false">IF(ISNUMBER($AX373*BE373),$AX373*BE373,"")</f>
        <v/>
      </c>
      <c r="CF373" s="1372" t="str">
        <f aca="false">IF(ISNUMBER($AW373*BF373),$AW373*BF373,"")</f>
        <v/>
      </c>
      <c r="CG373" s="1372" t="str">
        <f aca="false">IF(ISNUMBER($AX373*BG373),$AX373*BG373,"")</f>
        <v/>
      </c>
      <c r="CH373" s="1438"/>
      <c r="CI373" s="1438"/>
      <c r="CJ373" s="1438"/>
      <c r="CK373" s="1438"/>
      <c r="CU373" s="1411"/>
      <c r="CV373" s="1411"/>
      <c r="CW373" s="1425"/>
      <c r="CX373" s="1425"/>
      <c r="CY373" s="1425"/>
      <c r="CZ373" s="1425"/>
      <c r="DA373" s="1411"/>
      <c r="DB373" s="1411"/>
      <c r="DC373" s="1411"/>
      <c r="DD373" s="1411"/>
      <c r="DE373" s="1411"/>
      <c r="DF373" s="1411"/>
      <c r="DH373" s="1432"/>
      <c r="DI373" s="1432"/>
      <c r="DJ373" s="1437"/>
      <c r="DK373" s="1437"/>
      <c r="DL373" s="1437"/>
      <c r="DM373" s="1437"/>
      <c r="DN373" s="1432"/>
      <c r="DO373" s="1432"/>
      <c r="DP373" s="1432"/>
      <c r="DQ373" s="1432"/>
      <c r="DR373" s="1432"/>
      <c r="DS373" s="1432"/>
      <c r="DT373" s="1316"/>
      <c r="DU373" s="1433"/>
      <c r="DV373" s="1433"/>
      <c r="DW373" s="1433"/>
      <c r="DX373" s="1433"/>
      <c r="DY373" s="1433"/>
      <c r="DZ373" s="1433"/>
      <c r="EA373" s="1433"/>
      <c r="EB373" s="1433"/>
    </row>
    <row r="374" customFormat="false" ht="14.25" hidden="false" customHeight="false" outlineLevel="0" collapsed="false">
      <c r="A374" s="2" t="n">
        <f aca="false">'V_DATOS PAC_SGA'!CC369</f>
        <v>0</v>
      </c>
      <c r="B374" s="2" t="n">
        <f aca="false">IF(OR(A374=0,A374=""),0,IF(I374="IV",CONCATENATE('V_DATOS PAC_SGA'!CC369,"4")+0,CONCATENATE('V_DATOS PAC_SGA'!CC369,"0")+0))</f>
        <v>0</v>
      </c>
      <c r="C374" s="2" t="n">
        <f aca="false">'V_DATOS PAC_SGA'!CD369</f>
        <v>0</v>
      </c>
      <c r="D374" s="1409" t="n">
        <f aca="false">'V_DATOS PAC_SGA'!Y369</f>
        <v>0</v>
      </c>
      <c r="E374" s="1410" t="str">
        <f aca="false">IF('V_DATOS PAC_SGA'!AV369="","Regadio",'V_DATOS PAC_SGA'!AV369)</f>
        <v>Regadio</v>
      </c>
      <c r="F374" s="1411" t="n">
        <f aca="false">'V_DATOS PAC_SGA'!BK369</f>
        <v>0</v>
      </c>
      <c r="G374" s="1412" t="n">
        <f aca="false">'V_DATOS PAC_SGA'!AN369</f>
        <v>0</v>
      </c>
      <c r="H374" s="1413" t="str">
        <f aca="false">IF(B374&gt;0,VLOOKUP(B374,'O_MN, PE_UTA_UGM 2024'!E$3:O$419,10),"")</f>
        <v/>
      </c>
      <c r="I374" s="1359" t="str">
        <f aca="false">IF('V_DATOS PAC_SGA'!BV369="IV",'V_DATOS PAC_SGA'!BV369,"")</f>
        <v/>
      </c>
      <c r="J374" s="2" t="str">
        <f aca="false">IF($A374&gt;0,IF(AND(J$4=$G374,J$6=$F374),$D374*J$5,""),"")</f>
        <v/>
      </c>
      <c r="K374" s="2" t="str">
        <f aca="false">IF($A374&gt;0,IF(AND(K$4=$G374,K$6=$F374),$D374*K$5,""),"")</f>
        <v/>
      </c>
      <c r="L374" s="2" t="str">
        <f aca="false">IF($A374&gt;0,IF(AND(L$4=$G374,L$6=$F374),$D374*L$5,""),"")</f>
        <v/>
      </c>
      <c r="M374" s="2" t="str">
        <f aca="false">IF($A374&gt;0,IF(AND(M$4=$G374,M$6=$F374),$D374*M$5,""),"")</f>
        <v/>
      </c>
      <c r="N374" s="1506" t="n">
        <f aca="false">VLOOKUP(B374,'O_MN, PE_UTA_UGM 2024'!$E$2:$K$419,IF(G374&gt;1,6,7))</f>
        <v>0</v>
      </c>
      <c r="O374" s="1434" t="str">
        <f aca="false">IF($H374=O$4,$D374*$N374,"")</f>
        <v/>
      </c>
      <c r="P374" s="1435" t="str">
        <f aca="false">IF($H374=P$4,$D374*$N374,"")</f>
        <v/>
      </c>
      <c r="Q374" s="1435" t="str">
        <f aca="false">IF($H374=Q$4,$D374*$N374,"")</f>
        <v/>
      </c>
      <c r="R374" s="1435" t="str">
        <f aca="false">IF($H374=R$4,$D374*$N374,"")</f>
        <v/>
      </c>
      <c r="S374" s="1435" t="str">
        <f aca="false">IF($H374=S$4,$D374*$N374,"")</f>
        <v/>
      </c>
      <c r="T374" s="1435" t="str">
        <f aca="false">IF($H374=T$4,$D374*$N374,"")</f>
        <v/>
      </c>
      <c r="U374" s="1436" t="str">
        <f aca="false">IF($H374=U$4,$D374*$N374,"")</f>
        <v/>
      </c>
      <c r="V374" s="1472"/>
      <c r="W374" s="1471"/>
      <c r="X374" s="1471"/>
      <c r="Y374" s="1471"/>
      <c r="Z374" s="1471"/>
      <c r="AA374" s="1471"/>
      <c r="AB374" s="1473"/>
      <c r="AC374" s="1319"/>
      <c r="AD374" s="2" t="str">
        <f aca="false">IF(AND(AD$4=$G374,AD$6=$F374),$B374,"")</f>
        <v/>
      </c>
      <c r="AE374" s="2" t="str">
        <f aca="false">IF(AND(AE$4=$G374,AE$6=$F374),$B374,"")</f>
        <v/>
      </c>
      <c r="AF374" s="2" t="str">
        <f aca="false">IF(AND(AF$4=$G374,AF$6=$F374),$B374,"")</f>
        <v/>
      </c>
      <c r="AG374" s="2" t="str">
        <f aca="false">IF(AND(AG$4=$G374,AG$6=$F374),$B374,"")</f>
        <v/>
      </c>
      <c r="AI374" s="366"/>
      <c r="AL374" s="367"/>
      <c r="AO374" s="367"/>
      <c r="AP374" s="2" t="str">
        <f aca="false">IF(AT374&gt;0,RANK(AT374,AT$7:AT$423),"")</f>
        <v/>
      </c>
      <c r="AQ374" s="1475" t="n">
        <f aca="false">'O_MN, PE_UTA_UGM 2024'!C371</f>
        <v>942</v>
      </c>
      <c r="AR374" s="1421" t="n">
        <v>4210</v>
      </c>
      <c r="AS374" s="2" t="str">
        <f aca="false">IF(AY374&lt;&gt;"",AY374,"")</f>
        <v/>
      </c>
      <c r="AT374" s="1422" t="n">
        <f aca="false">IF(ISNUMBER($AR374),SUMIF(B$7:B$505,AR374,D$7:D$505),"")</f>
        <v>0</v>
      </c>
      <c r="AU374" s="1411" t="n">
        <f aca="false">IF(ISNUMBER($AR374),SUMIF(AD$7:AD$503,$AR374,J$7:J$503),"")</f>
        <v>0</v>
      </c>
      <c r="AV374" s="1411" t="n">
        <f aca="false">IF(ISNUMBER($AR374),SUMIF(AF$7:AF$503,$AR374,L$7:L$503),"")</f>
        <v>0</v>
      </c>
      <c r="AW374" s="1423" t="n">
        <f aca="false">IF(ISNUMBER($AR374),SUMIF(AE$7:AE$503,$AR374,K$7:K$503),"")</f>
        <v>0</v>
      </c>
      <c r="AX374" s="1423" t="n">
        <f aca="false">IF(ISNUMBER($AR374),SUMIF(AG$7:AG$503,$AR374,M$7:M$503),"")</f>
        <v>0</v>
      </c>
      <c r="AY374" s="2" t="str">
        <f aca="false">IF($AT374&gt;0,VLOOKUP($AR374,'O_MN, PE_UTA_UGM 2024'!E371:O786,2),"")</f>
        <v/>
      </c>
      <c r="AZ374" s="1507"/>
      <c r="BA374" s="1507"/>
      <c r="BB374" s="1507" t="str">
        <f aca="false">IF($AT374&gt;0,VLOOKUP($AR374,'O_MN, PE_UTA_UGM 2024'!$E$3:$O$419,BB$6),"")</f>
        <v/>
      </c>
      <c r="BC374" s="1507" t="str">
        <f aca="false">IF($AT374&gt;0,VLOOKUP($AR374,'O_MN, PE_UTA_UGM 2024'!$E$3:$O$419,BC$6),"")</f>
        <v/>
      </c>
      <c r="BD374" s="1507" t="str">
        <f aca="false">IF($AT374&gt;0,VLOOKUP($AR374,'O_MN, PE_UTA_UGM 2024'!$E$3:$O$419,BD$6),"")</f>
        <v/>
      </c>
      <c r="BE374" s="1507" t="str">
        <f aca="false">IF($AT374&gt;0,VLOOKUP($AR374,'O_MN, PE_UTA_UGM 2024'!$E$3:$O$419,BE$6),"")</f>
        <v/>
      </c>
      <c r="BF374" s="1507" t="str">
        <f aca="false">IF($AT374&gt;0,VLOOKUP($AR374,'O_MN, PE_UTA_UGM 2024'!$E$3:$O$419,BF$6),"")</f>
        <v/>
      </c>
      <c r="BG374" s="1507" t="str">
        <f aca="false">IF($AT374&gt;0,VLOOKUP($AR374,'O_MN, PE_UTA_UGM 2024'!$E$3:$O$419,BG$6),"")</f>
        <v/>
      </c>
      <c r="BH374" s="1504"/>
      <c r="BI374" s="1504"/>
      <c r="BJ374" s="1504"/>
      <c r="BK374" s="1504"/>
      <c r="BM374" s="1411"/>
      <c r="BN374" s="1411"/>
      <c r="BO374" s="1425" t="str">
        <f aca="false">IF(ISNUMBER($AU374*BB374*1),$AU374*BB374*1,"")</f>
        <v/>
      </c>
      <c r="BP374" s="1425" t="str">
        <f aca="false">IF(ISNUMBER($AV374*BC374*1),$AV374*BC374*1,"")</f>
        <v/>
      </c>
      <c r="BQ374" s="1425" t="str">
        <f aca="false">IF(ISNUMBER($AU374*BD374*1),$AU374*BD374*1,"")</f>
        <v/>
      </c>
      <c r="BR374" s="1425" t="str">
        <f aca="false">IF(ISNUMBER($AV374*BE374*1),$AV374*BE374*1,"")</f>
        <v/>
      </c>
      <c r="BS374" s="1411" t="str">
        <f aca="false">IF(ISNUMBER($AU374*BF374),$AU374*BF374,"")</f>
        <v/>
      </c>
      <c r="BT374" s="1411" t="str">
        <f aca="false">IF(ISNUMBER($AV374*BG374),$AV374*BG374,"")</f>
        <v/>
      </c>
      <c r="BU374" s="1411"/>
      <c r="BV374" s="1411"/>
      <c r="BW374" s="1411"/>
      <c r="BX374" s="1411"/>
      <c r="BZ374" s="1372"/>
      <c r="CA374" s="1372"/>
      <c r="CB374" s="1426" t="str">
        <f aca="false">IF(ISNUMBER($AW374*BB374),$AW374*BB374,"")</f>
        <v/>
      </c>
      <c r="CC374" s="1426" t="str">
        <f aca="false">IF(ISNUMBER($AX374*BC374),$AX374*BC374,"")</f>
        <v/>
      </c>
      <c r="CD374" s="1426" t="str">
        <f aca="false">IF(ISNUMBER($AW374*BD374),$AW374*BD374,"")</f>
        <v/>
      </c>
      <c r="CE374" s="1426" t="str">
        <f aca="false">IF(ISNUMBER($AX374*BE374),$AX374*BE374,"")</f>
        <v/>
      </c>
      <c r="CF374" s="1372" t="str">
        <f aca="false">IF(ISNUMBER($AW374*BF374),$AW374*BF374,"")</f>
        <v/>
      </c>
      <c r="CG374" s="1372" t="str">
        <f aca="false">IF(ISNUMBER($AX374*BG374),$AX374*BG374,"")</f>
        <v/>
      </c>
      <c r="CH374" s="1438"/>
      <c r="CI374" s="1438"/>
      <c r="CJ374" s="1438"/>
      <c r="CK374" s="1438"/>
      <c r="CU374" s="1411"/>
      <c r="CV374" s="1411"/>
      <c r="CW374" s="1425"/>
      <c r="CX374" s="1425"/>
      <c r="CY374" s="1425"/>
      <c r="CZ374" s="1425"/>
      <c r="DA374" s="1411"/>
      <c r="DB374" s="1411"/>
      <c r="DC374" s="1411"/>
      <c r="DD374" s="1411"/>
      <c r="DE374" s="1411"/>
      <c r="DF374" s="1411"/>
      <c r="DH374" s="1432"/>
      <c r="DI374" s="1432"/>
      <c r="DJ374" s="1437"/>
      <c r="DK374" s="1437"/>
      <c r="DL374" s="1437"/>
      <c r="DM374" s="1437"/>
      <c r="DN374" s="1432"/>
      <c r="DO374" s="1432"/>
      <c r="DP374" s="1432"/>
      <c r="DQ374" s="1432"/>
      <c r="DR374" s="1432"/>
      <c r="DS374" s="1432"/>
      <c r="DT374" s="1316"/>
      <c r="DU374" s="1433"/>
      <c r="DV374" s="1433"/>
      <c r="DW374" s="1433"/>
      <c r="DX374" s="1433"/>
      <c r="DY374" s="1433"/>
      <c r="DZ374" s="1433"/>
      <c r="EA374" s="1433"/>
      <c r="EB374" s="1433"/>
    </row>
    <row r="375" customFormat="false" ht="14.25" hidden="false" customHeight="false" outlineLevel="0" collapsed="false">
      <c r="A375" s="2" t="n">
        <f aca="false">'V_DATOS PAC_SGA'!CC370</f>
        <v>0</v>
      </c>
      <c r="B375" s="2" t="n">
        <f aca="false">IF(OR(A375=0,A375=""),0,IF(I375="IV",CONCATENATE('V_DATOS PAC_SGA'!CC370,"4")+0,CONCATENATE('V_DATOS PAC_SGA'!CC370,"0")+0))</f>
        <v>0</v>
      </c>
      <c r="C375" s="2" t="n">
        <f aca="false">'V_DATOS PAC_SGA'!CD370</f>
        <v>0</v>
      </c>
      <c r="D375" s="1409" t="n">
        <f aca="false">'V_DATOS PAC_SGA'!Y370</f>
        <v>0</v>
      </c>
      <c r="E375" s="1410" t="str">
        <f aca="false">IF('V_DATOS PAC_SGA'!AV370="","Regadio",'V_DATOS PAC_SGA'!AV370)</f>
        <v>Regadio</v>
      </c>
      <c r="F375" s="1411" t="n">
        <f aca="false">'V_DATOS PAC_SGA'!BK370</f>
        <v>0</v>
      </c>
      <c r="G375" s="1412" t="n">
        <f aca="false">'V_DATOS PAC_SGA'!AN370</f>
        <v>0</v>
      </c>
      <c r="H375" s="1413" t="str">
        <f aca="false">IF(B375&gt;0,VLOOKUP(B375,'O_MN, PE_UTA_UGM 2024'!E$3:O$419,10),"")</f>
        <v/>
      </c>
      <c r="I375" s="1359" t="str">
        <f aca="false">IF('V_DATOS PAC_SGA'!BV370="IV",'V_DATOS PAC_SGA'!BV370,"")</f>
        <v/>
      </c>
      <c r="J375" s="2" t="str">
        <f aca="false">IF($A375&gt;0,IF(AND(J$4=$G375,J$6=$F375),$D375*J$5,""),"")</f>
        <v/>
      </c>
      <c r="K375" s="2" t="str">
        <f aca="false">IF($A375&gt;0,IF(AND(K$4=$G375,K$6=$F375),$D375*K$5,""),"")</f>
        <v/>
      </c>
      <c r="L375" s="2" t="str">
        <f aca="false">IF($A375&gt;0,IF(AND(L$4=$G375,L$6=$F375),$D375*L$5,""),"")</f>
        <v/>
      </c>
      <c r="M375" s="2" t="str">
        <f aca="false">IF($A375&gt;0,IF(AND(M$4=$G375,M$6=$F375),$D375*M$5,""),"")</f>
        <v/>
      </c>
      <c r="N375" s="1506" t="n">
        <f aca="false">VLOOKUP(B375,'O_MN, PE_UTA_UGM 2024'!$E$2:$K$419,IF(G375&gt;1,6,7))</f>
        <v>0</v>
      </c>
      <c r="O375" s="1434" t="str">
        <f aca="false">IF($H375=O$4,$D375*$N375,"")</f>
        <v/>
      </c>
      <c r="P375" s="1435" t="str">
        <f aca="false">IF($H375=P$4,$D375*$N375,"")</f>
        <v/>
      </c>
      <c r="Q375" s="1435" t="str">
        <f aca="false">IF($H375=Q$4,$D375*$N375,"")</f>
        <v/>
      </c>
      <c r="R375" s="1435" t="str">
        <f aca="false">IF($H375=R$4,$D375*$N375,"")</f>
        <v/>
      </c>
      <c r="S375" s="1435" t="str">
        <f aca="false">IF($H375=S$4,$D375*$N375,"")</f>
        <v/>
      </c>
      <c r="T375" s="1435" t="str">
        <f aca="false">IF($H375=T$4,$D375*$N375,"")</f>
        <v/>
      </c>
      <c r="U375" s="1436" t="str">
        <f aca="false">IF($H375=U$4,$D375*$N375,"")</f>
        <v/>
      </c>
      <c r="V375" s="1472"/>
      <c r="W375" s="1471"/>
      <c r="X375" s="1471"/>
      <c r="Y375" s="1471"/>
      <c r="Z375" s="1471"/>
      <c r="AA375" s="1471"/>
      <c r="AB375" s="1473"/>
      <c r="AC375" s="1319"/>
      <c r="AD375" s="2" t="str">
        <f aca="false">IF(AND(AD$4=$G375,AD$6=$F375),$B375,"")</f>
        <v/>
      </c>
      <c r="AE375" s="2" t="str">
        <f aca="false">IF(AND(AE$4=$G375,AE$6=$F375),$B375,"")</f>
        <v/>
      </c>
      <c r="AF375" s="2" t="str">
        <f aca="false">IF(AND(AF$4=$G375,AF$6=$F375),$B375,"")</f>
        <v/>
      </c>
      <c r="AG375" s="2" t="str">
        <f aca="false">IF(AND(AG$4=$G375,AG$6=$F375),$B375,"")</f>
        <v/>
      </c>
      <c r="AI375" s="366"/>
      <c r="AL375" s="367"/>
      <c r="AO375" s="367"/>
      <c r="AP375" s="2" t="str">
        <f aca="false">IF(AT375&gt;0,RANK(AT375,AT$7:AT$423),"")</f>
        <v/>
      </c>
      <c r="AQ375" s="1475" t="n">
        <f aca="false">'O_MN, PE_UTA_UGM 2024'!C372</f>
        <v>943</v>
      </c>
      <c r="AR375" s="1421" t="n">
        <v>4270</v>
      </c>
      <c r="AS375" s="2" t="str">
        <f aca="false">IF(AY375&lt;&gt;"",AY375,"")</f>
        <v/>
      </c>
      <c r="AT375" s="1422" t="n">
        <f aca="false">IF(ISNUMBER($AR375),SUMIF(B$7:B$505,AR375,D$7:D$505),"")</f>
        <v>0</v>
      </c>
      <c r="AU375" s="1411" t="n">
        <f aca="false">IF(ISNUMBER($AR375),SUMIF(AD$7:AD$503,$AR375,J$7:J$503),"")</f>
        <v>0</v>
      </c>
      <c r="AV375" s="1411" t="n">
        <f aca="false">IF(ISNUMBER($AR375),SUMIF(AF$7:AF$503,$AR375,L$7:L$503),"")</f>
        <v>0</v>
      </c>
      <c r="AW375" s="1423" t="n">
        <f aca="false">IF(ISNUMBER($AR375),SUMIF(AE$7:AE$503,$AR375,K$7:K$503),"")</f>
        <v>0</v>
      </c>
      <c r="AX375" s="1423" t="n">
        <f aca="false">IF(ISNUMBER($AR375),SUMIF(AG$7:AG$503,$AR375,M$7:M$503),"")</f>
        <v>0</v>
      </c>
      <c r="AY375" s="2" t="str">
        <f aca="false">IF($AT375&gt;0,VLOOKUP($AR375,'O_MN, PE_UTA_UGM 2024'!E372:O787,2),"")</f>
        <v/>
      </c>
      <c r="AZ375" s="1507"/>
      <c r="BA375" s="1507"/>
      <c r="BB375" s="1507" t="str">
        <f aca="false">IF($AT375&gt;0,VLOOKUP($AR375,'O_MN, PE_UTA_UGM 2024'!$E$3:$O$419,BB$6),"")</f>
        <v/>
      </c>
      <c r="BC375" s="1507" t="str">
        <f aca="false">IF($AT375&gt;0,VLOOKUP($AR375,'O_MN, PE_UTA_UGM 2024'!$E$3:$O$419,BC$6),"")</f>
        <v/>
      </c>
      <c r="BD375" s="1507" t="str">
        <f aca="false">IF($AT375&gt;0,VLOOKUP($AR375,'O_MN, PE_UTA_UGM 2024'!$E$3:$O$419,BD$6),"")</f>
        <v/>
      </c>
      <c r="BE375" s="1507" t="str">
        <f aca="false">IF($AT375&gt;0,VLOOKUP($AR375,'O_MN, PE_UTA_UGM 2024'!$E$3:$O$419,BE$6),"")</f>
        <v/>
      </c>
      <c r="BF375" s="1507" t="str">
        <f aca="false">IF($AT375&gt;0,VLOOKUP($AR375,'O_MN, PE_UTA_UGM 2024'!$E$3:$O$419,BF$6),"")</f>
        <v/>
      </c>
      <c r="BG375" s="1507" t="str">
        <f aca="false">IF($AT375&gt;0,VLOOKUP($AR375,'O_MN, PE_UTA_UGM 2024'!$E$3:$O$419,BG$6),"")</f>
        <v/>
      </c>
      <c r="BH375" s="1504"/>
      <c r="BI375" s="1504"/>
      <c r="BJ375" s="1504"/>
      <c r="BK375" s="1504"/>
      <c r="BM375" s="1411"/>
      <c r="BN375" s="1411"/>
      <c r="BO375" s="1425" t="str">
        <f aca="false">IF(ISNUMBER($AU375*BB375*1),$AU375*BB375*1,"")</f>
        <v/>
      </c>
      <c r="BP375" s="1425" t="str">
        <f aca="false">IF(ISNUMBER($AV375*BC375*1),$AV375*BC375*1,"")</f>
        <v/>
      </c>
      <c r="BQ375" s="1425" t="str">
        <f aca="false">IF(ISNUMBER($AU375*BD375*1),$AU375*BD375*1,"")</f>
        <v/>
      </c>
      <c r="BR375" s="1425" t="str">
        <f aca="false">IF(ISNUMBER($AV375*BE375*1),$AV375*BE375*1,"")</f>
        <v/>
      </c>
      <c r="BS375" s="1411" t="str">
        <f aca="false">IF(ISNUMBER($AU375*BF375),$AU375*BF375,"")</f>
        <v/>
      </c>
      <c r="BT375" s="1411" t="str">
        <f aca="false">IF(ISNUMBER($AV375*BG375),$AV375*BG375,"")</f>
        <v/>
      </c>
      <c r="BU375" s="1411"/>
      <c r="BV375" s="1411"/>
      <c r="BW375" s="1411"/>
      <c r="BX375" s="1411"/>
      <c r="BZ375" s="1372"/>
      <c r="CA375" s="1372"/>
      <c r="CB375" s="1426" t="str">
        <f aca="false">IF(ISNUMBER($AW375*BB375),$AW375*BB375,"")</f>
        <v/>
      </c>
      <c r="CC375" s="1426" t="str">
        <f aca="false">IF(ISNUMBER($AX375*BC375),$AX375*BC375,"")</f>
        <v/>
      </c>
      <c r="CD375" s="1426" t="str">
        <f aca="false">IF(ISNUMBER($AW375*BD375),$AW375*BD375,"")</f>
        <v/>
      </c>
      <c r="CE375" s="1426" t="str">
        <f aca="false">IF(ISNUMBER($AX375*BE375),$AX375*BE375,"")</f>
        <v/>
      </c>
      <c r="CF375" s="1372" t="str">
        <f aca="false">IF(ISNUMBER($AW375*BF375),$AW375*BF375,"")</f>
        <v/>
      </c>
      <c r="CG375" s="1372" t="str">
        <f aca="false">IF(ISNUMBER($AX375*BG375),$AX375*BG375,"")</f>
        <v/>
      </c>
      <c r="CH375" s="1438"/>
      <c r="CI375" s="1438"/>
      <c r="CJ375" s="1438"/>
      <c r="CK375" s="1438"/>
      <c r="CU375" s="1411"/>
      <c r="CV375" s="1411"/>
      <c r="CW375" s="1425"/>
      <c r="CX375" s="1425"/>
      <c r="CY375" s="1425"/>
      <c r="CZ375" s="1425"/>
      <c r="DA375" s="1411"/>
      <c r="DB375" s="1411"/>
      <c r="DC375" s="1411"/>
      <c r="DD375" s="1411"/>
      <c r="DE375" s="1411"/>
      <c r="DF375" s="1411"/>
      <c r="DH375" s="1432"/>
      <c r="DI375" s="1432"/>
      <c r="DJ375" s="1437"/>
      <c r="DK375" s="1437"/>
      <c r="DL375" s="1437"/>
      <c r="DM375" s="1437"/>
      <c r="DN375" s="1432"/>
      <c r="DO375" s="1432"/>
      <c r="DP375" s="1432"/>
      <c r="DQ375" s="1432"/>
      <c r="DR375" s="1432"/>
      <c r="DS375" s="1432"/>
      <c r="DT375" s="1316"/>
      <c r="DU375" s="1433"/>
      <c r="DV375" s="1433"/>
      <c r="DW375" s="1433"/>
      <c r="DX375" s="1433"/>
      <c r="DY375" s="1433"/>
      <c r="DZ375" s="1433"/>
      <c r="EA375" s="1433"/>
      <c r="EB375" s="1433"/>
    </row>
    <row r="376" customFormat="false" ht="14.25" hidden="false" customHeight="false" outlineLevel="0" collapsed="false">
      <c r="A376" s="2" t="n">
        <f aca="false">'V_DATOS PAC_SGA'!CC371</f>
        <v>0</v>
      </c>
      <c r="B376" s="2" t="n">
        <f aca="false">IF(OR(A376=0,A376=""),0,IF(I376="IV",CONCATENATE('V_DATOS PAC_SGA'!CC371,"4")+0,CONCATENATE('V_DATOS PAC_SGA'!CC371,"0")+0))</f>
        <v>0</v>
      </c>
      <c r="C376" s="2" t="n">
        <f aca="false">'V_DATOS PAC_SGA'!CD371</f>
        <v>0</v>
      </c>
      <c r="D376" s="1409" t="n">
        <f aca="false">'V_DATOS PAC_SGA'!Y371</f>
        <v>0</v>
      </c>
      <c r="E376" s="1410" t="str">
        <f aca="false">IF('V_DATOS PAC_SGA'!AV371="","Regadio",'V_DATOS PAC_SGA'!AV371)</f>
        <v>Regadio</v>
      </c>
      <c r="F376" s="1411" t="n">
        <f aca="false">'V_DATOS PAC_SGA'!BK371</f>
        <v>0</v>
      </c>
      <c r="G376" s="1412" t="n">
        <f aca="false">'V_DATOS PAC_SGA'!AN371</f>
        <v>0</v>
      </c>
      <c r="H376" s="1413" t="str">
        <f aca="false">IF(B376&gt;0,VLOOKUP(B376,'O_MN, PE_UTA_UGM 2024'!E$3:O$419,10),"")</f>
        <v/>
      </c>
      <c r="I376" s="1359" t="str">
        <f aca="false">IF('V_DATOS PAC_SGA'!BV371="IV",'V_DATOS PAC_SGA'!BV371,"")</f>
        <v/>
      </c>
      <c r="J376" s="2" t="str">
        <f aca="false">IF($A376&gt;0,IF(AND(J$4=$G376,J$6=$F376),$D376*J$5,""),"")</f>
        <v/>
      </c>
      <c r="K376" s="2" t="str">
        <f aca="false">IF($A376&gt;0,IF(AND(K$4=$G376,K$6=$F376),$D376*K$5,""),"")</f>
        <v/>
      </c>
      <c r="L376" s="2" t="str">
        <f aca="false">IF($A376&gt;0,IF(AND(L$4=$G376,L$6=$F376),$D376*L$5,""),"")</f>
        <v/>
      </c>
      <c r="M376" s="2" t="str">
        <f aca="false">IF($A376&gt;0,IF(AND(M$4=$G376,M$6=$F376),$D376*M$5,""),"")</f>
        <v/>
      </c>
      <c r="N376" s="1506" t="n">
        <f aca="false">VLOOKUP(B376,'O_MN, PE_UTA_UGM 2024'!$E$2:$K$419,IF(G376&gt;1,6,7))</f>
        <v>0</v>
      </c>
      <c r="O376" s="1434" t="str">
        <f aca="false">IF($H376=O$4,$D376*$N376,"")</f>
        <v/>
      </c>
      <c r="P376" s="1435" t="str">
        <f aca="false">IF($H376=P$4,$D376*$N376,"")</f>
        <v/>
      </c>
      <c r="Q376" s="1435" t="str">
        <f aca="false">IF($H376=Q$4,$D376*$N376,"")</f>
        <v/>
      </c>
      <c r="R376" s="1435" t="str">
        <f aca="false">IF($H376=R$4,$D376*$N376,"")</f>
        <v/>
      </c>
      <c r="S376" s="1435" t="str">
        <f aca="false">IF($H376=S$4,$D376*$N376,"")</f>
        <v/>
      </c>
      <c r="T376" s="1435" t="str">
        <f aca="false">IF($H376=T$4,$D376*$N376,"")</f>
        <v/>
      </c>
      <c r="U376" s="1436" t="str">
        <f aca="false">IF($H376=U$4,$D376*$N376,"")</f>
        <v/>
      </c>
      <c r="V376" s="1472"/>
      <c r="W376" s="1471"/>
      <c r="X376" s="1471"/>
      <c r="Y376" s="1471"/>
      <c r="Z376" s="1471"/>
      <c r="AA376" s="1471"/>
      <c r="AB376" s="1473"/>
      <c r="AC376" s="1319"/>
      <c r="AD376" s="2" t="str">
        <f aca="false">IF(AND(AD$4=$G376,AD$6=$F376),$B376,"")</f>
        <v/>
      </c>
      <c r="AE376" s="2" t="str">
        <f aca="false">IF(AND(AE$4=$G376,AE$6=$F376),$B376,"")</f>
        <v/>
      </c>
      <c r="AF376" s="2" t="str">
        <f aca="false">IF(AND(AF$4=$G376,AF$6=$F376),$B376,"")</f>
        <v/>
      </c>
      <c r="AG376" s="2" t="str">
        <f aca="false">IF(AND(AG$4=$G376,AG$6=$F376),$B376,"")</f>
        <v/>
      </c>
      <c r="AI376" s="366"/>
      <c r="AL376" s="367"/>
      <c r="AO376" s="367"/>
      <c r="AP376" s="2" t="str">
        <f aca="false">IF(AT376&gt;0,RANK(AT376,AT$7:AT$423),"")</f>
        <v/>
      </c>
      <c r="AQ376" s="1475" t="n">
        <f aca="false">'O_MN, PE_UTA_UGM 2024'!C373</f>
        <v>945</v>
      </c>
      <c r="AR376" s="1421" t="n">
        <v>4280</v>
      </c>
      <c r="AS376" s="2" t="str">
        <f aca="false">IF(AY376&lt;&gt;"",AY376,"")</f>
        <v/>
      </c>
      <c r="AT376" s="1422" t="n">
        <f aca="false">IF(ISNUMBER($AR376),SUMIF(B$7:B$505,AR376,D$7:D$505),"")</f>
        <v>0</v>
      </c>
      <c r="AU376" s="1411" t="n">
        <f aca="false">IF(ISNUMBER($AR376),SUMIF(AD$7:AD$503,$AR376,J$7:J$503),"")</f>
        <v>0</v>
      </c>
      <c r="AV376" s="1411" t="n">
        <f aca="false">IF(ISNUMBER($AR376),SUMIF(AF$7:AF$503,$AR376,L$7:L$503),"")</f>
        <v>0</v>
      </c>
      <c r="AW376" s="1423" t="n">
        <f aca="false">IF(ISNUMBER($AR376),SUMIF(AE$7:AE$503,$AR376,K$7:K$503),"")</f>
        <v>0</v>
      </c>
      <c r="AX376" s="1423" t="n">
        <f aca="false">IF(ISNUMBER($AR376),SUMIF(AG$7:AG$503,$AR376,M$7:M$503),"")</f>
        <v>0</v>
      </c>
      <c r="AY376" s="2" t="str">
        <f aca="false">IF($AT376&gt;0,VLOOKUP($AR376,'O_MN, PE_UTA_UGM 2024'!E373:O788,2),"")</f>
        <v/>
      </c>
      <c r="AZ376" s="1507"/>
      <c r="BA376" s="1507"/>
      <c r="BB376" s="1507" t="str">
        <f aca="false">IF($AT376&gt;0,VLOOKUP($AR376,'O_MN, PE_UTA_UGM 2024'!$E$3:$O$419,BB$6),"")</f>
        <v/>
      </c>
      <c r="BC376" s="1507" t="str">
        <f aca="false">IF($AT376&gt;0,VLOOKUP($AR376,'O_MN, PE_UTA_UGM 2024'!$E$3:$O$419,BC$6),"")</f>
        <v/>
      </c>
      <c r="BD376" s="1507" t="str">
        <f aca="false">IF($AT376&gt;0,VLOOKUP($AR376,'O_MN, PE_UTA_UGM 2024'!$E$3:$O$419,BD$6),"")</f>
        <v/>
      </c>
      <c r="BE376" s="1507" t="str">
        <f aca="false">IF($AT376&gt;0,VLOOKUP($AR376,'O_MN, PE_UTA_UGM 2024'!$E$3:$O$419,BE$6),"")</f>
        <v/>
      </c>
      <c r="BF376" s="1507" t="str">
        <f aca="false">IF($AT376&gt;0,VLOOKUP($AR376,'O_MN, PE_UTA_UGM 2024'!$E$3:$O$419,BF$6),"")</f>
        <v/>
      </c>
      <c r="BG376" s="1507" t="str">
        <f aca="false">IF($AT376&gt;0,VLOOKUP($AR376,'O_MN, PE_UTA_UGM 2024'!$E$3:$O$419,BG$6),"")</f>
        <v/>
      </c>
      <c r="BH376" s="1504"/>
      <c r="BI376" s="1504"/>
      <c r="BJ376" s="1504"/>
      <c r="BK376" s="1504"/>
      <c r="BM376" s="1411"/>
      <c r="BN376" s="1411"/>
      <c r="BO376" s="1425" t="str">
        <f aca="false">IF(ISNUMBER($AU376*BB376*1),$AU376*BB376*1,"")</f>
        <v/>
      </c>
      <c r="BP376" s="1425" t="str">
        <f aca="false">IF(ISNUMBER($AV376*BC376*1),$AV376*BC376*1,"")</f>
        <v/>
      </c>
      <c r="BQ376" s="1425" t="str">
        <f aca="false">IF(ISNUMBER($AU376*BD376*1),$AU376*BD376*1,"")</f>
        <v/>
      </c>
      <c r="BR376" s="1425" t="str">
        <f aca="false">IF(ISNUMBER($AV376*BE376*1),$AV376*BE376*1,"")</f>
        <v/>
      </c>
      <c r="BS376" s="1411" t="str">
        <f aca="false">IF(ISNUMBER($AU376*BF376),$AU376*BF376,"")</f>
        <v/>
      </c>
      <c r="BT376" s="1411" t="str">
        <f aca="false">IF(ISNUMBER($AV376*BG376),$AV376*BG376,"")</f>
        <v/>
      </c>
      <c r="BU376" s="1411"/>
      <c r="BV376" s="1411"/>
      <c r="BW376" s="1411"/>
      <c r="BX376" s="1411"/>
      <c r="BZ376" s="1372"/>
      <c r="CA376" s="1372"/>
      <c r="CB376" s="1426" t="str">
        <f aca="false">IF(ISNUMBER($AW376*BB376),$AW376*BB376,"")</f>
        <v/>
      </c>
      <c r="CC376" s="1426" t="str">
        <f aca="false">IF(ISNUMBER($AX376*BC376),$AX376*BC376,"")</f>
        <v/>
      </c>
      <c r="CD376" s="1426" t="str">
        <f aca="false">IF(ISNUMBER($AW376*BD376),$AW376*BD376,"")</f>
        <v/>
      </c>
      <c r="CE376" s="1426" t="str">
        <f aca="false">IF(ISNUMBER($AX376*BE376),$AX376*BE376,"")</f>
        <v/>
      </c>
      <c r="CF376" s="1372" t="str">
        <f aca="false">IF(ISNUMBER($AW376*BF376),$AW376*BF376,"")</f>
        <v/>
      </c>
      <c r="CG376" s="1372" t="str">
        <f aca="false">IF(ISNUMBER($AX376*BG376),$AX376*BG376,"")</f>
        <v/>
      </c>
      <c r="CH376" s="1438"/>
      <c r="CI376" s="1438"/>
      <c r="CJ376" s="1438"/>
      <c r="CK376" s="1438"/>
      <c r="CU376" s="1411"/>
      <c r="CV376" s="1411"/>
      <c r="CW376" s="1425"/>
      <c r="CX376" s="1425"/>
      <c r="CY376" s="1425"/>
      <c r="CZ376" s="1425"/>
      <c r="DA376" s="1411"/>
      <c r="DB376" s="1411"/>
      <c r="DC376" s="1411"/>
      <c r="DD376" s="1411"/>
      <c r="DE376" s="1411"/>
      <c r="DF376" s="1411"/>
      <c r="DH376" s="1432"/>
      <c r="DI376" s="1432"/>
      <c r="DJ376" s="1437"/>
      <c r="DK376" s="1437"/>
      <c r="DL376" s="1437"/>
      <c r="DM376" s="1437"/>
      <c r="DN376" s="1432"/>
      <c r="DO376" s="1432"/>
      <c r="DP376" s="1432"/>
      <c r="DQ376" s="1432"/>
      <c r="DR376" s="1432"/>
      <c r="DS376" s="1432"/>
      <c r="DT376" s="1316"/>
      <c r="DU376" s="1433"/>
      <c r="DV376" s="1433"/>
      <c r="DW376" s="1433"/>
      <c r="DX376" s="1433"/>
      <c r="DY376" s="1433"/>
      <c r="DZ376" s="1433"/>
      <c r="EA376" s="1433"/>
      <c r="EB376" s="1433"/>
    </row>
    <row r="377" customFormat="false" ht="14.25" hidden="false" customHeight="false" outlineLevel="0" collapsed="false">
      <c r="A377" s="2" t="n">
        <f aca="false">'V_DATOS PAC_SGA'!CC372</f>
        <v>0</v>
      </c>
      <c r="B377" s="2" t="n">
        <f aca="false">IF(OR(A377=0,A377=""),0,IF(I377="IV",CONCATENATE('V_DATOS PAC_SGA'!CC372,"4")+0,CONCATENATE('V_DATOS PAC_SGA'!CC372,"0")+0))</f>
        <v>0</v>
      </c>
      <c r="C377" s="2" t="n">
        <f aca="false">'V_DATOS PAC_SGA'!CD372</f>
        <v>0</v>
      </c>
      <c r="D377" s="1409" t="n">
        <f aca="false">'V_DATOS PAC_SGA'!Y372</f>
        <v>0</v>
      </c>
      <c r="E377" s="1410" t="str">
        <f aca="false">IF('V_DATOS PAC_SGA'!AV372="","Regadio",'V_DATOS PAC_SGA'!AV372)</f>
        <v>Regadio</v>
      </c>
      <c r="F377" s="1411" t="n">
        <f aca="false">'V_DATOS PAC_SGA'!BK372</f>
        <v>0</v>
      </c>
      <c r="G377" s="1412" t="n">
        <f aca="false">'V_DATOS PAC_SGA'!AN372</f>
        <v>0</v>
      </c>
      <c r="H377" s="1413" t="str">
        <f aca="false">IF(B377&gt;0,VLOOKUP(B377,'O_MN, PE_UTA_UGM 2024'!E$3:O$419,10),"")</f>
        <v/>
      </c>
      <c r="I377" s="1359" t="str">
        <f aca="false">IF('V_DATOS PAC_SGA'!BV372="IV",'V_DATOS PAC_SGA'!BV372,"")</f>
        <v/>
      </c>
      <c r="J377" s="2" t="str">
        <f aca="false">IF($A377&gt;0,IF(AND(J$4=$G377,J$6=$F377),$D377*J$5,""),"")</f>
        <v/>
      </c>
      <c r="K377" s="2" t="str">
        <f aca="false">IF($A377&gt;0,IF(AND(K$4=$G377,K$6=$F377),$D377*K$5,""),"")</f>
        <v/>
      </c>
      <c r="L377" s="2" t="str">
        <f aca="false">IF($A377&gt;0,IF(AND(L$4=$G377,L$6=$F377),$D377*L$5,""),"")</f>
        <v/>
      </c>
      <c r="M377" s="2" t="str">
        <f aca="false">IF($A377&gt;0,IF(AND(M$4=$G377,M$6=$F377),$D377*M$5,""),"")</f>
        <v/>
      </c>
      <c r="N377" s="1506" t="n">
        <f aca="false">VLOOKUP(B377,'O_MN, PE_UTA_UGM 2024'!$E$2:$K$419,IF(G377&gt;1,6,7))</f>
        <v>0</v>
      </c>
      <c r="O377" s="1434" t="str">
        <f aca="false">IF($H377=O$4,$D377*$N377,"")</f>
        <v/>
      </c>
      <c r="P377" s="1435" t="str">
        <f aca="false">IF($H377=P$4,$D377*$N377,"")</f>
        <v/>
      </c>
      <c r="Q377" s="1435" t="str">
        <f aca="false">IF($H377=Q$4,$D377*$N377,"")</f>
        <v/>
      </c>
      <c r="R377" s="1435" t="str">
        <f aca="false">IF($H377=R$4,$D377*$N377,"")</f>
        <v/>
      </c>
      <c r="S377" s="1435" t="str">
        <f aca="false">IF($H377=S$4,$D377*$N377,"")</f>
        <v/>
      </c>
      <c r="T377" s="1435" t="str">
        <f aca="false">IF($H377=T$4,$D377*$N377,"")</f>
        <v/>
      </c>
      <c r="U377" s="1436" t="str">
        <f aca="false">IF($H377=U$4,$D377*$N377,"")</f>
        <v/>
      </c>
      <c r="V377" s="1472"/>
      <c r="W377" s="1471"/>
      <c r="X377" s="1471"/>
      <c r="Y377" s="1471"/>
      <c r="Z377" s="1471"/>
      <c r="AA377" s="1471"/>
      <c r="AB377" s="1473"/>
      <c r="AC377" s="1319"/>
      <c r="AD377" s="2" t="str">
        <f aca="false">IF(AND(AD$4=$G377,AD$6=$F377),$B377,"")</f>
        <v/>
      </c>
      <c r="AE377" s="2" t="str">
        <f aca="false">IF(AND(AE$4=$G377,AE$6=$F377),$B377,"")</f>
        <v/>
      </c>
      <c r="AF377" s="2" t="str">
        <f aca="false">IF(AND(AF$4=$G377,AF$6=$F377),$B377,"")</f>
        <v/>
      </c>
      <c r="AG377" s="2" t="str">
        <f aca="false">IF(AND(AG$4=$G377,AG$6=$F377),$B377,"")</f>
        <v/>
      </c>
      <c r="AI377" s="366"/>
      <c r="AL377" s="367"/>
      <c r="AO377" s="367"/>
      <c r="AP377" s="2" t="str">
        <f aca="false">IF(AT377&gt;0,RANK(AT377,AT$7:AT$423),"")</f>
        <v/>
      </c>
      <c r="AQ377" s="1475" t="n">
        <f aca="false">'O_MN, PE_UTA_UGM 2024'!C374</f>
        <v>946</v>
      </c>
      <c r="AR377" s="1421" t="n">
        <v>4450</v>
      </c>
      <c r="AS377" s="2" t="str">
        <f aca="false">IF(AY377&lt;&gt;"",AY377,"")</f>
        <v/>
      </c>
      <c r="AT377" s="1422" t="n">
        <f aca="false">IF(ISNUMBER($AR377),SUMIF(B$7:B$505,AR377,D$7:D$505),"")</f>
        <v>0</v>
      </c>
      <c r="AU377" s="1411" t="n">
        <f aca="false">IF(ISNUMBER($AR377),SUMIF(AD$7:AD$503,$AR377,J$7:J$503),"")</f>
        <v>0</v>
      </c>
      <c r="AV377" s="1411" t="n">
        <f aca="false">IF(ISNUMBER($AR377),SUMIF(AF$7:AF$503,$AR377,L$7:L$503),"")</f>
        <v>0</v>
      </c>
      <c r="AW377" s="1423" t="n">
        <f aca="false">IF(ISNUMBER($AR377),SUMIF(AE$7:AE$503,$AR377,K$7:K$503),"")</f>
        <v>0</v>
      </c>
      <c r="AX377" s="1423" t="n">
        <f aca="false">IF(ISNUMBER($AR377),SUMIF(AG$7:AG$503,$AR377,M$7:M$503),"")</f>
        <v>0</v>
      </c>
      <c r="AY377" s="2" t="str">
        <f aca="false">IF($AT377&gt;0,VLOOKUP($AR377,'O_MN, PE_UTA_UGM 2024'!E374:O789,2),"")</f>
        <v/>
      </c>
      <c r="AZ377" s="1507"/>
      <c r="BA377" s="1507"/>
      <c r="BB377" s="1507" t="str">
        <f aca="false">IF($AT377&gt;0,VLOOKUP($AR377,'O_MN, PE_UTA_UGM 2024'!$E$3:$O$419,BB$6),"")</f>
        <v/>
      </c>
      <c r="BC377" s="1507" t="str">
        <f aca="false">IF($AT377&gt;0,VLOOKUP($AR377,'O_MN, PE_UTA_UGM 2024'!$E$3:$O$419,BC$6),"")</f>
        <v/>
      </c>
      <c r="BD377" s="1507" t="str">
        <f aca="false">IF($AT377&gt;0,VLOOKUP($AR377,'O_MN, PE_UTA_UGM 2024'!$E$3:$O$419,BD$6),"")</f>
        <v/>
      </c>
      <c r="BE377" s="1507" t="str">
        <f aca="false">IF($AT377&gt;0,VLOOKUP($AR377,'O_MN, PE_UTA_UGM 2024'!$E$3:$O$419,BE$6),"")</f>
        <v/>
      </c>
      <c r="BF377" s="1507" t="str">
        <f aca="false">IF($AT377&gt;0,VLOOKUP($AR377,'O_MN, PE_UTA_UGM 2024'!$E$3:$O$419,BF$6),"")</f>
        <v/>
      </c>
      <c r="BG377" s="1507" t="str">
        <f aca="false">IF($AT377&gt;0,VLOOKUP($AR377,'O_MN, PE_UTA_UGM 2024'!$E$3:$O$419,BG$6),"")</f>
        <v/>
      </c>
      <c r="BH377" s="1504"/>
      <c r="BI377" s="1504"/>
      <c r="BJ377" s="1504"/>
      <c r="BK377" s="1504"/>
      <c r="BM377" s="1411"/>
      <c r="BN377" s="1411"/>
      <c r="BO377" s="1425" t="str">
        <f aca="false">IF(ISNUMBER($AU377*BB377*1),$AU377*BB377*1,"")</f>
        <v/>
      </c>
      <c r="BP377" s="1425" t="str">
        <f aca="false">IF(ISNUMBER($AV377*BC377*1),$AV377*BC377*1,"")</f>
        <v/>
      </c>
      <c r="BQ377" s="1425" t="str">
        <f aca="false">IF(ISNUMBER($AU377*BD377*1),$AU377*BD377*1,"")</f>
        <v/>
      </c>
      <c r="BR377" s="1425" t="str">
        <f aca="false">IF(ISNUMBER($AV377*BE377*1),$AV377*BE377*1,"")</f>
        <v/>
      </c>
      <c r="BS377" s="1411" t="str">
        <f aca="false">IF(ISNUMBER($AU377*BF377),$AU377*BF377,"")</f>
        <v/>
      </c>
      <c r="BT377" s="1411" t="str">
        <f aca="false">IF(ISNUMBER($AV377*BG377),$AV377*BG377,"")</f>
        <v/>
      </c>
      <c r="BU377" s="1411"/>
      <c r="BV377" s="1411"/>
      <c r="BW377" s="1411"/>
      <c r="BX377" s="1411"/>
      <c r="BZ377" s="1372"/>
      <c r="CA377" s="1372"/>
      <c r="CB377" s="1426" t="str">
        <f aca="false">IF(ISNUMBER($AW377*BB377),$AW377*BB377,"")</f>
        <v/>
      </c>
      <c r="CC377" s="1426" t="str">
        <f aca="false">IF(ISNUMBER($AX377*BC377),$AX377*BC377,"")</f>
        <v/>
      </c>
      <c r="CD377" s="1426" t="str">
        <f aca="false">IF(ISNUMBER($AW377*BD377),$AW377*BD377,"")</f>
        <v/>
      </c>
      <c r="CE377" s="1426" t="str">
        <f aca="false">IF(ISNUMBER($AX377*BE377),$AX377*BE377,"")</f>
        <v/>
      </c>
      <c r="CF377" s="1372" t="str">
        <f aca="false">IF(ISNUMBER($AW377*BF377),$AW377*BF377,"")</f>
        <v/>
      </c>
      <c r="CG377" s="1372" t="str">
        <f aca="false">IF(ISNUMBER($AX377*BG377),$AX377*BG377,"")</f>
        <v/>
      </c>
      <c r="CH377" s="1438"/>
      <c r="CI377" s="1438"/>
      <c r="CJ377" s="1438"/>
      <c r="CK377" s="1438"/>
      <c r="CU377" s="1411"/>
      <c r="CV377" s="1411"/>
      <c r="CW377" s="1425"/>
      <c r="CX377" s="1425"/>
      <c r="CY377" s="1425"/>
      <c r="CZ377" s="1425"/>
      <c r="DA377" s="1411"/>
      <c r="DB377" s="1411"/>
      <c r="DC377" s="1411"/>
      <c r="DD377" s="1411"/>
      <c r="DE377" s="1411"/>
      <c r="DF377" s="1411"/>
      <c r="DH377" s="1432"/>
      <c r="DI377" s="1432"/>
      <c r="DJ377" s="1437"/>
      <c r="DK377" s="1437"/>
      <c r="DL377" s="1437"/>
      <c r="DM377" s="1437"/>
      <c r="DN377" s="1432"/>
      <c r="DO377" s="1432"/>
      <c r="DP377" s="1432"/>
      <c r="DQ377" s="1432"/>
      <c r="DR377" s="1432"/>
      <c r="DS377" s="1432"/>
      <c r="DT377" s="1316"/>
      <c r="DU377" s="1433"/>
      <c r="DV377" s="1433"/>
      <c r="DW377" s="1433"/>
      <c r="DX377" s="1433"/>
      <c r="DY377" s="1433"/>
      <c r="DZ377" s="1433"/>
      <c r="EA377" s="1433"/>
      <c r="EB377" s="1433"/>
    </row>
    <row r="378" customFormat="false" ht="14.25" hidden="false" customHeight="false" outlineLevel="0" collapsed="false">
      <c r="A378" s="2" t="n">
        <f aca="false">'V_DATOS PAC_SGA'!CC373</f>
        <v>0</v>
      </c>
      <c r="B378" s="2" t="n">
        <f aca="false">IF(OR(A378=0,A378=""),0,IF(I378="IV",CONCATENATE('V_DATOS PAC_SGA'!CC373,"4")+0,CONCATENATE('V_DATOS PAC_SGA'!CC373,"0")+0))</f>
        <v>0</v>
      </c>
      <c r="C378" s="2" t="n">
        <f aca="false">'V_DATOS PAC_SGA'!CD373</f>
        <v>0</v>
      </c>
      <c r="D378" s="1409" t="n">
        <f aca="false">'V_DATOS PAC_SGA'!Y373</f>
        <v>0</v>
      </c>
      <c r="E378" s="1410" t="str">
        <f aca="false">IF('V_DATOS PAC_SGA'!AV373="","Regadio",'V_DATOS PAC_SGA'!AV373)</f>
        <v>Regadio</v>
      </c>
      <c r="F378" s="1411" t="n">
        <f aca="false">'V_DATOS PAC_SGA'!BK373</f>
        <v>0</v>
      </c>
      <c r="G378" s="1412" t="n">
        <f aca="false">'V_DATOS PAC_SGA'!AN373</f>
        <v>0</v>
      </c>
      <c r="H378" s="1413" t="str">
        <f aca="false">IF(B378&gt;0,VLOOKUP(B378,'O_MN, PE_UTA_UGM 2024'!E$3:O$419,10),"")</f>
        <v/>
      </c>
      <c r="I378" s="1359" t="str">
        <f aca="false">IF('V_DATOS PAC_SGA'!BV373="IV",'V_DATOS PAC_SGA'!BV373,"")</f>
        <v/>
      </c>
      <c r="J378" s="2" t="str">
        <f aca="false">IF($A378&gt;0,IF(AND(J$4=$G378,J$6=$F378),$D378*J$5,""),"")</f>
        <v/>
      </c>
      <c r="K378" s="2" t="str">
        <f aca="false">IF($A378&gt;0,IF(AND(K$4=$G378,K$6=$F378),$D378*K$5,""),"")</f>
        <v/>
      </c>
      <c r="L378" s="2" t="str">
        <f aca="false">IF($A378&gt;0,IF(AND(L$4=$G378,L$6=$F378),$D378*L$5,""),"")</f>
        <v/>
      </c>
      <c r="M378" s="2" t="str">
        <f aca="false">IF($A378&gt;0,IF(AND(M$4=$G378,M$6=$F378),$D378*M$5,""),"")</f>
        <v/>
      </c>
      <c r="N378" s="1506" t="n">
        <f aca="false">VLOOKUP(B378,'O_MN, PE_UTA_UGM 2024'!$E$2:$K$419,IF(G378&gt;1,6,7))</f>
        <v>0</v>
      </c>
      <c r="O378" s="1434" t="str">
        <f aca="false">IF($H378=O$4,$D378*$N378,"")</f>
        <v/>
      </c>
      <c r="P378" s="1435" t="str">
        <f aca="false">IF($H378=P$4,$D378*$N378,"")</f>
        <v/>
      </c>
      <c r="Q378" s="1435" t="str">
        <f aca="false">IF($H378=Q$4,$D378*$N378,"")</f>
        <v/>
      </c>
      <c r="R378" s="1435" t="str">
        <f aca="false">IF($H378=R$4,$D378*$N378,"")</f>
        <v/>
      </c>
      <c r="S378" s="1435" t="str">
        <f aca="false">IF($H378=S$4,$D378*$N378,"")</f>
        <v/>
      </c>
      <c r="T378" s="1435" t="str">
        <f aca="false">IF($H378=T$4,$D378*$N378,"")</f>
        <v/>
      </c>
      <c r="U378" s="1436" t="str">
        <f aca="false">IF($H378=U$4,$D378*$N378,"")</f>
        <v/>
      </c>
      <c r="V378" s="1472"/>
      <c r="W378" s="1471"/>
      <c r="X378" s="1471"/>
      <c r="Y378" s="1471"/>
      <c r="Z378" s="1471"/>
      <c r="AA378" s="1471"/>
      <c r="AB378" s="1473"/>
      <c r="AC378" s="1319"/>
      <c r="AD378" s="2" t="str">
        <f aca="false">IF(AND(AD$4=$G378,AD$6=$F378),$B378,"")</f>
        <v/>
      </c>
      <c r="AE378" s="2" t="str">
        <f aca="false">IF(AND(AE$4=$G378,AE$6=$F378),$B378,"")</f>
        <v/>
      </c>
      <c r="AF378" s="2" t="str">
        <f aca="false">IF(AND(AF$4=$G378,AF$6=$F378),$B378,"")</f>
        <v/>
      </c>
      <c r="AG378" s="2" t="str">
        <f aca="false">IF(AND(AG$4=$G378,AG$6=$F378),$B378,"")</f>
        <v/>
      </c>
      <c r="AI378" s="366"/>
      <c r="AL378" s="367"/>
      <c r="AO378" s="367"/>
      <c r="AP378" s="2" t="str">
        <f aca="false">IF(AT378&gt;0,RANK(AT378,AT$7:AT$423),"")</f>
        <v/>
      </c>
      <c r="AQ378" s="1475" t="n">
        <f aca="false">'O_MN, PE_UTA_UGM 2024'!C375</f>
        <v>948</v>
      </c>
      <c r="AR378" s="1421" t="n">
        <v>4470</v>
      </c>
      <c r="AS378" s="2" t="str">
        <f aca="false">IF(AY378&lt;&gt;"",AY378,"")</f>
        <v/>
      </c>
      <c r="AT378" s="1422" t="n">
        <f aca="false">IF(ISNUMBER($AR378),SUMIF(B$7:B$505,AR378,D$7:D$505),"")</f>
        <v>0</v>
      </c>
      <c r="AU378" s="1411" t="n">
        <f aca="false">IF(ISNUMBER($AR378),SUMIF(AD$7:AD$503,$AR378,J$7:J$503),"")</f>
        <v>0</v>
      </c>
      <c r="AV378" s="1411" t="n">
        <f aca="false">IF(ISNUMBER($AR378),SUMIF(AF$7:AF$503,$AR378,L$7:L$503),"")</f>
        <v>0</v>
      </c>
      <c r="AW378" s="1423" t="n">
        <f aca="false">IF(ISNUMBER($AR378),SUMIF(AE$7:AE$503,$AR378,K$7:K$503),"")</f>
        <v>0</v>
      </c>
      <c r="AX378" s="1423" t="n">
        <f aca="false">IF(ISNUMBER($AR378),SUMIF(AG$7:AG$503,$AR378,M$7:M$503),"")</f>
        <v>0</v>
      </c>
      <c r="AY378" s="2" t="str">
        <f aca="false">IF($AT378&gt;0,VLOOKUP($AR378,'O_MN, PE_UTA_UGM 2024'!E375:O790,2),"")</f>
        <v/>
      </c>
      <c r="AZ378" s="1507"/>
      <c r="BA378" s="1507"/>
      <c r="BB378" s="1507" t="str">
        <f aca="false">IF($AT378&gt;0,VLOOKUP($AR378,'O_MN, PE_UTA_UGM 2024'!$E$3:$O$419,BB$6),"")</f>
        <v/>
      </c>
      <c r="BC378" s="1507" t="str">
        <f aca="false">IF($AT378&gt;0,VLOOKUP($AR378,'O_MN, PE_UTA_UGM 2024'!$E$3:$O$419,BC$6),"")</f>
        <v/>
      </c>
      <c r="BD378" s="1507" t="str">
        <f aca="false">IF($AT378&gt;0,VLOOKUP($AR378,'O_MN, PE_UTA_UGM 2024'!$E$3:$O$419,BD$6),"")</f>
        <v/>
      </c>
      <c r="BE378" s="1507" t="str">
        <f aca="false">IF($AT378&gt;0,VLOOKUP($AR378,'O_MN, PE_UTA_UGM 2024'!$E$3:$O$419,BE$6),"")</f>
        <v/>
      </c>
      <c r="BF378" s="1507" t="str">
        <f aca="false">IF($AT378&gt;0,VLOOKUP($AR378,'O_MN, PE_UTA_UGM 2024'!$E$3:$O$419,BF$6),"")</f>
        <v/>
      </c>
      <c r="BG378" s="1507" t="str">
        <f aca="false">IF($AT378&gt;0,VLOOKUP($AR378,'O_MN, PE_UTA_UGM 2024'!$E$3:$O$419,BG$6),"")</f>
        <v/>
      </c>
      <c r="BH378" s="1504"/>
      <c r="BI378" s="1504"/>
      <c r="BJ378" s="1504"/>
      <c r="BK378" s="1504"/>
      <c r="BM378" s="1411"/>
      <c r="BN378" s="1411"/>
      <c r="BO378" s="1425" t="str">
        <f aca="false">IF(ISNUMBER($AU378*BB378*1),$AU378*BB378*1,"")</f>
        <v/>
      </c>
      <c r="BP378" s="1425" t="str">
        <f aca="false">IF(ISNUMBER($AV378*BC378*1),$AV378*BC378*1,"")</f>
        <v/>
      </c>
      <c r="BQ378" s="1425" t="str">
        <f aca="false">IF(ISNUMBER($AU378*BD378*1),$AU378*BD378*1,"")</f>
        <v/>
      </c>
      <c r="BR378" s="1425" t="str">
        <f aca="false">IF(ISNUMBER($AV378*BE378*1),$AV378*BE378*1,"")</f>
        <v/>
      </c>
      <c r="BS378" s="1411" t="str">
        <f aca="false">IF(ISNUMBER($AU378*BF378),$AU378*BF378,"")</f>
        <v/>
      </c>
      <c r="BT378" s="1411" t="str">
        <f aca="false">IF(ISNUMBER($AV378*BG378),$AV378*BG378,"")</f>
        <v/>
      </c>
      <c r="BU378" s="1411"/>
      <c r="BV378" s="1411"/>
      <c r="BW378" s="1411"/>
      <c r="BX378" s="1411"/>
      <c r="BZ378" s="1372"/>
      <c r="CA378" s="1372"/>
      <c r="CB378" s="1426" t="str">
        <f aca="false">IF(ISNUMBER($AW378*BB378),$AW378*BB378,"")</f>
        <v/>
      </c>
      <c r="CC378" s="1426" t="str">
        <f aca="false">IF(ISNUMBER($AX378*BC378),$AX378*BC378,"")</f>
        <v/>
      </c>
      <c r="CD378" s="1426" t="str">
        <f aca="false">IF(ISNUMBER($AW378*BD378),$AW378*BD378,"")</f>
        <v/>
      </c>
      <c r="CE378" s="1426" t="str">
        <f aca="false">IF(ISNUMBER($AX378*BE378),$AX378*BE378,"")</f>
        <v/>
      </c>
      <c r="CF378" s="1372" t="str">
        <f aca="false">IF(ISNUMBER($AW378*BF378),$AW378*BF378,"")</f>
        <v/>
      </c>
      <c r="CG378" s="1372" t="str">
        <f aca="false">IF(ISNUMBER($AX378*BG378),$AX378*BG378,"")</f>
        <v/>
      </c>
      <c r="CH378" s="1438"/>
      <c r="CI378" s="1438"/>
      <c r="CJ378" s="1438"/>
      <c r="CK378" s="1438"/>
      <c r="CU378" s="1411"/>
      <c r="CV378" s="1411"/>
      <c r="CW378" s="1425"/>
      <c r="CX378" s="1425"/>
      <c r="CY378" s="1425"/>
      <c r="CZ378" s="1425"/>
      <c r="DA378" s="1411"/>
      <c r="DB378" s="1411"/>
      <c r="DC378" s="1411"/>
      <c r="DD378" s="1411"/>
      <c r="DE378" s="1411"/>
      <c r="DF378" s="1411"/>
      <c r="DH378" s="1432"/>
      <c r="DI378" s="1432"/>
      <c r="DJ378" s="1437"/>
      <c r="DK378" s="1437"/>
      <c r="DL378" s="1437"/>
      <c r="DM378" s="1437"/>
      <c r="DN378" s="1432"/>
      <c r="DO378" s="1432"/>
      <c r="DP378" s="1432"/>
      <c r="DQ378" s="1432"/>
      <c r="DR378" s="1432"/>
      <c r="DS378" s="1432"/>
      <c r="DT378" s="1316"/>
      <c r="DU378" s="1433"/>
      <c r="DV378" s="1433"/>
      <c r="DW378" s="1433"/>
      <c r="DX378" s="1433"/>
      <c r="DY378" s="1433"/>
      <c r="DZ378" s="1433"/>
      <c r="EA378" s="1433"/>
      <c r="EB378" s="1433"/>
    </row>
    <row r="379" customFormat="false" ht="14.25" hidden="false" customHeight="false" outlineLevel="0" collapsed="false">
      <c r="A379" s="2" t="n">
        <f aca="false">'V_DATOS PAC_SGA'!CC374</f>
        <v>0</v>
      </c>
      <c r="B379" s="2" t="n">
        <f aca="false">IF(OR(A379=0,A379=""),0,IF(I379="IV",CONCATENATE('V_DATOS PAC_SGA'!CC374,"4")+0,CONCATENATE('V_DATOS PAC_SGA'!CC374,"0")+0))</f>
        <v>0</v>
      </c>
      <c r="C379" s="2" t="n">
        <f aca="false">'V_DATOS PAC_SGA'!CD374</f>
        <v>0</v>
      </c>
      <c r="D379" s="1409" t="n">
        <f aca="false">'V_DATOS PAC_SGA'!Y374</f>
        <v>0</v>
      </c>
      <c r="E379" s="1410" t="str">
        <f aca="false">IF('V_DATOS PAC_SGA'!AV374="","Regadio",'V_DATOS PAC_SGA'!AV374)</f>
        <v>Regadio</v>
      </c>
      <c r="F379" s="1411" t="n">
        <f aca="false">'V_DATOS PAC_SGA'!BK374</f>
        <v>0</v>
      </c>
      <c r="G379" s="1412" t="n">
        <f aca="false">'V_DATOS PAC_SGA'!AN374</f>
        <v>0</v>
      </c>
      <c r="H379" s="1413" t="str">
        <f aca="false">IF(B379&gt;0,VLOOKUP(B379,'O_MN, PE_UTA_UGM 2024'!E$3:O$419,10),"")</f>
        <v/>
      </c>
      <c r="I379" s="1359" t="str">
        <f aca="false">IF('V_DATOS PAC_SGA'!BV374="IV",'V_DATOS PAC_SGA'!BV374,"")</f>
        <v/>
      </c>
      <c r="J379" s="2" t="str">
        <f aca="false">IF($A379&gt;0,IF(AND(J$4=$G379,J$6=$F379),$D379*J$5,""),"")</f>
        <v/>
      </c>
      <c r="K379" s="2" t="str">
        <f aca="false">IF($A379&gt;0,IF(AND(K$4=$G379,K$6=$F379),$D379*K$5,""),"")</f>
        <v/>
      </c>
      <c r="L379" s="2" t="str">
        <f aca="false">IF($A379&gt;0,IF(AND(L$4=$G379,L$6=$F379),$D379*L$5,""),"")</f>
        <v/>
      </c>
      <c r="M379" s="2" t="str">
        <f aca="false">IF($A379&gt;0,IF(AND(M$4=$G379,M$6=$F379),$D379*M$5,""),"")</f>
        <v/>
      </c>
      <c r="N379" s="1506" t="n">
        <f aca="false">VLOOKUP(B379,'O_MN, PE_UTA_UGM 2024'!$E$2:$K$419,IF(G379&gt;1,6,7))</f>
        <v>0</v>
      </c>
      <c r="O379" s="1434" t="str">
        <f aca="false">IF($H379=O$4,$D379*$N379,"")</f>
        <v/>
      </c>
      <c r="P379" s="1435" t="str">
        <f aca="false">IF($H379=P$4,$D379*$N379,"")</f>
        <v/>
      </c>
      <c r="Q379" s="1435" t="str">
        <f aca="false">IF($H379=Q$4,$D379*$N379,"")</f>
        <v/>
      </c>
      <c r="R379" s="1435" t="str">
        <f aca="false">IF($H379=R$4,$D379*$N379,"")</f>
        <v/>
      </c>
      <c r="S379" s="1435" t="str">
        <f aca="false">IF($H379=S$4,$D379*$N379,"")</f>
        <v/>
      </c>
      <c r="T379" s="1435" t="str">
        <f aca="false">IF($H379=T$4,$D379*$N379,"")</f>
        <v/>
      </c>
      <c r="U379" s="1436" t="str">
        <f aca="false">IF($H379=U$4,$D379*$N379,"")</f>
        <v/>
      </c>
      <c r="V379" s="1472"/>
      <c r="W379" s="1471"/>
      <c r="X379" s="1471"/>
      <c r="Y379" s="1471"/>
      <c r="Z379" s="1471"/>
      <c r="AA379" s="1471"/>
      <c r="AB379" s="1473"/>
      <c r="AC379" s="1319"/>
      <c r="AD379" s="2" t="str">
        <f aca="false">IF(AND(AD$4=$G379,AD$6=$F379),$B379,"")</f>
        <v/>
      </c>
      <c r="AE379" s="2" t="str">
        <f aca="false">IF(AND(AE$4=$G379,AE$6=$F379),$B379,"")</f>
        <v/>
      </c>
      <c r="AF379" s="2" t="str">
        <f aca="false">IF(AND(AF$4=$G379,AF$6=$F379),$B379,"")</f>
        <v/>
      </c>
      <c r="AG379" s="2" t="str">
        <f aca="false">IF(AND(AG$4=$G379,AG$6=$F379),$B379,"")</f>
        <v/>
      </c>
      <c r="AI379" s="366"/>
      <c r="AL379" s="367"/>
      <c r="AO379" s="367"/>
      <c r="AP379" s="2" t="str">
        <f aca="false">IF(AT379&gt;0,RANK(AT379,AT$7:AT$423),"")</f>
        <v/>
      </c>
      <c r="AQ379" s="1475" t="n">
        <f aca="false">'O_MN, PE_UTA_UGM 2024'!C376</f>
        <v>949</v>
      </c>
      <c r="AR379" s="1421" t="n">
        <v>4480</v>
      </c>
      <c r="AS379" s="2" t="str">
        <f aca="false">IF(AY379&lt;&gt;"",AY379,"")</f>
        <v/>
      </c>
      <c r="AT379" s="1422" t="n">
        <f aca="false">IF(ISNUMBER($AR379),SUMIF(B$7:B$505,AR379,D$7:D$505),"")</f>
        <v>0</v>
      </c>
      <c r="AU379" s="1411" t="n">
        <f aca="false">IF(ISNUMBER($AR379),SUMIF(AD$7:AD$503,$AR379,J$7:J$503),"")</f>
        <v>0</v>
      </c>
      <c r="AV379" s="1411" t="n">
        <f aca="false">IF(ISNUMBER($AR379),SUMIF(AF$7:AF$503,$AR379,L$7:L$503),"")</f>
        <v>0</v>
      </c>
      <c r="AW379" s="1423" t="n">
        <f aca="false">IF(ISNUMBER($AR379),SUMIF(AE$7:AE$503,$AR379,K$7:K$503),"")</f>
        <v>0</v>
      </c>
      <c r="AX379" s="1423" t="n">
        <f aca="false">IF(ISNUMBER($AR379),SUMIF(AG$7:AG$503,$AR379,M$7:M$503),"")</f>
        <v>0</v>
      </c>
      <c r="AY379" s="2" t="str">
        <f aca="false">IF($AT379&gt;0,VLOOKUP($AR379,'O_MN, PE_UTA_UGM 2024'!E376:O791,2),"")</f>
        <v/>
      </c>
      <c r="AZ379" s="1507"/>
      <c r="BA379" s="1507"/>
      <c r="BB379" s="1507" t="str">
        <f aca="false">IF($AT379&gt;0,VLOOKUP($AR379,'O_MN, PE_UTA_UGM 2024'!$E$3:$O$419,BB$6),"")</f>
        <v/>
      </c>
      <c r="BC379" s="1507" t="str">
        <f aca="false">IF($AT379&gt;0,VLOOKUP($AR379,'O_MN, PE_UTA_UGM 2024'!$E$3:$O$419,BC$6),"")</f>
        <v/>
      </c>
      <c r="BD379" s="1507" t="str">
        <f aca="false">IF($AT379&gt;0,VLOOKUP($AR379,'O_MN, PE_UTA_UGM 2024'!$E$3:$O$419,BD$6),"")</f>
        <v/>
      </c>
      <c r="BE379" s="1507" t="str">
        <f aca="false">IF($AT379&gt;0,VLOOKUP($AR379,'O_MN, PE_UTA_UGM 2024'!$E$3:$O$419,BE$6),"")</f>
        <v/>
      </c>
      <c r="BF379" s="1507" t="str">
        <f aca="false">IF($AT379&gt;0,VLOOKUP($AR379,'O_MN, PE_UTA_UGM 2024'!$E$3:$O$419,BF$6),"")</f>
        <v/>
      </c>
      <c r="BG379" s="1507" t="str">
        <f aca="false">IF($AT379&gt;0,VLOOKUP($AR379,'O_MN, PE_UTA_UGM 2024'!$E$3:$O$419,BG$6),"")</f>
        <v/>
      </c>
      <c r="BH379" s="1504"/>
      <c r="BI379" s="1504"/>
      <c r="BJ379" s="1504"/>
      <c r="BK379" s="1504"/>
      <c r="BM379" s="1411"/>
      <c r="BN379" s="1411"/>
      <c r="BO379" s="1425" t="str">
        <f aca="false">IF(ISNUMBER($AU379*BB379*1),$AU379*BB379*1,"")</f>
        <v/>
      </c>
      <c r="BP379" s="1425" t="str">
        <f aca="false">IF(ISNUMBER($AV379*BC379*1),$AV379*BC379*1,"")</f>
        <v/>
      </c>
      <c r="BQ379" s="1425" t="str">
        <f aca="false">IF(ISNUMBER($AU379*BD379*1),$AU379*BD379*1,"")</f>
        <v/>
      </c>
      <c r="BR379" s="1425" t="str">
        <f aca="false">IF(ISNUMBER($AV379*BE379*1),$AV379*BE379*1,"")</f>
        <v/>
      </c>
      <c r="BS379" s="1411" t="str">
        <f aca="false">IF(ISNUMBER($AU379*BF379),$AU379*BF379,"")</f>
        <v/>
      </c>
      <c r="BT379" s="1411" t="str">
        <f aca="false">IF(ISNUMBER($AV379*BG379),$AV379*BG379,"")</f>
        <v/>
      </c>
      <c r="BU379" s="1411"/>
      <c r="BV379" s="1411"/>
      <c r="BW379" s="1411"/>
      <c r="BX379" s="1411"/>
      <c r="BZ379" s="1372"/>
      <c r="CA379" s="1372"/>
      <c r="CB379" s="1426" t="str">
        <f aca="false">IF(ISNUMBER($AW379*BB379),$AW379*BB379,"")</f>
        <v/>
      </c>
      <c r="CC379" s="1426" t="str">
        <f aca="false">IF(ISNUMBER($AX379*BC379),$AX379*BC379,"")</f>
        <v/>
      </c>
      <c r="CD379" s="1426" t="str">
        <f aca="false">IF(ISNUMBER($AW379*BD379),$AW379*BD379,"")</f>
        <v/>
      </c>
      <c r="CE379" s="1426" t="str">
        <f aca="false">IF(ISNUMBER($AX379*BE379),$AX379*BE379,"")</f>
        <v/>
      </c>
      <c r="CF379" s="1372" t="str">
        <f aca="false">IF(ISNUMBER($AW379*BF379),$AW379*BF379,"")</f>
        <v/>
      </c>
      <c r="CG379" s="1372" t="str">
        <f aca="false">IF(ISNUMBER($AX379*BG379),$AX379*BG379,"")</f>
        <v/>
      </c>
      <c r="CH379" s="1438"/>
      <c r="CI379" s="1438"/>
      <c r="CJ379" s="1438"/>
      <c r="CK379" s="1438"/>
      <c r="CU379" s="1411"/>
      <c r="CV379" s="1411"/>
      <c r="CW379" s="1425"/>
      <c r="CX379" s="1425"/>
      <c r="CY379" s="1425"/>
      <c r="CZ379" s="1425"/>
      <c r="DA379" s="1411"/>
      <c r="DB379" s="1411"/>
      <c r="DC379" s="1411"/>
      <c r="DD379" s="1411"/>
      <c r="DE379" s="1411"/>
      <c r="DF379" s="1411"/>
      <c r="DH379" s="1432"/>
      <c r="DI379" s="1432"/>
      <c r="DJ379" s="1437"/>
      <c r="DK379" s="1437"/>
      <c r="DL379" s="1437"/>
      <c r="DM379" s="1437"/>
      <c r="DN379" s="1432"/>
      <c r="DO379" s="1432"/>
      <c r="DP379" s="1432"/>
      <c r="DQ379" s="1432"/>
      <c r="DR379" s="1432"/>
      <c r="DS379" s="1432"/>
      <c r="DT379" s="1316"/>
      <c r="DU379" s="1433"/>
      <c r="DV379" s="1433"/>
      <c r="DW379" s="1433"/>
      <c r="DX379" s="1433"/>
      <c r="DY379" s="1433"/>
      <c r="DZ379" s="1433"/>
      <c r="EA379" s="1433"/>
      <c r="EB379" s="1433"/>
    </row>
    <row r="380" customFormat="false" ht="14.25" hidden="false" customHeight="false" outlineLevel="0" collapsed="false">
      <c r="A380" s="2" t="n">
        <f aca="false">'V_DATOS PAC_SGA'!CC375</f>
        <v>0</v>
      </c>
      <c r="B380" s="2" t="n">
        <f aca="false">IF(OR(A380=0,A380=""),0,IF(I380="IV",CONCATENATE('V_DATOS PAC_SGA'!CC375,"4")+0,CONCATENATE('V_DATOS PAC_SGA'!CC375,"0")+0))</f>
        <v>0</v>
      </c>
      <c r="C380" s="2" t="n">
        <f aca="false">'V_DATOS PAC_SGA'!CD375</f>
        <v>0</v>
      </c>
      <c r="D380" s="1409" t="n">
        <f aca="false">'V_DATOS PAC_SGA'!Y375</f>
        <v>0</v>
      </c>
      <c r="E380" s="1410" t="str">
        <f aca="false">IF('V_DATOS PAC_SGA'!AV375="","Regadio",'V_DATOS PAC_SGA'!AV375)</f>
        <v>Regadio</v>
      </c>
      <c r="F380" s="1411" t="n">
        <f aca="false">'V_DATOS PAC_SGA'!BK375</f>
        <v>0</v>
      </c>
      <c r="G380" s="1412" t="n">
        <f aca="false">'V_DATOS PAC_SGA'!AN375</f>
        <v>0</v>
      </c>
      <c r="H380" s="1413" t="str">
        <f aca="false">IF(B380&gt;0,VLOOKUP(B380,'O_MN, PE_UTA_UGM 2024'!E$3:O$419,10),"")</f>
        <v/>
      </c>
      <c r="I380" s="1359" t="str">
        <f aca="false">IF('V_DATOS PAC_SGA'!BV375="IV",'V_DATOS PAC_SGA'!BV375,"")</f>
        <v/>
      </c>
      <c r="J380" s="2" t="str">
        <f aca="false">IF($A380&gt;0,IF(AND(J$4=$G380,J$6=$F380),$D380*J$5,""),"")</f>
        <v/>
      </c>
      <c r="K380" s="2" t="str">
        <f aca="false">IF($A380&gt;0,IF(AND(K$4=$G380,K$6=$F380),$D380*K$5,""),"")</f>
        <v/>
      </c>
      <c r="L380" s="2" t="str">
        <f aca="false">IF($A380&gt;0,IF(AND(L$4=$G380,L$6=$F380),$D380*L$5,""),"")</f>
        <v/>
      </c>
      <c r="M380" s="2" t="str">
        <f aca="false">IF($A380&gt;0,IF(AND(M$4=$G380,M$6=$F380),$D380*M$5,""),"")</f>
        <v/>
      </c>
      <c r="N380" s="1506" t="n">
        <f aca="false">VLOOKUP(B380,'O_MN, PE_UTA_UGM 2024'!$E$2:$K$419,IF(G380&gt;1,6,7))</f>
        <v>0</v>
      </c>
      <c r="O380" s="1434" t="str">
        <f aca="false">IF($H380=O$4,$D380*$N380,"")</f>
        <v/>
      </c>
      <c r="P380" s="1435" t="str">
        <f aca="false">IF($H380=P$4,$D380*$N380,"")</f>
        <v/>
      </c>
      <c r="Q380" s="1435" t="str">
        <f aca="false">IF($H380=Q$4,$D380*$N380,"")</f>
        <v/>
      </c>
      <c r="R380" s="1435" t="str">
        <f aca="false">IF($H380=R$4,$D380*$N380,"")</f>
        <v/>
      </c>
      <c r="S380" s="1435" t="str">
        <f aca="false">IF($H380=S$4,$D380*$N380,"")</f>
        <v/>
      </c>
      <c r="T380" s="1435" t="str">
        <f aca="false">IF($H380=T$4,$D380*$N380,"")</f>
        <v/>
      </c>
      <c r="U380" s="1436" t="str">
        <f aca="false">IF($H380=U$4,$D380*$N380,"")</f>
        <v/>
      </c>
      <c r="V380" s="1472"/>
      <c r="W380" s="1471"/>
      <c r="X380" s="1471"/>
      <c r="Y380" s="1471"/>
      <c r="Z380" s="1471"/>
      <c r="AA380" s="1471"/>
      <c r="AB380" s="1473"/>
      <c r="AC380" s="1319"/>
      <c r="AD380" s="2" t="str">
        <f aca="false">IF(AND(AD$4=$G380,AD$6=$F380),$B380,"")</f>
        <v/>
      </c>
      <c r="AE380" s="2" t="str">
        <f aca="false">IF(AND(AE$4=$G380,AE$6=$F380),$B380,"")</f>
        <v/>
      </c>
      <c r="AF380" s="2" t="str">
        <f aca="false">IF(AND(AF$4=$G380,AF$6=$F380),$B380,"")</f>
        <v/>
      </c>
      <c r="AG380" s="2" t="str">
        <f aca="false">IF(AND(AG$4=$G380,AG$6=$F380),$B380,"")</f>
        <v/>
      </c>
      <c r="AI380" s="366"/>
      <c r="AL380" s="367"/>
      <c r="AO380" s="367"/>
      <c r="AP380" s="2" t="str">
        <f aca="false">IF(AT380&gt;0,RANK(AT380,AT$7:AT$423),"")</f>
        <v/>
      </c>
      <c r="AQ380" s="1475" t="n">
        <f aca="false">'O_MN, PE_UTA_UGM 2024'!C377</f>
        <v>0</v>
      </c>
      <c r="AR380" s="1421" t="n">
        <v>4490</v>
      </c>
      <c r="AS380" s="2" t="str">
        <f aca="false">IF(AY380&lt;&gt;"",AY380,"")</f>
        <v/>
      </c>
      <c r="AT380" s="1422" t="n">
        <f aca="false">IF(ISNUMBER($AR380),SUMIF(B$7:B$505,AR380,D$7:D$505),"")</f>
        <v>0</v>
      </c>
      <c r="AU380" s="1411" t="n">
        <f aca="false">IF(ISNUMBER($AR380),SUMIF(AD$7:AD$503,$AR380,J$7:J$503),"")</f>
        <v>0</v>
      </c>
      <c r="AV380" s="1411" t="n">
        <f aca="false">IF(ISNUMBER($AR380),SUMIF(AF$7:AF$503,$AR380,L$7:L$503),"")</f>
        <v>0</v>
      </c>
      <c r="AW380" s="1423" t="n">
        <f aca="false">IF(ISNUMBER($AR380),SUMIF(AE$7:AE$503,$AR380,K$7:K$503),"")</f>
        <v>0</v>
      </c>
      <c r="AX380" s="1423" t="n">
        <f aca="false">IF(ISNUMBER($AR380),SUMIF(AG$7:AG$503,$AR380,M$7:M$503),"")</f>
        <v>0</v>
      </c>
      <c r="AY380" s="2" t="str">
        <f aca="false">IF($AT380&gt;0,VLOOKUP($AR380,'O_MN, PE_UTA_UGM 2024'!E377:O792,2),"")</f>
        <v/>
      </c>
      <c r="AZ380" s="1507"/>
      <c r="BA380" s="1507"/>
      <c r="BB380" s="1507" t="str">
        <f aca="false">IF($AT380&gt;0,VLOOKUP($AR380,'O_MN, PE_UTA_UGM 2024'!$E$3:$O$419,BB$6),"")</f>
        <v/>
      </c>
      <c r="BC380" s="1507" t="str">
        <f aca="false">IF($AT380&gt;0,VLOOKUP($AR380,'O_MN, PE_UTA_UGM 2024'!$E$3:$O$419,BC$6),"")</f>
        <v/>
      </c>
      <c r="BD380" s="1507" t="str">
        <f aca="false">IF($AT380&gt;0,VLOOKUP($AR380,'O_MN, PE_UTA_UGM 2024'!$E$3:$O$419,BD$6),"")</f>
        <v/>
      </c>
      <c r="BE380" s="1507" t="str">
        <f aca="false">IF($AT380&gt;0,VLOOKUP($AR380,'O_MN, PE_UTA_UGM 2024'!$E$3:$O$419,BE$6),"")</f>
        <v/>
      </c>
      <c r="BF380" s="1507" t="str">
        <f aca="false">IF($AT380&gt;0,VLOOKUP($AR380,'O_MN, PE_UTA_UGM 2024'!$E$3:$O$419,BF$6),"")</f>
        <v/>
      </c>
      <c r="BG380" s="1507" t="str">
        <f aca="false">IF($AT380&gt;0,VLOOKUP($AR380,'O_MN, PE_UTA_UGM 2024'!$E$3:$O$419,BG$6),"")</f>
        <v/>
      </c>
      <c r="BH380" s="1504"/>
      <c r="BI380" s="1504"/>
      <c r="BJ380" s="1504"/>
      <c r="BK380" s="1504"/>
      <c r="BM380" s="1411"/>
      <c r="BN380" s="1411"/>
      <c r="BO380" s="1425" t="str">
        <f aca="false">IF(ISNUMBER($AU380*BB380*1),$AU380*BB380*1,"")</f>
        <v/>
      </c>
      <c r="BP380" s="1425" t="str">
        <f aca="false">IF(ISNUMBER($AV380*BC380*1),$AV380*BC380*1,"")</f>
        <v/>
      </c>
      <c r="BQ380" s="1425" t="str">
        <f aca="false">IF(ISNUMBER($AU380*BD380*1),$AU380*BD380*1,"")</f>
        <v/>
      </c>
      <c r="BR380" s="1425" t="str">
        <f aca="false">IF(ISNUMBER($AV380*BE380*1),$AV380*BE380*1,"")</f>
        <v/>
      </c>
      <c r="BS380" s="1411" t="str">
        <f aca="false">IF(ISNUMBER($AU380*BF380),$AU380*BF380,"")</f>
        <v/>
      </c>
      <c r="BT380" s="1411" t="str">
        <f aca="false">IF(ISNUMBER($AV380*BG380),$AV380*BG380,"")</f>
        <v/>
      </c>
      <c r="BU380" s="1411"/>
      <c r="BV380" s="1411"/>
      <c r="BW380" s="1411"/>
      <c r="BX380" s="1411"/>
      <c r="BZ380" s="1372"/>
      <c r="CA380" s="1372"/>
      <c r="CB380" s="1426" t="str">
        <f aca="false">IF(ISNUMBER($AW380*BB380),$AW380*BB380,"")</f>
        <v/>
      </c>
      <c r="CC380" s="1426" t="str">
        <f aca="false">IF(ISNUMBER($AX380*BC380),$AX380*BC380,"")</f>
        <v/>
      </c>
      <c r="CD380" s="1426" t="str">
        <f aca="false">IF(ISNUMBER($AW380*BD380),$AW380*BD380,"")</f>
        <v/>
      </c>
      <c r="CE380" s="1426" t="str">
        <f aca="false">IF(ISNUMBER($AX380*BE380),$AX380*BE380,"")</f>
        <v/>
      </c>
      <c r="CF380" s="1372" t="str">
        <f aca="false">IF(ISNUMBER($AW380*BF380),$AW380*BF380,"")</f>
        <v/>
      </c>
      <c r="CG380" s="1372" t="str">
        <f aca="false">IF(ISNUMBER($AX380*BG380),$AX380*BG380,"")</f>
        <v/>
      </c>
      <c r="CH380" s="1438"/>
      <c r="CI380" s="1438"/>
      <c r="CJ380" s="1438"/>
      <c r="CK380" s="1438"/>
      <c r="CU380" s="1411"/>
      <c r="CV380" s="1411"/>
      <c r="CW380" s="1425"/>
      <c r="CX380" s="1425"/>
      <c r="CY380" s="1425"/>
      <c r="CZ380" s="1425"/>
      <c r="DA380" s="1411"/>
      <c r="DB380" s="1411"/>
      <c r="DC380" s="1411"/>
      <c r="DD380" s="1411"/>
      <c r="DE380" s="1411"/>
      <c r="DF380" s="1411"/>
      <c r="DH380" s="1432"/>
      <c r="DI380" s="1432"/>
      <c r="DJ380" s="1437"/>
      <c r="DK380" s="1437"/>
      <c r="DL380" s="1437"/>
      <c r="DM380" s="1437"/>
      <c r="DN380" s="1432"/>
      <c r="DO380" s="1432"/>
      <c r="DP380" s="1432"/>
      <c r="DQ380" s="1432"/>
      <c r="DR380" s="1432"/>
      <c r="DS380" s="1432"/>
      <c r="DT380" s="1316"/>
      <c r="DU380" s="1433"/>
      <c r="DV380" s="1433"/>
      <c r="DW380" s="1433"/>
      <c r="DX380" s="1433"/>
      <c r="DY380" s="1433"/>
      <c r="DZ380" s="1433"/>
      <c r="EA380" s="1433"/>
      <c r="EB380" s="1433"/>
    </row>
    <row r="381" customFormat="false" ht="14.25" hidden="false" customHeight="false" outlineLevel="0" collapsed="false">
      <c r="A381" s="2" t="n">
        <f aca="false">'V_DATOS PAC_SGA'!CC376</f>
        <v>0</v>
      </c>
      <c r="B381" s="2" t="n">
        <f aca="false">IF(OR(A381=0,A381=""),0,IF(I381="IV",CONCATENATE('V_DATOS PAC_SGA'!CC376,"4")+0,CONCATENATE('V_DATOS PAC_SGA'!CC376,"0")+0))</f>
        <v>0</v>
      </c>
      <c r="C381" s="2" t="n">
        <f aca="false">'V_DATOS PAC_SGA'!CD376</f>
        <v>0</v>
      </c>
      <c r="D381" s="1409" t="n">
        <f aca="false">'V_DATOS PAC_SGA'!Y376</f>
        <v>0</v>
      </c>
      <c r="E381" s="1410" t="str">
        <f aca="false">IF('V_DATOS PAC_SGA'!AV376="","Regadio",'V_DATOS PAC_SGA'!AV376)</f>
        <v>Regadio</v>
      </c>
      <c r="F381" s="1411" t="n">
        <f aca="false">'V_DATOS PAC_SGA'!BK376</f>
        <v>0</v>
      </c>
      <c r="G381" s="1412" t="n">
        <f aca="false">'V_DATOS PAC_SGA'!AN376</f>
        <v>0</v>
      </c>
      <c r="H381" s="1413" t="str">
        <f aca="false">IF(B381&gt;0,VLOOKUP(B381,'O_MN, PE_UTA_UGM 2024'!E$3:O$419,10),"")</f>
        <v/>
      </c>
      <c r="I381" s="1359" t="str">
        <f aca="false">IF('V_DATOS PAC_SGA'!BV376="IV",'V_DATOS PAC_SGA'!BV376,"")</f>
        <v/>
      </c>
      <c r="J381" s="2" t="str">
        <f aca="false">IF($A381&gt;0,IF(AND(J$4=$G381,J$6=$F381),$D381*J$5,""),"")</f>
        <v/>
      </c>
      <c r="K381" s="2" t="str">
        <f aca="false">IF($A381&gt;0,IF(AND(K$4=$G381,K$6=$F381),$D381*K$5,""),"")</f>
        <v/>
      </c>
      <c r="L381" s="2" t="str">
        <f aca="false">IF($A381&gt;0,IF(AND(L$4=$G381,L$6=$F381),$D381*L$5,""),"")</f>
        <v/>
      </c>
      <c r="M381" s="2" t="str">
        <f aca="false">IF($A381&gt;0,IF(AND(M$4=$G381,M$6=$F381),$D381*M$5,""),"")</f>
        <v/>
      </c>
      <c r="N381" s="1506" t="n">
        <f aca="false">VLOOKUP(B381,'O_MN, PE_UTA_UGM 2024'!$E$2:$K$419,IF(G381&gt;1,6,7))</f>
        <v>0</v>
      </c>
      <c r="O381" s="1434" t="str">
        <f aca="false">IF($H381=O$4,$D381*$N381,"")</f>
        <v/>
      </c>
      <c r="P381" s="1435" t="str">
        <f aca="false">IF($H381=P$4,$D381*$N381,"")</f>
        <v/>
      </c>
      <c r="Q381" s="1435" t="str">
        <f aca="false">IF($H381=Q$4,$D381*$N381,"")</f>
        <v/>
      </c>
      <c r="R381" s="1435" t="str">
        <f aca="false">IF($H381=R$4,$D381*$N381,"")</f>
        <v/>
      </c>
      <c r="S381" s="1435" t="str">
        <f aca="false">IF($H381=S$4,$D381*$N381,"")</f>
        <v/>
      </c>
      <c r="T381" s="1435" t="str">
        <f aca="false">IF($H381=T$4,$D381*$N381,"")</f>
        <v/>
      </c>
      <c r="U381" s="1436" t="str">
        <f aca="false">IF($H381=U$4,$D381*$N381,"")</f>
        <v/>
      </c>
      <c r="V381" s="1472"/>
      <c r="W381" s="1471"/>
      <c r="X381" s="1471"/>
      <c r="Y381" s="1471"/>
      <c r="Z381" s="1471"/>
      <c r="AA381" s="1471"/>
      <c r="AB381" s="1473"/>
      <c r="AC381" s="1319"/>
      <c r="AD381" s="2" t="str">
        <f aca="false">IF(AND(AD$4=$G381,AD$6=$F381),$B381,"")</f>
        <v/>
      </c>
      <c r="AE381" s="2" t="str">
        <f aca="false">IF(AND(AE$4=$G381,AE$6=$F381),$B381,"")</f>
        <v/>
      </c>
      <c r="AF381" s="2" t="str">
        <f aca="false">IF(AND(AF$4=$G381,AF$6=$F381),$B381,"")</f>
        <v/>
      </c>
      <c r="AG381" s="2" t="str">
        <f aca="false">IF(AND(AG$4=$G381,AG$6=$F381),$B381,"")</f>
        <v/>
      </c>
      <c r="AI381" s="366"/>
      <c r="AL381" s="367"/>
      <c r="AO381" s="367"/>
      <c r="AP381" s="2" t="str">
        <f aca="false">IF(AT381&gt;0,RANK(AT381,AT$7:AT$423),"")</f>
        <v/>
      </c>
      <c r="AQ381" s="1475" t="n">
        <f aca="false">'O_MN, PE_UTA_UGM 2024'!C378</f>
        <v>0</v>
      </c>
      <c r="AR381" s="1421" t="n">
        <v>4500</v>
      </c>
      <c r="AS381" s="2" t="str">
        <f aca="false">IF(AY381&lt;&gt;"",AY381,"")</f>
        <v/>
      </c>
      <c r="AT381" s="1422" t="n">
        <f aca="false">IF(ISNUMBER($AR381),SUMIF(B$7:B$505,AR381,D$7:D$505),"")</f>
        <v>0</v>
      </c>
      <c r="AU381" s="1411" t="n">
        <f aca="false">IF(ISNUMBER($AR381),SUMIF(AD$7:AD$503,$AR381,J$7:J$503),"")</f>
        <v>0</v>
      </c>
      <c r="AV381" s="1411" t="n">
        <f aca="false">IF(ISNUMBER($AR381),SUMIF(AF$7:AF$503,$AR381,L$7:L$503),"")</f>
        <v>0</v>
      </c>
      <c r="AW381" s="1423" t="n">
        <f aca="false">IF(ISNUMBER($AR381),SUMIF(AE$7:AE$503,$AR381,K$7:K$503),"")</f>
        <v>0</v>
      </c>
      <c r="AX381" s="1423" t="n">
        <f aca="false">IF(ISNUMBER($AR381),SUMIF(AG$7:AG$503,$AR381,M$7:M$503),"")</f>
        <v>0</v>
      </c>
      <c r="AY381" s="2" t="str">
        <f aca="false">IF($AT381&gt;0,VLOOKUP($AR381,'O_MN, PE_UTA_UGM 2024'!E378:O793,2),"")</f>
        <v/>
      </c>
      <c r="AZ381" s="1507"/>
      <c r="BA381" s="1507"/>
      <c r="BB381" s="1507" t="str">
        <f aca="false">IF($AT381&gt;0,VLOOKUP($AR381,'O_MN, PE_UTA_UGM 2024'!$E$3:$O$419,BB$6),"")</f>
        <v/>
      </c>
      <c r="BC381" s="1507" t="str">
        <f aca="false">IF($AT381&gt;0,VLOOKUP($AR381,'O_MN, PE_UTA_UGM 2024'!$E$3:$O$419,BC$6),"")</f>
        <v/>
      </c>
      <c r="BD381" s="1507" t="str">
        <f aca="false">IF($AT381&gt;0,VLOOKUP($AR381,'O_MN, PE_UTA_UGM 2024'!$E$3:$O$419,BD$6),"")</f>
        <v/>
      </c>
      <c r="BE381" s="1507" t="str">
        <f aca="false">IF($AT381&gt;0,VLOOKUP($AR381,'O_MN, PE_UTA_UGM 2024'!$E$3:$O$419,BE$6),"")</f>
        <v/>
      </c>
      <c r="BF381" s="1507" t="str">
        <f aca="false">IF($AT381&gt;0,VLOOKUP($AR381,'O_MN, PE_UTA_UGM 2024'!$E$3:$O$419,BF$6),"")</f>
        <v/>
      </c>
      <c r="BG381" s="1507" t="str">
        <f aca="false">IF($AT381&gt;0,VLOOKUP($AR381,'O_MN, PE_UTA_UGM 2024'!$E$3:$O$419,BG$6),"")</f>
        <v/>
      </c>
      <c r="BH381" s="1504"/>
      <c r="BI381" s="1504"/>
      <c r="BJ381" s="1504"/>
      <c r="BK381" s="1504"/>
      <c r="BM381" s="1411"/>
      <c r="BN381" s="1411"/>
      <c r="BO381" s="1425" t="str">
        <f aca="false">IF(ISNUMBER($AU381*BB381*1),$AU381*BB381*1,"")</f>
        <v/>
      </c>
      <c r="BP381" s="1425" t="str">
        <f aca="false">IF(ISNUMBER($AV381*BC381*1),$AV381*BC381*1,"")</f>
        <v/>
      </c>
      <c r="BQ381" s="1425" t="str">
        <f aca="false">IF(ISNUMBER($AU381*BD381*1),$AU381*BD381*1,"")</f>
        <v/>
      </c>
      <c r="BR381" s="1425" t="str">
        <f aca="false">IF(ISNUMBER($AV381*BE381*1),$AV381*BE381*1,"")</f>
        <v/>
      </c>
      <c r="BS381" s="1411" t="str">
        <f aca="false">IF(ISNUMBER($AU381*BF381),$AU381*BF381,"")</f>
        <v/>
      </c>
      <c r="BT381" s="1411" t="str">
        <f aca="false">IF(ISNUMBER($AV381*BG381),$AV381*BG381,"")</f>
        <v/>
      </c>
      <c r="BU381" s="1411"/>
      <c r="BV381" s="1411"/>
      <c r="BW381" s="1411"/>
      <c r="BX381" s="1411"/>
      <c r="BZ381" s="1372"/>
      <c r="CA381" s="1372"/>
      <c r="CB381" s="1426" t="str">
        <f aca="false">IF(ISNUMBER($AW381*BB381),$AW381*BB381,"")</f>
        <v/>
      </c>
      <c r="CC381" s="1426" t="str">
        <f aca="false">IF(ISNUMBER($AX381*BC381),$AX381*BC381,"")</f>
        <v/>
      </c>
      <c r="CD381" s="1426" t="str">
        <f aca="false">IF(ISNUMBER($AW381*BD381),$AW381*BD381,"")</f>
        <v/>
      </c>
      <c r="CE381" s="1426" t="str">
        <f aca="false">IF(ISNUMBER($AX381*BE381),$AX381*BE381,"")</f>
        <v/>
      </c>
      <c r="CF381" s="1372" t="str">
        <f aca="false">IF(ISNUMBER($AW381*BF381),$AW381*BF381,"")</f>
        <v/>
      </c>
      <c r="CG381" s="1372" t="str">
        <f aca="false">IF(ISNUMBER($AX381*BG381),$AX381*BG381,"")</f>
        <v/>
      </c>
      <c r="CH381" s="1438"/>
      <c r="CI381" s="1438"/>
      <c r="CJ381" s="1438"/>
      <c r="CK381" s="1438"/>
      <c r="CU381" s="1411"/>
      <c r="CV381" s="1411"/>
      <c r="CW381" s="1425"/>
      <c r="CX381" s="1425"/>
      <c r="CY381" s="1425"/>
      <c r="CZ381" s="1425"/>
      <c r="DA381" s="1411"/>
      <c r="DB381" s="1411"/>
      <c r="DC381" s="1411"/>
      <c r="DD381" s="1411"/>
      <c r="DE381" s="1411"/>
      <c r="DF381" s="1411"/>
      <c r="DH381" s="1432"/>
      <c r="DI381" s="1432"/>
      <c r="DJ381" s="1437"/>
      <c r="DK381" s="1437"/>
      <c r="DL381" s="1437"/>
      <c r="DM381" s="1437"/>
      <c r="DN381" s="1432"/>
      <c r="DO381" s="1432"/>
      <c r="DP381" s="1432"/>
      <c r="DQ381" s="1432"/>
      <c r="DR381" s="1432"/>
      <c r="DS381" s="1432"/>
      <c r="DT381" s="1316"/>
      <c r="DU381" s="1433"/>
      <c r="DV381" s="1433"/>
      <c r="DW381" s="1433"/>
      <c r="DX381" s="1433"/>
      <c r="DY381" s="1433"/>
      <c r="DZ381" s="1433"/>
      <c r="EA381" s="1433"/>
      <c r="EB381" s="1433"/>
    </row>
    <row r="382" customFormat="false" ht="14.25" hidden="false" customHeight="false" outlineLevel="0" collapsed="false">
      <c r="A382" s="2" t="n">
        <f aca="false">'V_DATOS PAC_SGA'!CC377</f>
        <v>0</v>
      </c>
      <c r="B382" s="2" t="n">
        <f aca="false">IF(OR(A382=0,A382=""),0,IF(I382="IV",CONCATENATE('V_DATOS PAC_SGA'!CC377,"4")+0,CONCATENATE('V_DATOS PAC_SGA'!CC377,"0")+0))</f>
        <v>0</v>
      </c>
      <c r="C382" s="2" t="n">
        <f aca="false">'V_DATOS PAC_SGA'!CD377</f>
        <v>0</v>
      </c>
      <c r="D382" s="1409" t="n">
        <f aca="false">'V_DATOS PAC_SGA'!Y377</f>
        <v>0</v>
      </c>
      <c r="E382" s="1410" t="str">
        <f aca="false">IF('V_DATOS PAC_SGA'!AV377="","Regadio",'V_DATOS PAC_SGA'!AV377)</f>
        <v>Regadio</v>
      </c>
      <c r="F382" s="1411" t="n">
        <f aca="false">'V_DATOS PAC_SGA'!BK377</f>
        <v>0</v>
      </c>
      <c r="G382" s="1412" t="n">
        <f aca="false">'V_DATOS PAC_SGA'!AN377</f>
        <v>0</v>
      </c>
      <c r="H382" s="1413" t="str">
        <f aca="false">IF(B382&gt;0,VLOOKUP(B382,'O_MN, PE_UTA_UGM 2024'!E$3:O$419,10),"")</f>
        <v/>
      </c>
      <c r="I382" s="1359" t="str">
        <f aca="false">IF('V_DATOS PAC_SGA'!BV377="IV",'V_DATOS PAC_SGA'!BV377,"")</f>
        <v/>
      </c>
      <c r="J382" s="2" t="str">
        <f aca="false">IF($A382&gt;0,IF(AND(J$4=$G382,J$6=$F382),$D382*J$5,""),"")</f>
        <v/>
      </c>
      <c r="K382" s="2" t="str">
        <f aca="false">IF($A382&gt;0,IF(AND(K$4=$G382,K$6=$F382),$D382*K$5,""),"")</f>
        <v/>
      </c>
      <c r="L382" s="2" t="str">
        <f aca="false">IF($A382&gt;0,IF(AND(L$4=$G382,L$6=$F382),$D382*L$5,""),"")</f>
        <v/>
      </c>
      <c r="M382" s="2" t="str">
        <f aca="false">IF($A382&gt;0,IF(AND(M$4=$G382,M$6=$F382),$D382*M$5,""),"")</f>
        <v/>
      </c>
      <c r="N382" s="1506" t="n">
        <f aca="false">VLOOKUP(B382,'O_MN, PE_UTA_UGM 2024'!$E$2:$K$419,IF(G382&gt;1,6,7))</f>
        <v>0</v>
      </c>
      <c r="O382" s="1434" t="str">
        <f aca="false">IF($H382=O$4,$D382*$N382,"")</f>
        <v/>
      </c>
      <c r="P382" s="1435" t="str">
        <f aca="false">IF($H382=P$4,$D382*$N382,"")</f>
        <v/>
      </c>
      <c r="Q382" s="1435" t="str">
        <f aca="false">IF($H382=Q$4,$D382*$N382,"")</f>
        <v/>
      </c>
      <c r="R382" s="1435" t="str">
        <f aca="false">IF($H382=R$4,$D382*$N382,"")</f>
        <v/>
      </c>
      <c r="S382" s="1435" t="str">
        <f aca="false">IF($H382=S$4,$D382*$N382,"")</f>
        <v/>
      </c>
      <c r="T382" s="1435" t="str">
        <f aca="false">IF($H382=T$4,$D382*$N382,"")</f>
        <v/>
      </c>
      <c r="U382" s="1436" t="str">
        <f aca="false">IF($H382=U$4,$D382*$N382,"")</f>
        <v/>
      </c>
      <c r="V382" s="1472"/>
      <c r="W382" s="1471"/>
      <c r="X382" s="1471"/>
      <c r="Y382" s="1471"/>
      <c r="Z382" s="1471"/>
      <c r="AA382" s="1471"/>
      <c r="AB382" s="1473"/>
      <c r="AC382" s="1319"/>
      <c r="AD382" s="2" t="str">
        <f aca="false">IF(AND(AD$4=$G382,AD$6=$F382),$B382,"")</f>
        <v/>
      </c>
      <c r="AE382" s="2" t="str">
        <f aca="false">IF(AND(AE$4=$G382,AE$6=$F382),$B382,"")</f>
        <v/>
      </c>
      <c r="AF382" s="2" t="str">
        <f aca="false">IF(AND(AF$4=$G382,AF$6=$F382),$B382,"")</f>
        <v/>
      </c>
      <c r="AG382" s="2" t="str">
        <f aca="false">IF(AND(AG$4=$G382,AG$6=$F382),$B382,"")</f>
        <v/>
      </c>
      <c r="AI382" s="366"/>
      <c r="AL382" s="367"/>
      <c r="AO382" s="367"/>
      <c r="AP382" s="2" t="str">
        <f aca="false">IF(AT382&gt;0,RANK(AT382,AT$7:AT$423),"")</f>
        <v/>
      </c>
      <c r="AQ382" s="1475" t="n">
        <f aca="false">'O_MN, PE_UTA_UGM 2024'!C379</f>
        <v>0</v>
      </c>
      <c r="AR382" s="1421" t="n">
        <v>4510</v>
      </c>
      <c r="AS382" s="2" t="str">
        <f aca="false">IF(AY382&lt;&gt;"",AY382,"")</f>
        <v/>
      </c>
      <c r="AT382" s="1422" t="n">
        <f aca="false">IF(ISNUMBER($AR382),SUMIF(B$7:B$505,AR382,D$7:D$505),"")</f>
        <v>0</v>
      </c>
      <c r="AU382" s="1411" t="n">
        <f aca="false">IF(ISNUMBER($AR382),SUMIF(AD$7:AD$503,$AR382,J$7:J$503),"")</f>
        <v>0</v>
      </c>
      <c r="AV382" s="1411" t="n">
        <f aca="false">IF(ISNUMBER($AR382),SUMIF(AF$7:AF$503,$AR382,L$7:L$503),"")</f>
        <v>0</v>
      </c>
      <c r="AW382" s="1423" t="n">
        <f aca="false">IF(ISNUMBER($AR382),SUMIF(AE$7:AE$503,$AR382,K$7:K$503),"")</f>
        <v>0</v>
      </c>
      <c r="AX382" s="1423" t="n">
        <f aca="false">IF(ISNUMBER($AR382),SUMIF(AG$7:AG$503,$AR382,M$7:M$503),"")</f>
        <v>0</v>
      </c>
      <c r="AY382" s="2" t="str">
        <f aca="false">IF($AT382&gt;0,VLOOKUP($AR382,'O_MN, PE_UTA_UGM 2024'!E379:O794,2),"")</f>
        <v/>
      </c>
      <c r="AZ382" s="1507"/>
      <c r="BA382" s="1507"/>
      <c r="BB382" s="1507" t="str">
        <f aca="false">IF($AT382&gt;0,VLOOKUP($AR382,'O_MN, PE_UTA_UGM 2024'!$E$3:$O$419,BB$6),"")</f>
        <v/>
      </c>
      <c r="BC382" s="1507" t="str">
        <f aca="false">IF($AT382&gt;0,VLOOKUP($AR382,'O_MN, PE_UTA_UGM 2024'!$E$3:$O$419,BC$6),"")</f>
        <v/>
      </c>
      <c r="BD382" s="1507" t="str">
        <f aca="false">IF($AT382&gt;0,VLOOKUP($AR382,'O_MN, PE_UTA_UGM 2024'!$E$3:$O$419,BD$6),"")</f>
        <v/>
      </c>
      <c r="BE382" s="1507" t="str">
        <f aca="false">IF($AT382&gt;0,VLOOKUP($AR382,'O_MN, PE_UTA_UGM 2024'!$E$3:$O$419,BE$6),"")</f>
        <v/>
      </c>
      <c r="BF382" s="1507" t="str">
        <f aca="false">IF($AT382&gt;0,VLOOKUP($AR382,'O_MN, PE_UTA_UGM 2024'!$E$3:$O$419,BF$6),"")</f>
        <v/>
      </c>
      <c r="BG382" s="1507" t="str">
        <f aca="false">IF($AT382&gt;0,VLOOKUP($AR382,'O_MN, PE_UTA_UGM 2024'!$E$3:$O$419,BG$6),"")</f>
        <v/>
      </c>
      <c r="BH382" s="1504"/>
      <c r="BI382" s="1504"/>
      <c r="BJ382" s="1504"/>
      <c r="BK382" s="1504"/>
      <c r="BM382" s="1411"/>
      <c r="BN382" s="1411"/>
      <c r="BO382" s="1425" t="str">
        <f aca="false">IF(ISNUMBER($AU382*BB382*1),$AU382*BB382*1,"")</f>
        <v/>
      </c>
      <c r="BP382" s="1425" t="str">
        <f aca="false">IF(ISNUMBER($AV382*BC382*1),$AV382*BC382*1,"")</f>
        <v/>
      </c>
      <c r="BQ382" s="1425" t="str">
        <f aca="false">IF(ISNUMBER($AU382*BD382*1),$AU382*BD382*1,"")</f>
        <v/>
      </c>
      <c r="BR382" s="1425" t="str">
        <f aca="false">IF(ISNUMBER($AV382*BE382*1),$AV382*BE382*1,"")</f>
        <v/>
      </c>
      <c r="BS382" s="1411" t="str">
        <f aca="false">IF(ISNUMBER($AU382*BF382),$AU382*BF382,"")</f>
        <v/>
      </c>
      <c r="BT382" s="1411" t="str">
        <f aca="false">IF(ISNUMBER($AV382*BG382),$AV382*BG382,"")</f>
        <v/>
      </c>
      <c r="BU382" s="1411"/>
      <c r="BV382" s="1411"/>
      <c r="BW382" s="1411"/>
      <c r="BX382" s="1411"/>
      <c r="BZ382" s="1372"/>
      <c r="CA382" s="1372"/>
      <c r="CB382" s="1426" t="str">
        <f aca="false">IF(ISNUMBER($AW382*BB382),$AW382*BB382,"")</f>
        <v/>
      </c>
      <c r="CC382" s="1426" t="str">
        <f aca="false">IF(ISNUMBER($AX382*BC382),$AX382*BC382,"")</f>
        <v/>
      </c>
      <c r="CD382" s="1426" t="str">
        <f aca="false">IF(ISNUMBER($AW382*BD382),$AW382*BD382,"")</f>
        <v/>
      </c>
      <c r="CE382" s="1426" t="str">
        <f aca="false">IF(ISNUMBER($AX382*BE382),$AX382*BE382,"")</f>
        <v/>
      </c>
      <c r="CF382" s="1372" t="str">
        <f aca="false">IF(ISNUMBER($AW382*BF382),$AW382*BF382,"")</f>
        <v/>
      </c>
      <c r="CG382" s="1372" t="str">
        <f aca="false">IF(ISNUMBER($AX382*BG382),$AX382*BG382,"")</f>
        <v/>
      </c>
      <c r="CH382" s="1438"/>
      <c r="CI382" s="1438"/>
      <c r="CJ382" s="1438"/>
      <c r="CK382" s="1438"/>
      <c r="CU382" s="1411"/>
      <c r="CV382" s="1411"/>
      <c r="CW382" s="1425"/>
      <c r="CX382" s="1425"/>
      <c r="CY382" s="1425"/>
      <c r="CZ382" s="1425"/>
      <c r="DA382" s="1411"/>
      <c r="DB382" s="1411"/>
      <c r="DC382" s="1411"/>
      <c r="DD382" s="1411"/>
      <c r="DE382" s="1411"/>
      <c r="DF382" s="1411"/>
      <c r="DH382" s="1432"/>
      <c r="DI382" s="1432"/>
      <c r="DJ382" s="1437"/>
      <c r="DK382" s="1437"/>
      <c r="DL382" s="1437"/>
      <c r="DM382" s="1437"/>
      <c r="DN382" s="1432"/>
      <c r="DO382" s="1432"/>
      <c r="DP382" s="1432"/>
      <c r="DQ382" s="1432"/>
      <c r="DR382" s="1432"/>
      <c r="DS382" s="1432"/>
      <c r="DT382" s="1316"/>
      <c r="DU382" s="1433"/>
      <c r="DV382" s="1433"/>
      <c r="DW382" s="1433"/>
      <c r="DX382" s="1433"/>
      <c r="DY382" s="1433"/>
      <c r="DZ382" s="1433"/>
      <c r="EA382" s="1433"/>
      <c r="EB382" s="1433"/>
    </row>
    <row r="383" customFormat="false" ht="14.25" hidden="false" customHeight="false" outlineLevel="0" collapsed="false">
      <c r="A383" s="2" t="n">
        <f aca="false">'V_DATOS PAC_SGA'!CC378</f>
        <v>0</v>
      </c>
      <c r="B383" s="2" t="n">
        <f aca="false">IF(OR(A383=0,A383=""),0,IF(I383="IV",CONCATENATE('V_DATOS PAC_SGA'!CC378,"4")+0,CONCATENATE('V_DATOS PAC_SGA'!CC378,"0")+0))</f>
        <v>0</v>
      </c>
      <c r="C383" s="2" t="n">
        <f aca="false">'V_DATOS PAC_SGA'!CD378</f>
        <v>0</v>
      </c>
      <c r="D383" s="1409" t="n">
        <f aca="false">'V_DATOS PAC_SGA'!Y378</f>
        <v>0</v>
      </c>
      <c r="E383" s="1410" t="str">
        <f aca="false">IF('V_DATOS PAC_SGA'!AV378="","Regadio",'V_DATOS PAC_SGA'!AV378)</f>
        <v>Regadio</v>
      </c>
      <c r="F383" s="1411" t="n">
        <f aca="false">'V_DATOS PAC_SGA'!BK378</f>
        <v>0</v>
      </c>
      <c r="G383" s="1412" t="n">
        <f aca="false">'V_DATOS PAC_SGA'!AN378</f>
        <v>0</v>
      </c>
      <c r="H383" s="1413" t="str">
        <f aca="false">IF(B383&gt;0,VLOOKUP(B383,'O_MN, PE_UTA_UGM 2024'!E$3:O$419,10),"")</f>
        <v/>
      </c>
      <c r="I383" s="1359" t="str">
        <f aca="false">IF('V_DATOS PAC_SGA'!BV378="IV",'V_DATOS PAC_SGA'!BV378,"")</f>
        <v/>
      </c>
      <c r="J383" s="2" t="str">
        <f aca="false">IF($A383&gt;0,IF(AND(J$4=$G383,J$6=$F383),$D383*J$5,""),"")</f>
        <v/>
      </c>
      <c r="K383" s="2" t="str">
        <f aca="false">IF($A383&gt;0,IF(AND(K$4=$G383,K$6=$F383),$D383*K$5,""),"")</f>
        <v/>
      </c>
      <c r="L383" s="2" t="str">
        <f aca="false">IF($A383&gt;0,IF(AND(L$4=$G383,L$6=$F383),$D383*L$5,""),"")</f>
        <v/>
      </c>
      <c r="M383" s="2" t="str">
        <f aca="false">IF($A383&gt;0,IF(AND(M$4=$G383,M$6=$F383),$D383*M$5,""),"")</f>
        <v/>
      </c>
      <c r="N383" s="1506" t="n">
        <f aca="false">VLOOKUP(B383,'O_MN, PE_UTA_UGM 2024'!$E$2:$K$419,IF(G383&gt;1,6,7))</f>
        <v>0</v>
      </c>
      <c r="O383" s="1434" t="str">
        <f aca="false">IF($H383=O$4,$D383*$N383,"")</f>
        <v/>
      </c>
      <c r="P383" s="1435" t="str">
        <f aca="false">IF($H383=P$4,$D383*$N383,"")</f>
        <v/>
      </c>
      <c r="Q383" s="1435" t="str">
        <f aca="false">IF($H383=Q$4,$D383*$N383,"")</f>
        <v/>
      </c>
      <c r="R383" s="1435" t="str">
        <f aca="false">IF($H383=R$4,$D383*$N383,"")</f>
        <v/>
      </c>
      <c r="S383" s="1435" t="str">
        <f aca="false">IF($H383=S$4,$D383*$N383,"")</f>
        <v/>
      </c>
      <c r="T383" s="1435" t="str">
        <f aca="false">IF($H383=T$4,$D383*$N383,"")</f>
        <v/>
      </c>
      <c r="U383" s="1436" t="str">
        <f aca="false">IF($H383=U$4,$D383*$N383,"")</f>
        <v/>
      </c>
      <c r="V383" s="1472"/>
      <c r="W383" s="1471"/>
      <c r="X383" s="1471"/>
      <c r="Y383" s="1471"/>
      <c r="Z383" s="1471"/>
      <c r="AA383" s="1471"/>
      <c r="AB383" s="1473"/>
      <c r="AC383" s="1319"/>
      <c r="AD383" s="2" t="str">
        <f aca="false">IF(AND(AD$4=$G383,AD$6=$F383),$B383,"")</f>
        <v/>
      </c>
      <c r="AE383" s="2" t="str">
        <f aca="false">IF(AND(AE$4=$G383,AE$6=$F383),$B383,"")</f>
        <v/>
      </c>
      <c r="AF383" s="2" t="str">
        <f aca="false">IF(AND(AF$4=$G383,AF$6=$F383),$B383,"")</f>
        <v/>
      </c>
      <c r="AG383" s="2" t="str">
        <f aca="false">IF(AND(AG$4=$G383,AG$6=$F383),$B383,"")</f>
        <v/>
      </c>
      <c r="AI383" s="366"/>
      <c r="AL383" s="367"/>
      <c r="AO383" s="367"/>
      <c r="AP383" s="2" t="str">
        <f aca="false">IF(AT383&gt;0,RANK(AT383,AT$7:AT$423),"")</f>
        <v/>
      </c>
      <c r="AQ383" s="1475" t="n">
        <f aca="false">'O_MN, PE_UTA_UGM 2024'!C380</f>
        <v>0</v>
      </c>
      <c r="AR383" s="1421" t="n">
        <v>4520</v>
      </c>
      <c r="AS383" s="2" t="str">
        <f aca="false">IF(AY383&lt;&gt;"",AY383,"")</f>
        <v/>
      </c>
      <c r="AT383" s="1422" t="n">
        <f aca="false">IF(ISNUMBER($AR383),SUMIF(B$7:B$505,AR383,D$7:D$505),"")</f>
        <v>0</v>
      </c>
      <c r="AU383" s="1411" t="n">
        <f aca="false">IF(ISNUMBER($AR383),SUMIF(AD$7:AD$503,$AR383,J$7:J$503),"")</f>
        <v>0</v>
      </c>
      <c r="AV383" s="1411" t="n">
        <f aca="false">IF(ISNUMBER($AR383),SUMIF(AF$7:AF$503,$AR383,L$7:L$503),"")</f>
        <v>0</v>
      </c>
      <c r="AW383" s="1423" t="n">
        <f aca="false">IF(ISNUMBER($AR383),SUMIF(AE$7:AE$503,$AR383,K$7:K$503),"")</f>
        <v>0</v>
      </c>
      <c r="AX383" s="1423" t="n">
        <f aca="false">IF(ISNUMBER($AR383),SUMIF(AG$7:AG$503,$AR383,M$7:M$503),"")</f>
        <v>0</v>
      </c>
      <c r="AY383" s="2" t="str">
        <f aca="false">IF($AT383&gt;0,VLOOKUP($AR383,'O_MN, PE_UTA_UGM 2024'!E380:O795,2),"")</f>
        <v/>
      </c>
      <c r="AZ383" s="1507"/>
      <c r="BA383" s="1507"/>
      <c r="BB383" s="1507" t="str">
        <f aca="false">IF($AT383&gt;0,VLOOKUP($AR383,'O_MN, PE_UTA_UGM 2024'!$E$3:$O$419,BB$6),"")</f>
        <v/>
      </c>
      <c r="BC383" s="1507" t="str">
        <f aca="false">IF($AT383&gt;0,VLOOKUP($AR383,'O_MN, PE_UTA_UGM 2024'!$E$3:$O$419,BC$6),"")</f>
        <v/>
      </c>
      <c r="BD383" s="1507" t="str">
        <f aca="false">IF($AT383&gt;0,VLOOKUP($AR383,'O_MN, PE_UTA_UGM 2024'!$E$3:$O$419,BD$6),"")</f>
        <v/>
      </c>
      <c r="BE383" s="1507" t="str">
        <f aca="false">IF($AT383&gt;0,VLOOKUP($AR383,'O_MN, PE_UTA_UGM 2024'!$E$3:$O$419,BE$6),"")</f>
        <v/>
      </c>
      <c r="BF383" s="1507" t="str">
        <f aca="false">IF($AT383&gt;0,VLOOKUP($AR383,'O_MN, PE_UTA_UGM 2024'!$E$3:$O$419,BF$6),"")</f>
        <v/>
      </c>
      <c r="BG383" s="1507" t="str">
        <f aca="false">IF($AT383&gt;0,VLOOKUP($AR383,'O_MN, PE_UTA_UGM 2024'!$E$3:$O$419,BG$6),"")</f>
        <v/>
      </c>
      <c r="BH383" s="1504"/>
      <c r="BI383" s="1504"/>
      <c r="BJ383" s="1504"/>
      <c r="BK383" s="1504"/>
      <c r="BM383" s="1411"/>
      <c r="BN383" s="1411"/>
      <c r="BO383" s="1425" t="str">
        <f aca="false">IF(ISNUMBER($AU383*BB383*1),$AU383*BB383*1,"")</f>
        <v/>
      </c>
      <c r="BP383" s="1425" t="str">
        <f aca="false">IF(ISNUMBER($AV383*BC383*1),$AV383*BC383*1,"")</f>
        <v/>
      </c>
      <c r="BQ383" s="1425" t="str">
        <f aca="false">IF(ISNUMBER($AU383*BD383*1),$AU383*BD383*1,"")</f>
        <v/>
      </c>
      <c r="BR383" s="1425" t="str">
        <f aca="false">IF(ISNUMBER($AV383*BE383*1),$AV383*BE383*1,"")</f>
        <v/>
      </c>
      <c r="BS383" s="1411" t="str">
        <f aca="false">IF(ISNUMBER($AU383*BF383),$AU383*BF383,"")</f>
        <v/>
      </c>
      <c r="BT383" s="1411" t="str">
        <f aca="false">IF(ISNUMBER($AV383*BG383),$AV383*BG383,"")</f>
        <v/>
      </c>
      <c r="BU383" s="1411"/>
      <c r="BV383" s="1411"/>
      <c r="BW383" s="1411"/>
      <c r="BX383" s="1411"/>
      <c r="BZ383" s="1372"/>
      <c r="CA383" s="1372"/>
      <c r="CB383" s="1426" t="str">
        <f aca="false">IF(ISNUMBER($AW383*BB383),$AW383*BB383,"")</f>
        <v/>
      </c>
      <c r="CC383" s="1426" t="str">
        <f aca="false">IF(ISNUMBER($AX383*BC383),$AX383*BC383,"")</f>
        <v/>
      </c>
      <c r="CD383" s="1426" t="str">
        <f aca="false">IF(ISNUMBER($AW383*BD383),$AW383*BD383,"")</f>
        <v/>
      </c>
      <c r="CE383" s="1426" t="str">
        <f aca="false">IF(ISNUMBER($AX383*BE383),$AX383*BE383,"")</f>
        <v/>
      </c>
      <c r="CF383" s="1372" t="str">
        <f aca="false">IF(ISNUMBER($AW383*BF383),$AW383*BF383,"")</f>
        <v/>
      </c>
      <c r="CG383" s="1372" t="str">
        <f aca="false">IF(ISNUMBER($AX383*BG383),$AX383*BG383,"")</f>
        <v/>
      </c>
      <c r="CH383" s="1438"/>
      <c r="CI383" s="1438"/>
      <c r="CJ383" s="1438"/>
      <c r="CK383" s="1438"/>
      <c r="CU383" s="1411"/>
      <c r="CV383" s="1411"/>
      <c r="CW383" s="1425"/>
      <c r="CX383" s="1425"/>
      <c r="CY383" s="1425"/>
      <c r="CZ383" s="1425"/>
      <c r="DA383" s="1411"/>
      <c r="DB383" s="1411"/>
      <c r="DC383" s="1411"/>
      <c r="DD383" s="1411"/>
      <c r="DE383" s="1411"/>
      <c r="DF383" s="1411"/>
      <c r="DH383" s="1432"/>
      <c r="DI383" s="1432"/>
      <c r="DJ383" s="1437"/>
      <c r="DK383" s="1437"/>
      <c r="DL383" s="1437"/>
      <c r="DM383" s="1437"/>
      <c r="DN383" s="1432"/>
      <c r="DO383" s="1432"/>
      <c r="DP383" s="1432"/>
      <c r="DQ383" s="1432"/>
      <c r="DR383" s="1432"/>
      <c r="DS383" s="1432"/>
      <c r="DT383" s="1316"/>
      <c r="DU383" s="1433"/>
      <c r="DV383" s="1433"/>
      <c r="DW383" s="1433"/>
      <c r="DX383" s="1433"/>
      <c r="DY383" s="1433"/>
      <c r="DZ383" s="1433"/>
      <c r="EA383" s="1433"/>
      <c r="EB383" s="1433"/>
    </row>
    <row r="384" customFormat="false" ht="14.25" hidden="false" customHeight="false" outlineLevel="0" collapsed="false">
      <c r="A384" s="2" t="n">
        <f aca="false">'V_DATOS PAC_SGA'!CC379</f>
        <v>0</v>
      </c>
      <c r="B384" s="2" t="n">
        <f aca="false">IF(OR(A384=0,A384=""),0,IF(I384="IV",CONCATENATE('V_DATOS PAC_SGA'!CC379,"4")+0,CONCATENATE('V_DATOS PAC_SGA'!CC379,"0")+0))</f>
        <v>0</v>
      </c>
      <c r="C384" s="2" t="n">
        <f aca="false">'V_DATOS PAC_SGA'!CD379</f>
        <v>0</v>
      </c>
      <c r="D384" s="1409" t="n">
        <f aca="false">'V_DATOS PAC_SGA'!Y379</f>
        <v>0</v>
      </c>
      <c r="E384" s="1410" t="str">
        <f aca="false">IF('V_DATOS PAC_SGA'!AV379="","Regadio",'V_DATOS PAC_SGA'!AV379)</f>
        <v>Regadio</v>
      </c>
      <c r="F384" s="1411" t="n">
        <f aca="false">'V_DATOS PAC_SGA'!BK379</f>
        <v>0</v>
      </c>
      <c r="G384" s="1412" t="n">
        <f aca="false">'V_DATOS PAC_SGA'!AN379</f>
        <v>0</v>
      </c>
      <c r="H384" s="1413" t="str">
        <f aca="false">IF(B384&gt;0,VLOOKUP(B384,'O_MN, PE_UTA_UGM 2024'!E$3:O$419,10),"")</f>
        <v/>
      </c>
      <c r="I384" s="1359" t="str">
        <f aca="false">IF('V_DATOS PAC_SGA'!BV379="IV",'V_DATOS PAC_SGA'!BV379,"")</f>
        <v/>
      </c>
      <c r="J384" s="2" t="str">
        <f aca="false">IF($A384&gt;0,IF(AND(J$4=$G384,J$6=$F384),$D384*J$5,""),"")</f>
        <v/>
      </c>
      <c r="K384" s="2" t="str">
        <f aca="false">IF($A384&gt;0,IF(AND(K$4=$G384,K$6=$F384),$D384*K$5,""),"")</f>
        <v/>
      </c>
      <c r="L384" s="2" t="str">
        <f aca="false">IF($A384&gt;0,IF(AND(L$4=$G384,L$6=$F384),$D384*L$5,""),"")</f>
        <v/>
      </c>
      <c r="M384" s="2" t="str">
        <f aca="false">IF($A384&gt;0,IF(AND(M$4=$G384,M$6=$F384),$D384*M$5,""),"")</f>
        <v/>
      </c>
      <c r="N384" s="1506" t="n">
        <f aca="false">VLOOKUP(B384,'O_MN, PE_UTA_UGM 2024'!$E$2:$K$419,IF(G384&gt;1,6,7))</f>
        <v>0</v>
      </c>
      <c r="O384" s="1434" t="str">
        <f aca="false">IF($H384=O$4,$D384*$N384,"")</f>
        <v/>
      </c>
      <c r="P384" s="1435" t="str">
        <f aca="false">IF($H384=P$4,$D384*$N384,"")</f>
        <v/>
      </c>
      <c r="Q384" s="1435" t="str">
        <f aca="false">IF($H384=Q$4,$D384*$N384,"")</f>
        <v/>
      </c>
      <c r="R384" s="1435" t="str">
        <f aca="false">IF($H384=R$4,$D384*$N384,"")</f>
        <v/>
      </c>
      <c r="S384" s="1435" t="str">
        <f aca="false">IF($H384=S$4,$D384*$N384,"")</f>
        <v/>
      </c>
      <c r="T384" s="1435" t="str">
        <f aca="false">IF($H384=T$4,$D384*$N384,"")</f>
        <v/>
      </c>
      <c r="U384" s="1436" t="str">
        <f aca="false">IF($H384=U$4,$D384*$N384,"")</f>
        <v/>
      </c>
      <c r="V384" s="1472"/>
      <c r="W384" s="1471"/>
      <c r="X384" s="1471"/>
      <c r="Y384" s="1471"/>
      <c r="Z384" s="1471"/>
      <c r="AA384" s="1471"/>
      <c r="AB384" s="1473"/>
      <c r="AC384" s="1319"/>
      <c r="AD384" s="2" t="str">
        <f aca="false">IF(AND(AD$4=$G384,AD$6=$F384),$B384,"")</f>
        <v/>
      </c>
      <c r="AE384" s="2" t="str">
        <f aca="false">IF(AND(AE$4=$G384,AE$6=$F384),$B384,"")</f>
        <v/>
      </c>
      <c r="AF384" s="2" t="str">
        <f aca="false">IF(AND(AF$4=$G384,AF$6=$F384),$B384,"")</f>
        <v/>
      </c>
      <c r="AG384" s="2" t="str">
        <f aca="false">IF(AND(AG$4=$G384,AG$6=$F384),$B384,"")</f>
        <v/>
      </c>
      <c r="AI384" s="366"/>
      <c r="AL384" s="367"/>
      <c r="AO384" s="367"/>
      <c r="AP384" s="2" t="str">
        <f aca="false">IF(AT384&gt;0,RANK(AT384,AT$7:AT$423),"")</f>
        <v/>
      </c>
      <c r="AQ384" s="1475" t="n">
        <f aca="false">'O_MN, PE_UTA_UGM 2024'!C381</f>
        <v>0</v>
      </c>
      <c r="AR384" s="1421" t="n">
        <v>4530</v>
      </c>
      <c r="AS384" s="2" t="str">
        <f aca="false">IF(AY384&lt;&gt;"",AY384,"")</f>
        <v/>
      </c>
      <c r="AT384" s="1422" t="n">
        <f aca="false">IF(ISNUMBER($AR384),SUMIF(B$7:B$505,AR384,D$7:D$505),"")</f>
        <v>0</v>
      </c>
      <c r="AU384" s="1411" t="n">
        <f aca="false">IF(ISNUMBER($AR384),SUMIF(AD$7:AD$503,$AR384,J$7:J$503),"")</f>
        <v>0</v>
      </c>
      <c r="AV384" s="1411" t="n">
        <f aca="false">IF(ISNUMBER($AR384),SUMIF(AF$7:AF$503,$AR384,L$7:L$503),"")</f>
        <v>0</v>
      </c>
      <c r="AW384" s="1423" t="n">
        <f aca="false">IF(ISNUMBER($AR384),SUMIF(AE$7:AE$503,$AR384,K$7:K$503),"")</f>
        <v>0</v>
      </c>
      <c r="AX384" s="1423" t="n">
        <f aca="false">IF(ISNUMBER($AR384),SUMIF(AG$7:AG$503,$AR384,M$7:M$503),"")</f>
        <v>0</v>
      </c>
      <c r="AY384" s="2" t="str">
        <f aca="false">IF($AT384&gt;0,VLOOKUP($AR384,'O_MN, PE_UTA_UGM 2024'!E381:O796,2),"")</f>
        <v/>
      </c>
      <c r="AZ384" s="1507"/>
      <c r="BA384" s="1507"/>
      <c r="BB384" s="1507" t="str">
        <f aca="false">IF($AT384&gt;0,VLOOKUP($AR384,'O_MN, PE_UTA_UGM 2024'!$E$3:$O$419,BB$6),"")</f>
        <v/>
      </c>
      <c r="BC384" s="1507" t="str">
        <f aca="false">IF($AT384&gt;0,VLOOKUP($AR384,'O_MN, PE_UTA_UGM 2024'!$E$3:$O$419,BC$6),"")</f>
        <v/>
      </c>
      <c r="BD384" s="1507" t="str">
        <f aca="false">IF($AT384&gt;0,VLOOKUP($AR384,'O_MN, PE_UTA_UGM 2024'!$E$3:$O$419,BD$6),"")</f>
        <v/>
      </c>
      <c r="BE384" s="1507" t="str">
        <f aca="false">IF($AT384&gt;0,VLOOKUP($AR384,'O_MN, PE_UTA_UGM 2024'!$E$3:$O$419,BE$6),"")</f>
        <v/>
      </c>
      <c r="BF384" s="1507" t="str">
        <f aca="false">IF($AT384&gt;0,VLOOKUP($AR384,'O_MN, PE_UTA_UGM 2024'!$E$3:$O$419,BF$6),"")</f>
        <v/>
      </c>
      <c r="BG384" s="1507" t="str">
        <f aca="false">IF($AT384&gt;0,VLOOKUP($AR384,'O_MN, PE_UTA_UGM 2024'!$E$3:$O$419,BG$6),"")</f>
        <v/>
      </c>
      <c r="BH384" s="1504"/>
      <c r="BI384" s="1504"/>
      <c r="BJ384" s="1504"/>
      <c r="BK384" s="1504"/>
      <c r="BM384" s="1411"/>
      <c r="BN384" s="1411"/>
      <c r="BO384" s="1425" t="str">
        <f aca="false">IF(ISNUMBER($AU384*BB384*1),$AU384*BB384*1,"")</f>
        <v/>
      </c>
      <c r="BP384" s="1425" t="str">
        <f aca="false">IF(ISNUMBER($AV384*BC384*1),$AV384*BC384*1,"")</f>
        <v/>
      </c>
      <c r="BQ384" s="1425" t="str">
        <f aca="false">IF(ISNUMBER($AU384*BD384*1),$AU384*BD384*1,"")</f>
        <v/>
      </c>
      <c r="BR384" s="1425" t="str">
        <f aca="false">IF(ISNUMBER($AV384*BE384*1),$AV384*BE384*1,"")</f>
        <v/>
      </c>
      <c r="BS384" s="1411" t="str">
        <f aca="false">IF(ISNUMBER($AU384*BF384),$AU384*BF384,"")</f>
        <v/>
      </c>
      <c r="BT384" s="1411" t="str">
        <f aca="false">IF(ISNUMBER($AV384*BG384),$AV384*BG384,"")</f>
        <v/>
      </c>
      <c r="BU384" s="1411"/>
      <c r="BV384" s="1411"/>
      <c r="BW384" s="1411"/>
      <c r="BX384" s="1411"/>
      <c r="BZ384" s="1372"/>
      <c r="CA384" s="1372"/>
      <c r="CB384" s="1426" t="str">
        <f aca="false">IF(ISNUMBER($AW384*BB384),$AW384*BB384,"")</f>
        <v/>
      </c>
      <c r="CC384" s="1426" t="str">
        <f aca="false">IF(ISNUMBER($AX384*BC384),$AX384*BC384,"")</f>
        <v/>
      </c>
      <c r="CD384" s="1426" t="str">
        <f aca="false">IF(ISNUMBER($AW384*BD384),$AW384*BD384,"")</f>
        <v/>
      </c>
      <c r="CE384" s="1426" t="str">
        <f aca="false">IF(ISNUMBER($AX384*BE384),$AX384*BE384,"")</f>
        <v/>
      </c>
      <c r="CF384" s="1372" t="str">
        <f aca="false">IF(ISNUMBER($AW384*BF384),$AW384*BF384,"")</f>
        <v/>
      </c>
      <c r="CG384" s="1372" t="str">
        <f aca="false">IF(ISNUMBER($AX384*BG384),$AX384*BG384,"")</f>
        <v/>
      </c>
      <c r="CH384" s="1438"/>
      <c r="CI384" s="1438"/>
      <c r="CJ384" s="1438"/>
      <c r="CK384" s="1438"/>
      <c r="CU384" s="1411"/>
      <c r="CV384" s="1411"/>
      <c r="CW384" s="1425"/>
      <c r="CX384" s="1425"/>
      <c r="CY384" s="1425"/>
      <c r="CZ384" s="1425"/>
      <c r="DA384" s="1411"/>
      <c r="DB384" s="1411"/>
      <c r="DC384" s="1411"/>
      <c r="DD384" s="1411"/>
      <c r="DE384" s="1411"/>
      <c r="DF384" s="1411"/>
      <c r="DH384" s="1432"/>
      <c r="DI384" s="1432"/>
      <c r="DJ384" s="1437"/>
      <c r="DK384" s="1437"/>
      <c r="DL384" s="1437"/>
      <c r="DM384" s="1437"/>
      <c r="DN384" s="1432"/>
      <c r="DO384" s="1432"/>
      <c r="DP384" s="1432"/>
      <c r="DQ384" s="1432"/>
      <c r="DR384" s="1432"/>
      <c r="DS384" s="1432"/>
      <c r="DT384" s="1316"/>
      <c r="DU384" s="1433"/>
      <c r="DV384" s="1433"/>
      <c r="DW384" s="1433"/>
      <c r="DX384" s="1433"/>
      <c r="DY384" s="1433"/>
      <c r="DZ384" s="1433"/>
      <c r="EA384" s="1433"/>
      <c r="EB384" s="1433"/>
    </row>
    <row r="385" customFormat="false" ht="14.25" hidden="false" customHeight="false" outlineLevel="0" collapsed="false">
      <c r="A385" s="2" t="n">
        <f aca="false">'V_DATOS PAC_SGA'!CC380</f>
        <v>0</v>
      </c>
      <c r="B385" s="2" t="n">
        <f aca="false">IF(OR(A385=0,A385=""),0,IF(I385="IV",CONCATENATE('V_DATOS PAC_SGA'!CC380,"4")+0,CONCATENATE('V_DATOS PAC_SGA'!CC380,"0")+0))</f>
        <v>0</v>
      </c>
      <c r="C385" s="2" t="n">
        <f aca="false">'V_DATOS PAC_SGA'!CD380</f>
        <v>0</v>
      </c>
      <c r="D385" s="1409" t="n">
        <f aca="false">'V_DATOS PAC_SGA'!Y380</f>
        <v>0</v>
      </c>
      <c r="E385" s="1410" t="str">
        <f aca="false">IF('V_DATOS PAC_SGA'!AV380="","Regadio",'V_DATOS PAC_SGA'!AV380)</f>
        <v>Regadio</v>
      </c>
      <c r="F385" s="1411" t="n">
        <f aca="false">'V_DATOS PAC_SGA'!BK380</f>
        <v>0</v>
      </c>
      <c r="G385" s="1412" t="n">
        <f aca="false">'V_DATOS PAC_SGA'!AN380</f>
        <v>0</v>
      </c>
      <c r="H385" s="1413" t="str">
        <f aca="false">IF(B385&gt;0,VLOOKUP(B385,'O_MN, PE_UTA_UGM 2024'!E$3:O$419,10),"")</f>
        <v/>
      </c>
      <c r="I385" s="1359" t="str">
        <f aca="false">IF('V_DATOS PAC_SGA'!BV380="IV",'V_DATOS PAC_SGA'!BV380,"")</f>
        <v/>
      </c>
      <c r="J385" s="2" t="str">
        <f aca="false">IF($A385&gt;0,IF(AND(J$4=$G385,J$6=$F385),$D385*J$5,""),"")</f>
        <v/>
      </c>
      <c r="K385" s="2" t="str">
        <f aca="false">IF($A385&gt;0,IF(AND(K$4=$G385,K$6=$F385),$D385*K$5,""),"")</f>
        <v/>
      </c>
      <c r="L385" s="2" t="str">
        <f aca="false">IF($A385&gt;0,IF(AND(L$4=$G385,L$6=$F385),$D385*L$5,""),"")</f>
        <v/>
      </c>
      <c r="M385" s="2" t="str">
        <f aca="false">IF($A385&gt;0,IF(AND(M$4=$G385,M$6=$F385),$D385*M$5,""),"")</f>
        <v/>
      </c>
      <c r="N385" s="1506" t="n">
        <f aca="false">VLOOKUP(B385,'O_MN, PE_UTA_UGM 2024'!$E$2:$K$419,IF(G385&gt;1,6,7))</f>
        <v>0</v>
      </c>
      <c r="O385" s="1434" t="str">
        <f aca="false">IF($H385=O$4,$D385*$N385,"")</f>
        <v/>
      </c>
      <c r="P385" s="1435" t="str">
        <f aca="false">IF($H385=P$4,$D385*$N385,"")</f>
        <v/>
      </c>
      <c r="Q385" s="1435" t="str">
        <f aca="false">IF($H385=Q$4,$D385*$N385,"")</f>
        <v/>
      </c>
      <c r="R385" s="1435" t="str">
        <f aca="false">IF($H385=R$4,$D385*$N385,"")</f>
        <v/>
      </c>
      <c r="S385" s="1435" t="str">
        <f aca="false">IF($H385=S$4,$D385*$N385,"")</f>
        <v/>
      </c>
      <c r="T385" s="1435" t="str">
        <f aca="false">IF($H385=T$4,$D385*$N385,"")</f>
        <v/>
      </c>
      <c r="U385" s="1436" t="str">
        <f aca="false">IF($H385=U$4,$D385*$N385,"")</f>
        <v/>
      </c>
      <c r="V385" s="1472"/>
      <c r="W385" s="1471"/>
      <c r="X385" s="1471"/>
      <c r="Y385" s="1471"/>
      <c r="Z385" s="1471"/>
      <c r="AA385" s="1471"/>
      <c r="AB385" s="1473"/>
      <c r="AC385" s="1319"/>
      <c r="AD385" s="2" t="str">
        <f aca="false">IF(AND(AD$4=$G385,AD$6=$F385),$B385,"")</f>
        <v/>
      </c>
      <c r="AE385" s="2" t="str">
        <f aca="false">IF(AND(AE$4=$G385,AE$6=$F385),$B385,"")</f>
        <v/>
      </c>
      <c r="AF385" s="2" t="str">
        <f aca="false">IF(AND(AF$4=$G385,AF$6=$F385),$B385,"")</f>
        <v/>
      </c>
      <c r="AG385" s="2" t="str">
        <f aca="false">IF(AND(AG$4=$G385,AG$6=$F385),$B385,"")</f>
        <v/>
      </c>
      <c r="AI385" s="366"/>
      <c r="AL385" s="367"/>
      <c r="AO385" s="367"/>
      <c r="AP385" s="2" t="str">
        <f aca="false">IF(AT385&gt;0,RANK(AT385,AT$7:AT$423),"")</f>
        <v/>
      </c>
      <c r="AQ385" s="1475" t="n">
        <f aca="false">'O_MN, PE_UTA_UGM 2024'!C382</f>
        <v>0</v>
      </c>
      <c r="AR385" s="1421" t="n">
        <v>4540</v>
      </c>
      <c r="AS385" s="2" t="str">
        <f aca="false">IF(AY385&lt;&gt;"",AY385,"")</f>
        <v/>
      </c>
      <c r="AT385" s="1422" t="n">
        <f aca="false">IF(ISNUMBER($AR385),SUMIF(B$7:B$505,AR385,D$7:D$505),"")</f>
        <v>0</v>
      </c>
      <c r="AU385" s="1411" t="n">
        <f aca="false">IF(ISNUMBER($AR385),SUMIF(AD$7:AD$503,$AR385,J$7:J$503),"")</f>
        <v>0</v>
      </c>
      <c r="AV385" s="1411" t="n">
        <f aca="false">IF(ISNUMBER($AR385),SUMIF(AF$7:AF$503,$AR385,L$7:L$503),"")</f>
        <v>0</v>
      </c>
      <c r="AW385" s="1423" t="n">
        <f aca="false">IF(ISNUMBER($AR385),SUMIF(AE$7:AE$503,$AR385,K$7:K$503),"")</f>
        <v>0</v>
      </c>
      <c r="AX385" s="1423" t="n">
        <f aca="false">IF(ISNUMBER($AR385),SUMIF(AG$7:AG$503,$AR385,M$7:M$503),"")</f>
        <v>0</v>
      </c>
      <c r="AY385" s="2" t="str">
        <f aca="false">IF($AT385&gt;0,VLOOKUP($AR385,'O_MN, PE_UTA_UGM 2024'!E382:O797,2),"")</f>
        <v/>
      </c>
      <c r="AZ385" s="1507"/>
      <c r="BA385" s="1507"/>
      <c r="BB385" s="1507" t="str">
        <f aca="false">IF($AT385&gt;0,VLOOKUP($AR385,'O_MN, PE_UTA_UGM 2024'!$E$3:$O$419,BB$6),"")</f>
        <v/>
      </c>
      <c r="BC385" s="1507" t="str">
        <f aca="false">IF($AT385&gt;0,VLOOKUP($AR385,'O_MN, PE_UTA_UGM 2024'!$E$3:$O$419,BC$6),"")</f>
        <v/>
      </c>
      <c r="BD385" s="1507" t="str">
        <f aca="false">IF($AT385&gt;0,VLOOKUP($AR385,'O_MN, PE_UTA_UGM 2024'!$E$3:$O$419,BD$6),"")</f>
        <v/>
      </c>
      <c r="BE385" s="1507" t="str">
        <f aca="false">IF($AT385&gt;0,VLOOKUP($AR385,'O_MN, PE_UTA_UGM 2024'!$E$3:$O$419,BE$6),"")</f>
        <v/>
      </c>
      <c r="BF385" s="1507" t="str">
        <f aca="false">IF($AT385&gt;0,VLOOKUP($AR385,'O_MN, PE_UTA_UGM 2024'!$E$3:$O$419,BF$6),"")</f>
        <v/>
      </c>
      <c r="BG385" s="1507" t="str">
        <f aca="false">IF($AT385&gt;0,VLOOKUP($AR385,'O_MN, PE_UTA_UGM 2024'!$E$3:$O$419,BG$6),"")</f>
        <v/>
      </c>
      <c r="BH385" s="1504"/>
      <c r="BI385" s="1504"/>
      <c r="BJ385" s="1504"/>
      <c r="BK385" s="1504"/>
      <c r="BM385" s="1411"/>
      <c r="BN385" s="1411"/>
      <c r="BO385" s="1425" t="str">
        <f aca="false">IF(ISNUMBER($AU385*BB385*1),$AU385*BB385*1,"")</f>
        <v/>
      </c>
      <c r="BP385" s="1425" t="str">
        <f aca="false">IF(ISNUMBER($AV385*BC385*1),$AV385*BC385*1,"")</f>
        <v/>
      </c>
      <c r="BQ385" s="1425" t="str">
        <f aca="false">IF(ISNUMBER($AU385*BD385*1),$AU385*BD385*1,"")</f>
        <v/>
      </c>
      <c r="BR385" s="1425" t="str">
        <f aca="false">IF(ISNUMBER($AV385*BE385*1),$AV385*BE385*1,"")</f>
        <v/>
      </c>
      <c r="BS385" s="1411" t="str">
        <f aca="false">IF(ISNUMBER($AU385*BF385),$AU385*BF385,"")</f>
        <v/>
      </c>
      <c r="BT385" s="1411" t="str">
        <f aca="false">IF(ISNUMBER($AV385*BG385),$AV385*BG385,"")</f>
        <v/>
      </c>
      <c r="BU385" s="1411"/>
      <c r="BV385" s="1411"/>
      <c r="BW385" s="1411"/>
      <c r="BX385" s="1411"/>
      <c r="BZ385" s="1372"/>
      <c r="CA385" s="1372"/>
      <c r="CB385" s="1426" t="str">
        <f aca="false">IF(ISNUMBER($AW385*BB385),$AW385*BB385,"")</f>
        <v/>
      </c>
      <c r="CC385" s="1426" t="str">
        <f aca="false">IF(ISNUMBER($AX385*BC385),$AX385*BC385,"")</f>
        <v/>
      </c>
      <c r="CD385" s="1426" t="str">
        <f aca="false">IF(ISNUMBER($AW385*BD385),$AW385*BD385,"")</f>
        <v/>
      </c>
      <c r="CE385" s="1426" t="str">
        <f aca="false">IF(ISNUMBER($AX385*BE385),$AX385*BE385,"")</f>
        <v/>
      </c>
      <c r="CF385" s="1372" t="str">
        <f aca="false">IF(ISNUMBER($AW385*BF385),$AW385*BF385,"")</f>
        <v/>
      </c>
      <c r="CG385" s="1372" t="str">
        <f aca="false">IF(ISNUMBER($AX385*BG385),$AX385*BG385,"")</f>
        <v/>
      </c>
      <c r="CH385" s="1438"/>
      <c r="CI385" s="1438"/>
      <c r="CJ385" s="1438"/>
      <c r="CK385" s="1438"/>
      <c r="CU385" s="1411"/>
      <c r="CV385" s="1411"/>
      <c r="CW385" s="1425"/>
      <c r="CX385" s="1425"/>
      <c r="CY385" s="1425"/>
      <c r="CZ385" s="1425"/>
      <c r="DA385" s="1411"/>
      <c r="DB385" s="1411"/>
      <c r="DC385" s="1411"/>
      <c r="DD385" s="1411"/>
      <c r="DE385" s="1411"/>
      <c r="DF385" s="1411"/>
      <c r="DH385" s="1432"/>
      <c r="DI385" s="1432"/>
      <c r="DJ385" s="1437"/>
      <c r="DK385" s="1437"/>
      <c r="DL385" s="1437"/>
      <c r="DM385" s="1437"/>
      <c r="DN385" s="1432"/>
      <c r="DO385" s="1432"/>
      <c r="DP385" s="1432"/>
      <c r="DQ385" s="1432"/>
      <c r="DR385" s="1432"/>
      <c r="DS385" s="1432"/>
      <c r="DT385" s="1316"/>
      <c r="DU385" s="1433"/>
      <c r="DV385" s="1433"/>
      <c r="DW385" s="1433"/>
      <c r="DX385" s="1433"/>
      <c r="DY385" s="1433"/>
      <c r="DZ385" s="1433"/>
      <c r="EA385" s="1433"/>
      <c r="EB385" s="1433"/>
    </row>
    <row r="386" customFormat="false" ht="14.25" hidden="false" customHeight="false" outlineLevel="0" collapsed="false">
      <c r="A386" s="2" t="n">
        <f aca="false">'V_DATOS PAC_SGA'!CC381</f>
        <v>0</v>
      </c>
      <c r="B386" s="2" t="n">
        <f aca="false">IF(OR(A386=0,A386=""),0,IF(I386="IV",CONCATENATE('V_DATOS PAC_SGA'!CC381,"4")+0,CONCATENATE('V_DATOS PAC_SGA'!CC381,"0")+0))</f>
        <v>0</v>
      </c>
      <c r="C386" s="2" t="n">
        <f aca="false">'V_DATOS PAC_SGA'!CD381</f>
        <v>0</v>
      </c>
      <c r="D386" s="1409" t="n">
        <f aca="false">'V_DATOS PAC_SGA'!Y381</f>
        <v>0</v>
      </c>
      <c r="E386" s="1410" t="str">
        <f aca="false">IF('V_DATOS PAC_SGA'!AV381="","Regadio",'V_DATOS PAC_SGA'!AV381)</f>
        <v>Regadio</v>
      </c>
      <c r="F386" s="1411" t="n">
        <f aca="false">'V_DATOS PAC_SGA'!BK381</f>
        <v>0</v>
      </c>
      <c r="G386" s="1412" t="n">
        <f aca="false">'V_DATOS PAC_SGA'!AN381</f>
        <v>0</v>
      </c>
      <c r="H386" s="1413" t="str">
        <f aca="false">IF(B386&gt;0,VLOOKUP(B386,'O_MN, PE_UTA_UGM 2024'!E$3:O$419,10),"")</f>
        <v/>
      </c>
      <c r="I386" s="1359" t="str">
        <f aca="false">IF('V_DATOS PAC_SGA'!BV381="IV",'V_DATOS PAC_SGA'!BV381,"")</f>
        <v/>
      </c>
      <c r="J386" s="2" t="str">
        <f aca="false">IF($A386&gt;0,IF(AND(J$4=$G386,J$6=$F386),$D386*J$5,""),"")</f>
        <v/>
      </c>
      <c r="K386" s="2" t="str">
        <f aca="false">IF($A386&gt;0,IF(AND(K$4=$G386,K$6=$F386),$D386*K$5,""),"")</f>
        <v/>
      </c>
      <c r="L386" s="2" t="str">
        <f aca="false">IF($A386&gt;0,IF(AND(L$4=$G386,L$6=$F386),$D386*L$5,""),"")</f>
        <v/>
      </c>
      <c r="M386" s="2" t="str">
        <f aca="false">IF($A386&gt;0,IF(AND(M$4=$G386,M$6=$F386),$D386*M$5,""),"")</f>
        <v/>
      </c>
      <c r="N386" s="1506" t="n">
        <f aca="false">VLOOKUP(B386,'O_MN, PE_UTA_UGM 2024'!$E$2:$K$419,IF(G386&gt;1,6,7))</f>
        <v>0</v>
      </c>
      <c r="O386" s="1434" t="str">
        <f aca="false">IF($H386=O$4,$D386*$N386,"")</f>
        <v/>
      </c>
      <c r="P386" s="1435" t="str">
        <f aca="false">IF($H386=P$4,$D386*$N386,"")</f>
        <v/>
      </c>
      <c r="Q386" s="1435" t="str">
        <f aca="false">IF($H386=Q$4,$D386*$N386,"")</f>
        <v/>
      </c>
      <c r="R386" s="1435" t="str">
        <f aca="false">IF($H386=R$4,$D386*$N386,"")</f>
        <v/>
      </c>
      <c r="S386" s="1435" t="str">
        <f aca="false">IF($H386=S$4,$D386*$N386,"")</f>
        <v/>
      </c>
      <c r="T386" s="1435" t="str">
        <f aca="false">IF($H386=T$4,$D386*$N386,"")</f>
        <v/>
      </c>
      <c r="U386" s="1436" t="str">
        <f aca="false">IF($H386=U$4,$D386*$N386,"")</f>
        <v/>
      </c>
      <c r="V386" s="1472"/>
      <c r="W386" s="1471"/>
      <c r="X386" s="1471"/>
      <c r="Y386" s="1471"/>
      <c r="Z386" s="1471"/>
      <c r="AA386" s="1471"/>
      <c r="AB386" s="1473"/>
      <c r="AC386" s="1319"/>
      <c r="AD386" s="2" t="str">
        <f aca="false">IF(AND(AD$4=$G386,AD$6=$F386),$B386,"")</f>
        <v/>
      </c>
      <c r="AE386" s="2" t="str">
        <f aca="false">IF(AND(AE$4=$G386,AE$6=$F386),$B386,"")</f>
        <v/>
      </c>
      <c r="AF386" s="2" t="str">
        <f aca="false">IF(AND(AF$4=$G386,AF$6=$F386),$B386,"")</f>
        <v/>
      </c>
      <c r="AG386" s="2" t="str">
        <f aca="false">IF(AND(AG$4=$G386,AG$6=$F386),$B386,"")</f>
        <v/>
      </c>
      <c r="AI386" s="366"/>
      <c r="AL386" s="367"/>
      <c r="AO386" s="367"/>
      <c r="AP386" s="2" t="str">
        <f aca="false">IF(AT386&gt;0,RANK(AT386,AT$7:AT$423),"")</f>
        <v/>
      </c>
      <c r="AQ386" s="1475" t="n">
        <f aca="false">'O_MN, PE_UTA_UGM 2024'!C383</f>
        <v>0</v>
      </c>
      <c r="AR386" s="1421" t="n">
        <v>4550</v>
      </c>
      <c r="AS386" s="2" t="str">
        <f aca="false">IF(AY386&lt;&gt;"",AY386,"")</f>
        <v/>
      </c>
      <c r="AT386" s="1422" t="n">
        <f aca="false">IF(ISNUMBER($AR386),SUMIF(B$7:B$505,AR386,D$7:D$505),"")</f>
        <v>0</v>
      </c>
      <c r="AU386" s="1411" t="n">
        <f aca="false">IF(ISNUMBER($AR386),SUMIF(AD$7:AD$503,$AR386,J$7:J$503),"")</f>
        <v>0</v>
      </c>
      <c r="AV386" s="1411" t="n">
        <f aca="false">IF(ISNUMBER($AR386),SUMIF(AF$7:AF$503,$AR386,L$7:L$503),"")</f>
        <v>0</v>
      </c>
      <c r="AW386" s="1423" t="n">
        <f aca="false">IF(ISNUMBER($AR386),SUMIF(AE$7:AE$503,$AR386,K$7:K$503),"")</f>
        <v>0</v>
      </c>
      <c r="AX386" s="1423" t="n">
        <f aca="false">IF(ISNUMBER($AR386),SUMIF(AG$7:AG$503,$AR386,M$7:M$503),"")</f>
        <v>0</v>
      </c>
      <c r="AY386" s="2" t="str">
        <f aca="false">IF($AT386&gt;0,VLOOKUP($AR386,'O_MN, PE_UTA_UGM 2024'!E383:O798,2),"")</f>
        <v/>
      </c>
      <c r="AZ386" s="1507"/>
      <c r="BA386" s="1507"/>
      <c r="BB386" s="1507" t="str">
        <f aca="false">IF($AT386&gt;0,VLOOKUP($AR386,'O_MN, PE_UTA_UGM 2024'!$E$3:$O$419,BB$6),"")</f>
        <v/>
      </c>
      <c r="BC386" s="1507" t="str">
        <f aca="false">IF($AT386&gt;0,VLOOKUP($AR386,'O_MN, PE_UTA_UGM 2024'!$E$3:$O$419,BC$6),"")</f>
        <v/>
      </c>
      <c r="BD386" s="1507" t="str">
        <f aca="false">IF($AT386&gt;0,VLOOKUP($AR386,'O_MN, PE_UTA_UGM 2024'!$E$3:$O$419,BD$6),"")</f>
        <v/>
      </c>
      <c r="BE386" s="1507" t="str">
        <f aca="false">IF($AT386&gt;0,VLOOKUP($AR386,'O_MN, PE_UTA_UGM 2024'!$E$3:$O$419,BE$6),"")</f>
        <v/>
      </c>
      <c r="BF386" s="1507" t="str">
        <f aca="false">IF($AT386&gt;0,VLOOKUP($AR386,'O_MN, PE_UTA_UGM 2024'!$E$3:$O$419,BF$6),"")</f>
        <v/>
      </c>
      <c r="BG386" s="1507" t="str">
        <f aca="false">IF($AT386&gt;0,VLOOKUP($AR386,'O_MN, PE_UTA_UGM 2024'!$E$3:$O$419,BG$6),"")</f>
        <v/>
      </c>
      <c r="BH386" s="1504"/>
      <c r="BI386" s="1504"/>
      <c r="BJ386" s="1504"/>
      <c r="BK386" s="1504"/>
      <c r="BM386" s="1411"/>
      <c r="BN386" s="1411"/>
      <c r="BO386" s="1425" t="str">
        <f aca="false">IF(ISNUMBER($AU386*BB386*1),$AU386*BB386*1,"")</f>
        <v/>
      </c>
      <c r="BP386" s="1425" t="str">
        <f aca="false">IF(ISNUMBER($AV386*BC386*1),$AV386*BC386*1,"")</f>
        <v/>
      </c>
      <c r="BQ386" s="1425" t="str">
        <f aca="false">IF(ISNUMBER($AU386*BD386*1),$AU386*BD386*1,"")</f>
        <v/>
      </c>
      <c r="BR386" s="1425" t="str">
        <f aca="false">IF(ISNUMBER($AV386*BE386*1),$AV386*BE386*1,"")</f>
        <v/>
      </c>
      <c r="BS386" s="1411" t="str">
        <f aca="false">IF(ISNUMBER($AU386*BF386),$AU386*BF386,"")</f>
        <v/>
      </c>
      <c r="BT386" s="1411" t="str">
        <f aca="false">IF(ISNUMBER($AV386*BG386),$AV386*BG386,"")</f>
        <v/>
      </c>
      <c r="BU386" s="1411"/>
      <c r="BV386" s="1411"/>
      <c r="BW386" s="1411"/>
      <c r="BX386" s="1411"/>
      <c r="BZ386" s="1372"/>
      <c r="CA386" s="1372"/>
      <c r="CB386" s="1426" t="str">
        <f aca="false">IF(ISNUMBER($AW386*BB386),$AW386*BB386,"")</f>
        <v/>
      </c>
      <c r="CC386" s="1426" t="str">
        <f aca="false">IF(ISNUMBER($AX386*BC386),$AX386*BC386,"")</f>
        <v/>
      </c>
      <c r="CD386" s="1426" t="str">
        <f aca="false">IF(ISNUMBER($AW386*BD386),$AW386*BD386,"")</f>
        <v/>
      </c>
      <c r="CE386" s="1426" t="str">
        <f aca="false">IF(ISNUMBER($AX386*BE386),$AX386*BE386,"")</f>
        <v/>
      </c>
      <c r="CF386" s="1372" t="str">
        <f aca="false">IF(ISNUMBER($AW386*BF386),$AW386*BF386,"")</f>
        <v/>
      </c>
      <c r="CG386" s="1372" t="str">
        <f aca="false">IF(ISNUMBER($AX386*BG386),$AX386*BG386,"")</f>
        <v/>
      </c>
      <c r="CH386" s="1438"/>
      <c r="CI386" s="1438"/>
      <c r="CJ386" s="1438"/>
      <c r="CK386" s="1438"/>
      <c r="CU386" s="1411"/>
      <c r="CV386" s="1411"/>
      <c r="CW386" s="1425"/>
      <c r="CX386" s="1425"/>
      <c r="CY386" s="1425"/>
      <c r="CZ386" s="1425"/>
      <c r="DA386" s="1411"/>
      <c r="DB386" s="1411"/>
      <c r="DC386" s="1411"/>
      <c r="DD386" s="1411"/>
      <c r="DE386" s="1411"/>
      <c r="DF386" s="1411"/>
      <c r="DH386" s="1432"/>
      <c r="DI386" s="1432"/>
      <c r="DJ386" s="1437"/>
      <c r="DK386" s="1437"/>
      <c r="DL386" s="1437"/>
      <c r="DM386" s="1437"/>
      <c r="DN386" s="1432"/>
      <c r="DO386" s="1432"/>
      <c r="DP386" s="1432"/>
      <c r="DQ386" s="1432"/>
      <c r="DR386" s="1432"/>
      <c r="DS386" s="1432"/>
      <c r="DT386" s="1316"/>
      <c r="DU386" s="1433"/>
      <c r="DV386" s="1433"/>
      <c r="DW386" s="1433"/>
      <c r="DX386" s="1433"/>
      <c r="DY386" s="1433"/>
      <c r="DZ386" s="1433"/>
      <c r="EA386" s="1433"/>
      <c r="EB386" s="1433"/>
    </row>
    <row r="387" customFormat="false" ht="14.25" hidden="false" customHeight="false" outlineLevel="0" collapsed="false">
      <c r="A387" s="2" t="n">
        <f aca="false">'V_DATOS PAC_SGA'!CC382</f>
        <v>0</v>
      </c>
      <c r="B387" s="2" t="n">
        <f aca="false">IF(OR(A387=0,A387=""),0,IF(I387="IV",CONCATENATE('V_DATOS PAC_SGA'!CC382,"4")+0,CONCATENATE('V_DATOS PAC_SGA'!CC382,"0")+0))</f>
        <v>0</v>
      </c>
      <c r="C387" s="2" t="n">
        <f aca="false">'V_DATOS PAC_SGA'!CD382</f>
        <v>0</v>
      </c>
      <c r="D387" s="1409" t="n">
        <f aca="false">'V_DATOS PAC_SGA'!Y382</f>
        <v>0</v>
      </c>
      <c r="E387" s="1410" t="str">
        <f aca="false">IF('V_DATOS PAC_SGA'!AV382="","Regadio",'V_DATOS PAC_SGA'!AV382)</f>
        <v>Regadio</v>
      </c>
      <c r="F387" s="1411" t="n">
        <f aca="false">'V_DATOS PAC_SGA'!BK382</f>
        <v>0</v>
      </c>
      <c r="G387" s="1412" t="n">
        <f aca="false">'V_DATOS PAC_SGA'!AN382</f>
        <v>0</v>
      </c>
      <c r="H387" s="1413" t="str">
        <f aca="false">IF(B387&gt;0,VLOOKUP(B387,'O_MN, PE_UTA_UGM 2024'!E$3:O$419,10),"")</f>
        <v/>
      </c>
      <c r="I387" s="1359" t="str">
        <f aca="false">IF('V_DATOS PAC_SGA'!BV382="IV",'V_DATOS PAC_SGA'!BV382,"")</f>
        <v/>
      </c>
      <c r="J387" s="2" t="str">
        <f aca="false">IF($A387&gt;0,IF(AND(J$4=$G387,J$6=$F387),$D387*J$5,""),"")</f>
        <v/>
      </c>
      <c r="K387" s="2" t="str">
        <f aca="false">IF($A387&gt;0,IF(AND(K$4=$G387,K$6=$F387),$D387*K$5,""),"")</f>
        <v/>
      </c>
      <c r="L387" s="2" t="str">
        <f aca="false">IF($A387&gt;0,IF(AND(L$4=$G387,L$6=$F387),$D387*L$5,""),"")</f>
        <v/>
      </c>
      <c r="M387" s="2" t="str">
        <f aca="false">IF($A387&gt;0,IF(AND(M$4=$G387,M$6=$F387),$D387*M$5,""),"")</f>
        <v/>
      </c>
      <c r="N387" s="1506" t="n">
        <f aca="false">VLOOKUP(B387,'O_MN, PE_UTA_UGM 2024'!$E$2:$K$419,IF(G387&gt;1,6,7))</f>
        <v>0</v>
      </c>
      <c r="O387" s="1434" t="str">
        <f aca="false">IF($H387=O$4,$D387*$N387,"")</f>
        <v/>
      </c>
      <c r="P387" s="1435" t="str">
        <f aca="false">IF($H387=P$4,$D387*$N387,"")</f>
        <v/>
      </c>
      <c r="Q387" s="1435" t="str">
        <f aca="false">IF($H387=Q$4,$D387*$N387,"")</f>
        <v/>
      </c>
      <c r="R387" s="1435" t="str">
        <f aca="false">IF($H387=R$4,$D387*$N387,"")</f>
        <v/>
      </c>
      <c r="S387" s="1435" t="str">
        <f aca="false">IF($H387=S$4,$D387*$N387,"")</f>
        <v/>
      </c>
      <c r="T387" s="1435" t="str">
        <f aca="false">IF($H387=T$4,$D387*$N387,"")</f>
        <v/>
      </c>
      <c r="U387" s="1436" t="str">
        <f aca="false">IF($H387=U$4,$D387*$N387,"")</f>
        <v/>
      </c>
      <c r="V387" s="1472"/>
      <c r="W387" s="1471"/>
      <c r="X387" s="1471"/>
      <c r="Y387" s="1471"/>
      <c r="Z387" s="1471"/>
      <c r="AA387" s="1471"/>
      <c r="AB387" s="1473"/>
      <c r="AC387" s="1319"/>
      <c r="AD387" s="2" t="str">
        <f aca="false">IF(AND(AD$4=$G387,AD$6=$F387),$B387,"")</f>
        <v/>
      </c>
      <c r="AE387" s="2" t="str">
        <f aca="false">IF(AND(AE$4=$G387,AE$6=$F387),$B387,"")</f>
        <v/>
      </c>
      <c r="AF387" s="2" t="str">
        <f aca="false">IF(AND(AF$4=$G387,AF$6=$F387),$B387,"")</f>
        <v/>
      </c>
      <c r="AG387" s="2" t="str">
        <f aca="false">IF(AND(AG$4=$G387,AG$6=$F387),$B387,"")</f>
        <v/>
      </c>
      <c r="AI387" s="366"/>
      <c r="AL387" s="367"/>
      <c r="AO387" s="367"/>
      <c r="AP387" s="2" t="str">
        <f aca="false">IF(AT387&gt;0,RANK(AT387,AT$7:AT$423),"")</f>
        <v/>
      </c>
      <c r="AQ387" s="1475" t="n">
        <f aca="false">'O_MN, PE_UTA_UGM 2024'!C384</f>
        <v>0</v>
      </c>
      <c r="AR387" s="1421" t="n">
        <v>4560</v>
      </c>
      <c r="AS387" s="2" t="str">
        <f aca="false">IF(AY387&lt;&gt;"",AY387,"")</f>
        <v/>
      </c>
      <c r="AT387" s="1422" t="n">
        <f aca="false">IF(ISNUMBER($AR387),SUMIF(B$7:B$505,AR387,D$7:D$505),"")</f>
        <v>0</v>
      </c>
      <c r="AU387" s="1411" t="n">
        <f aca="false">IF(ISNUMBER($AR387),SUMIF(AD$7:AD$503,$AR387,J$7:J$503),"")</f>
        <v>0</v>
      </c>
      <c r="AV387" s="1411" t="n">
        <f aca="false">IF(ISNUMBER($AR387),SUMIF(AF$7:AF$503,$AR387,L$7:L$503),"")</f>
        <v>0</v>
      </c>
      <c r="AW387" s="1423" t="n">
        <f aca="false">IF(ISNUMBER($AR387),SUMIF(AE$7:AE$503,$AR387,K$7:K$503),"")</f>
        <v>0</v>
      </c>
      <c r="AX387" s="1423" t="n">
        <f aca="false">IF(ISNUMBER($AR387),SUMIF(AG$7:AG$503,$AR387,M$7:M$503),"")</f>
        <v>0</v>
      </c>
      <c r="AY387" s="2" t="str">
        <f aca="false">IF($AT387&gt;0,VLOOKUP($AR387,'O_MN, PE_UTA_UGM 2024'!E384:O799,2),"")</f>
        <v/>
      </c>
      <c r="AZ387" s="1507"/>
      <c r="BA387" s="1507"/>
      <c r="BB387" s="1507" t="str">
        <f aca="false">IF($AT387&gt;0,VLOOKUP($AR387,'O_MN, PE_UTA_UGM 2024'!$E$3:$O$419,BB$6),"")</f>
        <v/>
      </c>
      <c r="BC387" s="1507" t="str">
        <f aca="false">IF($AT387&gt;0,VLOOKUP($AR387,'O_MN, PE_UTA_UGM 2024'!$E$3:$O$419,BC$6),"")</f>
        <v/>
      </c>
      <c r="BD387" s="1507" t="str">
        <f aca="false">IF($AT387&gt;0,VLOOKUP($AR387,'O_MN, PE_UTA_UGM 2024'!$E$3:$O$419,BD$6),"")</f>
        <v/>
      </c>
      <c r="BE387" s="1507" t="str">
        <f aca="false">IF($AT387&gt;0,VLOOKUP($AR387,'O_MN, PE_UTA_UGM 2024'!$E$3:$O$419,BE$6),"")</f>
        <v/>
      </c>
      <c r="BF387" s="1507" t="str">
        <f aca="false">IF($AT387&gt;0,VLOOKUP($AR387,'O_MN, PE_UTA_UGM 2024'!$E$3:$O$419,BF$6),"")</f>
        <v/>
      </c>
      <c r="BG387" s="1507" t="str">
        <f aca="false">IF($AT387&gt;0,VLOOKUP($AR387,'O_MN, PE_UTA_UGM 2024'!$E$3:$O$419,BG$6),"")</f>
        <v/>
      </c>
      <c r="BH387" s="1504"/>
      <c r="BI387" s="1504"/>
      <c r="BJ387" s="1504"/>
      <c r="BK387" s="1504"/>
      <c r="BM387" s="1411"/>
      <c r="BN387" s="1411"/>
      <c r="BO387" s="1425" t="str">
        <f aca="false">IF(ISNUMBER($AU387*BB387*1),$AU387*BB387*1,"")</f>
        <v/>
      </c>
      <c r="BP387" s="1425" t="str">
        <f aca="false">IF(ISNUMBER($AV387*BC387*1),$AV387*BC387*1,"")</f>
        <v/>
      </c>
      <c r="BQ387" s="1425" t="str">
        <f aca="false">IF(ISNUMBER($AU387*BD387*1),$AU387*BD387*1,"")</f>
        <v/>
      </c>
      <c r="BR387" s="1425" t="str">
        <f aca="false">IF(ISNUMBER($AV387*BE387*1),$AV387*BE387*1,"")</f>
        <v/>
      </c>
      <c r="BS387" s="1411" t="str">
        <f aca="false">IF(ISNUMBER($AU387*BF387),$AU387*BF387,"")</f>
        <v/>
      </c>
      <c r="BT387" s="1411" t="str">
        <f aca="false">IF(ISNUMBER($AV387*BG387),$AV387*BG387,"")</f>
        <v/>
      </c>
      <c r="BU387" s="1411"/>
      <c r="BV387" s="1411"/>
      <c r="BW387" s="1411"/>
      <c r="BX387" s="1411"/>
      <c r="BZ387" s="1372"/>
      <c r="CA387" s="1372"/>
      <c r="CB387" s="1426" t="str">
        <f aca="false">IF(ISNUMBER($AW387*BB387),$AW387*BB387,"")</f>
        <v/>
      </c>
      <c r="CC387" s="1426" t="str">
        <f aca="false">IF(ISNUMBER($AX387*BC387),$AX387*BC387,"")</f>
        <v/>
      </c>
      <c r="CD387" s="1426" t="str">
        <f aca="false">IF(ISNUMBER($AW387*BD387),$AW387*BD387,"")</f>
        <v/>
      </c>
      <c r="CE387" s="1426" t="str">
        <f aca="false">IF(ISNUMBER($AX387*BE387),$AX387*BE387,"")</f>
        <v/>
      </c>
      <c r="CF387" s="1372" t="str">
        <f aca="false">IF(ISNUMBER($AW387*BF387),$AW387*BF387,"")</f>
        <v/>
      </c>
      <c r="CG387" s="1372" t="str">
        <f aca="false">IF(ISNUMBER($AX387*BG387),$AX387*BG387,"")</f>
        <v/>
      </c>
      <c r="CH387" s="1438"/>
      <c r="CI387" s="1438"/>
      <c r="CJ387" s="1438"/>
      <c r="CK387" s="1438"/>
      <c r="CU387" s="1411"/>
      <c r="CV387" s="1411"/>
      <c r="CW387" s="1425"/>
      <c r="CX387" s="1425"/>
      <c r="CY387" s="1425"/>
      <c r="CZ387" s="1425"/>
      <c r="DA387" s="1411"/>
      <c r="DB387" s="1411"/>
      <c r="DC387" s="1411"/>
      <c r="DD387" s="1411"/>
      <c r="DE387" s="1411"/>
      <c r="DF387" s="1411"/>
      <c r="DH387" s="1432"/>
      <c r="DI387" s="1432"/>
      <c r="DJ387" s="1437"/>
      <c r="DK387" s="1437"/>
      <c r="DL387" s="1437"/>
      <c r="DM387" s="1437"/>
      <c r="DN387" s="1432"/>
      <c r="DO387" s="1432"/>
      <c r="DP387" s="1432"/>
      <c r="DQ387" s="1432"/>
      <c r="DR387" s="1432"/>
      <c r="DS387" s="1432"/>
      <c r="DT387" s="1316"/>
      <c r="DU387" s="1433"/>
      <c r="DV387" s="1433"/>
      <c r="DW387" s="1433"/>
      <c r="DX387" s="1433"/>
      <c r="DY387" s="1433"/>
      <c r="DZ387" s="1433"/>
      <c r="EA387" s="1433"/>
      <c r="EB387" s="1433"/>
    </row>
    <row r="388" customFormat="false" ht="14.25" hidden="false" customHeight="false" outlineLevel="0" collapsed="false">
      <c r="A388" s="2" t="n">
        <f aca="false">'V_DATOS PAC_SGA'!CC383</f>
        <v>0</v>
      </c>
      <c r="B388" s="2" t="n">
        <f aca="false">IF(OR(A388=0,A388=""),0,IF(I388="IV",CONCATENATE('V_DATOS PAC_SGA'!CC383,"4")+0,CONCATENATE('V_DATOS PAC_SGA'!CC383,"0")+0))</f>
        <v>0</v>
      </c>
      <c r="C388" s="2" t="n">
        <f aca="false">'V_DATOS PAC_SGA'!CD383</f>
        <v>0</v>
      </c>
      <c r="D388" s="1409" t="n">
        <f aca="false">'V_DATOS PAC_SGA'!Y383</f>
        <v>0</v>
      </c>
      <c r="E388" s="1410" t="str">
        <f aca="false">IF('V_DATOS PAC_SGA'!AV383="","Regadio",'V_DATOS PAC_SGA'!AV383)</f>
        <v>Regadio</v>
      </c>
      <c r="F388" s="1411" t="n">
        <f aca="false">'V_DATOS PAC_SGA'!BK383</f>
        <v>0</v>
      </c>
      <c r="G388" s="1412" t="n">
        <f aca="false">'V_DATOS PAC_SGA'!AN383</f>
        <v>0</v>
      </c>
      <c r="H388" s="1413" t="str">
        <f aca="false">IF(B388&gt;0,VLOOKUP(B388,'O_MN, PE_UTA_UGM 2024'!E$3:O$419,10),"")</f>
        <v/>
      </c>
      <c r="I388" s="1359" t="str">
        <f aca="false">IF('V_DATOS PAC_SGA'!BV383="IV",'V_DATOS PAC_SGA'!BV383,"")</f>
        <v/>
      </c>
      <c r="J388" s="2" t="str">
        <f aca="false">IF($A388&gt;0,IF(AND(J$4=$G388,J$6=$F388),$D388*J$5,""),"")</f>
        <v/>
      </c>
      <c r="K388" s="2" t="str">
        <f aca="false">IF($A388&gt;0,IF(AND(K$4=$G388,K$6=$F388),$D388*K$5,""),"")</f>
        <v/>
      </c>
      <c r="L388" s="2" t="str">
        <f aca="false">IF($A388&gt;0,IF(AND(L$4=$G388,L$6=$F388),$D388*L$5,""),"")</f>
        <v/>
      </c>
      <c r="M388" s="2" t="str">
        <f aca="false">IF($A388&gt;0,IF(AND(M$4=$G388,M$6=$F388),$D388*M$5,""),"")</f>
        <v/>
      </c>
      <c r="N388" s="1506" t="n">
        <f aca="false">VLOOKUP(B388,'O_MN, PE_UTA_UGM 2024'!$E$2:$K$419,IF(G388&gt;1,6,7))</f>
        <v>0</v>
      </c>
      <c r="O388" s="1434" t="str">
        <f aca="false">IF($H388=O$4,$D388*$N388,"")</f>
        <v/>
      </c>
      <c r="P388" s="1435" t="str">
        <f aca="false">IF($H388=P$4,$D388*$N388,"")</f>
        <v/>
      </c>
      <c r="Q388" s="1435" t="str">
        <f aca="false">IF($H388=Q$4,$D388*$N388,"")</f>
        <v/>
      </c>
      <c r="R388" s="1435" t="str">
        <f aca="false">IF($H388=R$4,$D388*$N388,"")</f>
        <v/>
      </c>
      <c r="S388" s="1435" t="str">
        <f aca="false">IF($H388=S$4,$D388*$N388,"")</f>
        <v/>
      </c>
      <c r="T388" s="1435" t="str">
        <f aca="false">IF($H388=T$4,$D388*$N388,"")</f>
        <v/>
      </c>
      <c r="U388" s="1436" t="str">
        <f aca="false">IF($H388=U$4,$D388*$N388,"")</f>
        <v/>
      </c>
      <c r="V388" s="1472"/>
      <c r="W388" s="1471"/>
      <c r="X388" s="1471"/>
      <c r="Y388" s="1471"/>
      <c r="Z388" s="1471"/>
      <c r="AA388" s="1471"/>
      <c r="AB388" s="1473"/>
      <c r="AC388" s="1319"/>
      <c r="AD388" s="2" t="str">
        <f aca="false">IF(AND(AD$4=$G388,AD$6=$F388),$B388,"")</f>
        <v/>
      </c>
      <c r="AE388" s="2" t="str">
        <f aca="false">IF(AND(AE$4=$G388,AE$6=$F388),$B388,"")</f>
        <v/>
      </c>
      <c r="AF388" s="2" t="str">
        <f aca="false">IF(AND(AF$4=$G388,AF$6=$F388),$B388,"")</f>
        <v/>
      </c>
      <c r="AG388" s="2" t="str">
        <f aca="false">IF(AND(AG$4=$G388,AG$6=$F388),$B388,"")</f>
        <v/>
      </c>
      <c r="AI388" s="366"/>
      <c r="AL388" s="367"/>
      <c r="AO388" s="367"/>
      <c r="AP388" s="2" t="str">
        <f aca="false">IF(AT388&gt;0,RANK(AT388,AT$7:AT$423),"")</f>
        <v/>
      </c>
      <c r="AQ388" s="1475" t="n">
        <f aca="false">'O_MN, PE_UTA_UGM 2024'!C385</f>
        <v>0</v>
      </c>
      <c r="AR388" s="1421" t="n">
        <v>4570</v>
      </c>
      <c r="AS388" s="2" t="str">
        <f aca="false">IF(AY388&lt;&gt;"",AY388,"")</f>
        <v/>
      </c>
      <c r="AT388" s="1422" t="n">
        <f aca="false">IF(ISNUMBER($AR388),SUMIF(B$7:B$505,AR388,D$7:D$505),"")</f>
        <v>0</v>
      </c>
      <c r="AU388" s="1411" t="n">
        <f aca="false">IF(ISNUMBER($AR388),SUMIF(AD$7:AD$503,$AR388,J$7:J$503),"")</f>
        <v>0</v>
      </c>
      <c r="AV388" s="1411" t="n">
        <f aca="false">IF(ISNUMBER($AR388),SUMIF(AF$7:AF$503,$AR388,L$7:L$503),"")</f>
        <v>0</v>
      </c>
      <c r="AW388" s="1423" t="n">
        <f aca="false">IF(ISNUMBER($AR388),SUMIF(AE$7:AE$503,$AR388,K$7:K$503),"")</f>
        <v>0</v>
      </c>
      <c r="AX388" s="1423" t="n">
        <f aca="false">IF(ISNUMBER($AR388),SUMIF(AG$7:AG$503,$AR388,M$7:M$503),"")</f>
        <v>0</v>
      </c>
      <c r="AY388" s="2" t="str">
        <f aca="false">IF($AT388&gt;0,VLOOKUP($AR388,'O_MN, PE_UTA_UGM 2024'!E385:O800,2),"")</f>
        <v/>
      </c>
      <c r="AZ388" s="1507"/>
      <c r="BA388" s="1507"/>
      <c r="BB388" s="1507" t="str">
        <f aca="false">IF($AT388&gt;0,VLOOKUP($AR388,'O_MN, PE_UTA_UGM 2024'!$E$3:$O$419,BB$6),"")</f>
        <v/>
      </c>
      <c r="BC388" s="1507" t="str">
        <f aca="false">IF($AT388&gt;0,VLOOKUP($AR388,'O_MN, PE_UTA_UGM 2024'!$E$3:$O$419,BC$6),"")</f>
        <v/>
      </c>
      <c r="BD388" s="1507" t="str">
        <f aca="false">IF($AT388&gt;0,VLOOKUP($AR388,'O_MN, PE_UTA_UGM 2024'!$E$3:$O$419,BD$6),"")</f>
        <v/>
      </c>
      <c r="BE388" s="1507" t="str">
        <f aca="false">IF($AT388&gt;0,VLOOKUP($AR388,'O_MN, PE_UTA_UGM 2024'!$E$3:$O$419,BE$6),"")</f>
        <v/>
      </c>
      <c r="BF388" s="1507" t="str">
        <f aca="false">IF($AT388&gt;0,VLOOKUP($AR388,'O_MN, PE_UTA_UGM 2024'!$E$3:$O$419,BF$6),"")</f>
        <v/>
      </c>
      <c r="BG388" s="1507" t="str">
        <f aca="false">IF($AT388&gt;0,VLOOKUP($AR388,'O_MN, PE_UTA_UGM 2024'!$E$3:$O$419,BG$6),"")</f>
        <v/>
      </c>
      <c r="BH388" s="1504"/>
      <c r="BI388" s="1504"/>
      <c r="BJ388" s="1504"/>
      <c r="BK388" s="1504"/>
      <c r="BM388" s="1411"/>
      <c r="BN388" s="1411"/>
      <c r="BO388" s="1425" t="str">
        <f aca="false">IF(ISNUMBER($AU388*BB388*1),$AU388*BB388*1,"")</f>
        <v/>
      </c>
      <c r="BP388" s="1425" t="str">
        <f aca="false">IF(ISNUMBER($AV388*BC388*1),$AV388*BC388*1,"")</f>
        <v/>
      </c>
      <c r="BQ388" s="1425" t="str">
        <f aca="false">IF(ISNUMBER($AU388*BD388*1),$AU388*BD388*1,"")</f>
        <v/>
      </c>
      <c r="BR388" s="1425" t="str">
        <f aca="false">IF(ISNUMBER($AV388*BE388*1),$AV388*BE388*1,"")</f>
        <v/>
      </c>
      <c r="BS388" s="1411" t="str">
        <f aca="false">IF(ISNUMBER($AU388*BF388),$AU388*BF388,"")</f>
        <v/>
      </c>
      <c r="BT388" s="1411" t="str">
        <f aca="false">IF(ISNUMBER($AV388*BG388),$AV388*BG388,"")</f>
        <v/>
      </c>
      <c r="BU388" s="1411"/>
      <c r="BV388" s="1411"/>
      <c r="BW388" s="1411"/>
      <c r="BX388" s="1411"/>
      <c r="BZ388" s="1372"/>
      <c r="CA388" s="1372"/>
      <c r="CB388" s="1426" t="str">
        <f aca="false">IF(ISNUMBER($AW388*BB388),$AW388*BB388,"")</f>
        <v/>
      </c>
      <c r="CC388" s="1426" t="str">
        <f aca="false">IF(ISNUMBER($AX388*BC388),$AX388*BC388,"")</f>
        <v/>
      </c>
      <c r="CD388" s="1426" t="str">
        <f aca="false">IF(ISNUMBER($AW388*BD388),$AW388*BD388,"")</f>
        <v/>
      </c>
      <c r="CE388" s="1426" t="str">
        <f aca="false">IF(ISNUMBER($AX388*BE388),$AX388*BE388,"")</f>
        <v/>
      </c>
      <c r="CF388" s="1372" t="str">
        <f aca="false">IF(ISNUMBER($AW388*BF388),$AW388*BF388,"")</f>
        <v/>
      </c>
      <c r="CG388" s="1372" t="str">
        <f aca="false">IF(ISNUMBER($AX388*BG388),$AX388*BG388,"")</f>
        <v/>
      </c>
      <c r="CH388" s="1438"/>
      <c r="CI388" s="1438"/>
      <c r="CJ388" s="1438"/>
      <c r="CK388" s="1438"/>
      <c r="CU388" s="1411"/>
      <c r="CV388" s="1411"/>
      <c r="CW388" s="1425"/>
      <c r="CX388" s="1425"/>
      <c r="CY388" s="1425"/>
      <c r="CZ388" s="1425"/>
      <c r="DA388" s="1411"/>
      <c r="DB388" s="1411"/>
      <c r="DC388" s="1411"/>
      <c r="DD388" s="1411"/>
      <c r="DE388" s="1411"/>
      <c r="DF388" s="1411"/>
      <c r="DH388" s="1432"/>
      <c r="DI388" s="1432"/>
      <c r="DJ388" s="1437"/>
      <c r="DK388" s="1437"/>
      <c r="DL388" s="1437"/>
      <c r="DM388" s="1437"/>
      <c r="DN388" s="1432"/>
      <c r="DO388" s="1432"/>
      <c r="DP388" s="1432"/>
      <c r="DQ388" s="1432"/>
      <c r="DR388" s="1432"/>
      <c r="DS388" s="1432"/>
      <c r="DT388" s="1316"/>
      <c r="DU388" s="1433"/>
      <c r="DV388" s="1433"/>
      <c r="DW388" s="1433"/>
      <c r="DX388" s="1433"/>
      <c r="DY388" s="1433"/>
      <c r="DZ388" s="1433"/>
      <c r="EA388" s="1433"/>
      <c r="EB388" s="1433"/>
    </row>
    <row r="389" customFormat="false" ht="14.25" hidden="false" customHeight="false" outlineLevel="0" collapsed="false">
      <c r="A389" s="2" t="n">
        <f aca="false">'V_DATOS PAC_SGA'!CC384</f>
        <v>0</v>
      </c>
      <c r="B389" s="2" t="n">
        <f aca="false">IF(OR(A389=0,A389=""),0,IF(I389="IV",CONCATENATE('V_DATOS PAC_SGA'!CC384,"4")+0,CONCATENATE('V_DATOS PAC_SGA'!CC384,"0")+0))</f>
        <v>0</v>
      </c>
      <c r="C389" s="2" t="n">
        <f aca="false">'V_DATOS PAC_SGA'!CD384</f>
        <v>0</v>
      </c>
      <c r="D389" s="1409" t="n">
        <f aca="false">'V_DATOS PAC_SGA'!Y384</f>
        <v>0</v>
      </c>
      <c r="E389" s="1410" t="str">
        <f aca="false">IF('V_DATOS PAC_SGA'!AV384="","Regadio",'V_DATOS PAC_SGA'!AV384)</f>
        <v>Regadio</v>
      </c>
      <c r="F389" s="1411" t="n">
        <f aca="false">'V_DATOS PAC_SGA'!BK384</f>
        <v>0</v>
      </c>
      <c r="G389" s="1412" t="n">
        <f aca="false">'V_DATOS PAC_SGA'!AN384</f>
        <v>0</v>
      </c>
      <c r="H389" s="1413" t="str">
        <f aca="false">IF(B389&gt;0,VLOOKUP(B389,'O_MN, PE_UTA_UGM 2024'!E$3:O$419,10),"")</f>
        <v/>
      </c>
      <c r="I389" s="1359" t="str">
        <f aca="false">IF('V_DATOS PAC_SGA'!BV384="IV",'V_DATOS PAC_SGA'!BV384,"")</f>
        <v/>
      </c>
      <c r="J389" s="2" t="str">
        <f aca="false">IF($A389&gt;0,IF(AND(J$4=$G389,J$6=$F389),$D389*J$5,""),"")</f>
        <v/>
      </c>
      <c r="K389" s="2" t="str">
        <f aca="false">IF($A389&gt;0,IF(AND(K$4=$G389,K$6=$F389),$D389*K$5,""),"")</f>
        <v/>
      </c>
      <c r="L389" s="2" t="str">
        <f aca="false">IF($A389&gt;0,IF(AND(L$4=$G389,L$6=$F389),$D389*L$5,""),"")</f>
        <v/>
      </c>
      <c r="M389" s="2" t="str">
        <f aca="false">IF($A389&gt;0,IF(AND(M$4=$G389,M$6=$F389),$D389*M$5,""),"")</f>
        <v/>
      </c>
      <c r="N389" s="1506" t="n">
        <f aca="false">VLOOKUP(B389,'O_MN, PE_UTA_UGM 2024'!$E$2:$K$419,IF(G389&gt;1,6,7))</f>
        <v>0</v>
      </c>
      <c r="O389" s="1434" t="str">
        <f aca="false">IF($H389=O$4,$D389*$N389,"")</f>
        <v/>
      </c>
      <c r="P389" s="1435" t="str">
        <f aca="false">IF($H389=P$4,$D389*$N389,"")</f>
        <v/>
      </c>
      <c r="Q389" s="1435" t="str">
        <f aca="false">IF($H389=Q$4,$D389*$N389,"")</f>
        <v/>
      </c>
      <c r="R389" s="1435" t="str">
        <f aca="false">IF($H389=R$4,$D389*$N389,"")</f>
        <v/>
      </c>
      <c r="S389" s="1435" t="str">
        <f aca="false">IF($H389=S$4,$D389*$N389,"")</f>
        <v/>
      </c>
      <c r="T389" s="1435" t="str">
        <f aca="false">IF($H389=T$4,$D389*$N389,"")</f>
        <v/>
      </c>
      <c r="U389" s="1436" t="str">
        <f aca="false">IF($H389=U$4,$D389*$N389,"")</f>
        <v/>
      </c>
      <c r="V389" s="1472"/>
      <c r="W389" s="1471"/>
      <c r="X389" s="1471"/>
      <c r="Y389" s="1471"/>
      <c r="Z389" s="1471"/>
      <c r="AA389" s="1471"/>
      <c r="AB389" s="1473"/>
      <c r="AC389" s="1319"/>
      <c r="AD389" s="2" t="str">
        <f aca="false">IF(AND(AD$4=$G389,AD$6=$F389),$B389,"")</f>
        <v/>
      </c>
      <c r="AE389" s="2" t="str">
        <f aca="false">IF(AND(AE$4=$G389,AE$6=$F389),$B389,"")</f>
        <v/>
      </c>
      <c r="AF389" s="2" t="str">
        <f aca="false">IF(AND(AF$4=$G389,AF$6=$F389),$B389,"")</f>
        <v/>
      </c>
      <c r="AG389" s="2" t="str">
        <f aca="false">IF(AND(AG$4=$G389,AG$6=$F389),$B389,"")</f>
        <v/>
      </c>
      <c r="AI389" s="366"/>
      <c r="AL389" s="367"/>
      <c r="AO389" s="367"/>
      <c r="AP389" s="2" t="str">
        <f aca="false">IF(AT389&gt;0,RANK(AT389,AT$7:AT$423),"")</f>
        <v/>
      </c>
      <c r="AQ389" s="1475" t="n">
        <f aca="false">'O_MN, PE_UTA_UGM 2024'!C386</f>
        <v>0</v>
      </c>
      <c r="AR389" s="1421" t="n">
        <v>4600</v>
      </c>
      <c r="AS389" s="2" t="str">
        <f aca="false">IF(AY389&lt;&gt;"",AY389,"")</f>
        <v/>
      </c>
      <c r="AT389" s="1422" t="n">
        <f aca="false">IF(ISNUMBER($AR389),SUMIF(B$7:B$505,AR389,D$7:D$505),"")</f>
        <v>0</v>
      </c>
      <c r="AU389" s="1411" t="n">
        <f aca="false">IF(ISNUMBER($AR389),SUMIF(AD$7:AD$503,$AR389,J$7:J$503),"")</f>
        <v>0</v>
      </c>
      <c r="AV389" s="1411" t="n">
        <f aca="false">IF(ISNUMBER($AR389),SUMIF(AF$7:AF$503,$AR389,L$7:L$503),"")</f>
        <v>0</v>
      </c>
      <c r="AW389" s="1423" t="n">
        <f aca="false">IF(ISNUMBER($AR389),SUMIF(AE$7:AE$503,$AR389,K$7:K$503),"")</f>
        <v>0</v>
      </c>
      <c r="AX389" s="1423" t="n">
        <f aca="false">IF(ISNUMBER($AR389),SUMIF(AG$7:AG$503,$AR389,M$7:M$503),"")</f>
        <v>0</v>
      </c>
      <c r="AY389" s="2" t="str">
        <f aca="false">IF($AT389&gt;0,VLOOKUP($AR389,'O_MN, PE_UTA_UGM 2024'!E386:O801,2),"")</f>
        <v/>
      </c>
      <c r="AZ389" s="1507"/>
      <c r="BA389" s="1507"/>
      <c r="BB389" s="1507" t="str">
        <f aca="false">IF($AT389&gt;0,VLOOKUP($AR389,'O_MN, PE_UTA_UGM 2024'!$E$3:$O$419,BB$6),"")</f>
        <v/>
      </c>
      <c r="BC389" s="1507" t="str">
        <f aca="false">IF($AT389&gt;0,VLOOKUP($AR389,'O_MN, PE_UTA_UGM 2024'!$E$3:$O$419,BC$6),"")</f>
        <v/>
      </c>
      <c r="BD389" s="1507" t="str">
        <f aca="false">IF($AT389&gt;0,VLOOKUP($AR389,'O_MN, PE_UTA_UGM 2024'!$E$3:$O$419,BD$6),"")</f>
        <v/>
      </c>
      <c r="BE389" s="1507" t="str">
        <f aca="false">IF($AT389&gt;0,VLOOKUP($AR389,'O_MN, PE_UTA_UGM 2024'!$E$3:$O$419,BE$6),"")</f>
        <v/>
      </c>
      <c r="BF389" s="1507" t="str">
        <f aca="false">IF($AT389&gt;0,VLOOKUP($AR389,'O_MN, PE_UTA_UGM 2024'!$E$3:$O$419,BF$6),"")</f>
        <v/>
      </c>
      <c r="BG389" s="1507" t="str">
        <f aca="false">IF($AT389&gt;0,VLOOKUP($AR389,'O_MN, PE_UTA_UGM 2024'!$E$3:$O$419,BG$6),"")</f>
        <v/>
      </c>
      <c r="BH389" s="1504"/>
      <c r="BI389" s="1504"/>
      <c r="BJ389" s="1504"/>
      <c r="BK389" s="1504"/>
      <c r="BM389" s="1411"/>
      <c r="BN389" s="1411"/>
      <c r="BO389" s="1425" t="str">
        <f aca="false">IF(ISNUMBER($AU389*BB389*1),$AU389*BB389*1,"")</f>
        <v/>
      </c>
      <c r="BP389" s="1425" t="str">
        <f aca="false">IF(ISNUMBER($AV389*BC389*1),$AV389*BC389*1,"")</f>
        <v/>
      </c>
      <c r="BQ389" s="1425" t="str">
        <f aca="false">IF(ISNUMBER($AU389*BD389*1),$AU389*BD389*1,"")</f>
        <v/>
      </c>
      <c r="BR389" s="1425" t="str">
        <f aca="false">IF(ISNUMBER($AV389*BE389*1),$AV389*BE389*1,"")</f>
        <v/>
      </c>
      <c r="BS389" s="1411" t="str">
        <f aca="false">IF(ISNUMBER($AU389*BF389),$AU389*BF389,"")</f>
        <v/>
      </c>
      <c r="BT389" s="1411" t="str">
        <f aca="false">IF(ISNUMBER($AV389*BG389),$AV389*BG389,"")</f>
        <v/>
      </c>
      <c r="BU389" s="1411"/>
      <c r="BV389" s="1411"/>
      <c r="BW389" s="1411"/>
      <c r="BX389" s="1411"/>
      <c r="BZ389" s="1372"/>
      <c r="CA389" s="1372"/>
      <c r="CB389" s="1426" t="str">
        <f aca="false">IF(ISNUMBER($AW389*BB389),$AW389*BB389,"")</f>
        <v/>
      </c>
      <c r="CC389" s="1426" t="str">
        <f aca="false">IF(ISNUMBER($AX389*BC389),$AX389*BC389,"")</f>
        <v/>
      </c>
      <c r="CD389" s="1426" t="str">
        <f aca="false">IF(ISNUMBER($AW389*BD389),$AW389*BD389,"")</f>
        <v/>
      </c>
      <c r="CE389" s="1426" t="str">
        <f aca="false">IF(ISNUMBER($AX389*BE389),$AX389*BE389,"")</f>
        <v/>
      </c>
      <c r="CF389" s="1372" t="str">
        <f aca="false">IF(ISNUMBER($AW389*BF389),$AW389*BF389,"")</f>
        <v/>
      </c>
      <c r="CG389" s="1372" t="str">
        <f aca="false">IF(ISNUMBER($AX389*BG389),$AX389*BG389,"")</f>
        <v/>
      </c>
      <c r="CH389" s="1438"/>
      <c r="CI389" s="1438"/>
      <c r="CJ389" s="1438"/>
      <c r="CK389" s="1438"/>
      <c r="CU389" s="1411"/>
      <c r="CV389" s="1411"/>
      <c r="CW389" s="1425"/>
      <c r="CX389" s="1425"/>
      <c r="CY389" s="1425"/>
      <c r="CZ389" s="1425"/>
      <c r="DA389" s="1411"/>
      <c r="DB389" s="1411"/>
      <c r="DC389" s="1411"/>
      <c r="DD389" s="1411"/>
      <c r="DE389" s="1411"/>
      <c r="DF389" s="1411"/>
      <c r="DH389" s="1432"/>
      <c r="DI389" s="1432"/>
      <c r="DJ389" s="1437"/>
      <c r="DK389" s="1437"/>
      <c r="DL389" s="1437"/>
      <c r="DM389" s="1437"/>
      <c r="DN389" s="1432"/>
      <c r="DO389" s="1432"/>
      <c r="DP389" s="1432"/>
      <c r="DQ389" s="1432"/>
      <c r="DR389" s="1432"/>
      <c r="DS389" s="1432"/>
      <c r="DT389" s="1316"/>
      <c r="DU389" s="1433"/>
      <c r="DV389" s="1433"/>
      <c r="DW389" s="1433"/>
      <c r="DX389" s="1433"/>
      <c r="DY389" s="1433"/>
      <c r="DZ389" s="1433"/>
      <c r="EA389" s="1433"/>
      <c r="EB389" s="1433"/>
    </row>
    <row r="390" customFormat="false" ht="14.25" hidden="false" customHeight="false" outlineLevel="0" collapsed="false">
      <c r="A390" s="2" t="n">
        <f aca="false">'V_DATOS PAC_SGA'!CC385</f>
        <v>0</v>
      </c>
      <c r="B390" s="2" t="n">
        <f aca="false">IF(OR(A390=0,A390=""),0,IF(I390="IV",CONCATENATE('V_DATOS PAC_SGA'!CC385,"4")+0,CONCATENATE('V_DATOS PAC_SGA'!CC385,"0")+0))</f>
        <v>0</v>
      </c>
      <c r="C390" s="2" t="n">
        <f aca="false">'V_DATOS PAC_SGA'!CD385</f>
        <v>0</v>
      </c>
      <c r="D390" s="1409" t="n">
        <f aca="false">'V_DATOS PAC_SGA'!Y385</f>
        <v>0</v>
      </c>
      <c r="E390" s="1410" t="str">
        <f aca="false">IF('V_DATOS PAC_SGA'!AV385="","Regadio",'V_DATOS PAC_SGA'!AV385)</f>
        <v>Regadio</v>
      </c>
      <c r="F390" s="1411" t="n">
        <f aca="false">'V_DATOS PAC_SGA'!BK385</f>
        <v>0</v>
      </c>
      <c r="G390" s="1412" t="n">
        <f aca="false">'V_DATOS PAC_SGA'!AN385</f>
        <v>0</v>
      </c>
      <c r="H390" s="1413" t="str">
        <f aca="false">IF(B390&gt;0,VLOOKUP(B390,'O_MN, PE_UTA_UGM 2024'!E$3:O$419,10),"")</f>
        <v/>
      </c>
      <c r="I390" s="1359" t="str">
        <f aca="false">IF('V_DATOS PAC_SGA'!BV385="IV",'V_DATOS PAC_SGA'!BV385,"")</f>
        <v/>
      </c>
      <c r="J390" s="2" t="str">
        <f aca="false">IF($A390&gt;0,IF(AND(J$4=$G390,J$6=$F390),$D390*J$5,""),"")</f>
        <v/>
      </c>
      <c r="K390" s="2" t="str">
        <f aca="false">IF($A390&gt;0,IF(AND(K$4=$G390,K$6=$F390),$D390*K$5,""),"")</f>
        <v/>
      </c>
      <c r="L390" s="2" t="str">
        <f aca="false">IF($A390&gt;0,IF(AND(L$4=$G390,L$6=$F390),$D390*L$5,""),"")</f>
        <v/>
      </c>
      <c r="M390" s="2" t="str">
        <f aca="false">IF($A390&gt;0,IF(AND(M$4=$G390,M$6=$F390),$D390*M$5,""),"")</f>
        <v/>
      </c>
      <c r="N390" s="1506" t="n">
        <f aca="false">VLOOKUP(B390,'O_MN, PE_UTA_UGM 2024'!$E$2:$K$419,IF(G390&gt;1,6,7))</f>
        <v>0</v>
      </c>
      <c r="O390" s="1434" t="str">
        <f aca="false">IF($H390=O$4,$D390*$N390,"")</f>
        <v/>
      </c>
      <c r="P390" s="1435" t="str">
        <f aca="false">IF($H390=P$4,$D390*$N390,"")</f>
        <v/>
      </c>
      <c r="Q390" s="1435" t="str">
        <f aca="false">IF($H390=Q$4,$D390*$N390,"")</f>
        <v/>
      </c>
      <c r="R390" s="1435" t="str">
        <f aca="false">IF($H390=R$4,$D390*$N390,"")</f>
        <v/>
      </c>
      <c r="S390" s="1435" t="str">
        <f aca="false">IF($H390=S$4,$D390*$N390,"")</f>
        <v/>
      </c>
      <c r="T390" s="1435" t="str">
        <f aca="false">IF($H390=T$4,$D390*$N390,"")</f>
        <v/>
      </c>
      <c r="U390" s="1436" t="str">
        <f aca="false">IF($H390=U$4,$D390*$N390,"")</f>
        <v/>
      </c>
      <c r="V390" s="1472"/>
      <c r="W390" s="1471"/>
      <c r="X390" s="1471"/>
      <c r="Y390" s="1471"/>
      <c r="Z390" s="1471"/>
      <c r="AA390" s="1471"/>
      <c r="AB390" s="1473"/>
      <c r="AC390" s="1319"/>
      <c r="AD390" s="2" t="str">
        <f aca="false">IF(AND(AD$4=$G390,AD$6=$F390),$B390,"")</f>
        <v/>
      </c>
      <c r="AE390" s="2" t="str">
        <f aca="false">IF(AND(AE$4=$G390,AE$6=$F390),$B390,"")</f>
        <v/>
      </c>
      <c r="AF390" s="2" t="str">
        <f aca="false">IF(AND(AF$4=$G390,AF$6=$F390),$B390,"")</f>
        <v/>
      </c>
      <c r="AG390" s="2" t="str">
        <f aca="false">IF(AND(AG$4=$G390,AG$6=$F390),$B390,"")</f>
        <v/>
      </c>
      <c r="AI390" s="366"/>
      <c r="AL390" s="367"/>
      <c r="AO390" s="367"/>
      <c r="AP390" s="2" t="str">
        <f aca="false">IF(AT390&gt;0,RANK(AT390,AT$7:AT$423),"")</f>
        <v/>
      </c>
      <c r="AQ390" s="1475" t="n">
        <f aca="false">'O_MN, PE_UTA_UGM 2024'!C387</f>
        <v>0</v>
      </c>
      <c r="AR390" s="1421" t="n">
        <v>4610</v>
      </c>
      <c r="AS390" s="2" t="str">
        <f aca="false">IF(AY390&lt;&gt;"",AY390,"")</f>
        <v/>
      </c>
      <c r="AT390" s="1422" t="n">
        <f aca="false">IF(ISNUMBER($AR390),SUMIF(B$7:B$505,AR390,D$7:D$505),"")</f>
        <v>0</v>
      </c>
      <c r="AU390" s="1411" t="n">
        <f aca="false">IF(ISNUMBER($AR390),SUMIF(AD$7:AD$503,$AR390,J$7:J$503),"")</f>
        <v>0</v>
      </c>
      <c r="AV390" s="1411" t="n">
        <f aca="false">IF(ISNUMBER($AR390),SUMIF(AF$7:AF$503,$AR390,L$7:L$503),"")</f>
        <v>0</v>
      </c>
      <c r="AW390" s="1423" t="n">
        <f aca="false">IF(ISNUMBER($AR390),SUMIF(AE$7:AE$503,$AR390,K$7:K$503),"")</f>
        <v>0</v>
      </c>
      <c r="AX390" s="1423" t="n">
        <f aca="false">IF(ISNUMBER($AR390),SUMIF(AG$7:AG$503,$AR390,M$7:M$503),"")</f>
        <v>0</v>
      </c>
      <c r="AY390" s="2" t="str">
        <f aca="false">IF($AT390&gt;0,VLOOKUP($AR390,'O_MN, PE_UTA_UGM 2024'!E387:O802,2),"")</f>
        <v/>
      </c>
      <c r="AZ390" s="1507"/>
      <c r="BA390" s="1507"/>
      <c r="BB390" s="1507" t="str">
        <f aca="false">IF($AT390&gt;0,VLOOKUP($AR390,'O_MN, PE_UTA_UGM 2024'!$E$3:$O$419,BB$6),"")</f>
        <v/>
      </c>
      <c r="BC390" s="1507" t="str">
        <f aca="false">IF($AT390&gt;0,VLOOKUP($AR390,'O_MN, PE_UTA_UGM 2024'!$E$3:$O$419,BC$6),"")</f>
        <v/>
      </c>
      <c r="BD390" s="1507" t="str">
        <f aca="false">IF($AT390&gt;0,VLOOKUP($AR390,'O_MN, PE_UTA_UGM 2024'!$E$3:$O$419,BD$6),"")</f>
        <v/>
      </c>
      <c r="BE390" s="1507" t="str">
        <f aca="false">IF($AT390&gt;0,VLOOKUP($AR390,'O_MN, PE_UTA_UGM 2024'!$E$3:$O$419,BE$6),"")</f>
        <v/>
      </c>
      <c r="BF390" s="1507" t="str">
        <f aca="false">IF($AT390&gt;0,VLOOKUP($AR390,'O_MN, PE_UTA_UGM 2024'!$E$3:$O$419,BF$6),"")</f>
        <v/>
      </c>
      <c r="BG390" s="1507" t="str">
        <f aca="false">IF($AT390&gt;0,VLOOKUP($AR390,'O_MN, PE_UTA_UGM 2024'!$E$3:$O$419,BG$6),"")</f>
        <v/>
      </c>
      <c r="BH390" s="1504"/>
      <c r="BI390" s="1504"/>
      <c r="BJ390" s="1504"/>
      <c r="BK390" s="1504"/>
      <c r="BM390" s="1411"/>
      <c r="BN390" s="1411"/>
      <c r="BO390" s="1425" t="str">
        <f aca="false">IF(ISNUMBER($AU390*BB390*1),$AU390*BB390*1,"")</f>
        <v/>
      </c>
      <c r="BP390" s="1425" t="str">
        <f aca="false">IF(ISNUMBER($AV390*BC390*1),$AV390*BC390*1,"")</f>
        <v/>
      </c>
      <c r="BQ390" s="1425" t="str">
        <f aca="false">IF(ISNUMBER($AU390*BD390*1),$AU390*BD390*1,"")</f>
        <v/>
      </c>
      <c r="BR390" s="1425" t="str">
        <f aca="false">IF(ISNUMBER($AV390*BE390*1),$AV390*BE390*1,"")</f>
        <v/>
      </c>
      <c r="BS390" s="1411" t="str">
        <f aca="false">IF(ISNUMBER($AU390*BF390),$AU390*BF390,"")</f>
        <v/>
      </c>
      <c r="BT390" s="1411" t="str">
        <f aca="false">IF(ISNUMBER($AV390*BG390),$AV390*BG390,"")</f>
        <v/>
      </c>
      <c r="BU390" s="1411"/>
      <c r="BV390" s="1411"/>
      <c r="BW390" s="1411"/>
      <c r="BX390" s="1411"/>
      <c r="BZ390" s="1372"/>
      <c r="CA390" s="1372"/>
      <c r="CB390" s="1426" t="str">
        <f aca="false">IF(ISNUMBER($AW390*BB390),$AW390*BB390,"")</f>
        <v/>
      </c>
      <c r="CC390" s="1426" t="str">
        <f aca="false">IF(ISNUMBER($AX390*BC390),$AX390*BC390,"")</f>
        <v/>
      </c>
      <c r="CD390" s="1426" t="str">
        <f aca="false">IF(ISNUMBER($AW390*BD390),$AW390*BD390,"")</f>
        <v/>
      </c>
      <c r="CE390" s="1426" t="str">
        <f aca="false">IF(ISNUMBER($AX390*BE390),$AX390*BE390,"")</f>
        <v/>
      </c>
      <c r="CF390" s="1372" t="str">
        <f aca="false">IF(ISNUMBER($AW390*BF390),$AW390*BF390,"")</f>
        <v/>
      </c>
      <c r="CG390" s="1372" t="str">
        <f aca="false">IF(ISNUMBER($AX390*BG390),$AX390*BG390,"")</f>
        <v/>
      </c>
      <c r="CH390" s="1438"/>
      <c r="CI390" s="1438"/>
      <c r="CJ390" s="1438"/>
      <c r="CK390" s="1438"/>
      <c r="CU390" s="1411"/>
      <c r="CV390" s="1411"/>
      <c r="CW390" s="1425"/>
      <c r="CX390" s="1425"/>
      <c r="CY390" s="1425"/>
      <c r="CZ390" s="1425"/>
      <c r="DA390" s="1411"/>
      <c r="DB390" s="1411"/>
      <c r="DC390" s="1411"/>
      <c r="DD390" s="1411"/>
      <c r="DE390" s="1411"/>
      <c r="DF390" s="1411"/>
      <c r="DH390" s="1432"/>
      <c r="DI390" s="1432"/>
      <c r="DJ390" s="1437"/>
      <c r="DK390" s="1437"/>
      <c r="DL390" s="1437"/>
      <c r="DM390" s="1437"/>
      <c r="DN390" s="1432"/>
      <c r="DO390" s="1432"/>
      <c r="DP390" s="1432"/>
      <c r="DQ390" s="1432"/>
      <c r="DR390" s="1432"/>
      <c r="DS390" s="1432"/>
      <c r="DT390" s="1316"/>
      <c r="DU390" s="1433"/>
      <c r="DV390" s="1433"/>
      <c r="DW390" s="1433"/>
      <c r="DX390" s="1433"/>
      <c r="DY390" s="1433"/>
      <c r="DZ390" s="1433"/>
      <c r="EA390" s="1433"/>
      <c r="EB390" s="1433"/>
    </row>
    <row r="391" customFormat="false" ht="14.25" hidden="false" customHeight="false" outlineLevel="0" collapsed="false">
      <c r="A391" s="2" t="n">
        <f aca="false">'V_DATOS PAC_SGA'!CC386</f>
        <v>0</v>
      </c>
      <c r="B391" s="2" t="n">
        <f aca="false">IF(OR(A391=0,A391=""),0,IF(I391="IV",CONCATENATE('V_DATOS PAC_SGA'!CC386,"4")+0,CONCATENATE('V_DATOS PAC_SGA'!CC386,"0")+0))</f>
        <v>0</v>
      </c>
      <c r="C391" s="2" t="n">
        <f aca="false">'V_DATOS PAC_SGA'!CD386</f>
        <v>0</v>
      </c>
      <c r="D391" s="1409" t="n">
        <f aca="false">'V_DATOS PAC_SGA'!Y386</f>
        <v>0</v>
      </c>
      <c r="E391" s="1410" t="str">
        <f aca="false">IF('V_DATOS PAC_SGA'!AV386="","Regadio",'V_DATOS PAC_SGA'!AV386)</f>
        <v>Regadio</v>
      </c>
      <c r="F391" s="1411" t="n">
        <f aca="false">'V_DATOS PAC_SGA'!BK386</f>
        <v>0</v>
      </c>
      <c r="G391" s="1412" t="n">
        <f aca="false">'V_DATOS PAC_SGA'!AN386</f>
        <v>0</v>
      </c>
      <c r="H391" s="1413" t="str">
        <f aca="false">IF(B391&gt;0,VLOOKUP(B391,'O_MN, PE_UTA_UGM 2024'!E$3:O$419,10),"")</f>
        <v/>
      </c>
      <c r="I391" s="1359" t="str">
        <f aca="false">IF('V_DATOS PAC_SGA'!BV386="IV",'V_DATOS PAC_SGA'!BV386,"")</f>
        <v/>
      </c>
      <c r="J391" s="2" t="str">
        <f aca="false">IF($A391&gt;0,IF(AND(J$4=$G391,J$6=$F391),$D391*J$5,""),"")</f>
        <v/>
      </c>
      <c r="K391" s="2" t="str">
        <f aca="false">IF($A391&gt;0,IF(AND(K$4=$G391,K$6=$F391),$D391*K$5,""),"")</f>
        <v/>
      </c>
      <c r="L391" s="2" t="str">
        <f aca="false">IF($A391&gt;0,IF(AND(L$4=$G391,L$6=$F391),$D391*L$5,""),"")</f>
        <v/>
      </c>
      <c r="M391" s="2" t="str">
        <f aca="false">IF($A391&gt;0,IF(AND(M$4=$G391,M$6=$F391),$D391*M$5,""),"")</f>
        <v/>
      </c>
      <c r="N391" s="1506" t="n">
        <f aca="false">VLOOKUP(B391,'O_MN, PE_UTA_UGM 2024'!$E$2:$K$419,IF(G391&gt;1,6,7))</f>
        <v>0</v>
      </c>
      <c r="O391" s="1434" t="str">
        <f aca="false">IF($H391=O$4,$D391*$N391,"")</f>
        <v/>
      </c>
      <c r="P391" s="1435" t="str">
        <f aca="false">IF($H391=P$4,$D391*$N391,"")</f>
        <v/>
      </c>
      <c r="Q391" s="1435" t="str">
        <f aca="false">IF($H391=Q$4,$D391*$N391,"")</f>
        <v/>
      </c>
      <c r="R391" s="1435" t="str">
        <f aca="false">IF($H391=R$4,$D391*$N391,"")</f>
        <v/>
      </c>
      <c r="S391" s="1435" t="str">
        <f aca="false">IF($H391=S$4,$D391*$N391,"")</f>
        <v/>
      </c>
      <c r="T391" s="1435" t="str">
        <f aca="false">IF($H391=T$4,$D391*$N391,"")</f>
        <v/>
      </c>
      <c r="U391" s="1436" t="str">
        <f aca="false">IF($H391=U$4,$D391*$N391,"")</f>
        <v/>
      </c>
      <c r="V391" s="1472"/>
      <c r="W391" s="1471"/>
      <c r="X391" s="1471"/>
      <c r="Y391" s="1471"/>
      <c r="Z391" s="1471"/>
      <c r="AA391" s="1471"/>
      <c r="AB391" s="1473"/>
      <c r="AC391" s="1319"/>
      <c r="AD391" s="2" t="str">
        <f aca="false">IF(AND(AD$4=$G391,AD$6=$F391),$B391,"")</f>
        <v/>
      </c>
      <c r="AE391" s="2" t="str">
        <f aca="false">IF(AND(AE$4=$G391,AE$6=$F391),$B391,"")</f>
        <v/>
      </c>
      <c r="AF391" s="2" t="str">
        <f aca="false">IF(AND(AF$4=$G391,AF$6=$F391),$B391,"")</f>
        <v/>
      </c>
      <c r="AG391" s="2" t="str">
        <f aca="false">IF(AND(AG$4=$G391,AG$6=$F391),$B391,"")</f>
        <v/>
      </c>
      <c r="AI391" s="366"/>
      <c r="AL391" s="367"/>
      <c r="AO391" s="367"/>
      <c r="AP391" s="2" t="str">
        <f aca="false">IF(AT391&gt;0,RANK(AT391,AT$7:AT$423),"")</f>
        <v/>
      </c>
      <c r="AQ391" s="1475" t="n">
        <f aca="false">'O_MN, PE_UTA_UGM 2024'!C388</f>
        <v>0</v>
      </c>
      <c r="AR391" s="1421" t="n">
        <v>4640</v>
      </c>
      <c r="AS391" s="2" t="str">
        <f aca="false">IF(AY391&lt;&gt;"",AY391,"")</f>
        <v/>
      </c>
      <c r="AT391" s="1422" t="n">
        <f aca="false">IF(ISNUMBER($AR391),SUMIF(B$7:B$505,AR391,D$7:D$505),"")</f>
        <v>0</v>
      </c>
      <c r="AU391" s="1411" t="n">
        <f aca="false">IF(ISNUMBER($AR391),SUMIF(AD$7:AD$503,$AR391,J$7:J$503),"")</f>
        <v>0</v>
      </c>
      <c r="AV391" s="1411" t="n">
        <f aca="false">IF(ISNUMBER($AR391),SUMIF(AF$7:AF$503,$AR391,L$7:L$503),"")</f>
        <v>0</v>
      </c>
      <c r="AW391" s="1423" t="n">
        <f aca="false">IF(ISNUMBER($AR391),SUMIF(AE$7:AE$503,$AR391,K$7:K$503),"")</f>
        <v>0</v>
      </c>
      <c r="AX391" s="1423" t="n">
        <f aca="false">IF(ISNUMBER($AR391),SUMIF(AG$7:AG$503,$AR391,M$7:M$503),"")</f>
        <v>0</v>
      </c>
      <c r="AY391" s="2" t="str">
        <f aca="false">IF($AT391&gt;0,VLOOKUP($AR391,'O_MN, PE_UTA_UGM 2024'!E388:O803,2),"")</f>
        <v/>
      </c>
      <c r="AZ391" s="1507"/>
      <c r="BA391" s="1507"/>
      <c r="BB391" s="1507" t="str">
        <f aca="false">IF($AT391&gt;0,VLOOKUP($AR391,'O_MN, PE_UTA_UGM 2024'!$E$3:$O$419,BB$6),"")</f>
        <v/>
      </c>
      <c r="BC391" s="1507" t="str">
        <f aca="false">IF($AT391&gt;0,VLOOKUP($AR391,'O_MN, PE_UTA_UGM 2024'!$E$3:$O$419,BC$6),"")</f>
        <v/>
      </c>
      <c r="BD391" s="1507" t="str">
        <f aca="false">IF($AT391&gt;0,VLOOKUP($AR391,'O_MN, PE_UTA_UGM 2024'!$E$3:$O$419,BD$6),"")</f>
        <v/>
      </c>
      <c r="BE391" s="1507" t="str">
        <f aca="false">IF($AT391&gt;0,VLOOKUP($AR391,'O_MN, PE_UTA_UGM 2024'!$E$3:$O$419,BE$6),"")</f>
        <v/>
      </c>
      <c r="BF391" s="1507" t="str">
        <f aca="false">IF($AT391&gt;0,VLOOKUP($AR391,'O_MN, PE_UTA_UGM 2024'!$E$3:$O$419,BF$6),"")</f>
        <v/>
      </c>
      <c r="BG391" s="1507" t="str">
        <f aca="false">IF($AT391&gt;0,VLOOKUP($AR391,'O_MN, PE_UTA_UGM 2024'!$E$3:$O$419,BG$6),"")</f>
        <v/>
      </c>
      <c r="BH391" s="1504"/>
      <c r="BI391" s="1504"/>
      <c r="BJ391" s="1504"/>
      <c r="BK391" s="1504"/>
      <c r="BM391" s="1411"/>
      <c r="BN391" s="1411"/>
      <c r="BO391" s="1425" t="str">
        <f aca="false">IF(ISNUMBER($AU391*BB391*1),$AU391*BB391*1,"")</f>
        <v/>
      </c>
      <c r="BP391" s="1425" t="str">
        <f aca="false">IF(ISNUMBER($AV391*BC391*1),$AV391*BC391*1,"")</f>
        <v/>
      </c>
      <c r="BQ391" s="1425" t="str">
        <f aca="false">IF(ISNUMBER($AU391*BD391*1),$AU391*BD391*1,"")</f>
        <v/>
      </c>
      <c r="BR391" s="1425" t="str">
        <f aca="false">IF(ISNUMBER($AV391*BE391*1),$AV391*BE391*1,"")</f>
        <v/>
      </c>
      <c r="BS391" s="1411" t="str">
        <f aca="false">IF(ISNUMBER($AU391*BF391),$AU391*BF391,"")</f>
        <v/>
      </c>
      <c r="BT391" s="1411" t="str">
        <f aca="false">IF(ISNUMBER($AV391*BG391),$AV391*BG391,"")</f>
        <v/>
      </c>
      <c r="BU391" s="1411"/>
      <c r="BV391" s="1411"/>
      <c r="BW391" s="1411"/>
      <c r="BX391" s="1411"/>
      <c r="BZ391" s="1372"/>
      <c r="CA391" s="1372"/>
      <c r="CB391" s="1426" t="str">
        <f aca="false">IF(ISNUMBER($AW391*BB391),$AW391*BB391,"")</f>
        <v/>
      </c>
      <c r="CC391" s="1426" t="str">
        <f aca="false">IF(ISNUMBER($AX391*BC391),$AX391*BC391,"")</f>
        <v/>
      </c>
      <c r="CD391" s="1426" t="str">
        <f aca="false">IF(ISNUMBER($AW391*BD391),$AW391*BD391,"")</f>
        <v/>
      </c>
      <c r="CE391" s="1426" t="str">
        <f aca="false">IF(ISNUMBER($AX391*BE391),$AX391*BE391,"")</f>
        <v/>
      </c>
      <c r="CF391" s="1372" t="str">
        <f aca="false">IF(ISNUMBER($AW391*BF391),$AW391*BF391,"")</f>
        <v/>
      </c>
      <c r="CG391" s="1372" t="str">
        <f aca="false">IF(ISNUMBER($AX391*BG391),$AX391*BG391,"")</f>
        <v/>
      </c>
      <c r="CH391" s="1438"/>
      <c r="CI391" s="1438"/>
      <c r="CJ391" s="1438"/>
      <c r="CK391" s="1438"/>
      <c r="CU391" s="1411"/>
      <c r="CV391" s="1411"/>
      <c r="CW391" s="1425"/>
      <c r="CX391" s="1425"/>
      <c r="CY391" s="1425"/>
      <c r="CZ391" s="1425"/>
      <c r="DA391" s="1411"/>
      <c r="DB391" s="1411"/>
      <c r="DC391" s="1411"/>
      <c r="DD391" s="1411"/>
      <c r="DE391" s="1411"/>
      <c r="DF391" s="1411"/>
      <c r="DH391" s="1432"/>
      <c r="DI391" s="1432"/>
      <c r="DJ391" s="1437"/>
      <c r="DK391" s="1437"/>
      <c r="DL391" s="1437"/>
      <c r="DM391" s="1437"/>
      <c r="DN391" s="1432"/>
      <c r="DO391" s="1432"/>
      <c r="DP391" s="1432"/>
      <c r="DQ391" s="1432"/>
      <c r="DR391" s="1432"/>
      <c r="DS391" s="1432"/>
      <c r="DT391" s="1316"/>
      <c r="DU391" s="1433"/>
      <c r="DV391" s="1433"/>
      <c r="DW391" s="1433"/>
      <c r="DX391" s="1433"/>
      <c r="DY391" s="1433"/>
      <c r="DZ391" s="1433"/>
      <c r="EA391" s="1433"/>
      <c r="EB391" s="1433"/>
    </row>
    <row r="392" customFormat="false" ht="14.25" hidden="false" customHeight="false" outlineLevel="0" collapsed="false">
      <c r="A392" s="2" t="n">
        <f aca="false">'V_DATOS PAC_SGA'!CC387</f>
        <v>0</v>
      </c>
      <c r="B392" s="2" t="n">
        <f aca="false">IF(OR(A392=0,A392=""),0,IF(I392="IV",CONCATENATE('V_DATOS PAC_SGA'!CC387,"4")+0,CONCATENATE('V_DATOS PAC_SGA'!CC387,"0")+0))</f>
        <v>0</v>
      </c>
      <c r="C392" s="2" t="n">
        <f aca="false">'V_DATOS PAC_SGA'!CD387</f>
        <v>0</v>
      </c>
      <c r="D392" s="1409" t="n">
        <f aca="false">'V_DATOS PAC_SGA'!Y387</f>
        <v>0</v>
      </c>
      <c r="E392" s="1410" t="str">
        <f aca="false">IF('V_DATOS PAC_SGA'!AV387="","Regadio",'V_DATOS PAC_SGA'!AV387)</f>
        <v>Regadio</v>
      </c>
      <c r="F392" s="1411" t="n">
        <f aca="false">'V_DATOS PAC_SGA'!BK387</f>
        <v>0</v>
      </c>
      <c r="G392" s="1412" t="n">
        <f aca="false">'V_DATOS PAC_SGA'!AN387</f>
        <v>0</v>
      </c>
      <c r="H392" s="1413" t="str">
        <f aca="false">IF(B392&gt;0,VLOOKUP(B392,'O_MN, PE_UTA_UGM 2024'!E$3:O$419,10),"")</f>
        <v/>
      </c>
      <c r="I392" s="1359" t="str">
        <f aca="false">IF('V_DATOS PAC_SGA'!BV387="IV",'V_DATOS PAC_SGA'!BV387,"")</f>
        <v/>
      </c>
      <c r="J392" s="2" t="str">
        <f aca="false">IF($A392&gt;0,IF(AND(J$4=$G392,J$6=$F392),$D392*J$5,""),"")</f>
        <v/>
      </c>
      <c r="K392" s="2" t="str">
        <f aca="false">IF($A392&gt;0,IF(AND(K$4=$G392,K$6=$F392),$D392*K$5,""),"")</f>
        <v/>
      </c>
      <c r="L392" s="2" t="str">
        <f aca="false">IF($A392&gt;0,IF(AND(L$4=$G392,L$6=$F392),$D392*L$5,""),"")</f>
        <v/>
      </c>
      <c r="M392" s="2" t="str">
        <f aca="false">IF($A392&gt;0,IF(AND(M$4=$G392,M$6=$F392),$D392*M$5,""),"")</f>
        <v/>
      </c>
      <c r="N392" s="1506" t="n">
        <f aca="false">VLOOKUP(B392,'O_MN, PE_UTA_UGM 2024'!$E$2:$K$419,IF(G392&gt;1,6,7))</f>
        <v>0</v>
      </c>
      <c r="O392" s="1434" t="str">
        <f aca="false">IF($H392=O$4,$D392*$N392,"")</f>
        <v/>
      </c>
      <c r="P392" s="1435" t="str">
        <f aca="false">IF($H392=P$4,$D392*$N392,"")</f>
        <v/>
      </c>
      <c r="Q392" s="1435" t="str">
        <f aca="false">IF($H392=Q$4,$D392*$N392,"")</f>
        <v/>
      </c>
      <c r="R392" s="1435" t="str">
        <f aca="false">IF($H392=R$4,$D392*$N392,"")</f>
        <v/>
      </c>
      <c r="S392" s="1435" t="str">
        <f aca="false">IF($H392=S$4,$D392*$N392,"")</f>
        <v/>
      </c>
      <c r="T392" s="1435" t="str">
        <f aca="false">IF($H392=T$4,$D392*$N392,"")</f>
        <v/>
      </c>
      <c r="U392" s="1436" t="str">
        <f aca="false">IF($H392=U$4,$D392*$N392,"")</f>
        <v/>
      </c>
      <c r="V392" s="1472"/>
      <c r="W392" s="1471"/>
      <c r="X392" s="1471"/>
      <c r="Y392" s="1471"/>
      <c r="Z392" s="1471"/>
      <c r="AA392" s="1471"/>
      <c r="AB392" s="1473"/>
      <c r="AC392" s="1319"/>
      <c r="AD392" s="2" t="str">
        <f aca="false">IF(AND(AD$4=$G392,AD$6=$F392),$B392,"")</f>
        <v/>
      </c>
      <c r="AE392" s="2" t="str">
        <f aca="false">IF(AND(AE$4=$G392,AE$6=$F392),$B392,"")</f>
        <v/>
      </c>
      <c r="AF392" s="2" t="str">
        <f aca="false">IF(AND(AF$4=$G392,AF$6=$F392),$B392,"")</f>
        <v/>
      </c>
      <c r="AG392" s="2" t="str">
        <f aca="false">IF(AND(AG$4=$G392,AG$6=$F392),$B392,"")</f>
        <v/>
      </c>
      <c r="AI392" s="366"/>
      <c r="AL392" s="367"/>
      <c r="AO392" s="367"/>
      <c r="AP392" s="2" t="str">
        <f aca="false">IF(AT392&gt;0,RANK(AT392,AT$7:AT$423),"")</f>
        <v/>
      </c>
      <c r="AQ392" s="1475" t="n">
        <f aca="false">'O_MN, PE_UTA_UGM 2024'!C389</f>
        <v>0</v>
      </c>
      <c r="AR392" s="1421" t="n">
        <v>4650</v>
      </c>
      <c r="AS392" s="2" t="str">
        <f aca="false">IF(AY392&lt;&gt;"",AY392,"")</f>
        <v/>
      </c>
      <c r="AT392" s="1422" t="n">
        <f aca="false">IF(ISNUMBER($AR392),SUMIF(B$7:B$505,AR392,D$7:D$505),"")</f>
        <v>0</v>
      </c>
      <c r="AU392" s="1411" t="n">
        <f aca="false">IF(ISNUMBER($AR392),SUMIF(AD$7:AD$503,$AR392,J$7:J$503),"")</f>
        <v>0</v>
      </c>
      <c r="AV392" s="1411" t="n">
        <f aca="false">IF(ISNUMBER($AR392),SUMIF(AF$7:AF$503,$AR392,L$7:L$503),"")</f>
        <v>0</v>
      </c>
      <c r="AW392" s="1423" t="n">
        <f aca="false">IF(ISNUMBER($AR392),SUMIF(AE$7:AE$503,$AR392,K$7:K$503),"")</f>
        <v>0</v>
      </c>
      <c r="AX392" s="1423" t="n">
        <f aca="false">IF(ISNUMBER($AR392),SUMIF(AG$7:AG$503,$AR392,M$7:M$503),"")</f>
        <v>0</v>
      </c>
      <c r="AY392" s="2" t="str">
        <f aca="false">IF($AT392&gt;0,VLOOKUP($AR392,'O_MN, PE_UTA_UGM 2024'!E389:O804,2),"")</f>
        <v/>
      </c>
      <c r="AZ392" s="1507"/>
      <c r="BA392" s="1507"/>
      <c r="BB392" s="1507" t="str">
        <f aca="false">IF($AT392&gt;0,VLOOKUP($AR392,'O_MN, PE_UTA_UGM 2024'!$E$3:$O$419,BB$6),"")</f>
        <v/>
      </c>
      <c r="BC392" s="1507" t="str">
        <f aca="false">IF($AT392&gt;0,VLOOKUP($AR392,'O_MN, PE_UTA_UGM 2024'!$E$3:$O$419,BC$6),"")</f>
        <v/>
      </c>
      <c r="BD392" s="1507" t="str">
        <f aca="false">IF($AT392&gt;0,VLOOKUP($AR392,'O_MN, PE_UTA_UGM 2024'!$E$3:$O$419,BD$6),"")</f>
        <v/>
      </c>
      <c r="BE392" s="1507" t="str">
        <f aca="false">IF($AT392&gt;0,VLOOKUP($AR392,'O_MN, PE_UTA_UGM 2024'!$E$3:$O$419,BE$6),"")</f>
        <v/>
      </c>
      <c r="BF392" s="1507" t="str">
        <f aca="false">IF($AT392&gt;0,VLOOKUP($AR392,'O_MN, PE_UTA_UGM 2024'!$E$3:$O$419,BF$6),"")</f>
        <v/>
      </c>
      <c r="BG392" s="1507" t="str">
        <f aca="false">IF($AT392&gt;0,VLOOKUP($AR392,'O_MN, PE_UTA_UGM 2024'!$E$3:$O$419,BG$6),"")</f>
        <v/>
      </c>
      <c r="BH392" s="1504"/>
      <c r="BI392" s="1504"/>
      <c r="BJ392" s="1504"/>
      <c r="BK392" s="1504"/>
      <c r="BM392" s="1411"/>
      <c r="BN392" s="1411"/>
      <c r="BO392" s="1425" t="str">
        <f aca="false">IF(ISNUMBER($AU392*BB392*1),$AU392*BB392*1,"")</f>
        <v/>
      </c>
      <c r="BP392" s="1425" t="str">
        <f aca="false">IF(ISNUMBER($AV392*BC392*1),$AV392*BC392*1,"")</f>
        <v/>
      </c>
      <c r="BQ392" s="1425" t="str">
        <f aca="false">IF(ISNUMBER($AU392*BD392*1),$AU392*BD392*1,"")</f>
        <v/>
      </c>
      <c r="BR392" s="1425" t="str">
        <f aca="false">IF(ISNUMBER($AV392*BE392*1),$AV392*BE392*1,"")</f>
        <v/>
      </c>
      <c r="BS392" s="1411" t="str">
        <f aca="false">IF(ISNUMBER($AU392*BF392),$AU392*BF392,"")</f>
        <v/>
      </c>
      <c r="BT392" s="1411" t="str">
        <f aca="false">IF(ISNUMBER($AV392*BG392),$AV392*BG392,"")</f>
        <v/>
      </c>
      <c r="BU392" s="1411"/>
      <c r="BV392" s="1411"/>
      <c r="BW392" s="1411"/>
      <c r="BX392" s="1411"/>
      <c r="BZ392" s="1372"/>
      <c r="CA392" s="1372"/>
      <c r="CB392" s="1426" t="str">
        <f aca="false">IF(ISNUMBER($AW392*BB392),$AW392*BB392,"")</f>
        <v/>
      </c>
      <c r="CC392" s="1426" t="str">
        <f aca="false">IF(ISNUMBER($AX392*BC392),$AX392*BC392,"")</f>
        <v/>
      </c>
      <c r="CD392" s="1426" t="str">
        <f aca="false">IF(ISNUMBER($AW392*BD392),$AW392*BD392,"")</f>
        <v/>
      </c>
      <c r="CE392" s="1426" t="str">
        <f aca="false">IF(ISNUMBER($AX392*BE392),$AX392*BE392,"")</f>
        <v/>
      </c>
      <c r="CF392" s="1372" t="str">
        <f aca="false">IF(ISNUMBER($AW392*BF392),$AW392*BF392,"")</f>
        <v/>
      </c>
      <c r="CG392" s="1372" t="str">
        <f aca="false">IF(ISNUMBER($AX392*BG392),$AX392*BG392,"")</f>
        <v/>
      </c>
      <c r="CH392" s="1438"/>
      <c r="CI392" s="1438"/>
      <c r="CJ392" s="1438"/>
      <c r="CK392" s="1438"/>
      <c r="CU392" s="1411"/>
      <c r="CV392" s="1411"/>
      <c r="CW392" s="1425"/>
      <c r="CX392" s="1425"/>
      <c r="CY392" s="1425"/>
      <c r="CZ392" s="1425"/>
      <c r="DA392" s="1411"/>
      <c r="DB392" s="1411"/>
      <c r="DC392" s="1411"/>
      <c r="DD392" s="1411"/>
      <c r="DE392" s="1411"/>
      <c r="DF392" s="1411"/>
      <c r="DH392" s="1432"/>
      <c r="DI392" s="1432"/>
      <c r="DJ392" s="1437"/>
      <c r="DK392" s="1437"/>
      <c r="DL392" s="1437"/>
      <c r="DM392" s="1437"/>
      <c r="DN392" s="1432"/>
      <c r="DO392" s="1432"/>
      <c r="DP392" s="1432"/>
      <c r="DQ392" s="1432"/>
      <c r="DR392" s="1432"/>
      <c r="DS392" s="1432"/>
      <c r="DT392" s="1316"/>
      <c r="DU392" s="1433"/>
      <c r="DV392" s="1433"/>
      <c r="DW392" s="1433"/>
      <c r="DX392" s="1433"/>
      <c r="DY392" s="1433"/>
      <c r="DZ392" s="1433"/>
      <c r="EA392" s="1433"/>
      <c r="EB392" s="1433"/>
    </row>
    <row r="393" customFormat="false" ht="14.25" hidden="false" customHeight="false" outlineLevel="0" collapsed="false">
      <c r="A393" s="2" t="n">
        <f aca="false">'V_DATOS PAC_SGA'!CC388</f>
        <v>0</v>
      </c>
      <c r="B393" s="2" t="n">
        <f aca="false">IF(OR(A393=0,A393=""),0,IF(I393="IV",CONCATENATE('V_DATOS PAC_SGA'!CC388,"4")+0,CONCATENATE('V_DATOS PAC_SGA'!CC388,"0")+0))</f>
        <v>0</v>
      </c>
      <c r="C393" s="2" t="n">
        <f aca="false">'V_DATOS PAC_SGA'!CD388</f>
        <v>0</v>
      </c>
      <c r="D393" s="1409" t="n">
        <f aca="false">'V_DATOS PAC_SGA'!Y388</f>
        <v>0</v>
      </c>
      <c r="E393" s="1410" t="str">
        <f aca="false">IF('V_DATOS PAC_SGA'!AV388="","Regadio",'V_DATOS PAC_SGA'!AV388)</f>
        <v>Regadio</v>
      </c>
      <c r="F393" s="1411" t="n">
        <f aca="false">'V_DATOS PAC_SGA'!BK388</f>
        <v>0</v>
      </c>
      <c r="G393" s="1412" t="n">
        <f aca="false">'V_DATOS PAC_SGA'!AN388</f>
        <v>0</v>
      </c>
      <c r="H393" s="1413" t="str">
        <f aca="false">IF(B393&gt;0,VLOOKUP(B393,'O_MN, PE_UTA_UGM 2024'!E$3:O$419,10),"")</f>
        <v/>
      </c>
      <c r="I393" s="1359" t="str">
        <f aca="false">IF('V_DATOS PAC_SGA'!BV388="IV",'V_DATOS PAC_SGA'!BV388,"")</f>
        <v/>
      </c>
      <c r="J393" s="2" t="str">
        <f aca="false">IF($A393&gt;0,IF(AND(J$4=$G393,J$6=$F393),$D393*J$5,""),"")</f>
        <v/>
      </c>
      <c r="K393" s="2" t="str">
        <f aca="false">IF($A393&gt;0,IF(AND(K$4=$G393,K$6=$F393),$D393*K$5,""),"")</f>
        <v/>
      </c>
      <c r="L393" s="2" t="str">
        <f aca="false">IF($A393&gt;0,IF(AND(L$4=$G393,L$6=$F393),$D393*L$5,""),"")</f>
        <v/>
      </c>
      <c r="M393" s="2" t="str">
        <f aca="false">IF($A393&gt;0,IF(AND(M$4=$G393,M$6=$F393),$D393*M$5,""),"")</f>
        <v/>
      </c>
      <c r="N393" s="1506" t="n">
        <f aca="false">VLOOKUP(B393,'O_MN, PE_UTA_UGM 2024'!$E$2:$K$419,IF(G393&gt;1,6,7))</f>
        <v>0</v>
      </c>
      <c r="O393" s="1434" t="str">
        <f aca="false">IF($H393=O$4,$D393*$N393,"")</f>
        <v/>
      </c>
      <c r="P393" s="1435" t="str">
        <f aca="false">IF($H393=P$4,$D393*$N393,"")</f>
        <v/>
      </c>
      <c r="Q393" s="1435" t="str">
        <f aca="false">IF($H393=Q$4,$D393*$N393,"")</f>
        <v/>
      </c>
      <c r="R393" s="1435" t="str">
        <f aca="false">IF($H393=R$4,$D393*$N393,"")</f>
        <v/>
      </c>
      <c r="S393" s="1435" t="str">
        <f aca="false">IF($H393=S$4,$D393*$N393,"")</f>
        <v/>
      </c>
      <c r="T393" s="1435" t="str">
        <f aca="false">IF($H393=T$4,$D393*$N393,"")</f>
        <v/>
      </c>
      <c r="U393" s="1436" t="str">
        <f aca="false">IF($H393=U$4,$D393*$N393,"")</f>
        <v/>
      </c>
      <c r="V393" s="1472"/>
      <c r="W393" s="1471"/>
      <c r="X393" s="1471"/>
      <c r="Y393" s="1471"/>
      <c r="Z393" s="1471"/>
      <c r="AA393" s="1471"/>
      <c r="AB393" s="1473"/>
      <c r="AC393" s="1319"/>
      <c r="AD393" s="2" t="str">
        <f aca="false">IF(AND(AD$4=$G393,AD$6=$F393),$B393,"")</f>
        <v/>
      </c>
      <c r="AE393" s="2" t="str">
        <f aca="false">IF(AND(AE$4=$G393,AE$6=$F393),$B393,"")</f>
        <v/>
      </c>
      <c r="AF393" s="2" t="str">
        <f aca="false">IF(AND(AF$4=$G393,AF$6=$F393),$B393,"")</f>
        <v/>
      </c>
      <c r="AG393" s="2" t="str">
        <f aca="false">IF(AND(AG$4=$G393,AG$6=$F393),$B393,"")</f>
        <v/>
      </c>
      <c r="AI393" s="366"/>
      <c r="AL393" s="367"/>
      <c r="AO393" s="367"/>
      <c r="AP393" s="2" t="str">
        <f aca="false">IF(AT393&gt;0,RANK(AT393,AT$7:AT$423),"")</f>
        <v/>
      </c>
      <c r="AQ393" s="1475" t="n">
        <f aca="false">'O_MN, PE_UTA_UGM 2024'!C390</f>
        <v>0</v>
      </c>
      <c r="AR393" s="1421" t="n">
        <v>4700</v>
      </c>
      <c r="AS393" s="2" t="str">
        <f aca="false">IF(AY393&lt;&gt;"",AY393,"")</f>
        <v/>
      </c>
      <c r="AT393" s="1422" t="n">
        <f aca="false">IF(ISNUMBER($AR393),SUMIF(B$7:B$505,AR393,D$7:D$505),"")</f>
        <v>0</v>
      </c>
      <c r="AU393" s="1411" t="n">
        <f aca="false">IF(ISNUMBER($AR393),SUMIF(AD$7:AD$503,$AR393,J$7:J$503),"")</f>
        <v>0</v>
      </c>
      <c r="AV393" s="1411" t="n">
        <f aca="false">IF(ISNUMBER($AR393),SUMIF(AF$7:AF$503,$AR393,L$7:L$503),"")</f>
        <v>0</v>
      </c>
      <c r="AW393" s="1423" t="n">
        <f aca="false">IF(ISNUMBER($AR393),SUMIF(AE$7:AE$503,$AR393,K$7:K$503),"")</f>
        <v>0</v>
      </c>
      <c r="AX393" s="1423" t="n">
        <f aca="false">IF(ISNUMBER($AR393),SUMIF(AG$7:AG$503,$AR393,M$7:M$503),"")</f>
        <v>0</v>
      </c>
      <c r="AY393" s="2" t="str">
        <f aca="false">IF($AT393&gt;0,VLOOKUP($AR393,'O_MN, PE_UTA_UGM 2024'!E390:O805,2),"")</f>
        <v/>
      </c>
      <c r="AZ393" s="1507"/>
      <c r="BA393" s="1507"/>
      <c r="BB393" s="1507" t="str">
        <f aca="false">IF($AT393&gt;0,VLOOKUP($AR393,'O_MN, PE_UTA_UGM 2024'!$E$3:$O$419,BB$6),"")</f>
        <v/>
      </c>
      <c r="BC393" s="1507" t="str">
        <f aca="false">IF($AT393&gt;0,VLOOKUP($AR393,'O_MN, PE_UTA_UGM 2024'!$E$3:$O$419,BC$6),"")</f>
        <v/>
      </c>
      <c r="BD393" s="1507" t="str">
        <f aca="false">IF($AT393&gt;0,VLOOKUP($AR393,'O_MN, PE_UTA_UGM 2024'!$E$3:$O$419,BD$6),"")</f>
        <v/>
      </c>
      <c r="BE393" s="1507" t="str">
        <f aca="false">IF($AT393&gt;0,VLOOKUP($AR393,'O_MN, PE_UTA_UGM 2024'!$E$3:$O$419,BE$6),"")</f>
        <v/>
      </c>
      <c r="BF393" s="1507" t="str">
        <f aca="false">IF($AT393&gt;0,VLOOKUP($AR393,'O_MN, PE_UTA_UGM 2024'!$E$3:$O$419,BF$6),"")</f>
        <v/>
      </c>
      <c r="BG393" s="1507" t="str">
        <f aca="false">IF($AT393&gt;0,VLOOKUP($AR393,'O_MN, PE_UTA_UGM 2024'!$E$3:$O$419,BG$6),"")</f>
        <v/>
      </c>
      <c r="BH393" s="1504"/>
      <c r="BI393" s="1504"/>
      <c r="BJ393" s="1504"/>
      <c r="BK393" s="1504"/>
      <c r="BM393" s="1411"/>
      <c r="BN393" s="1411"/>
      <c r="BO393" s="1425" t="str">
        <f aca="false">IF(ISNUMBER($AU393*BB393*1),$AU393*BB393*1,"")</f>
        <v/>
      </c>
      <c r="BP393" s="1425" t="str">
        <f aca="false">IF(ISNUMBER($AV393*BC393*1),$AV393*BC393*1,"")</f>
        <v/>
      </c>
      <c r="BQ393" s="1425" t="str">
        <f aca="false">IF(ISNUMBER($AU393*BD393*1),$AU393*BD393*1,"")</f>
        <v/>
      </c>
      <c r="BR393" s="1425" t="str">
        <f aca="false">IF(ISNUMBER($AV393*BE393*1),$AV393*BE393*1,"")</f>
        <v/>
      </c>
      <c r="BS393" s="1411" t="str">
        <f aca="false">IF(ISNUMBER($AU393*BF393),$AU393*BF393,"")</f>
        <v/>
      </c>
      <c r="BT393" s="1411" t="str">
        <f aca="false">IF(ISNUMBER($AV393*BG393),$AV393*BG393,"")</f>
        <v/>
      </c>
      <c r="BU393" s="1411"/>
      <c r="BV393" s="1411"/>
      <c r="BW393" s="1411"/>
      <c r="BX393" s="1411"/>
      <c r="BZ393" s="1372"/>
      <c r="CA393" s="1372"/>
      <c r="CB393" s="1426" t="str">
        <f aca="false">IF(ISNUMBER($AW393*BB393),$AW393*BB393,"")</f>
        <v/>
      </c>
      <c r="CC393" s="1426" t="str">
        <f aca="false">IF(ISNUMBER($AX393*BC393),$AX393*BC393,"")</f>
        <v/>
      </c>
      <c r="CD393" s="1426" t="str">
        <f aca="false">IF(ISNUMBER($AW393*BD393),$AW393*BD393,"")</f>
        <v/>
      </c>
      <c r="CE393" s="1426" t="str">
        <f aca="false">IF(ISNUMBER($AX393*BE393),$AX393*BE393,"")</f>
        <v/>
      </c>
      <c r="CF393" s="1372" t="str">
        <f aca="false">IF(ISNUMBER($AW393*BF393),$AW393*BF393,"")</f>
        <v/>
      </c>
      <c r="CG393" s="1372" t="str">
        <f aca="false">IF(ISNUMBER($AX393*BG393),$AX393*BG393,"")</f>
        <v/>
      </c>
      <c r="CH393" s="1438"/>
      <c r="CI393" s="1438"/>
      <c r="CJ393" s="1438"/>
      <c r="CK393" s="1438"/>
      <c r="CU393" s="1411"/>
      <c r="CV393" s="1411"/>
      <c r="CW393" s="1425"/>
      <c r="CX393" s="1425"/>
      <c r="CY393" s="1425"/>
      <c r="CZ393" s="1425"/>
      <c r="DA393" s="1411"/>
      <c r="DB393" s="1411"/>
      <c r="DC393" s="1411"/>
      <c r="DD393" s="1411"/>
      <c r="DE393" s="1411"/>
      <c r="DF393" s="1411"/>
      <c r="DH393" s="1432"/>
      <c r="DI393" s="1432"/>
      <c r="DJ393" s="1437"/>
      <c r="DK393" s="1437"/>
      <c r="DL393" s="1437"/>
      <c r="DM393" s="1437"/>
      <c r="DN393" s="1432"/>
      <c r="DO393" s="1432"/>
      <c r="DP393" s="1432"/>
      <c r="DQ393" s="1432"/>
      <c r="DR393" s="1432"/>
      <c r="DS393" s="1432"/>
      <c r="DT393" s="1316"/>
      <c r="DU393" s="1433"/>
      <c r="DV393" s="1433"/>
      <c r="DW393" s="1433"/>
      <c r="DX393" s="1433"/>
      <c r="DY393" s="1433"/>
      <c r="DZ393" s="1433"/>
      <c r="EA393" s="1433"/>
      <c r="EB393" s="1433"/>
    </row>
    <row r="394" customFormat="false" ht="14.25" hidden="false" customHeight="false" outlineLevel="0" collapsed="false">
      <c r="A394" s="2" t="n">
        <f aca="false">'V_DATOS PAC_SGA'!CC389</f>
        <v>0</v>
      </c>
      <c r="B394" s="2" t="n">
        <f aca="false">IF(OR(A394=0,A394=""),0,IF(I394="IV",CONCATENATE('V_DATOS PAC_SGA'!CC389,"4")+0,CONCATENATE('V_DATOS PAC_SGA'!CC389,"0")+0))</f>
        <v>0</v>
      </c>
      <c r="C394" s="2" t="n">
        <f aca="false">'V_DATOS PAC_SGA'!CD389</f>
        <v>0</v>
      </c>
      <c r="D394" s="1409" t="n">
        <f aca="false">'V_DATOS PAC_SGA'!Y389</f>
        <v>0</v>
      </c>
      <c r="E394" s="1410" t="str">
        <f aca="false">IF('V_DATOS PAC_SGA'!AV389="","Regadio",'V_DATOS PAC_SGA'!AV389)</f>
        <v>Regadio</v>
      </c>
      <c r="F394" s="1411" t="n">
        <f aca="false">'V_DATOS PAC_SGA'!BK389</f>
        <v>0</v>
      </c>
      <c r="G394" s="1412" t="n">
        <f aca="false">'V_DATOS PAC_SGA'!AN389</f>
        <v>0</v>
      </c>
      <c r="H394" s="1413" t="str">
        <f aca="false">IF(B394&gt;0,VLOOKUP(B394,'O_MN, PE_UTA_UGM 2024'!E$3:O$419,10),"")</f>
        <v/>
      </c>
      <c r="I394" s="1359" t="str">
        <f aca="false">IF('V_DATOS PAC_SGA'!BV389="IV",'V_DATOS PAC_SGA'!BV389,"")</f>
        <v/>
      </c>
      <c r="J394" s="2" t="str">
        <f aca="false">IF($A394&gt;0,IF(AND(J$4=$G394,J$6=$F394),$D394*J$5,""),"")</f>
        <v/>
      </c>
      <c r="K394" s="2" t="str">
        <f aca="false">IF($A394&gt;0,IF(AND(K$4=$G394,K$6=$F394),$D394*K$5,""),"")</f>
        <v/>
      </c>
      <c r="L394" s="2" t="str">
        <f aca="false">IF($A394&gt;0,IF(AND(L$4=$G394,L$6=$F394),$D394*L$5,""),"")</f>
        <v/>
      </c>
      <c r="M394" s="2" t="str">
        <f aca="false">IF($A394&gt;0,IF(AND(M$4=$G394,M$6=$F394),$D394*M$5,""),"")</f>
        <v/>
      </c>
      <c r="N394" s="1506" t="n">
        <f aca="false">VLOOKUP(B394,'O_MN, PE_UTA_UGM 2024'!$E$2:$K$419,IF(G394&gt;1,6,7))</f>
        <v>0</v>
      </c>
      <c r="O394" s="1434" t="str">
        <f aca="false">IF($H394=O$4,$D394*$N394,"")</f>
        <v/>
      </c>
      <c r="P394" s="1435" t="str">
        <f aca="false">IF($H394=P$4,$D394*$N394,"")</f>
        <v/>
      </c>
      <c r="Q394" s="1435" t="str">
        <f aca="false">IF($H394=Q$4,$D394*$N394,"")</f>
        <v/>
      </c>
      <c r="R394" s="1435" t="str">
        <f aca="false">IF($H394=R$4,$D394*$N394,"")</f>
        <v/>
      </c>
      <c r="S394" s="1435" t="str">
        <f aca="false">IF($H394=S$4,$D394*$N394,"")</f>
        <v/>
      </c>
      <c r="T394" s="1435" t="str">
        <f aca="false">IF($H394=T$4,$D394*$N394,"")</f>
        <v/>
      </c>
      <c r="U394" s="1436" t="str">
        <f aca="false">IF($H394=U$4,$D394*$N394,"")</f>
        <v/>
      </c>
      <c r="V394" s="1472"/>
      <c r="W394" s="1471"/>
      <c r="X394" s="1471"/>
      <c r="Y394" s="1471"/>
      <c r="Z394" s="1471"/>
      <c r="AA394" s="1471"/>
      <c r="AB394" s="1473"/>
      <c r="AC394" s="1319"/>
      <c r="AD394" s="2" t="str">
        <f aca="false">IF(AND(AD$4=$G394,AD$6=$F394),$B394,"")</f>
        <v/>
      </c>
      <c r="AE394" s="2" t="str">
        <f aca="false">IF(AND(AE$4=$G394,AE$6=$F394),$B394,"")</f>
        <v/>
      </c>
      <c r="AF394" s="2" t="str">
        <f aca="false">IF(AND(AF$4=$G394,AF$6=$F394),$B394,"")</f>
        <v/>
      </c>
      <c r="AG394" s="2" t="str">
        <f aca="false">IF(AND(AG$4=$G394,AG$6=$F394),$B394,"")</f>
        <v/>
      </c>
      <c r="AI394" s="366"/>
      <c r="AL394" s="367"/>
      <c r="AO394" s="367"/>
      <c r="AP394" s="2" t="str">
        <f aca="false">IF(AT394&gt;0,RANK(AT394,AT$7:AT$423),"")</f>
        <v/>
      </c>
      <c r="AQ394" s="1475" t="n">
        <f aca="false">'O_MN, PE_UTA_UGM 2024'!C391</f>
        <v>0</v>
      </c>
      <c r="AR394" s="1421" t="n">
        <v>4780</v>
      </c>
      <c r="AS394" s="2" t="str">
        <f aca="false">IF(AY394&lt;&gt;"",AY394,"")</f>
        <v/>
      </c>
      <c r="AT394" s="1422" t="n">
        <f aca="false">IF(ISNUMBER($AR394),SUMIF(B$7:B$505,AR394,D$7:D$505),"")</f>
        <v>0</v>
      </c>
      <c r="AU394" s="1411" t="n">
        <f aca="false">IF(ISNUMBER($AR394),SUMIF(AD$7:AD$503,$AR394,J$7:J$503),"")</f>
        <v>0</v>
      </c>
      <c r="AV394" s="1411" t="n">
        <f aca="false">IF(ISNUMBER($AR394),SUMIF(AF$7:AF$503,$AR394,L$7:L$503),"")</f>
        <v>0</v>
      </c>
      <c r="AW394" s="1423" t="n">
        <f aca="false">IF(ISNUMBER($AR394),SUMIF(AE$7:AE$503,$AR394,K$7:K$503),"")</f>
        <v>0</v>
      </c>
      <c r="AX394" s="1423" t="n">
        <f aca="false">IF(ISNUMBER($AR394),SUMIF(AG$7:AG$503,$AR394,M$7:M$503),"")</f>
        <v>0</v>
      </c>
      <c r="AY394" s="2" t="str">
        <f aca="false">IF($AT394&gt;0,VLOOKUP($AR394,'O_MN, PE_UTA_UGM 2024'!E391:O806,2),"")</f>
        <v/>
      </c>
      <c r="AZ394" s="1507"/>
      <c r="BA394" s="1507"/>
      <c r="BB394" s="1507" t="str">
        <f aca="false">IF($AT394&gt;0,VLOOKUP($AR394,'O_MN, PE_UTA_UGM 2024'!$E$3:$O$419,BB$6),"")</f>
        <v/>
      </c>
      <c r="BC394" s="1507" t="str">
        <f aca="false">IF($AT394&gt;0,VLOOKUP($AR394,'O_MN, PE_UTA_UGM 2024'!$E$3:$O$419,BC$6),"")</f>
        <v/>
      </c>
      <c r="BD394" s="1507" t="str">
        <f aca="false">IF($AT394&gt;0,VLOOKUP($AR394,'O_MN, PE_UTA_UGM 2024'!$E$3:$O$419,BD$6),"")</f>
        <v/>
      </c>
      <c r="BE394" s="1507" t="str">
        <f aca="false">IF($AT394&gt;0,VLOOKUP($AR394,'O_MN, PE_UTA_UGM 2024'!$E$3:$O$419,BE$6),"")</f>
        <v/>
      </c>
      <c r="BF394" s="1507" t="str">
        <f aca="false">IF($AT394&gt;0,VLOOKUP($AR394,'O_MN, PE_UTA_UGM 2024'!$E$3:$O$419,BF$6),"")</f>
        <v/>
      </c>
      <c r="BG394" s="1507" t="str">
        <f aca="false">IF($AT394&gt;0,VLOOKUP($AR394,'O_MN, PE_UTA_UGM 2024'!$E$3:$O$419,BG$6),"")</f>
        <v/>
      </c>
      <c r="BH394" s="1504"/>
      <c r="BI394" s="1504"/>
      <c r="BJ394" s="1504"/>
      <c r="BK394" s="1504"/>
      <c r="BM394" s="1411"/>
      <c r="BN394" s="1411"/>
      <c r="BO394" s="1425" t="str">
        <f aca="false">IF(ISNUMBER($AU394*BB394*1),$AU394*BB394*1,"")</f>
        <v/>
      </c>
      <c r="BP394" s="1425" t="str">
        <f aca="false">IF(ISNUMBER($AV394*BC394*1),$AV394*BC394*1,"")</f>
        <v/>
      </c>
      <c r="BQ394" s="1425" t="str">
        <f aca="false">IF(ISNUMBER($AU394*BD394*1),$AU394*BD394*1,"")</f>
        <v/>
      </c>
      <c r="BR394" s="1425" t="str">
        <f aca="false">IF(ISNUMBER($AV394*BE394*1),$AV394*BE394*1,"")</f>
        <v/>
      </c>
      <c r="BS394" s="1411" t="str">
        <f aca="false">IF(ISNUMBER($AU394*BF394),$AU394*BF394,"")</f>
        <v/>
      </c>
      <c r="BT394" s="1411" t="str">
        <f aca="false">IF(ISNUMBER($AV394*BG394),$AV394*BG394,"")</f>
        <v/>
      </c>
      <c r="BU394" s="1411"/>
      <c r="BV394" s="1411"/>
      <c r="BW394" s="1411"/>
      <c r="BX394" s="1411"/>
      <c r="BZ394" s="1372"/>
      <c r="CA394" s="1372"/>
      <c r="CB394" s="1426" t="str">
        <f aca="false">IF(ISNUMBER($AW394*BB394),$AW394*BB394,"")</f>
        <v/>
      </c>
      <c r="CC394" s="1426" t="str">
        <f aca="false">IF(ISNUMBER($AX394*BC394),$AX394*BC394,"")</f>
        <v/>
      </c>
      <c r="CD394" s="1426" t="str">
        <f aca="false">IF(ISNUMBER($AW394*BD394),$AW394*BD394,"")</f>
        <v/>
      </c>
      <c r="CE394" s="1426" t="str">
        <f aca="false">IF(ISNUMBER($AX394*BE394),$AX394*BE394,"")</f>
        <v/>
      </c>
      <c r="CF394" s="1372" t="str">
        <f aca="false">IF(ISNUMBER($AW394*BF394),$AW394*BF394,"")</f>
        <v/>
      </c>
      <c r="CG394" s="1372" t="str">
        <f aca="false">IF(ISNUMBER($AX394*BG394),$AX394*BG394,"")</f>
        <v/>
      </c>
      <c r="CH394" s="1438"/>
      <c r="CI394" s="1438"/>
      <c r="CJ394" s="1438"/>
      <c r="CK394" s="1438"/>
      <c r="CU394" s="1411"/>
      <c r="CV394" s="1411"/>
      <c r="CW394" s="1425"/>
      <c r="CX394" s="1425"/>
      <c r="CY394" s="1425"/>
      <c r="CZ394" s="1425"/>
      <c r="DA394" s="1411"/>
      <c r="DB394" s="1411"/>
      <c r="DC394" s="1411"/>
      <c r="DD394" s="1411"/>
      <c r="DE394" s="1411"/>
      <c r="DF394" s="1411"/>
      <c r="DH394" s="1432"/>
      <c r="DI394" s="1432"/>
      <c r="DJ394" s="1437"/>
      <c r="DK394" s="1437"/>
      <c r="DL394" s="1437"/>
      <c r="DM394" s="1437"/>
      <c r="DN394" s="1432"/>
      <c r="DO394" s="1432"/>
      <c r="DP394" s="1432"/>
      <c r="DQ394" s="1432"/>
      <c r="DR394" s="1432"/>
      <c r="DS394" s="1432"/>
      <c r="DT394" s="1316"/>
      <c r="DU394" s="1433"/>
      <c r="DV394" s="1433"/>
      <c r="DW394" s="1433"/>
      <c r="DX394" s="1433"/>
      <c r="DY394" s="1433"/>
      <c r="DZ394" s="1433"/>
      <c r="EA394" s="1433"/>
      <c r="EB394" s="1433"/>
    </row>
    <row r="395" customFormat="false" ht="14.25" hidden="false" customHeight="false" outlineLevel="0" collapsed="false">
      <c r="A395" s="2" t="n">
        <f aca="false">'V_DATOS PAC_SGA'!CC390</f>
        <v>0</v>
      </c>
      <c r="B395" s="2" t="n">
        <f aca="false">IF(OR(A395=0,A395=""),0,IF(I395="IV",CONCATENATE('V_DATOS PAC_SGA'!CC390,"4")+0,CONCATENATE('V_DATOS PAC_SGA'!CC390,"0")+0))</f>
        <v>0</v>
      </c>
      <c r="C395" s="2" t="n">
        <f aca="false">'V_DATOS PAC_SGA'!CD390</f>
        <v>0</v>
      </c>
      <c r="D395" s="1409" t="n">
        <f aca="false">'V_DATOS PAC_SGA'!Y390</f>
        <v>0</v>
      </c>
      <c r="E395" s="1410" t="str">
        <f aca="false">IF('V_DATOS PAC_SGA'!AV390="","Regadio",'V_DATOS PAC_SGA'!AV390)</f>
        <v>Regadio</v>
      </c>
      <c r="F395" s="1411" t="n">
        <f aca="false">'V_DATOS PAC_SGA'!BK390</f>
        <v>0</v>
      </c>
      <c r="G395" s="1412" t="n">
        <f aca="false">'V_DATOS PAC_SGA'!AN390</f>
        <v>0</v>
      </c>
      <c r="H395" s="1413" t="str">
        <f aca="false">IF(B395&gt;0,VLOOKUP(B395,'O_MN, PE_UTA_UGM 2024'!E$3:O$419,10),"")</f>
        <v/>
      </c>
      <c r="I395" s="1359" t="str">
        <f aca="false">IF('V_DATOS PAC_SGA'!BV390="IV",'V_DATOS PAC_SGA'!BV390,"")</f>
        <v/>
      </c>
      <c r="J395" s="2" t="str">
        <f aca="false">IF($A395&gt;0,IF(AND(J$4=$G395,J$6=$F395),$D395*J$5,""),"")</f>
        <v/>
      </c>
      <c r="K395" s="2" t="str">
        <f aca="false">IF($A395&gt;0,IF(AND(K$4=$G395,K$6=$F395),$D395*K$5,""),"")</f>
        <v/>
      </c>
      <c r="L395" s="2" t="str">
        <f aca="false">IF($A395&gt;0,IF(AND(L$4=$G395,L$6=$F395),$D395*L$5,""),"")</f>
        <v/>
      </c>
      <c r="M395" s="2" t="str">
        <f aca="false">IF($A395&gt;0,IF(AND(M$4=$G395,M$6=$F395),$D395*M$5,""),"")</f>
        <v/>
      </c>
      <c r="N395" s="1506" t="n">
        <f aca="false">VLOOKUP(B395,'O_MN, PE_UTA_UGM 2024'!$E$2:$K$419,IF(G395&gt;1,6,7))</f>
        <v>0</v>
      </c>
      <c r="O395" s="1434" t="str">
        <f aca="false">IF($H395=O$4,$D395*$N395,"")</f>
        <v/>
      </c>
      <c r="P395" s="1435" t="str">
        <f aca="false">IF($H395=P$4,$D395*$N395,"")</f>
        <v/>
      </c>
      <c r="Q395" s="1435" t="str">
        <f aca="false">IF($H395=Q$4,$D395*$N395,"")</f>
        <v/>
      </c>
      <c r="R395" s="1435" t="str">
        <f aca="false">IF($H395=R$4,$D395*$N395,"")</f>
        <v/>
      </c>
      <c r="S395" s="1435" t="str">
        <f aca="false">IF($H395=S$4,$D395*$N395,"")</f>
        <v/>
      </c>
      <c r="T395" s="1435" t="str">
        <f aca="false">IF($H395=T$4,$D395*$N395,"")</f>
        <v/>
      </c>
      <c r="U395" s="1436" t="str">
        <f aca="false">IF($H395=U$4,$D395*$N395,"")</f>
        <v/>
      </c>
      <c r="V395" s="1472"/>
      <c r="W395" s="1471"/>
      <c r="X395" s="1471"/>
      <c r="Y395" s="1471"/>
      <c r="Z395" s="1471"/>
      <c r="AA395" s="1471"/>
      <c r="AB395" s="1473"/>
      <c r="AC395" s="1319"/>
      <c r="AD395" s="2" t="str">
        <f aca="false">IF(AND(AD$4=$G395,AD$6=$F395),$B395,"")</f>
        <v/>
      </c>
      <c r="AE395" s="2" t="str">
        <f aca="false">IF(AND(AE$4=$G395,AE$6=$F395),$B395,"")</f>
        <v/>
      </c>
      <c r="AF395" s="2" t="str">
        <f aca="false">IF(AND(AF$4=$G395,AF$6=$F395),$B395,"")</f>
        <v/>
      </c>
      <c r="AG395" s="2" t="str">
        <f aca="false">IF(AND(AG$4=$G395,AG$6=$F395),$B395,"")</f>
        <v/>
      </c>
      <c r="AI395" s="366"/>
      <c r="AL395" s="367"/>
      <c r="AO395" s="367"/>
      <c r="AP395" s="2" t="str">
        <f aca="false">IF(AT395&gt;0,RANK(AT395,AT$7:AT$423),"")</f>
        <v/>
      </c>
      <c r="AQ395" s="1475" t="n">
        <f aca="false">'O_MN, PE_UTA_UGM 2024'!C392</f>
        <v>0</v>
      </c>
      <c r="AR395" s="1421" t="n">
        <v>4830</v>
      </c>
      <c r="AS395" s="2" t="str">
        <f aca="false">IF(AY395&lt;&gt;"",AY395,"")</f>
        <v/>
      </c>
      <c r="AT395" s="1422" t="n">
        <f aca="false">IF(ISNUMBER($AR395),SUMIF(B$7:B$505,AR395,D$7:D$505),"")</f>
        <v>0</v>
      </c>
      <c r="AU395" s="1411" t="n">
        <f aca="false">IF(ISNUMBER($AR395),SUMIF(AD$7:AD$503,$AR395,J$7:J$503),"")</f>
        <v>0</v>
      </c>
      <c r="AV395" s="1411" t="n">
        <f aca="false">IF(ISNUMBER($AR395),SUMIF(AF$7:AF$503,$AR395,L$7:L$503),"")</f>
        <v>0</v>
      </c>
      <c r="AW395" s="1423" t="n">
        <f aca="false">IF(ISNUMBER($AR395),SUMIF(AE$7:AE$503,$AR395,K$7:K$503),"")</f>
        <v>0</v>
      </c>
      <c r="AX395" s="1423" t="n">
        <f aca="false">IF(ISNUMBER($AR395),SUMIF(AG$7:AG$503,$AR395,M$7:M$503),"")</f>
        <v>0</v>
      </c>
      <c r="AY395" s="2" t="str">
        <f aca="false">IF($AT395&gt;0,VLOOKUP($AR395,'O_MN, PE_UTA_UGM 2024'!E392:O807,2),"")</f>
        <v/>
      </c>
      <c r="AZ395" s="1507"/>
      <c r="BA395" s="1507"/>
      <c r="BB395" s="1507" t="str">
        <f aca="false">IF($AT395&gt;0,VLOOKUP($AR395,'O_MN, PE_UTA_UGM 2024'!$E$3:$O$419,BB$6),"")</f>
        <v/>
      </c>
      <c r="BC395" s="1507" t="str">
        <f aca="false">IF($AT395&gt;0,VLOOKUP($AR395,'O_MN, PE_UTA_UGM 2024'!$E$3:$O$419,BC$6),"")</f>
        <v/>
      </c>
      <c r="BD395" s="1507" t="str">
        <f aca="false">IF($AT395&gt;0,VLOOKUP($AR395,'O_MN, PE_UTA_UGM 2024'!$E$3:$O$419,BD$6),"")</f>
        <v/>
      </c>
      <c r="BE395" s="1507" t="str">
        <f aca="false">IF($AT395&gt;0,VLOOKUP($AR395,'O_MN, PE_UTA_UGM 2024'!$E$3:$O$419,BE$6),"")</f>
        <v/>
      </c>
      <c r="BF395" s="1507" t="str">
        <f aca="false">IF($AT395&gt;0,VLOOKUP($AR395,'O_MN, PE_UTA_UGM 2024'!$E$3:$O$419,BF$6),"")</f>
        <v/>
      </c>
      <c r="BG395" s="1507" t="str">
        <f aca="false">IF($AT395&gt;0,VLOOKUP($AR395,'O_MN, PE_UTA_UGM 2024'!$E$3:$O$419,BG$6),"")</f>
        <v/>
      </c>
      <c r="BH395" s="1504"/>
      <c r="BI395" s="1504"/>
      <c r="BJ395" s="1504"/>
      <c r="BK395" s="1504"/>
      <c r="BM395" s="1411"/>
      <c r="BN395" s="1411"/>
      <c r="BO395" s="1425" t="str">
        <f aca="false">IF(ISNUMBER($AU395*BB395*1),$AU395*BB395*1,"")</f>
        <v/>
      </c>
      <c r="BP395" s="1425" t="str">
        <f aca="false">IF(ISNUMBER($AV395*BC395*1),$AV395*BC395*1,"")</f>
        <v/>
      </c>
      <c r="BQ395" s="1425" t="str">
        <f aca="false">IF(ISNUMBER($AU395*BD395*1),$AU395*BD395*1,"")</f>
        <v/>
      </c>
      <c r="BR395" s="1425" t="str">
        <f aca="false">IF(ISNUMBER($AV395*BE395*1),$AV395*BE395*1,"")</f>
        <v/>
      </c>
      <c r="BS395" s="1411" t="str">
        <f aca="false">IF(ISNUMBER($AU395*BF395),$AU395*BF395,"")</f>
        <v/>
      </c>
      <c r="BT395" s="1411" t="str">
        <f aca="false">IF(ISNUMBER($AV395*BG395),$AV395*BG395,"")</f>
        <v/>
      </c>
      <c r="BU395" s="1411"/>
      <c r="BV395" s="1411"/>
      <c r="BW395" s="1411"/>
      <c r="BX395" s="1411"/>
      <c r="BZ395" s="1372"/>
      <c r="CA395" s="1372"/>
      <c r="CB395" s="1426" t="str">
        <f aca="false">IF(ISNUMBER($AW395*BB395),$AW395*BB395,"")</f>
        <v/>
      </c>
      <c r="CC395" s="1426" t="str">
        <f aca="false">IF(ISNUMBER($AX395*BC395),$AX395*BC395,"")</f>
        <v/>
      </c>
      <c r="CD395" s="1426" t="str">
        <f aca="false">IF(ISNUMBER($AW395*BD395),$AW395*BD395,"")</f>
        <v/>
      </c>
      <c r="CE395" s="1426" t="str">
        <f aca="false">IF(ISNUMBER($AX395*BE395),$AX395*BE395,"")</f>
        <v/>
      </c>
      <c r="CF395" s="1372" t="str">
        <f aca="false">IF(ISNUMBER($AW395*BF395),$AW395*BF395,"")</f>
        <v/>
      </c>
      <c r="CG395" s="1372" t="str">
        <f aca="false">IF(ISNUMBER($AX395*BG395),$AX395*BG395,"")</f>
        <v/>
      </c>
      <c r="CH395" s="1438"/>
      <c r="CI395" s="1438"/>
      <c r="CJ395" s="1438"/>
      <c r="CK395" s="1438"/>
      <c r="CU395" s="1411"/>
      <c r="CV395" s="1411"/>
      <c r="CW395" s="1425"/>
      <c r="CX395" s="1425"/>
      <c r="CY395" s="1425"/>
      <c r="CZ395" s="1425"/>
      <c r="DA395" s="1411"/>
      <c r="DB395" s="1411"/>
      <c r="DC395" s="1411"/>
      <c r="DD395" s="1411"/>
      <c r="DE395" s="1411"/>
      <c r="DF395" s="1411"/>
      <c r="DH395" s="1432"/>
      <c r="DI395" s="1432"/>
      <c r="DJ395" s="1437"/>
      <c r="DK395" s="1437"/>
      <c r="DL395" s="1437"/>
      <c r="DM395" s="1437"/>
      <c r="DN395" s="1432"/>
      <c r="DO395" s="1432"/>
      <c r="DP395" s="1432"/>
      <c r="DQ395" s="1432"/>
      <c r="DR395" s="1432"/>
      <c r="DS395" s="1432"/>
      <c r="DT395" s="1316"/>
      <c r="DU395" s="1433"/>
      <c r="DV395" s="1433"/>
      <c r="DW395" s="1433"/>
      <c r="DX395" s="1433"/>
      <c r="DY395" s="1433"/>
      <c r="DZ395" s="1433"/>
      <c r="EA395" s="1433"/>
      <c r="EB395" s="1433"/>
    </row>
    <row r="396" customFormat="false" ht="14.25" hidden="false" customHeight="false" outlineLevel="0" collapsed="false">
      <c r="A396" s="2" t="n">
        <f aca="false">'V_DATOS PAC_SGA'!CC391</f>
        <v>0</v>
      </c>
      <c r="B396" s="2" t="n">
        <f aca="false">IF(OR(A396=0,A396=""),0,IF(I396="IV",CONCATENATE('V_DATOS PAC_SGA'!CC391,"4")+0,CONCATENATE('V_DATOS PAC_SGA'!CC391,"0")+0))</f>
        <v>0</v>
      </c>
      <c r="C396" s="2" t="n">
        <f aca="false">'V_DATOS PAC_SGA'!CD391</f>
        <v>0</v>
      </c>
      <c r="D396" s="1409" t="n">
        <f aca="false">'V_DATOS PAC_SGA'!Y391</f>
        <v>0</v>
      </c>
      <c r="E396" s="1410" t="str">
        <f aca="false">IF('V_DATOS PAC_SGA'!AV391="","Regadio",'V_DATOS PAC_SGA'!AV391)</f>
        <v>Regadio</v>
      </c>
      <c r="F396" s="1411" t="n">
        <f aca="false">'V_DATOS PAC_SGA'!BK391</f>
        <v>0</v>
      </c>
      <c r="G396" s="1412" t="n">
        <f aca="false">'V_DATOS PAC_SGA'!AN391</f>
        <v>0</v>
      </c>
      <c r="H396" s="1413" t="str">
        <f aca="false">IF(B396&gt;0,VLOOKUP(B396,'O_MN, PE_UTA_UGM 2024'!E$3:O$419,10),"")</f>
        <v/>
      </c>
      <c r="I396" s="1359" t="str">
        <f aca="false">IF('V_DATOS PAC_SGA'!BV391="IV",'V_DATOS PAC_SGA'!BV391,"")</f>
        <v/>
      </c>
      <c r="J396" s="2" t="str">
        <f aca="false">IF($A396&gt;0,IF(AND(J$4=$G396,J$6=$F396),$D396*J$5,""),"")</f>
        <v/>
      </c>
      <c r="K396" s="2" t="str">
        <f aca="false">IF($A396&gt;0,IF(AND(K$4=$G396,K$6=$F396),$D396*K$5,""),"")</f>
        <v/>
      </c>
      <c r="L396" s="2" t="str">
        <f aca="false">IF($A396&gt;0,IF(AND(L$4=$G396,L$6=$F396),$D396*L$5,""),"")</f>
        <v/>
      </c>
      <c r="M396" s="2" t="str">
        <f aca="false">IF($A396&gt;0,IF(AND(M$4=$G396,M$6=$F396),$D396*M$5,""),"")</f>
        <v/>
      </c>
      <c r="N396" s="1506" t="n">
        <f aca="false">VLOOKUP(B396,'O_MN, PE_UTA_UGM 2024'!$E$2:$K$419,IF(G396&gt;1,6,7))</f>
        <v>0</v>
      </c>
      <c r="O396" s="1434" t="str">
        <f aca="false">IF($H396=O$4,$D396*$N396,"")</f>
        <v/>
      </c>
      <c r="P396" s="1435" t="str">
        <f aca="false">IF($H396=P$4,$D396*$N396,"")</f>
        <v/>
      </c>
      <c r="Q396" s="1435" t="str">
        <f aca="false">IF($H396=Q$4,$D396*$N396,"")</f>
        <v/>
      </c>
      <c r="R396" s="1435" t="str">
        <f aca="false">IF($H396=R$4,$D396*$N396,"")</f>
        <v/>
      </c>
      <c r="S396" s="1435" t="str">
        <f aca="false">IF($H396=S$4,$D396*$N396,"")</f>
        <v/>
      </c>
      <c r="T396" s="1435" t="str">
        <f aca="false">IF($H396=T$4,$D396*$N396,"")</f>
        <v/>
      </c>
      <c r="U396" s="1436" t="str">
        <f aca="false">IF($H396=U$4,$D396*$N396,"")</f>
        <v/>
      </c>
      <c r="V396" s="1472"/>
      <c r="W396" s="1471"/>
      <c r="X396" s="1471"/>
      <c r="Y396" s="1471"/>
      <c r="Z396" s="1471"/>
      <c r="AA396" s="1471"/>
      <c r="AB396" s="1473"/>
      <c r="AC396" s="1319"/>
      <c r="AD396" s="2" t="str">
        <f aca="false">IF(AND(AD$4=$G396,AD$6=$F396),$B396,"")</f>
        <v/>
      </c>
      <c r="AE396" s="2" t="str">
        <f aca="false">IF(AND(AE$4=$G396,AE$6=$F396),$B396,"")</f>
        <v/>
      </c>
      <c r="AF396" s="2" t="str">
        <f aca="false">IF(AND(AF$4=$G396,AF$6=$F396),$B396,"")</f>
        <v/>
      </c>
      <c r="AG396" s="2" t="str">
        <f aca="false">IF(AND(AG$4=$G396,AG$6=$F396),$B396,"")</f>
        <v/>
      </c>
      <c r="AI396" s="366"/>
      <c r="AL396" s="367"/>
      <c r="AO396" s="367"/>
      <c r="AP396" s="2" t="str">
        <f aca="false">IF(AT396&gt;0,RANK(AT396,AT$7:AT$423),"")</f>
        <v/>
      </c>
      <c r="AQ396" s="1475" t="n">
        <f aca="false">'O_MN, PE_UTA_UGM 2024'!C393</f>
        <v>0</v>
      </c>
      <c r="AR396" s="1421" t="n">
        <v>4840</v>
      </c>
      <c r="AS396" s="2" t="str">
        <f aca="false">IF(AY396&lt;&gt;"",AY396,"")</f>
        <v/>
      </c>
      <c r="AT396" s="1422" t="n">
        <f aca="false">IF(ISNUMBER($AR396),SUMIF(B$7:B$505,AR396,D$7:D$505),"")</f>
        <v>0</v>
      </c>
      <c r="AU396" s="1411" t="n">
        <f aca="false">IF(ISNUMBER($AR396),SUMIF(AD$7:AD$503,$AR396,J$7:J$503),"")</f>
        <v>0</v>
      </c>
      <c r="AV396" s="1411" t="n">
        <f aca="false">IF(ISNUMBER($AR396),SUMIF(AF$7:AF$503,$AR396,L$7:L$503),"")</f>
        <v>0</v>
      </c>
      <c r="AW396" s="1423" t="n">
        <f aca="false">IF(ISNUMBER($AR396),SUMIF(AE$7:AE$503,$AR396,K$7:K$503),"")</f>
        <v>0</v>
      </c>
      <c r="AX396" s="1423" t="n">
        <f aca="false">IF(ISNUMBER($AR396),SUMIF(AG$7:AG$503,$AR396,M$7:M$503),"")</f>
        <v>0</v>
      </c>
      <c r="AY396" s="2" t="str">
        <f aca="false">IF($AT396&gt;0,VLOOKUP($AR396,'O_MN, PE_UTA_UGM 2024'!E393:O808,2),"")</f>
        <v/>
      </c>
      <c r="AZ396" s="1507"/>
      <c r="BA396" s="1507"/>
      <c r="BB396" s="1507" t="str">
        <f aca="false">IF($AT396&gt;0,VLOOKUP($AR396,'O_MN, PE_UTA_UGM 2024'!$E$3:$O$419,BB$6),"")</f>
        <v/>
      </c>
      <c r="BC396" s="1507" t="str">
        <f aca="false">IF($AT396&gt;0,VLOOKUP($AR396,'O_MN, PE_UTA_UGM 2024'!$E$3:$O$419,BC$6),"")</f>
        <v/>
      </c>
      <c r="BD396" s="1507" t="str">
        <f aca="false">IF($AT396&gt;0,VLOOKUP($AR396,'O_MN, PE_UTA_UGM 2024'!$E$3:$O$419,BD$6),"")</f>
        <v/>
      </c>
      <c r="BE396" s="1507" t="str">
        <f aca="false">IF($AT396&gt;0,VLOOKUP($AR396,'O_MN, PE_UTA_UGM 2024'!$E$3:$O$419,BE$6),"")</f>
        <v/>
      </c>
      <c r="BF396" s="1507" t="str">
        <f aca="false">IF($AT396&gt;0,VLOOKUP($AR396,'O_MN, PE_UTA_UGM 2024'!$E$3:$O$419,BF$6),"")</f>
        <v/>
      </c>
      <c r="BG396" s="1507" t="str">
        <f aca="false">IF($AT396&gt;0,VLOOKUP($AR396,'O_MN, PE_UTA_UGM 2024'!$E$3:$O$419,BG$6),"")</f>
        <v/>
      </c>
      <c r="BH396" s="1504"/>
      <c r="BI396" s="1504"/>
      <c r="BJ396" s="1504"/>
      <c r="BK396" s="1504"/>
      <c r="BM396" s="1411"/>
      <c r="BN396" s="1411"/>
      <c r="BO396" s="1425" t="str">
        <f aca="false">IF(ISNUMBER($AU396*BB396*1),$AU396*BB396*1,"")</f>
        <v/>
      </c>
      <c r="BP396" s="1425" t="str">
        <f aca="false">IF(ISNUMBER($AV396*BC396*1),$AV396*BC396*1,"")</f>
        <v/>
      </c>
      <c r="BQ396" s="1425" t="str">
        <f aca="false">IF(ISNUMBER($AU396*BD396*1),$AU396*BD396*1,"")</f>
        <v/>
      </c>
      <c r="BR396" s="1425" t="str">
        <f aca="false">IF(ISNUMBER($AV396*BE396*1),$AV396*BE396*1,"")</f>
        <v/>
      </c>
      <c r="BS396" s="1411" t="str">
        <f aca="false">IF(ISNUMBER($AU396*BF396),$AU396*BF396,"")</f>
        <v/>
      </c>
      <c r="BT396" s="1411" t="str">
        <f aca="false">IF(ISNUMBER($AV396*BG396),$AV396*BG396,"")</f>
        <v/>
      </c>
      <c r="BU396" s="1411"/>
      <c r="BV396" s="1411"/>
      <c r="BW396" s="1411"/>
      <c r="BX396" s="1411"/>
      <c r="BZ396" s="1372"/>
      <c r="CA396" s="1372"/>
      <c r="CB396" s="1426" t="str">
        <f aca="false">IF(ISNUMBER($AW396*BB396),$AW396*BB396,"")</f>
        <v/>
      </c>
      <c r="CC396" s="1426" t="str">
        <f aca="false">IF(ISNUMBER($AX396*BC396),$AX396*BC396,"")</f>
        <v/>
      </c>
      <c r="CD396" s="1426" t="str">
        <f aca="false">IF(ISNUMBER($AW396*BD396),$AW396*BD396,"")</f>
        <v/>
      </c>
      <c r="CE396" s="1426" t="str">
        <f aca="false">IF(ISNUMBER($AX396*BE396),$AX396*BE396,"")</f>
        <v/>
      </c>
      <c r="CF396" s="1372" t="str">
        <f aca="false">IF(ISNUMBER($AW396*BF396),$AW396*BF396,"")</f>
        <v/>
      </c>
      <c r="CG396" s="1372" t="str">
        <f aca="false">IF(ISNUMBER($AX396*BG396),$AX396*BG396,"")</f>
        <v/>
      </c>
      <c r="CH396" s="1438"/>
      <c r="CI396" s="1438"/>
      <c r="CJ396" s="1438"/>
      <c r="CK396" s="1438"/>
      <c r="CU396" s="1411"/>
      <c r="CV396" s="1411"/>
      <c r="CW396" s="1425"/>
      <c r="CX396" s="1425"/>
      <c r="CY396" s="1425"/>
      <c r="CZ396" s="1425"/>
      <c r="DA396" s="1411"/>
      <c r="DB396" s="1411"/>
      <c r="DC396" s="1411"/>
      <c r="DD396" s="1411"/>
      <c r="DE396" s="1411"/>
      <c r="DF396" s="1411"/>
      <c r="DH396" s="1432"/>
      <c r="DI396" s="1432"/>
      <c r="DJ396" s="1437"/>
      <c r="DK396" s="1437"/>
      <c r="DL396" s="1437"/>
      <c r="DM396" s="1437"/>
      <c r="DN396" s="1432"/>
      <c r="DO396" s="1432"/>
      <c r="DP396" s="1432"/>
      <c r="DQ396" s="1432"/>
      <c r="DR396" s="1432"/>
      <c r="DS396" s="1432"/>
      <c r="DT396" s="1316"/>
      <c r="DU396" s="1433"/>
      <c r="DV396" s="1433"/>
      <c r="DW396" s="1433"/>
      <c r="DX396" s="1433"/>
      <c r="DY396" s="1433"/>
      <c r="DZ396" s="1433"/>
      <c r="EA396" s="1433"/>
      <c r="EB396" s="1433"/>
    </row>
    <row r="397" customFormat="false" ht="14.25" hidden="false" customHeight="false" outlineLevel="0" collapsed="false">
      <c r="A397" s="2" t="n">
        <f aca="false">'V_DATOS PAC_SGA'!CC392</f>
        <v>0</v>
      </c>
      <c r="B397" s="2" t="n">
        <f aca="false">IF(OR(A397=0,A397=""),0,IF(I397="IV",CONCATENATE('V_DATOS PAC_SGA'!CC392,"4")+0,CONCATENATE('V_DATOS PAC_SGA'!CC392,"0")+0))</f>
        <v>0</v>
      </c>
      <c r="C397" s="2" t="n">
        <f aca="false">'V_DATOS PAC_SGA'!CD392</f>
        <v>0</v>
      </c>
      <c r="D397" s="1409" t="n">
        <f aca="false">'V_DATOS PAC_SGA'!Y392</f>
        <v>0</v>
      </c>
      <c r="E397" s="1410" t="str">
        <f aca="false">IF('V_DATOS PAC_SGA'!AV392="","Regadio",'V_DATOS PAC_SGA'!AV392)</f>
        <v>Regadio</v>
      </c>
      <c r="F397" s="1411" t="n">
        <f aca="false">'V_DATOS PAC_SGA'!BK392</f>
        <v>0</v>
      </c>
      <c r="G397" s="1412" t="n">
        <f aca="false">'V_DATOS PAC_SGA'!AN392</f>
        <v>0</v>
      </c>
      <c r="H397" s="1413" t="str">
        <f aca="false">IF(B397&gt;0,VLOOKUP(B397,'O_MN, PE_UTA_UGM 2024'!E$3:O$419,10),"")</f>
        <v/>
      </c>
      <c r="I397" s="1359" t="str">
        <f aca="false">IF('V_DATOS PAC_SGA'!BV392="IV",'V_DATOS PAC_SGA'!BV392,"")</f>
        <v/>
      </c>
      <c r="J397" s="2" t="str">
        <f aca="false">IF($A397&gt;0,IF(AND(J$4=$G397,J$6=$F397),$D397*J$5,""),"")</f>
        <v/>
      </c>
      <c r="K397" s="2" t="str">
        <f aca="false">IF($A397&gt;0,IF(AND(K$4=$G397,K$6=$F397),$D397*K$5,""),"")</f>
        <v/>
      </c>
      <c r="L397" s="2" t="str">
        <f aca="false">IF($A397&gt;0,IF(AND(L$4=$G397,L$6=$F397),$D397*L$5,""),"")</f>
        <v/>
      </c>
      <c r="M397" s="2" t="str">
        <f aca="false">IF($A397&gt;0,IF(AND(M$4=$G397,M$6=$F397),$D397*M$5,""),"")</f>
        <v/>
      </c>
      <c r="N397" s="1506" t="n">
        <f aca="false">VLOOKUP(B397,'O_MN, PE_UTA_UGM 2024'!$E$2:$K$419,IF(G397&gt;1,6,7))</f>
        <v>0</v>
      </c>
      <c r="O397" s="1434" t="str">
        <f aca="false">IF($H397=O$4,$D397*$N397,"")</f>
        <v/>
      </c>
      <c r="P397" s="1435" t="str">
        <f aca="false">IF($H397=P$4,$D397*$N397,"")</f>
        <v/>
      </c>
      <c r="Q397" s="1435" t="str">
        <f aca="false">IF($H397=Q$4,$D397*$N397,"")</f>
        <v/>
      </c>
      <c r="R397" s="1435" t="str">
        <f aca="false">IF($H397=R$4,$D397*$N397,"")</f>
        <v/>
      </c>
      <c r="S397" s="1435" t="str">
        <f aca="false">IF($H397=S$4,$D397*$N397,"")</f>
        <v/>
      </c>
      <c r="T397" s="1435" t="str">
        <f aca="false">IF($H397=T$4,$D397*$N397,"")</f>
        <v/>
      </c>
      <c r="U397" s="1436" t="str">
        <f aca="false">IF($H397=U$4,$D397*$N397,"")</f>
        <v/>
      </c>
      <c r="V397" s="1472"/>
      <c r="W397" s="1471"/>
      <c r="X397" s="1471"/>
      <c r="Y397" s="1471"/>
      <c r="Z397" s="1471"/>
      <c r="AA397" s="1471"/>
      <c r="AB397" s="1473"/>
      <c r="AC397" s="1319"/>
      <c r="AD397" s="2" t="str">
        <f aca="false">IF(AND(AD$4=$G397,AD$6=$F397),$B397,"")</f>
        <v/>
      </c>
      <c r="AE397" s="2" t="str">
        <f aca="false">IF(AND(AE$4=$G397,AE$6=$F397),$B397,"")</f>
        <v/>
      </c>
      <c r="AF397" s="2" t="str">
        <f aca="false">IF(AND(AF$4=$G397,AF$6=$F397),$B397,"")</f>
        <v/>
      </c>
      <c r="AG397" s="2" t="str">
        <f aca="false">IF(AND(AG$4=$G397,AG$6=$F397),$B397,"")</f>
        <v/>
      </c>
      <c r="AI397" s="366"/>
      <c r="AL397" s="367"/>
      <c r="AO397" s="367"/>
      <c r="AP397" s="2" t="str">
        <f aca="false">IF(AT397&gt;0,RANK(AT397,AT$7:AT$423),"")</f>
        <v/>
      </c>
      <c r="AQ397" s="1475" t="n">
        <f aca="false">'O_MN, PE_UTA_UGM 2024'!C394</f>
        <v>0</v>
      </c>
      <c r="AR397" s="1421" t="n">
        <v>4860</v>
      </c>
      <c r="AS397" s="2" t="str">
        <f aca="false">IF(AY397&lt;&gt;"",AY397,"")</f>
        <v/>
      </c>
      <c r="AT397" s="1422" t="n">
        <f aca="false">IF(ISNUMBER($AR397),SUMIF(B$7:B$505,AR397,D$7:D$505),"")</f>
        <v>0</v>
      </c>
      <c r="AU397" s="1411" t="n">
        <f aca="false">IF(ISNUMBER($AR397),SUMIF(AD$7:AD$503,$AR397,J$7:J$503),"")</f>
        <v>0</v>
      </c>
      <c r="AV397" s="1411" t="n">
        <f aca="false">IF(ISNUMBER($AR397),SUMIF(AF$7:AF$503,$AR397,L$7:L$503),"")</f>
        <v>0</v>
      </c>
      <c r="AW397" s="1423" t="n">
        <f aca="false">IF(ISNUMBER($AR397),SUMIF(AE$7:AE$503,$AR397,K$7:K$503),"")</f>
        <v>0</v>
      </c>
      <c r="AX397" s="1423" t="n">
        <f aca="false">IF(ISNUMBER($AR397),SUMIF(AG$7:AG$503,$AR397,M$7:M$503),"")</f>
        <v>0</v>
      </c>
      <c r="AY397" s="2" t="str">
        <f aca="false">IF($AT397&gt;0,VLOOKUP($AR397,'O_MN, PE_UTA_UGM 2024'!E394:O809,2),"")</f>
        <v/>
      </c>
      <c r="AZ397" s="1507"/>
      <c r="BA397" s="1507"/>
      <c r="BB397" s="1507" t="str">
        <f aca="false">IF($AT397&gt;0,VLOOKUP($AR397,'O_MN, PE_UTA_UGM 2024'!$E$3:$O$419,BB$6),"")</f>
        <v/>
      </c>
      <c r="BC397" s="1507" t="str">
        <f aca="false">IF($AT397&gt;0,VLOOKUP($AR397,'O_MN, PE_UTA_UGM 2024'!$E$3:$O$419,BC$6),"")</f>
        <v/>
      </c>
      <c r="BD397" s="1507" t="str">
        <f aca="false">IF($AT397&gt;0,VLOOKUP($AR397,'O_MN, PE_UTA_UGM 2024'!$E$3:$O$419,BD$6),"")</f>
        <v/>
      </c>
      <c r="BE397" s="1507" t="str">
        <f aca="false">IF($AT397&gt;0,VLOOKUP($AR397,'O_MN, PE_UTA_UGM 2024'!$E$3:$O$419,BE$6),"")</f>
        <v/>
      </c>
      <c r="BF397" s="1507" t="str">
        <f aca="false">IF($AT397&gt;0,VLOOKUP($AR397,'O_MN, PE_UTA_UGM 2024'!$E$3:$O$419,BF$6),"")</f>
        <v/>
      </c>
      <c r="BG397" s="1507" t="str">
        <f aca="false">IF($AT397&gt;0,VLOOKUP($AR397,'O_MN, PE_UTA_UGM 2024'!$E$3:$O$419,BG$6),"")</f>
        <v/>
      </c>
      <c r="BH397" s="1504"/>
      <c r="BI397" s="1504"/>
      <c r="BJ397" s="1504"/>
      <c r="BK397" s="1504"/>
      <c r="BM397" s="1411"/>
      <c r="BN397" s="1411"/>
      <c r="BO397" s="1425" t="str">
        <f aca="false">IF(ISNUMBER($AU397*BB397*1),$AU397*BB397*1,"")</f>
        <v/>
      </c>
      <c r="BP397" s="1425" t="str">
        <f aca="false">IF(ISNUMBER($AV397*BC397*1),$AV397*BC397*1,"")</f>
        <v/>
      </c>
      <c r="BQ397" s="1425" t="str">
        <f aca="false">IF(ISNUMBER($AU397*BD397*1),$AU397*BD397*1,"")</f>
        <v/>
      </c>
      <c r="BR397" s="1425" t="str">
        <f aca="false">IF(ISNUMBER($AV397*BE397*1),$AV397*BE397*1,"")</f>
        <v/>
      </c>
      <c r="BS397" s="1411" t="str">
        <f aca="false">IF(ISNUMBER($AU397*BF397),$AU397*BF397,"")</f>
        <v/>
      </c>
      <c r="BT397" s="1411" t="str">
        <f aca="false">IF(ISNUMBER($AV397*BG397),$AV397*BG397,"")</f>
        <v/>
      </c>
      <c r="BU397" s="1411"/>
      <c r="BV397" s="1411"/>
      <c r="BW397" s="1411"/>
      <c r="BX397" s="1411"/>
      <c r="BZ397" s="1372"/>
      <c r="CA397" s="1372"/>
      <c r="CB397" s="1426" t="str">
        <f aca="false">IF(ISNUMBER($AW397*BB397),$AW397*BB397,"")</f>
        <v/>
      </c>
      <c r="CC397" s="1426" t="str">
        <f aca="false">IF(ISNUMBER($AX397*BC397),$AX397*BC397,"")</f>
        <v/>
      </c>
      <c r="CD397" s="1426" t="str">
        <f aca="false">IF(ISNUMBER($AW397*BD397),$AW397*BD397,"")</f>
        <v/>
      </c>
      <c r="CE397" s="1426" t="str">
        <f aca="false">IF(ISNUMBER($AX397*BE397),$AX397*BE397,"")</f>
        <v/>
      </c>
      <c r="CF397" s="1372" t="str">
        <f aca="false">IF(ISNUMBER($AW397*BF397),$AW397*BF397,"")</f>
        <v/>
      </c>
      <c r="CG397" s="1372" t="str">
        <f aca="false">IF(ISNUMBER($AX397*BG397),$AX397*BG397,"")</f>
        <v/>
      </c>
      <c r="CH397" s="1438"/>
      <c r="CI397" s="1438"/>
      <c r="CJ397" s="1438"/>
      <c r="CK397" s="1438"/>
      <c r="CU397" s="1411"/>
      <c r="CV397" s="1411"/>
      <c r="CW397" s="1425"/>
      <c r="CX397" s="1425"/>
      <c r="CY397" s="1425"/>
      <c r="CZ397" s="1425"/>
      <c r="DA397" s="1411"/>
      <c r="DB397" s="1411"/>
      <c r="DC397" s="1411"/>
      <c r="DD397" s="1411"/>
      <c r="DE397" s="1411"/>
      <c r="DF397" s="1411"/>
      <c r="DH397" s="1432"/>
      <c r="DI397" s="1432"/>
      <c r="DJ397" s="1437"/>
      <c r="DK397" s="1437"/>
      <c r="DL397" s="1437"/>
      <c r="DM397" s="1437"/>
      <c r="DN397" s="1432"/>
      <c r="DO397" s="1432"/>
      <c r="DP397" s="1432"/>
      <c r="DQ397" s="1432"/>
      <c r="DR397" s="1432"/>
      <c r="DS397" s="1432"/>
      <c r="DT397" s="1316"/>
      <c r="DU397" s="1433"/>
      <c r="DV397" s="1433"/>
      <c r="DW397" s="1433"/>
      <c r="DX397" s="1433"/>
      <c r="DY397" s="1433"/>
      <c r="DZ397" s="1433"/>
      <c r="EA397" s="1433"/>
      <c r="EB397" s="1433"/>
    </row>
    <row r="398" customFormat="false" ht="14.25" hidden="false" customHeight="false" outlineLevel="0" collapsed="false">
      <c r="A398" s="2" t="n">
        <f aca="false">'V_DATOS PAC_SGA'!CC393</f>
        <v>0</v>
      </c>
      <c r="B398" s="2" t="n">
        <f aca="false">IF(OR(A398=0,A398=""),0,IF(I398="IV",CONCATENATE('V_DATOS PAC_SGA'!CC393,"4")+0,CONCATENATE('V_DATOS PAC_SGA'!CC393,"0")+0))</f>
        <v>0</v>
      </c>
      <c r="C398" s="2" t="n">
        <f aca="false">'V_DATOS PAC_SGA'!CD393</f>
        <v>0</v>
      </c>
      <c r="D398" s="1409" t="n">
        <f aca="false">'V_DATOS PAC_SGA'!Y393</f>
        <v>0</v>
      </c>
      <c r="E398" s="1410" t="str">
        <f aca="false">IF('V_DATOS PAC_SGA'!AV393="","Regadio",'V_DATOS PAC_SGA'!AV393)</f>
        <v>Regadio</v>
      </c>
      <c r="F398" s="1411" t="n">
        <f aca="false">'V_DATOS PAC_SGA'!BK393</f>
        <v>0</v>
      </c>
      <c r="G398" s="1412" t="n">
        <f aca="false">'V_DATOS PAC_SGA'!AN393</f>
        <v>0</v>
      </c>
      <c r="H398" s="1413" t="str">
        <f aca="false">IF(B398&gt;0,VLOOKUP(B398,'O_MN, PE_UTA_UGM 2024'!E$3:O$419,10),"")</f>
        <v/>
      </c>
      <c r="I398" s="1359" t="str">
        <f aca="false">IF('V_DATOS PAC_SGA'!BV393="IV",'V_DATOS PAC_SGA'!BV393,"")</f>
        <v/>
      </c>
      <c r="J398" s="2" t="str">
        <f aca="false">IF($A398&gt;0,IF(AND(J$4=$G398,J$6=$F398),$D398*J$5,""),"")</f>
        <v/>
      </c>
      <c r="K398" s="2" t="str">
        <f aca="false">IF($A398&gt;0,IF(AND(K$4=$G398,K$6=$F398),$D398*K$5,""),"")</f>
        <v/>
      </c>
      <c r="L398" s="2" t="str">
        <f aca="false">IF($A398&gt;0,IF(AND(L$4=$G398,L$6=$F398),$D398*L$5,""),"")</f>
        <v/>
      </c>
      <c r="M398" s="2" t="str">
        <f aca="false">IF($A398&gt;0,IF(AND(M$4=$G398,M$6=$F398),$D398*M$5,""),"")</f>
        <v/>
      </c>
      <c r="N398" s="1506" t="n">
        <f aca="false">VLOOKUP(B398,'O_MN, PE_UTA_UGM 2024'!$E$2:$K$419,IF(G398&gt;1,6,7))</f>
        <v>0</v>
      </c>
      <c r="O398" s="1434" t="str">
        <f aca="false">IF($H398=O$4,$D398*$N398,"")</f>
        <v/>
      </c>
      <c r="P398" s="1435" t="str">
        <f aca="false">IF($H398=P$4,$D398*$N398,"")</f>
        <v/>
      </c>
      <c r="Q398" s="1435" t="str">
        <f aca="false">IF($H398=Q$4,$D398*$N398,"")</f>
        <v/>
      </c>
      <c r="R398" s="1435" t="str">
        <f aca="false">IF($H398=R$4,$D398*$N398,"")</f>
        <v/>
      </c>
      <c r="S398" s="1435" t="str">
        <f aca="false">IF($H398=S$4,$D398*$N398,"")</f>
        <v/>
      </c>
      <c r="T398" s="1435" t="str">
        <f aca="false">IF($H398=T$4,$D398*$N398,"")</f>
        <v/>
      </c>
      <c r="U398" s="1436" t="str">
        <f aca="false">IF($H398=U$4,$D398*$N398,"")</f>
        <v/>
      </c>
      <c r="V398" s="1472"/>
      <c r="W398" s="1471"/>
      <c r="X398" s="1471"/>
      <c r="Y398" s="1471"/>
      <c r="Z398" s="1471"/>
      <c r="AA398" s="1471"/>
      <c r="AB398" s="1473"/>
      <c r="AC398" s="1319"/>
      <c r="AD398" s="2" t="str">
        <f aca="false">IF(AND(AD$4=$G398,AD$6=$F398),$B398,"")</f>
        <v/>
      </c>
      <c r="AE398" s="2" t="str">
        <f aca="false">IF(AND(AE$4=$G398,AE$6=$F398),$B398,"")</f>
        <v/>
      </c>
      <c r="AF398" s="2" t="str">
        <f aca="false">IF(AND(AF$4=$G398,AF$6=$F398),$B398,"")</f>
        <v/>
      </c>
      <c r="AG398" s="2" t="str">
        <f aca="false">IF(AND(AG$4=$G398,AG$6=$F398),$B398,"")</f>
        <v/>
      </c>
      <c r="AI398" s="366"/>
      <c r="AL398" s="367"/>
      <c r="AO398" s="367"/>
      <c r="AP398" s="2" t="str">
        <f aca="false">IF(AT398&gt;0,RANK(AT398,AT$7:AT$423),"")</f>
        <v/>
      </c>
      <c r="AQ398" s="1475" t="n">
        <f aca="false">'O_MN, PE_UTA_UGM 2024'!C395</f>
        <v>0</v>
      </c>
      <c r="AR398" s="1421" t="n">
        <v>4960</v>
      </c>
      <c r="AS398" s="2" t="str">
        <f aca="false">IF(AY398&lt;&gt;"",AY398,"")</f>
        <v/>
      </c>
      <c r="AT398" s="1422" t="n">
        <f aca="false">IF(ISNUMBER($AR398),SUMIF(B$7:B$505,AR398,D$7:D$505),"")</f>
        <v>0</v>
      </c>
      <c r="AU398" s="1411" t="n">
        <f aca="false">IF(ISNUMBER($AR398),SUMIF(AD$7:AD$503,$AR398,J$7:J$503),"")</f>
        <v>0</v>
      </c>
      <c r="AV398" s="1411" t="n">
        <f aca="false">IF(ISNUMBER($AR398),SUMIF(AF$7:AF$503,$AR398,L$7:L$503),"")</f>
        <v>0</v>
      </c>
      <c r="AW398" s="1423" t="n">
        <f aca="false">IF(ISNUMBER($AR398),SUMIF(AE$7:AE$503,$AR398,K$7:K$503),"")</f>
        <v>0</v>
      </c>
      <c r="AX398" s="1423" t="n">
        <f aca="false">IF(ISNUMBER($AR398),SUMIF(AG$7:AG$503,$AR398,M$7:M$503),"")</f>
        <v>0</v>
      </c>
      <c r="AY398" s="2" t="str">
        <f aca="false">IF($AT398&gt;0,VLOOKUP($AR398,'O_MN, PE_UTA_UGM 2024'!E395:O810,2),"")</f>
        <v/>
      </c>
      <c r="AZ398" s="1507"/>
      <c r="BA398" s="1507"/>
      <c r="BB398" s="1507" t="str">
        <f aca="false">IF($AT398&gt;0,VLOOKUP($AR398,'O_MN, PE_UTA_UGM 2024'!$E$3:$O$419,BB$6),"")</f>
        <v/>
      </c>
      <c r="BC398" s="1507" t="str">
        <f aca="false">IF($AT398&gt;0,VLOOKUP($AR398,'O_MN, PE_UTA_UGM 2024'!$E$3:$O$419,BC$6),"")</f>
        <v/>
      </c>
      <c r="BD398" s="1507" t="str">
        <f aca="false">IF($AT398&gt;0,VLOOKUP($AR398,'O_MN, PE_UTA_UGM 2024'!$E$3:$O$419,BD$6),"")</f>
        <v/>
      </c>
      <c r="BE398" s="1507" t="str">
        <f aca="false">IF($AT398&gt;0,VLOOKUP($AR398,'O_MN, PE_UTA_UGM 2024'!$E$3:$O$419,BE$6),"")</f>
        <v/>
      </c>
      <c r="BF398" s="1507" t="str">
        <f aca="false">IF($AT398&gt;0,VLOOKUP($AR398,'O_MN, PE_UTA_UGM 2024'!$E$3:$O$419,BF$6),"")</f>
        <v/>
      </c>
      <c r="BG398" s="1507" t="str">
        <f aca="false">IF($AT398&gt;0,VLOOKUP($AR398,'O_MN, PE_UTA_UGM 2024'!$E$3:$O$419,BG$6),"")</f>
        <v/>
      </c>
      <c r="BH398" s="1504"/>
      <c r="BI398" s="1504"/>
      <c r="BJ398" s="1504"/>
      <c r="BK398" s="1504"/>
      <c r="BM398" s="1411"/>
      <c r="BN398" s="1411"/>
      <c r="BO398" s="1425" t="str">
        <f aca="false">IF(ISNUMBER($AU398*BB398*1),$AU398*BB398*1,"")</f>
        <v/>
      </c>
      <c r="BP398" s="1425" t="str">
        <f aca="false">IF(ISNUMBER($AV398*BC398*1),$AV398*BC398*1,"")</f>
        <v/>
      </c>
      <c r="BQ398" s="1425" t="str">
        <f aca="false">IF(ISNUMBER($AU398*BD398*1),$AU398*BD398*1,"")</f>
        <v/>
      </c>
      <c r="BR398" s="1425" t="str">
        <f aca="false">IF(ISNUMBER($AV398*BE398*1),$AV398*BE398*1,"")</f>
        <v/>
      </c>
      <c r="BS398" s="1411" t="str">
        <f aca="false">IF(ISNUMBER($AU398*BF398),$AU398*BF398,"")</f>
        <v/>
      </c>
      <c r="BT398" s="1411" t="str">
        <f aca="false">IF(ISNUMBER($AV398*BG398),$AV398*BG398,"")</f>
        <v/>
      </c>
      <c r="BU398" s="1411"/>
      <c r="BV398" s="1411"/>
      <c r="BW398" s="1411"/>
      <c r="BX398" s="1411"/>
      <c r="BZ398" s="1372"/>
      <c r="CA398" s="1372"/>
      <c r="CB398" s="1426" t="str">
        <f aca="false">IF(ISNUMBER($AW398*BB398),$AW398*BB398,"")</f>
        <v/>
      </c>
      <c r="CC398" s="1426" t="str">
        <f aca="false">IF(ISNUMBER($AX398*BC398),$AX398*BC398,"")</f>
        <v/>
      </c>
      <c r="CD398" s="1426" t="str">
        <f aca="false">IF(ISNUMBER($AW398*BD398),$AW398*BD398,"")</f>
        <v/>
      </c>
      <c r="CE398" s="1426" t="str">
        <f aca="false">IF(ISNUMBER($AX398*BE398),$AX398*BE398,"")</f>
        <v/>
      </c>
      <c r="CF398" s="1372" t="str">
        <f aca="false">IF(ISNUMBER($AW398*BF398),$AW398*BF398,"")</f>
        <v/>
      </c>
      <c r="CG398" s="1372" t="str">
        <f aca="false">IF(ISNUMBER($AX398*BG398),$AX398*BG398,"")</f>
        <v/>
      </c>
      <c r="CH398" s="1438"/>
      <c r="CI398" s="1438"/>
      <c r="CJ398" s="1438"/>
      <c r="CK398" s="1438"/>
      <c r="CU398" s="1411"/>
      <c r="CV398" s="1411"/>
      <c r="CW398" s="1425"/>
      <c r="CX398" s="1425"/>
      <c r="CY398" s="1425"/>
      <c r="CZ398" s="1425"/>
      <c r="DA398" s="1411"/>
      <c r="DB398" s="1411"/>
      <c r="DC398" s="1411"/>
      <c r="DD398" s="1411"/>
      <c r="DE398" s="1411"/>
      <c r="DF398" s="1411"/>
      <c r="DH398" s="1432"/>
      <c r="DI398" s="1432"/>
      <c r="DJ398" s="1437"/>
      <c r="DK398" s="1437"/>
      <c r="DL398" s="1437"/>
      <c r="DM398" s="1437"/>
      <c r="DN398" s="1432"/>
      <c r="DO398" s="1432"/>
      <c r="DP398" s="1432"/>
      <c r="DQ398" s="1432"/>
      <c r="DR398" s="1432"/>
      <c r="DS398" s="1432"/>
      <c r="DT398" s="1316"/>
      <c r="DU398" s="1433"/>
      <c r="DV398" s="1433"/>
      <c r="DW398" s="1433"/>
      <c r="DX398" s="1433"/>
      <c r="DY398" s="1433"/>
      <c r="DZ398" s="1433"/>
      <c r="EA398" s="1433"/>
      <c r="EB398" s="1433"/>
    </row>
    <row r="399" customFormat="false" ht="14.25" hidden="false" customHeight="false" outlineLevel="0" collapsed="false">
      <c r="A399" s="2" t="n">
        <f aca="false">'V_DATOS PAC_SGA'!CC394</f>
        <v>0</v>
      </c>
      <c r="B399" s="2" t="n">
        <f aca="false">IF(OR(A399=0,A399=""),0,IF(I399="IV",CONCATENATE('V_DATOS PAC_SGA'!CC394,"4")+0,CONCATENATE('V_DATOS PAC_SGA'!CC394,"0")+0))</f>
        <v>0</v>
      </c>
      <c r="C399" s="2" t="n">
        <f aca="false">'V_DATOS PAC_SGA'!CD394</f>
        <v>0</v>
      </c>
      <c r="D399" s="1409" t="n">
        <f aca="false">'V_DATOS PAC_SGA'!Y394</f>
        <v>0</v>
      </c>
      <c r="E399" s="1410" t="str">
        <f aca="false">IF('V_DATOS PAC_SGA'!AV394="","Regadio",'V_DATOS PAC_SGA'!AV394)</f>
        <v>Regadio</v>
      </c>
      <c r="F399" s="1411" t="n">
        <f aca="false">'V_DATOS PAC_SGA'!BK394</f>
        <v>0</v>
      </c>
      <c r="G399" s="1412" t="n">
        <f aca="false">'V_DATOS PAC_SGA'!AN394</f>
        <v>0</v>
      </c>
      <c r="H399" s="1413" t="str">
        <f aca="false">IF(B399&gt;0,VLOOKUP(B399,'O_MN, PE_UTA_UGM 2024'!E$3:O$419,10),"")</f>
        <v/>
      </c>
      <c r="I399" s="1359" t="str">
        <f aca="false">IF('V_DATOS PAC_SGA'!BV394="IV",'V_DATOS PAC_SGA'!BV394,"")</f>
        <v/>
      </c>
      <c r="J399" s="2" t="str">
        <f aca="false">IF($A399&gt;0,IF(AND(J$4=$G399,J$6=$F399),$D399*J$5,""),"")</f>
        <v/>
      </c>
      <c r="K399" s="2" t="str">
        <f aca="false">IF($A399&gt;0,IF(AND(K$4=$G399,K$6=$F399),$D399*K$5,""),"")</f>
        <v/>
      </c>
      <c r="L399" s="2" t="str">
        <f aca="false">IF($A399&gt;0,IF(AND(L$4=$G399,L$6=$F399),$D399*L$5,""),"")</f>
        <v/>
      </c>
      <c r="M399" s="2" t="str">
        <f aca="false">IF($A399&gt;0,IF(AND(M$4=$G399,M$6=$F399),$D399*M$5,""),"")</f>
        <v/>
      </c>
      <c r="N399" s="1506" t="n">
        <f aca="false">VLOOKUP(B399,'O_MN, PE_UTA_UGM 2024'!$E$2:$K$419,IF(G399&gt;1,6,7))</f>
        <v>0</v>
      </c>
      <c r="O399" s="1434" t="str">
        <f aca="false">IF($H399=O$4,$D399*$N399,"")</f>
        <v/>
      </c>
      <c r="P399" s="1435" t="str">
        <f aca="false">IF($H399=P$4,$D399*$N399,"")</f>
        <v/>
      </c>
      <c r="Q399" s="1435" t="str">
        <f aca="false">IF($H399=Q$4,$D399*$N399,"")</f>
        <v/>
      </c>
      <c r="R399" s="1435" t="str">
        <f aca="false">IF($H399=R$4,$D399*$N399,"")</f>
        <v/>
      </c>
      <c r="S399" s="1435" t="str">
        <f aca="false">IF($H399=S$4,$D399*$N399,"")</f>
        <v/>
      </c>
      <c r="T399" s="1435" t="str">
        <f aca="false">IF($H399=T$4,$D399*$N399,"")</f>
        <v/>
      </c>
      <c r="U399" s="1436" t="str">
        <f aca="false">IF($H399=U$4,$D399*$N399,"")</f>
        <v/>
      </c>
      <c r="V399" s="1472"/>
      <c r="W399" s="1471"/>
      <c r="X399" s="1471"/>
      <c r="Y399" s="1471"/>
      <c r="Z399" s="1471"/>
      <c r="AA399" s="1471"/>
      <c r="AB399" s="1473"/>
      <c r="AC399" s="1319"/>
      <c r="AD399" s="2" t="str">
        <f aca="false">IF(AND(AD$4=$G399,AD$6=$F399),$B399,"")</f>
        <v/>
      </c>
      <c r="AE399" s="2" t="str">
        <f aca="false">IF(AND(AE$4=$G399,AE$6=$F399),$B399,"")</f>
        <v/>
      </c>
      <c r="AF399" s="2" t="str">
        <f aca="false">IF(AND(AF$4=$G399,AF$6=$F399),$B399,"")</f>
        <v/>
      </c>
      <c r="AG399" s="2" t="str">
        <f aca="false">IF(AND(AG$4=$G399,AG$6=$F399),$B399,"")</f>
        <v/>
      </c>
      <c r="AI399" s="366"/>
      <c r="AL399" s="367"/>
      <c r="AO399" s="367"/>
      <c r="AP399" s="2" t="str">
        <f aca="false">IF(AT399&gt;0,RANK(AT399,AT$7:AT$423),"")</f>
        <v/>
      </c>
      <c r="AQ399" s="1475" t="n">
        <f aca="false">'O_MN, PE_UTA_UGM 2024'!C396</f>
        <v>0</v>
      </c>
      <c r="AR399" s="1421" t="n">
        <v>9040</v>
      </c>
      <c r="AS399" s="2" t="str">
        <f aca="false">IF(AY399&lt;&gt;"",AY399,"")</f>
        <v/>
      </c>
      <c r="AT399" s="1422" t="n">
        <f aca="false">IF(ISNUMBER($AR399),SUMIF(B$7:B$505,AR399,D$7:D$505),"")</f>
        <v>0</v>
      </c>
      <c r="AU399" s="1411" t="n">
        <f aca="false">IF(ISNUMBER($AR399),SUMIF(AD$7:AD$503,$AR399,J$7:J$503),"")</f>
        <v>0</v>
      </c>
      <c r="AV399" s="1411" t="n">
        <f aca="false">IF(ISNUMBER($AR399),SUMIF(AF$7:AF$503,$AR399,L$7:L$503),"")</f>
        <v>0</v>
      </c>
      <c r="AW399" s="1423" t="n">
        <f aca="false">IF(ISNUMBER($AR399),SUMIF(AE$7:AE$503,$AR399,K$7:K$503),"")</f>
        <v>0</v>
      </c>
      <c r="AX399" s="1423" t="n">
        <f aca="false">IF(ISNUMBER($AR399),SUMIF(AG$7:AG$503,$AR399,M$7:M$503),"")</f>
        <v>0</v>
      </c>
      <c r="AY399" s="2" t="str">
        <f aca="false">IF($AT399&gt;0,VLOOKUP($AR399,'O_MN, PE_UTA_UGM 2024'!E396:O811,2),"")</f>
        <v/>
      </c>
      <c r="AZ399" s="1507"/>
      <c r="BA399" s="1507"/>
      <c r="BB399" s="1507" t="str">
        <f aca="false">IF($AT399&gt;0,VLOOKUP($AR399,'O_MN, PE_UTA_UGM 2024'!$E$3:$O$419,BB$6),"")</f>
        <v/>
      </c>
      <c r="BC399" s="1507" t="str">
        <f aca="false">IF($AT399&gt;0,VLOOKUP($AR399,'O_MN, PE_UTA_UGM 2024'!$E$3:$O$419,BC$6),"")</f>
        <v/>
      </c>
      <c r="BD399" s="1507" t="str">
        <f aca="false">IF($AT399&gt;0,VLOOKUP($AR399,'O_MN, PE_UTA_UGM 2024'!$E$3:$O$419,BD$6),"")</f>
        <v/>
      </c>
      <c r="BE399" s="1507" t="str">
        <f aca="false">IF($AT399&gt;0,VLOOKUP($AR399,'O_MN, PE_UTA_UGM 2024'!$E$3:$O$419,BE$6),"")</f>
        <v/>
      </c>
      <c r="BF399" s="1507" t="str">
        <f aca="false">IF($AT399&gt;0,VLOOKUP($AR399,'O_MN, PE_UTA_UGM 2024'!$E$3:$O$419,BF$6),"")</f>
        <v/>
      </c>
      <c r="BG399" s="1507" t="str">
        <f aca="false">IF($AT399&gt;0,VLOOKUP($AR399,'O_MN, PE_UTA_UGM 2024'!$E$3:$O$419,BG$6),"")</f>
        <v/>
      </c>
      <c r="BH399" s="1504"/>
      <c r="BI399" s="1504"/>
      <c r="BJ399" s="1504"/>
      <c r="BK399" s="1504"/>
      <c r="BM399" s="1411"/>
      <c r="BN399" s="1411"/>
      <c r="BO399" s="1425" t="str">
        <f aca="false">IF(ISNUMBER($AU399*BB399*1),$AU399*BB399*1,"")</f>
        <v/>
      </c>
      <c r="BP399" s="1425" t="str">
        <f aca="false">IF(ISNUMBER($AV399*BC399*1),$AV399*BC399*1,"")</f>
        <v/>
      </c>
      <c r="BQ399" s="1425" t="str">
        <f aca="false">IF(ISNUMBER($AU399*BD399*1),$AU399*BD399*1,"")</f>
        <v/>
      </c>
      <c r="BR399" s="1425" t="str">
        <f aca="false">IF(ISNUMBER($AV399*BE399*1),$AV399*BE399*1,"")</f>
        <v/>
      </c>
      <c r="BS399" s="1411" t="str">
        <f aca="false">IF(ISNUMBER($AU399*BF399),$AU399*BF399,"")</f>
        <v/>
      </c>
      <c r="BT399" s="1411" t="str">
        <f aca="false">IF(ISNUMBER($AV399*BG399),$AV399*BG399,"")</f>
        <v/>
      </c>
      <c r="BU399" s="1411"/>
      <c r="BV399" s="1411"/>
      <c r="BW399" s="1411"/>
      <c r="BX399" s="1411"/>
      <c r="BZ399" s="1372"/>
      <c r="CA399" s="1372"/>
      <c r="CB399" s="1426" t="str">
        <f aca="false">IF(ISNUMBER($AW399*BB399),$AW399*BB399,"")</f>
        <v/>
      </c>
      <c r="CC399" s="1426" t="str">
        <f aca="false">IF(ISNUMBER($AX399*BC399),$AX399*BC399,"")</f>
        <v/>
      </c>
      <c r="CD399" s="1426" t="str">
        <f aca="false">IF(ISNUMBER($AW399*BD399),$AW399*BD399,"")</f>
        <v/>
      </c>
      <c r="CE399" s="1426" t="str">
        <f aca="false">IF(ISNUMBER($AX399*BE399),$AX399*BE399,"")</f>
        <v/>
      </c>
      <c r="CF399" s="1372" t="str">
        <f aca="false">IF(ISNUMBER($AW399*BF399),$AW399*BF399,"")</f>
        <v/>
      </c>
      <c r="CG399" s="1372" t="str">
        <f aca="false">IF(ISNUMBER($AX399*BG399),$AX399*BG399,"")</f>
        <v/>
      </c>
      <c r="CH399" s="1438"/>
      <c r="CI399" s="1438"/>
      <c r="CJ399" s="1438"/>
      <c r="CK399" s="1438"/>
      <c r="CU399" s="1411"/>
      <c r="CV399" s="1411"/>
      <c r="CW399" s="1425"/>
      <c r="CX399" s="1425"/>
      <c r="CY399" s="1425"/>
      <c r="CZ399" s="1425"/>
      <c r="DA399" s="1411"/>
      <c r="DB399" s="1411"/>
      <c r="DC399" s="1411"/>
      <c r="DD399" s="1411"/>
      <c r="DE399" s="1411"/>
      <c r="DF399" s="1411"/>
      <c r="DH399" s="1432"/>
      <c r="DI399" s="1432"/>
      <c r="DJ399" s="1437"/>
      <c r="DK399" s="1437"/>
      <c r="DL399" s="1437"/>
      <c r="DM399" s="1437"/>
      <c r="DN399" s="1432"/>
      <c r="DO399" s="1432"/>
      <c r="DP399" s="1432"/>
      <c r="DQ399" s="1432"/>
      <c r="DR399" s="1432"/>
      <c r="DS399" s="1432"/>
      <c r="DT399" s="1316"/>
      <c r="DU399" s="1433"/>
      <c r="DV399" s="1433"/>
      <c r="DW399" s="1433"/>
      <c r="DX399" s="1433"/>
      <c r="DY399" s="1433"/>
      <c r="DZ399" s="1433"/>
      <c r="EA399" s="1433"/>
      <c r="EB399" s="1433"/>
    </row>
    <row r="400" customFormat="false" ht="14.25" hidden="false" customHeight="false" outlineLevel="0" collapsed="false">
      <c r="A400" s="2" t="n">
        <f aca="false">'V_DATOS PAC_SGA'!CC395</f>
        <v>0</v>
      </c>
      <c r="B400" s="2" t="n">
        <f aca="false">IF(OR(A400=0,A400=""),0,IF(I400="IV",CONCATENATE('V_DATOS PAC_SGA'!CC395,"4")+0,CONCATENATE('V_DATOS PAC_SGA'!CC395,"0")+0))</f>
        <v>0</v>
      </c>
      <c r="C400" s="2" t="n">
        <f aca="false">'V_DATOS PAC_SGA'!CD395</f>
        <v>0</v>
      </c>
      <c r="D400" s="1409" t="n">
        <f aca="false">'V_DATOS PAC_SGA'!Y395</f>
        <v>0</v>
      </c>
      <c r="E400" s="1410" t="str">
        <f aca="false">IF('V_DATOS PAC_SGA'!AV395="","Regadio",'V_DATOS PAC_SGA'!AV395)</f>
        <v>Regadio</v>
      </c>
      <c r="F400" s="1411" t="n">
        <f aca="false">'V_DATOS PAC_SGA'!BK395</f>
        <v>0</v>
      </c>
      <c r="G400" s="1412" t="n">
        <f aca="false">'V_DATOS PAC_SGA'!AN395</f>
        <v>0</v>
      </c>
      <c r="H400" s="1413" t="str">
        <f aca="false">IF(B400&gt;0,VLOOKUP(B400,'O_MN, PE_UTA_UGM 2024'!E$3:O$419,10),"")</f>
        <v/>
      </c>
      <c r="I400" s="1359" t="str">
        <f aca="false">IF('V_DATOS PAC_SGA'!BV395="IV",'V_DATOS PAC_SGA'!BV395,"")</f>
        <v/>
      </c>
      <c r="J400" s="2" t="str">
        <f aca="false">IF($A400&gt;0,IF(AND(J$4=$G400,J$6=$F400),$D400*J$5,""),"")</f>
        <v/>
      </c>
      <c r="K400" s="2" t="str">
        <f aca="false">IF($A400&gt;0,IF(AND(K$4=$G400,K$6=$F400),$D400*K$5,""),"")</f>
        <v/>
      </c>
      <c r="L400" s="2" t="str">
        <f aca="false">IF($A400&gt;0,IF(AND(L$4=$G400,L$6=$F400),$D400*L$5,""),"")</f>
        <v/>
      </c>
      <c r="M400" s="2" t="str">
        <f aca="false">IF($A400&gt;0,IF(AND(M$4=$G400,M$6=$F400),$D400*M$5,""),"")</f>
        <v/>
      </c>
      <c r="N400" s="1506" t="n">
        <f aca="false">VLOOKUP(B400,'O_MN, PE_UTA_UGM 2024'!$E$2:$K$419,IF(G400&gt;1,6,7))</f>
        <v>0</v>
      </c>
      <c r="O400" s="1434" t="str">
        <f aca="false">IF($H400=O$4,$D400*$N400,"")</f>
        <v/>
      </c>
      <c r="P400" s="1435" t="str">
        <f aca="false">IF($H400=P$4,$D400*$N400,"")</f>
        <v/>
      </c>
      <c r="Q400" s="1435" t="str">
        <f aca="false">IF($H400=Q$4,$D400*$N400,"")</f>
        <v/>
      </c>
      <c r="R400" s="1435" t="str">
        <f aca="false">IF($H400=R$4,$D400*$N400,"")</f>
        <v/>
      </c>
      <c r="S400" s="1435" t="str">
        <f aca="false">IF($H400=S$4,$D400*$N400,"")</f>
        <v/>
      </c>
      <c r="T400" s="1435" t="str">
        <f aca="false">IF($H400=T$4,$D400*$N400,"")</f>
        <v/>
      </c>
      <c r="U400" s="1436" t="str">
        <f aca="false">IF($H400=U$4,$D400*$N400,"")</f>
        <v/>
      </c>
      <c r="V400" s="1472"/>
      <c r="W400" s="1471"/>
      <c r="X400" s="1471"/>
      <c r="Y400" s="1471"/>
      <c r="Z400" s="1471"/>
      <c r="AA400" s="1471"/>
      <c r="AB400" s="1473"/>
      <c r="AC400" s="1319"/>
      <c r="AD400" s="2" t="str">
        <f aca="false">IF(AND(AD$4=$G400,AD$6=$F400),$B400,"")</f>
        <v/>
      </c>
      <c r="AE400" s="2" t="str">
        <f aca="false">IF(AND(AE$4=$G400,AE$6=$F400),$B400,"")</f>
        <v/>
      </c>
      <c r="AF400" s="2" t="str">
        <f aca="false">IF(AND(AF$4=$G400,AF$6=$F400),$B400,"")</f>
        <v/>
      </c>
      <c r="AG400" s="2" t="str">
        <f aca="false">IF(AND(AG$4=$G400,AG$6=$F400),$B400,"")</f>
        <v/>
      </c>
      <c r="AI400" s="366"/>
      <c r="AL400" s="367"/>
      <c r="AO400" s="367"/>
      <c r="AP400" s="2" t="str">
        <f aca="false">IF(AT400&gt;0,RANK(AT400,AT$7:AT$423),"")</f>
        <v/>
      </c>
      <c r="AQ400" s="1475" t="n">
        <f aca="false">'O_MN, PE_UTA_UGM 2024'!C397</f>
        <v>0</v>
      </c>
      <c r="AR400" s="1421" t="n">
        <v>9090</v>
      </c>
      <c r="AS400" s="2" t="str">
        <f aca="false">IF(AY400&lt;&gt;"",AY400,"")</f>
        <v/>
      </c>
      <c r="AT400" s="1422" t="n">
        <f aca="false">IF(ISNUMBER($AR400),SUMIF(B$7:B$505,AR400,D$7:D$505),"")</f>
        <v>0</v>
      </c>
      <c r="AU400" s="1411" t="n">
        <f aca="false">IF(ISNUMBER($AR400),SUMIF(AD$7:AD$503,$AR400,J$7:J$503),"")</f>
        <v>0</v>
      </c>
      <c r="AV400" s="1411" t="n">
        <f aca="false">IF(ISNUMBER($AR400),SUMIF(AF$7:AF$503,$AR400,L$7:L$503),"")</f>
        <v>0</v>
      </c>
      <c r="AW400" s="1423" t="n">
        <f aca="false">IF(ISNUMBER($AR400),SUMIF(AE$7:AE$503,$AR400,K$7:K$503),"")</f>
        <v>0</v>
      </c>
      <c r="AX400" s="1423" t="n">
        <f aca="false">IF(ISNUMBER($AR400),SUMIF(AG$7:AG$503,$AR400,M$7:M$503),"")</f>
        <v>0</v>
      </c>
      <c r="AY400" s="2" t="str">
        <f aca="false">IF($AT400&gt;0,VLOOKUP($AR400,'O_MN, PE_UTA_UGM 2024'!E397:O812,2),"")</f>
        <v/>
      </c>
      <c r="AZ400" s="1507"/>
      <c r="BA400" s="1507"/>
      <c r="BB400" s="1507" t="str">
        <f aca="false">IF($AT400&gt;0,VLOOKUP($AR400,'O_MN, PE_UTA_UGM 2024'!$E$3:$O$419,BB$6),"")</f>
        <v/>
      </c>
      <c r="BC400" s="1507" t="str">
        <f aca="false">IF($AT400&gt;0,VLOOKUP($AR400,'O_MN, PE_UTA_UGM 2024'!$E$3:$O$419,BC$6),"")</f>
        <v/>
      </c>
      <c r="BD400" s="1507" t="str">
        <f aca="false">IF($AT400&gt;0,VLOOKUP($AR400,'O_MN, PE_UTA_UGM 2024'!$E$3:$O$419,BD$6),"")</f>
        <v/>
      </c>
      <c r="BE400" s="1507" t="str">
        <f aca="false">IF($AT400&gt;0,VLOOKUP($AR400,'O_MN, PE_UTA_UGM 2024'!$E$3:$O$419,BE$6),"")</f>
        <v/>
      </c>
      <c r="BF400" s="1507" t="str">
        <f aca="false">IF($AT400&gt;0,VLOOKUP($AR400,'O_MN, PE_UTA_UGM 2024'!$E$3:$O$419,BF$6),"")</f>
        <v/>
      </c>
      <c r="BG400" s="1507" t="str">
        <f aca="false">IF($AT400&gt;0,VLOOKUP($AR400,'O_MN, PE_UTA_UGM 2024'!$E$3:$O$419,BG$6),"")</f>
        <v/>
      </c>
      <c r="BH400" s="1504"/>
      <c r="BI400" s="1504"/>
      <c r="BJ400" s="1504"/>
      <c r="BK400" s="1504"/>
      <c r="BM400" s="1411"/>
      <c r="BN400" s="1411"/>
      <c r="BO400" s="1425" t="str">
        <f aca="false">IF(ISNUMBER($AU400*BB400*1),$AU400*BB400*1,"")</f>
        <v/>
      </c>
      <c r="BP400" s="1425" t="str">
        <f aca="false">IF(ISNUMBER($AV400*BC400*1),$AV400*BC400*1,"")</f>
        <v/>
      </c>
      <c r="BQ400" s="1425" t="str">
        <f aca="false">IF(ISNUMBER($AU400*BD400*1),$AU400*BD400*1,"")</f>
        <v/>
      </c>
      <c r="BR400" s="1425" t="str">
        <f aca="false">IF(ISNUMBER($AV400*BE400*1),$AV400*BE400*1,"")</f>
        <v/>
      </c>
      <c r="BS400" s="1411" t="str">
        <f aca="false">IF(ISNUMBER($AU400*BF400),$AU400*BF400,"")</f>
        <v/>
      </c>
      <c r="BT400" s="1411" t="str">
        <f aca="false">IF(ISNUMBER($AV400*BG400),$AV400*BG400,"")</f>
        <v/>
      </c>
      <c r="BU400" s="1411"/>
      <c r="BV400" s="1411"/>
      <c r="BW400" s="1411"/>
      <c r="BX400" s="1411"/>
      <c r="BZ400" s="1372"/>
      <c r="CA400" s="1372"/>
      <c r="CB400" s="1426" t="str">
        <f aca="false">IF(ISNUMBER($AW400*BB400),$AW400*BB400,"")</f>
        <v/>
      </c>
      <c r="CC400" s="1426" t="str">
        <f aca="false">IF(ISNUMBER($AX400*BC400),$AX400*BC400,"")</f>
        <v/>
      </c>
      <c r="CD400" s="1426" t="str">
        <f aca="false">IF(ISNUMBER($AW400*BD400),$AW400*BD400,"")</f>
        <v/>
      </c>
      <c r="CE400" s="1426" t="str">
        <f aca="false">IF(ISNUMBER($AX400*BE400),$AX400*BE400,"")</f>
        <v/>
      </c>
      <c r="CF400" s="1372" t="str">
        <f aca="false">IF(ISNUMBER($AW400*BF400),$AW400*BF400,"")</f>
        <v/>
      </c>
      <c r="CG400" s="1372" t="str">
        <f aca="false">IF(ISNUMBER($AX400*BG400),$AX400*BG400,"")</f>
        <v/>
      </c>
      <c r="CH400" s="1438"/>
      <c r="CI400" s="1438"/>
      <c r="CJ400" s="1438"/>
      <c r="CK400" s="1438"/>
      <c r="CU400" s="1411"/>
      <c r="CV400" s="1411"/>
      <c r="CW400" s="1425"/>
      <c r="CX400" s="1425"/>
      <c r="CY400" s="1425"/>
      <c r="CZ400" s="1425"/>
      <c r="DA400" s="1411"/>
      <c r="DB400" s="1411"/>
      <c r="DC400" s="1411"/>
      <c r="DD400" s="1411"/>
      <c r="DE400" s="1411"/>
      <c r="DF400" s="1411"/>
      <c r="DH400" s="1432"/>
      <c r="DI400" s="1432"/>
      <c r="DJ400" s="1437"/>
      <c r="DK400" s="1437"/>
      <c r="DL400" s="1437"/>
      <c r="DM400" s="1437"/>
      <c r="DN400" s="1432"/>
      <c r="DO400" s="1432"/>
      <c r="DP400" s="1432"/>
      <c r="DQ400" s="1432"/>
      <c r="DR400" s="1432"/>
      <c r="DS400" s="1432"/>
      <c r="DT400" s="1316"/>
      <c r="DU400" s="1433"/>
      <c r="DV400" s="1433"/>
      <c r="DW400" s="1433"/>
      <c r="DX400" s="1433"/>
      <c r="DY400" s="1433"/>
      <c r="DZ400" s="1433"/>
      <c r="EA400" s="1433"/>
      <c r="EB400" s="1433"/>
    </row>
    <row r="401" customFormat="false" ht="14.25" hidden="false" customHeight="false" outlineLevel="0" collapsed="false">
      <c r="A401" s="2" t="n">
        <f aca="false">'V_DATOS PAC_SGA'!CC396</f>
        <v>0</v>
      </c>
      <c r="B401" s="2" t="n">
        <f aca="false">IF(OR(A401=0,A401=""),0,IF(I401="IV",CONCATENATE('V_DATOS PAC_SGA'!CC396,"4")+0,CONCATENATE('V_DATOS PAC_SGA'!CC396,"0")+0))</f>
        <v>0</v>
      </c>
      <c r="C401" s="2" t="n">
        <f aca="false">'V_DATOS PAC_SGA'!CD396</f>
        <v>0</v>
      </c>
      <c r="D401" s="1409" t="n">
        <f aca="false">'V_DATOS PAC_SGA'!Y396</f>
        <v>0</v>
      </c>
      <c r="E401" s="1410" t="str">
        <f aca="false">IF('V_DATOS PAC_SGA'!AV396="","Regadio",'V_DATOS PAC_SGA'!AV396)</f>
        <v>Regadio</v>
      </c>
      <c r="F401" s="1411" t="n">
        <f aca="false">'V_DATOS PAC_SGA'!BK396</f>
        <v>0</v>
      </c>
      <c r="G401" s="1412" t="n">
        <f aca="false">'V_DATOS PAC_SGA'!AN396</f>
        <v>0</v>
      </c>
      <c r="H401" s="1413" t="str">
        <f aca="false">IF(B401&gt;0,VLOOKUP(B401,'O_MN, PE_UTA_UGM 2024'!E$3:O$419,10),"")</f>
        <v/>
      </c>
      <c r="I401" s="1359" t="str">
        <f aca="false">IF('V_DATOS PAC_SGA'!BV396="IV",'V_DATOS PAC_SGA'!BV396,"")</f>
        <v/>
      </c>
      <c r="J401" s="2" t="str">
        <f aca="false">IF($A401&gt;0,IF(AND(J$4=$G401,J$6=$F401),$D401*J$5,""),"")</f>
        <v/>
      </c>
      <c r="K401" s="2" t="str">
        <f aca="false">IF($A401&gt;0,IF(AND(K$4=$G401,K$6=$F401),$D401*K$5,""),"")</f>
        <v/>
      </c>
      <c r="L401" s="2" t="str">
        <f aca="false">IF($A401&gt;0,IF(AND(L$4=$G401,L$6=$F401),$D401*L$5,""),"")</f>
        <v/>
      </c>
      <c r="M401" s="2" t="str">
        <f aca="false">IF($A401&gt;0,IF(AND(M$4=$G401,M$6=$F401),$D401*M$5,""),"")</f>
        <v/>
      </c>
      <c r="N401" s="1506" t="n">
        <f aca="false">VLOOKUP(B401,'O_MN, PE_UTA_UGM 2024'!$E$2:$K$419,IF(G401&gt;1,6,7))</f>
        <v>0</v>
      </c>
      <c r="O401" s="1434" t="str">
        <f aca="false">IF($H401=O$4,$D401*$N401,"")</f>
        <v/>
      </c>
      <c r="P401" s="1435" t="str">
        <f aca="false">IF($H401=P$4,$D401*$N401,"")</f>
        <v/>
      </c>
      <c r="Q401" s="1435" t="str">
        <f aca="false">IF($H401=Q$4,$D401*$N401,"")</f>
        <v/>
      </c>
      <c r="R401" s="1435" t="str">
        <f aca="false">IF($H401=R$4,$D401*$N401,"")</f>
        <v/>
      </c>
      <c r="S401" s="1435" t="str">
        <f aca="false">IF($H401=S$4,$D401*$N401,"")</f>
        <v/>
      </c>
      <c r="T401" s="1435" t="str">
        <f aca="false">IF($H401=T$4,$D401*$N401,"")</f>
        <v/>
      </c>
      <c r="U401" s="1436" t="str">
        <f aca="false">IF($H401=U$4,$D401*$N401,"")</f>
        <v/>
      </c>
      <c r="V401" s="1472"/>
      <c r="W401" s="1471"/>
      <c r="X401" s="1471"/>
      <c r="Y401" s="1471"/>
      <c r="Z401" s="1471"/>
      <c r="AA401" s="1471"/>
      <c r="AB401" s="1473"/>
      <c r="AC401" s="1319"/>
      <c r="AD401" s="2" t="str">
        <f aca="false">IF(AND(AD$4=$G401,AD$6=$F401),$B401,"")</f>
        <v/>
      </c>
      <c r="AE401" s="2" t="str">
        <f aca="false">IF(AND(AE$4=$G401,AE$6=$F401),$B401,"")</f>
        <v/>
      </c>
      <c r="AF401" s="2" t="str">
        <f aca="false">IF(AND(AF$4=$G401,AF$6=$F401),$B401,"")</f>
        <v/>
      </c>
      <c r="AG401" s="2" t="str">
        <f aca="false">IF(AND(AG$4=$G401,AG$6=$F401),$B401,"")</f>
        <v/>
      </c>
      <c r="AI401" s="366"/>
      <c r="AL401" s="367"/>
      <c r="AO401" s="367"/>
      <c r="AP401" s="2" t="str">
        <f aca="false">IF(AT401&gt;0,RANK(AT401,AT$7:AT$423),"")</f>
        <v/>
      </c>
      <c r="AQ401" s="1475" t="n">
        <f aca="false">'O_MN, PE_UTA_UGM 2024'!C398</f>
        <v>0</v>
      </c>
      <c r="AR401" s="1421" t="n">
        <v>9100</v>
      </c>
      <c r="AS401" s="2" t="str">
        <f aca="false">IF(AY401&lt;&gt;"",AY401,"")</f>
        <v/>
      </c>
      <c r="AT401" s="1422" t="n">
        <f aca="false">IF(ISNUMBER($AR401),SUMIF(B$7:B$505,AR401,D$7:D$505),"")</f>
        <v>0</v>
      </c>
      <c r="AU401" s="1411" t="n">
        <f aca="false">IF(ISNUMBER($AR401),SUMIF(AD$7:AD$503,$AR401,J$7:J$503),"")</f>
        <v>0</v>
      </c>
      <c r="AV401" s="1411" t="n">
        <f aca="false">IF(ISNUMBER($AR401),SUMIF(AF$7:AF$503,$AR401,L$7:L$503),"")</f>
        <v>0</v>
      </c>
      <c r="AW401" s="1423" t="n">
        <f aca="false">IF(ISNUMBER($AR401),SUMIF(AE$7:AE$503,$AR401,K$7:K$503),"")</f>
        <v>0</v>
      </c>
      <c r="AX401" s="1423" t="n">
        <f aca="false">IF(ISNUMBER($AR401),SUMIF(AG$7:AG$503,$AR401,M$7:M$503),"")</f>
        <v>0</v>
      </c>
      <c r="AY401" s="2" t="str">
        <f aca="false">IF($AT401&gt;0,VLOOKUP($AR401,'O_MN, PE_UTA_UGM 2024'!E398:O813,2),"")</f>
        <v/>
      </c>
      <c r="AZ401" s="1507"/>
      <c r="BA401" s="1507"/>
      <c r="BB401" s="1507" t="str">
        <f aca="false">IF($AT401&gt;0,VLOOKUP($AR401,'O_MN, PE_UTA_UGM 2024'!$E$3:$O$419,BB$6),"")</f>
        <v/>
      </c>
      <c r="BC401" s="1507" t="str">
        <f aca="false">IF($AT401&gt;0,VLOOKUP($AR401,'O_MN, PE_UTA_UGM 2024'!$E$3:$O$419,BC$6),"")</f>
        <v/>
      </c>
      <c r="BD401" s="1507" t="str">
        <f aca="false">IF($AT401&gt;0,VLOOKUP($AR401,'O_MN, PE_UTA_UGM 2024'!$E$3:$O$419,BD$6),"")</f>
        <v/>
      </c>
      <c r="BE401" s="1507" t="str">
        <f aca="false">IF($AT401&gt;0,VLOOKUP($AR401,'O_MN, PE_UTA_UGM 2024'!$E$3:$O$419,BE$6),"")</f>
        <v/>
      </c>
      <c r="BF401" s="1507" t="str">
        <f aca="false">IF($AT401&gt;0,VLOOKUP($AR401,'O_MN, PE_UTA_UGM 2024'!$E$3:$O$419,BF$6),"")</f>
        <v/>
      </c>
      <c r="BG401" s="1507" t="str">
        <f aca="false">IF($AT401&gt;0,VLOOKUP($AR401,'O_MN, PE_UTA_UGM 2024'!$E$3:$O$419,BG$6),"")</f>
        <v/>
      </c>
      <c r="BH401" s="1504"/>
      <c r="BI401" s="1504"/>
      <c r="BJ401" s="1504"/>
      <c r="BK401" s="1504"/>
      <c r="BM401" s="1411"/>
      <c r="BN401" s="1411"/>
      <c r="BO401" s="1425" t="str">
        <f aca="false">IF(ISNUMBER($AU401*BB401*1),$AU401*BB401*1,"")</f>
        <v/>
      </c>
      <c r="BP401" s="1425" t="str">
        <f aca="false">IF(ISNUMBER($AV401*BC401*1),$AV401*BC401*1,"")</f>
        <v/>
      </c>
      <c r="BQ401" s="1425" t="str">
        <f aca="false">IF(ISNUMBER($AU401*BD401*1),$AU401*BD401*1,"")</f>
        <v/>
      </c>
      <c r="BR401" s="1425" t="str">
        <f aca="false">IF(ISNUMBER($AV401*BE401*1),$AV401*BE401*1,"")</f>
        <v/>
      </c>
      <c r="BS401" s="1411" t="str">
        <f aca="false">IF(ISNUMBER($AU401*BF401),$AU401*BF401,"")</f>
        <v/>
      </c>
      <c r="BT401" s="1411" t="str">
        <f aca="false">IF(ISNUMBER($AV401*BG401),$AV401*BG401,"")</f>
        <v/>
      </c>
      <c r="BU401" s="1411"/>
      <c r="BV401" s="1411"/>
      <c r="BW401" s="1411"/>
      <c r="BX401" s="1411"/>
      <c r="BZ401" s="1372"/>
      <c r="CA401" s="1372"/>
      <c r="CB401" s="1426" t="str">
        <f aca="false">IF(ISNUMBER($AW401*BB401),$AW401*BB401,"")</f>
        <v/>
      </c>
      <c r="CC401" s="1426" t="str">
        <f aca="false">IF(ISNUMBER($AX401*BC401),$AX401*BC401,"")</f>
        <v/>
      </c>
      <c r="CD401" s="1426" t="str">
        <f aca="false">IF(ISNUMBER($AW401*BD401),$AW401*BD401,"")</f>
        <v/>
      </c>
      <c r="CE401" s="1426" t="str">
        <f aca="false">IF(ISNUMBER($AX401*BE401),$AX401*BE401,"")</f>
        <v/>
      </c>
      <c r="CF401" s="1372" t="str">
        <f aca="false">IF(ISNUMBER($AW401*BF401),$AW401*BF401,"")</f>
        <v/>
      </c>
      <c r="CG401" s="1372" t="str">
        <f aca="false">IF(ISNUMBER($AX401*BG401),$AX401*BG401,"")</f>
        <v/>
      </c>
      <c r="CH401" s="1438"/>
      <c r="CI401" s="1438"/>
      <c r="CJ401" s="1438"/>
      <c r="CK401" s="1438"/>
      <c r="CU401" s="1411"/>
      <c r="CV401" s="1411"/>
      <c r="CW401" s="1425"/>
      <c r="CX401" s="1425"/>
      <c r="CY401" s="1425"/>
      <c r="CZ401" s="1425"/>
      <c r="DA401" s="1411"/>
      <c r="DB401" s="1411"/>
      <c r="DC401" s="1411"/>
      <c r="DD401" s="1411"/>
      <c r="DE401" s="1411"/>
      <c r="DF401" s="1411"/>
      <c r="DH401" s="1432"/>
      <c r="DI401" s="1432"/>
      <c r="DJ401" s="1437"/>
      <c r="DK401" s="1437"/>
      <c r="DL401" s="1437"/>
      <c r="DM401" s="1437"/>
      <c r="DN401" s="1432"/>
      <c r="DO401" s="1432"/>
      <c r="DP401" s="1432"/>
      <c r="DQ401" s="1432"/>
      <c r="DR401" s="1432"/>
      <c r="DS401" s="1432"/>
      <c r="DT401" s="1316"/>
      <c r="DU401" s="1433"/>
      <c r="DV401" s="1433"/>
      <c r="DW401" s="1433"/>
      <c r="DX401" s="1433"/>
      <c r="DY401" s="1433"/>
      <c r="DZ401" s="1433"/>
      <c r="EA401" s="1433"/>
      <c r="EB401" s="1433"/>
    </row>
    <row r="402" customFormat="false" ht="14.25" hidden="false" customHeight="false" outlineLevel="0" collapsed="false">
      <c r="A402" s="2" t="n">
        <f aca="false">'V_DATOS PAC_SGA'!CC397</f>
        <v>0</v>
      </c>
      <c r="B402" s="2" t="n">
        <f aca="false">IF(OR(A402=0,A402=""),0,IF(I402="IV",CONCATENATE('V_DATOS PAC_SGA'!CC397,"4")+0,CONCATENATE('V_DATOS PAC_SGA'!CC397,"0")+0))</f>
        <v>0</v>
      </c>
      <c r="C402" s="2" t="n">
        <f aca="false">'V_DATOS PAC_SGA'!CD397</f>
        <v>0</v>
      </c>
      <c r="D402" s="1409" t="n">
        <f aca="false">'V_DATOS PAC_SGA'!Y397</f>
        <v>0</v>
      </c>
      <c r="E402" s="1410" t="str">
        <f aca="false">IF('V_DATOS PAC_SGA'!AV397="","Regadio",'V_DATOS PAC_SGA'!AV397)</f>
        <v>Regadio</v>
      </c>
      <c r="F402" s="1411" t="n">
        <f aca="false">'V_DATOS PAC_SGA'!BK397</f>
        <v>0</v>
      </c>
      <c r="G402" s="1412" t="n">
        <f aca="false">'V_DATOS PAC_SGA'!AN397</f>
        <v>0</v>
      </c>
      <c r="H402" s="1413" t="str">
        <f aca="false">IF(B402&gt;0,VLOOKUP(B402,'O_MN, PE_UTA_UGM 2024'!E$3:O$419,10),"")</f>
        <v/>
      </c>
      <c r="I402" s="1359" t="str">
        <f aca="false">IF('V_DATOS PAC_SGA'!BV397="IV",'V_DATOS PAC_SGA'!BV397,"")</f>
        <v/>
      </c>
      <c r="J402" s="2" t="str">
        <f aca="false">IF($A402&gt;0,IF(AND(J$4=$G402,J$6=$F402),$D402*J$5,""),"")</f>
        <v/>
      </c>
      <c r="K402" s="2" t="str">
        <f aca="false">IF($A402&gt;0,IF(AND(K$4=$G402,K$6=$F402),$D402*K$5,""),"")</f>
        <v/>
      </c>
      <c r="L402" s="2" t="str">
        <f aca="false">IF($A402&gt;0,IF(AND(L$4=$G402,L$6=$F402),$D402*L$5,""),"")</f>
        <v/>
      </c>
      <c r="M402" s="2" t="str">
        <f aca="false">IF($A402&gt;0,IF(AND(M$4=$G402,M$6=$F402),$D402*M$5,""),"")</f>
        <v/>
      </c>
      <c r="N402" s="1506" t="n">
        <f aca="false">VLOOKUP(B402,'O_MN, PE_UTA_UGM 2024'!$E$2:$K$419,IF(G402&gt;1,6,7))</f>
        <v>0</v>
      </c>
      <c r="O402" s="1434" t="str">
        <f aca="false">IF($H402=O$4,$D402*$N402,"")</f>
        <v/>
      </c>
      <c r="P402" s="1435" t="str">
        <f aca="false">IF($H402=P$4,$D402*$N402,"")</f>
        <v/>
      </c>
      <c r="Q402" s="1435" t="str">
        <f aca="false">IF($H402=Q$4,$D402*$N402,"")</f>
        <v/>
      </c>
      <c r="R402" s="1435" t="str">
        <f aca="false">IF($H402=R$4,$D402*$N402,"")</f>
        <v/>
      </c>
      <c r="S402" s="1435" t="str">
        <f aca="false">IF($H402=S$4,$D402*$N402,"")</f>
        <v/>
      </c>
      <c r="T402" s="1435" t="str">
        <f aca="false">IF($H402=T$4,$D402*$N402,"")</f>
        <v/>
      </c>
      <c r="U402" s="1436" t="str">
        <f aca="false">IF($H402=U$4,$D402*$N402,"")</f>
        <v/>
      </c>
      <c r="V402" s="1472"/>
      <c r="W402" s="1471"/>
      <c r="X402" s="1471"/>
      <c r="Y402" s="1471"/>
      <c r="Z402" s="1471"/>
      <c r="AA402" s="1471"/>
      <c r="AB402" s="1473"/>
      <c r="AC402" s="1319"/>
      <c r="AD402" s="2" t="str">
        <f aca="false">IF(AND(AD$4=$G402,AD$6=$F402),$B402,"")</f>
        <v/>
      </c>
      <c r="AE402" s="2" t="str">
        <f aca="false">IF(AND(AE$4=$G402,AE$6=$F402),$B402,"")</f>
        <v/>
      </c>
      <c r="AF402" s="2" t="str">
        <f aca="false">IF(AND(AF$4=$G402,AF$6=$F402),$B402,"")</f>
        <v/>
      </c>
      <c r="AG402" s="2" t="str">
        <f aca="false">IF(AND(AG$4=$G402,AG$6=$F402),$B402,"")</f>
        <v/>
      </c>
      <c r="AI402" s="366"/>
      <c r="AL402" s="367"/>
      <c r="AO402" s="367"/>
      <c r="AP402" s="2" t="str">
        <f aca="false">IF(AT402&gt;0,RANK(AT402,AT$7:AT$423),"")</f>
        <v/>
      </c>
      <c r="AQ402" s="1475" t="n">
        <f aca="false">'O_MN, PE_UTA_UGM 2024'!C399</f>
        <v>0</v>
      </c>
      <c r="AR402" s="1421" t="n">
        <v>9110</v>
      </c>
      <c r="AS402" s="2" t="str">
        <f aca="false">IF(AY402&lt;&gt;"",AY402,"")</f>
        <v/>
      </c>
      <c r="AT402" s="1422" t="n">
        <f aca="false">IF(ISNUMBER($AR402),SUMIF(B$7:B$505,AR402,D$7:D$505),"")</f>
        <v>0</v>
      </c>
      <c r="AU402" s="1411" t="n">
        <f aca="false">IF(ISNUMBER($AR402),SUMIF(AD$7:AD$503,$AR402,J$7:J$503),"")</f>
        <v>0</v>
      </c>
      <c r="AV402" s="1411" t="n">
        <f aca="false">IF(ISNUMBER($AR402),SUMIF(AF$7:AF$503,$AR402,L$7:L$503),"")</f>
        <v>0</v>
      </c>
      <c r="AW402" s="1423" t="n">
        <f aca="false">IF(ISNUMBER($AR402),SUMIF(AE$7:AE$503,$AR402,K$7:K$503),"")</f>
        <v>0</v>
      </c>
      <c r="AX402" s="1423" t="n">
        <f aca="false">IF(ISNUMBER($AR402),SUMIF(AG$7:AG$503,$AR402,M$7:M$503),"")</f>
        <v>0</v>
      </c>
      <c r="AY402" s="2" t="str">
        <f aca="false">IF($AT402&gt;0,VLOOKUP($AR402,'O_MN, PE_UTA_UGM 2024'!E399:O814,2),"")</f>
        <v/>
      </c>
      <c r="AZ402" s="1507"/>
      <c r="BA402" s="1507"/>
      <c r="BB402" s="1507" t="str">
        <f aca="false">IF($AT402&gt;0,VLOOKUP($AR402,'O_MN, PE_UTA_UGM 2024'!$E$3:$O$419,BB$6),"")</f>
        <v/>
      </c>
      <c r="BC402" s="1507" t="str">
        <f aca="false">IF($AT402&gt;0,VLOOKUP($AR402,'O_MN, PE_UTA_UGM 2024'!$E$3:$O$419,BC$6),"")</f>
        <v/>
      </c>
      <c r="BD402" s="1507" t="str">
        <f aca="false">IF($AT402&gt;0,VLOOKUP($AR402,'O_MN, PE_UTA_UGM 2024'!$E$3:$O$419,BD$6),"")</f>
        <v/>
      </c>
      <c r="BE402" s="1507" t="str">
        <f aca="false">IF($AT402&gt;0,VLOOKUP($AR402,'O_MN, PE_UTA_UGM 2024'!$E$3:$O$419,BE$6),"")</f>
        <v/>
      </c>
      <c r="BF402" s="1507" t="str">
        <f aca="false">IF($AT402&gt;0,VLOOKUP($AR402,'O_MN, PE_UTA_UGM 2024'!$E$3:$O$419,BF$6),"")</f>
        <v/>
      </c>
      <c r="BG402" s="1507" t="str">
        <f aca="false">IF($AT402&gt;0,VLOOKUP($AR402,'O_MN, PE_UTA_UGM 2024'!$E$3:$O$419,BG$6),"")</f>
        <v/>
      </c>
      <c r="BH402" s="1504"/>
      <c r="BI402" s="1504"/>
      <c r="BJ402" s="1504"/>
      <c r="BK402" s="1504"/>
      <c r="BM402" s="1411"/>
      <c r="BN402" s="1411"/>
      <c r="BO402" s="1425" t="str">
        <f aca="false">IF(ISNUMBER($AU402*BB402*1),$AU402*BB402*1,"")</f>
        <v/>
      </c>
      <c r="BP402" s="1425" t="str">
        <f aca="false">IF(ISNUMBER($AV402*BC402*1),$AV402*BC402*1,"")</f>
        <v/>
      </c>
      <c r="BQ402" s="1425" t="str">
        <f aca="false">IF(ISNUMBER($AU402*BD402*1),$AU402*BD402*1,"")</f>
        <v/>
      </c>
      <c r="BR402" s="1425" t="str">
        <f aca="false">IF(ISNUMBER($AV402*BE402*1),$AV402*BE402*1,"")</f>
        <v/>
      </c>
      <c r="BS402" s="1411" t="str">
        <f aca="false">IF(ISNUMBER($AU402*BF402),$AU402*BF402,"")</f>
        <v/>
      </c>
      <c r="BT402" s="1411" t="str">
        <f aca="false">IF(ISNUMBER($AV402*BG402),$AV402*BG402,"")</f>
        <v/>
      </c>
      <c r="BU402" s="1411"/>
      <c r="BV402" s="1411"/>
      <c r="BW402" s="1411"/>
      <c r="BX402" s="1411"/>
      <c r="BZ402" s="1372"/>
      <c r="CA402" s="1372"/>
      <c r="CB402" s="1426" t="str">
        <f aca="false">IF(ISNUMBER($AW402*BB402),$AW402*BB402,"")</f>
        <v/>
      </c>
      <c r="CC402" s="1426" t="str">
        <f aca="false">IF(ISNUMBER($AX402*BC402),$AX402*BC402,"")</f>
        <v/>
      </c>
      <c r="CD402" s="1426" t="str">
        <f aca="false">IF(ISNUMBER($AW402*BD402),$AW402*BD402,"")</f>
        <v/>
      </c>
      <c r="CE402" s="1426" t="str">
        <f aca="false">IF(ISNUMBER($AX402*BE402),$AX402*BE402,"")</f>
        <v/>
      </c>
      <c r="CF402" s="1372" t="str">
        <f aca="false">IF(ISNUMBER($AW402*BF402),$AW402*BF402,"")</f>
        <v/>
      </c>
      <c r="CG402" s="1372" t="str">
        <f aca="false">IF(ISNUMBER($AX402*BG402),$AX402*BG402,"")</f>
        <v/>
      </c>
      <c r="CH402" s="1438"/>
      <c r="CI402" s="1438"/>
      <c r="CJ402" s="1438"/>
      <c r="CK402" s="1438"/>
      <c r="CU402" s="1411"/>
      <c r="CV402" s="1411"/>
      <c r="CW402" s="1425"/>
      <c r="CX402" s="1425"/>
      <c r="CY402" s="1425"/>
      <c r="CZ402" s="1425"/>
      <c r="DA402" s="1411"/>
      <c r="DB402" s="1411"/>
      <c r="DC402" s="1411"/>
      <c r="DD402" s="1411"/>
      <c r="DE402" s="1411"/>
      <c r="DF402" s="1411"/>
      <c r="DH402" s="1432"/>
      <c r="DI402" s="1432"/>
      <c r="DJ402" s="1437"/>
      <c r="DK402" s="1437"/>
      <c r="DL402" s="1437"/>
      <c r="DM402" s="1437"/>
      <c r="DN402" s="1432"/>
      <c r="DO402" s="1432"/>
      <c r="DP402" s="1432"/>
      <c r="DQ402" s="1432"/>
      <c r="DR402" s="1432"/>
      <c r="DS402" s="1432"/>
      <c r="DT402" s="1316"/>
      <c r="DU402" s="1433"/>
      <c r="DV402" s="1433"/>
      <c r="DW402" s="1433"/>
      <c r="DX402" s="1433"/>
      <c r="DY402" s="1433"/>
      <c r="DZ402" s="1433"/>
      <c r="EA402" s="1433"/>
      <c r="EB402" s="1433"/>
    </row>
    <row r="403" customFormat="false" ht="14.25" hidden="false" customHeight="false" outlineLevel="0" collapsed="false">
      <c r="A403" s="2" t="n">
        <f aca="false">'V_DATOS PAC_SGA'!CC398</f>
        <v>0</v>
      </c>
      <c r="B403" s="2" t="n">
        <f aca="false">IF(OR(A403=0,A403=""),0,IF(I403="IV",CONCATENATE('V_DATOS PAC_SGA'!CC398,"4")+0,CONCATENATE('V_DATOS PAC_SGA'!CC398,"0")+0))</f>
        <v>0</v>
      </c>
      <c r="C403" s="2" t="n">
        <f aca="false">'V_DATOS PAC_SGA'!CD398</f>
        <v>0</v>
      </c>
      <c r="D403" s="1409" t="n">
        <f aca="false">'V_DATOS PAC_SGA'!Y398</f>
        <v>0</v>
      </c>
      <c r="E403" s="1410" t="str">
        <f aca="false">IF('V_DATOS PAC_SGA'!AV398="","Regadio",'V_DATOS PAC_SGA'!AV398)</f>
        <v>Regadio</v>
      </c>
      <c r="F403" s="1411" t="n">
        <f aca="false">'V_DATOS PAC_SGA'!BK398</f>
        <v>0</v>
      </c>
      <c r="G403" s="1412" t="n">
        <f aca="false">'V_DATOS PAC_SGA'!AN398</f>
        <v>0</v>
      </c>
      <c r="H403" s="1413" t="str">
        <f aca="false">IF(B403&gt;0,VLOOKUP(B403,'O_MN, PE_UTA_UGM 2024'!E$3:O$419,10),"")</f>
        <v/>
      </c>
      <c r="I403" s="1359" t="str">
        <f aca="false">IF('V_DATOS PAC_SGA'!BV398="IV",'V_DATOS PAC_SGA'!BV398,"")</f>
        <v/>
      </c>
      <c r="J403" s="2" t="str">
        <f aca="false">IF($A403&gt;0,IF(AND(J$4=$G403,J$6=$F403),$D403*J$5,""),"")</f>
        <v/>
      </c>
      <c r="K403" s="2" t="str">
        <f aca="false">IF($A403&gt;0,IF(AND(K$4=$G403,K$6=$F403),$D403*K$5,""),"")</f>
        <v/>
      </c>
      <c r="L403" s="2" t="str">
        <f aca="false">IF($A403&gt;0,IF(AND(L$4=$G403,L$6=$F403),$D403*L$5,""),"")</f>
        <v/>
      </c>
      <c r="M403" s="2" t="str">
        <f aca="false">IF($A403&gt;0,IF(AND(M$4=$G403,M$6=$F403),$D403*M$5,""),"")</f>
        <v/>
      </c>
      <c r="N403" s="1506" t="n">
        <f aca="false">VLOOKUP(B403,'O_MN, PE_UTA_UGM 2024'!$E$2:$K$419,IF(G403&gt;1,6,7))</f>
        <v>0</v>
      </c>
      <c r="O403" s="1434" t="str">
        <f aca="false">IF($H403=O$4,$D403*$N403,"")</f>
        <v/>
      </c>
      <c r="P403" s="1435" t="str">
        <f aca="false">IF($H403=P$4,$D403*$N403,"")</f>
        <v/>
      </c>
      <c r="Q403" s="1435" t="str">
        <f aca="false">IF($H403=Q$4,$D403*$N403,"")</f>
        <v/>
      </c>
      <c r="R403" s="1435" t="str">
        <f aca="false">IF($H403=R$4,$D403*$N403,"")</f>
        <v/>
      </c>
      <c r="S403" s="1435" t="str">
        <f aca="false">IF($H403=S$4,$D403*$N403,"")</f>
        <v/>
      </c>
      <c r="T403" s="1435" t="str">
        <f aca="false">IF($H403=T$4,$D403*$N403,"")</f>
        <v/>
      </c>
      <c r="U403" s="1436" t="str">
        <f aca="false">IF($H403=U$4,$D403*$N403,"")</f>
        <v/>
      </c>
      <c r="V403" s="1472"/>
      <c r="W403" s="1471"/>
      <c r="X403" s="1471"/>
      <c r="Y403" s="1471"/>
      <c r="Z403" s="1471"/>
      <c r="AA403" s="1471"/>
      <c r="AB403" s="1473"/>
      <c r="AC403" s="1319"/>
      <c r="AD403" s="2" t="str">
        <f aca="false">IF(AND(AD$4=$G403,AD$6=$F403),$B403,"")</f>
        <v/>
      </c>
      <c r="AE403" s="2" t="str">
        <f aca="false">IF(AND(AE$4=$G403,AE$6=$F403),$B403,"")</f>
        <v/>
      </c>
      <c r="AF403" s="2" t="str">
        <f aca="false">IF(AND(AF$4=$G403,AF$6=$F403),$B403,"")</f>
        <v/>
      </c>
      <c r="AG403" s="2" t="str">
        <f aca="false">IF(AND(AG$4=$G403,AG$6=$F403),$B403,"")</f>
        <v/>
      </c>
      <c r="AI403" s="366"/>
      <c r="AL403" s="367"/>
      <c r="AO403" s="367"/>
      <c r="AP403" s="2" t="str">
        <f aca="false">IF(AT403&gt;0,RANK(AT403,AT$7:AT$423),"")</f>
        <v/>
      </c>
      <c r="AQ403" s="1475" t="n">
        <f aca="false">'O_MN, PE_UTA_UGM 2024'!C400</f>
        <v>0</v>
      </c>
      <c r="AR403" s="1421" t="n">
        <v>9120</v>
      </c>
      <c r="AS403" s="2" t="str">
        <f aca="false">IF(AY403&lt;&gt;"",AY403,"")</f>
        <v/>
      </c>
      <c r="AT403" s="1422" t="n">
        <f aca="false">IF(ISNUMBER($AR403),SUMIF(B$7:B$505,AR403,D$7:D$505),"")</f>
        <v>0</v>
      </c>
      <c r="AU403" s="1411" t="n">
        <f aca="false">IF(ISNUMBER($AR403),SUMIF(AD$7:AD$503,$AR403,J$7:J$503),"")</f>
        <v>0</v>
      </c>
      <c r="AV403" s="1411" t="n">
        <f aca="false">IF(ISNUMBER($AR403),SUMIF(AF$7:AF$503,$AR403,L$7:L$503),"")</f>
        <v>0</v>
      </c>
      <c r="AW403" s="1423" t="n">
        <f aca="false">IF(ISNUMBER($AR403),SUMIF(AE$7:AE$503,$AR403,K$7:K$503),"")</f>
        <v>0</v>
      </c>
      <c r="AX403" s="1423" t="n">
        <f aca="false">IF(ISNUMBER($AR403),SUMIF(AG$7:AG$503,$AR403,M$7:M$503),"")</f>
        <v>0</v>
      </c>
      <c r="AY403" s="2" t="str">
        <f aca="false">IF($AT403&gt;0,VLOOKUP($AR403,'O_MN, PE_UTA_UGM 2024'!E400:O815,2),"")</f>
        <v/>
      </c>
      <c r="AZ403" s="1507"/>
      <c r="BA403" s="1507"/>
      <c r="BB403" s="1507" t="str">
        <f aca="false">IF($AT403&gt;0,VLOOKUP($AR403,'O_MN, PE_UTA_UGM 2024'!$E$3:$O$419,BB$6),"")</f>
        <v/>
      </c>
      <c r="BC403" s="1507" t="str">
        <f aca="false">IF($AT403&gt;0,VLOOKUP($AR403,'O_MN, PE_UTA_UGM 2024'!$E$3:$O$419,BC$6),"")</f>
        <v/>
      </c>
      <c r="BD403" s="1507" t="str">
        <f aca="false">IF($AT403&gt;0,VLOOKUP($AR403,'O_MN, PE_UTA_UGM 2024'!$E$3:$O$419,BD$6),"")</f>
        <v/>
      </c>
      <c r="BE403" s="1507" t="str">
        <f aca="false">IF($AT403&gt;0,VLOOKUP($AR403,'O_MN, PE_UTA_UGM 2024'!$E$3:$O$419,BE$6),"")</f>
        <v/>
      </c>
      <c r="BF403" s="1507" t="str">
        <f aca="false">IF($AT403&gt;0,VLOOKUP($AR403,'O_MN, PE_UTA_UGM 2024'!$E$3:$O$419,BF$6),"")</f>
        <v/>
      </c>
      <c r="BG403" s="1507" t="str">
        <f aca="false">IF($AT403&gt;0,VLOOKUP($AR403,'O_MN, PE_UTA_UGM 2024'!$E$3:$O$419,BG$6),"")</f>
        <v/>
      </c>
      <c r="BH403" s="1504"/>
      <c r="BI403" s="1504"/>
      <c r="BJ403" s="1504"/>
      <c r="BK403" s="1504"/>
      <c r="BM403" s="1411"/>
      <c r="BN403" s="1411"/>
      <c r="BO403" s="1425" t="str">
        <f aca="false">IF(ISNUMBER($AU403*BB403*1),$AU403*BB403*1,"")</f>
        <v/>
      </c>
      <c r="BP403" s="1425" t="str">
        <f aca="false">IF(ISNUMBER($AV403*BC403*1),$AV403*BC403*1,"")</f>
        <v/>
      </c>
      <c r="BQ403" s="1425" t="str">
        <f aca="false">IF(ISNUMBER($AU403*BD403*1),$AU403*BD403*1,"")</f>
        <v/>
      </c>
      <c r="BR403" s="1425" t="str">
        <f aca="false">IF(ISNUMBER($AV403*BE403*1),$AV403*BE403*1,"")</f>
        <v/>
      </c>
      <c r="BS403" s="1411" t="str">
        <f aca="false">IF(ISNUMBER($AU403*BF403),$AU403*BF403,"")</f>
        <v/>
      </c>
      <c r="BT403" s="1411" t="str">
        <f aca="false">IF(ISNUMBER($AV403*BG403),$AV403*BG403,"")</f>
        <v/>
      </c>
      <c r="BU403" s="1411"/>
      <c r="BV403" s="1411"/>
      <c r="BW403" s="1411"/>
      <c r="BX403" s="1411"/>
      <c r="BZ403" s="1372"/>
      <c r="CA403" s="1372"/>
      <c r="CB403" s="1426" t="str">
        <f aca="false">IF(ISNUMBER($AW403*BB403),$AW403*BB403,"")</f>
        <v/>
      </c>
      <c r="CC403" s="1426" t="str">
        <f aca="false">IF(ISNUMBER($AX403*BC403),$AX403*BC403,"")</f>
        <v/>
      </c>
      <c r="CD403" s="1426" t="str">
        <f aca="false">IF(ISNUMBER($AW403*BD403),$AW403*BD403,"")</f>
        <v/>
      </c>
      <c r="CE403" s="1426" t="str">
        <f aca="false">IF(ISNUMBER($AX403*BE403),$AX403*BE403,"")</f>
        <v/>
      </c>
      <c r="CF403" s="1372" t="str">
        <f aca="false">IF(ISNUMBER($AW403*BF403),$AW403*BF403,"")</f>
        <v/>
      </c>
      <c r="CG403" s="1372" t="str">
        <f aca="false">IF(ISNUMBER($AX403*BG403),$AX403*BG403,"")</f>
        <v/>
      </c>
      <c r="CH403" s="1438"/>
      <c r="CI403" s="1438"/>
      <c r="CJ403" s="1438"/>
      <c r="CK403" s="1438"/>
      <c r="CU403" s="1411"/>
      <c r="CV403" s="1411"/>
      <c r="CW403" s="1425"/>
      <c r="CX403" s="1425"/>
      <c r="CY403" s="1425"/>
      <c r="CZ403" s="1425"/>
      <c r="DA403" s="1411"/>
      <c r="DB403" s="1411"/>
      <c r="DC403" s="1411"/>
      <c r="DD403" s="1411"/>
      <c r="DE403" s="1411"/>
      <c r="DF403" s="1411"/>
      <c r="DH403" s="1432"/>
      <c r="DI403" s="1432"/>
      <c r="DJ403" s="1437"/>
      <c r="DK403" s="1437"/>
      <c r="DL403" s="1437"/>
      <c r="DM403" s="1437"/>
      <c r="DN403" s="1432"/>
      <c r="DO403" s="1432"/>
      <c r="DP403" s="1432"/>
      <c r="DQ403" s="1432"/>
      <c r="DR403" s="1432"/>
      <c r="DS403" s="1432"/>
      <c r="DT403" s="1316"/>
      <c r="DU403" s="1433"/>
      <c r="DV403" s="1433"/>
      <c r="DW403" s="1433"/>
      <c r="DX403" s="1433"/>
      <c r="DY403" s="1433"/>
      <c r="DZ403" s="1433"/>
      <c r="EA403" s="1433"/>
      <c r="EB403" s="1433"/>
    </row>
    <row r="404" customFormat="false" ht="14.25" hidden="false" customHeight="false" outlineLevel="0" collapsed="false">
      <c r="A404" s="2" t="n">
        <f aca="false">'V_DATOS PAC_SGA'!CC399</f>
        <v>0</v>
      </c>
      <c r="B404" s="2" t="n">
        <f aca="false">IF(OR(A404=0,A404=""),0,IF(I404="IV",CONCATENATE('V_DATOS PAC_SGA'!CC399,"4")+0,CONCATENATE('V_DATOS PAC_SGA'!CC399,"0")+0))</f>
        <v>0</v>
      </c>
      <c r="C404" s="2" t="n">
        <f aca="false">'V_DATOS PAC_SGA'!CD399</f>
        <v>0</v>
      </c>
      <c r="D404" s="1409" t="n">
        <f aca="false">'V_DATOS PAC_SGA'!Y399</f>
        <v>0</v>
      </c>
      <c r="E404" s="1410" t="str">
        <f aca="false">IF('V_DATOS PAC_SGA'!AV399="","Regadio",'V_DATOS PAC_SGA'!AV399)</f>
        <v>Regadio</v>
      </c>
      <c r="F404" s="1411" t="n">
        <f aca="false">'V_DATOS PAC_SGA'!BK399</f>
        <v>0</v>
      </c>
      <c r="G404" s="1412" t="n">
        <f aca="false">'V_DATOS PAC_SGA'!AN399</f>
        <v>0</v>
      </c>
      <c r="H404" s="1413" t="str">
        <f aca="false">IF(B404&gt;0,VLOOKUP(B404,'O_MN, PE_UTA_UGM 2024'!E$3:O$419,10),"")</f>
        <v/>
      </c>
      <c r="I404" s="1359" t="str">
        <f aca="false">IF('V_DATOS PAC_SGA'!BV399="IV",'V_DATOS PAC_SGA'!BV399,"")</f>
        <v/>
      </c>
      <c r="J404" s="2" t="str">
        <f aca="false">IF($A404&gt;0,IF(AND(J$4=$G404,J$6=$F404),$D404*J$5,""),"")</f>
        <v/>
      </c>
      <c r="K404" s="2" t="str">
        <f aca="false">IF($A404&gt;0,IF(AND(K$4=$G404,K$6=$F404),$D404*K$5,""),"")</f>
        <v/>
      </c>
      <c r="L404" s="2" t="str">
        <f aca="false">IF($A404&gt;0,IF(AND(L$4=$G404,L$6=$F404),$D404*L$5,""),"")</f>
        <v/>
      </c>
      <c r="M404" s="2" t="str">
        <f aca="false">IF($A404&gt;0,IF(AND(M$4=$G404,M$6=$F404),$D404*M$5,""),"")</f>
        <v/>
      </c>
      <c r="N404" s="1506" t="n">
        <f aca="false">VLOOKUP(B404,'O_MN, PE_UTA_UGM 2024'!$E$2:$K$419,IF(G404&gt;1,6,7))</f>
        <v>0</v>
      </c>
      <c r="O404" s="1434" t="str">
        <f aca="false">IF($H404=O$4,$D404*$N404,"")</f>
        <v/>
      </c>
      <c r="P404" s="1435" t="str">
        <f aca="false">IF($H404=P$4,$D404*$N404,"")</f>
        <v/>
      </c>
      <c r="Q404" s="1435" t="str">
        <f aca="false">IF($H404=Q$4,$D404*$N404,"")</f>
        <v/>
      </c>
      <c r="R404" s="1435" t="str">
        <f aca="false">IF($H404=R$4,$D404*$N404,"")</f>
        <v/>
      </c>
      <c r="S404" s="1435" t="str">
        <f aca="false">IF($H404=S$4,$D404*$N404,"")</f>
        <v/>
      </c>
      <c r="T404" s="1435" t="str">
        <f aca="false">IF($H404=T$4,$D404*$N404,"")</f>
        <v/>
      </c>
      <c r="U404" s="1436" t="str">
        <f aca="false">IF($H404=U$4,$D404*$N404,"")</f>
        <v/>
      </c>
      <c r="V404" s="1472"/>
      <c r="W404" s="1471"/>
      <c r="X404" s="1471"/>
      <c r="Y404" s="1471"/>
      <c r="Z404" s="1471"/>
      <c r="AA404" s="1471"/>
      <c r="AB404" s="1473"/>
      <c r="AC404" s="1319"/>
      <c r="AD404" s="2" t="str">
        <f aca="false">IF(AND(AD$4=$G404,AD$6=$F404),$B404,"")</f>
        <v/>
      </c>
      <c r="AE404" s="2" t="str">
        <f aca="false">IF(AND(AE$4=$G404,AE$6=$F404),$B404,"")</f>
        <v/>
      </c>
      <c r="AF404" s="2" t="str">
        <f aca="false">IF(AND(AF$4=$G404,AF$6=$F404),$B404,"")</f>
        <v/>
      </c>
      <c r="AG404" s="2" t="str">
        <f aca="false">IF(AND(AG$4=$G404,AG$6=$F404),$B404,"")</f>
        <v/>
      </c>
      <c r="AI404" s="366"/>
      <c r="AL404" s="367"/>
      <c r="AO404" s="367"/>
      <c r="AP404" s="2" t="str">
        <f aca="false">IF(AT404&gt;0,RANK(AT404,AT$7:AT$423),"")</f>
        <v/>
      </c>
      <c r="AQ404" s="1475" t="n">
        <f aca="false">'O_MN, PE_UTA_UGM 2024'!C401</f>
        <v>0</v>
      </c>
      <c r="AR404" s="1421" t="n">
        <v>9130</v>
      </c>
      <c r="AS404" s="2" t="str">
        <f aca="false">IF(AY404&lt;&gt;"",AY404,"")</f>
        <v/>
      </c>
      <c r="AT404" s="1422" t="n">
        <f aca="false">IF(ISNUMBER($AR404),SUMIF(B$7:B$505,AR404,D$7:D$505),"")</f>
        <v>0</v>
      </c>
      <c r="AU404" s="1411" t="n">
        <f aca="false">IF(ISNUMBER($AR404),SUMIF(AD$7:AD$503,$AR404,J$7:J$503),"")</f>
        <v>0</v>
      </c>
      <c r="AV404" s="1411" t="n">
        <f aca="false">IF(ISNUMBER($AR404),SUMIF(AF$7:AF$503,$AR404,L$7:L$503),"")</f>
        <v>0</v>
      </c>
      <c r="AW404" s="1423" t="n">
        <f aca="false">IF(ISNUMBER($AR404),SUMIF(AE$7:AE$503,$AR404,K$7:K$503),"")</f>
        <v>0</v>
      </c>
      <c r="AX404" s="1423" t="n">
        <f aca="false">IF(ISNUMBER($AR404),SUMIF(AG$7:AG$503,$AR404,M$7:M$503),"")</f>
        <v>0</v>
      </c>
      <c r="AY404" s="2" t="str">
        <f aca="false">IF($AT404&gt;0,VLOOKUP($AR404,'O_MN, PE_UTA_UGM 2024'!E401:O816,2),"")</f>
        <v/>
      </c>
      <c r="AZ404" s="1507"/>
      <c r="BA404" s="1507"/>
      <c r="BB404" s="1507" t="str">
        <f aca="false">IF($AT404&gt;0,VLOOKUP($AR404,'O_MN, PE_UTA_UGM 2024'!$E$3:$O$419,BB$6),"")</f>
        <v/>
      </c>
      <c r="BC404" s="1507" t="str">
        <f aca="false">IF($AT404&gt;0,VLOOKUP($AR404,'O_MN, PE_UTA_UGM 2024'!$E$3:$O$419,BC$6),"")</f>
        <v/>
      </c>
      <c r="BD404" s="1507" t="str">
        <f aca="false">IF($AT404&gt;0,VLOOKUP($AR404,'O_MN, PE_UTA_UGM 2024'!$E$3:$O$419,BD$6),"")</f>
        <v/>
      </c>
      <c r="BE404" s="1507" t="str">
        <f aca="false">IF($AT404&gt;0,VLOOKUP($AR404,'O_MN, PE_UTA_UGM 2024'!$E$3:$O$419,BE$6),"")</f>
        <v/>
      </c>
      <c r="BF404" s="1507" t="str">
        <f aca="false">IF($AT404&gt;0,VLOOKUP($AR404,'O_MN, PE_UTA_UGM 2024'!$E$3:$O$419,BF$6),"")</f>
        <v/>
      </c>
      <c r="BG404" s="1507" t="str">
        <f aca="false">IF($AT404&gt;0,VLOOKUP($AR404,'O_MN, PE_UTA_UGM 2024'!$E$3:$O$419,BG$6),"")</f>
        <v/>
      </c>
      <c r="BH404" s="1504"/>
      <c r="BI404" s="1504"/>
      <c r="BJ404" s="1504"/>
      <c r="BK404" s="1504"/>
      <c r="BM404" s="1411"/>
      <c r="BN404" s="1411"/>
      <c r="BO404" s="1425" t="str">
        <f aca="false">IF(ISNUMBER($AU404*BB404*1),$AU404*BB404*1,"")</f>
        <v/>
      </c>
      <c r="BP404" s="1425" t="str">
        <f aca="false">IF(ISNUMBER($AV404*BC404*1),$AV404*BC404*1,"")</f>
        <v/>
      </c>
      <c r="BQ404" s="1425" t="str">
        <f aca="false">IF(ISNUMBER($AU404*BD404*1),$AU404*BD404*1,"")</f>
        <v/>
      </c>
      <c r="BR404" s="1425" t="str">
        <f aca="false">IF(ISNUMBER($AV404*BE404*1),$AV404*BE404*1,"")</f>
        <v/>
      </c>
      <c r="BS404" s="1411" t="str">
        <f aca="false">IF(ISNUMBER($AU404*BF404),$AU404*BF404,"")</f>
        <v/>
      </c>
      <c r="BT404" s="1411" t="str">
        <f aca="false">IF(ISNUMBER($AV404*BG404),$AV404*BG404,"")</f>
        <v/>
      </c>
      <c r="BU404" s="1411"/>
      <c r="BV404" s="1411"/>
      <c r="BW404" s="1411"/>
      <c r="BX404" s="1411"/>
      <c r="BZ404" s="1372"/>
      <c r="CA404" s="1372"/>
      <c r="CB404" s="1426" t="str">
        <f aca="false">IF(ISNUMBER($AW404*BB404),$AW404*BB404,"")</f>
        <v/>
      </c>
      <c r="CC404" s="1426" t="str">
        <f aca="false">IF(ISNUMBER($AX404*BC404),$AX404*BC404,"")</f>
        <v/>
      </c>
      <c r="CD404" s="1426" t="str">
        <f aca="false">IF(ISNUMBER($AW404*BD404),$AW404*BD404,"")</f>
        <v/>
      </c>
      <c r="CE404" s="1426" t="str">
        <f aca="false">IF(ISNUMBER($AX404*BE404),$AX404*BE404,"")</f>
        <v/>
      </c>
      <c r="CF404" s="1372" t="str">
        <f aca="false">IF(ISNUMBER($AW404*BF404),$AW404*BF404,"")</f>
        <v/>
      </c>
      <c r="CG404" s="1372" t="str">
        <f aca="false">IF(ISNUMBER($AX404*BG404),$AX404*BG404,"")</f>
        <v/>
      </c>
      <c r="CH404" s="1438"/>
      <c r="CI404" s="1438"/>
      <c r="CJ404" s="1438"/>
      <c r="CK404" s="1438"/>
      <c r="CU404" s="1411"/>
      <c r="CV404" s="1411"/>
      <c r="CW404" s="1425"/>
      <c r="CX404" s="1425"/>
      <c r="CY404" s="1425"/>
      <c r="CZ404" s="1425"/>
      <c r="DA404" s="1411"/>
      <c r="DB404" s="1411"/>
      <c r="DC404" s="1411"/>
      <c r="DD404" s="1411"/>
      <c r="DE404" s="1411"/>
      <c r="DF404" s="1411"/>
      <c r="DH404" s="1432"/>
      <c r="DI404" s="1432"/>
      <c r="DJ404" s="1437"/>
      <c r="DK404" s="1437"/>
      <c r="DL404" s="1437"/>
      <c r="DM404" s="1437"/>
      <c r="DN404" s="1432"/>
      <c r="DO404" s="1432"/>
      <c r="DP404" s="1432"/>
      <c r="DQ404" s="1432"/>
      <c r="DR404" s="1432"/>
      <c r="DS404" s="1432"/>
      <c r="DT404" s="1316"/>
      <c r="DU404" s="1433"/>
      <c r="DV404" s="1433"/>
      <c r="DW404" s="1433"/>
      <c r="DX404" s="1433"/>
      <c r="DY404" s="1433"/>
      <c r="DZ404" s="1433"/>
      <c r="EA404" s="1433"/>
      <c r="EB404" s="1433"/>
    </row>
    <row r="405" customFormat="false" ht="14.25" hidden="false" customHeight="false" outlineLevel="0" collapsed="false">
      <c r="A405" s="2" t="n">
        <f aca="false">'V_DATOS PAC_SGA'!CC400</f>
        <v>0</v>
      </c>
      <c r="B405" s="2" t="n">
        <f aca="false">IF(OR(A405=0,A405=""),0,IF(I405="IV",CONCATENATE('V_DATOS PAC_SGA'!CC400,"4")+0,CONCATENATE('V_DATOS PAC_SGA'!CC400,"0")+0))</f>
        <v>0</v>
      </c>
      <c r="C405" s="2" t="n">
        <f aca="false">'V_DATOS PAC_SGA'!CD400</f>
        <v>0</v>
      </c>
      <c r="D405" s="1409" t="n">
        <f aca="false">'V_DATOS PAC_SGA'!Y400</f>
        <v>0</v>
      </c>
      <c r="E405" s="1410" t="str">
        <f aca="false">IF('V_DATOS PAC_SGA'!AV400="","Regadio",'V_DATOS PAC_SGA'!AV400)</f>
        <v>Regadio</v>
      </c>
      <c r="F405" s="1411" t="n">
        <f aca="false">'V_DATOS PAC_SGA'!BK400</f>
        <v>0</v>
      </c>
      <c r="G405" s="1412" t="n">
        <f aca="false">'V_DATOS PAC_SGA'!AN400</f>
        <v>0</v>
      </c>
      <c r="H405" s="1413" t="str">
        <f aca="false">IF(B405&gt;0,VLOOKUP(B405,'O_MN, PE_UTA_UGM 2024'!E$3:O$419,10),"")</f>
        <v/>
      </c>
      <c r="I405" s="1359" t="str">
        <f aca="false">IF('V_DATOS PAC_SGA'!BV400="IV",'V_DATOS PAC_SGA'!BV400,"")</f>
        <v/>
      </c>
      <c r="J405" s="2" t="str">
        <f aca="false">IF($A405&gt;0,IF(AND(J$4=$G405,J$6=$F405),$D405*J$5,""),"")</f>
        <v/>
      </c>
      <c r="K405" s="2" t="str">
        <f aca="false">IF($A405&gt;0,IF(AND(K$4=$G405,K$6=$F405),$D405*K$5,""),"")</f>
        <v/>
      </c>
      <c r="L405" s="2" t="str">
        <f aca="false">IF($A405&gt;0,IF(AND(L$4=$G405,L$6=$F405),$D405*L$5,""),"")</f>
        <v/>
      </c>
      <c r="M405" s="2" t="str">
        <f aca="false">IF($A405&gt;0,IF(AND(M$4=$G405,M$6=$F405),$D405*M$5,""),"")</f>
        <v/>
      </c>
      <c r="N405" s="1506" t="n">
        <f aca="false">VLOOKUP(B405,'O_MN, PE_UTA_UGM 2024'!$E$2:$K$419,IF(G405&gt;1,6,7))</f>
        <v>0</v>
      </c>
      <c r="O405" s="1434" t="str">
        <f aca="false">IF($H405=O$4,$D405*$N405,"")</f>
        <v/>
      </c>
      <c r="P405" s="1435" t="str">
        <f aca="false">IF($H405=P$4,$D405*$N405,"")</f>
        <v/>
      </c>
      <c r="Q405" s="1435" t="str">
        <f aca="false">IF($H405=Q$4,$D405*$N405,"")</f>
        <v/>
      </c>
      <c r="R405" s="1435" t="str">
        <f aca="false">IF($H405=R$4,$D405*$N405,"")</f>
        <v/>
      </c>
      <c r="S405" s="1435" t="str">
        <f aca="false">IF($H405=S$4,$D405*$N405,"")</f>
        <v/>
      </c>
      <c r="T405" s="1435" t="str">
        <f aca="false">IF($H405=T$4,$D405*$N405,"")</f>
        <v/>
      </c>
      <c r="U405" s="1436" t="str">
        <f aca="false">IF($H405=U$4,$D405*$N405,"")</f>
        <v/>
      </c>
      <c r="V405" s="1472"/>
      <c r="W405" s="1471"/>
      <c r="X405" s="1471"/>
      <c r="Y405" s="1471"/>
      <c r="Z405" s="1471"/>
      <c r="AA405" s="1471"/>
      <c r="AB405" s="1473"/>
      <c r="AC405" s="1319"/>
      <c r="AD405" s="2" t="str">
        <f aca="false">IF(AND(AD$4=$G405,AD$6=$F405),$B405,"")</f>
        <v/>
      </c>
      <c r="AE405" s="2" t="str">
        <f aca="false">IF(AND(AE$4=$G405,AE$6=$F405),$B405,"")</f>
        <v/>
      </c>
      <c r="AF405" s="2" t="str">
        <f aca="false">IF(AND(AF$4=$G405,AF$6=$F405),$B405,"")</f>
        <v/>
      </c>
      <c r="AG405" s="2" t="str">
        <f aca="false">IF(AND(AG$4=$G405,AG$6=$F405),$B405,"")</f>
        <v/>
      </c>
      <c r="AI405" s="366"/>
      <c r="AL405" s="367"/>
      <c r="AO405" s="367"/>
      <c r="AP405" s="2" t="str">
        <f aca="false">IF(AT405&gt;0,RANK(AT405,AT$7:AT$423),"")</f>
        <v/>
      </c>
      <c r="AQ405" s="1475" t="n">
        <f aca="false">'O_MN, PE_UTA_UGM 2024'!C402</f>
        <v>0</v>
      </c>
      <c r="AR405" s="1421" t="n">
        <v>9140</v>
      </c>
      <c r="AS405" s="2" t="str">
        <f aca="false">IF(AY405&lt;&gt;"",AY405,"")</f>
        <v/>
      </c>
      <c r="AT405" s="1422" t="n">
        <f aca="false">IF(ISNUMBER($AR405),SUMIF(B$7:B$505,AR405,D$7:D$505),"")</f>
        <v>0</v>
      </c>
      <c r="AU405" s="1411" t="n">
        <f aca="false">IF(ISNUMBER($AR405),SUMIF(AD$7:AD$503,$AR405,J$7:J$503),"")</f>
        <v>0</v>
      </c>
      <c r="AV405" s="1411" t="n">
        <f aca="false">IF(ISNUMBER($AR405),SUMIF(AF$7:AF$503,$AR405,L$7:L$503),"")</f>
        <v>0</v>
      </c>
      <c r="AW405" s="1423" t="n">
        <f aca="false">IF(ISNUMBER($AR405),SUMIF(AE$7:AE$503,$AR405,K$7:K$503),"")</f>
        <v>0</v>
      </c>
      <c r="AX405" s="1423" t="n">
        <f aca="false">IF(ISNUMBER($AR405),SUMIF(AG$7:AG$503,$AR405,M$7:M$503),"")</f>
        <v>0</v>
      </c>
      <c r="AY405" s="2" t="str">
        <f aca="false">IF($AT405&gt;0,VLOOKUP($AR405,'O_MN, PE_UTA_UGM 2024'!E402:O817,2),"")</f>
        <v/>
      </c>
      <c r="AZ405" s="1507"/>
      <c r="BA405" s="1507"/>
      <c r="BB405" s="1507" t="str">
        <f aca="false">IF($AT405&gt;0,VLOOKUP($AR405,'O_MN, PE_UTA_UGM 2024'!$E$3:$O$419,BB$6),"")</f>
        <v/>
      </c>
      <c r="BC405" s="1507" t="str">
        <f aca="false">IF($AT405&gt;0,VLOOKUP($AR405,'O_MN, PE_UTA_UGM 2024'!$E$3:$O$419,BC$6),"")</f>
        <v/>
      </c>
      <c r="BD405" s="1507" t="str">
        <f aca="false">IF($AT405&gt;0,VLOOKUP($AR405,'O_MN, PE_UTA_UGM 2024'!$E$3:$O$419,BD$6),"")</f>
        <v/>
      </c>
      <c r="BE405" s="1507" t="str">
        <f aca="false">IF($AT405&gt;0,VLOOKUP($AR405,'O_MN, PE_UTA_UGM 2024'!$E$3:$O$419,BE$6),"")</f>
        <v/>
      </c>
      <c r="BF405" s="1507" t="str">
        <f aca="false">IF($AT405&gt;0,VLOOKUP($AR405,'O_MN, PE_UTA_UGM 2024'!$E$3:$O$419,BF$6),"")</f>
        <v/>
      </c>
      <c r="BG405" s="1507" t="str">
        <f aca="false">IF($AT405&gt;0,VLOOKUP($AR405,'O_MN, PE_UTA_UGM 2024'!$E$3:$O$419,BG$6),"")</f>
        <v/>
      </c>
      <c r="BH405" s="1504"/>
      <c r="BI405" s="1504"/>
      <c r="BJ405" s="1504"/>
      <c r="BK405" s="1504"/>
      <c r="BM405" s="1411"/>
      <c r="BN405" s="1411"/>
      <c r="BO405" s="1425" t="str">
        <f aca="false">IF(ISNUMBER($AU405*BB405*1),$AU405*BB405*1,"")</f>
        <v/>
      </c>
      <c r="BP405" s="1425" t="str">
        <f aca="false">IF(ISNUMBER($AV405*BC405*1),$AV405*BC405*1,"")</f>
        <v/>
      </c>
      <c r="BQ405" s="1425" t="str">
        <f aca="false">IF(ISNUMBER($AU405*BD405*1),$AU405*BD405*1,"")</f>
        <v/>
      </c>
      <c r="BR405" s="1425" t="str">
        <f aca="false">IF(ISNUMBER($AV405*BE405*1),$AV405*BE405*1,"")</f>
        <v/>
      </c>
      <c r="BS405" s="1411" t="str">
        <f aca="false">IF(ISNUMBER($AU405*BF405),$AU405*BF405,"")</f>
        <v/>
      </c>
      <c r="BT405" s="1411" t="str">
        <f aca="false">IF(ISNUMBER($AV405*BG405),$AV405*BG405,"")</f>
        <v/>
      </c>
      <c r="BU405" s="1411"/>
      <c r="BV405" s="1411"/>
      <c r="BW405" s="1411"/>
      <c r="BX405" s="1411"/>
      <c r="BZ405" s="1372"/>
      <c r="CA405" s="1372"/>
      <c r="CB405" s="1426" t="str">
        <f aca="false">IF(ISNUMBER($AW405*BB405),$AW405*BB405,"")</f>
        <v/>
      </c>
      <c r="CC405" s="1426" t="str">
        <f aca="false">IF(ISNUMBER($AX405*BC405),$AX405*BC405,"")</f>
        <v/>
      </c>
      <c r="CD405" s="1426" t="str">
        <f aca="false">IF(ISNUMBER($AW405*BD405),$AW405*BD405,"")</f>
        <v/>
      </c>
      <c r="CE405" s="1426" t="str">
        <f aca="false">IF(ISNUMBER($AX405*BE405),$AX405*BE405,"")</f>
        <v/>
      </c>
      <c r="CF405" s="1372" t="str">
        <f aca="false">IF(ISNUMBER($AW405*BF405),$AW405*BF405,"")</f>
        <v/>
      </c>
      <c r="CG405" s="1372" t="str">
        <f aca="false">IF(ISNUMBER($AX405*BG405),$AX405*BG405,"")</f>
        <v/>
      </c>
      <c r="CH405" s="1438"/>
      <c r="CI405" s="1438"/>
      <c r="CJ405" s="1438"/>
      <c r="CK405" s="1438"/>
      <c r="CU405" s="1411"/>
      <c r="CV405" s="1411"/>
      <c r="CW405" s="1425"/>
      <c r="CX405" s="1425"/>
      <c r="CY405" s="1425"/>
      <c r="CZ405" s="1425"/>
      <c r="DA405" s="1411"/>
      <c r="DB405" s="1411"/>
      <c r="DC405" s="1411"/>
      <c r="DD405" s="1411"/>
      <c r="DE405" s="1411"/>
      <c r="DF405" s="1411"/>
      <c r="DH405" s="1432"/>
      <c r="DI405" s="1432"/>
      <c r="DJ405" s="1437"/>
      <c r="DK405" s="1437"/>
      <c r="DL405" s="1437"/>
      <c r="DM405" s="1437"/>
      <c r="DN405" s="1432"/>
      <c r="DO405" s="1432"/>
      <c r="DP405" s="1432"/>
      <c r="DQ405" s="1432"/>
      <c r="DR405" s="1432"/>
      <c r="DS405" s="1432"/>
      <c r="DT405" s="1316"/>
      <c r="DU405" s="1433"/>
      <c r="DV405" s="1433"/>
      <c r="DW405" s="1433"/>
      <c r="DX405" s="1433"/>
      <c r="DY405" s="1433"/>
      <c r="DZ405" s="1433"/>
      <c r="EA405" s="1433"/>
      <c r="EB405" s="1433"/>
    </row>
    <row r="406" customFormat="false" ht="14.25" hidden="false" customHeight="false" outlineLevel="0" collapsed="false">
      <c r="A406" s="2" t="n">
        <f aca="false">'V_DATOS PAC_SGA'!CC401</f>
        <v>0</v>
      </c>
      <c r="B406" s="2" t="n">
        <f aca="false">IF(OR(A406=0,A406=""),0,IF(I406="IV",CONCATENATE('V_DATOS PAC_SGA'!CC401,"4")+0,CONCATENATE('V_DATOS PAC_SGA'!CC401,"0")+0))</f>
        <v>0</v>
      </c>
      <c r="C406" s="2" t="n">
        <f aca="false">'V_DATOS PAC_SGA'!CD401</f>
        <v>0</v>
      </c>
      <c r="D406" s="1409" t="n">
        <f aca="false">'V_DATOS PAC_SGA'!Y401</f>
        <v>0</v>
      </c>
      <c r="E406" s="1410" t="str">
        <f aca="false">IF('V_DATOS PAC_SGA'!AV401="","Regadio",'V_DATOS PAC_SGA'!AV401)</f>
        <v>Regadio</v>
      </c>
      <c r="F406" s="1411" t="n">
        <f aca="false">'V_DATOS PAC_SGA'!BK401</f>
        <v>0</v>
      </c>
      <c r="G406" s="1412" t="n">
        <f aca="false">'V_DATOS PAC_SGA'!AN401</f>
        <v>0</v>
      </c>
      <c r="H406" s="1413" t="str">
        <f aca="false">IF(B406&gt;0,VLOOKUP(B406,'O_MN, PE_UTA_UGM 2024'!E$3:O$419,10),"")</f>
        <v/>
      </c>
      <c r="I406" s="1359" t="str">
        <f aca="false">IF('V_DATOS PAC_SGA'!BV401="IV",'V_DATOS PAC_SGA'!BV401,"")</f>
        <v/>
      </c>
      <c r="J406" s="2" t="str">
        <f aca="false">IF($A406&gt;0,IF(AND(J$4=$G406,J$6=$F406),$D406*J$5,""),"")</f>
        <v/>
      </c>
      <c r="K406" s="2" t="str">
        <f aca="false">IF($A406&gt;0,IF(AND(K$4=$G406,K$6=$F406),$D406*K$5,""),"")</f>
        <v/>
      </c>
      <c r="L406" s="2" t="str">
        <f aca="false">IF($A406&gt;0,IF(AND(L$4=$G406,L$6=$F406),$D406*L$5,""),"")</f>
        <v/>
      </c>
      <c r="M406" s="2" t="str">
        <f aca="false">IF($A406&gt;0,IF(AND(M$4=$G406,M$6=$F406),$D406*M$5,""),"")</f>
        <v/>
      </c>
      <c r="N406" s="1506" t="n">
        <f aca="false">VLOOKUP(B406,'O_MN, PE_UTA_UGM 2024'!$E$2:$K$419,IF(G406&gt;1,6,7))</f>
        <v>0</v>
      </c>
      <c r="O406" s="1434" t="str">
        <f aca="false">IF($H406=O$4,$D406*$N406,"")</f>
        <v/>
      </c>
      <c r="P406" s="1435" t="str">
        <f aca="false">IF($H406=P$4,$D406*$N406,"")</f>
        <v/>
      </c>
      <c r="Q406" s="1435" t="str">
        <f aca="false">IF($H406=Q$4,$D406*$N406,"")</f>
        <v/>
      </c>
      <c r="R406" s="1435" t="str">
        <f aca="false">IF($H406=R$4,$D406*$N406,"")</f>
        <v/>
      </c>
      <c r="S406" s="1435" t="str">
        <f aca="false">IF($H406=S$4,$D406*$N406,"")</f>
        <v/>
      </c>
      <c r="T406" s="1435" t="str">
        <f aca="false">IF($H406=T$4,$D406*$N406,"")</f>
        <v/>
      </c>
      <c r="U406" s="1436" t="str">
        <f aca="false">IF($H406=U$4,$D406*$N406,"")</f>
        <v/>
      </c>
      <c r="V406" s="1472"/>
      <c r="W406" s="1471"/>
      <c r="X406" s="1471"/>
      <c r="Y406" s="1471"/>
      <c r="Z406" s="1471"/>
      <c r="AA406" s="1471"/>
      <c r="AB406" s="1473"/>
      <c r="AC406" s="1319"/>
      <c r="AD406" s="2" t="str">
        <f aca="false">IF(AND(AD$4=$G406,AD$6=$F406),$B406,"")</f>
        <v/>
      </c>
      <c r="AE406" s="2" t="str">
        <f aca="false">IF(AND(AE$4=$G406,AE$6=$F406),$B406,"")</f>
        <v/>
      </c>
      <c r="AF406" s="2" t="str">
        <f aca="false">IF(AND(AF$4=$G406,AF$6=$F406),$B406,"")</f>
        <v/>
      </c>
      <c r="AG406" s="2" t="str">
        <f aca="false">IF(AND(AG$4=$G406,AG$6=$F406),$B406,"")</f>
        <v/>
      </c>
      <c r="AI406" s="366"/>
      <c r="AL406" s="367"/>
      <c r="AO406" s="367"/>
      <c r="AP406" s="2" t="str">
        <f aca="false">IF(AT406&gt;0,RANK(AT406,AT$7:AT$423),"")</f>
        <v/>
      </c>
      <c r="AQ406" s="1475" t="n">
        <f aca="false">'O_MN, PE_UTA_UGM 2024'!C403</f>
        <v>0</v>
      </c>
      <c r="AR406" s="1421" t="n">
        <v>9150</v>
      </c>
      <c r="AS406" s="2" t="str">
        <f aca="false">IF(AY406&lt;&gt;"",AY406,"")</f>
        <v/>
      </c>
      <c r="AT406" s="1422" t="n">
        <f aca="false">IF(ISNUMBER($AR406),SUMIF(B$7:B$505,AR406,D$7:D$505),"")</f>
        <v>0</v>
      </c>
      <c r="AU406" s="1411" t="n">
        <f aca="false">IF(ISNUMBER($AR406),SUMIF(AD$7:AD$503,$AR406,J$7:J$503),"")</f>
        <v>0</v>
      </c>
      <c r="AV406" s="1411" t="n">
        <f aca="false">IF(ISNUMBER($AR406),SUMIF(AF$7:AF$503,$AR406,L$7:L$503),"")</f>
        <v>0</v>
      </c>
      <c r="AW406" s="1423" t="n">
        <f aca="false">IF(ISNUMBER($AR406),SUMIF(AE$7:AE$503,$AR406,K$7:K$503),"")</f>
        <v>0</v>
      </c>
      <c r="AX406" s="1423" t="n">
        <f aca="false">IF(ISNUMBER($AR406),SUMIF(AG$7:AG$503,$AR406,M$7:M$503),"")</f>
        <v>0</v>
      </c>
      <c r="AY406" s="2" t="str">
        <f aca="false">IF($AT406&gt;0,VLOOKUP($AR406,'O_MN, PE_UTA_UGM 2024'!E403:O818,2),"")</f>
        <v/>
      </c>
      <c r="AZ406" s="1507"/>
      <c r="BA406" s="1507"/>
      <c r="BB406" s="1507" t="str">
        <f aca="false">IF($AT406&gt;0,VLOOKUP($AR406,'O_MN, PE_UTA_UGM 2024'!$E$3:$O$419,BB$6),"")</f>
        <v/>
      </c>
      <c r="BC406" s="1507" t="str">
        <f aca="false">IF($AT406&gt;0,VLOOKUP($AR406,'O_MN, PE_UTA_UGM 2024'!$E$3:$O$419,BC$6),"")</f>
        <v/>
      </c>
      <c r="BD406" s="1507" t="str">
        <f aca="false">IF($AT406&gt;0,VLOOKUP($AR406,'O_MN, PE_UTA_UGM 2024'!$E$3:$O$419,BD$6),"")</f>
        <v/>
      </c>
      <c r="BE406" s="1507" t="str">
        <f aca="false">IF($AT406&gt;0,VLOOKUP($AR406,'O_MN, PE_UTA_UGM 2024'!$E$3:$O$419,BE$6),"")</f>
        <v/>
      </c>
      <c r="BF406" s="1507" t="str">
        <f aca="false">IF($AT406&gt;0,VLOOKUP($AR406,'O_MN, PE_UTA_UGM 2024'!$E$3:$O$419,BF$6),"")</f>
        <v/>
      </c>
      <c r="BG406" s="1507" t="str">
        <f aca="false">IF($AT406&gt;0,VLOOKUP($AR406,'O_MN, PE_UTA_UGM 2024'!$E$3:$O$419,BG$6),"")</f>
        <v/>
      </c>
      <c r="BH406" s="1504"/>
      <c r="BI406" s="1504"/>
      <c r="BJ406" s="1504"/>
      <c r="BK406" s="1504"/>
      <c r="BM406" s="1411"/>
      <c r="BN406" s="1411"/>
      <c r="BO406" s="1425" t="str">
        <f aca="false">IF(ISNUMBER($AU406*BB406*1),$AU406*BB406*1,"")</f>
        <v/>
      </c>
      <c r="BP406" s="1425" t="str">
        <f aca="false">IF(ISNUMBER($AV406*BC406*1),$AV406*BC406*1,"")</f>
        <v/>
      </c>
      <c r="BQ406" s="1425" t="str">
        <f aca="false">IF(ISNUMBER($AU406*BD406*1),$AU406*BD406*1,"")</f>
        <v/>
      </c>
      <c r="BR406" s="1425" t="str">
        <f aca="false">IF(ISNUMBER($AV406*BE406*1),$AV406*BE406*1,"")</f>
        <v/>
      </c>
      <c r="BS406" s="1411" t="str">
        <f aca="false">IF(ISNUMBER($AU406*BF406),$AU406*BF406,"")</f>
        <v/>
      </c>
      <c r="BT406" s="1411" t="str">
        <f aca="false">IF(ISNUMBER($AV406*BG406),$AV406*BG406,"")</f>
        <v/>
      </c>
      <c r="BU406" s="1411"/>
      <c r="BV406" s="1411"/>
      <c r="BW406" s="1411"/>
      <c r="BX406" s="1411"/>
      <c r="BZ406" s="1372"/>
      <c r="CA406" s="1372"/>
      <c r="CB406" s="1426" t="str">
        <f aca="false">IF(ISNUMBER($AW406*BB406),$AW406*BB406,"")</f>
        <v/>
      </c>
      <c r="CC406" s="1426" t="str">
        <f aca="false">IF(ISNUMBER($AX406*BC406),$AX406*BC406,"")</f>
        <v/>
      </c>
      <c r="CD406" s="1426" t="str">
        <f aca="false">IF(ISNUMBER($AW406*BD406),$AW406*BD406,"")</f>
        <v/>
      </c>
      <c r="CE406" s="1426" t="str">
        <f aca="false">IF(ISNUMBER($AX406*BE406),$AX406*BE406,"")</f>
        <v/>
      </c>
      <c r="CF406" s="1372" t="str">
        <f aca="false">IF(ISNUMBER($AW406*BF406),$AW406*BF406,"")</f>
        <v/>
      </c>
      <c r="CG406" s="1372" t="str">
        <f aca="false">IF(ISNUMBER($AX406*BG406),$AX406*BG406,"")</f>
        <v/>
      </c>
      <c r="CH406" s="1438"/>
      <c r="CI406" s="1438"/>
      <c r="CJ406" s="1438"/>
      <c r="CK406" s="1438"/>
      <c r="CU406" s="1411"/>
      <c r="CV406" s="1411"/>
      <c r="CW406" s="1425"/>
      <c r="CX406" s="1425"/>
      <c r="CY406" s="1425"/>
      <c r="CZ406" s="1425"/>
      <c r="DA406" s="1411"/>
      <c r="DB406" s="1411"/>
      <c r="DC406" s="1411"/>
      <c r="DD406" s="1411"/>
      <c r="DE406" s="1411"/>
      <c r="DF406" s="1411"/>
      <c r="DH406" s="1432"/>
      <c r="DI406" s="1432"/>
      <c r="DJ406" s="1437"/>
      <c r="DK406" s="1437"/>
      <c r="DL406" s="1437"/>
      <c r="DM406" s="1437"/>
      <c r="DN406" s="1432"/>
      <c r="DO406" s="1432"/>
      <c r="DP406" s="1432"/>
      <c r="DQ406" s="1432"/>
      <c r="DR406" s="1432"/>
      <c r="DS406" s="1432"/>
      <c r="DT406" s="1316"/>
      <c r="DU406" s="1433"/>
      <c r="DV406" s="1433"/>
      <c r="DW406" s="1433"/>
      <c r="DX406" s="1433"/>
      <c r="DY406" s="1433"/>
      <c r="DZ406" s="1433"/>
      <c r="EA406" s="1433"/>
      <c r="EB406" s="1433"/>
    </row>
    <row r="407" customFormat="false" ht="14.25" hidden="false" customHeight="false" outlineLevel="0" collapsed="false">
      <c r="A407" s="2" t="n">
        <f aca="false">'V_DATOS PAC_SGA'!CC402</f>
        <v>0</v>
      </c>
      <c r="B407" s="2" t="n">
        <f aca="false">IF(OR(A407=0,A407=""),0,IF(I407="IV",CONCATENATE('V_DATOS PAC_SGA'!CC402,"4")+0,CONCATENATE('V_DATOS PAC_SGA'!CC402,"0")+0))</f>
        <v>0</v>
      </c>
      <c r="C407" s="2" t="n">
        <f aca="false">'V_DATOS PAC_SGA'!CD402</f>
        <v>0</v>
      </c>
      <c r="D407" s="1409" t="n">
        <f aca="false">'V_DATOS PAC_SGA'!Y402</f>
        <v>0</v>
      </c>
      <c r="E407" s="1410" t="str">
        <f aca="false">IF('V_DATOS PAC_SGA'!AV402="","Regadio",'V_DATOS PAC_SGA'!AV402)</f>
        <v>Regadio</v>
      </c>
      <c r="F407" s="1411" t="n">
        <f aca="false">'V_DATOS PAC_SGA'!BK402</f>
        <v>0</v>
      </c>
      <c r="G407" s="1412" t="n">
        <f aca="false">'V_DATOS PAC_SGA'!AN402</f>
        <v>0</v>
      </c>
      <c r="H407" s="1413" t="str">
        <f aca="false">IF(B407&gt;0,VLOOKUP(B407,'O_MN, PE_UTA_UGM 2024'!E$3:O$419,10),"")</f>
        <v/>
      </c>
      <c r="I407" s="1359" t="str">
        <f aca="false">IF('V_DATOS PAC_SGA'!BV402="IV",'V_DATOS PAC_SGA'!BV402,"")</f>
        <v/>
      </c>
      <c r="J407" s="2" t="str">
        <f aca="false">IF($A407&gt;0,IF(AND(J$4=$G407,J$6=$F407),$D407*J$5,""),"")</f>
        <v/>
      </c>
      <c r="K407" s="2" t="str">
        <f aca="false">IF($A407&gt;0,IF(AND(K$4=$G407,K$6=$F407),$D407*K$5,""),"")</f>
        <v/>
      </c>
      <c r="L407" s="2" t="str">
        <f aca="false">IF($A407&gt;0,IF(AND(L$4=$G407,L$6=$F407),$D407*L$5,""),"")</f>
        <v/>
      </c>
      <c r="M407" s="2" t="str">
        <f aca="false">IF($A407&gt;0,IF(AND(M$4=$G407,M$6=$F407),$D407*M$5,""),"")</f>
        <v/>
      </c>
      <c r="N407" s="1506" t="n">
        <f aca="false">VLOOKUP(B407,'O_MN, PE_UTA_UGM 2024'!$E$2:$K$419,IF(G407&gt;1,6,7))</f>
        <v>0</v>
      </c>
      <c r="O407" s="1434" t="str">
        <f aca="false">IF($H407=O$4,$D407*$N407,"")</f>
        <v/>
      </c>
      <c r="P407" s="1435" t="str">
        <f aca="false">IF($H407=P$4,$D407*$N407,"")</f>
        <v/>
      </c>
      <c r="Q407" s="1435" t="str">
        <f aca="false">IF($H407=Q$4,$D407*$N407,"")</f>
        <v/>
      </c>
      <c r="R407" s="1435" t="str">
        <f aca="false">IF($H407=R$4,$D407*$N407,"")</f>
        <v/>
      </c>
      <c r="S407" s="1435" t="str">
        <f aca="false">IF($H407=S$4,$D407*$N407,"")</f>
        <v/>
      </c>
      <c r="T407" s="1435" t="str">
        <f aca="false">IF($H407=T$4,$D407*$N407,"")</f>
        <v/>
      </c>
      <c r="U407" s="1436" t="str">
        <f aca="false">IF($H407=U$4,$D407*$N407,"")</f>
        <v/>
      </c>
      <c r="V407" s="1472"/>
      <c r="W407" s="1471"/>
      <c r="X407" s="1471"/>
      <c r="Y407" s="1471"/>
      <c r="Z407" s="1471"/>
      <c r="AA407" s="1471"/>
      <c r="AB407" s="1473"/>
      <c r="AC407" s="1319"/>
      <c r="AD407" s="2" t="str">
        <f aca="false">IF(AND(AD$4=$G407,AD$6=$F407),$B407,"")</f>
        <v/>
      </c>
      <c r="AE407" s="2" t="str">
        <f aca="false">IF(AND(AE$4=$G407,AE$6=$F407),$B407,"")</f>
        <v/>
      </c>
      <c r="AF407" s="2" t="str">
        <f aca="false">IF(AND(AF$4=$G407,AF$6=$F407),$B407,"")</f>
        <v/>
      </c>
      <c r="AG407" s="2" t="str">
        <f aca="false">IF(AND(AG$4=$G407,AG$6=$F407),$B407,"")</f>
        <v/>
      </c>
      <c r="AI407" s="366"/>
      <c r="AL407" s="367"/>
      <c r="AO407" s="367"/>
      <c r="AP407" s="2" t="str">
        <f aca="false">IF(AT407&gt;0,RANK(AT407,AT$7:AT$423),"")</f>
        <v/>
      </c>
      <c r="AQ407" s="1475" t="n">
        <f aca="false">'O_MN, PE_UTA_UGM 2024'!C404</f>
        <v>0</v>
      </c>
      <c r="AR407" s="1421" t="n">
        <v>9160</v>
      </c>
      <c r="AS407" s="2" t="str">
        <f aca="false">IF(AY407&lt;&gt;"",AY407,"")</f>
        <v/>
      </c>
      <c r="AT407" s="1422" t="n">
        <f aca="false">IF(ISNUMBER($AR407),SUMIF(B$7:B$505,AR407,D$7:D$505),"")</f>
        <v>0</v>
      </c>
      <c r="AU407" s="1411" t="n">
        <f aca="false">IF(ISNUMBER($AR407),SUMIF(AD$7:AD$503,$AR407,J$7:J$503),"")</f>
        <v>0</v>
      </c>
      <c r="AV407" s="1411" t="n">
        <f aca="false">IF(ISNUMBER($AR407),SUMIF(AF$7:AF$503,$AR407,L$7:L$503),"")</f>
        <v>0</v>
      </c>
      <c r="AW407" s="1423" t="n">
        <f aca="false">IF(ISNUMBER($AR407),SUMIF(AE$7:AE$503,$AR407,K$7:K$503),"")</f>
        <v>0</v>
      </c>
      <c r="AX407" s="1423" t="n">
        <f aca="false">IF(ISNUMBER($AR407),SUMIF(AG$7:AG$503,$AR407,M$7:M$503),"")</f>
        <v>0</v>
      </c>
      <c r="AY407" s="2" t="str">
        <f aca="false">IF($AT407&gt;0,VLOOKUP($AR407,'O_MN, PE_UTA_UGM 2024'!E404:O819,2),"")</f>
        <v/>
      </c>
      <c r="AZ407" s="1507"/>
      <c r="BA407" s="1507"/>
      <c r="BB407" s="1507" t="str">
        <f aca="false">IF($AT407&gt;0,VLOOKUP($AR407,'O_MN, PE_UTA_UGM 2024'!$E$3:$O$419,BB$6),"")</f>
        <v/>
      </c>
      <c r="BC407" s="1507" t="str">
        <f aca="false">IF($AT407&gt;0,VLOOKUP($AR407,'O_MN, PE_UTA_UGM 2024'!$E$3:$O$419,BC$6),"")</f>
        <v/>
      </c>
      <c r="BD407" s="1507" t="str">
        <f aca="false">IF($AT407&gt;0,VLOOKUP($AR407,'O_MN, PE_UTA_UGM 2024'!$E$3:$O$419,BD$6),"")</f>
        <v/>
      </c>
      <c r="BE407" s="1507" t="str">
        <f aca="false">IF($AT407&gt;0,VLOOKUP($AR407,'O_MN, PE_UTA_UGM 2024'!$E$3:$O$419,BE$6),"")</f>
        <v/>
      </c>
      <c r="BF407" s="1507" t="str">
        <f aca="false">IF($AT407&gt;0,VLOOKUP($AR407,'O_MN, PE_UTA_UGM 2024'!$E$3:$O$419,BF$6),"")</f>
        <v/>
      </c>
      <c r="BG407" s="1507" t="str">
        <f aca="false">IF($AT407&gt;0,VLOOKUP($AR407,'O_MN, PE_UTA_UGM 2024'!$E$3:$O$419,BG$6),"")</f>
        <v/>
      </c>
      <c r="BH407" s="1504"/>
      <c r="BI407" s="1504"/>
      <c r="BJ407" s="1504"/>
      <c r="BK407" s="1504"/>
      <c r="BM407" s="1411"/>
      <c r="BN407" s="1411"/>
      <c r="BO407" s="1425" t="str">
        <f aca="false">IF(ISNUMBER($AU407*BB407*1),$AU407*BB407*1,"")</f>
        <v/>
      </c>
      <c r="BP407" s="1425" t="str">
        <f aca="false">IF(ISNUMBER($AV407*BC407*1),$AV407*BC407*1,"")</f>
        <v/>
      </c>
      <c r="BQ407" s="1425" t="str">
        <f aca="false">IF(ISNUMBER($AU407*BD407*1),$AU407*BD407*1,"")</f>
        <v/>
      </c>
      <c r="BR407" s="1425" t="str">
        <f aca="false">IF(ISNUMBER($AV407*BE407*1),$AV407*BE407*1,"")</f>
        <v/>
      </c>
      <c r="BS407" s="1411" t="str">
        <f aca="false">IF(ISNUMBER($AU407*BF407),$AU407*BF407,"")</f>
        <v/>
      </c>
      <c r="BT407" s="1411" t="str">
        <f aca="false">IF(ISNUMBER($AV407*BG407),$AV407*BG407,"")</f>
        <v/>
      </c>
      <c r="BU407" s="1411"/>
      <c r="BV407" s="1411"/>
      <c r="BW407" s="1411"/>
      <c r="BX407" s="1411"/>
      <c r="BZ407" s="1372"/>
      <c r="CA407" s="1372"/>
      <c r="CB407" s="1426" t="str">
        <f aca="false">IF(ISNUMBER($AW407*BB407),$AW407*BB407,"")</f>
        <v/>
      </c>
      <c r="CC407" s="1426" t="str">
        <f aca="false">IF(ISNUMBER($AX407*BC407),$AX407*BC407,"")</f>
        <v/>
      </c>
      <c r="CD407" s="1426" t="str">
        <f aca="false">IF(ISNUMBER($AW407*BD407),$AW407*BD407,"")</f>
        <v/>
      </c>
      <c r="CE407" s="1426" t="str">
        <f aca="false">IF(ISNUMBER($AX407*BE407),$AX407*BE407,"")</f>
        <v/>
      </c>
      <c r="CF407" s="1372" t="str">
        <f aca="false">IF(ISNUMBER($AW407*BF407),$AW407*BF407,"")</f>
        <v/>
      </c>
      <c r="CG407" s="1372" t="str">
        <f aca="false">IF(ISNUMBER($AX407*BG407),$AX407*BG407,"")</f>
        <v/>
      </c>
      <c r="CH407" s="1438"/>
      <c r="CI407" s="1438"/>
      <c r="CJ407" s="1438"/>
      <c r="CK407" s="1438"/>
      <c r="CU407" s="1411"/>
      <c r="CV407" s="1411"/>
      <c r="CW407" s="1425"/>
      <c r="CX407" s="1425"/>
      <c r="CY407" s="1425"/>
      <c r="CZ407" s="1425"/>
      <c r="DA407" s="1411"/>
      <c r="DB407" s="1411"/>
      <c r="DC407" s="1411"/>
      <c r="DD407" s="1411"/>
      <c r="DE407" s="1411"/>
      <c r="DF407" s="1411"/>
      <c r="DH407" s="1432"/>
      <c r="DI407" s="1432"/>
      <c r="DJ407" s="1437"/>
      <c r="DK407" s="1437"/>
      <c r="DL407" s="1437"/>
      <c r="DM407" s="1437"/>
      <c r="DN407" s="1432"/>
      <c r="DO407" s="1432"/>
      <c r="DP407" s="1432"/>
      <c r="DQ407" s="1432"/>
      <c r="DR407" s="1432"/>
      <c r="DS407" s="1432"/>
      <c r="DT407" s="1316"/>
      <c r="DU407" s="1433"/>
      <c r="DV407" s="1433"/>
      <c r="DW407" s="1433"/>
      <c r="DX407" s="1433"/>
      <c r="DY407" s="1433"/>
      <c r="DZ407" s="1433"/>
      <c r="EA407" s="1433"/>
      <c r="EB407" s="1433"/>
    </row>
    <row r="408" customFormat="false" ht="14.25" hidden="false" customHeight="false" outlineLevel="0" collapsed="false">
      <c r="A408" s="2" t="n">
        <f aca="false">'V_DATOS PAC_SGA'!CC403</f>
        <v>0</v>
      </c>
      <c r="B408" s="2" t="n">
        <f aca="false">IF(OR(A408=0,A408=""),0,IF(I408="IV",CONCATENATE('V_DATOS PAC_SGA'!CC403,"4")+0,CONCATENATE('V_DATOS PAC_SGA'!CC403,"0")+0))</f>
        <v>0</v>
      </c>
      <c r="C408" s="2" t="n">
        <f aca="false">'V_DATOS PAC_SGA'!CD403</f>
        <v>0</v>
      </c>
      <c r="D408" s="1409" t="n">
        <f aca="false">'V_DATOS PAC_SGA'!Y403</f>
        <v>0</v>
      </c>
      <c r="E408" s="1410" t="str">
        <f aca="false">IF('V_DATOS PAC_SGA'!AV403="","Regadio",'V_DATOS PAC_SGA'!AV403)</f>
        <v>Regadio</v>
      </c>
      <c r="F408" s="1411" t="n">
        <f aca="false">'V_DATOS PAC_SGA'!BK403</f>
        <v>0</v>
      </c>
      <c r="G408" s="1412" t="n">
        <f aca="false">'V_DATOS PAC_SGA'!AN403</f>
        <v>0</v>
      </c>
      <c r="H408" s="1413" t="str">
        <f aca="false">IF(B408&gt;0,VLOOKUP(B408,'O_MN, PE_UTA_UGM 2024'!E$3:O$419,10),"")</f>
        <v/>
      </c>
      <c r="I408" s="1359" t="str">
        <f aca="false">IF('V_DATOS PAC_SGA'!BV403="IV",'V_DATOS PAC_SGA'!BV403,"")</f>
        <v/>
      </c>
      <c r="J408" s="2" t="str">
        <f aca="false">IF($A408&gt;0,IF(AND(J$4=$G408,J$6=$F408),$D408*J$5,""),"")</f>
        <v/>
      </c>
      <c r="K408" s="2" t="str">
        <f aca="false">IF($A408&gt;0,IF(AND(K$4=$G408,K$6=$F408),$D408*K$5,""),"")</f>
        <v/>
      </c>
      <c r="L408" s="2" t="str">
        <f aca="false">IF($A408&gt;0,IF(AND(L$4=$G408,L$6=$F408),$D408*L$5,""),"")</f>
        <v/>
      </c>
      <c r="M408" s="2" t="str">
        <f aca="false">IF($A408&gt;0,IF(AND(M$4=$G408,M$6=$F408),$D408*M$5,""),"")</f>
        <v/>
      </c>
      <c r="N408" s="1506" t="n">
        <f aca="false">VLOOKUP(B408,'O_MN, PE_UTA_UGM 2024'!$E$2:$K$419,IF(G408&gt;1,6,7))</f>
        <v>0</v>
      </c>
      <c r="O408" s="1434" t="str">
        <f aca="false">IF($H408=O$4,$D408*$N408,"")</f>
        <v/>
      </c>
      <c r="P408" s="1435" t="str">
        <f aca="false">IF($H408=P$4,$D408*$N408,"")</f>
        <v/>
      </c>
      <c r="Q408" s="1435" t="str">
        <f aca="false">IF($H408=Q$4,$D408*$N408,"")</f>
        <v/>
      </c>
      <c r="R408" s="1435" t="str">
        <f aca="false">IF($H408=R$4,$D408*$N408,"")</f>
        <v/>
      </c>
      <c r="S408" s="1435" t="str">
        <f aca="false">IF($H408=S$4,$D408*$N408,"")</f>
        <v/>
      </c>
      <c r="T408" s="1435" t="str">
        <f aca="false">IF($H408=T$4,$D408*$N408,"")</f>
        <v/>
      </c>
      <c r="U408" s="1436" t="str">
        <f aca="false">IF($H408=U$4,$D408*$N408,"")</f>
        <v/>
      </c>
      <c r="V408" s="1472"/>
      <c r="W408" s="1471"/>
      <c r="X408" s="1471"/>
      <c r="Y408" s="1471"/>
      <c r="Z408" s="1471"/>
      <c r="AA408" s="1471"/>
      <c r="AB408" s="1473"/>
      <c r="AC408" s="1319"/>
      <c r="AD408" s="2" t="str">
        <f aca="false">IF(AND(AD$4=$G408,AD$6=$F408),$B408,"")</f>
        <v/>
      </c>
      <c r="AE408" s="2" t="str">
        <f aca="false">IF(AND(AE$4=$G408,AE$6=$F408),$B408,"")</f>
        <v/>
      </c>
      <c r="AF408" s="2" t="str">
        <f aca="false">IF(AND(AF$4=$G408,AF$6=$F408),$B408,"")</f>
        <v/>
      </c>
      <c r="AG408" s="2" t="str">
        <f aca="false">IF(AND(AG$4=$G408,AG$6=$F408),$B408,"")</f>
        <v/>
      </c>
      <c r="AI408" s="366"/>
      <c r="AL408" s="367"/>
      <c r="AO408" s="367"/>
      <c r="AP408" s="2" t="str">
        <f aca="false">IF(AT408&gt;0,RANK(AT408,AT$7:AT$423),"")</f>
        <v/>
      </c>
      <c r="AQ408" s="1475" t="n">
        <f aca="false">'O_MN, PE_UTA_UGM 2024'!C405</f>
        <v>0</v>
      </c>
      <c r="AR408" s="1421" t="n">
        <v>9270</v>
      </c>
      <c r="AS408" s="2" t="str">
        <f aca="false">IF(AY408&lt;&gt;"",AY408,"")</f>
        <v/>
      </c>
      <c r="AT408" s="1422" t="n">
        <f aca="false">IF(ISNUMBER($AR408),SUMIF(B$7:B$505,AR408,D$7:D$505),"")</f>
        <v>0</v>
      </c>
      <c r="AU408" s="1411" t="n">
        <f aca="false">IF(ISNUMBER($AR408),SUMIF(AD$7:AD$503,$AR408,J$7:J$503),"")</f>
        <v>0</v>
      </c>
      <c r="AV408" s="1411" t="n">
        <f aca="false">IF(ISNUMBER($AR408),SUMIF(AF$7:AF$503,$AR408,L$7:L$503),"")</f>
        <v>0</v>
      </c>
      <c r="AW408" s="1423" t="n">
        <f aca="false">IF(ISNUMBER($AR408),SUMIF(AE$7:AE$503,$AR408,K$7:K$503),"")</f>
        <v>0</v>
      </c>
      <c r="AX408" s="1423" t="n">
        <f aca="false">IF(ISNUMBER($AR408),SUMIF(AG$7:AG$503,$AR408,M$7:M$503),"")</f>
        <v>0</v>
      </c>
      <c r="AY408" s="2" t="str">
        <f aca="false">IF($AT408&gt;0,VLOOKUP($AR408,'O_MN, PE_UTA_UGM 2024'!E405:O820,2),"")</f>
        <v/>
      </c>
      <c r="AZ408" s="1507"/>
      <c r="BA408" s="1507"/>
      <c r="BB408" s="1507" t="str">
        <f aca="false">IF($AT408&gt;0,VLOOKUP($AR408,'O_MN, PE_UTA_UGM 2024'!$E$3:$O$419,BB$6),"")</f>
        <v/>
      </c>
      <c r="BC408" s="1507" t="str">
        <f aca="false">IF($AT408&gt;0,VLOOKUP($AR408,'O_MN, PE_UTA_UGM 2024'!$E$3:$O$419,BC$6),"")</f>
        <v/>
      </c>
      <c r="BD408" s="1507" t="str">
        <f aca="false">IF($AT408&gt;0,VLOOKUP($AR408,'O_MN, PE_UTA_UGM 2024'!$E$3:$O$419,BD$6),"")</f>
        <v/>
      </c>
      <c r="BE408" s="1507" t="str">
        <f aca="false">IF($AT408&gt;0,VLOOKUP($AR408,'O_MN, PE_UTA_UGM 2024'!$E$3:$O$419,BE$6),"")</f>
        <v/>
      </c>
      <c r="BF408" s="1507" t="str">
        <f aca="false">IF($AT408&gt;0,VLOOKUP($AR408,'O_MN, PE_UTA_UGM 2024'!$E$3:$O$419,BF$6),"")</f>
        <v/>
      </c>
      <c r="BG408" s="1507" t="str">
        <f aca="false">IF($AT408&gt;0,VLOOKUP($AR408,'O_MN, PE_UTA_UGM 2024'!$E$3:$O$419,BG$6),"")</f>
        <v/>
      </c>
      <c r="BH408" s="1504"/>
      <c r="BI408" s="1504"/>
      <c r="BJ408" s="1504"/>
      <c r="BK408" s="1504"/>
      <c r="BM408" s="1411"/>
      <c r="BN408" s="1411"/>
      <c r="BO408" s="1425" t="str">
        <f aca="false">IF(ISNUMBER($AU408*BB408*1),$AU408*BB408*1,"")</f>
        <v/>
      </c>
      <c r="BP408" s="1425" t="str">
        <f aca="false">IF(ISNUMBER($AV408*BC408*1),$AV408*BC408*1,"")</f>
        <v/>
      </c>
      <c r="BQ408" s="1425" t="str">
        <f aca="false">IF(ISNUMBER($AU408*BD408*1),$AU408*BD408*1,"")</f>
        <v/>
      </c>
      <c r="BR408" s="1425" t="str">
        <f aca="false">IF(ISNUMBER($AV408*BE408*1),$AV408*BE408*1,"")</f>
        <v/>
      </c>
      <c r="BS408" s="1411" t="str">
        <f aca="false">IF(ISNUMBER($AU408*BF408),$AU408*BF408,"")</f>
        <v/>
      </c>
      <c r="BT408" s="1411" t="str">
        <f aca="false">IF(ISNUMBER($AV408*BG408),$AV408*BG408,"")</f>
        <v/>
      </c>
      <c r="BU408" s="1411"/>
      <c r="BV408" s="1411"/>
      <c r="BW408" s="1411"/>
      <c r="BX408" s="1411"/>
      <c r="BZ408" s="1372"/>
      <c r="CA408" s="1372"/>
      <c r="CB408" s="1426" t="str">
        <f aca="false">IF(ISNUMBER($AW408*BB408),$AW408*BB408,"")</f>
        <v/>
      </c>
      <c r="CC408" s="1426" t="str">
        <f aca="false">IF(ISNUMBER($AX408*BC408),$AX408*BC408,"")</f>
        <v/>
      </c>
      <c r="CD408" s="1426" t="str">
        <f aca="false">IF(ISNUMBER($AW408*BD408),$AW408*BD408,"")</f>
        <v/>
      </c>
      <c r="CE408" s="1426" t="str">
        <f aca="false">IF(ISNUMBER($AX408*BE408),$AX408*BE408,"")</f>
        <v/>
      </c>
      <c r="CF408" s="1372" t="str">
        <f aca="false">IF(ISNUMBER($AW408*BF408),$AW408*BF408,"")</f>
        <v/>
      </c>
      <c r="CG408" s="1372" t="str">
        <f aca="false">IF(ISNUMBER($AX408*BG408),$AX408*BG408,"")</f>
        <v/>
      </c>
      <c r="CH408" s="1438"/>
      <c r="CI408" s="1438"/>
      <c r="CJ408" s="1438"/>
      <c r="CK408" s="1438"/>
      <c r="CU408" s="1411"/>
      <c r="CV408" s="1411"/>
      <c r="CW408" s="1425"/>
      <c r="CX408" s="1425"/>
      <c r="CY408" s="1425"/>
      <c r="CZ408" s="1425"/>
      <c r="DA408" s="1411"/>
      <c r="DB408" s="1411"/>
      <c r="DC408" s="1411"/>
      <c r="DD408" s="1411"/>
      <c r="DE408" s="1411"/>
      <c r="DF408" s="1411"/>
      <c r="DH408" s="1432"/>
      <c r="DI408" s="1432"/>
      <c r="DJ408" s="1437"/>
      <c r="DK408" s="1437"/>
      <c r="DL408" s="1437"/>
      <c r="DM408" s="1437"/>
      <c r="DN408" s="1432"/>
      <c r="DO408" s="1432"/>
      <c r="DP408" s="1432"/>
      <c r="DQ408" s="1432"/>
      <c r="DR408" s="1432"/>
      <c r="DS408" s="1432"/>
      <c r="DT408" s="1316"/>
      <c r="DU408" s="1433"/>
      <c r="DV408" s="1433"/>
      <c r="DW408" s="1433"/>
      <c r="DX408" s="1433"/>
      <c r="DY408" s="1433"/>
      <c r="DZ408" s="1433"/>
      <c r="EA408" s="1433"/>
      <c r="EB408" s="1433"/>
    </row>
    <row r="409" customFormat="false" ht="14.25" hidden="false" customHeight="false" outlineLevel="0" collapsed="false">
      <c r="A409" s="2" t="n">
        <f aca="false">'V_DATOS PAC_SGA'!CC404</f>
        <v>0</v>
      </c>
      <c r="B409" s="2" t="n">
        <f aca="false">IF(OR(A409=0,A409=""),0,IF(I409="IV",CONCATENATE('V_DATOS PAC_SGA'!CC404,"4")+0,CONCATENATE('V_DATOS PAC_SGA'!CC404,"0")+0))</f>
        <v>0</v>
      </c>
      <c r="C409" s="2" t="n">
        <f aca="false">'V_DATOS PAC_SGA'!CD404</f>
        <v>0</v>
      </c>
      <c r="D409" s="1409" t="n">
        <f aca="false">'V_DATOS PAC_SGA'!Y404</f>
        <v>0</v>
      </c>
      <c r="E409" s="1410" t="str">
        <f aca="false">IF('V_DATOS PAC_SGA'!AV404="","Regadio",'V_DATOS PAC_SGA'!AV404)</f>
        <v>Regadio</v>
      </c>
      <c r="F409" s="1411" t="n">
        <f aca="false">'V_DATOS PAC_SGA'!BK404</f>
        <v>0</v>
      </c>
      <c r="G409" s="1412" t="n">
        <f aca="false">'V_DATOS PAC_SGA'!AN404</f>
        <v>0</v>
      </c>
      <c r="H409" s="1413" t="str">
        <f aca="false">IF(B409&gt;0,VLOOKUP(B409,'O_MN, PE_UTA_UGM 2024'!E$3:O$419,10),"")</f>
        <v/>
      </c>
      <c r="I409" s="1359" t="str">
        <f aca="false">IF('V_DATOS PAC_SGA'!BV404="IV",'V_DATOS PAC_SGA'!BV404,"")</f>
        <v/>
      </c>
      <c r="J409" s="2" t="str">
        <f aca="false">IF($A409&gt;0,IF(AND(J$4=$G409,J$6=$F409),$D409*J$5,""),"")</f>
        <v/>
      </c>
      <c r="K409" s="2" t="str">
        <f aca="false">IF($A409&gt;0,IF(AND(K$4=$G409,K$6=$F409),$D409*K$5,""),"")</f>
        <v/>
      </c>
      <c r="L409" s="2" t="str">
        <f aca="false">IF($A409&gt;0,IF(AND(L$4=$G409,L$6=$F409),$D409*L$5,""),"")</f>
        <v/>
      </c>
      <c r="M409" s="2" t="str">
        <f aca="false">IF($A409&gt;0,IF(AND(M$4=$G409,M$6=$F409),$D409*M$5,""),"")</f>
        <v/>
      </c>
      <c r="N409" s="1506" t="n">
        <f aca="false">VLOOKUP(B409,'O_MN, PE_UTA_UGM 2024'!$E$2:$K$419,IF(G409&gt;1,6,7))</f>
        <v>0</v>
      </c>
      <c r="O409" s="1434" t="str">
        <f aca="false">IF($H409=O$4,$D409*$N409,"")</f>
        <v/>
      </c>
      <c r="P409" s="1435" t="str">
        <f aca="false">IF($H409=P$4,$D409*$N409,"")</f>
        <v/>
      </c>
      <c r="Q409" s="1435" t="str">
        <f aca="false">IF($H409=Q$4,$D409*$N409,"")</f>
        <v/>
      </c>
      <c r="R409" s="1435" t="str">
        <f aca="false">IF($H409=R$4,$D409*$N409,"")</f>
        <v/>
      </c>
      <c r="S409" s="1435" t="str">
        <f aca="false">IF($H409=S$4,$D409*$N409,"")</f>
        <v/>
      </c>
      <c r="T409" s="1435" t="str">
        <f aca="false">IF($H409=T$4,$D409*$N409,"")</f>
        <v/>
      </c>
      <c r="U409" s="1436" t="str">
        <f aca="false">IF($H409=U$4,$D409*$N409,"")</f>
        <v/>
      </c>
      <c r="V409" s="1472"/>
      <c r="W409" s="1471"/>
      <c r="X409" s="1471"/>
      <c r="Y409" s="1471"/>
      <c r="Z409" s="1471"/>
      <c r="AA409" s="1471"/>
      <c r="AB409" s="1473"/>
      <c r="AC409" s="1319"/>
      <c r="AD409" s="2" t="str">
        <f aca="false">IF(AND(AD$4=$G409,AD$6=$F409),$B409,"")</f>
        <v/>
      </c>
      <c r="AE409" s="2" t="str">
        <f aca="false">IF(AND(AE$4=$G409,AE$6=$F409),$B409,"")</f>
        <v/>
      </c>
      <c r="AF409" s="2" t="str">
        <f aca="false">IF(AND(AF$4=$G409,AF$6=$F409),$B409,"")</f>
        <v/>
      </c>
      <c r="AG409" s="2" t="str">
        <f aca="false">IF(AND(AG$4=$G409,AG$6=$F409),$B409,"")</f>
        <v/>
      </c>
      <c r="AI409" s="366"/>
      <c r="AL409" s="367"/>
      <c r="AO409" s="367"/>
      <c r="AP409" s="2" t="str">
        <f aca="false">IF(AT409&gt;0,RANK(AT409,AT$7:AT$423),"")</f>
        <v/>
      </c>
      <c r="AQ409" s="1475" t="n">
        <f aca="false">'O_MN, PE_UTA_UGM 2024'!C406</f>
        <v>0</v>
      </c>
      <c r="AR409" s="1421" t="n">
        <v>9320</v>
      </c>
      <c r="AS409" s="2" t="str">
        <f aca="false">IF(AY409&lt;&gt;"",AY409,"")</f>
        <v/>
      </c>
      <c r="AT409" s="1422" t="n">
        <f aca="false">IF(ISNUMBER($AR409),SUMIF(B$7:B$505,AR409,D$7:D$505),"")</f>
        <v>0</v>
      </c>
      <c r="AU409" s="1411" t="n">
        <f aca="false">IF(ISNUMBER($AR409),SUMIF(AD$7:AD$503,$AR409,J$7:J$503),"")</f>
        <v>0</v>
      </c>
      <c r="AV409" s="1411" t="n">
        <f aca="false">IF(ISNUMBER($AR409),SUMIF(AF$7:AF$503,$AR409,L$7:L$503),"")</f>
        <v>0</v>
      </c>
      <c r="AW409" s="1423" t="n">
        <f aca="false">IF(ISNUMBER($AR409),SUMIF(AE$7:AE$503,$AR409,K$7:K$503),"")</f>
        <v>0</v>
      </c>
      <c r="AX409" s="1423" t="n">
        <f aca="false">IF(ISNUMBER($AR409),SUMIF(AG$7:AG$503,$AR409,M$7:M$503),"")</f>
        <v>0</v>
      </c>
      <c r="AY409" s="2" t="str">
        <f aca="false">IF($AT409&gt;0,VLOOKUP($AR409,'O_MN, PE_UTA_UGM 2024'!E406:O821,2),"")</f>
        <v/>
      </c>
      <c r="AZ409" s="1507"/>
      <c r="BA409" s="1507"/>
      <c r="BB409" s="1507" t="str">
        <f aca="false">IF($AT409&gt;0,VLOOKUP($AR409,'O_MN, PE_UTA_UGM 2024'!$E$3:$O$419,BB$6),"")</f>
        <v/>
      </c>
      <c r="BC409" s="1507" t="str">
        <f aca="false">IF($AT409&gt;0,VLOOKUP($AR409,'O_MN, PE_UTA_UGM 2024'!$E$3:$O$419,BC$6),"")</f>
        <v/>
      </c>
      <c r="BD409" s="1507" t="str">
        <f aca="false">IF($AT409&gt;0,VLOOKUP($AR409,'O_MN, PE_UTA_UGM 2024'!$E$3:$O$419,BD$6),"")</f>
        <v/>
      </c>
      <c r="BE409" s="1507" t="str">
        <f aca="false">IF($AT409&gt;0,VLOOKUP($AR409,'O_MN, PE_UTA_UGM 2024'!$E$3:$O$419,BE$6),"")</f>
        <v/>
      </c>
      <c r="BF409" s="1507" t="str">
        <f aca="false">IF($AT409&gt;0,VLOOKUP($AR409,'O_MN, PE_UTA_UGM 2024'!$E$3:$O$419,BF$6),"")</f>
        <v/>
      </c>
      <c r="BG409" s="1507" t="str">
        <f aca="false">IF($AT409&gt;0,VLOOKUP($AR409,'O_MN, PE_UTA_UGM 2024'!$E$3:$O$419,BG$6),"")</f>
        <v/>
      </c>
      <c r="BH409" s="1504"/>
      <c r="BI409" s="1504"/>
      <c r="BJ409" s="1504"/>
      <c r="BK409" s="1504"/>
      <c r="BM409" s="1411"/>
      <c r="BN409" s="1411"/>
      <c r="BO409" s="1425" t="str">
        <f aca="false">IF(ISNUMBER($AU409*BB409*1),$AU409*BB409*1,"")</f>
        <v/>
      </c>
      <c r="BP409" s="1425" t="str">
        <f aca="false">IF(ISNUMBER($AV409*BC409*1),$AV409*BC409*1,"")</f>
        <v/>
      </c>
      <c r="BQ409" s="1425" t="str">
        <f aca="false">IF(ISNUMBER($AU409*BD409*1),$AU409*BD409*1,"")</f>
        <v/>
      </c>
      <c r="BR409" s="1425" t="str">
        <f aca="false">IF(ISNUMBER($AV409*BE409*1),$AV409*BE409*1,"")</f>
        <v/>
      </c>
      <c r="BS409" s="1411" t="str">
        <f aca="false">IF(ISNUMBER($AU409*BF409),$AU409*BF409,"")</f>
        <v/>
      </c>
      <c r="BT409" s="1411" t="str">
        <f aca="false">IF(ISNUMBER($AV409*BG409),$AV409*BG409,"")</f>
        <v/>
      </c>
      <c r="BU409" s="1411"/>
      <c r="BV409" s="1411"/>
      <c r="BW409" s="1411"/>
      <c r="BX409" s="1411"/>
      <c r="BZ409" s="1372"/>
      <c r="CA409" s="1372"/>
      <c r="CB409" s="1426" t="str">
        <f aca="false">IF(ISNUMBER($AW409*BB409),$AW409*BB409,"")</f>
        <v/>
      </c>
      <c r="CC409" s="1426" t="str">
        <f aca="false">IF(ISNUMBER($AX409*BC409),$AX409*BC409,"")</f>
        <v/>
      </c>
      <c r="CD409" s="1426" t="str">
        <f aca="false">IF(ISNUMBER($AW409*BD409),$AW409*BD409,"")</f>
        <v/>
      </c>
      <c r="CE409" s="1426" t="str">
        <f aca="false">IF(ISNUMBER($AX409*BE409),$AX409*BE409,"")</f>
        <v/>
      </c>
      <c r="CF409" s="1372" t="str">
        <f aca="false">IF(ISNUMBER($AW409*BF409),$AW409*BF409,"")</f>
        <v/>
      </c>
      <c r="CG409" s="1372" t="str">
        <f aca="false">IF(ISNUMBER($AX409*BG409),$AX409*BG409,"")</f>
        <v/>
      </c>
      <c r="CH409" s="1438"/>
      <c r="CI409" s="1438"/>
      <c r="CJ409" s="1438"/>
      <c r="CK409" s="1438"/>
      <c r="CU409" s="1411"/>
      <c r="CV409" s="1411"/>
      <c r="CW409" s="1425"/>
      <c r="CX409" s="1425"/>
      <c r="CY409" s="1425"/>
      <c r="CZ409" s="1425"/>
      <c r="DA409" s="1411"/>
      <c r="DB409" s="1411"/>
      <c r="DC409" s="1411"/>
      <c r="DD409" s="1411"/>
      <c r="DE409" s="1411"/>
      <c r="DF409" s="1411"/>
      <c r="DH409" s="1432"/>
      <c r="DI409" s="1432"/>
      <c r="DJ409" s="1437"/>
      <c r="DK409" s="1437"/>
      <c r="DL409" s="1437"/>
      <c r="DM409" s="1437"/>
      <c r="DN409" s="1432"/>
      <c r="DO409" s="1432"/>
      <c r="DP409" s="1432"/>
      <c r="DQ409" s="1432"/>
      <c r="DR409" s="1432"/>
      <c r="DS409" s="1432"/>
      <c r="DT409" s="1316"/>
      <c r="DU409" s="1433"/>
      <c r="DV409" s="1433"/>
      <c r="DW409" s="1433"/>
      <c r="DX409" s="1433"/>
      <c r="DY409" s="1433"/>
      <c r="DZ409" s="1433"/>
      <c r="EA409" s="1433"/>
      <c r="EB409" s="1433"/>
    </row>
    <row r="410" customFormat="false" ht="14.25" hidden="false" customHeight="false" outlineLevel="0" collapsed="false">
      <c r="A410" s="2" t="n">
        <f aca="false">'V_DATOS PAC_SGA'!CC405</f>
        <v>0</v>
      </c>
      <c r="B410" s="2" t="n">
        <f aca="false">IF(OR(A410=0,A410=""),0,IF(I410="IV",CONCATENATE('V_DATOS PAC_SGA'!CC405,"4")+0,CONCATENATE('V_DATOS PAC_SGA'!CC405,"0")+0))</f>
        <v>0</v>
      </c>
      <c r="C410" s="2" t="n">
        <f aca="false">'V_DATOS PAC_SGA'!CD405</f>
        <v>0</v>
      </c>
      <c r="D410" s="1409" t="n">
        <f aca="false">'V_DATOS PAC_SGA'!Y405</f>
        <v>0</v>
      </c>
      <c r="E410" s="1410" t="str">
        <f aca="false">IF('V_DATOS PAC_SGA'!AV405="","Regadio",'V_DATOS PAC_SGA'!AV405)</f>
        <v>Regadio</v>
      </c>
      <c r="F410" s="1411" t="n">
        <f aca="false">'V_DATOS PAC_SGA'!BK405</f>
        <v>0</v>
      </c>
      <c r="G410" s="1412" t="n">
        <f aca="false">'V_DATOS PAC_SGA'!AN405</f>
        <v>0</v>
      </c>
      <c r="H410" s="1413" t="str">
        <f aca="false">IF(B410&gt;0,VLOOKUP(B410,'O_MN, PE_UTA_UGM 2024'!E$3:O$419,10),"")</f>
        <v/>
      </c>
      <c r="I410" s="1359" t="str">
        <f aca="false">IF('V_DATOS PAC_SGA'!BV405="IV",'V_DATOS PAC_SGA'!BV405,"")</f>
        <v/>
      </c>
      <c r="J410" s="2" t="str">
        <f aca="false">IF($A410&gt;0,IF(AND(J$4=$G410,J$6=$F410),$D410*J$5,""),"")</f>
        <v/>
      </c>
      <c r="K410" s="2" t="str">
        <f aca="false">IF($A410&gt;0,IF(AND(K$4=$G410,K$6=$F410),$D410*K$5,""),"")</f>
        <v/>
      </c>
      <c r="L410" s="2" t="str">
        <f aca="false">IF($A410&gt;0,IF(AND(L$4=$G410,L$6=$F410),$D410*L$5,""),"")</f>
        <v/>
      </c>
      <c r="M410" s="2" t="str">
        <f aca="false">IF($A410&gt;0,IF(AND(M$4=$G410,M$6=$F410),$D410*M$5,""),"")</f>
        <v/>
      </c>
      <c r="N410" s="1506" t="n">
        <f aca="false">VLOOKUP(B410,'O_MN, PE_UTA_UGM 2024'!$E$2:$K$419,IF(G410&gt;1,6,7))</f>
        <v>0</v>
      </c>
      <c r="O410" s="1434" t="str">
        <f aca="false">IF($H410=O$4,$D410*$N410,"")</f>
        <v/>
      </c>
      <c r="P410" s="1435" t="str">
        <f aca="false">IF($H410=P$4,$D410*$N410,"")</f>
        <v/>
      </c>
      <c r="Q410" s="1435" t="str">
        <f aca="false">IF($H410=Q$4,$D410*$N410,"")</f>
        <v/>
      </c>
      <c r="R410" s="1435" t="str">
        <f aca="false">IF($H410=R$4,$D410*$N410,"")</f>
        <v/>
      </c>
      <c r="S410" s="1435" t="str">
        <f aca="false">IF($H410=S$4,$D410*$N410,"")</f>
        <v/>
      </c>
      <c r="T410" s="1435" t="str">
        <f aca="false">IF($H410=T$4,$D410*$N410,"")</f>
        <v/>
      </c>
      <c r="U410" s="1436" t="str">
        <f aca="false">IF($H410=U$4,$D410*$N410,"")</f>
        <v/>
      </c>
      <c r="V410" s="1472"/>
      <c r="W410" s="1471"/>
      <c r="X410" s="1471"/>
      <c r="Y410" s="1471"/>
      <c r="Z410" s="1471"/>
      <c r="AA410" s="1471"/>
      <c r="AB410" s="1473"/>
      <c r="AC410" s="1319"/>
      <c r="AD410" s="2" t="str">
        <f aca="false">IF(AND(AD$4=$G410,AD$6=$F410),$B410,"")</f>
        <v/>
      </c>
      <c r="AE410" s="2" t="str">
        <f aca="false">IF(AND(AE$4=$G410,AE$6=$F410),$B410,"")</f>
        <v/>
      </c>
      <c r="AF410" s="2" t="str">
        <f aca="false">IF(AND(AF$4=$G410,AF$6=$F410),$B410,"")</f>
        <v/>
      </c>
      <c r="AG410" s="2" t="str">
        <f aca="false">IF(AND(AG$4=$G410,AG$6=$F410),$B410,"")</f>
        <v/>
      </c>
      <c r="AI410" s="366"/>
      <c r="AL410" s="367"/>
      <c r="AO410" s="367"/>
      <c r="AP410" s="2" t="str">
        <f aca="false">IF(AT410&gt;0,RANK(AT410,AT$7:AT$423),"")</f>
        <v/>
      </c>
      <c r="AQ410" s="1475" t="n">
        <f aca="false">'O_MN, PE_UTA_UGM 2024'!C407</f>
        <v>0</v>
      </c>
      <c r="AR410" s="1421" t="n">
        <v>9370</v>
      </c>
      <c r="AS410" s="2" t="str">
        <f aca="false">IF(AY410&lt;&gt;"",AY410,"")</f>
        <v/>
      </c>
      <c r="AT410" s="1422" t="n">
        <f aca="false">IF(ISNUMBER($AR410),SUMIF(B$7:B$505,AR410,D$7:D$505),"")</f>
        <v>0</v>
      </c>
      <c r="AU410" s="1411" t="n">
        <f aca="false">IF(ISNUMBER($AR410),SUMIF(AD$7:AD$503,$AR410,J$7:J$503),"")</f>
        <v>0</v>
      </c>
      <c r="AV410" s="1411" t="n">
        <f aca="false">IF(ISNUMBER($AR410),SUMIF(AF$7:AF$503,$AR410,L$7:L$503),"")</f>
        <v>0</v>
      </c>
      <c r="AW410" s="1423" t="n">
        <f aca="false">IF(ISNUMBER($AR410),SUMIF(AE$7:AE$503,$AR410,K$7:K$503),"")</f>
        <v>0</v>
      </c>
      <c r="AX410" s="1423" t="n">
        <f aca="false">IF(ISNUMBER($AR410),SUMIF(AG$7:AG$503,$AR410,M$7:M$503),"")</f>
        <v>0</v>
      </c>
      <c r="AY410" s="2" t="str">
        <f aca="false">IF($AT410&gt;0,VLOOKUP($AR410,'O_MN, PE_UTA_UGM 2024'!E407:O822,2),"")</f>
        <v/>
      </c>
      <c r="AZ410" s="1507"/>
      <c r="BA410" s="1507"/>
      <c r="BB410" s="1507" t="str">
        <f aca="false">IF($AT410&gt;0,VLOOKUP($AR410,'O_MN, PE_UTA_UGM 2024'!$E$3:$O$419,BB$6),"")</f>
        <v/>
      </c>
      <c r="BC410" s="1507" t="str">
        <f aca="false">IF($AT410&gt;0,VLOOKUP($AR410,'O_MN, PE_UTA_UGM 2024'!$E$3:$O$419,BC$6),"")</f>
        <v/>
      </c>
      <c r="BD410" s="1507" t="str">
        <f aca="false">IF($AT410&gt;0,VLOOKUP($AR410,'O_MN, PE_UTA_UGM 2024'!$E$3:$O$419,BD$6),"")</f>
        <v/>
      </c>
      <c r="BE410" s="1507" t="str">
        <f aca="false">IF($AT410&gt;0,VLOOKUP($AR410,'O_MN, PE_UTA_UGM 2024'!$E$3:$O$419,BE$6),"")</f>
        <v/>
      </c>
      <c r="BF410" s="1507" t="str">
        <f aca="false">IF($AT410&gt;0,VLOOKUP($AR410,'O_MN, PE_UTA_UGM 2024'!$E$3:$O$419,BF$6),"")</f>
        <v/>
      </c>
      <c r="BG410" s="1507" t="str">
        <f aca="false">IF($AT410&gt;0,VLOOKUP($AR410,'O_MN, PE_UTA_UGM 2024'!$E$3:$O$419,BG$6),"")</f>
        <v/>
      </c>
      <c r="BH410" s="1504"/>
      <c r="BI410" s="1504"/>
      <c r="BJ410" s="1504"/>
      <c r="BK410" s="1504"/>
      <c r="BM410" s="1411"/>
      <c r="BN410" s="1411"/>
      <c r="BO410" s="1425" t="str">
        <f aca="false">IF(ISNUMBER($AU410*BB410*1),$AU410*BB410*1,"")</f>
        <v/>
      </c>
      <c r="BP410" s="1425" t="str">
        <f aca="false">IF(ISNUMBER($AV410*BC410*1),$AV410*BC410*1,"")</f>
        <v/>
      </c>
      <c r="BQ410" s="1425" t="str">
        <f aca="false">IF(ISNUMBER($AU410*BD410*1),$AU410*BD410*1,"")</f>
        <v/>
      </c>
      <c r="BR410" s="1425" t="str">
        <f aca="false">IF(ISNUMBER($AV410*BE410*1),$AV410*BE410*1,"")</f>
        <v/>
      </c>
      <c r="BS410" s="1411" t="str">
        <f aca="false">IF(ISNUMBER($AU410*BF410),$AU410*BF410,"")</f>
        <v/>
      </c>
      <c r="BT410" s="1411" t="str">
        <f aca="false">IF(ISNUMBER($AV410*BG410),$AV410*BG410,"")</f>
        <v/>
      </c>
      <c r="BU410" s="1411"/>
      <c r="BV410" s="1411"/>
      <c r="BW410" s="1411"/>
      <c r="BX410" s="1411"/>
      <c r="BZ410" s="1372"/>
      <c r="CA410" s="1372"/>
      <c r="CB410" s="1426" t="str">
        <f aca="false">IF(ISNUMBER($AW410*BB410),$AW410*BB410,"")</f>
        <v/>
      </c>
      <c r="CC410" s="1426" t="str">
        <f aca="false">IF(ISNUMBER($AX410*BC410),$AX410*BC410,"")</f>
        <v/>
      </c>
      <c r="CD410" s="1426" t="str">
        <f aca="false">IF(ISNUMBER($AW410*BD410),$AW410*BD410,"")</f>
        <v/>
      </c>
      <c r="CE410" s="1426" t="str">
        <f aca="false">IF(ISNUMBER($AX410*BE410),$AX410*BE410,"")</f>
        <v/>
      </c>
      <c r="CF410" s="1372" t="str">
        <f aca="false">IF(ISNUMBER($AW410*BF410),$AW410*BF410,"")</f>
        <v/>
      </c>
      <c r="CG410" s="1372" t="str">
        <f aca="false">IF(ISNUMBER($AX410*BG410),$AX410*BG410,"")</f>
        <v/>
      </c>
      <c r="CH410" s="1438"/>
      <c r="CI410" s="1438"/>
      <c r="CJ410" s="1438"/>
      <c r="CK410" s="1438"/>
      <c r="CU410" s="1411"/>
      <c r="CV410" s="1411"/>
      <c r="CW410" s="1425"/>
      <c r="CX410" s="1425"/>
      <c r="CY410" s="1425"/>
      <c r="CZ410" s="1425"/>
      <c r="DA410" s="1411"/>
      <c r="DB410" s="1411"/>
      <c r="DC410" s="1411"/>
      <c r="DD410" s="1411"/>
      <c r="DE410" s="1411"/>
      <c r="DF410" s="1411"/>
      <c r="DH410" s="1432"/>
      <c r="DI410" s="1432"/>
      <c r="DJ410" s="1437"/>
      <c r="DK410" s="1437"/>
      <c r="DL410" s="1437"/>
      <c r="DM410" s="1437"/>
      <c r="DN410" s="1432"/>
      <c r="DO410" s="1432"/>
      <c r="DP410" s="1432"/>
      <c r="DQ410" s="1432"/>
      <c r="DR410" s="1432"/>
      <c r="DS410" s="1432"/>
      <c r="DT410" s="1316"/>
      <c r="DU410" s="1433"/>
      <c r="DV410" s="1433"/>
      <c r="DW410" s="1433"/>
      <c r="DX410" s="1433"/>
      <c r="DY410" s="1433"/>
      <c r="DZ410" s="1433"/>
      <c r="EA410" s="1433"/>
      <c r="EB410" s="1433"/>
    </row>
    <row r="411" customFormat="false" ht="14.25" hidden="false" customHeight="false" outlineLevel="0" collapsed="false">
      <c r="A411" s="2" t="n">
        <f aca="false">'V_DATOS PAC_SGA'!CC406</f>
        <v>0</v>
      </c>
      <c r="B411" s="2" t="n">
        <f aca="false">IF(OR(A411=0,A411=""),0,IF(I411="IV",CONCATENATE('V_DATOS PAC_SGA'!CC406,"4")+0,CONCATENATE('V_DATOS PAC_SGA'!CC406,"0")+0))</f>
        <v>0</v>
      </c>
      <c r="C411" s="2" t="n">
        <f aca="false">'V_DATOS PAC_SGA'!CD406</f>
        <v>0</v>
      </c>
      <c r="D411" s="1409" t="n">
        <f aca="false">'V_DATOS PAC_SGA'!Y406</f>
        <v>0</v>
      </c>
      <c r="E411" s="1410" t="str">
        <f aca="false">IF('V_DATOS PAC_SGA'!AV406="","Regadio",'V_DATOS PAC_SGA'!AV406)</f>
        <v>Regadio</v>
      </c>
      <c r="F411" s="1411" t="n">
        <f aca="false">'V_DATOS PAC_SGA'!BK406</f>
        <v>0</v>
      </c>
      <c r="G411" s="1412" t="n">
        <f aca="false">'V_DATOS PAC_SGA'!AN406</f>
        <v>0</v>
      </c>
      <c r="H411" s="1413" t="str">
        <f aca="false">IF(B411&gt;0,VLOOKUP(B411,'O_MN, PE_UTA_UGM 2024'!E$3:O$419,10),"")</f>
        <v/>
      </c>
      <c r="I411" s="1359" t="str">
        <f aca="false">IF('V_DATOS PAC_SGA'!BV406="IV",'V_DATOS PAC_SGA'!BV406,"")</f>
        <v/>
      </c>
      <c r="J411" s="2" t="str">
        <f aca="false">IF($A411&gt;0,IF(AND(J$4=$G411,J$6=$F411),$D411*J$5,""),"")</f>
        <v/>
      </c>
      <c r="K411" s="2" t="str">
        <f aca="false">IF($A411&gt;0,IF(AND(K$4=$G411,K$6=$F411),$D411*K$5,""),"")</f>
        <v/>
      </c>
      <c r="L411" s="2" t="str">
        <f aca="false">IF($A411&gt;0,IF(AND(L$4=$G411,L$6=$F411),$D411*L$5,""),"")</f>
        <v/>
      </c>
      <c r="M411" s="2" t="str">
        <f aca="false">IF($A411&gt;0,IF(AND(M$4=$G411,M$6=$F411),$D411*M$5,""),"")</f>
        <v/>
      </c>
      <c r="N411" s="1506" t="n">
        <f aca="false">VLOOKUP(B411,'O_MN, PE_UTA_UGM 2024'!$E$2:$K$419,IF(G411&gt;1,6,7))</f>
        <v>0</v>
      </c>
      <c r="O411" s="1434" t="str">
        <f aca="false">IF($H411=O$4,$D411*$N411,"")</f>
        <v/>
      </c>
      <c r="P411" s="1435" t="str">
        <f aca="false">IF($H411=P$4,$D411*$N411,"")</f>
        <v/>
      </c>
      <c r="Q411" s="1435" t="str">
        <f aca="false">IF($H411=Q$4,$D411*$N411,"")</f>
        <v/>
      </c>
      <c r="R411" s="1435" t="str">
        <f aca="false">IF($H411=R$4,$D411*$N411,"")</f>
        <v/>
      </c>
      <c r="S411" s="1435" t="str">
        <f aca="false">IF($H411=S$4,$D411*$N411,"")</f>
        <v/>
      </c>
      <c r="T411" s="1435" t="str">
        <f aca="false">IF($H411=T$4,$D411*$N411,"")</f>
        <v/>
      </c>
      <c r="U411" s="1436" t="str">
        <f aca="false">IF($H411=U$4,$D411*$N411,"")</f>
        <v/>
      </c>
      <c r="V411" s="1472"/>
      <c r="W411" s="1471"/>
      <c r="X411" s="1471"/>
      <c r="Y411" s="1471"/>
      <c r="Z411" s="1471"/>
      <c r="AA411" s="1471"/>
      <c r="AB411" s="1473"/>
      <c r="AC411" s="1319"/>
      <c r="AD411" s="2" t="str">
        <f aca="false">IF(AND(AD$4=$G411,AD$6=$F411),$B411,"")</f>
        <v/>
      </c>
      <c r="AE411" s="2" t="str">
        <f aca="false">IF(AND(AE$4=$G411,AE$6=$F411),$B411,"")</f>
        <v/>
      </c>
      <c r="AF411" s="2" t="str">
        <f aca="false">IF(AND(AF$4=$G411,AF$6=$F411),$B411,"")</f>
        <v/>
      </c>
      <c r="AG411" s="2" t="str">
        <f aca="false">IF(AND(AG$4=$G411,AG$6=$F411),$B411,"")</f>
        <v/>
      </c>
      <c r="AI411" s="366"/>
      <c r="AL411" s="367"/>
      <c r="AO411" s="367"/>
      <c r="AP411" s="2" t="str">
        <f aca="false">IF(AT411&gt;0,RANK(AT411,AT$7:AT$423),"")</f>
        <v/>
      </c>
      <c r="AQ411" s="1475" t="n">
        <f aca="false">'O_MN, PE_UTA_UGM 2024'!C408</f>
        <v>0</v>
      </c>
      <c r="AR411" s="1421" t="n">
        <v>9380</v>
      </c>
      <c r="AS411" s="2" t="str">
        <f aca="false">IF(AY411&lt;&gt;"",AY411,"")</f>
        <v/>
      </c>
      <c r="AT411" s="1422" t="n">
        <f aca="false">IF(ISNUMBER($AR411),SUMIF(B$7:B$505,AR411,D$7:D$505),"")</f>
        <v>0</v>
      </c>
      <c r="AU411" s="1411" t="n">
        <f aca="false">IF(ISNUMBER($AR411),SUMIF(AD$7:AD$503,$AR411,J$7:J$503),"")</f>
        <v>0</v>
      </c>
      <c r="AV411" s="1411" t="n">
        <f aca="false">IF(ISNUMBER($AR411),SUMIF(AF$7:AF$503,$AR411,L$7:L$503),"")</f>
        <v>0</v>
      </c>
      <c r="AW411" s="1423" t="n">
        <f aca="false">IF(ISNUMBER($AR411),SUMIF(AE$7:AE$503,$AR411,K$7:K$503),"")</f>
        <v>0</v>
      </c>
      <c r="AX411" s="1423" t="n">
        <f aca="false">IF(ISNUMBER($AR411),SUMIF(AG$7:AG$503,$AR411,M$7:M$503),"")</f>
        <v>0</v>
      </c>
      <c r="AY411" s="2" t="str">
        <f aca="false">IF($AT411&gt;0,VLOOKUP($AR411,'O_MN, PE_UTA_UGM 2024'!E408:O823,2),"")</f>
        <v/>
      </c>
      <c r="AZ411" s="1507"/>
      <c r="BA411" s="1507"/>
      <c r="BB411" s="1507" t="str">
        <f aca="false">IF($AT411&gt;0,VLOOKUP($AR411,'O_MN, PE_UTA_UGM 2024'!$E$3:$O$419,BB$6),"")</f>
        <v/>
      </c>
      <c r="BC411" s="1507" t="str">
        <f aca="false">IF($AT411&gt;0,VLOOKUP($AR411,'O_MN, PE_UTA_UGM 2024'!$E$3:$O$419,BC$6),"")</f>
        <v/>
      </c>
      <c r="BD411" s="1507" t="str">
        <f aca="false">IF($AT411&gt;0,VLOOKUP($AR411,'O_MN, PE_UTA_UGM 2024'!$E$3:$O$419,BD$6),"")</f>
        <v/>
      </c>
      <c r="BE411" s="1507" t="str">
        <f aca="false">IF($AT411&gt;0,VLOOKUP($AR411,'O_MN, PE_UTA_UGM 2024'!$E$3:$O$419,BE$6),"")</f>
        <v/>
      </c>
      <c r="BF411" s="1507" t="str">
        <f aca="false">IF($AT411&gt;0,VLOOKUP($AR411,'O_MN, PE_UTA_UGM 2024'!$E$3:$O$419,BF$6),"")</f>
        <v/>
      </c>
      <c r="BG411" s="1507" t="str">
        <f aca="false">IF($AT411&gt;0,VLOOKUP($AR411,'O_MN, PE_UTA_UGM 2024'!$E$3:$O$419,BG$6),"")</f>
        <v/>
      </c>
      <c r="BH411" s="1504"/>
      <c r="BI411" s="1504"/>
      <c r="BJ411" s="1504"/>
      <c r="BK411" s="1504"/>
      <c r="BM411" s="1411"/>
      <c r="BN411" s="1411"/>
      <c r="BO411" s="1425" t="str">
        <f aca="false">IF(ISNUMBER($AU411*BB411*1),$AU411*BB411*1,"")</f>
        <v/>
      </c>
      <c r="BP411" s="1425" t="str">
        <f aca="false">IF(ISNUMBER($AV411*BC411*1),$AV411*BC411*1,"")</f>
        <v/>
      </c>
      <c r="BQ411" s="1425" t="str">
        <f aca="false">IF(ISNUMBER($AU411*BD411*1),$AU411*BD411*1,"")</f>
        <v/>
      </c>
      <c r="BR411" s="1425" t="str">
        <f aca="false">IF(ISNUMBER($AV411*BE411*1),$AV411*BE411*1,"")</f>
        <v/>
      </c>
      <c r="BS411" s="1411" t="str">
        <f aca="false">IF(ISNUMBER($AU411*BF411),$AU411*BF411,"")</f>
        <v/>
      </c>
      <c r="BT411" s="1411" t="str">
        <f aca="false">IF(ISNUMBER($AV411*BG411),$AV411*BG411,"")</f>
        <v/>
      </c>
      <c r="BU411" s="1411"/>
      <c r="BV411" s="1411"/>
      <c r="BW411" s="1411"/>
      <c r="BX411" s="1411"/>
      <c r="BZ411" s="1372"/>
      <c r="CA411" s="1372"/>
      <c r="CB411" s="1426" t="str">
        <f aca="false">IF(ISNUMBER($AW411*BB411),$AW411*BB411,"")</f>
        <v/>
      </c>
      <c r="CC411" s="1426" t="str">
        <f aca="false">IF(ISNUMBER($AX411*BC411),$AX411*BC411,"")</f>
        <v/>
      </c>
      <c r="CD411" s="1426" t="str">
        <f aca="false">IF(ISNUMBER($AW411*BD411),$AW411*BD411,"")</f>
        <v/>
      </c>
      <c r="CE411" s="1426" t="str">
        <f aca="false">IF(ISNUMBER($AX411*BE411),$AX411*BE411,"")</f>
        <v/>
      </c>
      <c r="CF411" s="1372" t="str">
        <f aca="false">IF(ISNUMBER($AW411*BF411),$AW411*BF411,"")</f>
        <v/>
      </c>
      <c r="CG411" s="1372" t="str">
        <f aca="false">IF(ISNUMBER($AX411*BG411),$AX411*BG411,"")</f>
        <v/>
      </c>
      <c r="CH411" s="1438"/>
      <c r="CI411" s="1438"/>
      <c r="CJ411" s="1438"/>
      <c r="CK411" s="1438"/>
      <c r="CU411" s="1411"/>
      <c r="CV411" s="1411"/>
      <c r="CW411" s="1425"/>
      <c r="CX411" s="1425"/>
      <c r="CY411" s="1425"/>
      <c r="CZ411" s="1425"/>
      <c r="DA411" s="1411"/>
      <c r="DB411" s="1411"/>
      <c r="DC411" s="1411"/>
      <c r="DD411" s="1411"/>
      <c r="DE411" s="1411"/>
      <c r="DF411" s="1411"/>
      <c r="DH411" s="1432"/>
      <c r="DI411" s="1432"/>
      <c r="DJ411" s="1437"/>
      <c r="DK411" s="1437"/>
      <c r="DL411" s="1437"/>
      <c r="DM411" s="1437"/>
      <c r="DN411" s="1432"/>
      <c r="DO411" s="1432"/>
      <c r="DP411" s="1432"/>
      <c r="DQ411" s="1432"/>
      <c r="DR411" s="1432"/>
      <c r="DS411" s="1432"/>
      <c r="DT411" s="1316"/>
      <c r="DU411" s="1433"/>
      <c r="DV411" s="1433"/>
      <c r="DW411" s="1433"/>
      <c r="DX411" s="1433"/>
      <c r="DY411" s="1433"/>
      <c r="DZ411" s="1433"/>
      <c r="EA411" s="1433"/>
      <c r="EB411" s="1433"/>
    </row>
    <row r="412" customFormat="false" ht="14.25" hidden="false" customHeight="false" outlineLevel="0" collapsed="false">
      <c r="A412" s="2" t="n">
        <f aca="false">'V_DATOS PAC_SGA'!CC407</f>
        <v>0</v>
      </c>
      <c r="B412" s="2" t="n">
        <f aca="false">IF(OR(A412=0,A412=""),0,IF(I412="IV",CONCATENATE('V_DATOS PAC_SGA'!CC407,"4")+0,CONCATENATE('V_DATOS PAC_SGA'!CC407,"0")+0))</f>
        <v>0</v>
      </c>
      <c r="C412" s="2" t="n">
        <f aca="false">'V_DATOS PAC_SGA'!CD407</f>
        <v>0</v>
      </c>
      <c r="D412" s="1409" t="n">
        <f aca="false">'V_DATOS PAC_SGA'!Y407</f>
        <v>0</v>
      </c>
      <c r="E412" s="1410" t="str">
        <f aca="false">IF('V_DATOS PAC_SGA'!AV407="","Regadio",'V_DATOS PAC_SGA'!AV407)</f>
        <v>Regadio</v>
      </c>
      <c r="F412" s="1411" t="n">
        <f aca="false">'V_DATOS PAC_SGA'!BK407</f>
        <v>0</v>
      </c>
      <c r="G412" s="1412" t="n">
        <f aca="false">'V_DATOS PAC_SGA'!AN407</f>
        <v>0</v>
      </c>
      <c r="H412" s="1413" t="str">
        <f aca="false">IF(B412&gt;0,VLOOKUP(B412,'O_MN, PE_UTA_UGM 2024'!E$3:O$419,10),"")</f>
        <v/>
      </c>
      <c r="I412" s="1359" t="str">
        <f aca="false">IF('V_DATOS PAC_SGA'!BV407="IV",'V_DATOS PAC_SGA'!BV407,"")</f>
        <v/>
      </c>
      <c r="J412" s="2" t="str">
        <f aca="false">IF($A412&gt;0,IF(AND(J$4=$G412,J$6=$F412),$D412*J$5,""),"")</f>
        <v/>
      </c>
      <c r="K412" s="2" t="str">
        <f aca="false">IF($A412&gt;0,IF(AND(K$4=$G412,K$6=$F412),$D412*K$5,""),"")</f>
        <v/>
      </c>
      <c r="L412" s="2" t="str">
        <f aca="false">IF($A412&gt;0,IF(AND(L$4=$G412,L$6=$F412),$D412*L$5,""),"")</f>
        <v/>
      </c>
      <c r="M412" s="2" t="str">
        <f aca="false">IF($A412&gt;0,IF(AND(M$4=$G412,M$6=$F412),$D412*M$5,""),"")</f>
        <v/>
      </c>
      <c r="N412" s="1506" t="n">
        <f aca="false">VLOOKUP(B412,'O_MN, PE_UTA_UGM 2024'!$E$2:$K$419,IF(G412&gt;1,6,7))</f>
        <v>0</v>
      </c>
      <c r="O412" s="1434" t="str">
        <f aca="false">IF($H412=O$4,$D412*$N412,"")</f>
        <v/>
      </c>
      <c r="P412" s="1435" t="str">
        <f aca="false">IF($H412=P$4,$D412*$N412,"")</f>
        <v/>
      </c>
      <c r="Q412" s="1435" t="str">
        <f aca="false">IF($H412=Q$4,$D412*$N412,"")</f>
        <v/>
      </c>
      <c r="R412" s="1435" t="str">
        <f aca="false">IF($H412=R$4,$D412*$N412,"")</f>
        <v/>
      </c>
      <c r="S412" s="1435" t="str">
        <f aca="false">IF($H412=S$4,$D412*$N412,"")</f>
        <v/>
      </c>
      <c r="T412" s="1435" t="str">
        <f aca="false">IF($H412=T$4,$D412*$N412,"")</f>
        <v/>
      </c>
      <c r="U412" s="1436" t="str">
        <f aca="false">IF($H412=U$4,$D412*$N412,"")</f>
        <v/>
      </c>
      <c r="V412" s="1472"/>
      <c r="W412" s="1471"/>
      <c r="X412" s="1471"/>
      <c r="Y412" s="1471"/>
      <c r="Z412" s="1471"/>
      <c r="AA412" s="1471"/>
      <c r="AB412" s="1473"/>
      <c r="AC412" s="1319"/>
      <c r="AD412" s="2" t="str">
        <f aca="false">IF(AND(AD$4=$G412,AD$6=$F412),$B412,"")</f>
        <v/>
      </c>
      <c r="AE412" s="2" t="str">
        <f aca="false">IF(AND(AE$4=$G412,AE$6=$F412),$B412,"")</f>
        <v/>
      </c>
      <c r="AF412" s="2" t="str">
        <f aca="false">IF(AND(AF$4=$G412,AF$6=$F412),$B412,"")</f>
        <v/>
      </c>
      <c r="AG412" s="2" t="str">
        <f aca="false">IF(AND(AG$4=$G412,AG$6=$F412),$B412,"")</f>
        <v/>
      </c>
      <c r="AI412" s="366"/>
      <c r="AL412" s="367"/>
      <c r="AO412" s="367"/>
      <c r="AP412" s="2" t="str">
        <f aca="false">IF(AT412&gt;0,RANK(AT412,AT$7:AT$423),"")</f>
        <v/>
      </c>
      <c r="AQ412" s="1475" t="n">
        <f aca="false">'O_MN, PE_UTA_UGM 2024'!C409</f>
        <v>0</v>
      </c>
      <c r="AR412" s="1421" t="n">
        <v>9390</v>
      </c>
      <c r="AS412" s="2" t="str">
        <f aca="false">IF(AY412&lt;&gt;"",AY412,"")</f>
        <v/>
      </c>
      <c r="AT412" s="1422" t="n">
        <f aca="false">IF(ISNUMBER($AR412),SUMIF(B$7:B$505,AR412,D$7:D$505),"")</f>
        <v>0</v>
      </c>
      <c r="AU412" s="1411" t="n">
        <f aca="false">IF(ISNUMBER($AR412),SUMIF(AD$7:AD$503,$AR412,J$7:J$503),"")</f>
        <v>0</v>
      </c>
      <c r="AV412" s="1411" t="n">
        <f aca="false">IF(ISNUMBER($AR412),SUMIF(AF$7:AF$503,$AR412,L$7:L$503),"")</f>
        <v>0</v>
      </c>
      <c r="AW412" s="1423" t="n">
        <f aca="false">IF(ISNUMBER($AR412),SUMIF(AE$7:AE$503,$AR412,K$7:K$503),"")</f>
        <v>0</v>
      </c>
      <c r="AX412" s="1423" t="n">
        <f aca="false">IF(ISNUMBER($AR412),SUMIF(AG$7:AG$503,$AR412,M$7:M$503),"")</f>
        <v>0</v>
      </c>
      <c r="AY412" s="2" t="str">
        <f aca="false">IF($AT412&gt;0,VLOOKUP($AR412,'O_MN, PE_UTA_UGM 2024'!E409:O824,2),"")</f>
        <v/>
      </c>
      <c r="AZ412" s="1507"/>
      <c r="BA412" s="1507"/>
      <c r="BB412" s="1507" t="str">
        <f aca="false">IF($AT412&gt;0,VLOOKUP($AR412,'O_MN, PE_UTA_UGM 2024'!$E$3:$O$419,BB$6),"")</f>
        <v/>
      </c>
      <c r="BC412" s="1507" t="str">
        <f aca="false">IF($AT412&gt;0,VLOOKUP($AR412,'O_MN, PE_UTA_UGM 2024'!$E$3:$O$419,BC$6),"")</f>
        <v/>
      </c>
      <c r="BD412" s="1507" t="str">
        <f aca="false">IF($AT412&gt;0,VLOOKUP($AR412,'O_MN, PE_UTA_UGM 2024'!$E$3:$O$419,BD$6),"")</f>
        <v/>
      </c>
      <c r="BE412" s="1507" t="str">
        <f aca="false">IF($AT412&gt;0,VLOOKUP($AR412,'O_MN, PE_UTA_UGM 2024'!$E$3:$O$419,BE$6),"")</f>
        <v/>
      </c>
      <c r="BF412" s="1507" t="str">
        <f aca="false">IF($AT412&gt;0,VLOOKUP($AR412,'O_MN, PE_UTA_UGM 2024'!$E$3:$O$419,BF$6),"")</f>
        <v/>
      </c>
      <c r="BG412" s="1507" t="str">
        <f aca="false">IF($AT412&gt;0,VLOOKUP($AR412,'O_MN, PE_UTA_UGM 2024'!$E$3:$O$419,BG$6),"")</f>
        <v/>
      </c>
      <c r="BH412" s="1504"/>
      <c r="BI412" s="1504"/>
      <c r="BJ412" s="1504"/>
      <c r="BK412" s="1504"/>
      <c r="BM412" s="1411"/>
      <c r="BN412" s="1411"/>
      <c r="BO412" s="1425" t="str">
        <f aca="false">IF(ISNUMBER($AU412*BB412*1),$AU412*BB412*1,"")</f>
        <v/>
      </c>
      <c r="BP412" s="1425" t="str">
        <f aca="false">IF(ISNUMBER($AV412*BC412*1),$AV412*BC412*1,"")</f>
        <v/>
      </c>
      <c r="BQ412" s="1425" t="str">
        <f aca="false">IF(ISNUMBER($AU412*BD412*1),$AU412*BD412*1,"")</f>
        <v/>
      </c>
      <c r="BR412" s="1425" t="str">
        <f aca="false">IF(ISNUMBER($AV412*BE412*1),$AV412*BE412*1,"")</f>
        <v/>
      </c>
      <c r="BS412" s="1411" t="str">
        <f aca="false">IF(ISNUMBER($AU412*BF412),$AU412*BF412,"")</f>
        <v/>
      </c>
      <c r="BT412" s="1411" t="str">
        <f aca="false">IF(ISNUMBER($AV412*BG412),$AV412*BG412,"")</f>
        <v/>
      </c>
      <c r="BU412" s="1411"/>
      <c r="BV412" s="1411"/>
      <c r="BW412" s="1411"/>
      <c r="BX412" s="1411"/>
      <c r="BZ412" s="1372"/>
      <c r="CA412" s="1372"/>
      <c r="CB412" s="1426" t="str">
        <f aca="false">IF(ISNUMBER($AW412*BB412),$AW412*BB412,"")</f>
        <v/>
      </c>
      <c r="CC412" s="1426" t="str">
        <f aca="false">IF(ISNUMBER($AX412*BC412),$AX412*BC412,"")</f>
        <v/>
      </c>
      <c r="CD412" s="1426" t="str">
        <f aca="false">IF(ISNUMBER($AW412*BD412),$AW412*BD412,"")</f>
        <v/>
      </c>
      <c r="CE412" s="1426" t="str">
        <f aca="false">IF(ISNUMBER($AX412*BE412),$AX412*BE412,"")</f>
        <v/>
      </c>
      <c r="CF412" s="1372" t="str">
        <f aca="false">IF(ISNUMBER($AW412*BF412),$AW412*BF412,"")</f>
        <v/>
      </c>
      <c r="CG412" s="1372" t="str">
        <f aca="false">IF(ISNUMBER($AX412*BG412),$AX412*BG412,"")</f>
        <v/>
      </c>
      <c r="CH412" s="1438"/>
      <c r="CI412" s="1438"/>
      <c r="CJ412" s="1438"/>
      <c r="CK412" s="1438"/>
      <c r="CU412" s="1411"/>
      <c r="CV412" s="1411"/>
      <c r="CW412" s="1425"/>
      <c r="CX412" s="1425"/>
      <c r="CY412" s="1425"/>
      <c r="CZ412" s="1425"/>
      <c r="DA412" s="1411"/>
      <c r="DB412" s="1411"/>
      <c r="DC412" s="1411"/>
      <c r="DD412" s="1411"/>
      <c r="DE412" s="1411"/>
      <c r="DF412" s="1411"/>
      <c r="DH412" s="1432"/>
      <c r="DI412" s="1432"/>
      <c r="DJ412" s="1437"/>
      <c r="DK412" s="1437"/>
      <c r="DL412" s="1437"/>
      <c r="DM412" s="1437"/>
      <c r="DN412" s="1432"/>
      <c r="DO412" s="1432"/>
      <c r="DP412" s="1432"/>
      <c r="DQ412" s="1432"/>
      <c r="DR412" s="1432"/>
      <c r="DS412" s="1432"/>
      <c r="DT412" s="1316"/>
      <c r="DU412" s="1433"/>
      <c r="DV412" s="1433"/>
      <c r="DW412" s="1433"/>
      <c r="DX412" s="1433"/>
      <c r="DY412" s="1433"/>
      <c r="DZ412" s="1433"/>
      <c r="EA412" s="1433"/>
      <c r="EB412" s="1433"/>
    </row>
    <row r="413" customFormat="false" ht="14.25" hidden="false" customHeight="false" outlineLevel="0" collapsed="false">
      <c r="A413" s="2" t="n">
        <f aca="false">'V_DATOS PAC_SGA'!CC408</f>
        <v>0</v>
      </c>
      <c r="B413" s="2" t="n">
        <f aca="false">IF(OR(A413=0,A413=""),0,IF(I413="IV",CONCATENATE('V_DATOS PAC_SGA'!CC408,"4")+0,CONCATENATE('V_DATOS PAC_SGA'!CC408,"0")+0))</f>
        <v>0</v>
      </c>
      <c r="C413" s="2" t="n">
        <f aca="false">'V_DATOS PAC_SGA'!CD408</f>
        <v>0</v>
      </c>
      <c r="D413" s="1409" t="n">
        <f aca="false">'V_DATOS PAC_SGA'!Y408</f>
        <v>0</v>
      </c>
      <c r="E413" s="1410" t="str">
        <f aca="false">IF('V_DATOS PAC_SGA'!AV408="","Regadio",'V_DATOS PAC_SGA'!AV408)</f>
        <v>Regadio</v>
      </c>
      <c r="F413" s="1411" t="n">
        <f aca="false">'V_DATOS PAC_SGA'!BK408</f>
        <v>0</v>
      </c>
      <c r="G413" s="1412" t="n">
        <f aca="false">'V_DATOS PAC_SGA'!AN408</f>
        <v>0</v>
      </c>
      <c r="H413" s="1413" t="str">
        <f aca="false">IF(B413&gt;0,VLOOKUP(B413,'O_MN, PE_UTA_UGM 2024'!E$3:O$419,10),"")</f>
        <v/>
      </c>
      <c r="I413" s="1359" t="str">
        <f aca="false">IF('V_DATOS PAC_SGA'!BV408="IV",'V_DATOS PAC_SGA'!BV408,"")</f>
        <v/>
      </c>
      <c r="J413" s="2" t="str">
        <f aca="false">IF($A413&gt;0,IF(AND(J$4=$G413,J$6=$F413),$D413*J$5,""),"")</f>
        <v/>
      </c>
      <c r="K413" s="2" t="str">
        <f aca="false">IF($A413&gt;0,IF(AND(K$4=$G413,K$6=$F413),$D413*K$5,""),"")</f>
        <v/>
      </c>
      <c r="L413" s="2" t="str">
        <f aca="false">IF($A413&gt;0,IF(AND(L$4=$G413,L$6=$F413),$D413*L$5,""),"")</f>
        <v/>
      </c>
      <c r="M413" s="2" t="str">
        <f aca="false">IF($A413&gt;0,IF(AND(M$4=$G413,M$6=$F413),$D413*M$5,""),"")</f>
        <v/>
      </c>
      <c r="N413" s="1506" t="n">
        <f aca="false">VLOOKUP(B413,'O_MN, PE_UTA_UGM 2024'!$E$2:$K$419,IF(G413&gt;1,6,7))</f>
        <v>0</v>
      </c>
      <c r="O413" s="1434" t="str">
        <f aca="false">IF($H413=O$4,$D413*$N413,"")</f>
        <v/>
      </c>
      <c r="P413" s="1435" t="str">
        <f aca="false">IF($H413=P$4,$D413*$N413,"")</f>
        <v/>
      </c>
      <c r="Q413" s="1435" t="str">
        <f aca="false">IF($H413=Q$4,$D413*$N413,"")</f>
        <v/>
      </c>
      <c r="R413" s="1435" t="str">
        <f aca="false">IF($H413=R$4,$D413*$N413,"")</f>
        <v/>
      </c>
      <c r="S413" s="1435" t="str">
        <f aca="false">IF($H413=S$4,$D413*$N413,"")</f>
        <v/>
      </c>
      <c r="T413" s="1435" t="str">
        <f aca="false">IF($H413=T$4,$D413*$N413,"")</f>
        <v/>
      </c>
      <c r="U413" s="1436" t="str">
        <f aca="false">IF($H413=U$4,$D413*$N413,"")</f>
        <v/>
      </c>
      <c r="V413" s="1472"/>
      <c r="W413" s="1471"/>
      <c r="X413" s="1471"/>
      <c r="Y413" s="1471"/>
      <c r="Z413" s="1471"/>
      <c r="AA413" s="1471"/>
      <c r="AB413" s="1473"/>
      <c r="AC413" s="1319"/>
      <c r="AD413" s="2" t="str">
        <f aca="false">IF(AND(AD$4=$G413,AD$6=$F413),$B413,"")</f>
        <v/>
      </c>
      <c r="AE413" s="2" t="str">
        <f aca="false">IF(AND(AE$4=$G413,AE$6=$F413),$B413,"")</f>
        <v/>
      </c>
      <c r="AF413" s="2" t="str">
        <f aca="false">IF(AND(AF$4=$G413,AF$6=$F413),$B413,"")</f>
        <v/>
      </c>
      <c r="AG413" s="2" t="str">
        <f aca="false">IF(AND(AG$4=$G413,AG$6=$F413),$B413,"")</f>
        <v/>
      </c>
      <c r="AI413" s="366"/>
      <c r="AL413" s="367"/>
      <c r="AO413" s="367"/>
      <c r="AP413" s="2" t="str">
        <f aca="false">IF(AT413&gt;0,RANK(AT413,AT$7:AT$423),"")</f>
        <v/>
      </c>
      <c r="AQ413" s="1475" t="n">
        <f aca="false">'O_MN, PE_UTA_UGM 2024'!C410</f>
        <v>0</v>
      </c>
      <c r="AR413" s="1421" t="n">
        <v>9400</v>
      </c>
      <c r="AS413" s="2" t="str">
        <f aca="false">IF(AY413&lt;&gt;"",AY413,"")</f>
        <v/>
      </c>
      <c r="AT413" s="1422" t="n">
        <f aca="false">IF(ISNUMBER($AR413),SUMIF(B$7:B$505,AR413,D$7:D$505),"")</f>
        <v>0</v>
      </c>
      <c r="AU413" s="1411" t="n">
        <f aca="false">IF(ISNUMBER($AR413),SUMIF(AD$7:AD$503,$AR413,J$7:J$503),"")</f>
        <v>0</v>
      </c>
      <c r="AV413" s="1411" t="n">
        <f aca="false">IF(ISNUMBER($AR413),SUMIF(AF$7:AF$503,$AR413,L$7:L$503),"")</f>
        <v>0</v>
      </c>
      <c r="AW413" s="1423" t="n">
        <f aca="false">IF(ISNUMBER($AR413),SUMIF(AE$7:AE$503,$AR413,K$7:K$503),"")</f>
        <v>0</v>
      </c>
      <c r="AX413" s="1423" t="n">
        <f aca="false">IF(ISNUMBER($AR413),SUMIF(AG$7:AG$503,$AR413,M$7:M$503),"")</f>
        <v>0</v>
      </c>
      <c r="AY413" s="2" t="str">
        <f aca="false">IF($AT413&gt;0,VLOOKUP($AR413,'O_MN, PE_UTA_UGM 2024'!E410:O825,2),"")</f>
        <v/>
      </c>
      <c r="AZ413" s="1507"/>
      <c r="BA413" s="1507"/>
      <c r="BB413" s="1507" t="str">
        <f aca="false">IF($AT413&gt;0,VLOOKUP($AR413,'O_MN, PE_UTA_UGM 2024'!$E$3:$O$419,BB$6),"")</f>
        <v/>
      </c>
      <c r="BC413" s="1507" t="str">
        <f aca="false">IF($AT413&gt;0,VLOOKUP($AR413,'O_MN, PE_UTA_UGM 2024'!$E$3:$O$419,BC$6),"")</f>
        <v/>
      </c>
      <c r="BD413" s="1507" t="str">
        <f aca="false">IF($AT413&gt;0,VLOOKUP($AR413,'O_MN, PE_UTA_UGM 2024'!$E$3:$O$419,BD$6),"")</f>
        <v/>
      </c>
      <c r="BE413" s="1507" t="str">
        <f aca="false">IF($AT413&gt;0,VLOOKUP($AR413,'O_MN, PE_UTA_UGM 2024'!$E$3:$O$419,BE$6),"")</f>
        <v/>
      </c>
      <c r="BF413" s="1507" t="str">
        <f aca="false">IF($AT413&gt;0,VLOOKUP($AR413,'O_MN, PE_UTA_UGM 2024'!$E$3:$O$419,BF$6),"")</f>
        <v/>
      </c>
      <c r="BG413" s="1507" t="str">
        <f aca="false">IF($AT413&gt;0,VLOOKUP($AR413,'O_MN, PE_UTA_UGM 2024'!$E$3:$O$419,BG$6),"")</f>
        <v/>
      </c>
      <c r="BH413" s="1504"/>
      <c r="BI413" s="1504"/>
      <c r="BJ413" s="1504"/>
      <c r="BK413" s="1504"/>
      <c r="BM413" s="1411"/>
      <c r="BN413" s="1411"/>
      <c r="BO413" s="1425" t="str">
        <f aca="false">IF(ISNUMBER($AU413*BB413*1),$AU413*BB413*1,"")</f>
        <v/>
      </c>
      <c r="BP413" s="1425" t="str">
        <f aca="false">IF(ISNUMBER($AV413*BC413*1),$AV413*BC413*1,"")</f>
        <v/>
      </c>
      <c r="BQ413" s="1425" t="str">
        <f aca="false">IF(ISNUMBER($AU413*BD413*1),$AU413*BD413*1,"")</f>
        <v/>
      </c>
      <c r="BR413" s="1425" t="str">
        <f aca="false">IF(ISNUMBER($AV413*BE413*1),$AV413*BE413*1,"")</f>
        <v/>
      </c>
      <c r="BS413" s="1411" t="str">
        <f aca="false">IF(ISNUMBER($AU413*BF413),$AU413*BF413,"")</f>
        <v/>
      </c>
      <c r="BT413" s="1411" t="str">
        <f aca="false">IF(ISNUMBER($AV413*BG413),$AV413*BG413,"")</f>
        <v/>
      </c>
      <c r="BU413" s="1411"/>
      <c r="BV413" s="1411"/>
      <c r="BW413" s="1411"/>
      <c r="BX413" s="1411"/>
      <c r="BZ413" s="1372"/>
      <c r="CA413" s="1372"/>
      <c r="CB413" s="1426" t="str">
        <f aca="false">IF(ISNUMBER($AW413*BB413),$AW413*BB413,"")</f>
        <v/>
      </c>
      <c r="CC413" s="1426" t="str">
        <f aca="false">IF(ISNUMBER($AX413*BC413),$AX413*BC413,"")</f>
        <v/>
      </c>
      <c r="CD413" s="1426" t="str">
        <f aca="false">IF(ISNUMBER($AW413*BD413),$AW413*BD413,"")</f>
        <v/>
      </c>
      <c r="CE413" s="1426" t="str">
        <f aca="false">IF(ISNUMBER($AX413*BE413),$AX413*BE413,"")</f>
        <v/>
      </c>
      <c r="CF413" s="1372" t="str">
        <f aca="false">IF(ISNUMBER($AW413*BF413),$AW413*BF413,"")</f>
        <v/>
      </c>
      <c r="CG413" s="1372" t="str">
        <f aca="false">IF(ISNUMBER($AX413*BG413),$AX413*BG413,"")</f>
        <v/>
      </c>
      <c r="CH413" s="1438"/>
      <c r="CI413" s="1438"/>
      <c r="CJ413" s="1438"/>
      <c r="CK413" s="1438"/>
      <c r="CU413" s="1411"/>
      <c r="CV413" s="1411"/>
      <c r="CW413" s="1425"/>
      <c r="CX413" s="1425"/>
      <c r="CY413" s="1425"/>
      <c r="CZ413" s="1425"/>
      <c r="DA413" s="1411"/>
      <c r="DB413" s="1411"/>
      <c r="DC413" s="1411"/>
      <c r="DD413" s="1411"/>
      <c r="DE413" s="1411"/>
      <c r="DF413" s="1411"/>
      <c r="DH413" s="1432"/>
      <c r="DI413" s="1432"/>
      <c r="DJ413" s="1437"/>
      <c r="DK413" s="1437"/>
      <c r="DL413" s="1437"/>
      <c r="DM413" s="1437"/>
      <c r="DN413" s="1432"/>
      <c r="DO413" s="1432"/>
      <c r="DP413" s="1432"/>
      <c r="DQ413" s="1432"/>
      <c r="DR413" s="1432"/>
      <c r="DS413" s="1432"/>
      <c r="DT413" s="1316"/>
      <c r="DU413" s="1433"/>
      <c r="DV413" s="1433"/>
      <c r="DW413" s="1433"/>
      <c r="DX413" s="1433"/>
      <c r="DY413" s="1433"/>
      <c r="DZ413" s="1433"/>
      <c r="EA413" s="1433"/>
      <c r="EB413" s="1433"/>
    </row>
    <row r="414" customFormat="false" ht="14.25" hidden="false" customHeight="false" outlineLevel="0" collapsed="false">
      <c r="A414" s="2" t="n">
        <f aca="false">'V_DATOS PAC_SGA'!CC409</f>
        <v>0</v>
      </c>
      <c r="B414" s="2" t="n">
        <f aca="false">IF(OR(A414=0,A414=""),0,IF(I414="IV",CONCATENATE('V_DATOS PAC_SGA'!CC409,"4")+0,CONCATENATE('V_DATOS PAC_SGA'!CC409,"0")+0))</f>
        <v>0</v>
      </c>
      <c r="C414" s="2" t="n">
        <f aca="false">'V_DATOS PAC_SGA'!CD409</f>
        <v>0</v>
      </c>
      <c r="D414" s="1409" t="n">
        <f aca="false">'V_DATOS PAC_SGA'!Y409</f>
        <v>0</v>
      </c>
      <c r="E414" s="1410" t="str">
        <f aca="false">IF('V_DATOS PAC_SGA'!AV409="","Regadio",'V_DATOS PAC_SGA'!AV409)</f>
        <v>Regadio</v>
      </c>
      <c r="F414" s="1411" t="n">
        <f aca="false">'V_DATOS PAC_SGA'!BK409</f>
        <v>0</v>
      </c>
      <c r="G414" s="1412" t="n">
        <f aca="false">'V_DATOS PAC_SGA'!AN409</f>
        <v>0</v>
      </c>
      <c r="H414" s="1413" t="str">
        <f aca="false">IF(B414&gt;0,VLOOKUP(B414,'O_MN, PE_UTA_UGM 2024'!E$3:O$419,10),"")</f>
        <v/>
      </c>
      <c r="I414" s="1359" t="str">
        <f aca="false">IF('V_DATOS PAC_SGA'!BV409="IV",'V_DATOS PAC_SGA'!BV409,"")</f>
        <v/>
      </c>
      <c r="J414" s="2" t="str">
        <f aca="false">IF($A414&gt;0,IF(AND(J$4=$G414,J$6=$F414),$D414*J$5,""),"")</f>
        <v/>
      </c>
      <c r="K414" s="2" t="str">
        <f aca="false">IF($A414&gt;0,IF(AND(K$4=$G414,K$6=$F414),$D414*K$5,""),"")</f>
        <v/>
      </c>
      <c r="L414" s="2" t="str">
        <f aca="false">IF($A414&gt;0,IF(AND(L$4=$G414,L$6=$F414),$D414*L$5,""),"")</f>
        <v/>
      </c>
      <c r="M414" s="2" t="str">
        <f aca="false">IF($A414&gt;0,IF(AND(M$4=$G414,M$6=$F414),$D414*M$5,""),"")</f>
        <v/>
      </c>
      <c r="N414" s="1506" t="n">
        <f aca="false">VLOOKUP(B414,'O_MN, PE_UTA_UGM 2024'!$E$2:$K$419,IF(G414&gt;1,6,7))</f>
        <v>0</v>
      </c>
      <c r="O414" s="1434" t="str">
        <f aca="false">IF($H414=O$4,$D414*$N414,"")</f>
        <v/>
      </c>
      <c r="P414" s="1435" t="str">
        <f aca="false">IF($H414=P$4,$D414*$N414,"")</f>
        <v/>
      </c>
      <c r="Q414" s="1435" t="str">
        <f aca="false">IF($H414=Q$4,$D414*$N414,"")</f>
        <v/>
      </c>
      <c r="R414" s="1435" t="str">
        <f aca="false">IF($H414=R$4,$D414*$N414,"")</f>
        <v/>
      </c>
      <c r="S414" s="1435" t="str">
        <f aca="false">IF($H414=S$4,$D414*$N414,"")</f>
        <v/>
      </c>
      <c r="T414" s="1435" t="str">
        <f aca="false">IF($H414=T$4,$D414*$N414,"")</f>
        <v/>
      </c>
      <c r="U414" s="1436" t="str">
        <f aca="false">IF($H414=U$4,$D414*$N414,"")</f>
        <v/>
      </c>
      <c r="V414" s="1472"/>
      <c r="W414" s="1471"/>
      <c r="X414" s="1471"/>
      <c r="Y414" s="1471"/>
      <c r="Z414" s="1471"/>
      <c r="AA414" s="1471"/>
      <c r="AB414" s="1473"/>
      <c r="AC414" s="1319"/>
      <c r="AD414" s="2" t="str">
        <f aca="false">IF(AND(AD$4=$G414,AD$6=$F414),$B414,"")</f>
        <v/>
      </c>
      <c r="AE414" s="2" t="str">
        <f aca="false">IF(AND(AE$4=$G414,AE$6=$F414),$B414,"")</f>
        <v/>
      </c>
      <c r="AF414" s="2" t="str">
        <f aca="false">IF(AND(AF$4=$G414,AF$6=$F414),$B414,"")</f>
        <v/>
      </c>
      <c r="AG414" s="2" t="str">
        <f aca="false">IF(AND(AG$4=$G414,AG$6=$F414),$B414,"")</f>
        <v/>
      </c>
      <c r="AI414" s="366"/>
      <c r="AL414" s="367"/>
      <c r="AO414" s="367"/>
      <c r="AP414" s="2" t="str">
        <f aca="false">IF(AT414&gt;0,RANK(AT414,AT$7:AT$423),"")</f>
        <v/>
      </c>
      <c r="AQ414" s="1475" t="n">
        <f aca="false">'O_MN, PE_UTA_UGM 2024'!C411</f>
        <v>0</v>
      </c>
      <c r="AR414" s="1421" t="n">
        <v>9410</v>
      </c>
      <c r="AS414" s="2" t="str">
        <f aca="false">IF(AY414&lt;&gt;"",AY414,"")</f>
        <v/>
      </c>
      <c r="AT414" s="1422" t="n">
        <f aca="false">IF(ISNUMBER($AR414),SUMIF(B$7:B$505,AR414,D$7:D$505),"")</f>
        <v>0</v>
      </c>
      <c r="AU414" s="1411" t="n">
        <f aca="false">IF(ISNUMBER($AR414),SUMIF(AD$7:AD$503,$AR414,J$7:J$503),"")</f>
        <v>0</v>
      </c>
      <c r="AV414" s="1411" t="n">
        <f aca="false">IF(ISNUMBER($AR414),SUMIF(AF$7:AF$503,$AR414,L$7:L$503),"")</f>
        <v>0</v>
      </c>
      <c r="AW414" s="1423" t="n">
        <f aca="false">IF(ISNUMBER($AR414),SUMIF(AE$7:AE$503,$AR414,K$7:K$503),"")</f>
        <v>0</v>
      </c>
      <c r="AX414" s="1423" t="n">
        <f aca="false">IF(ISNUMBER($AR414),SUMIF(AG$7:AG$503,$AR414,M$7:M$503),"")</f>
        <v>0</v>
      </c>
      <c r="AY414" s="2" t="str">
        <f aca="false">IF($AT414&gt;0,VLOOKUP($AR414,'O_MN, PE_UTA_UGM 2024'!E411:O826,2),"")</f>
        <v/>
      </c>
      <c r="AZ414" s="1507"/>
      <c r="BA414" s="1507"/>
      <c r="BB414" s="1507" t="str">
        <f aca="false">IF($AT414&gt;0,VLOOKUP($AR414,'O_MN, PE_UTA_UGM 2024'!$E$3:$O$419,BB$6),"")</f>
        <v/>
      </c>
      <c r="BC414" s="1507" t="str">
        <f aca="false">IF($AT414&gt;0,VLOOKUP($AR414,'O_MN, PE_UTA_UGM 2024'!$E$3:$O$419,BC$6),"")</f>
        <v/>
      </c>
      <c r="BD414" s="1507" t="str">
        <f aca="false">IF($AT414&gt;0,VLOOKUP($AR414,'O_MN, PE_UTA_UGM 2024'!$E$3:$O$419,BD$6),"")</f>
        <v/>
      </c>
      <c r="BE414" s="1507" t="str">
        <f aca="false">IF($AT414&gt;0,VLOOKUP($AR414,'O_MN, PE_UTA_UGM 2024'!$E$3:$O$419,BE$6),"")</f>
        <v/>
      </c>
      <c r="BF414" s="1507" t="str">
        <f aca="false">IF($AT414&gt;0,VLOOKUP($AR414,'O_MN, PE_UTA_UGM 2024'!$E$3:$O$419,BF$6),"")</f>
        <v/>
      </c>
      <c r="BG414" s="1507" t="str">
        <f aca="false">IF($AT414&gt;0,VLOOKUP($AR414,'O_MN, PE_UTA_UGM 2024'!$E$3:$O$419,BG$6),"")</f>
        <v/>
      </c>
      <c r="BH414" s="1504"/>
      <c r="BI414" s="1504"/>
      <c r="BJ414" s="1504"/>
      <c r="BK414" s="1504"/>
      <c r="BM414" s="1411"/>
      <c r="BN414" s="1411"/>
      <c r="BO414" s="1425" t="str">
        <f aca="false">IF(ISNUMBER($AU414*BB414*1),$AU414*BB414*1,"")</f>
        <v/>
      </c>
      <c r="BP414" s="1425" t="str">
        <f aca="false">IF(ISNUMBER($AV414*BC414*1),$AV414*BC414*1,"")</f>
        <v/>
      </c>
      <c r="BQ414" s="1425" t="str">
        <f aca="false">IF(ISNUMBER($AU414*BD414*1),$AU414*BD414*1,"")</f>
        <v/>
      </c>
      <c r="BR414" s="1425" t="str">
        <f aca="false">IF(ISNUMBER($AV414*BE414*1),$AV414*BE414*1,"")</f>
        <v/>
      </c>
      <c r="BS414" s="1411" t="str">
        <f aca="false">IF(ISNUMBER($AU414*BF414),$AU414*BF414,"")</f>
        <v/>
      </c>
      <c r="BT414" s="1411" t="str">
        <f aca="false">IF(ISNUMBER($AV414*BG414),$AV414*BG414,"")</f>
        <v/>
      </c>
      <c r="BU414" s="1411"/>
      <c r="BV414" s="1411"/>
      <c r="BW414" s="1411"/>
      <c r="BX414" s="1411"/>
      <c r="BZ414" s="1372"/>
      <c r="CA414" s="1372"/>
      <c r="CB414" s="1426" t="str">
        <f aca="false">IF(ISNUMBER($AW414*BB414),$AW414*BB414,"")</f>
        <v/>
      </c>
      <c r="CC414" s="1426" t="str">
        <f aca="false">IF(ISNUMBER($AX414*BC414),$AX414*BC414,"")</f>
        <v/>
      </c>
      <c r="CD414" s="1426" t="str">
        <f aca="false">IF(ISNUMBER($AW414*BD414),$AW414*BD414,"")</f>
        <v/>
      </c>
      <c r="CE414" s="1426" t="str">
        <f aca="false">IF(ISNUMBER($AX414*BE414),$AX414*BE414,"")</f>
        <v/>
      </c>
      <c r="CF414" s="1372" t="str">
        <f aca="false">IF(ISNUMBER($AW414*BF414),$AW414*BF414,"")</f>
        <v/>
      </c>
      <c r="CG414" s="1372" t="str">
        <f aca="false">IF(ISNUMBER($AX414*BG414),$AX414*BG414,"")</f>
        <v/>
      </c>
      <c r="CH414" s="1438"/>
      <c r="CI414" s="1438"/>
      <c r="CJ414" s="1438"/>
      <c r="CK414" s="1438"/>
      <c r="CU414" s="1411"/>
      <c r="CV414" s="1411"/>
      <c r="CW414" s="1425"/>
      <c r="CX414" s="1425"/>
      <c r="CY414" s="1425"/>
      <c r="CZ414" s="1425"/>
      <c r="DA414" s="1411"/>
      <c r="DB414" s="1411"/>
      <c r="DC414" s="1411"/>
      <c r="DD414" s="1411"/>
      <c r="DE414" s="1411"/>
      <c r="DF414" s="1411"/>
      <c r="DH414" s="1432"/>
      <c r="DI414" s="1432"/>
      <c r="DJ414" s="1437"/>
      <c r="DK414" s="1437"/>
      <c r="DL414" s="1437"/>
      <c r="DM414" s="1437"/>
      <c r="DN414" s="1432"/>
      <c r="DO414" s="1432"/>
      <c r="DP414" s="1432"/>
      <c r="DQ414" s="1432"/>
      <c r="DR414" s="1432"/>
      <c r="DS414" s="1432"/>
      <c r="DT414" s="1316"/>
      <c r="DU414" s="1433"/>
      <c r="DV414" s="1433"/>
      <c r="DW414" s="1433"/>
      <c r="DX414" s="1433"/>
      <c r="DY414" s="1433"/>
      <c r="DZ414" s="1433"/>
      <c r="EA414" s="1433"/>
      <c r="EB414" s="1433"/>
    </row>
    <row r="415" customFormat="false" ht="14.25" hidden="false" customHeight="false" outlineLevel="0" collapsed="false">
      <c r="A415" s="2" t="n">
        <f aca="false">'V_DATOS PAC_SGA'!CC410</f>
        <v>0</v>
      </c>
      <c r="B415" s="2" t="n">
        <f aca="false">IF(OR(A415=0,A415=""),0,IF(I415="IV",CONCATENATE('V_DATOS PAC_SGA'!CC410,"4")+0,CONCATENATE('V_DATOS PAC_SGA'!CC410,"0")+0))</f>
        <v>0</v>
      </c>
      <c r="C415" s="2" t="n">
        <f aca="false">'V_DATOS PAC_SGA'!CD410</f>
        <v>0</v>
      </c>
      <c r="D415" s="1409" t="n">
        <f aca="false">'V_DATOS PAC_SGA'!Y410</f>
        <v>0</v>
      </c>
      <c r="E415" s="1410" t="str">
        <f aca="false">IF('V_DATOS PAC_SGA'!AV410="","Regadio",'V_DATOS PAC_SGA'!AV410)</f>
        <v>Regadio</v>
      </c>
      <c r="F415" s="1411" t="n">
        <f aca="false">'V_DATOS PAC_SGA'!BK410</f>
        <v>0</v>
      </c>
      <c r="G415" s="1412" t="n">
        <f aca="false">'V_DATOS PAC_SGA'!AN410</f>
        <v>0</v>
      </c>
      <c r="H415" s="1413" t="str">
        <f aca="false">IF(B415&gt;0,VLOOKUP(B415,'O_MN, PE_UTA_UGM 2024'!E$3:O$419,10),"")</f>
        <v/>
      </c>
      <c r="I415" s="1359" t="str">
        <f aca="false">IF('V_DATOS PAC_SGA'!BV410="IV",'V_DATOS PAC_SGA'!BV410,"")</f>
        <v/>
      </c>
      <c r="J415" s="2" t="str">
        <f aca="false">IF($A415&gt;0,IF(AND(J$4=$G415,J$6=$F415),$D415*J$5,""),"")</f>
        <v/>
      </c>
      <c r="K415" s="2" t="str">
        <f aca="false">IF($A415&gt;0,IF(AND(K$4=$G415,K$6=$F415),$D415*K$5,""),"")</f>
        <v/>
      </c>
      <c r="L415" s="2" t="str">
        <f aca="false">IF($A415&gt;0,IF(AND(L$4=$G415,L$6=$F415),$D415*L$5,""),"")</f>
        <v/>
      </c>
      <c r="M415" s="2" t="str">
        <f aca="false">IF($A415&gt;0,IF(AND(M$4=$G415,M$6=$F415),$D415*M$5,""),"")</f>
        <v/>
      </c>
      <c r="N415" s="1506" t="n">
        <f aca="false">VLOOKUP(B415,'O_MN, PE_UTA_UGM 2024'!$E$2:$K$419,IF(G415&gt;1,6,7))</f>
        <v>0</v>
      </c>
      <c r="O415" s="1434" t="str">
        <f aca="false">IF($H415=O$4,$D415*$N415,"")</f>
        <v/>
      </c>
      <c r="P415" s="1435" t="str">
        <f aca="false">IF($H415=P$4,$D415*$N415,"")</f>
        <v/>
      </c>
      <c r="Q415" s="1435" t="str">
        <f aca="false">IF($H415=Q$4,$D415*$N415,"")</f>
        <v/>
      </c>
      <c r="R415" s="1435" t="str">
        <f aca="false">IF($H415=R$4,$D415*$N415,"")</f>
        <v/>
      </c>
      <c r="S415" s="1435" t="str">
        <f aca="false">IF($H415=S$4,$D415*$N415,"")</f>
        <v/>
      </c>
      <c r="T415" s="1435" t="str">
        <f aca="false">IF($H415=T$4,$D415*$N415,"")</f>
        <v/>
      </c>
      <c r="U415" s="1436" t="str">
        <f aca="false">IF($H415=U$4,$D415*$N415,"")</f>
        <v/>
      </c>
      <c r="V415" s="1472"/>
      <c r="W415" s="1471"/>
      <c r="X415" s="1471"/>
      <c r="Y415" s="1471"/>
      <c r="Z415" s="1471"/>
      <c r="AA415" s="1471"/>
      <c r="AB415" s="1473"/>
      <c r="AC415" s="1319"/>
      <c r="AD415" s="2" t="str">
        <f aca="false">IF(AND(AD$4=$G415,AD$6=$F415),$B415,"")</f>
        <v/>
      </c>
      <c r="AE415" s="2" t="str">
        <f aca="false">IF(AND(AE$4=$G415,AE$6=$F415),$B415,"")</f>
        <v/>
      </c>
      <c r="AF415" s="2" t="str">
        <f aca="false">IF(AND(AF$4=$G415,AF$6=$F415),$B415,"")</f>
        <v/>
      </c>
      <c r="AG415" s="2" t="str">
        <f aca="false">IF(AND(AG$4=$G415,AG$6=$F415),$B415,"")</f>
        <v/>
      </c>
      <c r="AI415" s="366"/>
      <c r="AL415" s="367"/>
      <c r="AO415" s="367"/>
      <c r="AP415" s="2" t="str">
        <f aca="false">IF(AT415&gt;0,RANK(AT415,AT$7:AT$423),"")</f>
        <v/>
      </c>
      <c r="AQ415" s="1475" t="n">
        <f aca="false">'O_MN, PE_UTA_UGM 2024'!C412</f>
        <v>0</v>
      </c>
      <c r="AR415" s="1421" t="n">
        <v>9420</v>
      </c>
      <c r="AS415" s="2" t="str">
        <f aca="false">IF(AY415&lt;&gt;"",AY415,"")</f>
        <v/>
      </c>
      <c r="AT415" s="1422" t="n">
        <f aca="false">IF(ISNUMBER($AR415),SUMIF(B$7:B$505,AR415,D$7:D$505),"")</f>
        <v>0</v>
      </c>
      <c r="AU415" s="1411" t="n">
        <f aca="false">IF(ISNUMBER($AR415),SUMIF(AD$7:AD$503,$AR415,J$7:J$503),"")</f>
        <v>0</v>
      </c>
      <c r="AV415" s="1411" t="n">
        <f aca="false">IF(ISNUMBER($AR415),SUMIF(AF$7:AF$503,$AR415,L$7:L$503),"")</f>
        <v>0</v>
      </c>
      <c r="AW415" s="1423" t="n">
        <f aca="false">IF(ISNUMBER($AR415),SUMIF(AE$7:AE$503,$AR415,K$7:K$503),"")</f>
        <v>0</v>
      </c>
      <c r="AX415" s="1423" t="n">
        <f aca="false">IF(ISNUMBER($AR415),SUMIF(AG$7:AG$503,$AR415,M$7:M$503),"")</f>
        <v>0</v>
      </c>
      <c r="AY415" s="2" t="str">
        <f aca="false">IF($AT415&gt;0,VLOOKUP($AR415,'O_MN, PE_UTA_UGM 2024'!E412:O827,2),"")</f>
        <v/>
      </c>
      <c r="AZ415" s="1507"/>
      <c r="BA415" s="1507"/>
      <c r="BB415" s="1507" t="str">
        <f aca="false">IF($AT415&gt;0,VLOOKUP($AR415,'O_MN, PE_UTA_UGM 2024'!$E$3:$O$419,BB$6),"")</f>
        <v/>
      </c>
      <c r="BC415" s="1507" t="str">
        <f aca="false">IF($AT415&gt;0,VLOOKUP($AR415,'O_MN, PE_UTA_UGM 2024'!$E$3:$O$419,BC$6),"")</f>
        <v/>
      </c>
      <c r="BD415" s="1507" t="str">
        <f aca="false">IF($AT415&gt;0,VLOOKUP($AR415,'O_MN, PE_UTA_UGM 2024'!$E$3:$O$419,BD$6),"")</f>
        <v/>
      </c>
      <c r="BE415" s="1507" t="str">
        <f aca="false">IF($AT415&gt;0,VLOOKUP($AR415,'O_MN, PE_UTA_UGM 2024'!$E$3:$O$419,BE$6),"")</f>
        <v/>
      </c>
      <c r="BF415" s="1507" t="str">
        <f aca="false">IF($AT415&gt;0,VLOOKUP($AR415,'O_MN, PE_UTA_UGM 2024'!$E$3:$O$419,BF$6),"")</f>
        <v/>
      </c>
      <c r="BG415" s="1507" t="str">
        <f aca="false">IF($AT415&gt;0,VLOOKUP($AR415,'O_MN, PE_UTA_UGM 2024'!$E$3:$O$419,BG$6),"")</f>
        <v/>
      </c>
      <c r="BH415" s="1504"/>
      <c r="BI415" s="1504"/>
      <c r="BJ415" s="1504"/>
      <c r="BK415" s="1504"/>
      <c r="BM415" s="1411"/>
      <c r="BN415" s="1411"/>
      <c r="BO415" s="1425" t="str">
        <f aca="false">IF(ISNUMBER($AU415*BB415*1),$AU415*BB415*1,"")</f>
        <v/>
      </c>
      <c r="BP415" s="1425" t="str">
        <f aca="false">IF(ISNUMBER($AV415*BC415*1),$AV415*BC415*1,"")</f>
        <v/>
      </c>
      <c r="BQ415" s="1425" t="str">
        <f aca="false">IF(ISNUMBER($AU415*BD415*1),$AU415*BD415*1,"")</f>
        <v/>
      </c>
      <c r="BR415" s="1425" t="str">
        <f aca="false">IF(ISNUMBER($AV415*BE415*1),$AV415*BE415*1,"")</f>
        <v/>
      </c>
      <c r="BS415" s="1411" t="str">
        <f aca="false">IF(ISNUMBER($AU415*BF415),$AU415*BF415,"")</f>
        <v/>
      </c>
      <c r="BT415" s="1411" t="str">
        <f aca="false">IF(ISNUMBER($AV415*BG415),$AV415*BG415,"")</f>
        <v/>
      </c>
      <c r="BU415" s="1411"/>
      <c r="BV415" s="1411"/>
      <c r="BW415" s="1411"/>
      <c r="BX415" s="1411"/>
      <c r="BZ415" s="1372"/>
      <c r="CA415" s="1372"/>
      <c r="CB415" s="1426" t="str">
        <f aca="false">IF(ISNUMBER($AW415*BB415),$AW415*BB415,"")</f>
        <v/>
      </c>
      <c r="CC415" s="1426" t="str">
        <f aca="false">IF(ISNUMBER($AX415*BC415),$AX415*BC415,"")</f>
        <v/>
      </c>
      <c r="CD415" s="1426" t="str">
        <f aca="false">IF(ISNUMBER($AW415*BD415),$AW415*BD415,"")</f>
        <v/>
      </c>
      <c r="CE415" s="1426" t="str">
        <f aca="false">IF(ISNUMBER($AX415*BE415),$AX415*BE415,"")</f>
        <v/>
      </c>
      <c r="CF415" s="1372" t="str">
        <f aca="false">IF(ISNUMBER($AW415*BF415),$AW415*BF415,"")</f>
        <v/>
      </c>
      <c r="CG415" s="1372" t="str">
        <f aca="false">IF(ISNUMBER($AX415*BG415),$AX415*BG415,"")</f>
        <v/>
      </c>
      <c r="CH415" s="1438"/>
      <c r="CI415" s="1438"/>
      <c r="CJ415" s="1438"/>
      <c r="CK415" s="1438"/>
      <c r="CU415" s="1411"/>
      <c r="CV415" s="1411"/>
      <c r="CW415" s="1425"/>
      <c r="CX415" s="1425"/>
      <c r="CY415" s="1425"/>
      <c r="CZ415" s="1425"/>
      <c r="DA415" s="1411"/>
      <c r="DB415" s="1411"/>
      <c r="DC415" s="1411"/>
      <c r="DD415" s="1411"/>
      <c r="DE415" s="1411"/>
      <c r="DF415" s="1411"/>
      <c r="DH415" s="1432"/>
      <c r="DI415" s="1432"/>
      <c r="DJ415" s="1437"/>
      <c r="DK415" s="1437"/>
      <c r="DL415" s="1437"/>
      <c r="DM415" s="1437"/>
      <c r="DN415" s="1432"/>
      <c r="DO415" s="1432"/>
      <c r="DP415" s="1432"/>
      <c r="DQ415" s="1432"/>
      <c r="DR415" s="1432"/>
      <c r="DS415" s="1432"/>
      <c r="DT415" s="1316"/>
      <c r="DU415" s="1433"/>
      <c r="DV415" s="1433"/>
      <c r="DW415" s="1433"/>
      <c r="DX415" s="1433"/>
      <c r="DY415" s="1433"/>
      <c r="DZ415" s="1433"/>
      <c r="EA415" s="1433"/>
      <c r="EB415" s="1433"/>
    </row>
    <row r="416" customFormat="false" ht="14.25" hidden="false" customHeight="false" outlineLevel="0" collapsed="false">
      <c r="A416" s="2" t="n">
        <f aca="false">'V_DATOS PAC_SGA'!CC411</f>
        <v>0</v>
      </c>
      <c r="B416" s="2" t="n">
        <f aca="false">IF(OR(A416=0,A416=""),0,IF(I416="IV",CONCATENATE('V_DATOS PAC_SGA'!CC411,"4")+0,CONCATENATE('V_DATOS PAC_SGA'!CC411,"0")+0))</f>
        <v>0</v>
      </c>
      <c r="C416" s="2" t="n">
        <f aca="false">'V_DATOS PAC_SGA'!CD411</f>
        <v>0</v>
      </c>
      <c r="D416" s="1409" t="n">
        <f aca="false">'V_DATOS PAC_SGA'!Y411</f>
        <v>0</v>
      </c>
      <c r="E416" s="1410" t="str">
        <f aca="false">IF('V_DATOS PAC_SGA'!AV411="","Regadio",'V_DATOS PAC_SGA'!AV411)</f>
        <v>Regadio</v>
      </c>
      <c r="F416" s="1411" t="n">
        <f aca="false">'V_DATOS PAC_SGA'!BK411</f>
        <v>0</v>
      </c>
      <c r="G416" s="1412" t="n">
        <f aca="false">'V_DATOS PAC_SGA'!AN411</f>
        <v>0</v>
      </c>
      <c r="H416" s="1413" t="str">
        <f aca="false">IF(B416&gt;0,VLOOKUP(B416,'O_MN, PE_UTA_UGM 2024'!E$3:O$419,10),"")</f>
        <v/>
      </c>
      <c r="I416" s="1359" t="str">
        <f aca="false">IF('V_DATOS PAC_SGA'!BV411="IV",'V_DATOS PAC_SGA'!BV411,"")</f>
        <v/>
      </c>
      <c r="J416" s="2" t="str">
        <f aca="false">IF($A416&gt;0,IF(AND(J$4=$G416,J$6=$F416),$D416*J$5,""),"")</f>
        <v/>
      </c>
      <c r="K416" s="2" t="str">
        <f aca="false">IF($A416&gt;0,IF(AND(K$4=$G416,K$6=$F416),$D416*K$5,""),"")</f>
        <v/>
      </c>
      <c r="L416" s="2" t="str">
        <f aca="false">IF($A416&gt;0,IF(AND(L$4=$G416,L$6=$F416),$D416*L$5,""),"")</f>
        <v/>
      </c>
      <c r="M416" s="2" t="str">
        <f aca="false">IF($A416&gt;0,IF(AND(M$4=$G416,M$6=$F416),$D416*M$5,""),"")</f>
        <v/>
      </c>
      <c r="N416" s="1506" t="n">
        <f aca="false">VLOOKUP(B416,'O_MN, PE_UTA_UGM 2024'!$E$2:$K$419,IF(G416&gt;1,6,7))</f>
        <v>0</v>
      </c>
      <c r="O416" s="1434" t="str">
        <f aca="false">IF($H416=O$4,$D416*$N416,"")</f>
        <v/>
      </c>
      <c r="P416" s="1435" t="str">
        <f aca="false">IF($H416=P$4,$D416*$N416,"")</f>
        <v/>
      </c>
      <c r="Q416" s="1435" t="str">
        <f aca="false">IF($H416=Q$4,$D416*$N416,"")</f>
        <v/>
      </c>
      <c r="R416" s="1435" t="str">
        <f aca="false">IF($H416=R$4,$D416*$N416,"")</f>
        <v/>
      </c>
      <c r="S416" s="1435" t="str">
        <f aca="false">IF($H416=S$4,$D416*$N416,"")</f>
        <v/>
      </c>
      <c r="T416" s="1435" t="str">
        <f aca="false">IF($H416=T$4,$D416*$N416,"")</f>
        <v/>
      </c>
      <c r="U416" s="1436" t="str">
        <f aca="false">IF($H416=U$4,$D416*$N416,"")</f>
        <v/>
      </c>
      <c r="V416" s="1472"/>
      <c r="W416" s="1471"/>
      <c r="X416" s="1471"/>
      <c r="Y416" s="1471"/>
      <c r="Z416" s="1471"/>
      <c r="AA416" s="1471"/>
      <c r="AB416" s="1473"/>
      <c r="AC416" s="1319"/>
      <c r="AD416" s="2" t="str">
        <f aca="false">IF(AND(AD$4=$G416,AD$6=$F416),$B416,"")</f>
        <v/>
      </c>
      <c r="AE416" s="2" t="str">
        <f aca="false">IF(AND(AE$4=$G416,AE$6=$F416),$B416,"")</f>
        <v/>
      </c>
      <c r="AF416" s="2" t="str">
        <f aca="false">IF(AND(AF$4=$G416,AF$6=$F416),$B416,"")</f>
        <v/>
      </c>
      <c r="AG416" s="2" t="str">
        <f aca="false">IF(AND(AG$4=$G416,AG$6=$F416),$B416,"")</f>
        <v/>
      </c>
      <c r="AI416" s="366"/>
      <c r="AL416" s="367"/>
      <c r="AO416" s="367"/>
      <c r="AP416" s="2" t="str">
        <f aca="false">IF(AT416&gt;0,RANK(AT416,AT$7:AT$423),"")</f>
        <v/>
      </c>
      <c r="AQ416" s="1475" t="n">
        <f aca="false">'O_MN, PE_UTA_UGM 2024'!C413</f>
        <v>0</v>
      </c>
      <c r="AR416" s="1421" t="n">
        <v>9430</v>
      </c>
      <c r="AS416" s="2" t="str">
        <f aca="false">IF(AY416&lt;&gt;"",AY416,"")</f>
        <v/>
      </c>
      <c r="AT416" s="1422" t="n">
        <f aca="false">IF(ISNUMBER($AR416),SUMIF(B$7:B$505,AR416,D$7:D$505),"")</f>
        <v>0</v>
      </c>
      <c r="AU416" s="1411" t="n">
        <f aca="false">IF(ISNUMBER($AR416),SUMIF(AD$7:AD$503,$AR416,J$7:J$503),"")</f>
        <v>0</v>
      </c>
      <c r="AV416" s="1411" t="n">
        <f aca="false">IF(ISNUMBER($AR416),SUMIF(AF$7:AF$503,$AR416,L$7:L$503),"")</f>
        <v>0</v>
      </c>
      <c r="AW416" s="1423" t="n">
        <f aca="false">IF(ISNUMBER($AR416),SUMIF(AE$7:AE$503,$AR416,K$7:K$503),"")</f>
        <v>0</v>
      </c>
      <c r="AX416" s="1423" t="n">
        <f aca="false">IF(ISNUMBER($AR416),SUMIF(AG$7:AG$503,$AR416,M$7:M$503),"")</f>
        <v>0</v>
      </c>
      <c r="AY416" s="2" t="str">
        <f aca="false">IF($AT416&gt;0,VLOOKUP($AR416,'O_MN, PE_UTA_UGM 2024'!E413:O828,2),"")</f>
        <v/>
      </c>
      <c r="AZ416" s="1507"/>
      <c r="BA416" s="1507"/>
      <c r="BB416" s="1507" t="str">
        <f aca="false">IF($AT416&gt;0,VLOOKUP($AR416,'O_MN, PE_UTA_UGM 2024'!$E$3:$O$419,BB$6),"")</f>
        <v/>
      </c>
      <c r="BC416" s="1507" t="str">
        <f aca="false">IF($AT416&gt;0,VLOOKUP($AR416,'O_MN, PE_UTA_UGM 2024'!$E$3:$O$419,BC$6),"")</f>
        <v/>
      </c>
      <c r="BD416" s="1507" t="str">
        <f aca="false">IF($AT416&gt;0,VLOOKUP($AR416,'O_MN, PE_UTA_UGM 2024'!$E$3:$O$419,BD$6),"")</f>
        <v/>
      </c>
      <c r="BE416" s="1507" t="str">
        <f aca="false">IF($AT416&gt;0,VLOOKUP($AR416,'O_MN, PE_UTA_UGM 2024'!$E$3:$O$419,BE$6),"")</f>
        <v/>
      </c>
      <c r="BF416" s="1507" t="str">
        <f aca="false">IF($AT416&gt;0,VLOOKUP($AR416,'O_MN, PE_UTA_UGM 2024'!$E$3:$O$419,BF$6),"")</f>
        <v/>
      </c>
      <c r="BG416" s="1507" t="str">
        <f aca="false">IF($AT416&gt;0,VLOOKUP($AR416,'O_MN, PE_UTA_UGM 2024'!$E$3:$O$419,BG$6),"")</f>
        <v/>
      </c>
      <c r="BH416" s="1504"/>
      <c r="BI416" s="1504"/>
      <c r="BJ416" s="1504"/>
      <c r="BK416" s="1504"/>
      <c r="BM416" s="1411"/>
      <c r="BN416" s="1411"/>
      <c r="BO416" s="1425" t="str">
        <f aca="false">IF(ISNUMBER($AU416*BB416*1),$AU416*BB416*1,"")</f>
        <v/>
      </c>
      <c r="BP416" s="1425" t="str">
        <f aca="false">IF(ISNUMBER($AV416*BC416*1),$AV416*BC416*1,"")</f>
        <v/>
      </c>
      <c r="BQ416" s="1425" t="str">
        <f aca="false">IF(ISNUMBER($AU416*BD416*1),$AU416*BD416*1,"")</f>
        <v/>
      </c>
      <c r="BR416" s="1425" t="str">
        <f aca="false">IF(ISNUMBER($AV416*BE416*1),$AV416*BE416*1,"")</f>
        <v/>
      </c>
      <c r="BS416" s="1411" t="str">
        <f aca="false">IF(ISNUMBER($AU416*BF416),$AU416*BF416,"")</f>
        <v/>
      </c>
      <c r="BT416" s="1411" t="str">
        <f aca="false">IF(ISNUMBER($AV416*BG416),$AV416*BG416,"")</f>
        <v/>
      </c>
      <c r="BU416" s="1411"/>
      <c r="BV416" s="1411"/>
      <c r="BW416" s="1411"/>
      <c r="BX416" s="1411"/>
      <c r="BZ416" s="1372"/>
      <c r="CA416" s="1372"/>
      <c r="CB416" s="1426" t="str">
        <f aca="false">IF(ISNUMBER($AW416*BB416),$AW416*BB416,"")</f>
        <v/>
      </c>
      <c r="CC416" s="1426" t="str">
        <f aca="false">IF(ISNUMBER($AX416*BC416),$AX416*BC416,"")</f>
        <v/>
      </c>
      <c r="CD416" s="1426" t="str">
        <f aca="false">IF(ISNUMBER($AW416*BD416),$AW416*BD416,"")</f>
        <v/>
      </c>
      <c r="CE416" s="1426" t="str">
        <f aca="false">IF(ISNUMBER($AX416*BE416),$AX416*BE416,"")</f>
        <v/>
      </c>
      <c r="CF416" s="1372" t="str">
        <f aca="false">IF(ISNUMBER($AW416*BF416),$AW416*BF416,"")</f>
        <v/>
      </c>
      <c r="CG416" s="1372" t="str">
        <f aca="false">IF(ISNUMBER($AX416*BG416),$AX416*BG416,"")</f>
        <v/>
      </c>
      <c r="CH416" s="1438"/>
      <c r="CI416" s="1438"/>
      <c r="CJ416" s="1438"/>
      <c r="CK416" s="1438"/>
      <c r="CU416" s="1411"/>
      <c r="CV416" s="1411"/>
      <c r="CW416" s="1425"/>
      <c r="CX416" s="1425"/>
      <c r="CY416" s="1425"/>
      <c r="CZ416" s="1425"/>
      <c r="DA416" s="1411"/>
      <c r="DB416" s="1411"/>
      <c r="DC416" s="1411"/>
      <c r="DD416" s="1411"/>
      <c r="DE416" s="1411"/>
      <c r="DF416" s="1411"/>
      <c r="DH416" s="1432"/>
      <c r="DI416" s="1432"/>
      <c r="DJ416" s="1437"/>
      <c r="DK416" s="1437"/>
      <c r="DL416" s="1437"/>
      <c r="DM416" s="1437"/>
      <c r="DN416" s="1432"/>
      <c r="DO416" s="1432"/>
      <c r="DP416" s="1432"/>
      <c r="DQ416" s="1432"/>
      <c r="DR416" s="1432"/>
      <c r="DS416" s="1432"/>
      <c r="DT416" s="1316"/>
      <c r="DU416" s="1433"/>
      <c r="DV416" s="1433"/>
      <c r="DW416" s="1433"/>
      <c r="DX416" s="1433"/>
      <c r="DY416" s="1433"/>
      <c r="DZ416" s="1433"/>
      <c r="EA416" s="1433"/>
      <c r="EB416" s="1433"/>
    </row>
    <row r="417" customFormat="false" ht="14.25" hidden="false" customHeight="false" outlineLevel="0" collapsed="false">
      <c r="A417" s="2" t="n">
        <f aca="false">'V_DATOS PAC_SGA'!CC412</f>
        <v>0</v>
      </c>
      <c r="B417" s="2" t="n">
        <f aca="false">IF(OR(A417=0,A417=""),0,IF(I417="IV",CONCATENATE('V_DATOS PAC_SGA'!CC412,"4")+0,CONCATENATE('V_DATOS PAC_SGA'!CC412,"0")+0))</f>
        <v>0</v>
      </c>
      <c r="C417" s="2" t="n">
        <f aca="false">'V_DATOS PAC_SGA'!CD412</f>
        <v>0</v>
      </c>
      <c r="D417" s="1409" t="n">
        <f aca="false">'V_DATOS PAC_SGA'!Y412</f>
        <v>0</v>
      </c>
      <c r="E417" s="1410" t="str">
        <f aca="false">IF('V_DATOS PAC_SGA'!AV412="","Regadio",'V_DATOS PAC_SGA'!AV412)</f>
        <v>Regadio</v>
      </c>
      <c r="F417" s="1411" t="n">
        <f aca="false">'V_DATOS PAC_SGA'!BK412</f>
        <v>0</v>
      </c>
      <c r="G417" s="1412" t="n">
        <f aca="false">'V_DATOS PAC_SGA'!AN412</f>
        <v>0</v>
      </c>
      <c r="H417" s="1413" t="str">
        <f aca="false">IF(B417&gt;0,VLOOKUP(B417,'O_MN, PE_UTA_UGM 2024'!E$3:O$419,10),"")</f>
        <v/>
      </c>
      <c r="I417" s="1359" t="str">
        <f aca="false">IF('V_DATOS PAC_SGA'!BV412="IV",'V_DATOS PAC_SGA'!BV412,"")</f>
        <v/>
      </c>
      <c r="J417" s="2" t="str">
        <f aca="false">IF($A417&gt;0,IF(AND(J$4=$G417,J$6=$F417),$D417*J$5,""),"")</f>
        <v/>
      </c>
      <c r="K417" s="2" t="str">
        <f aca="false">IF($A417&gt;0,IF(AND(K$4=$G417,K$6=$F417),$D417*K$5,""),"")</f>
        <v/>
      </c>
      <c r="L417" s="2" t="str">
        <f aca="false">IF($A417&gt;0,IF(AND(L$4=$G417,L$6=$F417),$D417*L$5,""),"")</f>
        <v/>
      </c>
      <c r="M417" s="2" t="str">
        <f aca="false">IF($A417&gt;0,IF(AND(M$4=$G417,M$6=$F417),$D417*M$5,""),"")</f>
        <v/>
      </c>
      <c r="N417" s="1506" t="n">
        <f aca="false">VLOOKUP(B417,'O_MN, PE_UTA_UGM 2024'!$E$2:$K$419,IF(G417&gt;1,6,7))</f>
        <v>0</v>
      </c>
      <c r="O417" s="1434" t="str">
        <f aca="false">IF($H417=O$4,$D417*$N417,"")</f>
        <v/>
      </c>
      <c r="P417" s="1435" t="str">
        <f aca="false">IF($H417=P$4,$D417*$N417,"")</f>
        <v/>
      </c>
      <c r="Q417" s="1435" t="str">
        <f aca="false">IF($H417=Q$4,$D417*$N417,"")</f>
        <v/>
      </c>
      <c r="R417" s="1435" t="str">
        <f aca="false">IF($H417=R$4,$D417*$N417,"")</f>
        <v/>
      </c>
      <c r="S417" s="1435" t="str">
        <f aca="false">IF($H417=S$4,$D417*$N417,"")</f>
        <v/>
      </c>
      <c r="T417" s="1435" t="str">
        <f aca="false">IF($H417=T$4,$D417*$N417,"")</f>
        <v/>
      </c>
      <c r="U417" s="1436" t="str">
        <f aca="false">IF($H417=U$4,$D417*$N417,"")</f>
        <v/>
      </c>
      <c r="V417" s="1472"/>
      <c r="W417" s="1471"/>
      <c r="X417" s="1471"/>
      <c r="Y417" s="1471"/>
      <c r="Z417" s="1471"/>
      <c r="AA417" s="1471"/>
      <c r="AB417" s="1473"/>
      <c r="AC417" s="1319"/>
      <c r="AD417" s="2" t="str">
        <f aca="false">IF(AND(AD$4=$G417,AD$6=$F417),$B417,"")</f>
        <v/>
      </c>
      <c r="AE417" s="2" t="str">
        <f aca="false">IF(AND(AE$4=$G417,AE$6=$F417),$B417,"")</f>
        <v/>
      </c>
      <c r="AF417" s="2" t="str">
        <f aca="false">IF(AND(AF$4=$G417,AF$6=$F417),$B417,"")</f>
        <v/>
      </c>
      <c r="AG417" s="2" t="str">
        <f aca="false">IF(AND(AG$4=$G417,AG$6=$F417),$B417,"")</f>
        <v/>
      </c>
      <c r="AI417" s="366"/>
      <c r="AL417" s="367"/>
      <c r="AO417" s="367"/>
      <c r="AP417" s="2" t="str">
        <f aca="false">IF(AT417&gt;0,RANK(AT417,AT$7:AT$423),"")</f>
        <v/>
      </c>
      <c r="AQ417" s="1475" t="n">
        <f aca="false">'O_MN, PE_UTA_UGM 2024'!C414</f>
        <v>0</v>
      </c>
      <c r="AR417" s="1421" t="n">
        <v>9440</v>
      </c>
      <c r="AS417" s="2" t="str">
        <f aca="false">IF(AY417&lt;&gt;"",AY417,"")</f>
        <v/>
      </c>
      <c r="AT417" s="1422" t="n">
        <f aca="false">IF(ISNUMBER($AR417),SUMIF(B$7:B$505,AR417,D$7:D$505),"")</f>
        <v>0</v>
      </c>
      <c r="AU417" s="1411" t="n">
        <f aca="false">IF(ISNUMBER($AR417),SUMIF(AD$7:AD$503,$AR417,J$7:J$503),"")</f>
        <v>0</v>
      </c>
      <c r="AV417" s="1411" t="n">
        <f aca="false">IF(ISNUMBER($AR417),SUMIF(AF$7:AF$503,$AR417,L$7:L$503),"")</f>
        <v>0</v>
      </c>
      <c r="AW417" s="1423" t="n">
        <f aca="false">IF(ISNUMBER($AR417),SUMIF(AE$7:AE$503,$AR417,K$7:K$503),"")</f>
        <v>0</v>
      </c>
      <c r="AX417" s="1423" t="n">
        <f aca="false">IF(ISNUMBER($AR417),SUMIF(AG$7:AG$503,$AR417,M$7:M$503),"")</f>
        <v>0</v>
      </c>
      <c r="AY417" s="2" t="str">
        <f aca="false">IF($AT417&gt;0,VLOOKUP($AR417,'O_MN, PE_UTA_UGM 2024'!E414:O829,2),"")</f>
        <v/>
      </c>
      <c r="AZ417" s="1507"/>
      <c r="BA417" s="1507"/>
      <c r="BB417" s="1507" t="str">
        <f aca="false">IF($AT417&gt;0,VLOOKUP($AR417,'O_MN, PE_UTA_UGM 2024'!$E$3:$O$419,BB$6),"")</f>
        <v/>
      </c>
      <c r="BC417" s="1507" t="str">
        <f aca="false">IF($AT417&gt;0,VLOOKUP($AR417,'O_MN, PE_UTA_UGM 2024'!$E$3:$O$419,BC$6),"")</f>
        <v/>
      </c>
      <c r="BD417" s="1507" t="str">
        <f aca="false">IF($AT417&gt;0,VLOOKUP($AR417,'O_MN, PE_UTA_UGM 2024'!$E$3:$O$419,BD$6),"")</f>
        <v/>
      </c>
      <c r="BE417" s="1507" t="str">
        <f aca="false">IF($AT417&gt;0,VLOOKUP($AR417,'O_MN, PE_UTA_UGM 2024'!$E$3:$O$419,BE$6),"")</f>
        <v/>
      </c>
      <c r="BF417" s="1507" t="str">
        <f aca="false">IF($AT417&gt;0,VLOOKUP($AR417,'O_MN, PE_UTA_UGM 2024'!$E$3:$O$419,BF$6),"")</f>
        <v/>
      </c>
      <c r="BG417" s="1507" t="str">
        <f aca="false">IF($AT417&gt;0,VLOOKUP($AR417,'O_MN, PE_UTA_UGM 2024'!$E$3:$O$419,BG$6),"")</f>
        <v/>
      </c>
      <c r="BH417" s="1504"/>
      <c r="BI417" s="1504"/>
      <c r="BJ417" s="1504"/>
      <c r="BK417" s="1504"/>
      <c r="BM417" s="1411"/>
      <c r="BN417" s="1411"/>
      <c r="BO417" s="1425" t="str">
        <f aca="false">IF(ISNUMBER($AU417*BB417*1),$AU417*BB417*1,"")</f>
        <v/>
      </c>
      <c r="BP417" s="1425" t="str">
        <f aca="false">IF(ISNUMBER($AV417*BC417*1),$AV417*BC417*1,"")</f>
        <v/>
      </c>
      <c r="BQ417" s="1425" t="str">
        <f aca="false">IF(ISNUMBER($AU417*BD417*1),$AU417*BD417*1,"")</f>
        <v/>
      </c>
      <c r="BR417" s="1425" t="str">
        <f aca="false">IF(ISNUMBER($AV417*BE417*1),$AV417*BE417*1,"")</f>
        <v/>
      </c>
      <c r="BS417" s="1411" t="str">
        <f aca="false">IF(ISNUMBER($AU417*BF417),$AU417*BF417,"")</f>
        <v/>
      </c>
      <c r="BT417" s="1411" t="str">
        <f aca="false">IF(ISNUMBER($AV417*BG417),$AV417*BG417,"")</f>
        <v/>
      </c>
      <c r="BU417" s="1411"/>
      <c r="BV417" s="1411"/>
      <c r="BW417" s="1411"/>
      <c r="BX417" s="1411"/>
      <c r="BZ417" s="1372"/>
      <c r="CA417" s="1372"/>
      <c r="CB417" s="1426" t="str">
        <f aca="false">IF(ISNUMBER($AW417*BB417),$AW417*BB417,"")</f>
        <v/>
      </c>
      <c r="CC417" s="1426" t="str">
        <f aca="false">IF(ISNUMBER($AX417*BC417),$AX417*BC417,"")</f>
        <v/>
      </c>
      <c r="CD417" s="1426" t="str">
        <f aca="false">IF(ISNUMBER($AW417*BD417),$AW417*BD417,"")</f>
        <v/>
      </c>
      <c r="CE417" s="1426" t="str">
        <f aca="false">IF(ISNUMBER($AX417*BE417),$AX417*BE417,"")</f>
        <v/>
      </c>
      <c r="CF417" s="1372" t="str">
        <f aca="false">IF(ISNUMBER($AW417*BF417),$AW417*BF417,"")</f>
        <v/>
      </c>
      <c r="CG417" s="1372" t="str">
        <f aca="false">IF(ISNUMBER($AX417*BG417),$AX417*BG417,"")</f>
        <v/>
      </c>
      <c r="CH417" s="1438"/>
      <c r="CI417" s="1438"/>
      <c r="CJ417" s="1438"/>
      <c r="CK417" s="1438"/>
      <c r="CU417" s="1411"/>
      <c r="CV417" s="1411"/>
      <c r="CW417" s="1425"/>
      <c r="CX417" s="1425"/>
      <c r="CY417" s="1425"/>
      <c r="CZ417" s="1425"/>
      <c r="DA417" s="1411"/>
      <c r="DB417" s="1411"/>
      <c r="DC417" s="1411"/>
      <c r="DD417" s="1411"/>
      <c r="DE417" s="1411"/>
      <c r="DF417" s="1411"/>
      <c r="DH417" s="1432"/>
      <c r="DI417" s="1432"/>
      <c r="DJ417" s="1437"/>
      <c r="DK417" s="1437"/>
      <c r="DL417" s="1437"/>
      <c r="DM417" s="1437"/>
      <c r="DN417" s="1432"/>
      <c r="DO417" s="1432"/>
      <c r="DP417" s="1432"/>
      <c r="DQ417" s="1432"/>
      <c r="DR417" s="1432"/>
      <c r="DS417" s="1432"/>
      <c r="DT417" s="1316"/>
      <c r="DU417" s="1433"/>
      <c r="DV417" s="1433"/>
      <c r="DW417" s="1433"/>
      <c r="DX417" s="1433"/>
      <c r="DY417" s="1433"/>
      <c r="DZ417" s="1433"/>
      <c r="EA417" s="1433"/>
      <c r="EB417" s="1433"/>
    </row>
    <row r="418" customFormat="false" ht="14.25" hidden="false" customHeight="false" outlineLevel="0" collapsed="false">
      <c r="A418" s="2" t="n">
        <f aca="false">'V_DATOS PAC_SGA'!CC413</f>
        <v>0</v>
      </c>
      <c r="B418" s="2" t="n">
        <f aca="false">IF(OR(A418=0,A418=""),0,IF(I418="IV",CONCATENATE('V_DATOS PAC_SGA'!CC413,"4")+0,CONCATENATE('V_DATOS PAC_SGA'!CC413,"0")+0))</f>
        <v>0</v>
      </c>
      <c r="C418" s="2" t="n">
        <f aca="false">'V_DATOS PAC_SGA'!CD413</f>
        <v>0</v>
      </c>
      <c r="D418" s="1409" t="n">
        <f aca="false">'V_DATOS PAC_SGA'!Y413</f>
        <v>0</v>
      </c>
      <c r="E418" s="1410" t="str">
        <f aca="false">IF('V_DATOS PAC_SGA'!AV413="","Regadio",'V_DATOS PAC_SGA'!AV413)</f>
        <v>Regadio</v>
      </c>
      <c r="F418" s="1411" t="n">
        <f aca="false">'V_DATOS PAC_SGA'!BK413</f>
        <v>0</v>
      </c>
      <c r="G418" s="1412" t="n">
        <f aca="false">'V_DATOS PAC_SGA'!AN413</f>
        <v>0</v>
      </c>
      <c r="H418" s="1413" t="str">
        <f aca="false">IF(B418&gt;0,VLOOKUP(B418,'O_MN, PE_UTA_UGM 2024'!E$3:O$419,10),"")</f>
        <v/>
      </c>
      <c r="I418" s="1359" t="str">
        <f aca="false">IF('V_DATOS PAC_SGA'!BV413="IV",'V_DATOS PAC_SGA'!BV413,"")</f>
        <v/>
      </c>
      <c r="J418" s="2" t="str">
        <f aca="false">IF($A418&gt;0,IF(AND(J$4=$G418,J$6=$F418),$D418*J$5,""),"")</f>
        <v/>
      </c>
      <c r="K418" s="2" t="str">
        <f aca="false">IF($A418&gt;0,IF(AND(K$4=$G418,K$6=$F418),$D418*K$5,""),"")</f>
        <v/>
      </c>
      <c r="L418" s="2" t="str">
        <f aca="false">IF($A418&gt;0,IF(AND(L$4=$G418,L$6=$F418),$D418*L$5,""),"")</f>
        <v/>
      </c>
      <c r="M418" s="2" t="str">
        <f aca="false">IF($A418&gt;0,IF(AND(M$4=$G418,M$6=$F418),$D418*M$5,""),"")</f>
        <v/>
      </c>
      <c r="N418" s="1506" t="n">
        <f aca="false">VLOOKUP(B418,'O_MN, PE_UTA_UGM 2024'!$E$2:$K$419,IF(G418&gt;1,6,7))</f>
        <v>0</v>
      </c>
      <c r="O418" s="1434" t="str">
        <f aca="false">IF($H418=O$4,$D418*$N418,"")</f>
        <v/>
      </c>
      <c r="P418" s="1435" t="str">
        <f aca="false">IF($H418=P$4,$D418*$N418,"")</f>
        <v/>
      </c>
      <c r="Q418" s="1435" t="str">
        <f aca="false">IF($H418=Q$4,$D418*$N418,"")</f>
        <v/>
      </c>
      <c r="R418" s="1435" t="str">
        <f aca="false">IF($H418=R$4,$D418*$N418,"")</f>
        <v/>
      </c>
      <c r="S418" s="1435" t="str">
        <f aca="false">IF($H418=S$4,$D418*$N418,"")</f>
        <v/>
      </c>
      <c r="T418" s="1435" t="str">
        <f aca="false">IF($H418=T$4,$D418*$N418,"")</f>
        <v/>
      </c>
      <c r="U418" s="1436" t="str">
        <f aca="false">IF($H418=U$4,$D418*$N418,"")</f>
        <v/>
      </c>
      <c r="V418" s="1472"/>
      <c r="W418" s="1471"/>
      <c r="X418" s="1471"/>
      <c r="Y418" s="1471"/>
      <c r="Z418" s="1471"/>
      <c r="AA418" s="1471"/>
      <c r="AB418" s="1473"/>
      <c r="AC418" s="1319"/>
      <c r="AD418" s="2" t="str">
        <f aca="false">IF(AND(AD$4=$G418,AD$6=$F418),$B418,"")</f>
        <v/>
      </c>
      <c r="AE418" s="2" t="str">
        <f aca="false">IF(AND(AE$4=$G418,AE$6=$F418),$B418,"")</f>
        <v/>
      </c>
      <c r="AF418" s="2" t="str">
        <f aca="false">IF(AND(AF$4=$G418,AF$6=$F418),$B418,"")</f>
        <v/>
      </c>
      <c r="AG418" s="2" t="str">
        <f aca="false">IF(AND(AG$4=$G418,AG$6=$F418),$B418,"")</f>
        <v/>
      </c>
      <c r="AI418" s="366"/>
      <c r="AL418" s="367"/>
      <c r="AO418" s="367"/>
      <c r="AP418" s="2" t="str">
        <f aca="false">IF(AT418&gt;0,RANK(AT418,AT$7:AT$423),"")</f>
        <v/>
      </c>
      <c r="AQ418" s="1475" t="n">
        <f aca="false">'O_MN, PE_UTA_UGM 2024'!C415</f>
        <v>0</v>
      </c>
      <c r="AR418" s="1421" t="n">
        <v>9450</v>
      </c>
      <c r="AS418" s="2" t="str">
        <f aca="false">IF(AY418&lt;&gt;"",AY418,"")</f>
        <v/>
      </c>
      <c r="AT418" s="1422" t="n">
        <f aca="false">IF(ISNUMBER($AR418),SUMIF(B$7:B$505,AR418,D$7:D$505),"")</f>
        <v>0</v>
      </c>
      <c r="AU418" s="1411" t="n">
        <f aca="false">IF(ISNUMBER($AR418),SUMIF(AD$7:AD$503,$AR418,J$7:J$503),"")</f>
        <v>0</v>
      </c>
      <c r="AV418" s="1411" t="n">
        <f aca="false">IF(ISNUMBER($AR418),SUMIF(AF$7:AF$503,$AR418,L$7:L$503),"")</f>
        <v>0</v>
      </c>
      <c r="AW418" s="1423" t="n">
        <f aca="false">IF(ISNUMBER($AR418),SUMIF(AE$7:AE$503,$AR418,K$7:K$503),"")</f>
        <v>0</v>
      </c>
      <c r="AX418" s="1423" t="n">
        <f aca="false">IF(ISNUMBER($AR418),SUMIF(AG$7:AG$503,$AR418,M$7:M$503),"")</f>
        <v>0</v>
      </c>
      <c r="AY418" s="2" t="str">
        <f aca="false">IF($AT418&gt;0,VLOOKUP($AR418,'O_MN, PE_UTA_UGM 2024'!E415:O830,2),"")</f>
        <v/>
      </c>
      <c r="AZ418" s="1507"/>
      <c r="BA418" s="1507"/>
      <c r="BB418" s="1507" t="str">
        <f aca="false">IF($AT418&gt;0,VLOOKUP($AR418,'O_MN, PE_UTA_UGM 2024'!$E$3:$O$419,BB$6),"")</f>
        <v/>
      </c>
      <c r="BC418" s="1507" t="str">
        <f aca="false">IF($AT418&gt;0,VLOOKUP($AR418,'O_MN, PE_UTA_UGM 2024'!$E$3:$O$419,BC$6),"")</f>
        <v/>
      </c>
      <c r="BD418" s="1507" t="str">
        <f aca="false">IF($AT418&gt;0,VLOOKUP($AR418,'O_MN, PE_UTA_UGM 2024'!$E$3:$O$419,BD$6),"")</f>
        <v/>
      </c>
      <c r="BE418" s="1507" t="str">
        <f aca="false">IF($AT418&gt;0,VLOOKUP($AR418,'O_MN, PE_UTA_UGM 2024'!$E$3:$O$419,BE$6),"")</f>
        <v/>
      </c>
      <c r="BF418" s="1507" t="str">
        <f aca="false">IF($AT418&gt;0,VLOOKUP($AR418,'O_MN, PE_UTA_UGM 2024'!$E$3:$O$419,BF$6),"")</f>
        <v/>
      </c>
      <c r="BG418" s="1507" t="str">
        <f aca="false">IF($AT418&gt;0,VLOOKUP($AR418,'O_MN, PE_UTA_UGM 2024'!$E$3:$O$419,BG$6),"")</f>
        <v/>
      </c>
      <c r="BH418" s="1504"/>
      <c r="BI418" s="1504"/>
      <c r="BJ418" s="1504"/>
      <c r="BK418" s="1504"/>
      <c r="BM418" s="1411"/>
      <c r="BN418" s="1411"/>
      <c r="BO418" s="1425" t="str">
        <f aca="false">IF(ISNUMBER($AU418*BB418*1),$AU418*BB418*1,"")</f>
        <v/>
      </c>
      <c r="BP418" s="1425" t="str">
        <f aca="false">IF(ISNUMBER($AV418*BC418*1),$AV418*BC418*1,"")</f>
        <v/>
      </c>
      <c r="BQ418" s="1425" t="str">
        <f aca="false">IF(ISNUMBER($AU418*BD418*1),$AU418*BD418*1,"")</f>
        <v/>
      </c>
      <c r="BR418" s="1425" t="str">
        <f aca="false">IF(ISNUMBER($AV418*BE418*1),$AV418*BE418*1,"")</f>
        <v/>
      </c>
      <c r="BS418" s="1411" t="str">
        <f aca="false">IF(ISNUMBER($AU418*BF418),$AU418*BF418,"")</f>
        <v/>
      </c>
      <c r="BT418" s="1411" t="str">
        <f aca="false">IF(ISNUMBER($AV418*BG418),$AV418*BG418,"")</f>
        <v/>
      </c>
      <c r="BU418" s="1411"/>
      <c r="BV418" s="1411"/>
      <c r="BW418" s="1411"/>
      <c r="BX418" s="1411"/>
      <c r="BZ418" s="1372"/>
      <c r="CA418" s="1372"/>
      <c r="CB418" s="1426" t="str">
        <f aca="false">IF(ISNUMBER($AW418*BB418),$AW418*BB418,"")</f>
        <v/>
      </c>
      <c r="CC418" s="1426" t="str">
        <f aca="false">IF(ISNUMBER($AX418*BC418),$AX418*BC418,"")</f>
        <v/>
      </c>
      <c r="CD418" s="1426" t="str">
        <f aca="false">IF(ISNUMBER($AW418*BD418),$AW418*BD418,"")</f>
        <v/>
      </c>
      <c r="CE418" s="1426" t="str">
        <f aca="false">IF(ISNUMBER($AX418*BE418),$AX418*BE418,"")</f>
        <v/>
      </c>
      <c r="CF418" s="1372" t="str">
        <f aca="false">IF(ISNUMBER($AW418*BF418),$AW418*BF418,"")</f>
        <v/>
      </c>
      <c r="CG418" s="1372" t="str">
        <f aca="false">IF(ISNUMBER($AX418*BG418),$AX418*BG418,"")</f>
        <v/>
      </c>
      <c r="CH418" s="1438"/>
      <c r="CI418" s="1438"/>
      <c r="CJ418" s="1438"/>
      <c r="CK418" s="1438"/>
      <c r="CU418" s="1411"/>
      <c r="CV418" s="1411"/>
      <c r="CW418" s="1425"/>
      <c r="CX418" s="1425"/>
      <c r="CY418" s="1425"/>
      <c r="CZ418" s="1425"/>
      <c r="DA418" s="1411"/>
      <c r="DB418" s="1411"/>
      <c r="DC418" s="1411"/>
      <c r="DD418" s="1411"/>
      <c r="DE418" s="1411"/>
      <c r="DF418" s="1411"/>
      <c r="DH418" s="1432"/>
      <c r="DI418" s="1432"/>
      <c r="DJ418" s="1437"/>
      <c r="DK418" s="1437"/>
      <c r="DL418" s="1437"/>
      <c r="DM418" s="1437"/>
      <c r="DN418" s="1432"/>
      <c r="DO418" s="1432"/>
      <c r="DP418" s="1432"/>
      <c r="DQ418" s="1432"/>
      <c r="DR418" s="1432"/>
      <c r="DS418" s="1432"/>
      <c r="DT418" s="1316"/>
      <c r="DU418" s="1433"/>
      <c r="DV418" s="1433"/>
      <c r="DW418" s="1433"/>
      <c r="DX418" s="1433"/>
      <c r="DY418" s="1433"/>
      <c r="DZ418" s="1433"/>
      <c r="EA418" s="1433"/>
      <c r="EB418" s="1433"/>
    </row>
    <row r="419" customFormat="false" ht="14.25" hidden="false" customHeight="false" outlineLevel="0" collapsed="false">
      <c r="A419" s="2" t="n">
        <f aca="false">'V_DATOS PAC_SGA'!CC414</f>
        <v>0</v>
      </c>
      <c r="B419" s="2" t="n">
        <f aca="false">IF(OR(A419=0,A419=""),0,IF(I419="IV",CONCATENATE('V_DATOS PAC_SGA'!CC414,"4")+0,CONCATENATE('V_DATOS PAC_SGA'!CC414,"0")+0))</f>
        <v>0</v>
      </c>
      <c r="C419" s="2" t="n">
        <f aca="false">'V_DATOS PAC_SGA'!CD414</f>
        <v>0</v>
      </c>
      <c r="D419" s="1409" t="n">
        <f aca="false">'V_DATOS PAC_SGA'!Y414</f>
        <v>0</v>
      </c>
      <c r="E419" s="1410" t="str">
        <f aca="false">IF('V_DATOS PAC_SGA'!AV414="","Regadio",'V_DATOS PAC_SGA'!AV414)</f>
        <v>Regadio</v>
      </c>
      <c r="F419" s="1411" t="n">
        <f aca="false">'V_DATOS PAC_SGA'!BK414</f>
        <v>0</v>
      </c>
      <c r="G419" s="1412" t="n">
        <f aca="false">'V_DATOS PAC_SGA'!AN414</f>
        <v>0</v>
      </c>
      <c r="H419" s="1413" t="str">
        <f aca="false">IF(B419&gt;0,VLOOKUP(B419,'O_MN, PE_UTA_UGM 2024'!E$3:O$419,10),"")</f>
        <v/>
      </c>
      <c r="I419" s="1359" t="str">
        <f aca="false">IF('V_DATOS PAC_SGA'!BV414="IV",'V_DATOS PAC_SGA'!BV414,"")</f>
        <v/>
      </c>
      <c r="J419" s="2" t="str">
        <f aca="false">IF($A419&gt;0,IF(AND(J$4=$G419,J$6=$F419),$D419*J$5,""),"")</f>
        <v/>
      </c>
      <c r="K419" s="2" t="str">
        <f aca="false">IF($A419&gt;0,IF(AND(K$4=$G419,K$6=$F419),$D419*K$5,""),"")</f>
        <v/>
      </c>
      <c r="L419" s="2" t="str">
        <f aca="false">IF($A419&gt;0,IF(AND(L$4=$G419,L$6=$F419),$D419*L$5,""),"")</f>
        <v/>
      </c>
      <c r="M419" s="2" t="str">
        <f aca="false">IF($A419&gt;0,IF(AND(M$4=$G419,M$6=$F419),$D419*M$5,""),"")</f>
        <v/>
      </c>
      <c r="N419" s="1506" t="n">
        <f aca="false">VLOOKUP(B419,'O_MN, PE_UTA_UGM 2024'!$E$2:$K$419,IF(G419&gt;1,6,7))</f>
        <v>0</v>
      </c>
      <c r="O419" s="1434" t="str">
        <f aca="false">IF($H419=O$4,$D419*$N419,"")</f>
        <v/>
      </c>
      <c r="P419" s="1435" t="str">
        <f aca="false">IF($H419=P$4,$D419*$N419,"")</f>
        <v/>
      </c>
      <c r="Q419" s="1435" t="str">
        <f aca="false">IF($H419=Q$4,$D419*$N419,"")</f>
        <v/>
      </c>
      <c r="R419" s="1435" t="str">
        <f aca="false">IF($H419=R$4,$D419*$N419,"")</f>
        <v/>
      </c>
      <c r="S419" s="1435" t="str">
        <f aca="false">IF($H419=S$4,$D419*$N419,"")</f>
        <v/>
      </c>
      <c r="T419" s="1435" t="str">
        <f aca="false">IF($H419=T$4,$D419*$N419,"")</f>
        <v/>
      </c>
      <c r="U419" s="1436" t="str">
        <f aca="false">IF($H419=U$4,$D419*$N419,"")</f>
        <v/>
      </c>
      <c r="V419" s="1472"/>
      <c r="W419" s="1471"/>
      <c r="X419" s="1471"/>
      <c r="Y419" s="1471"/>
      <c r="Z419" s="1471"/>
      <c r="AA419" s="1471"/>
      <c r="AB419" s="1473"/>
      <c r="AC419" s="1319"/>
      <c r="AD419" s="2" t="str">
        <f aca="false">IF(AND(AD$4=$G419,AD$6=$F419),$B419,"")</f>
        <v/>
      </c>
      <c r="AE419" s="2" t="str">
        <f aca="false">IF(AND(AE$4=$G419,AE$6=$F419),$B419,"")</f>
        <v/>
      </c>
      <c r="AF419" s="2" t="str">
        <f aca="false">IF(AND(AF$4=$G419,AF$6=$F419),$B419,"")</f>
        <v/>
      </c>
      <c r="AG419" s="2" t="str">
        <f aca="false">IF(AND(AG$4=$G419,AG$6=$F419),$B419,"")</f>
        <v/>
      </c>
      <c r="AI419" s="366"/>
      <c r="AL419" s="367"/>
      <c r="AO419" s="367"/>
      <c r="AP419" s="2" t="str">
        <f aca="false">IF(AT419&gt;0,RANK(AT419,AT$7:AT$423),"")</f>
        <v/>
      </c>
      <c r="AQ419" s="1475" t="n">
        <f aca="false">'O_MN, PE_UTA_UGM 2024'!C416</f>
        <v>0</v>
      </c>
      <c r="AR419" s="1421" t="n">
        <v>9460</v>
      </c>
      <c r="AS419" s="2" t="str">
        <f aca="false">IF(AY419&lt;&gt;"",AY419,"")</f>
        <v/>
      </c>
      <c r="AT419" s="1422" t="n">
        <f aca="false">IF(ISNUMBER($AR419),SUMIF(B$7:B$505,AR419,D$7:D$505),"")</f>
        <v>0</v>
      </c>
      <c r="AU419" s="1411" t="n">
        <f aca="false">IF(ISNUMBER($AR419),SUMIF(AD$7:AD$503,$AR419,J$7:J$503),"")</f>
        <v>0</v>
      </c>
      <c r="AV419" s="1411" t="n">
        <f aca="false">IF(ISNUMBER($AR419),SUMIF(AF$7:AF$503,$AR419,L$7:L$503),"")</f>
        <v>0</v>
      </c>
      <c r="AW419" s="1423" t="n">
        <f aca="false">IF(ISNUMBER($AR419),SUMIF(AE$7:AE$503,$AR419,K$7:K$503),"")</f>
        <v>0</v>
      </c>
      <c r="AX419" s="1423" t="n">
        <f aca="false">IF(ISNUMBER($AR419),SUMIF(AG$7:AG$503,$AR419,M$7:M$503),"")</f>
        <v>0</v>
      </c>
      <c r="AY419" s="2" t="str">
        <f aca="false">IF($AT419&gt;0,VLOOKUP($AR419,'O_MN, PE_UTA_UGM 2024'!E416:O831,2),"")</f>
        <v/>
      </c>
      <c r="AZ419" s="1507"/>
      <c r="BA419" s="1507"/>
      <c r="BB419" s="1507" t="str">
        <f aca="false">IF($AT419&gt;0,VLOOKUP($AR419,'O_MN, PE_UTA_UGM 2024'!$E$3:$O$419,BB$6),"")</f>
        <v/>
      </c>
      <c r="BC419" s="1507" t="str">
        <f aca="false">IF($AT419&gt;0,VLOOKUP($AR419,'O_MN, PE_UTA_UGM 2024'!$E$3:$O$419,BC$6),"")</f>
        <v/>
      </c>
      <c r="BD419" s="1507" t="str">
        <f aca="false">IF($AT419&gt;0,VLOOKUP($AR419,'O_MN, PE_UTA_UGM 2024'!$E$3:$O$419,BD$6),"")</f>
        <v/>
      </c>
      <c r="BE419" s="1507" t="str">
        <f aca="false">IF($AT419&gt;0,VLOOKUP($AR419,'O_MN, PE_UTA_UGM 2024'!$E$3:$O$419,BE$6),"")</f>
        <v/>
      </c>
      <c r="BF419" s="1507" t="str">
        <f aca="false">IF($AT419&gt;0,VLOOKUP($AR419,'O_MN, PE_UTA_UGM 2024'!$E$3:$O$419,BF$6),"")</f>
        <v/>
      </c>
      <c r="BG419" s="1507" t="str">
        <f aca="false">IF($AT419&gt;0,VLOOKUP($AR419,'O_MN, PE_UTA_UGM 2024'!$E$3:$O$419,BG$6),"")</f>
        <v/>
      </c>
      <c r="BH419" s="1504"/>
      <c r="BI419" s="1504"/>
      <c r="BJ419" s="1504"/>
      <c r="BK419" s="1504"/>
      <c r="BM419" s="1411"/>
      <c r="BN419" s="1411"/>
      <c r="BO419" s="1425" t="str">
        <f aca="false">IF(ISNUMBER($AU419*BB419*1),$AU419*BB419*1,"")</f>
        <v/>
      </c>
      <c r="BP419" s="1425" t="str">
        <f aca="false">IF(ISNUMBER($AV419*BC419*1),$AV419*BC419*1,"")</f>
        <v/>
      </c>
      <c r="BQ419" s="1425" t="str">
        <f aca="false">IF(ISNUMBER($AU419*BD419*1),$AU419*BD419*1,"")</f>
        <v/>
      </c>
      <c r="BR419" s="1425" t="str">
        <f aca="false">IF(ISNUMBER($AV419*BE419*1),$AV419*BE419*1,"")</f>
        <v/>
      </c>
      <c r="BS419" s="1411" t="str">
        <f aca="false">IF(ISNUMBER($AU419*BF419),$AU419*BF419,"")</f>
        <v/>
      </c>
      <c r="BT419" s="1411" t="str">
        <f aca="false">IF(ISNUMBER($AV419*BG419),$AV419*BG419,"")</f>
        <v/>
      </c>
      <c r="BU419" s="1411"/>
      <c r="BV419" s="1411"/>
      <c r="BW419" s="1411"/>
      <c r="BX419" s="1411"/>
      <c r="BZ419" s="1372"/>
      <c r="CA419" s="1372"/>
      <c r="CB419" s="1426" t="str">
        <f aca="false">IF(ISNUMBER($AW419*BB419),$AW419*BB419,"")</f>
        <v/>
      </c>
      <c r="CC419" s="1426" t="str">
        <f aca="false">IF(ISNUMBER($AX419*BC419),$AX419*BC419,"")</f>
        <v/>
      </c>
      <c r="CD419" s="1426" t="str">
        <f aca="false">IF(ISNUMBER($AW419*BD419),$AW419*BD419,"")</f>
        <v/>
      </c>
      <c r="CE419" s="1426" t="str">
        <f aca="false">IF(ISNUMBER($AX419*BE419),$AX419*BE419,"")</f>
        <v/>
      </c>
      <c r="CF419" s="1372" t="str">
        <f aca="false">IF(ISNUMBER($AW419*BF419),$AW419*BF419,"")</f>
        <v/>
      </c>
      <c r="CG419" s="1372" t="str">
        <f aca="false">IF(ISNUMBER($AX419*BG419),$AX419*BG419,"")</f>
        <v/>
      </c>
      <c r="CH419" s="1438"/>
      <c r="CI419" s="1438"/>
      <c r="CJ419" s="1438"/>
      <c r="CK419" s="1438"/>
      <c r="CU419" s="1411"/>
      <c r="CV419" s="1411"/>
      <c r="CW419" s="1425"/>
      <c r="CX419" s="1425"/>
      <c r="CY419" s="1425"/>
      <c r="CZ419" s="1425"/>
      <c r="DA419" s="1411"/>
      <c r="DB419" s="1411"/>
      <c r="DC419" s="1411"/>
      <c r="DD419" s="1411"/>
      <c r="DE419" s="1411"/>
      <c r="DF419" s="1411"/>
      <c r="DH419" s="1432"/>
      <c r="DI419" s="1432"/>
      <c r="DJ419" s="1437"/>
      <c r="DK419" s="1437"/>
      <c r="DL419" s="1437"/>
      <c r="DM419" s="1437"/>
      <c r="DN419" s="1432"/>
      <c r="DO419" s="1432"/>
      <c r="DP419" s="1432"/>
      <c r="DQ419" s="1432"/>
      <c r="DR419" s="1432"/>
      <c r="DS419" s="1432"/>
      <c r="DT419" s="1316"/>
      <c r="DU419" s="1433"/>
      <c r="DV419" s="1433"/>
      <c r="DW419" s="1433"/>
      <c r="DX419" s="1433"/>
      <c r="DY419" s="1433"/>
      <c r="DZ419" s="1433"/>
      <c r="EA419" s="1433"/>
      <c r="EB419" s="1433"/>
    </row>
    <row r="420" customFormat="false" ht="14.25" hidden="false" customHeight="false" outlineLevel="0" collapsed="false">
      <c r="A420" s="2" t="n">
        <f aca="false">'V_DATOS PAC_SGA'!CC415</f>
        <v>0</v>
      </c>
      <c r="B420" s="2" t="n">
        <f aca="false">IF(OR(A420=0,A420=""),0,IF(I420="IV",CONCATENATE('V_DATOS PAC_SGA'!CC415,"4")+0,CONCATENATE('V_DATOS PAC_SGA'!CC415,"0")+0))</f>
        <v>0</v>
      </c>
      <c r="C420" s="2" t="n">
        <f aca="false">'V_DATOS PAC_SGA'!CD415</f>
        <v>0</v>
      </c>
      <c r="D420" s="1409" t="n">
        <f aca="false">'V_DATOS PAC_SGA'!Y415</f>
        <v>0</v>
      </c>
      <c r="E420" s="1410" t="str">
        <f aca="false">IF('V_DATOS PAC_SGA'!AV415="","Regadio",'V_DATOS PAC_SGA'!AV415)</f>
        <v>Regadio</v>
      </c>
      <c r="F420" s="1411" t="n">
        <f aca="false">'V_DATOS PAC_SGA'!BK415</f>
        <v>0</v>
      </c>
      <c r="G420" s="1412" t="n">
        <f aca="false">'V_DATOS PAC_SGA'!AN415</f>
        <v>0</v>
      </c>
      <c r="H420" s="1413" t="str">
        <f aca="false">IF(B420&gt;0,VLOOKUP(B420,'O_MN, PE_UTA_UGM 2024'!E$3:O$419,10),"")</f>
        <v/>
      </c>
      <c r="I420" s="1359" t="str">
        <f aca="false">IF('V_DATOS PAC_SGA'!BV415="IV",'V_DATOS PAC_SGA'!BV415,"")</f>
        <v/>
      </c>
      <c r="J420" s="2" t="str">
        <f aca="false">IF($A420&gt;0,IF(AND(J$4=$G420,J$6=$F420),$D420*J$5,""),"")</f>
        <v/>
      </c>
      <c r="K420" s="2" t="str">
        <f aca="false">IF($A420&gt;0,IF(AND(K$4=$G420,K$6=$F420),$D420*K$5,""),"")</f>
        <v/>
      </c>
      <c r="L420" s="2" t="str">
        <f aca="false">IF($A420&gt;0,IF(AND(L$4=$G420,L$6=$F420),$D420*L$5,""),"")</f>
        <v/>
      </c>
      <c r="M420" s="2" t="str">
        <f aca="false">IF($A420&gt;0,IF(AND(M$4=$G420,M$6=$F420),$D420*M$5,""),"")</f>
        <v/>
      </c>
      <c r="N420" s="1506" t="n">
        <f aca="false">VLOOKUP(B420,'O_MN, PE_UTA_UGM 2024'!$E$2:$K$419,IF(G420&gt;1,6,7))</f>
        <v>0</v>
      </c>
      <c r="O420" s="1434" t="str">
        <f aca="false">IF($H420=O$4,$D420*$N420,"")</f>
        <v/>
      </c>
      <c r="P420" s="1435" t="str">
        <f aca="false">IF($H420=P$4,$D420*$N420,"")</f>
        <v/>
      </c>
      <c r="Q420" s="1435" t="str">
        <f aca="false">IF($H420=Q$4,$D420*$N420,"")</f>
        <v/>
      </c>
      <c r="R420" s="1435" t="str">
        <f aca="false">IF($H420=R$4,$D420*$N420,"")</f>
        <v/>
      </c>
      <c r="S420" s="1435" t="str">
        <f aca="false">IF($H420=S$4,$D420*$N420,"")</f>
        <v/>
      </c>
      <c r="T420" s="1435" t="str">
        <f aca="false">IF($H420=T$4,$D420*$N420,"")</f>
        <v/>
      </c>
      <c r="U420" s="1436" t="str">
        <f aca="false">IF($H420=U$4,$D420*$N420,"")</f>
        <v/>
      </c>
      <c r="V420" s="1472"/>
      <c r="W420" s="1471"/>
      <c r="X420" s="1471"/>
      <c r="Y420" s="1471"/>
      <c r="Z420" s="1471"/>
      <c r="AA420" s="1471"/>
      <c r="AB420" s="1473"/>
      <c r="AC420" s="1319"/>
      <c r="AD420" s="2" t="str">
        <f aca="false">IF(AND(AD$4=$G420,AD$6=$F420),$B420,"")</f>
        <v/>
      </c>
      <c r="AE420" s="2" t="str">
        <f aca="false">IF(AND(AE$4=$G420,AE$6=$F420),$B420,"")</f>
        <v/>
      </c>
      <c r="AF420" s="2" t="str">
        <f aca="false">IF(AND(AF$4=$G420,AF$6=$F420),$B420,"")</f>
        <v/>
      </c>
      <c r="AG420" s="2" t="str">
        <f aca="false">IF(AND(AG$4=$G420,AG$6=$F420),$B420,"")</f>
        <v/>
      </c>
      <c r="AI420" s="366"/>
      <c r="AL420" s="367"/>
      <c r="AO420" s="367"/>
      <c r="AP420" s="2" t="str">
        <f aca="false">IF(AT420&gt;0,RANK(AT420,AT$7:AT$423),"")</f>
        <v/>
      </c>
      <c r="AQ420" s="1475" t="n">
        <f aca="false">'O_MN, PE_UTA_UGM 2024'!C417</f>
        <v>0</v>
      </c>
      <c r="AR420" s="1421" t="n">
        <v>9470</v>
      </c>
      <c r="AS420" s="2" t="str">
        <f aca="false">IF(AY420&lt;&gt;"",AY420,"")</f>
        <v/>
      </c>
      <c r="AT420" s="1422" t="n">
        <f aca="false">IF(ISNUMBER($AR420),SUMIF(B$7:B$505,AR420,D$7:D$505),"")</f>
        <v>0</v>
      </c>
      <c r="AU420" s="1411" t="n">
        <f aca="false">IF(ISNUMBER($AR420),SUMIF(AD$7:AD$503,$AR420,J$7:J$503),"")</f>
        <v>0</v>
      </c>
      <c r="AV420" s="1411" t="n">
        <f aca="false">IF(ISNUMBER($AR420),SUMIF(AF$7:AF$503,$AR420,L$7:L$503),"")</f>
        <v>0</v>
      </c>
      <c r="AW420" s="1423" t="n">
        <f aca="false">IF(ISNUMBER($AR420),SUMIF(AE$7:AE$503,$AR420,K$7:K$503),"")</f>
        <v>0</v>
      </c>
      <c r="AX420" s="1423" t="n">
        <f aca="false">IF(ISNUMBER($AR420),SUMIF(AG$7:AG$503,$AR420,M$7:M$503),"")</f>
        <v>0</v>
      </c>
      <c r="AY420" s="2" t="str">
        <f aca="false">IF($AT420&gt;0,VLOOKUP($AR420,'O_MN, PE_UTA_UGM 2024'!E417:O832,2),"")</f>
        <v/>
      </c>
      <c r="AZ420" s="1507"/>
      <c r="BA420" s="1507"/>
      <c r="BB420" s="1507" t="str">
        <f aca="false">IF($AT420&gt;0,VLOOKUP($AR420,'O_MN, PE_UTA_UGM 2024'!$E$3:$O$419,BB$6),"")</f>
        <v/>
      </c>
      <c r="BC420" s="1507" t="str">
        <f aca="false">IF($AT420&gt;0,VLOOKUP($AR420,'O_MN, PE_UTA_UGM 2024'!$E$3:$O$419,BC$6),"")</f>
        <v/>
      </c>
      <c r="BD420" s="1507" t="str">
        <f aca="false">IF($AT420&gt;0,VLOOKUP($AR420,'O_MN, PE_UTA_UGM 2024'!$E$3:$O$419,BD$6),"")</f>
        <v/>
      </c>
      <c r="BE420" s="1507" t="str">
        <f aca="false">IF($AT420&gt;0,VLOOKUP($AR420,'O_MN, PE_UTA_UGM 2024'!$E$3:$O$419,BE$6),"")</f>
        <v/>
      </c>
      <c r="BF420" s="1507" t="str">
        <f aca="false">IF($AT420&gt;0,VLOOKUP($AR420,'O_MN, PE_UTA_UGM 2024'!$E$3:$O$419,BF$6),"")</f>
        <v/>
      </c>
      <c r="BG420" s="1507" t="str">
        <f aca="false">IF($AT420&gt;0,VLOOKUP($AR420,'O_MN, PE_UTA_UGM 2024'!$E$3:$O$419,BG$6),"")</f>
        <v/>
      </c>
      <c r="BH420" s="1504"/>
      <c r="BI420" s="1504"/>
      <c r="BJ420" s="1504"/>
      <c r="BK420" s="1504"/>
      <c r="BM420" s="1411"/>
      <c r="BN420" s="1411"/>
      <c r="BO420" s="1425" t="str">
        <f aca="false">IF(ISNUMBER($AU420*BB420*1),$AU420*BB420*1,"")</f>
        <v/>
      </c>
      <c r="BP420" s="1425" t="str">
        <f aca="false">IF(ISNUMBER($AV420*BC420*1),$AV420*BC420*1,"")</f>
        <v/>
      </c>
      <c r="BQ420" s="1425" t="str">
        <f aca="false">IF(ISNUMBER($AU420*BD420*1),$AU420*BD420*1,"")</f>
        <v/>
      </c>
      <c r="BR420" s="1425" t="str">
        <f aca="false">IF(ISNUMBER($AV420*BE420*1),$AV420*BE420*1,"")</f>
        <v/>
      </c>
      <c r="BS420" s="1411" t="str">
        <f aca="false">IF(ISNUMBER($AU420*BF420),$AU420*BF420,"")</f>
        <v/>
      </c>
      <c r="BT420" s="1411" t="str">
        <f aca="false">IF(ISNUMBER($AV420*BG420),$AV420*BG420,"")</f>
        <v/>
      </c>
      <c r="BU420" s="1411"/>
      <c r="BV420" s="1411"/>
      <c r="BW420" s="1411"/>
      <c r="BX420" s="1411"/>
      <c r="BZ420" s="1372"/>
      <c r="CA420" s="1372"/>
      <c r="CB420" s="1426" t="str">
        <f aca="false">IF(ISNUMBER($AW420*BB420),$AW420*BB420,"")</f>
        <v/>
      </c>
      <c r="CC420" s="1426" t="str">
        <f aca="false">IF(ISNUMBER($AX420*BC420),$AX420*BC420,"")</f>
        <v/>
      </c>
      <c r="CD420" s="1426" t="str">
        <f aca="false">IF(ISNUMBER($AW420*BD420),$AW420*BD420,"")</f>
        <v/>
      </c>
      <c r="CE420" s="1426" t="str">
        <f aca="false">IF(ISNUMBER($AX420*BE420),$AX420*BE420,"")</f>
        <v/>
      </c>
      <c r="CF420" s="1372" t="str">
        <f aca="false">IF(ISNUMBER($AW420*BF420),$AW420*BF420,"")</f>
        <v/>
      </c>
      <c r="CG420" s="1372" t="str">
        <f aca="false">IF(ISNUMBER($AX420*BG420),$AX420*BG420,"")</f>
        <v/>
      </c>
      <c r="CH420" s="1438"/>
      <c r="CI420" s="1438"/>
      <c r="CJ420" s="1438"/>
      <c r="CK420" s="1438"/>
      <c r="CU420" s="1411"/>
      <c r="CV420" s="1411"/>
      <c r="CW420" s="1425"/>
      <c r="CX420" s="1425"/>
      <c r="CY420" s="1425"/>
      <c r="CZ420" s="1425"/>
      <c r="DA420" s="1411"/>
      <c r="DB420" s="1411"/>
      <c r="DC420" s="1411"/>
      <c r="DD420" s="1411"/>
      <c r="DE420" s="1411"/>
      <c r="DF420" s="1411"/>
      <c r="DH420" s="1432"/>
      <c r="DI420" s="1432"/>
      <c r="DJ420" s="1437"/>
      <c r="DK420" s="1437"/>
      <c r="DL420" s="1437"/>
      <c r="DM420" s="1437"/>
      <c r="DN420" s="1432"/>
      <c r="DO420" s="1432"/>
      <c r="DP420" s="1432"/>
      <c r="DQ420" s="1432"/>
      <c r="DR420" s="1432"/>
      <c r="DS420" s="1432"/>
      <c r="DT420" s="1316"/>
      <c r="DU420" s="1433"/>
      <c r="DV420" s="1433"/>
      <c r="DW420" s="1433"/>
      <c r="DX420" s="1433"/>
      <c r="DY420" s="1433"/>
      <c r="DZ420" s="1433"/>
      <c r="EA420" s="1433"/>
      <c r="EB420" s="1433"/>
    </row>
    <row r="421" customFormat="false" ht="14.25" hidden="false" customHeight="false" outlineLevel="0" collapsed="false">
      <c r="A421" s="2" t="n">
        <f aca="false">'V_DATOS PAC_SGA'!CC416</f>
        <v>0</v>
      </c>
      <c r="B421" s="2" t="n">
        <f aca="false">IF(OR(A421=0,A421=""),0,IF(I421="IV",CONCATENATE('V_DATOS PAC_SGA'!CC416,"4")+0,CONCATENATE('V_DATOS PAC_SGA'!CC416,"0")+0))</f>
        <v>0</v>
      </c>
      <c r="C421" s="2" t="n">
        <f aca="false">'V_DATOS PAC_SGA'!CD416</f>
        <v>0</v>
      </c>
      <c r="D421" s="1409" t="n">
        <f aca="false">'V_DATOS PAC_SGA'!Y416</f>
        <v>0</v>
      </c>
      <c r="E421" s="1410" t="str">
        <f aca="false">IF('V_DATOS PAC_SGA'!AV416="","Regadio",'V_DATOS PAC_SGA'!AV416)</f>
        <v>Regadio</v>
      </c>
      <c r="F421" s="1411" t="n">
        <f aca="false">'V_DATOS PAC_SGA'!BK416</f>
        <v>0</v>
      </c>
      <c r="G421" s="1412" t="n">
        <f aca="false">'V_DATOS PAC_SGA'!AN416</f>
        <v>0</v>
      </c>
      <c r="H421" s="1413" t="str">
        <f aca="false">IF(B421&gt;0,VLOOKUP(B421,'O_MN, PE_UTA_UGM 2024'!E$3:O$419,10),"")</f>
        <v/>
      </c>
      <c r="I421" s="1359" t="str">
        <f aca="false">IF('V_DATOS PAC_SGA'!BV416="IV",'V_DATOS PAC_SGA'!BV416,"")</f>
        <v/>
      </c>
      <c r="J421" s="2" t="str">
        <f aca="false">IF($A421&gt;0,IF(AND(J$4=$G421,J$6=$F421),$D421*J$5,""),"")</f>
        <v/>
      </c>
      <c r="K421" s="2" t="str">
        <f aca="false">IF($A421&gt;0,IF(AND(K$4=$G421,K$6=$F421),$D421*K$5,""),"")</f>
        <v/>
      </c>
      <c r="L421" s="2" t="str">
        <f aca="false">IF($A421&gt;0,IF(AND(L$4=$G421,L$6=$F421),$D421*L$5,""),"")</f>
        <v/>
      </c>
      <c r="M421" s="2" t="str">
        <f aca="false">IF($A421&gt;0,IF(AND(M$4=$G421,M$6=$F421),$D421*M$5,""),"")</f>
        <v/>
      </c>
      <c r="N421" s="1506" t="n">
        <f aca="false">VLOOKUP(B421,'O_MN, PE_UTA_UGM 2024'!$E$2:$K$419,IF(G421&gt;1,6,7))</f>
        <v>0</v>
      </c>
      <c r="O421" s="1434" t="str">
        <f aca="false">IF($H421=O$4,$D421*$N421,"")</f>
        <v/>
      </c>
      <c r="P421" s="1435" t="str">
        <f aca="false">IF($H421=P$4,$D421*$N421,"")</f>
        <v/>
      </c>
      <c r="Q421" s="1435" t="str">
        <f aca="false">IF($H421=Q$4,$D421*$N421,"")</f>
        <v/>
      </c>
      <c r="R421" s="1435" t="str">
        <f aca="false">IF($H421=R$4,$D421*$N421,"")</f>
        <v/>
      </c>
      <c r="S421" s="1435" t="str">
        <f aca="false">IF($H421=S$4,$D421*$N421,"")</f>
        <v/>
      </c>
      <c r="T421" s="1435" t="str">
        <f aca="false">IF($H421=T$4,$D421*$N421,"")</f>
        <v/>
      </c>
      <c r="U421" s="1436" t="str">
        <f aca="false">IF($H421=U$4,$D421*$N421,"")</f>
        <v/>
      </c>
      <c r="V421" s="1472"/>
      <c r="W421" s="1471"/>
      <c r="X421" s="1471"/>
      <c r="Y421" s="1471"/>
      <c r="Z421" s="1471"/>
      <c r="AA421" s="1471"/>
      <c r="AB421" s="1473"/>
      <c r="AC421" s="1319"/>
      <c r="AD421" s="2" t="str">
        <f aca="false">IF(AND(AD$4=$G421,AD$6=$F421),$B421,"")</f>
        <v/>
      </c>
      <c r="AE421" s="2" t="str">
        <f aca="false">IF(AND(AE$4=$G421,AE$6=$F421),$B421,"")</f>
        <v/>
      </c>
      <c r="AF421" s="2" t="str">
        <f aca="false">IF(AND(AF$4=$G421,AF$6=$F421),$B421,"")</f>
        <v/>
      </c>
      <c r="AG421" s="2" t="str">
        <f aca="false">IF(AND(AG$4=$G421,AG$6=$F421),$B421,"")</f>
        <v/>
      </c>
      <c r="AI421" s="366"/>
      <c r="AL421" s="367"/>
      <c r="AO421" s="367"/>
      <c r="AP421" s="2" t="str">
        <f aca="false">IF(AT421&gt;0,RANK(AT421,AT$7:AT$423),"")</f>
        <v/>
      </c>
      <c r="AQ421" s="1475" t="n">
        <f aca="false">'O_MN, PE_UTA_UGM 2024'!C418</f>
        <v>0</v>
      </c>
      <c r="AR421" s="1421" t="n">
        <v>9480</v>
      </c>
      <c r="AS421" s="2" t="str">
        <f aca="false">IF(AY421&lt;&gt;"",AY421,"")</f>
        <v/>
      </c>
      <c r="AT421" s="1422" t="n">
        <f aca="false">IF(ISNUMBER($AR421),SUMIF(B$7:B$505,AR421,D$7:D$505),"")</f>
        <v>0</v>
      </c>
      <c r="AU421" s="1411" t="n">
        <f aca="false">IF(ISNUMBER($AR421),SUMIF(AD$7:AD$503,$AR421,J$7:J$503),"")</f>
        <v>0</v>
      </c>
      <c r="AV421" s="1411" t="n">
        <f aca="false">IF(ISNUMBER($AR421),SUMIF(AF$7:AF$503,$AR421,L$7:L$503),"")</f>
        <v>0</v>
      </c>
      <c r="AW421" s="1423" t="n">
        <f aca="false">IF(ISNUMBER($AR421),SUMIF(AE$7:AE$503,$AR421,K$7:K$503),"")</f>
        <v>0</v>
      </c>
      <c r="AX421" s="1423" t="n">
        <f aca="false">IF(ISNUMBER($AR421),SUMIF(AG$7:AG$503,$AR421,M$7:M$503),"")</f>
        <v>0</v>
      </c>
      <c r="AY421" s="2" t="str">
        <f aca="false">IF($AT421&gt;0,VLOOKUP($AR421,'O_MN, PE_UTA_UGM 2024'!E418:O833,2),"")</f>
        <v/>
      </c>
      <c r="AZ421" s="1507"/>
      <c r="BA421" s="1507"/>
      <c r="BB421" s="1507" t="str">
        <f aca="false">IF($AT421&gt;0,VLOOKUP($AR421,'O_MN, PE_UTA_UGM 2024'!$E$3:$O$419,BB$6),"")</f>
        <v/>
      </c>
      <c r="BC421" s="1507" t="str">
        <f aca="false">IF($AT421&gt;0,VLOOKUP($AR421,'O_MN, PE_UTA_UGM 2024'!$E$3:$O$419,BC$6),"")</f>
        <v/>
      </c>
      <c r="BD421" s="1507" t="str">
        <f aca="false">IF($AT421&gt;0,VLOOKUP($AR421,'O_MN, PE_UTA_UGM 2024'!$E$3:$O$419,BD$6),"")</f>
        <v/>
      </c>
      <c r="BE421" s="1507" t="str">
        <f aca="false">IF($AT421&gt;0,VLOOKUP($AR421,'O_MN, PE_UTA_UGM 2024'!$E$3:$O$419,BE$6),"")</f>
        <v/>
      </c>
      <c r="BF421" s="1507" t="str">
        <f aca="false">IF($AT421&gt;0,VLOOKUP($AR421,'O_MN, PE_UTA_UGM 2024'!$E$3:$O$419,BF$6),"")</f>
        <v/>
      </c>
      <c r="BG421" s="1507" t="str">
        <f aca="false">IF($AT421&gt;0,VLOOKUP($AR421,'O_MN, PE_UTA_UGM 2024'!$E$3:$O$419,BG$6),"")</f>
        <v/>
      </c>
      <c r="BH421" s="1504"/>
      <c r="BI421" s="1504"/>
      <c r="BJ421" s="1504"/>
      <c r="BK421" s="1504"/>
      <c r="BM421" s="1411"/>
      <c r="BN421" s="1411"/>
      <c r="BO421" s="1425" t="str">
        <f aca="false">IF(ISNUMBER($AU421*BB421*1),$AU421*BB421*1,"")</f>
        <v/>
      </c>
      <c r="BP421" s="1425" t="str">
        <f aca="false">IF(ISNUMBER($AV421*BC421*1),$AV421*BC421*1,"")</f>
        <v/>
      </c>
      <c r="BQ421" s="1425" t="str">
        <f aca="false">IF(ISNUMBER($AU421*BD421*1),$AU421*BD421*1,"")</f>
        <v/>
      </c>
      <c r="BR421" s="1425" t="str">
        <f aca="false">IF(ISNUMBER($AV421*BE421*1),$AV421*BE421*1,"")</f>
        <v/>
      </c>
      <c r="BS421" s="1411" t="str">
        <f aca="false">IF(ISNUMBER($AU421*BF421),$AU421*BF421,"")</f>
        <v/>
      </c>
      <c r="BT421" s="1411" t="str">
        <f aca="false">IF(ISNUMBER($AV421*BG421),$AV421*BG421,"")</f>
        <v/>
      </c>
      <c r="BU421" s="1411"/>
      <c r="BV421" s="1411"/>
      <c r="BW421" s="1411"/>
      <c r="BX421" s="1411"/>
      <c r="BZ421" s="1372"/>
      <c r="CA421" s="1372"/>
      <c r="CB421" s="1426" t="str">
        <f aca="false">IF(ISNUMBER($AW421*BB421),$AW421*BB421,"")</f>
        <v/>
      </c>
      <c r="CC421" s="1426" t="str">
        <f aca="false">IF(ISNUMBER($AX421*BC421),$AX421*BC421,"")</f>
        <v/>
      </c>
      <c r="CD421" s="1426" t="str">
        <f aca="false">IF(ISNUMBER($AW421*BD421),$AW421*BD421,"")</f>
        <v/>
      </c>
      <c r="CE421" s="1426" t="str">
        <f aca="false">IF(ISNUMBER($AX421*BE421),$AX421*BE421,"")</f>
        <v/>
      </c>
      <c r="CF421" s="1372" t="str">
        <f aca="false">IF(ISNUMBER($AW421*BF421),$AW421*BF421,"")</f>
        <v/>
      </c>
      <c r="CG421" s="1372" t="str">
        <f aca="false">IF(ISNUMBER($AX421*BG421),$AX421*BG421,"")</f>
        <v/>
      </c>
      <c r="CH421" s="1438"/>
      <c r="CI421" s="1438"/>
      <c r="CJ421" s="1438"/>
      <c r="CK421" s="1438"/>
      <c r="CU421" s="1411"/>
      <c r="CV421" s="1411"/>
      <c r="CW421" s="1425"/>
      <c r="CX421" s="1425"/>
      <c r="CY421" s="1425"/>
      <c r="CZ421" s="1425"/>
      <c r="DA421" s="1411"/>
      <c r="DB421" s="1411"/>
      <c r="DC421" s="1411"/>
      <c r="DD421" s="1411"/>
      <c r="DE421" s="1411"/>
      <c r="DF421" s="1411"/>
      <c r="DH421" s="1432"/>
      <c r="DI421" s="1432"/>
      <c r="DJ421" s="1437"/>
      <c r="DK421" s="1437"/>
      <c r="DL421" s="1437"/>
      <c r="DM421" s="1437"/>
      <c r="DN421" s="1432"/>
      <c r="DO421" s="1432"/>
      <c r="DP421" s="1432"/>
      <c r="DQ421" s="1432"/>
      <c r="DR421" s="1432"/>
      <c r="DS421" s="1432"/>
      <c r="DT421" s="1316"/>
      <c r="DU421" s="1433"/>
      <c r="DV421" s="1433"/>
      <c r="DW421" s="1433"/>
      <c r="DX421" s="1433"/>
      <c r="DY421" s="1433"/>
      <c r="DZ421" s="1433"/>
      <c r="EA421" s="1433"/>
      <c r="EB421" s="1433"/>
    </row>
    <row r="422" customFormat="false" ht="14.25" hidden="false" customHeight="false" outlineLevel="0" collapsed="false">
      <c r="A422" s="2" t="n">
        <f aca="false">'V_DATOS PAC_SGA'!CC417</f>
        <v>0</v>
      </c>
      <c r="B422" s="2" t="n">
        <f aca="false">IF(OR(A422=0,A422=""),0,IF(I422="IV",CONCATENATE('V_DATOS PAC_SGA'!CC417,"4")+0,CONCATENATE('V_DATOS PAC_SGA'!CC417,"0")+0))</f>
        <v>0</v>
      </c>
      <c r="C422" s="2" t="n">
        <f aca="false">'V_DATOS PAC_SGA'!CD417</f>
        <v>0</v>
      </c>
      <c r="D422" s="1409" t="n">
        <f aca="false">'V_DATOS PAC_SGA'!Y417</f>
        <v>0</v>
      </c>
      <c r="E422" s="1410" t="str">
        <f aca="false">IF('V_DATOS PAC_SGA'!AV417="","Regadio",'V_DATOS PAC_SGA'!AV417)</f>
        <v>Regadio</v>
      </c>
      <c r="F422" s="1411" t="n">
        <f aca="false">'V_DATOS PAC_SGA'!BK417</f>
        <v>0</v>
      </c>
      <c r="G422" s="1412" t="n">
        <f aca="false">'V_DATOS PAC_SGA'!AN417</f>
        <v>0</v>
      </c>
      <c r="H422" s="1413" t="str">
        <f aca="false">IF(B422&gt;0,VLOOKUP(B422,'O_MN, PE_UTA_UGM 2024'!E$3:O$419,10),"")</f>
        <v/>
      </c>
      <c r="I422" s="1359" t="str">
        <f aca="false">IF('V_DATOS PAC_SGA'!BV417="IV",'V_DATOS PAC_SGA'!BV417,"")</f>
        <v/>
      </c>
      <c r="J422" s="2" t="str">
        <f aca="false">IF($A422&gt;0,IF(AND(J$4=$G422,J$6=$F422),$D422*J$5,""),"")</f>
        <v/>
      </c>
      <c r="K422" s="2" t="str">
        <f aca="false">IF($A422&gt;0,IF(AND(K$4=$G422,K$6=$F422),$D422*K$5,""),"")</f>
        <v/>
      </c>
      <c r="L422" s="2" t="str">
        <f aca="false">IF($A422&gt;0,IF(AND(L$4=$G422,L$6=$F422),$D422*L$5,""),"")</f>
        <v/>
      </c>
      <c r="M422" s="2" t="str">
        <f aca="false">IF($A422&gt;0,IF(AND(M$4=$G422,M$6=$F422),$D422*M$5,""),"")</f>
        <v/>
      </c>
      <c r="N422" s="1506" t="n">
        <f aca="false">VLOOKUP(B422,'O_MN, PE_UTA_UGM 2024'!$E$2:$K$419,IF(G422&gt;1,6,7))</f>
        <v>0</v>
      </c>
      <c r="O422" s="1434" t="str">
        <f aca="false">IF($H422=O$4,$D422*$N422,"")</f>
        <v/>
      </c>
      <c r="P422" s="1435" t="str">
        <f aca="false">IF($H422=P$4,$D422*$N422,"")</f>
        <v/>
      </c>
      <c r="Q422" s="1435" t="str">
        <f aca="false">IF($H422=Q$4,$D422*$N422,"")</f>
        <v/>
      </c>
      <c r="R422" s="1435" t="str">
        <f aca="false">IF($H422=R$4,$D422*$N422,"")</f>
        <v/>
      </c>
      <c r="S422" s="1435" t="str">
        <f aca="false">IF($H422=S$4,$D422*$N422,"")</f>
        <v/>
      </c>
      <c r="T422" s="1435" t="str">
        <f aca="false">IF($H422=T$4,$D422*$N422,"")</f>
        <v/>
      </c>
      <c r="U422" s="1436" t="str">
        <f aca="false">IF($H422=U$4,$D422*$N422,"")</f>
        <v/>
      </c>
      <c r="V422" s="1472"/>
      <c r="W422" s="1471"/>
      <c r="X422" s="1471"/>
      <c r="Y422" s="1471"/>
      <c r="Z422" s="1471"/>
      <c r="AA422" s="1471"/>
      <c r="AB422" s="1473"/>
      <c r="AC422" s="1319"/>
      <c r="AD422" s="2" t="str">
        <f aca="false">IF(AND(AD$4=$G422,AD$6=$F422),$B422,"")</f>
        <v/>
      </c>
      <c r="AE422" s="2" t="str">
        <f aca="false">IF(AND(AE$4=$G422,AE$6=$F422),$B422,"")</f>
        <v/>
      </c>
      <c r="AF422" s="2" t="str">
        <f aca="false">IF(AND(AF$4=$G422,AF$6=$F422),$B422,"")</f>
        <v/>
      </c>
      <c r="AG422" s="2" t="str">
        <f aca="false">IF(AND(AG$4=$G422,AG$6=$F422),$B422,"")</f>
        <v/>
      </c>
      <c r="AI422" s="366"/>
      <c r="AL422" s="367"/>
      <c r="AO422" s="367"/>
      <c r="AP422" s="2" t="str">
        <f aca="false">IF(AT422&gt;0,RANK(AT422,AT$7:AT$423),"")</f>
        <v/>
      </c>
      <c r="AQ422" s="1475" t="n">
        <f aca="false">'O_MN, PE_UTA_UGM 2024'!C419</f>
        <v>0</v>
      </c>
      <c r="AR422" s="1421" t="n">
        <v>9490</v>
      </c>
      <c r="AS422" s="2" t="str">
        <f aca="false">IF(AY422&lt;&gt;"",AY422,"")</f>
        <v/>
      </c>
      <c r="AT422" s="1422" t="n">
        <f aca="false">IF(ISNUMBER($AR422),SUMIF(B$7:B$505,AR422,D$7:D$505),"")</f>
        <v>0</v>
      </c>
      <c r="AU422" s="1411" t="n">
        <f aca="false">IF(ISNUMBER($AR422),SUMIF(AD$7:AD$503,$AR422,J$7:J$503),"")</f>
        <v>0</v>
      </c>
      <c r="AV422" s="1411" t="n">
        <f aca="false">IF(ISNUMBER($AR422),SUMIF(AF$7:AF$503,$AR422,L$7:L$503),"")</f>
        <v>0</v>
      </c>
      <c r="AW422" s="1423" t="n">
        <f aca="false">IF(ISNUMBER($AR422),SUMIF(AE$7:AE$503,$AR422,K$7:K$503),"")</f>
        <v>0</v>
      </c>
      <c r="AX422" s="1423" t="n">
        <f aca="false">IF(ISNUMBER($AR422),SUMIF(AG$7:AG$503,$AR422,M$7:M$503),"")</f>
        <v>0</v>
      </c>
      <c r="AY422" s="2" t="str">
        <f aca="false">IF($AT422&gt;0,VLOOKUP($AR422,'O_MN, PE_UTA_UGM 2024'!E419:O834,2),"")</f>
        <v/>
      </c>
      <c r="AZ422" s="1507"/>
      <c r="BA422" s="1507"/>
      <c r="BB422" s="1507" t="str">
        <f aca="false">IF($AT422&gt;0,VLOOKUP($AR422,'O_MN, PE_UTA_UGM 2024'!$E$3:$O$419,BB$6),"")</f>
        <v/>
      </c>
      <c r="BC422" s="1507" t="str">
        <f aca="false">IF($AT422&gt;0,VLOOKUP($AR422,'O_MN, PE_UTA_UGM 2024'!$E$3:$O$419,BC$6),"")</f>
        <v/>
      </c>
      <c r="BD422" s="1507" t="str">
        <f aca="false">IF($AT422&gt;0,VLOOKUP($AR422,'O_MN, PE_UTA_UGM 2024'!$E$3:$O$419,BD$6),"")</f>
        <v/>
      </c>
      <c r="BE422" s="1507" t="str">
        <f aca="false">IF($AT422&gt;0,VLOOKUP($AR422,'O_MN, PE_UTA_UGM 2024'!$E$3:$O$419,BE$6),"")</f>
        <v/>
      </c>
      <c r="BF422" s="1507" t="str">
        <f aca="false">IF($AT422&gt;0,VLOOKUP($AR422,'O_MN, PE_UTA_UGM 2024'!$E$3:$O$419,BF$6),"")</f>
        <v/>
      </c>
      <c r="BG422" s="1507" t="str">
        <f aca="false">IF($AT422&gt;0,VLOOKUP($AR422,'O_MN, PE_UTA_UGM 2024'!$E$3:$O$419,BG$6),"")</f>
        <v/>
      </c>
      <c r="BH422" s="1504"/>
      <c r="BI422" s="1504"/>
      <c r="BJ422" s="1504"/>
      <c r="BK422" s="1504"/>
      <c r="BM422" s="1411"/>
      <c r="BN422" s="1411"/>
      <c r="BO422" s="1425" t="str">
        <f aca="false">IF(ISNUMBER($AU422*BB422*1),$AU422*BB422*1,"")</f>
        <v/>
      </c>
      <c r="BP422" s="1425" t="str">
        <f aca="false">IF(ISNUMBER($AV422*BC422*1),$AV422*BC422*1,"")</f>
        <v/>
      </c>
      <c r="BQ422" s="1425" t="str">
        <f aca="false">IF(ISNUMBER($AU422*BD422*1),$AU422*BD422*1,"")</f>
        <v/>
      </c>
      <c r="BR422" s="1425" t="str">
        <f aca="false">IF(ISNUMBER($AV422*BE422*1),$AV422*BE422*1,"")</f>
        <v/>
      </c>
      <c r="BS422" s="1411" t="str">
        <f aca="false">IF(ISNUMBER($AU422*BF422),$AU422*BF422,"")</f>
        <v/>
      </c>
      <c r="BT422" s="1411" t="str">
        <f aca="false">IF(ISNUMBER($AV422*BG422),$AV422*BG422,"")</f>
        <v/>
      </c>
      <c r="BU422" s="1411"/>
      <c r="BV422" s="1411"/>
      <c r="BW422" s="1411"/>
      <c r="BX422" s="1411"/>
      <c r="BZ422" s="1372"/>
      <c r="CA422" s="1372"/>
      <c r="CB422" s="1426" t="str">
        <f aca="false">IF(ISNUMBER($AW422*BB422),$AW422*BB422,"")</f>
        <v/>
      </c>
      <c r="CC422" s="1426" t="str">
        <f aca="false">IF(ISNUMBER($AX422*BC422),$AX422*BC422,"")</f>
        <v/>
      </c>
      <c r="CD422" s="1426" t="str">
        <f aca="false">IF(ISNUMBER($AW422*BD422),$AW422*BD422,"")</f>
        <v/>
      </c>
      <c r="CE422" s="1426" t="str">
        <f aca="false">IF(ISNUMBER($AX422*BE422),$AX422*BE422,"")</f>
        <v/>
      </c>
      <c r="CF422" s="1372" t="str">
        <f aca="false">IF(ISNUMBER($AW422*BF422),$AW422*BF422,"")</f>
        <v/>
      </c>
      <c r="CG422" s="1372" t="str">
        <f aca="false">IF(ISNUMBER($AX422*BG422),$AX422*BG422,"")</f>
        <v/>
      </c>
      <c r="CH422" s="1438"/>
      <c r="CI422" s="1438"/>
      <c r="CJ422" s="1438"/>
      <c r="CK422" s="1438"/>
      <c r="CU422" s="1411"/>
      <c r="CV422" s="1411"/>
      <c r="CW422" s="1425"/>
      <c r="CX422" s="1425"/>
      <c r="CY422" s="1425"/>
      <c r="CZ422" s="1425"/>
      <c r="DA422" s="1411"/>
      <c r="DB422" s="1411"/>
      <c r="DC422" s="1411"/>
      <c r="DD422" s="1411"/>
      <c r="DE422" s="1411"/>
      <c r="DF422" s="1411"/>
      <c r="DH422" s="1432"/>
      <c r="DI422" s="1432"/>
      <c r="DJ422" s="1437"/>
      <c r="DK422" s="1437"/>
      <c r="DL422" s="1437"/>
      <c r="DM422" s="1437"/>
      <c r="DN422" s="1432"/>
      <c r="DO422" s="1432"/>
      <c r="DP422" s="1432"/>
      <c r="DQ422" s="1432"/>
      <c r="DR422" s="1432"/>
      <c r="DS422" s="1432"/>
      <c r="DT422" s="1316"/>
      <c r="DU422" s="1433"/>
      <c r="DV422" s="1433"/>
      <c r="DW422" s="1433"/>
      <c r="DX422" s="1433"/>
      <c r="DY422" s="1433"/>
      <c r="DZ422" s="1433"/>
      <c r="EA422" s="1433"/>
      <c r="EB422" s="1433"/>
    </row>
    <row r="423" customFormat="false" ht="14.25" hidden="false" customHeight="false" outlineLevel="0" collapsed="false">
      <c r="A423" s="2" t="n">
        <f aca="false">'V_DATOS PAC_SGA'!CC418</f>
        <v>0</v>
      </c>
      <c r="B423" s="2" t="n">
        <f aca="false">IF(OR(A423=0,A423=""),0,IF(I423="IV",CONCATENATE('V_DATOS PAC_SGA'!CC418,"4")+0,CONCATENATE('V_DATOS PAC_SGA'!CC418,"0")+0))</f>
        <v>0</v>
      </c>
      <c r="C423" s="2" t="n">
        <f aca="false">'V_DATOS PAC_SGA'!CD418</f>
        <v>0</v>
      </c>
      <c r="D423" s="1409" t="n">
        <f aca="false">'V_DATOS PAC_SGA'!Y418</f>
        <v>0</v>
      </c>
      <c r="E423" s="1410" t="str">
        <f aca="false">IF('V_DATOS PAC_SGA'!AV418="","Regadio",'V_DATOS PAC_SGA'!AV418)</f>
        <v>Regadio</v>
      </c>
      <c r="F423" s="1411" t="n">
        <f aca="false">'V_DATOS PAC_SGA'!BK418</f>
        <v>0</v>
      </c>
      <c r="G423" s="1412" t="n">
        <f aca="false">'V_DATOS PAC_SGA'!AN418</f>
        <v>0</v>
      </c>
      <c r="H423" s="1413" t="str">
        <f aca="false">IF(B423&gt;0,VLOOKUP(B423,'O_MN, PE_UTA_UGM 2024'!E$3:O$419,10),"")</f>
        <v/>
      </c>
      <c r="I423" s="1359" t="str">
        <f aca="false">IF('V_DATOS PAC_SGA'!BV418="IV",'V_DATOS PAC_SGA'!BV418,"")</f>
        <v/>
      </c>
      <c r="J423" s="2" t="str">
        <f aca="false">IF($A423&gt;0,IF(AND(J$4=$G423,J$6=$F423),$D423*J$5,""),"")</f>
        <v/>
      </c>
      <c r="K423" s="2" t="str">
        <f aca="false">IF($A423&gt;0,IF(AND(K$4=$G423,K$6=$F423),$D423*K$5,""),"")</f>
        <v/>
      </c>
      <c r="L423" s="2" t="str">
        <f aca="false">IF($A423&gt;0,IF(AND(L$4=$G423,L$6=$F423),$D423*L$5,""),"")</f>
        <v/>
      </c>
      <c r="M423" s="2" t="str">
        <f aca="false">IF($A423&gt;0,IF(AND(M$4=$G423,M$6=$F423),$D423*M$5,""),"")</f>
        <v/>
      </c>
      <c r="N423" s="1508" t="n">
        <f aca="false">VLOOKUP(B423,'O_MN, PE_UTA_UGM 2024'!$E$2:$K$419,IF(G423&gt;1,6,7))</f>
        <v>0</v>
      </c>
      <c r="O423" s="1435" t="str">
        <f aca="false">IF($H423=O$4,$D423*$N423,"")</f>
        <v/>
      </c>
      <c r="P423" s="1435" t="str">
        <f aca="false">IF($H423=P$4,$D423*$N423,"")</f>
        <v/>
      </c>
      <c r="Q423" s="1435" t="str">
        <f aca="false">IF($H423=Q$4,$D423*$N423,"")</f>
        <v/>
      </c>
      <c r="R423" s="1435" t="str">
        <f aca="false">IF($H423=R$4,$D423*$N423,"")</f>
        <v/>
      </c>
      <c r="S423" s="1435" t="str">
        <f aca="false">IF($H423=S$4,$D423*$N423,"")</f>
        <v/>
      </c>
      <c r="T423" s="1435" t="str">
        <f aca="false">IF($H423=T$4,$D423*$N423,"")</f>
        <v/>
      </c>
      <c r="U423" s="1435" t="str">
        <f aca="false">IF($H423=U$4,$D423*$N423,"")</f>
        <v/>
      </c>
      <c r="V423" s="1471"/>
      <c r="W423" s="1471"/>
      <c r="X423" s="1471"/>
      <c r="Y423" s="1471"/>
      <c r="Z423" s="1471"/>
      <c r="AA423" s="1471"/>
      <c r="AB423" s="1471"/>
      <c r="AC423" s="1319"/>
      <c r="AD423" s="2" t="str">
        <f aca="false">IF(AND(AD$4=$G423,AD$6=$F423),$B423,"")</f>
        <v/>
      </c>
      <c r="AE423" s="2" t="str">
        <f aca="false">IF(AND(AE$4=$G423,AE$6=$F423),$B423,"")</f>
        <v/>
      </c>
      <c r="AF423" s="2" t="str">
        <f aca="false">IF(AND(AF$4=$G423,AF$6=$F423),$B423,"")</f>
        <v/>
      </c>
      <c r="AG423" s="2" t="str">
        <f aca="false">IF(AND(AG$4=$G423,AG$6=$F423),$B423,"")</f>
        <v/>
      </c>
      <c r="AI423" s="366"/>
      <c r="AL423" s="367"/>
      <c r="AO423" s="367"/>
      <c r="AQ423" s="1479" t="n">
        <f aca="false">'O_MN, PE_UTA_UGM 2024'!C2</f>
        <v>0</v>
      </c>
      <c r="AR423" s="1421" t="n">
        <f aca="false">0</f>
        <v>0</v>
      </c>
      <c r="AS423" s="2" t="str">
        <f aca="false">IF(AY423&lt;&gt;"",AY423,"")</f>
        <v/>
      </c>
      <c r="AT423" s="1422" t="n">
        <f aca="false">IF(ISNUMBER($AR423),SUMIF(B$7:B$505,AR423,D$7:D$505),"")</f>
        <v>0</v>
      </c>
      <c r="AU423" s="1411" t="n">
        <f aca="false">IF(ISNUMBER($AR423),SUMIF(AD$7:AD$503,$AR423,J$7:J$503),"")</f>
        <v>0</v>
      </c>
      <c r="AV423" s="1411" t="n">
        <f aca="false">IF(ISNUMBER($AR423),SUMIF(AF$7:AF$503,$AR423,L$7:L$503),"")</f>
        <v>0</v>
      </c>
      <c r="AW423" s="1423" t="n">
        <f aca="false">IF(ISNUMBER($AR423),SUMIF(AE$7:AE$503,$AR423,K$7:K$503),"")</f>
        <v>0</v>
      </c>
      <c r="AX423" s="1423" t="n">
        <f aca="false">IF(ISNUMBER($AR423),SUMIF(AG$7:AG$503,$AR423,M$7:M$503),"")</f>
        <v>0</v>
      </c>
      <c r="AY423" s="1507" t="str">
        <f aca="false">IF($AR423&gt;0,VLOOKUP($AR423,'O_MN, PE_UTA_UGM 2024'!$E$3:$O$419,AY$6),"")</f>
        <v/>
      </c>
      <c r="AZ423" s="1507" t="str">
        <f aca="false">IF($AR423&gt;0,VLOOKUP($AR423,'O_MN, PE_UTA_UGM 2024'!$E$3:$O$419,AZ$6),"")</f>
        <v/>
      </c>
      <c r="BA423" s="1507" t="str">
        <f aca="false">IF($AR423&gt;0,VLOOKUP($AR423,'O_MN, PE_UTA_UGM 2024'!$E$3:$O$419,BA$6),"")</f>
        <v/>
      </c>
      <c r="BB423" s="1507" t="str">
        <f aca="false">IF($AR423&gt;0,VLOOKUP($AR423,'O_MN, PE_UTA_UGM 2024'!$E$3:$O$419,BB$6),"")</f>
        <v/>
      </c>
      <c r="BC423" s="1507" t="str">
        <f aca="false">IF($AR423&gt;0,VLOOKUP($AR423,'O_MN, PE_UTA_UGM 2024'!$E$3:$O$419,BC$6),"")</f>
        <v/>
      </c>
      <c r="BD423" s="1507" t="str">
        <f aca="false">IF($AR423&gt;0,VLOOKUP($AR423,'O_MN, PE_UTA_UGM 2024'!$E$3:$O$419,BD$6),"")</f>
        <v/>
      </c>
      <c r="BE423" s="1507" t="str">
        <f aca="false">IF($AR423&gt;0,VLOOKUP($AR423,'O_MN, PE_UTA_UGM 2024'!$E$3:$O$419,BE$6),"")</f>
        <v/>
      </c>
      <c r="BF423" s="1507" t="str">
        <f aca="false">IF($AR423&gt;0,VLOOKUP($AR423,'O_MN, PE_UTA_UGM 2024'!$E$3:$O$419,BF$6),"")</f>
        <v/>
      </c>
      <c r="BG423" s="1507" t="str">
        <f aca="false">IF($AR423&gt;0,VLOOKUP($AR423,'O_MN, PE_UTA_UGM 2024'!$E$3:$O$419,BG$6),"")</f>
        <v/>
      </c>
      <c r="BH423" s="1507" t="str">
        <f aca="false">IF($AR423&gt;0,VLOOKUP($AR423,'O_MN, PE_UTA_UGM 2024'!$E$3:$O$419,BH$6),"")</f>
        <v/>
      </c>
      <c r="BI423" s="1507" t="str">
        <f aca="false">IF($AR423&gt;0,VLOOKUP($AR423,'O_MN, PE_UTA_UGM 2024'!$E$3:$O$419,BI$6),"")</f>
        <v/>
      </c>
      <c r="BJ423" s="1507" t="str">
        <f aca="false">IF($AR423&gt;0,VLOOKUP($AR423,'O_MN, PE_UTA_UGM 2024'!$E$3:$O$419,BJ$6),"")</f>
        <v/>
      </c>
      <c r="BK423" s="1507" t="str">
        <f aca="false">IF($AR423&gt;0,VLOOKUP($AR423,'O_MN, PE_UTA_UGM 2024'!$E$3:$O$419,BK$6),"")</f>
        <v/>
      </c>
      <c r="BL423" s="1507" t="str">
        <f aca="false">IF($AR423&gt;0,VLOOKUP($AR423,'O_MN, PE_UTA_UGM 2024'!$E$3:$O$419,BL$6),"")</f>
        <v/>
      </c>
      <c r="BM423" s="1411"/>
      <c r="BN423" s="1411"/>
      <c r="BO423" s="1425" t="str">
        <f aca="false">IF(ISNUMBER($AU423*BB423*1),$AU423*BB423*1,"")</f>
        <v/>
      </c>
      <c r="BP423" s="1425" t="str">
        <f aca="false">IF(ISNUMBER($AV423*BC423*1),$AV423*BC423*1,"")</f>
        <v/>
      </c>
      <c r="BQ423" s="1425" t="str">
        <f aca="false">IF(ISNUMBER($AU423*BD423*1),$AU423*BD423*1,"")</f>
        <v/>
      </c>
      <c r="BR423" s="1425" t="str">
        <f aca="false">IF(ISNUMBER($AV423*BE423*1),$AV423*BE423*1,"")</f>
        <v/>
      </c>
      <c r="BS423" s="1411" t="str">
        <f aca="false">IF(ISNUMBER($AU423*BF423),$AU423*BF423,"")</f>
        <v/>
      </c>
      <c r="BT423" s="1411" t="str">
        <f aca="false">IF(ISNUMBER($AV423*BG423),$AV423*BG423,"")</f>
        <v/>
      </c>
      <c r="BU423" s="1411"/>
      <c r="BV423" s="1411"/>
      <c r="BW423" s="1411"/>
      <c r="BX423" s="1411"/>
      <c r="BZ423" s="1372"/>
      <c r="CA423" s="1372"/>
      <c r="CB423" s="1426" t="str">
        <f aca="false">IF(ISNUMBER($AW423*BB423),$AW423*BB423,"")</f>
        <v/>
      </c>
      <c r="CC423" s="1426" t="str">
        <f aca="false">IF(ISNUMBER($AX423*BC423),$AX423*BC423,"")</f>
        <v/>
      </c>
      <c r="CD423" s="1426" t="str">
        <f aca="false">IF(ISNUMBER($AW423*BD423),$AW423*BD423,"")</f>
        <v/>
      </c>
      <c r="CE423" s="1426" t="str">
        <f aca="false">IF(ISNUMBER($AX423*BE423),$AX423*BE423,"")</f>
        <v/>
      </c>
      <c r="CF423" s="1372" t="str">
        <f aca="false">IF(ISNUMBER($AW423*BF423),$AW423*BF423,"")</f>
        <v/>
      </c>
      <c r="CG423" s="1372" t="str">
        <f aca="false">IF(ISNUMBER($AX423*BG423),$AX423*BG423,"")</f>
        <v/>
      </c>
      <c r="CH423" s="1438"/>
      <c r="CI423" s="1438"/>
      <c r="CJ423" s="1438"/>
      <c r="CK423" s="1438"/>
      <c r="CU423" s="1411"/>
      <c r="CV423" s="1411"/>
      <c r="CW423" s="1425"/>
      <c r="CX423" s="1425"/>
      <c r="CY423" s="1425"/>
      <c r="CZ423" s="1425"/>
      <c r="DA423" s="1411"/>
      <c r="DB423" s="1411"/>
      <c r="DC423" s="1411"/>
      <c r="DD423" s="1411"/>
      <c r="DE423" s="1411"/>
      <c r="DF423" s="1411"/>
      <c r="DH423" s="1432"/>
      <c r="DI423" s="1432"/>
      <c r="DJ423" s="1437"/>
      <c r="DK423" s="1437"/>
      <c r="DL423" s="1437"/>
      <c r="DM423" s="1437"/>
      <c r="DN423" s="1432"/>
      <c r="DO423" s="1432"/>
      <c r="DP423" s="1432"/>
      <c r="DQ423" s="1432"/>
      <c r="DR423" s="1432"/>
      <c r="DS423" s="1432"/>
      <c r="DT423" s="1316"/>
      <c r="DU423" s="1433"/>
      <c r="DV423" s="1433"/>
      <c r="DW423" s="1433"/>
      <c r="DX423" s="1433"/>
      <c r="DY423" s="1433"/>
      <c r="DZ423" s="1433"/>
      <c r="EA423" s="1433"/>
      <c r="EB423" s="1433"/>
    </row>
    <row r="424" customFormat="false" ht="14.25" hidden="false" customHeight="false" outlineLevel="0" collapsed="false">
      <c r="A424" s="1476" t="n">
        <f aca="false">'V_DATOS PAC_SGA'!CC419</f>
        <v>0</v>
      </c>
      <c r="B424" s="2" t="n">
        <f aca="false">IF(OR(A424=0,A424=""),0,IF(I424="IV",CONCATENATE('V_DATOS PAC_SGA'!CC419,"4")+0,CONCATENATE('V_DATOS PAC_SGA'!CC419,"0")+0))</f>
        <v>0</v>
      </c>
      <c r="C424" s="1476" t="n">
        <f aca="false">'V_DATOS PAC_SGA'!CD419</f>
        <v>0</v>
      </c>
      <c r="D424" s="1409" t="n">
        <f aca="false">'V_DATOS PAC_SGA'!Y419</f>
        <v>0</v>
      </c>
      <c r="E424" s="1410" t="str">
        <f aca="false">IF('V_DATOS PAC_SGA'!AV419="","Regadio",'V_DATOS PAC_SGA'!AV419)</f>
        <v>Regadio</v>
      </c>
      <c r="F424" s="1411" t="n">
        <f aca="false">'V_DATOS PAC_SGA'!BK419</f>
        <v>0</v>
      </c>
      <c r="G424" s="1412" t="n">
        <f aca="false">'V_DATOS PAC_SGA'!AN419</f>
        <v>0</v>
      </c>
      <c r="H424" s="1413" t="str">
        <f aca="false">IF(B424&gt;0,VLOOKUP(B424,'O_MN, PE_UTA_UGM 2024'!E$3:O$419,10),"")</f>
        <v/>
      </c>
      <c r="I424" s="1359" t="str">
        <f aca="false">IF('V_DATOS PAC_SGA'!BV419="IV",'V_DATOS PAC_SGA'!BV419,"")</f>
        <v/>
      </c>
      <c r="J424" s="1476" t="str">
        <f aca="false">IF($A424&gt;0,IF(AND(J$4=$G424,J$6=$F424),$D424*J$5,""),"")</f>
        <v/>
      </c>
      <c r="K424" s="1476" t="str">
        <f aca="false">IF($A424&gt;0,IF(AND(K$4=$G424,K$6=$F424),$D424*K$5,""),"")</f>
        <v/>
      </c>
      <c r="L424" s="1476" t="str">
        <f aca="false">IF($A424&gt;0,IF(AND(L$4=$G424,L$6=$F424),$D424*L$5,""),"")</f>
        <v/>
      </c>
      <c r="M424" s="1476" t="str">
        <f aca="false">IF($A424&gt;0,IF(AND(M$4=$G424,M$6=$F424),$D424*M$5,""),"")</f>
        <v/>
      </c>
      <c r="N424" s="1508" t="n">
        <f aca="false">VLOOKUP(B424,'O_MN, PE_UTA_UGM 2024'!$E$2:$K$419,IF(G424&gt;1,6,7))</f>
        <v>0</v>
      </c>
      <c r="O424" s="1435" t="str">
        <f aca="false">IF($H424=O$4,$D424*$N424,"")</f>
        <v/>
      </c>
      <c r="P424" s="1435" t="str">
        <f aca="false">IF($H424=P$4,$D424*$N424,"")</f>
        <v/>
      </c>
      <c r="Q424" s="1435" t="str">
        <f aca="false">IF($H424=Q$4,$D424*$N424,"")</f>
        <v/>
      </c>
      <c r="R424" s="1435" t="str">
        <f aca="false">IF($H424=R$4,$D424*$N424,"")</f>
        <v/>
      </c>
      <c r="S424" s="1435" t="str">
        <f aca="false">IF($H424=S$4,$D424*$N424,"")</f>
        <v/>
      </c>
      <c r="T424" s="1435" t="str">
        <f aca="false">IF($H424=T$4,$D424*$N424,"")</f>
        <v/>
      </c>
      <c r="U424" s="1435" t="str">
        <f aca="false">IF($H424=U$4,$D424*$N424,"")</f>
        <v/>
      </c>
      <c r="V424" s="1471"/>
      <c r="W424" s="1471"/>
      <c r="X424" s="1471"/>
      <c r="Y424" s="1471"/>
      <c r="Z424" s="1471"/>
      <c r="AA424" s="1471"/>
      <c r="AB424" s="1471"/>
      <c r="AC424" s="1476"/>
      <c r="AD424" s="1476" t="str">
        <f aca="false">IF(AND(AD$4=$G424,AD$6=$F424),$B424,"")</f>
        <v/>
      </c>
      <c r="AE424" s="1476" t="str">
        <f aca="false">IF(AND(AE$4=$G424,AE$6=$F424),$B424,"")</f>
        <v/>
      </c>
      <c r="AF424" s="1476" t="str">
        <f aca="false">IF(AND(AF$4=$G424,AF$6=$F424),$B424,"")</f>
        <v/>
      </c>
      <c r="AG424" s="1476" t="str">
        <f aca="false">IF(AND(AG$4=$G424,AG$6=$F424),$B424,"")</f>
        <v/>
      </c>
      <c r="AH424" s="1476"/>
      <c r="AI424" s="1476"/>
      <c r="AJ424" s="1476"/>
      <c r="AK424" s="1476"/>
      <c r="AL424" s="1476"/>
      <c r="AM424" s="1476"/>
      <c r="AN424" s="1476"/>
      <c r="AO424" s="1476"/>
      <c r="AP424" s="1476"/>
      <c r="AQ424" s="1476"/>
      <c r="AR424" s="1480"/>
      <c r="AS424" s="1476"/>
      <c r="AT424" s="1481"/>
      <c r="AU424" s="1480"/>
      <c r="AV424" s="1480"/>
      <c r="AW424" s="1482"/>
      <c r="AX424" s="1482"/>
      <c r="AY424" s="1476" t="str">
        <f aca="false">IF($AT424&gt;0,VLOOKUP($AR424,'O_MN, PE_UTA_UGM 2024'!E420:O836,2),"")</f>
        <v/>
      </c>
      <c r="AZ424" s="1509"/>
      <c r="BA424" s="1509"/>
      <c r="BB424" s="1509"/>
      <c r="BC424" s="1509"/>
      <c r="BD424" s="1509"/>
      <c r="BE424" s="1509"/>
      <c r="BF424" s="1509"/>
      <c r="BG424" s="1509"/>
      <c r="BH424" s="1510"/>
      <c r="BI424" s="1510"/>
      <c r="BJ424" s="1510"/>
      <c r="BK424" s="1510"/>
      <c r="BL424" s="1476"/>
      <c r="BM424" s="1480"/>
      <c r="BN424" s="1480"/>
      <c r="BO424" s="1485"/>
      <c r="BP424" s="1485"/>
      <c r="BQ424" s="1485"/>
      <c r="BR424" s="1485"/>
      <c r="BS424" s="1480"/>
      <c r="BT424" s="1480"/>
      <c r="BU424" s="1480"/>
      <c r="BV424" s="1480"/>
      <c r="BW424" s="1480"/>
      <c r="BX424" s="1480"/>
      <c r="BY424" s="1476"/>
      <c r="BZ424" s="1486"/>
      <c r="CA424" s="1486"/>
      <c r="CB424" s="1487"/>
      <c r="CC424" s="1487"/>
      <c r="CD424" s="1487"/>
      <c r="CE424" s="1487"/>
      <c r="CF424" s="1486"/>
      <c r="CG424" s="1486"/>
      <c r="CH424" s="1438"/>
      <c r="CI424" s="1438"/>
      <c r="CJ424" s="1438"/>
      <c r="CK424" s="1438"/>
      <c r="CU424" s="1411"/>
      <c r="CV424" s="1411"/>
      <c r="CW424" s="1425"/>
      <c r="CX424" s="1425"/>
      <c r="CY424" s="1425"/>
      <c r="CZ424" s="1425"/>
      <c r="DA424" s="1411"/>
      <c r="DB424" s="1411"/>
      <c r="DC424" s="1411"/>
      <c r="DD424" s="1411"/>
      <c r="DE424" s="1411"/>
      <c r="DF424" s="1411"/>
      <c r="DH424" s="1432"/>
      <c r="DI424" s="1432"/>
      <c r="DJ424" s="1437"/>
      <c r="DK424" s="1437"/>
      <c r="DL424" s="1437"/>
      <c r="DM424" s="1437"/>
      <c r="DN424" s="1432"/>
      <c r="DO424" s="1432"/>
      <c r="DP424" s="1432"/>
      <c r="DQ424" s="1432"/>
      <c r="DR424" s="1432"/>
      <c r="DS424" s="1432"/>
      <c r="DT424" s="1316"/>
      <c r="DU424" s="1433"/>
      <c r="DV424" s="1433"/>
      <c r="DW424" s="1433"/>
      <c r="DX424" s="1433"/>
      <c r="DY424" s="1433"/>
      <c r="DZ424" s="1433"/>
      <c r="EA424" s="1433"/>
      <c r="EB424" s="1433"/>
    </row>
    <row r="425" customFormat="false" ht="14.25" hidden="false" customHeight="false" outlineLevel="0" collapsed="false">
      <c r="A425" s="1477" t="n">
        <f aca="false">'V_DATOS PAC_SGA'!CC420</f>
        <v>0</v>
      </c>
      <c r="B425" s="2" t="n">
        <f aca="false">IF(OR(A425=0,A425=""),0,IF(I425="IV",CONCATENATE('V_DATOS PAC_SGA'!CC420,"4")+0,CONCATENATE('V_DATOS PAC_SGA'!CC420,"0")+0))</f>
        <v>0</v>
      </c>
      <c r="C425" s="1477" t="n">
        <f aca="false">'V_DATOS PAC_SGA'!CD420</f>
        <v>0</v>
      </c>
      <c r="D425" s="1409" t="n">
        <f aca="false">'V_DATOS PAC_SGA'!Y420</f>
        <v>0</v>
      </c>
      <c r="E425" s="1410" t="str">
        <f aca="false">IF('V_DATOS PAC_SGA'!AV420="","Regadio",'V_DATOS PAC_SGA'!AV420)</f>
        <v>Regadio</v>
      </c>
      <c r="F425" s="1411" t="n">
        <f aca="false">'V_DATOS PAC_SGA'!BK420</f>
        <v>0</v>
      </c>
      <c r="G425" s="1412" t="n">
        <f aca="false">'V_DATOS PAC_SGA'!AN420</f>
        <v>0</v>
      </c>
      <c r="H425" s="1413" t="str">
        <f aca="false">IF(B425&gt;0,VLOOKUP(B425,'O_MN, PE_UTA_UGM 2024'!E$3:O$419,10),"")</f>
        <v/>
      </c>
      <c r="I425" s="1359" t="str">
        <f aca="false">IF('V_DATOS PAC_SGA'!BV420="IV",'V_DATOS PAC_SGA'!BV420,"")</f>
        <v/>
      </c>
      <c r="J425" s="1477" t="str">
        <f aca="false">IF($A425&gt;0,IF(AND(J$4=$G425,J$6=$F425),$D425*J$5,""),"")</f>
        <v/>
      </c>
      <c r="K425" s="1477" t="str">
        <f aca="false">IF($A425&gt;0,IF(AND(K$4=$G425,K$6=$F425),$D425*K$5,""),"")</f>
        <v/>
      </c>
      <c r="L425" s="1477" t="str">
        <f aca="false">IF($A425&gt;0,IF(AND(L$4=$G425,L$6=$F425),$D425*L$5,""),"")</f>
        <v/>
      </c>
      <c r="M425" s="1477" t="str">
        <f aca="false">IF($A425&gt;0,IF(AND(M$4=$G425,M$6=$F425),$D425*M$5,""),"")</f>
        <v/>
      </c>
      <c r="N425" s="1508" t="n">
        <f aca="false">VLOOKUP(B425,'O_MN, PE_UTA_UGM 2024'!$E$2:$K$419,IF(G425&gt;1,6,7))</f>
        <v>0</v>
      </c>
      <c r="O425" s="1435" t="str">
        <f aca="false">IF($H425=O$4,$D425*$N425,"")</f>
        <v/>
      </c>
      <c r="P425" s="1435" t="str">
        <f aca="false">IF($H425=P$4,$D425*$N425,"")</f>
        <v/>
      </c>
      <c r="Q425" s="1435" t="str">
        <f aca="false">IF($H425=Q$4,$D425*$N425,"")</f>
        <v/>
      </c>
      <c r="R425" s="1435" t="str">
        <f aca="false">IF($H425=R$4,$D425*$N425,"")</f>
        <v/>
      </c>
      <c r="S425" s="1435" t="str">
        <f aca="false">IF($H425=S$4,$D425*$N425,"")</f>
        <v/>
      </c>
      <c r="T425" s="1435" t="str">
        <f aca="false">IF($H425=T$4,$D425*$N425,"")</f>
        <v/>
      </c>
      <c r="U425" s="1435" t="str">
        <f aca="false">IF($H425=U$4,$D425*$N425,"")</f>
        <v/>
      </c>
      <c r="V425" s="1471"/>
      <c r="W425" s="1471"/>
      <c r="X425" s="1471"/>
      <c r="Y425" s="1471"/>
      <c r="Z425" s="1471"/>
      <c r="AA425" s="1471"/>
      <c r="AB425" s="1471"/>
      <c r="AC425" s="1477"/>
      <c r="AD425" s="1477" t="str">
        <f aca="false">IF(AND(AD$4=$G425,AD$6=$F425),$B425,"")</f>
        <v/>
      </c>
      <c r="AE425" s="1477" t="str">
        <f aca="false">IF(AND(AE$4=$G425,AE$6=$F425),$B425,"")</f>
        <v/>
      </c>
      <c r="AF425" s="1477" t="str">
        <f aca="false">IF(AND(AF$4=$G425,AF$6=$F425),$B425,"")</f>
        <v/>
      </c>
      <c r="AG425" s="1477" t="str">
        <f aca="false">IF(AND(AG$4=$G425,AG$6=$F425),$B425,"")</f>
        <v/>
      </c>
      <c r="AH425" s="1477"/>
      <c r="AI425" s="1477"/>
      <c r="AJ425" s="1477"/>
      <c r="AK425" s="1477"/>
      <c r="AL425" s="1477"/>
      <c r="AM425" s="1477"/>
      <c r="AN425" s="1477"/>
      <c r="AO425" s="1477"/>
      <c r="AP425" s="1477"/>
      <c r="AQ425" s="1477"/>
      <c r="AR425" s="1488"/>
      <c r="AS425" s="1477"/>
      <c r="AT425" s="1489"/>
      <c r="AU425" s="1488"/>
      <c r="AV425" s="1488"/>
      <c r="AW425" s="1490"/>
      <c r="AX425" s="1490"/>
      <c r="AY425" s="1477"/>
      <c r="AZ425" s="1511"/>
      <c r="BA425" s="1511"/>
      <c r="BB425" s="1511"/>
      <c r="BC425" s="1511"/>
      <c r="BD425" s="1511"/>
      <c r="BE425" s="1511"/>
      <c r="BF425" s="1511"/>
      <c r="BG425" s="1511"/>
      <c r="BH425" s="1512"/>
      <c r="BI425" s="1512"/>
      <c r="BJ425" s="1512"/>
      <c r="BK425" s="1512"/>
      <c r="BL425" s="1477"/>
      <c r="BM425" s="1488"/>
      <c r="BN425" s="1488"/>
      <c r="BO425" s="1493"/>
      <c r="BP425" s="1493"/>
      <c r="BQ425" s="1493"/>
      <c r="BR425" s="1493"/>
      <c r="BS425" s="1488"/>
      <c r="BT425" s="1488"/>
      <c r="BU425" s="1488"/>
      <c r="BV425" s="1488"/>
      <c r="BW425" s="1488"/>
      <c r="BX425" s="1488"/>
      <c r="BY425" s="1477"/>
      <c r="BZ425" s="1494"/>
      <c r="CA425" s="1494"/>
      <c r="CB425" s="1495"/>
      <c r="CC425" s="1495"/>
      <c r="CD425" s="1495"/>
      <c r="CE425" s="1495"/>
      <c r="CF425" s="1494"/>
      <c r="CG425" s="1494"/>
      <c r="CH425" s="1438"/>
      <c r="CI425" s="1438"/>
      <c r="CJ425" s="1438"/>
      <c r="CK425" s="1438"/>
      <c r="CU425" s="1411"/>
      <c r="CV425" s="1411"/>
      <c r="CW425" s="1425"/>
      <c r="CX425" s="1425"/>
      <c r="CY425" s="1425"/>
      <c r="CZ425" s="1425"/>
      <c r="DA425" s="1411"/>
      <c r="DB425" s="1411"/>
      <c r="DC425" s="1411"/>
      <c r="DD425" s="1411"/>
      <c r="DE425" s="1411"/>
      <c r="DF425" s="1411"/>
      <c r="DH425" s="1432"/>
      <c r="DI425" s="1432"/>
      <c r="DJ425" s="1437"/>
      <c r="DK425" s="1437"/>
      <c r="DL425" s="1437"/>
      <c r="DM425" s="1437"/>
      <c r="DN425" s="1432"/>
      <c r="DO425" s="1432"/>
      <c r="DP425" s="1432"/>
      <c r="DQ425" s="1432"/>
      <c r="DR425" s="1432"/>
      <c r="DS425" s="1432"/>
      <c r="DT425" s="1316"/>
      <c r="DU425" s="1433"/>
      <c r="DV425" s="1433"/>
      <c r="DW425" s="1433"/>
      <c r="DX425" s="1433"/>
      <c r="DY425" s="1433"/>
      <c r="DZ425" s="1433"/>
      <c r="EA425" s="1433"/>
      <c r="EB425" s="1433"/>
    </row>
    <row r="426" customFormat="false" ht="14.25" hidden="false" customHeight="false" outlineLevel="0" collapsed="false">
      <c r="A426" s="2" t="n">
        <f aca="false">'V_DATOS PAC_SGA'!CC421</f>
        <v>0</v>
      </c>
      <c r="B426" s="2" t="n">
        <f aca="false">IF(OR(A426=0,A426=""),0,IF(I426="IV",CONCATENATE('V_DATOS PAC_SGA'!CC421,"4")+0,CONCATENATE('V_DATOS PAC_SGA'!CC421,"0")+0))</f>
        <v>0</v>
      </c>
      <c r="C426" s="2" t="n">
        <f aca="false">'V_DATOS PAC_SGA'!CD421</f>
        <v>0</v>
      </c>
      <c r="D426" s="1409" t="n">
        <f aca="false">'V_DATOS PAC_SGA'!Y421</f>
        <v>0</v>
      </c>
      <c r="E426" s="1410" t="str">
        <f aca="false">IF('V_DATOS PAC_SGA'!AV421="","Regadio",'V_DATOS PAC_SGA'!AV421)</f>
        <v>Regadio</v>
      </c>
      <c r="F426" s="1411" t="n">
        <f aca="false">'V_DATOS PAC_SGA'!BK421</f>
        <v>0</v>
      </c>
      <c r="G426" s="1412" t="n">
        <f aca="false">'V_DATOS PAC_SGA'!AN421</f>
        <v>0</v>
      </c>
      <c r="H426" s="1413" t="str">
        <f aca="false">IF(B426&gt;0,VLOOKUP(B426,'O_MN, PE_UTA_UGM 2024'!E$3:O$419,10),"")</f>
        <v/>
      </c>
      <c r="I426" s="1359" t="str">
        <f aca="false">IF('V_DATOS PAC_SGA'!BV421="IV",'V_DATOS PAC_SGA'!BV421,"")</f>
        <v/>
      </c>
      <c r="J426" s="2" t="str">
        <f aca="false">IF($A426&gt;0,IF(AND(J$4=$G426,J$6=$F426),$D426*J$5,""),"")</f>
        <v/>
      </c>
      <c r="K426" s="2" t="str">
        <f aca="false">IF($A426&gt;0,IF(AND(K$4=$G426,K$6=$F426),$D426*K$5,""),"")</f>
        <v/>
      </c>
      <c r="L426" s="2" t="str">
        <f aca="false">IF($A426&gt;0,IF(AND(L$4=$G426,L$6=$F426),$D426*L$5,""),"")</f>
        <v/>
      </c>
      <c r="M426" s="2" t="str">
        <f aca="false">IF($A426&gt;0,IF(AND(M$4=$G426,M$6=$F426),$D426*M$5,""),"")</f>
        <v/>
      </c>
      <c r="N426" s="1508" t="n">
        <f aca="false">VLOOKUP(B426,'O_MN, PE_UTA_UGM 2024'!$E$2:$K$419,IF(G426&gt;1,6,7))</f>
        <v>0</v>
      </c>
      <c r="O426" s="1435" t="str">
        <f aca="false">IF($H426=O$4,$D426*$N426,"")</f>
        <v/>
      </c>
      <c r="P426" s="1435" t="str">
        <f aca="false">IF($H426=P$4,$D426*$N426,"")</f>
        <v/>
      </c>
      <c r="Q426" s="1435" t="str">
        <f aca="false">IF($H426=Q$4,$D426*$N426,"")</f>
        <v/>
      </c>
      <c r="R426" s="1435" t="str">
        <f aca="false">IF($H426=R$4,$D426*$N426,"")</f>
        <v/>
      </c>
      <c r="S426" s="1435" t="str">
        <f aca="false">IF($H426=S$4,$D426*$N426,"")</f>
        <v/>
      </c>
      <c r="T426" s="1435" t="str">
        <f aca="false">IF($H426=T$4,$D426*$N426,"")</f>
        <v/>
      </c>
      <c r="U426" s="1435" t="str">
        <f aca="false">IF($H426=U$4,$D426*$N426,"")</f>
        <v/>
      </c>
      <c r="V426" s="1471"/>
      <c r="W426" s="1471"/>
      <c r="X426" s="1471"/>
      <c r="Y426" s="1471"/>
      <c r="Z426" s="1471"/>
      <c r="AA426" s="1471"/>
      <c r="AB426" s="1471"/>
      <c r="AC426" s="1319"/>
      <c r="AD426" s="2" t="str">
        <f aca="false">IF(AND(AD$4=$G426,AD$6=$F426),$B426,"")</f>
        <v/>
      </c>
      <c r="AE426" s="2" t="str">
        <f aca="false">IF(AND(AE$4=$G426,AE$6=$F426),$B426,"")</f>
        <v/>
      </c>
      <c r="AF426" s="2" t="str">
        <f aca="false">IF(AND(AF$4=$G426,AF$6=$F426),$B426,"")</f>
        <v/>
      </c>
      <c r="AG426" s="2" t="str">
        <f aca="false">IF(AND(AG$4=$G426,AG$6=$F426),$B426,"")</f>
        <v/>
      </c>
      <c r="AI426" s="366"/>
      <c r="AL426" s="367"/>
      <c r="AO426" s="367"/>
      <c r="AR426" s="1411"/>
      <c r="AT426" s="1422"/>
      <c r="AU426" s="1411"/>
      <c r="AV426" s="1411"/>
      <c r="AW426" s="1423"/>
      <c r="AX426" s="1423"/>
      <c r="AZ426" s="1503"/>
      <c r="BA426" s="1503"/>
      <c r="BB426" s="1503"/>
      <c r="BC426" s="1503"/>
      <c r="BD426" s="1503"/>
      <c r="BE426" s="1503"/>
      <c r="BF426" s="1503"/>
      <c r="BG426" s="1503"/>
      <c r="BH426" s="1504"/>
      <c r="BI426" s="1504"/>
      <c r="BJ426" s="1504"/>
      <c r="BK426" s="1504"/>
      <c r="BM426" s="1411"/>
      <c r="BN426" s="1411"/>
      <c r="BO426" s="1425"/>
      <c r="BP426" s="1425"/>
      <c r="BQ426" s="1425"/>
      <c r="BR426" s="1425"/>
      <c r="BS426" s="1411"/>
      <c r="BT426" s="1411"/>
      <c r="BU426" s="1411"/>
      <c r="BV426" s="1411"/>
      <c r="BW426" s="1411"/>
      <c r="BX426" s="1411"/>
      <c r="BZ426" s="1438"/>
      <c r="CA426" s="1438"/>
      <c r="CB426" s="1496"/>
      <c r="CC426" s="1496"/>
      <c r="CD426" s="1496"/>
      <c r="CE426" s="1496"/>
      <c r="CF426" s="1438"/>
      <c r="CG426" s="1438"/>
      <c r="CH426" s="1438"/>
      <c r="CI426" s="1438"/>
      <c r="CJ426" s="1438"/>
      <c r="CK426" s="1438"/>
      <c r="CU426" s="1411"/>
      <c r="CV426" s="1411"/>
      <c r="CW426" s="1425"/>
      <c r="CX426" s="1425"/>
      <c r="CY426" s="1425"/>
      <c r="CZ426" s="1425"/>
      <c r="DA426" s="1411"/>
      <c r="DB426" s="1411"/>
      <c r="DC426" s="1411"/>
      <c r="DD426" s="1411"/>
      <c r="DE426" s="1411"/>
      <c r="DF426" s="1411"/>
      <c r="DH426" s="1432"/>
      <c r="DI426" s="1432"/>
      <c r="DJ426" s="1437"/>
      <c r="DK426" s="1437"/>
      <c r="DL426" s="1437"/>
      <c r="DM426" s="1437"/>
      <c r="DN426" s="1432"/>
      <c r="DO426" s="1432"/>
      <c r="DP426" s="1432"/>
      <c r="DQ426" s="1432"/>
      <c r="DR426" s="1432"/>
      <c r="DS426" s="1432"/>
      <c r="DT426" s="1316"/>
      <c r="DU426" s="1433"/>
      <c r="DV426" s="1433"/>
      <c r="DW426" s="1433"/>
      <c r="DX426" s="1433"/>
      <c r="DY426" s="1433"/>
      <c r="DZ426" s="1433"/>
      <c r="EA426" s="1433"/>
      <c r="EB426" s="1433"/>
    </row>
    <row r="427" customFormat="false" ht="14.25" hidden="false" customHeight="false" outlineLevel="0" collapsed="false">
      <c r="A427" s="2" t="n">
        <f aca="false">'V_DATOS PAC_SGA'!CC422</f>
        <v>0</v>
      </c>
      <c r="B427" s="2" t="n">
        <f aca="false">IF(OR(A427=0,A427=""),0,IF(I427="IV",CONCATENATE('V_DATOS PAC_SGA'!CC422,"4")+0,CONCATENATE('V_DATOS PAC_SGA'!CC422,"0")+0))</f>
        <v>0</v>
      </c>
      <c r="C427" s="2" t="n">
        <f aca="false">'V_DATOS PAC_SGA'!CD422</f>
        <v>0</v>
      </c>
      <c r="D427" s="1409" t="n">
        <f aca="false">'V_DATOS PAC_SGA'!Y422</f>
        <v>0</v>
      </c>
      <c r="E427" s="1410" t="str">
        <f aca="false">IF('V_DATOS PAC_SGA'!AV422="","Regadio",'V_DATOS PAC_SGA'!AV422)</f>
        <v>Regadio</v>
      </c>
      <c r="F427" s="1411" t="n">
        <f aca="false">'V_DATOS PAC_SGA'!BK422</f>
        <v>0</v>
      </c>
      <c r="G427" s="1412" t="n">
        <f aca="false">'V_DATOS PAC_SGA'!AN422</f>
        <v>0</v>
      </c>
      <c r="H427" s="1413" t="str">
        <f aca="false">IF(B427&gt;0,VLOOKUP(B427,'O_MN, PE_UTA_UGM 2024'!E$3:O$419,10),"")</f>
        <v/>
      </c>
      <c r="I427" s="1359" t="str">
        <f aca="false">IF('V_DATOS PAC_SGA'!BV422="IV",'V_DATOS PAC_SGA'!BV422,"")</f>
        <v/>
      </c>
      <c r="J427" s="2" t="str">
        <f aca="false">IF($A427&gt;0,IF(AND(J$4=$G427,J$6=$F427),$D427*J$5,""),"")</f>
        <v/>
      </c>
      <c r="K427" s="2" t="str">
        <f aca="false">IF($A427&gt;0,IF(AND(K$4=$G427,K$6=$F427),$D427*K$5,""),"")</f>
        <v/>
      </c>
      <c r="L427" s="2" t="str">
        <f aca="false">IF($A427&gt;0,IF(AND(L$4=$G427,L$6=$F427),$D427*L$5,""),"")</f>
        <v/>
      </c>
      <c r="M427" s="2" t="str">
        <f aca="false">IF($A427&gt;0,IF(AND(M$4=$G427,M$6=$F427),$D427*M$5,""),"")</f>
        <v/>
      </c>
      <c r="N427" s="1508" t="n">
        <f aca="false">VLOOKUP(B427,'O_MN, PE_UTA_UGM 2024'!$E$2:$K$419,IF(G427&gt;1,6,7))</f>
        <v>0</v>
      </c>
      <c r="O427" s="1435" t="str">
        <f aca="false">IF($H427=O$4,$D427*$N427,"")</f>
        <v/>
      </c>
      <c r="P427" s="1435" t="str">
        <f aca="false">IF($H427=P$4,$D427*$N427,"")</f>
        <v/>
      </c>
      <c r="Q427" s="1435" t="str">
        <f aca="false">IF($H427=Q$4,$D427*$N427,"")</f>
        <v/>
      </c>
      <c r="R427" s="1435" t="str">
        <f aca="false">IF($H427=R$4,$D427*$N427,"")</f>
        <v/>
      </c>
      <c r="S427" s="1435" t="str">
        <f aca="false">IF($H427=S$4,$D427*$N427,"")</f>
        <v/>
      </c>
      <c r="T427" s="1435" t="str">
        <f aca="false">IF($H427=T$4,$D427*$N427,"")</f>
        <v/>
      </c>
      <c r="U427" s="1435" t="str">
        <f aca="false">IF($H427=U$4,$D427*$N427,"")</f>
        <v/>
      </c>
      <c r="V427" s="1471"/>
      <c r="W427" s="1471"/>
      <c r="X427" s="1471"/>
      <c r="Y427" s="1471"/>
      <c r="Z427" s="1471"/>
      <c r="AA427" s="1471"/>
      <c r="AB427" s="1471"/>
      <c r="AC427" s="1319"/>
      <c r="AD427" s="2" t="str">
        <f aca="false">IF(AND(AD$4=$G427,AD$6=$F427),$B427,"")</f>
        <v/>
      </c>
      <c r="AE427" s="2" t="str">
        <f aca="false">IF(AND(AE$4=$G427,AE$6=$F427),$B427,"")</f>
        <v/>
      </c>
      <c r="AF427" s="2" t="str">
        <f aca="false">IF(AND(AF$4=$G427,AF$6=$F427),$B427,"")</f>
        <v/>
      </c>
      <c r="AG427" s="2" t="str">
        <f aca="false">IF(AND(AG$4=$G427,AG$6=$F427),$B427,"")</f>
        <v/>
      </c>
      <c r="AI427" s="366"/>
      <c r="AL427" s="367"/>
      <c r="AO427" s="367"/>
      <c r="AR427" s="1411"/>
      <c r="AT427" s="1422"/>
      <c r="AU427" s="1411"/>
      <c r="AV427" s="1411"/>
      <c r="AW427" s="1423"/>
      <c r="AX427" s="1423"/>
      <c r="AZ427" s="1503"/>
      <c r="BA427" s="1503"/>
      <c r="BB427" s="1503"/>
      <c r="BC427" s="1503"/>
      <c r="BD427" s="1503"/>
      <c r="BE427" s="1503"/>
      <c r="BF427" s="1503"/>
      <c r="BG427" s="1503"/>
      <c r="BH427" s="1504"/>
      <c r="BI427" s="1504"/>
      <c r="BJ427" s="1504"/>
      <c r="BK427" s="1504"/>
      <c r="BM427" s="1411"/>
      <c r="BN427" s="1411"/>
      <c r="BO427" s="1425"/>
      <c r="BP427" s="1425"/>
      <c r="BQ427" s="1425"/>
      <c r="BR427" s="1425"/>
      <c r="BS427" s="1411"/>
      <c r="BT427" s="1411"/>
      <c r="BU427" s="1411"/>
      <c r="BV427" s="1411"/>
      <c r="BW427" s="1411"/>
      <c r="BX427" s="1411"/>
      <c r="BZ427" s="1438"/>
      <c r="CA427" s="1438"/>
      <c r="CB427" s="1496"/>
      <c r="CC427" s="1496"/>
      <c r="CD427" s="1496"/>
      <c r="CE427" s="1496"/>
      <c r="CF427" s="1438"/>
      <c r="CG427" s="1438"/>
      <c r="CH427" s="1438"/>
      <c r="CI427" s="1438"/>
      <c r="CJ427" s="1438"/>
      <c r="CK427" s="1438"/>
      <c r="CU427" s="1411"/>
      <c r="CV427" s="1411"/>
      <c r="CW427" s="1425"/>
      <c r="CX427" s="1425"/>
      <c r="CY427" s="1425"/>
      <c r="CZ427" s="1425"/>
      <c r="DA427" s="1411"/>
      <c r="DB427" s="1411"/>
      <c r="DC427" s="1411"/>
      <c r="DD427" s="1411"/>
      <c r="DE427" s="1411"/>
      <c r="DF427" s="1411"/>
      <c r="DH427" s="1432"/>
      <c r="DI427" s="1432"/>
      <c r="DJ427" s="1437"/>
      <c r="DK427" s="1437"/>
      <c r="DL427" s="1437"/>
      <c r="DM427" s="1437"/>
      <c r="DN427" s="1432"/>
      <c r="DO427" s="1432"/>
      <c r="DP427" s="1432"/>
      <c r="DQ427" s="1432"/>
      <c r="DR427" s="1432"/>
      <c r="DS427" s="1432"/>
      <c r="DT427" s="1316"/>
      <c r="DU427" s="1433"/>
      <c r="DV427" s="1433"/>
      <c r="DW427" s="1433"/>
      <c r="DX427" s="1433"/>
      <c r="DY427" s="1433"/>
      <c r="DZ427" s="1433"/>
      <c r="EA427" s="1433"/>
      <c r="EB427" s="1433"/>
    </row>
    <row r="428" customFormat="false" ht="14.25" hidden="false" customHeight="false" outlineLevel="0" collapsed="false">
      <c r="A428" s="1497" t="n">
        <f aca="false">'V_DATOS PAC_SGA'!CC423</f>
        <v>0</v>
      </c>
      <c r="B428" s="1497" t="n">
        <f aca="false">IF(OR(A428=0,A428=""),0,IF(I428="IV",CONCATENATE('V_DATOS PAC_SGA'!CC423,"4")+0,CONCATENATE('V_DATOS PAC_SGA'!CC423,"0")+0))</f>
        <v>0</v>
      </c>
      <c r="C428" s="1497" t="n">
        <f aca="false">'V_DATOS PAC_SGA'!CD423</f>
        <v>0</v>
      </c>
      <c r="D428" s="1409" t="n">
        <f aca="false">'V_DATOS PAC_SGA'!Y423</f>
        <v>0</v>
      </c>
      <c r="E428" s="1410" t="str">
        <f aca="false">IF('V_DATOS PAC_SGA'!AV423="","Regadio",'V_DATOS PAC_SGA'!AV423)</f>
        <v>Regadio</v>
      </c>
      <c r="F428" s="1411" t="n">
        <f aca="false">'V_DATOS PAC_SGA'!BK423</f>
        <v>0</v>
      </c>
      <c r="G428" s="1412" t="n">
        <f aca="false">'V_DATOS PAC_SGA'!AN423</f>
        <v>0</v>
      </c>
      <c r="H428" s="1413" t="str">
        <f aca="false">IF(B428&gt;0,VLOOKUP(B428,'O_MN, PE_UTA_UGM 2024'!E$3:O$419,10),"")</f>
        <v/>
      </c>
      <c r="I428" s="1359" t="str">
        <f aca="false">IF('V_DATOS PAC_SGA'!BV423="IV",'V_DATOS PAC_SGA'!BV423,"")</f>
        <v/>
      </c>
      <c r="J428" s="1497" t="str">
        <f aca="false">IF($A428&gt;0,IF(AND(J$4=$G428,J$6=$F428),$D428*J$5,""),"")</f>
        <v/>
      </c>
      <c r="K428" s="1497" t="str">
        <f aca="false">IF($A428&gt;0,IF(AND(K$4=$G428,K$6=$F428),$D428*K$5,""),"")</f>
        <v/>
      </c>
      <c r="L428" s="1497" t="str">
        <f aca="false">IF($A428&gt;0,IF(AND(L$4=$G428,L$6=$F428),$D428*L$5,""),"")</f>
        <v/>
      </c>
      <c r="M428" s="1497" t="str">
        <f aca="false">IF($A428&gt;0,IF(AND(M$4=$G428,M$6=$F428),$D428*M$5,""),"")</f>
        <v/>
      </c>
      <c r="N428" s="1508" t="n">
        <f aca="false">VLOOKUP(B428,'O_MN, PE_UTA_UGM 2024'!$E$2:$K$419,IF(G428&gt;1,6,7))</f>
        <v>0</v>
      </c>
      <c r="O428" s="1434" t="str">
        <f aca="false">IF($H428=O$4,$D428*$N428,"")</f>
        <v/>
      </c>
      <c r="P428" s="1435" t="str">
        <f aca="false">IF($H428=P$4,$D428*$N428,"")</f>
        <v/>
      </c>
      <c r="Q428" s="1435" t="str">
        <f aca="false">IF($H428=Q$4,$D428*$N428,"")</f>
        <v/>
      </c>
      <c r="R428" s="1435" t="str">
        <f aca="false">IF($H428=R$4,$D428*$N428,"")</f>
        <v/>
      </c>
      <c r="S428" s="1435" t="str">
        <f aca="false">IF($H428=S$4,$D428*$N428,"")</f>
        <v/>
      </c>
      <c r="T428" s="1435" t="str">
        <f aca="false">IF($H428=T$4,$D428*$N428,"")</f>
        <v/>
      </c>
      <c r="U428" s="1436" t="str">
        <f aca="false">IF($H428=U$4,$D428*$N428,"")</f>
        <v/>
      </c>
      <c r="V428" s="1472"/>
      <c r="W428" s="1471"/>
      <c r="X428" s="1471"/>
      <c r="Y428" s="1471"/>
      <c r="Z428" s="1471"/>
      <c r="AA428" s="1471"/>
      <c r="AB428" s="1473"/>
      <c r="AC428" s="1319"/>
      <c r="AD428" s="1497" t="str">
        <f aca="false">IF(AND(AD$4=$G428,AD$6=$F428),$B428,"")</f>
        <v/>
      </c>
      <c r="AE428" s="1497" t="str">
        <f aca="false">IF(AND(AE$4=$G428,AE$6=$F428),$B428,"")</f>
        <v/>
      </c>
      <c r="AF428" s="1497" t="str">
        <f aca="false">IF(AND(AF$4=$G428,AF$6=$F428),$B428,"")</f>
        <v/>
      </c>
      <c r="AG428" s="1497" t="str">
        <f aca="false">IF(AND(AG$4=$G428,AG$6=$F428),$B428,"")</f>
        <v/>
      </c>
      <c r="AH428" s="1497"/>
      <c r="AI428" s="366"/>
      <c r="AJ428" s="1497"/>
      <c r="AK428" s="1497"/>
      <c r="AL428" s="367"/>
      <c r="AM428" s="1497"/>
      <c r="AN428" s="1497"/>
      <c r="AO428" s="367"/>
      <c r="AP428" s="1497"/>
      <c r="AQ428" s="1497"/>
      <c r="AR428" s="1411"/>
      <c r="AS428" s="1497"/>
      <c r="AT428" s="1422"/>
      <c r="AU428" s="1411"/>
      <c r="AV428" s="1411"/>
      <c r="AW428" s="1423"/>
      <c r="AX428" s="1423"/>
      <c r="AY428" s="1497"/>
      <c r="AZ428" s="1503"/>
      <c r="BA428" s="1503"/>
      <c r="BB428" s="1503"/>
      <c r="BC428" s="1503"/>
      <c r="BD428" s="1503"/>
      <c r="BE428" s="1503"/>
      <c r="BF428" s="1503"/>
      <c r="BG428" s="1503"/>
      <c r="BH428" s="1504"/>
      <c r="BI428" s="1504"/>
      <c r="BJ428" s="1504"/>
      <c r="BK428" s="1504"/>
      <c r="BL428" s="1497"/>
      <c r="BM428" s="1411"/>
      <c r="BN428" s="1411"/>
      <c r="BO428" s="1425"/>
      <c r="BP428" s="1425"/>
      <c r="BQ428" s="1425"/>
      <c r="BR428" s="1425"/>
      <c r="BS428" s="1411"/>
      <c r="BT428" s="1411"/>
      <c r="BU428" s="1411"/>
      <c r="BV428" s="1411"/>
      <c r="BW428" s="1411"/>
      <c r="BX428" s="1411"/>
      <c r="BY428" s="1497"/>
      <c r="BZ428" s="1438"/>
      <c r="CA428" s="1438"/>
      <c r="CB428" s="1496"/>
      <c r="CC428" s="1496"/>
      <c r="CD428" s="1496"/>
      <c r="CE428" s="1496"/>
      <c r="CF428" s="1438"/>
      <c r="CG428" s="1438"/>
      <c r="CH428" s="1438"/>
      <c r="CI428" s="1438"/>
      <c r="CJ428" s="1438"/>
      <c r="CK428" s="1438"/>
      <c r="CL428" s="1497"/>
      <c r="CM428" s="1497"/>
      <c r="CN428" s="1497"/>
      <c r="CO428" s="1497"/>
      <c r="CP428" s="1497"/>
      <c r="CQ428" s="1497"/>
      <c r="CR428" s="1497"/>
      <c r="CS428" s="1497"/>
      <c r="CT428" s="1497"/>
      <c r="CU428" s="1411"/>
      <c r="CV428" s="1411"/>
      <c r="CW428" s="1425"/>
      <c r="CX428" s="1425"/>
      <c r="CY428" s="1425"/>
      <c r="CZ428" s="1425"/>
      <c r="DA428" s="1411"/>
      <c r="DB428" s="1411"/>
      <c r="DC428" s="1411"/>
      <c r="DD428" s="1411"/>
      <c r="DE428" s="1411"/>
      <c r="DF428" s="1411"/>
      <c r="DG428" s="1497"/>
      <c r="DH428" s="1432"/>
      <c r="DI428" s="1432"/>
      <c r="DJ428" s="1437"/>
      <c r="DK428" s="1437"/>
      <c r="DL428" s="1437"/>
      <c r="DM428" s="1437"/>
      <c r="DN428" s="1432"/>
      <c r="DO428" s="1432"/>
      <c r="DP428" s="1432"/>
      <c r="DQ428" s="1432"/>
      <c r="DR428" s="1432"/>
      <c r="DS428" s="1432"/>
      <c r="DT428" s="1316"/>
      <c r="DU428" s="1433"/>
      <c r="DV428" s="1433"/>
      <c r="DW428" s="1433"/>
      <c r="DX428" s="1433"/>
      <c r="DY428" s="1433"/>
      <c r="DZ428" s="1433"/>
      <c r="EA428" s="1433"/>
      <c r="EB428" s="1433"/>
    </row>
    <row r="429" customFormat="false" ht="14.25" hidden="false" customHeight="false" outlineLevel="0" collapsed="false">
      <c r="A429" s="1497" t="n">
        <f aca="false">'V_DATOS PAC_SGA'!CC424</f>
        <v>0</v>
      </c>
      <c r="B429" s="1497" t="n">
        <f aca="false">IF(OR(A429=0,A429=""),0,IF(I429="IV",CONCATENATE('V_DATOS PAC_SGA'!CC424,"4")+0,CONCATENATE('V_DATOS PAC_SGA'!CC424,"0")+0))</f>
        <v>0</v>
      </c>
      <c r="C429" s="1497" t="n">
        <f aca="false">'V_DATOS PAC_SGA'!CD424</f>
        <v>0</v>
      </c>
      <c r="D429" s="1409" t="n">
        <f aca="false">'V_DATOS PAC_SGA'!Y424</f>
        <v>0</v>
      </c>
      <c r="E429" s="1410" t="str">
        <f aca="false">IF('V_DATOS PAC_SGA'!AV424="","Regadio",'V_DATOS PAC_SGA'!AV424)</f>
        <v>Regadio</v>
      </c>
      <c r="F429" s="1411" t="n">
        <f aca="false">'V_DATOS PAC_SGA'!BK424</f>
        <v>0</v>
      </c>
      <c r="G429" s="1412" t="n">
        <f aca="false">'V_DATOS PAC_SGA'!AN424</f>
        <v>0</v>
      </c>
      <c r="H429" s="1413" t="str">
        <f aca="false">IF(B429&gt;0,VLOOKUP(B429,'O_MN, PE_UTA_UGM 2024'!E$3:O$419,10),"")</f>
        <v/>
      </c>
      <c r="I429" s="1359" t="str">
        <f aca="false">IF('V_DATOS PAC_SGA'!BV424="IV",'V_DATOS PAC_SGA'!BV424,"")</f>
        <v/>
      </c>
      <c r="J429" s="1497" t="str">
        <f aca="false">IF($A429&gt;0,IF(AND(J$4=$G429,J$6=$F429),$D429*J$5,""),"")</f>
        <v/>
      </c>
      <c r="K429" s="1497" t="str">
        <f aca="false">IF($A429&gt;0,IF(AND(K$4=$G429,K$6=$F429),$D429*K$5,""),"")</f>
        <v/>
      </c>
      <c r="L429" s="1497" t="str">
        <f aca="false">IF($A429&gt;0,IF(AND(L$4=$G429,L$6=$F429),$D429*L$5,""),"")</f>
        <v/>
      </c>
      <c r="M429" s="1497" t="str">
        <f aca="false">IF($A429&gt;0,IF(AND(M$4=$G429,M$6=$F429),$D429*M$5,""),"")</f>
        <v/>
      </c>
      <c r="N429" s="1508" t="n">
        <f aca="false">VLOOKUP(B429,'O_MN, PE_UTA_UGM 2024'!$E$2:$K$419,IF(G429&gt;1,6,7))</f>
        <v>0</v>
      </c>
      <c r="O429" s="1434" t="str">
        <f aca="false">IF($H429=O$4,$D429*$N429,"")</f>
        <v/>
      </c>
      <c r="P429" s="1435" t="str">
        <f aca="false">IF($H429=P$4,$D429*$N429,"")</f>
        <v/>
      </c>
      <c r="Q429" s="1435" t="str">
        <f aca="false">IF($H429=Q$4,$D429*$N429,"")</f>
        <v/>
      </c>
      <c r="R429" s="1435" t="str">
        <f aca="false">IF($H429=R$4,$D429*$N429,"")</f>
        <v/>
      </c>
      <c r="S429" s="1435" t="str">
        <f aca="false">IF($H429=S$4,$D429*$N429,"")</f>
        <v/>
      </c>
      <c r="T429" s="1435" t="str">
        <f aca="false">IF($H429=T$4,$D429*$N429,"")</f>
        <v/>
      </c>
      <c r="U429" s="1436" t="str">
        <f aca="false">IF($H429=U$4,$D429*$N429,"")</f>
        <v/>
      </c>
      <c r="V429" s="1472"/>
      <c r="W429" s="1471"/>
      <c r="X429" s="1471"/>
      <c r="Y429" s="1471"/>
      <c r="Z429" s="1471"/>
      <c r="AA429" s="1471"/>
      <c r="AB429" s="1473"/>
      <c r="AC429" s="1319"/>
      <c r="AD429" s="1497" t="str">
        <f aca="false">IF(AND(AD$4=$G429,AD$6=$F429),$B429,"")</f>
        <v/>
      </c>
      <c r="AE429" s="1497" t="str">
        <f aca="false">IF(AND(AE$4=$G429,AE$6=$F429),$B429,"")</f>
        <v/>
      </c>
      <c r="AF429" s="1497" t="str">
        <f aca="false">IF(AND(AF$4=$G429,AF$6=$F429),$B429,"")</f>
        <v/>
      </c>
      <c r="AG429" s="1497" t="str">
        <f aca="false">IF(AND(AG$4=$G429,AG$6=$F429),$B429,"")</f>
        <v/>
      </c>
      <c r="AH429" s="1497"/>
      <c r="AI429" s="366"/>
      <c r="AJ429" s="1497"/>
      <c r="AK429" s="1497"/>
      <c r="AL429" s="367"/>
      <c r="AM429" s="1497"/>
      <c r="AN429" s="1497"/>
      <c r="AO429" s="367"/>
      <c r="AP429" s="1497"/>
      <c r="AQ429" s="1497"/>
      <c r="AR429" s="1411"/>
      <c r="AS429" s="1497"/>
      <c r="AT429" s="1422"/>
      <c r="AU429" s="1411"/>
      <c r="AV429" s="1411"/>
      <c r="AW429" s="1423"/>
      <c r="AX429" s="1423"/>
      <c r="AY429" s="1497"/>
      <c r="AZ429" s="1503"/>
      <c r="BA429" s="1503"/>
      <c r="BB429" s="1503"/>
      <c r="BC429" s="1503"/>
      <c r="BD429" s="1503"/>
      <c r="BE429" s="1503"/>
      <c r="BF429" s="1503"/>
      <c r="BG429" s="1503"/>
      <c r="BH429" s="1504"/>
      <c r="BI429" s="1504"/>
      <c r="BJ429" s="1504"/>
      <c r="BK429" s="1504"/>
      <c r="BL429" s="1497"/>
      <c r="BM429" s="1411"/>
      <c r="BN429" s="1411"/>
      <c r="BO429" s="1425"/>
      <c r="BP429" s="1425"/>
      <c r="BQ429" s="1425"/>
      <c r="BR429" s="1425"/>
      <c r="BS429" s="1411"/>
      <c r="BT429" s="1411"/>
      <c r="BU429" s="1411"/>
      <c r="BV429" s="1411"/>
      <c r="BW429" s="1411"/>
      <c r="BX429" s="1411"/>
      <c r="BY429" s="1497"/>
      <c r="BZ429" s="1438"/>
      <c r="CA429" s="1438"/>
      <c r="CB429" s="1496"/>
      <c r="CC429" s="1496"/>
      <c r="CD429" s="1496"/>
      <c r="CE429" s="1496"/>
      <c r="CF429" s="1438"/>
      <c r="CG429" s="1438"/>
      <c r="CH429" s="1497"/>
      <c r="CI429" s="1497"/>
      <c r="CJ429" s="1497"/>
      <c r="CK429" s="1497"/>
      <c r="CL429" s="1497"/>
      <c r="CM429" s="1497"/>
      <c r="CN429" s="1497"/>
      <c r="CO429" s="1497"/>
      <c r="CP429" s="1497"/>
      <c r="CQ429" s="1497"/>
      <c r="CR429" s="1497"/>
      <c r="CS429" s="1497"/>
      <c r="CT429" s="1497"/>
      <c r="CU429" s="1497"/>
      <c r="CV429" s="1497"/>
      <c r="CW429" s="1497"/>
      <c r="CX429" s="1497"/>
      <c r="CY429" s="1497"/>
      <c r="CZ429" s="1497"/>
      <c r="DA429" s="1497"/>
      <c r="DB429" s="1497"/>
      <c r="DC429" s="1497"/>
      <c r="DD429" s="1497"/>
      <c r="DE429" s="1497"/>
      <c r="DF429" s="1497"/>
      <c r="DG429" s="1497"/>
      <c r="DH429" s="1497"/>
      <c r="DI429" s="1497"/>
      <c r="DJ429" s="1497"/>
      <c r="DK429" s="1497"/>
      <c r="DL429" s="1497"/>
      <c r="DM429" s="1497"/>
      <c r="DN429" s="1497"/>
      <c r="DO429" s="1497"/>
      <c r="DP429" s="1497"/>
      <c r="DQ429" s="1497"/>
      <c r="DR429" s="1497"/>
      <c r="DS429" s="1497"/>
      <c r="DT429" s="1497"/>
      <c r="DU429" s="1497"/>
      <c r="DV429" s="1497"/>
      <c r="DW429" s="1497"/>
      <c r="DX429" s="1497"/>
      <c r="DY429" s="1497"/>
      <c r="DZ429" s="1497"/>
      <c r="EA429" s="1497"/>
      <c r="EB429" s="1497"/>
    </row>
    <row r="430" customFormat="false" ht="14.25" hidden="false" customHeight="false" outlineLevel="0" collapsed="false">
      <c r="A430" s="2" t="n">
        <f aca="false">'V_DATOS PAC_SGA'!CC425</f>
        <v>0</v>
      </c>
      <c r="B430" s="2" t="n">
        <f aca="false">IF(OR(A430=0,A430=""),0,IF(I430="IV",CONCATENATE('V_DATOS PAC_SGA'!CC425,"4")+0,CONCATENATE('V_DATOS PAC_SGA'!CC425,"0")+0))</f>
        <v>0</v>
      </c>
      <c r="C430" s="2" t="n">
        <f aca="false">'V_DATOS PAC_SGA'!CD425</f>
        <v>0</v>
      </c>
      <c r="D430" s="1409" t="n">
        <f aca="false">'V_DATOS PAC_SGA'!Y425</f>
        <v>0</v>
      </c>
      <c r="E430" s="1410" t="str">
        <f aca="false">IF('V_DATOS PAC_SGA'!AV425="","Regadio",'V_DATOS PAC_SGA'!AV425)</f>
        <v>Regadio</v>
      </c>
      <c r="F430" s="1411" t="n">
        <f aca="false">'V_DATOS PAC_SGA'!BK425</f>
        <v>0</v>
      </c>
      <c r="G430" s="1412" t="n">
        <f aca="false">'V_DATOS PAC_SGA'!AN425</f>
        <v>0</v>
      </c>
      <c r="H430" s="1413" t="str">
        <f aca="false">IF(B430&gt;0,VLOOKUP(B430,'O_MN, PE_UTA_UGM 2024'!E$3:O$419,10),"")</f>
        <v/>
      </c>
      <c r="I430" s="1359" t="str">
        <f aca="false">IF('V_DATOS PAC_SGA'!BV425="IV",'V_DATOS PAC_SGA'!BV425,"")</f>
        <v/>
      </c>
      <c r="J430" s="2" t="str">
        <f aca="false">IF($A430&gt;0,IF(AND(J$4=$G430,J$6=$F430),$D430*J$5,""),"")</f>
        <v/>
      </c>
      <c r="K430" s="2" t="str">
        <f aca="false">IF($A430&gt;0,IF(AND(K$4=$G430,K$6=$F430),$D430*K$5,""),"")</f>
        <v/>
      </c>
      <c r="L430" s="2" t="str">
        <f aca="false">IF($A430&gt;0,IF(AND(L$4=$G430,L$6=$F430),$D430*L$5,""),"")</f>
        <v/>
      </c>
      <c r="M430" s="2" t="str">
        <f aca="false">IF($A430&gt;0,IF(AND(M$4=$G430,M$6=$F430),$D430*M$5,""),"")</f>
        <v/>
      </c>
      <c r="N430" s="1508" t="n">
        <f aca="false">VLOOKUP(B430,'O_MN, PE_UTA_UGM 2024'!$E$2:$K$419,IF(G430&gt;1,6,7))</f>
        <v>0</v>
      </c>
      <c r="O430" s="1434" t="str">
        <f aca="false">IF($H430=O$4,$D430*$N430,"")</f>
        <v/>
      </c>
      <c r="P430" s="1435" t="str">
        <f aca="false">IF($H430=P$4,$D430*$N430,"")</f>
        <v/>
      </c>
      <c r="Q430" s="1435" t="str">
        <f aca="false">IF($H430=Q$4,$D430*$N430,"")</f>
        <v/>
      </c>
      <c r="R430" s="1435" t="str">
        <f aca="false">IF($H430=R$4,$D430*$N430,"")</f>
        <v/>
      </c>
      <c r="S430" s="1435" t="str">
        <f aca="false">IF($H430=S$4,$D430*$N430,"")</f>
        <v/>
      </c>
      <c r="T430" s="1435" t="str">
        <f aca="false">IF($H430=T$4,$D430*$N430,"")</f>
        <v/>
      </c>
      <c r="U430" s="1436" t="str">
        <f aca="false">IF($H430=U$4,$D430*$N430,"")</f>
        <v/>
      </c>
      <c r="V430" s="1472"/>
      <c r="W430" s="1471"/>
      <c r="X430" s="1471"/>
      <c r="Y430" s="1471"/>
      <c r="Z430" s="1471"/>
      <c r="AA430" s="1471"/>
      <c r="AB430" s="1473"/>
      <c r="AC430" s="1319"/>
      <c r="AD430" s="2" t="str">
        <f aca="false">IF(AND(AD$4=$G430,AD$6=$F430),$B430,"")</f>
        <v/>
      </c>
      <c r="AE430" s="2" t="str">
        <f aca="false">IF(AND(AE$4=$G430,AE$6=$F430),$B430,"")</f>
        <v/>
      </c>
      <c r="AF430" s="2" t="str">
        <f aca="false">IF(AND(AF$4=$G430,AF$6=$F430),$B430,"")</f>
        <v/>
      </c>
      <c r="AG430" s="2" t="str">
        <f aca="false">IF(AND(AG$4=$G430,AG$6=$F430),$B430,"")</f>
        <v/>
      </c>
      <c r="AI430" s="366"/>
      <c r="AL430" s="367"/>
      <c r="AO430" s="367"/>
      <c r="AR430" s="1411"/>
      <c r="AT430" s="1422"/>
      <c r="AU430" s="1411"/>
      <c r="AV430" s="1411"/>
      <c r="AW430" s="1423"/>
      <c r="AX430" s="1423"/>
      <c r="AZ430" s="1503"/>
      <c r="BA430" s="1503"/>
      <c r="BB430" s="1503"/>
      <c r="BC430" s="1503"/>
      <c r="BD430" s="1503"/>
      <c r="BE430" s="1503"/>
      <c r="BF430" s="1503"/>
      <c r="BG430" s="1503"/>
      <c r="BH430" s="1504"/>
      <c r="BI430" s="1504"/>
      <c r="BJ430" s="1504"/>
      <c r="BK430" s="1504"/>
      <c r="BM430" s="1411"/>
      <c r="BN430" s="1411"/>
      <c r="BO430" s="1425"/>
      <c r="BP430" s="1425"/>
      <c r="BQ430" s="1425"/>
      <c r="BR430" s="1425"/>
      <c r="BS430" s="1411"/>
      <c r="BT430" s="1411"/>
      <c r="BU430" s="1411"/>
      <c r="BV430" s="1411"/>
      <c r="BW430" s="1411"/>
      <c r="BX430" s="1411"/>
      <c r="BZ430" s="1438"/>
      <c r="CA430" s="1438"/>
      <c r="CB430" s="1496"/>
      <c r="CC430" s="1496"/>
      <c r="CD430" s="1496"/>
      <c r="CE430" s="1496"/>
      <c r="CF430" s="1438"/>
      <c r="CG430" s="1438"/>
      <c r="CH430" s="1438"/>
      <c r="CI430" s="1438"/>
      <c r="CJ430" s="1438"/>
      <c r="CK430" s="1438"/>
      <c r="CU430" s="1411"/>
      <c r="CV430" s="1411"/>
      <c r="CW430" s="1425"/>
      <c r="CX430" s="1425"/>
      <c r="CY430" s="1425"/>
      <c r="CZ430" s="1425"/>
      <c r="DA430" s="1411"/>
      <c r="DB430" s="1411"/>
      <c r="DC430" s="1411"/>
      <c r="DD430" s="1411"/>
      <c r="DE430" s="1411"/>
      <c r="DF430" s="1411"/>
      <c r="DH430" s="1432"/>
      <c r="DI430" s="1432"/>
      <c r="DJ430" s="1437"/>
      <c r="DK430" s="1437"/>
      <c r="DL430" s="1437"/>
      <c r="DM430" s="1437"/>
      <c r="DN430" s="1432"/>
      <c r="DO430" s="1432"/>
      <c r="DP430" s="1432"/>
      <c r="DQ430" s="1432"/>
      <c r="DR430" s="1432"/>
      <c r="DS430" s="1432"/>
      <c r="DT430" s="1316"/>
      <c r="DU430" s="1433"/>
      <c r="DV430" s="1433"/>
      <c r="DW430" s="1433"/>
      <c r="DX430" s="1433"/>
      <c r="DY430" s="1433"/>
      <c r="DZ430" s="1433"/>
      <c r="EA430" s="1433"/>
      <c r="EB430" s="1433"/>
    </row>
    <row r="431" customFormat="false" ht="14.25" hidden="false" customHeight="false" outlineLevel="0" collapsed="false">
      <c r="A431" s="2" t="n">
        <f aca="false">'V_DATOS PAC_SGA'!CC426</f>
        <v>0</v>
      </c>
      <c r="B431" s="2" t="n">
        <f aca="false">IF(OR(A431=0,A431=""),0,IF(I431="IV",CONCATENATE('V_DATOS PAC_SGA'!CC426,"4")+0,CONCATENATE('V_DATOS PAC_SGA'!CC426,"0")+0))</f>
        <v>0</v>
      </c>
      <c r="C431" s="2" t="n">
        <f aca="false">'V_DATOS PAC_SGA'!CD426</f>
        <v>0</v>
      </c>
      <c r="D431" s="1409" t="n">
        <f aca="false">'V_DATOS PAC_SGA'!Y426</f>
        <v>0</v>
      </c>
      <c r="E431" s="1410" t="str">
        <f aca="false">IF('V_DATOS PAC_SGA'!AV426="","Regadio",'V_DATOS PAC_SGA'!AV426)</f>
        <v>Regadio</v>
      </c>
      <c r="F431" s="1411" t="n">
        <f aca="false">'V_DATOS PAC_SGA'!BK426</f>
        <v>0</v>
      </c>
      <c r="G431" s="1412" t="n">
        <f aca="false">'V_DATOS PAC_SGA'!AN426</f>
        <v>0</v>
      </c>
      <c r="H431" s="1413" t="str">
        <f aca="false">IF(B431&gt;0,VLOOKUP(B431,'O_MN, PE_UTA_UGM 2024'!E$3:O$419,10),"")</f>
        <v/>
      </c>
      <c r="I431" s="1359" t="str">
        <f aca="false">IF('V_DATOS PAC_SGA'!BV426="IV",'V_DATOS PAC_SGA'!BV426,"")</f>
        <v/>
      </c>
      <c r="J431" s="2" t="str">
        <f aca="false">IF($A431&gt;0,IF(AND(J$4=$G431,J$6=$F431),$D431*J$5,""),"")</f>
        <v/>
      </c>
      <c r="K431" s="2" t="str">
        <f aca="false">IF($A431&gt;0,IF(AND(K$4=$G431,K$6=$F431),$D431*K$5,""),"")</f>
        <v/>
      </c>
      <c r="L431" s="2" t="str">
        <f aca="false">IF($A431&gt;0,IF(AND(L$4=$G431,L$6=$F431),$D431*L$5,""),"")</f>
        <v/>
      </c>
      <c r="M431" s="2" t="str">
        <f aca="false">IF($A431&gt;0,IF(AND(M$4=$G431,M$6=$F431),$D431*M$5,""),"")</f>
        <v/>
      </c>
      <c r="N431" s="1508" t="n">
        <f aca="false">VLOOKUP(B431,'O_MN, PE_UTA_UGM 2024'!$E$2:$K$419,IF(G431&gt;1,6,7))</f>
        <v>0</v>
      </c>
      <c r="O431" s="1434" t="str">
        <f aca="false">IF($H431=O$4,$D431*$N431,"")</f>
        <v/>
      </c>
      <c r="P431" s="1435" t="str">
        <f aca="false">IF($H431=P$4,$D431*$N431,"")</f>
        <v/>
      </c>
      <c r="Q431" s="1435" t="str">
        <f aca="false">IF($H431=Q$4,$D431*$N431,"")</f>
        <v/>
      </c>
      <c r="R431" s="1435" t="str">
        <f aca="false">IF($H431=R$4,$D431*$N431,"")</f>
        <v/>
      </c>
      <c r="S431" s="1435" t="str">
        <f aca="false">IF($H431=S$4,$D431*$N431,"")</f>
        <v/>
      </c>
      <c r="T431" s="1435" t="str">
        <f aca="false">IF($H431=T$4,$D431*$N431,"")</f>
        <v/>
      </c>
      <c r="U431" s="1436" t="str">
        <f aca="false">IF($H431=U$4,$D431*$N431,"")</f>
        <v/>
      </c>
      <c r="V431" s="1472"/>
      <c r="W431" s="1471"/>
      <c r="X431" s="1471"/>
      <c r="Y431" s="1471"/>
      <c r="Z431" s="1471"/>
      <c r="AA431" s="1471"/>
      <c r="AB431" s="1473"/>
      <c r="AC431" s="1319"/>
      <c r="AD431" s="2" t="str">
        <f aca="false">IF(AND(AD$4=$G431,AD$6=$F431),$B431,"")</f>
        <v/>
      </c>
      <c r="AE431" s="2" t="str">
        <f aca="false">IF(AND(AE$4=$G431,AE$6=$F431),$B431,"")</f>
        <v/>
      </c>
      <c r="AF431" s="2" t="str">
        <f aca="false">IF(AND(AF$4=$G431,AF$6=$F431),$B431,"")</f>
        <v/>
      </c>
      <c r="AG431" s="2" t="str">
        <f aca="false">IF(AND(AG$4=$G431,AG$6=$F431),$B431,"")</f>
        <v/>
      </c>
      <c r="AI431" s="366"/>
      <c r="AL431" s="367"/>
      <c r="AO431" s="367"/>
      <c r="AR431" s="1411"/>
      <c r="AT431" s="1422"/>
      <c r="AU431" s="1411"/>
      <c r="AV431" s="1411"/>
      <c r="AW431" s="1423"/>
      <c r="AX431" s="1423"/>
      <c r="AZ431" s="1503"/>
      <c r="BA431" s="1503"/>
      <c r="BB431" s="1503"/>
      <c r="BC431" s="1503"/>
      <c r="BD431" s="1503"/>
      <c r="BE431" s="1503"/>
      <c r="BF431" s="1503"/>
      <c r="BG431" s="1503"/>
      <c r="BH431" s="1504"/>
      <c r="BI431" s="1504"/>
      <c r="BJ431" s="1504"/>
      <c r="BK431" s="1504"/>
      <c r="BM431" s="1411"/>
      <c r="BN431" s="1411"/>
      <c r="BO431" s="1425"/>
      <c r="BP431" s="1425"/>
      <c r="BQ431" s="1425"/>
      <c r="BR431" s="1425"/>
      <c r="BS431" s="1411"/>
      <c r="BT431" s="1411"/>
      <c r="BU431" s="1411"/>
      <c r="BV431" s="1411"/>
      <c r="BW431" s="1411"/>
      <c r="BX431" s="1411"/>
      <c r="BZ431" s="1438"/>
      <c r="CA431" s="1438"/>
      <c r="CB431" s="1496"/>
      <c r="CC431" s="1496"/>
      <c r="CD431" s="1496"/>
      <c r="CE431" s="1496"/>
      <c r="CF431" s="1438"/>
      <c r="CG431" s="1438"/>
      <c r="CH431" s="1438"/>
      <c r="CI431" s="1438"/>
      <c r="CJ431" s="1438"/>
      <c r="CK431" s="1438"/>
      <c r="CU431" s="1411"/>
      <c r="CV431" s="1411"/>
      <c r="CW431" s="1425"/>
      <c r="CX431" s="1425"/>
      <c r="CY431" s="1425"/>
      <c r="CZ431" s="1425"/>
      <c r="DA431" s="1411"/>
      <c r="DB431" s="1411"/>
      <c r="DC431" s="1411"/>
      <c r="DD431" s="1411"/>
      <c r="DE431" s="1411"/>
      <c r="DF431" s="1411"/>
      <c r="DH431" s="1432"/>
      <c r="DI431" s="1432"/>
      <c r="DJ431" s="1437"/>
      <c r="DK431" s="1437"/>
      <c r="DL431" s="1437"/>
      <c r="DM431" s="1437"/>
      <c r="DN431" s="1432"/>
      <c r="DO431" s="1432"/>
      <c r="DP431" s="1432"/>
      <c r="DQ431" s="1432"/>
      <c r="DR431" s="1432"/>
      <c r="DS431" s="1432"/>
      <c r="DT431" s="1316"/>
      <c r="DU431" s="1433"/>
      <c r="DV431" s="1433"/>
      <c r="DW431" s="1433"/>
      <c r="DX431" s="1433"/>
      <c r="DY431" s="1433"/>
      <c r="DZ431" s="1433"/>
      <c r="EA431" s="1433"/>
      <c r="EB431" s="1433"/>
    </row>
    <row r="432" customFormat="false" ht="14.25" hidden="false" customHeight="false" outlineLevel="0" collapsed="false">
      <c r="A432" s="2" t="n">
        <f aca="false">'V_DATOS PAC_SGA'!CC427</f>
        <v>0</v>
      </c>
      <c r="B432" s="2" t="n">
        <f aca="false">IF(OR(A432=0,A432=""),0,IF(I432="IV",CONCATENATE('V_DATOS PAC_SGA'!CC427,"4")+0,CONCATENATE('V_DATOS PAC_SGA'!CC427,"0")+0))</f>
        <v>0</v>
      </c>
      <c r="C432" s="2" t="n">
        <f aca="false">'V_DATOS PAC_SGA'!CD427</f>
        <v>0</v>
      </c>
      <c r="D432" s="1409" t="n">
        <f aca="false">'V_DATOS PAC_SGA'!Y427</f>
        <v>0</v>
      </c>
      <c r="E432" s="1410" t="str">
        <f aca="false">IF('V_DATOS PAC_SGA'!AV427="","Regadio",'V_DATOS PAC_SGA'!AV427)</f>
        <v>Regadio</v>
      </c>
      <c r="F432" s="1411" t="n">
        <f aca="false">'V_DATOS PAC_SGA'!BK427</f>
        <v>0</v>
      </c>
      <c r="G432" s="1412" t="n">
        <f aca="false">'V_DATOS PAC_SGA'!AN427</f>
        <v>0</v>
      </c>
      <c r="H432" s="1413" t="str">
        <f aca="false">IF(B432&gt;0,VLOOKUP(B432,'O_MN, PE_UTA_UGM 2024'!E$3:O$419,10),"")</f>
        <v/>
      </c>
      <c r="I432" s="1359" t="str">
        <f aca="false">IF('V_DATOS PAC_SGA'!BV427="IV",'V_DATOS PAC_SGA'!BV427,"")</f>
        <v/>
      </c>
      <c r="J432" s="2" t="str">
        <f aca="false">IF($A432&gt;0,IF(AND(J$4=$G432,J$6=$F432),$D432*J$5,""),"")</f>
        <v/>
      </c>
      <c r="K432" s="2" t="str">
        <f aca="false">IF($A432&gt;0,IF(AND(K$4=$G432,K$6=$F432),$D432*K$5,""),"")</f>
        <v/>
      </c>
      <c r="L432" s="2" t="str">
        <f aca="false">IF($A432&gt;0,IF(AND(L$4=$G432,L$6=$F432),$D432*L$5,""),"")</f>
        <v/>
      </c>
      <c r="M432" s="2" t="str">
        <f aca="false">IF($A432&gt;0,IF(AND(M$4=$G432,M$6=$F432),$D432*M$5,""),"")</f>
        <v/>
      </c>
      <c r="N432" s="1508" t="n">
        <f aca="false">VLOOKUP(B432,'O_MN, PE_UTA_UGM 2024'!$E$2:$K$419,IF(G432&gt;1,6,7))</f>
        <v>0</v>
      </c>
      <c r="O432" s="1434" t="str">
        <f aca="false">IF($H432=O$4,$D432*$N432,"")</f>
        <v/>
      </c>
      <c r="P432" s="1435" t="str">
        <f aca="false">IF($H432=P$4,$D432*$N432,"")</f>
        <v/>
      </c>
      <c r="Q432" s="1435" t="str">
        <f aca="false">IF($H432=Q$4,$D432*$N432,"")</f>
        <v/>
      </c>
      <c r="R432" s="1435" t="str">
        <f aca="false">IF($H432=R$4,$D432*$N432,"")</f>
        <v/>
      </c>
      <c r="S432" s="1435" t="str">
        <f aca="false">IF($H432=S$4,$D432*$N432,"")</f>
        <v/>
      </c>
      <c r="T432" s="1435" t="str">
        <f aca="false">IF($H432=T$4,$D432*$N432,"")</f>
        <v/>
      </c>
      <c r="U432" s="1436" t="str">
        <f aca="false">IF($H432=U$4,$D432*$N432,"")</f>
        <v/>
      </c>
      <c r="V432" s="1472"/>
      <c r="W432" s="1471"/>
      <c r="X432" s="1471"/>
      <c r="Y432" s="1471"/>
      <c r="Z432" s="1471"/>
      <c r="AA432" s="1471"/>
      <c r="AB432" s="1473"/>
      <c r="AC432" s="1319"/>
      <c r="AD432" s="2" t="str">
        <f aca="false">IF(AND(AD$4=$G432,AD$6=$F432),$B432,"")</f>
        <v/>
      </c>
      <c r="AE432" s="2" t="str">
        <f aca="false">IF(AND(AE$4=$G432,AE$6=$F432),$B432,"")</f>
        <v/>
      </c>
      <c r="AF432" s="2" t="str">
        <f aca="false">IF(AND(AF$4=$G432,AF$6=$F432),$B432,"")</f>
        <v/>
      </c>
      <c r="AG432" s="2" t="str">
        <f aca="false">IF(AND(AG$4=$G432,AG$6=$F432),$B432,"")</f>
        <v/>
      </c>
      <c r="AI432" s="366"/>
      <c r="AL432" s="367"/>
      <c r="AO432" s="367"/>
      <c r="AR432" s="1411"/>
      <c r="AT432" s="1422"/>
      <c r="AU432" s="1411"/>
      <c r="AV432" s="1411"/>
      <c r="AW432" s="1423"/>
      <c r="AX432" s="1423"/>
      <c r="AZ432" s="1503"/>
      <c r="BA432" s="1503"/>
      <c r="BB432" s="1503"/>
      <c r="BC432" s="1503"/>
      <c r="BD432" s="1503"/>
      <c r="BE432" s="1503"/>
      <c r="BF432" s="1503"/>
      <c r="BG432" s="1503"/>
      <c r="BH432" s="1504"/>
      <c r="BI432" s="1504"/>
      <c r="BJ432" s="1504"/>
      <c r="BK432" s="1504"/>
      <c r="BM432" s="1411"/>
      <c r="BN432" s="1411"/>
      <c r="BO432" s="1425"/>
      <c r="BP432" s="1425"/>
      <c r="BQ432" s="1425"/>
      <c r="BR432" s="1425"/>
      <c r="BS432" s="1411"/>
      <c r="BT432" s="1411"/>
      <c r="BU432" s="1411"/>
      <c r="BV432" s="1411"/>
      <c r="BW432" s="1411"/>
      <c r="BX432" s="1411"/>
      <c r="BZ432" s="1438"/>
      <c r="CA432" s="1438"/>
      <c r="CB432" s="1496"/>
      <c r="CC432" s="1496"/>
      <c r="CD432" s="1496"/>
      <c r="CE432" s="1496"/>
      <c r="CF432" s="1438"/>
      <c r="CG432" s="1438"/>
      <c r="CH432" s="1438"/>
      <c r="CI432" s="1438"/>
      <c r="CJ432" s="1438"/>
      <c r="CK432" s="1438"/>
      <c r="CU432" s="1411"/>
      <c r="CV432" s="1411"/>
      <c r="CW432" s="1425"/>
      <c r="CX432" s="1425"/>
      <c r="CY432" s="1425"/>
      <c r="CZ432" s="1425"/>
      <c r="DA432" s="1411"/>
      <c r="DB432" s="1411"/>
      <c r="DC432" s="1411"/>
      <c r="DD432" s="1411"/>
      <c r="DE432" s="1411"/>
      <c r="DF432" s="1411"/>
      <c r="DH432" s="1432"/>
      <c r="DI432" s="1432"/>
      <c r="DJ432" s="1437"/>
      <c r="DK432" s="1437"/>
      <c r="DL432" s="1437"/>
      <c r="DM432" s="1437"/>
      <c r="DN432" s="1432"/>
      <c r="DO432" s="1432"/>
      <c r="DP432" s="1432"/>
      <c r="DQ432" s="1432"/>
      <c r="DR432" s="1432"/>
      <c r="DS432" s="1432"/>
      <c r="DT432" s="1316"/>
      <c r="DU432" s="1433"/>
      <c r="DV432" s="1433"/>
      <c r="DW432" s="1433"/>
      <c r="DX432" s="1433"/>
      <c r="DY432" s="1433"/>
      <c r="DZ432" s="1433"/>
      <c r="EA432" s="1433"/>
      <c r="EB432" s="1433"/>
    </row>
    <row r="433" customFormat="false" ht="14.25" hidden="false" customHeight="false" outlineLevel="0" collapsed="false">
      <c r="A433" s="2" t="n">
        <f aca="false">'V_DATOS PAC_SGA'!CC428</f>
        <v>0</v>
      </c>
      <c r="B433" s="2" t="n">
        <f aca="false">IF(OR(A433=0,A433=""),0,IF(I433="IV",CONCATENATE('V_DATOS PAC_SGA'!CC428,"4")+0,CONCATENATE('V_DATOS PAC_SGA'!CC428,"0")+0))</f>
        <v>0</v>
      </c>
      <c r="C433" s="2" t="n">
        <f aca="false">'V_DATOS PAC_SGA'!CD428</f>
        <v>0</v>
      </c>
      <c r="D433" s="1409" t="n">
        <f aca="false">'V_DATOS PAC_SGA'!Y428</f>
        <v>0</v>
      </c>
      <c r="E433" s="1410" t="str">
        <f aca="false">IF('V_DATOS PAC_SGA'!AV428="","Regadio",'V_DATOS PAC_SGA'!AV428)</f>
        <v>Regadio</v>
      </c>
      <c r="F433" s="1411" t="n">
        <f aca="false">'V_DATOS PAC_SGA'!BK428</f>
        <v>0</v>
      </c>
      <c r="G433" s="1412" t="n">
        <f aca="false">'V_DATOS PAC_SGA'!AN428</f>
        <v>0</v>
      </c>
      <c r="H433" s="1413" t="str">
        <f aca="false">IF(B433&gt;0,VLOOKUP(B433,'O_MN, PE_UTA_UGM 2024'!E$3:O$419,10),"")</f>
        <v/>
      </c>
      <c r="I433" s="1359" t="str">
        <f aca="false">IF('V_DATOS PAC_SGA'!BV428="IV",'V_DATOS PAC_SGA'!BV428,"")</f>
        <v/>
      </c>
      <c r="J433" s="2" t="str">
        <f aca="false">IF($A433&gt;0,IF(AND(J$4=$G433,J$6=$F433),$D433*J$5,""),"")</f>
        <v/>
      </c>
      <c r="K433" s="2" t="str">
        <f aca="false">IF($A433&gt;0,IF(AND(K$4=$G433,K$6=$F433),$D433*K$5,""),"")</f>
        <v/>
      </c>
      <c r="L433" s="2" t="str">
        <f aca="false">IF($A433&gt;0,IF(AND(L$4=$G433,L$6=$F433),$D433*L$5,""),"")</f>
        <v/>
      </c>
      <c r="M433" s="2" t="str">
        <f aca="false">IF($A433&gt;0,IF(AND(M$4=$G433,M$6=$F433),$D433*M$5,""),"")</f>
        <v/>
      </c>
      <c r="N433" s="1508" t="n">
        <f aca="false">VLOOKUP(B433,'O_MN, PE_UTA_UGM 2024'!$E$2:$K$419,IF(G433&gt;1,6,7))</f>
        <v>0</v>
      </c>
      <c r="O433" s="1434" t="str">
        <f aca="false">IF($H433=O$4,$D433*$N433,"")</f>
        <v/>
      </c>
      <c r="P433" s="1435" t="str">
        <f aca="false">IF($H433=P$4,$D433*$N433,"")</f>
        <v/>
      </c>
      <c r="Q433" s="1435" t="str">
        <f aca="false">IF($H433=Q$4,$D433*$N433,"")</f>
        <v/>
      </c>
      <c r="R433" s="1435" t="str">
        <f aca="false">IF($H433=R$4,$D433*$N433,"")</f>
        <v/>
      </c>
      <c r="S433" s="1435" t="str">
        <f aca="false">IF($H433=S$4,$D433*$N433,"")</f>
        <v/>
      </c>
      <c r="T433" s="1435" t="str">
        <f aca="false">IF($H433=T$4,$D433*$N433,"")</f>
        <v/>
      </c>
      <c r="U433" s="1436" t="str">
        <f aca="false">IF($H433=U$4,$D433*$N433,"")</f>
        <v/>
      </c>
      <c r="V433" s="1472"/>
      <c r="W433" s="1471"/>
      <c r="X433" s="1471"/>
      <c r="Y433" s="1471"/>
      <c r="Z433" s="1471"/>
      <c r="AA433" s="1471"/>
      <c r="AB433" s="1473"/>
      <c r="AC433" s="1319"/>
      <c r="AD433" s="2" t="str">
        <f aca="false">IF(AND(AD$4=$G433,AD$6=$F433),$B433,"")</f>
        <v/>
      </c>
      <c r="AE433" s="2" t="str">
        <f aca="false">IF(AND(AE$4=$G433,AE$6=$F433),$B433,"")</f>
        <v/>
      </c>
      <c r="AF433" s="2" t="str">
        <f aca="false">IF(AND(AF$4=$G433,AF$6=$F433),$B433,"")</f>
        <v/>
      </c>
      <c r="AG433" s="2" t="str">
        <f aca="false">IF(AND(AG$4=$G433,AG$6=$F433),$B433,"")</f>
        <v/>
      </c>
      <c r="AI433" s="366"/>
      <c r="AL433" s="367"/>
      <c r="AO433" s="367"/>
      <c r="AR433" s="1411"/>
      <c r="AT433" s="1422"/>
      <c r="AU433" s="1411"/>
      <c r="AV433" s="1411"/>
      <c r="AW433" s="1423"/>
      <c r="AX433" s="1423"/>
      <c r="AZ433" s="1503"/>
      <c r="BA433" s="1503"/>
      <c r="BB433" s="1503"/>
      <c r="BC433" s="1503"/>
      <c r="BD433" s="1503"/>
      <c r="BE433" s="1503"/>
      <c r="BF433" s="1503"/>
      <c r="BG433" s="1503"/>
      <c r="BH433" s="1504"/>
      <c r="BI433" s="1504"/>
      <c r="BJ433" s="1504"/>
      <c r="BK433" s="1504"/>
      <c r="BM433" s="1411"/>
      <c r="BN433" s="1411"/>
      <c r="BO433" s="1425"/>
      <c r="BP433" s="1425"/>
      <c r="BQ433" s="1425"/>
      <c r="BR433" s="1425"/>
      <c r="BS433" s="1411"/>
      <c r="BT433" s="1411"/>
      <c r="BU433" s="1411"/>
      <c r="BV433" s="1411"/>
      <c r="BW433" s="1411"/>
      <c r="BX433" s="1411"/>
      <c r="BZ433" s="1438"/>
      <c r="CA433" s="1438"/>
      <c r="CB433" s="1496"/>
      <c r="CC433" s="1496"/>
      <c r="CD433" s="1496"/>
      <c r="CE433" s="1496"/>
      <c r="CF433" s="1438"/>
      <c r="CG433" s="1438"/>
      <c r="CH433" s="1438"/>
      <c r="CI433" s="1438"/>
      <c r="CJ433" s="1438"/>
      <c r="CK433" s="1438"/>
      <c r="CU433" s="1411"/>
      <c r="CV433" s="1411"/>
      <c r="CW433" s="1425"/>
      <c r="CX433" s="1425"/>
      <c r="CY433" s="1425"/>
      <c r="CZ433" s="1425"/>
      <c r="DA433" s="1411"/>
      <c r="DB433" s="1411"/>
      <c r="DC433" s="1411"/>
      <c r="DD433" s="1411"/>
      <c r="DE433" s="1411"/>
      <c r="DF433" s="1411"/>
      <c r="DH433" s="1432"/>
      <c r="DI433" s="1432"/>
      <c r="DJ433" s="1437"/>
      <c r="DK433" s="1437"/>
      <c r="DL433" s="1437"/>
      <c r="DM433" s="1437"/>
      <c r="DN433" s="1432"/>
      <c r="DO433" s="1432"/>
      <c r="DP433" s="1432"/>
      <c r="DQ433" s="1432"/>
      <c r="DR433" s="1432"/>
      <c r="DS433" s="1432"/>
      <c r="DT433" s="1316"/>
      <c r="DU433" s="1433"/>
      <c r="DV433" s="1433"/>
      <c r="DW433" s="1433"/>
      <c r="DX433" s="1433"/>
      <c r="DY433" s="1433"/>
      <c r="DZ433" s="1433"/>
      <c r="EA433" s="1433"/>
      <c r="EB433" s="1433"/>
    </row>
    <row r="434" customFormat="false" ht="14.25" hidden="false" customHeight="false" outlineLevel="0" collapsed="false">
      <c r="A434" s="2" t="n">
        <f aca="false">'V_DATOS PAC_SGA'!CC429</f>
        <v>0</v>
      </c>
      <c r="B434" s="2" t="n">
        <f aca="false">IF(OR(A434=0,A434=""),0,IF(I434="IV",CONCATENATE('V_DATOS PAC_SGA'!CC429,"4")+0,CONCATENATE('V_DATOS PAC_SGA'!CC429,"0")+0))</f>
        <v>0</v>
      </c>
      <c r="C434" s="2" t="n">
        <f aca="false">'V_DATOS PAC_SGA'!CD429</f>
        <v>0</v>
      </c>
      <c r="D434" s="1409" t="n">
        <f aca="false">'V_DATOS PAC_SGA'!Y429</f>
        <v>0</v>
      </c>
      <c r="E434" s="1410" t="str">
        <f aca="false">IF('V_DATOS PAC_SGA'!AV429="","Regadio",'V_DATOS PAC_SGA'!AV429)</f>
        <v>Regadio</v>
      </c>
      <c r="F434" s="1411" t="n">
        <f aca="false">'V_DATOS PAC_SGA'!BK429</f>
        <v>0</v>
      </c>
      <c r="G434" s="1412" t="n">
        <f aca="false">'V_DATOS PAC_SGA'!AN429</f>
        <v>0</v>
      </c>
      <c r="H434" s="1413" t="str">
        <f aca="false">IF(B434&gt;0,VLOOKUP(B434,'O_MN, PE_UTA_UGM 2024'!E$3:O$419,10),"")</f>
        <v/>
      </c>
      <c r="I434" s="1359" t="str">
        <f aca="false">IF('V_DATOS PAC_SGA'!BV429="IV",'V_DATOS PAC_SGA'!BV429,"")</f>
        <v/>
      </c>
      <c r="J434" s="2" t="str">
        <f aca="false">IF($A434&gt;0,IF(AND(J$4=$G434,J$6=$F434),$D434*J$5,""),"")</f>
        <v/>
      </c>
      <c r="K434" s="2" t="str">
        <f aca="false">IF($A434&gt;0,IF(AND(K$4=$G434,K$6=$F434),$D434*K$5,""),"")</f>
        <v/>
      </c>
      <c r="L434" s="2" t="str">
        <f aca="false">IF($A434&gt;0,IF(AND(L$4=$G434,L$6=$F434),$D434*L$5,""),"")</f>
        <v/>
      </c>
      <c r="M434" s="2" t="str">
        <f aca="false">IF($A434&gt;0,IF(AND(M$4=$G434,M$6=$F434),$D434*M$5,""),"")</f>
        <v/>
      </c>
      <c r="N434" s="1508" t="n">
        <f aca="false">VLOOKUP(B434,'O_MN, PE_UTA_UGM 2024'!$E$2:$K$419,IF(G434&gt;1,6,7))</f>
        <v>0</v>
      </c>
      <c r="O434" s="1434" t="str">
        <f aca="false">IF($H434=O$4,$D434*$N434,"")</f>
        <v/>
      </c>
      <c r="P434" s="1435" t="str">
        <f aca="false">IF($H434=P$4,$D434*$N434,"")</f>
        <v/>
      </c>
      <c r="Q434" s="1435" t="str">
        <f aca="false">IF($H434=Q$4,$D434*$N434,"")</f>
        <v/>
      </c>
      <c r="R434" s="1435" t="str">
        <f aca="false">IF($H434=R$4,$D434*$N434,"")</f>
        <v/>
      </c>
      <c r="S434" s="1435" t="str">
        <f aca="false">IF($H434=S$4,$D434*$N434,"")</f>
        <v/>
      </c>
      <c r="T434" s="1435" t="str">
        <f aca="false">IF($H434=T$4,$D434*$N434,"")</f>
        <v/>
      </c>
      <c r="U434" s="1436" t="str">
        <f aca="false">IF($H434=U$4,$D434*$N434,"")</f>
        <v/>
      </c>
      <c r="V434" s="1472"/>
      <c r="W434" s="1471"/>
      <c r="X434" s="1471"/>
      <c r="Y434" s="1471"/>
      <c r="Z434" s="1471"/>
      <c r="AA434" s="1471"/>
      <c r="AB434" s="1473"/>
      <c r="AC434" s="1319"/>
      <c r="AD434" s="2" t="str">
        <f aca="false">IF(AND(AD$4=$G434,AD$6=$F434),$B434,"")</f>
        <v/>
      </c>
      <c r="AE434" s="2" t="str">
        <f aca="false">IF(AND(AE$4=$G434,AE$6=$F434),$B434,"")</f>
        <v/>
      </c>
      <c r="AF434" s="2" t="str">
        <f aca="false">IF(AND(AF$4=$G434,AF$6=$F434),$B434,"")</f>
        <v/>
      </c>
      <c r="AG434" s="2" t="str">
        <f aca="false">IF(AND(AG$4=$G434,AG$6=$F434),$B434,"")</f>
        <v/>
      </c>
      <c r="AI434" s="366"/>
      <c r="AL434" s="367"/>
      <c r="AO434" s="367"/>
      <c r="AR434" s="1411"/>
      <c r="AT434" s="1422"/>
      <c r="AU434" s="1411"/>
      <c r="AV434" s="1411"/>
      <c r="AW434" s="1423"/>
      <c r="AX434" s="1423"/>
      <c r="AZ434" s="1503"/>
      <c r="BA434" s="1503"/>
      <c r="BB434" s="1503"/>
      <c r="BC434" s="1503"/>
      <c r="BD434" s="1503"/>
      <c r="BE434" s="1503"/>
      <c r="BF434" s="1503"/>
      <c r="BG434" s="1503"/>
      <c r="BH434" s="1504"/>
      <c r="BI434" s="1504"/>
      <c r="BJ434" s="1504"/>
      <c r="BK434" s="1504"/>
      <c r="BM434" s="1411"/>
      <c r="BN434" s="1411"/>
      <c r="BO434" s="1425"/>
      <c r="BP434" s="1425"/>
      <c r="BQ434" s="1425"/>
      <c r="BR434" s="1425"/>
      <c r="BS434" s="1411"/>
      <c r="BT434" s="1411"/>
      <c r="BU434" s="1411"/>
      <c r="BV434" s="1411"/>
      <c r="BW434" s="1411"/>
      <c r="BX434" s="1411"/>
      <c r="BZ434" s="1438"/>
      <c r="CA434" s="1438"/>
      <c r="CB434" s="1496"/>
      <c r="CC434" s="1496"/>
      <c r="CD434" s="1496"/>
      <c r="CE434" s="1496"/>
      <c r="CF434" s="1438"/>
      <c r="CG434" s="1438"/>
      <c r="CH434" s="1438"/>
      <c r="CI434" s="1438"/>
      <c r="CJ434" s="1438"/>
      <c r="CK434" s="1438"/>
      <c r="CU434" s="1411"/>
      <c r="CV434" s="1411"/>
      <c r="CW434" s="1425"/>
      <c r="CX434" s="1425"/>
      <c r="CY434" s="1425"/>
      <c r="CZ434" s="1425"/>
      <c r="DA434" s="1411"/>
      <c r="DB434" s="1411"/>
      <c r="DC434" s="1411"/>
      <c r="DD434" s="1411"/>
      <c r="DE434" s="1411"/>
      <c r="DF434" s="1411"/>
      <c r="DH434" s="1432"/>
      <c r="DI434" s="1432"/>
      <c r="DJ434" s="1437"/>
      <c r="DK434" s="1437"/>
      <c r="DL434" s="1437"/>
      <c r="DM434" s="1437"/>
      <c r="DN434" s="1432"/>
      <c r="DO434" s="1432"/>
      <c r="DP434" s="1432"/>
      <c r="DQ434" s="1432"/>
      <c r="DR434" s="1432"/>
      <c r="DS434" s="1432"/>
      <c r="DT434" s="1316"/>
      <c r="DU434" s="1433"/>
      <c r="DV434" s="1433"/>
      <c r="DW434" s="1433"/>
      <c r="DX434" s="1433"/>
      <c r="DY434" s="1433"/>
      <c r="DZ434" s="1433"/>
      <c r="EA434" s="1433"/>
      <c r="EB434" s="1433"/>
    </row>
    <row r="435" customFormat="false" ht="14.25" hidden="false" customHeight="false" outlineLevel="0" collapsed="false">
      <c r="A435" s="2" t="n">
        <f aca="false">'V_DATOS PAC_SGA'!CC430</f>
        <v>0</v>
      </c>
      <c r="B435" s="2" t="n">
        <f aca="false">IF(OR(A435=0,A435=""),0,IF(I435="IV",CONCATENATE('V_DATOS PAC_SGA'!CC430,"4")+0,CONCATENATE('V_DATOS PAC_SGA'!CC430,"0")+0))</f>
        <v>0</v>
      </c>
      <c r="C435" s="2" t="n">
        <f aca="false">'V_DATOS PAC_SGA'!CD430</f>
        <v>0</v>
      </c>
      <c r="D435" s="1409" t="n">
        <f aca="false">'V_DATOS PAC_SGA'!Y430</f>
        <v>0</v>
      </c>
      <c r="E435" s="1410" t="str">
        <f aca="false">IF('V_DATOS PAC_SGA'!AV430="","Regadio",'V_DATOS PAC_SGA'!AV430)</f>
        <v>Regadio</v>
      </c>
      <c r="F435" s="1411" t="n">
        <f aca="false">'V_DATOS PAC_SGA'!BK430</f>
        <v>0</v>
      </c>
      <c r="G435" s="1412" t="n">
        <f aca="false">'V_DATOS PAC_SGA'!AN430</f>
        <v>0</v>
      </c>
      <c r="H435" s="1413" t="str">
        <f aca="false">IF(B435&gt;0,VLOOKUP(B435,'O_MN, PE_UTA_UGM 2024'!E$3:O$419,10),"")</f>
        <v/>
      </c>
      <c r="I435" s="1359" t="str">
        <f aca="false">IF('V_DATOS PAC_SGA'!BV430="IV",'V_DATOS PAC_SGA'!BV430,"")</f>
        <v/>
      </c>
      <c r="J435" s="2" t="str">
        <f aca="false">IF($A435&gt;0,IF(AND(J$4=$G435,J$6=$F435),$D435*J$5,""),"")</f>
        <v/>
      </c>
      <c r="K435" s="2" t="str">
        <f aca="false">IF($A435&gt;0,IF(AND(K$4=$G435,K$6=$F435),$D435*K$5,""),"")</f>
        <v/>
      </c>
      <c r="L435" s="2" t="str">
        <f aca="false">IF($A435&gt;0,IF(AND(L$4=$G435,L$6=$F435),$D435*L$5,""),"")</f>
        <v/>
      </c>
      <c r="M435" s="2" t="str">
        <f aca="false">IF($A435&gt;0,IF(AND(M$4=$G435,M$6=$F435),$D435*M$5,""),"")</f>
        <v/>
      </c>
      <c r="N435" s="1508" t="n">
        <f aca="false">VLOOKUP(B435,'O_MN, PE_UTA_UGM 2024'!$E$2:$K$419,IF(G435&gt;1,6,7))</f>
        <v>0</v>
      </c>
      <c r="O435" s="1434" t="str">
        <f aca="false">IF($H435=O$4,$D435*$N435,"")</f>
        <v/>
      </c>
      <c r="P435" s="1435" t="str">
        <f aca="false">IF($H435=P$4,$D435*$N435,"")</f>
        <v/>
      </c>
      <c r="Q435" s="1435" t="str">
        <f aca="false">IF($H435=Q$4,$D435*$N435,"")</f>
        <v/>
      </c>
      <c r="R435" s="1435" t="str">
        <f aca="false">IF($H435=R$4,$D435*$N435,"")</f>
        <v/>
      </c>
      <c r="S435" s="1435" t="str">
        <f aca="false">IF($H435=S$4,$D435*$N435,"")</f>
        <v/>
      </c>
      <c r="T435" s="1435" t="str">
        <f aca="false">IF($H435=T$4,$D435*$N435,"")</f>
        <v/>
      </c>
      <c r="U435" s="1436" t="str">
        <f aca="false">IF($H435=U$4,$D435*$N435,"")</f>
        <v/>
      </c>
      <c r="V435" s="1472"/>
      <c r="W435" s="1471"/>
      <c r="X435" s="1471"/>
      <c r="Y435" s="1471"/>
      <c r="Z435" s="1471"/>
      <c r="AA435" s="1471"/>
      <c r="AB435" s="1473"/>
      <c r="AC435" s="1319"/>
      <c r="AD435" s="2" t="str">
        <f aca="false">IF(AND(AD$4=$G435,AD$6=$F435),$B435,"")</f>
        <v/>
      </c>
      <c r="AE435" s="2" t="str">
        <f aca="false">IF(AND(AE$4=$G435,AE$6=$F435),$B435,"")</f>
        <v/>
      </c>
      <c r="AF435" s="2" t="str">
        <f aca="false">IF(AND(AF$4=$G435,AF$6=$F435),$B435,"")</f>
        <v/>
      </c>
      <c r="AG435" s="2" t="str">
        <f aca="false">IF(AND(AG$4=$G435,AG$6=$F435),$B435,"")</f>
        <v/>
      </c>
      <c r="AI435" s="366"/>
      <c r="AL435" s="367"/>
      <c r="AO435" s="367"/>
      <c r="AR435" s="1411"/>
      <c r="AT435" s="1422"/>
      <c r="AU435" s="1411"/>
      <c r="AV435" s="1411"/>
      <c r="AW435" s="1423"/>
      <c r="AX435" s="1423"/>
      <c r="AZ435" s="1503"/>
      <c r="BA435" s="1503"/>
      <c r="BB435" s="1503"/>
      <c r="BC435" s="1503"/>
      <c r="BD435" s="1503"/>
      <c r="BE435" s="1503"/>
      <c r="BF435" s="1503"/>
      <c r="BG435" s="1503"/>
      <c r="BH435" s="1504"/>
      <c r="BI435" s="1504"/>
      <c r="BJ435" s="1504"/>
      <c r="BK435" s="1504"/>
      <c r="BM435" s="1411"/>
      <c r="BN435" s="1411"/>
      <c r="BO435" s="1425"/>
      <c r="BP435" s="1425"/>
      <c r="BQ435" s="1425"/>
      <c r="BR435" s="1425"/>
      <c r="BS435" s="1411"/>
      <c r="BT435" s="1411"/>
      <c r="BU435" s="1411"/>
      <c r="BV435" s="1411"/>
      <c r="BW435" s="1411"/>
      <c r="BX435" s="1411"/>
      <c r="BZ435" s="1438"/>
      <c r="CA435" s="1438"/>
      <c r="CB435" s="1496"/>
      <c r="CC435" s="1496"/>
      <c r="CD435" s="1496"/>
      <c r="CE435" s="1496"/>
      <c r="CF435" s="1438"/>
      <c r="CG435" s="1438"/>
      <c r="CH435" s="1438"/>
      <c r="CI435" s="1438"/>
      <c r="CJ435" s="1438"/>
      <c r="CK435" s="1438"/>
      <c r="CU435" s="1411"/>
      <c r="CV435" s="1411"/>
      <c r="CW435" s="1425"/>
      <c r="CX435" s="1425"/>
      <c r="CY435" s="1425"/>
      <c r="CZ435" s="1425"/>
      <c r="DA435" s="1411"/>
      <c r="DB435" s="1411"/>
      <c r="DC435" s="1411"/>
      <c r="DD435" s="1411"/>
      <c r="DE435" s="1411"/>
      <c r="DF435" s="1411"/>
      <c r="DH435" s="1432"/>
      <c r="DI435" s="1432"/>
      <c r="DJ435" s="1437"/>
      <c r="DK435" s="1437"/>
      <c r="DL435" s="1437"/>
      <c r="DM435" s="1437"/>
      <c r="DN435" s="1432"/>
      <c r="DO435" s="1432"/>
      <c r="DP435" s="1432"/>
      <c r="DQ435" s="1432"/>
      <c r="DR435" s="1432"/>
      <c r="DS435" s="1432"/>
      <c r="DT435" s="1316"/>
      <c r="DU435" s="1433"/>
      <c r="DV435" s="1433"/>
      <c r="DW435" s="1433"/>
      <c r="DX435" s="1433"/>
      <c r="DY435" s="1433"/>
      <c r="DZ435" s="1433"/>
      <c r="EA435" s="1433"/>
      <c r="EB435" s="1433"/>
    </row>
    <row r="436" customFormat="false" ht="14.25" hidden="false" customHeight="false" outlineLevel="0" collapsed="false">
      <c r="A436" s="2" t="n">
        <f aca="false">'V_DATOS PAC_SGA'!CC431</f>
        <v>0</v>
      </c>
      <c r="B436" s="2" t="n">
        <f aca="false">IF(OR(A436=0,A436=""),0,IF(I436="IV",CONCATENATE('V_DATOS PAC_SGA'!CC431,"4")+0,CONCATENATE('V_DATOS PAC_SGA'!CC431,"0")+0))</f>
        <v>0</v>
      </c>
      <c r="C436" s="2" t="n">
        <f aca="false">'V_DATOS PAC_SGA'!CD431</f>
        <v>0</v>
      </c>
      <c r="D436" s="1409" t="n">
        <f aca="false">'V_DATOS PAC_SGA'!Y431</f>
        <v>0</v>
      </c>
      <c r="E436" s="1410" t="str">
        <f aca="false">IF('V_DATOS PAC_SGA'!AV431="","Regadio",'V_DATOS PAC_SGA'!AV431)</f>
        <v>Regadio</v>
      </c>
      <c r="F436" s="1411" t="n">
        <f aca="false">'V_DATOS PAC_SGA'!BK431</f>
        <v>0</v>
      </c>
      <c r="G436" s="1412" t="n">
        <f aca="false">'V_DATOS PAC_SGA'!AN431</f>
        <v>0</v>
      </c>
      <c r="H436" s="1413" t="str">
        <f aca="false">IF(B436&gt;0,VLOOKUP(B436,'O_MN, PE_UTA_UGM 2024'!E$3:O$419,10),"")</f>
        <v/>
      </c>
      <c r="I436" s="1359" t="str">
        <f aca="false">IF('V_DATOS PAC_SGA'!BV431="IV",'V_DATOS PAC_SGA'!BV431,"")</f>
        <v/>
      </c>
      <c r="J436" s="2" t="str">
        <f aca="false">IF($A436&gt;0,IF(AND(J$4=$G436,J$6=$F436),$D436*J$5,""),"")</f>
        <v/>
      </c>
      <c r="K436" s="2" t="str">
        <f aca="false">IF($A436&gt;0,IF(AND(K$4=$G436,K$6=$F436),$D436*K$5,""),"")</f>
        <v/>
      </c>
      <c r="L436" s="2" t="str">
        <f aca="false">IF($A436&gt;0,IF(AND(L$4=$G436,L$6=$F436),$D436*L$5,""),"")</f>
        <v/>
      </c>
      <c r="M436" s="2" t="str">
        <f aca="false">IF($A436&gt;0,IF(AND(M$4=$G436,M$6=$F436),$D436*M$5,""),"")</f>
        <v/>
      </c>
      <c r="N436" s="1508" t="n">
        <f aca="false">VLOOKUP(B436,'O_MN, PE_UTA_UGM 2024'!$E$2:$K$419,IF(G436&gt;1,6,7))</f>
        <v>0</v>
      </c>
      <c r="O436" s="1434" t="str">
        <f aca="false">IF($H436=O$4,$D436*$N436,"")</f>
        <v/>
      </c>
      <c r="P436" s="1435" t="str">
        <f aca="false">IF($H436=P$4,$D436*$N436,"")</f>
        <v/>
      </c>
      <c r="Q436" s="1435" t="str">
        <f aca="false">IF($H436=Q$4,$D436*$N436,"")</f>
        <v/>
      </c>
      <c r="R436" s="1435" t="str">
        <f aca="false">IF($H436=R$4,$D436*$N436,"")</f>
        <v/>
      </c>
      <c r="S436" s="1435" t="str">
        <f aca="false">IF($H436=S$4,$D436*$N436,"")</f>
        <v/>
      </c>
      <c r="T436" s="1435" t="str">
        <f aca="false">IF($H436=T$4,$D436*$N436,"")</f>
        <v/>
      </c>
      <c r="U436" s="1436" t="str">
        <f aca="false">IF($H436=U$4,$D436*$N436,"")</f>
        <v/>
      </c>
      <c r="V436" s="1472"/>
      <c r="W436" s="1471"/>
      <c r="X436" s="1471"/>
      <c r="Y436" s="1471"/>
      <c r="Z436" s="1471"/>
      <c r="AA436" s="1471"/>
      <c r="AB436" s="1473"/>
      <c r="AC436" s="1319"/>
      <c r="AD436" s="2" t="str">
        <f aca="false">IF(AND(AD$4=$G436,AD$6=$F436),$B436,"")</f>
        <v/>
      </c>
      <c r="AE436" s="2" t="str">
        <f aca="false">IF(AND(AE$4=$G436,AE$6=$F436),$B436,"")</f>
        <v/>
      </c>
      <c r="AF436" s="2" t="str">
        <f aca="false">IF(AND(AF$4=$G436,AF$6=$F436),$B436,"")</f>
        <v/>
      </c>
      <c r="AG436" s="2" t="str">
        <f aca="false">IF(AND(AG$4=$G436,AG$6=$F436),$B436,"")</f>
        <v/>
      </c>
      <c r="AI436" s="366"/>
      <c r="AL436" s="367"/>
      <c r="AO436" s="367"/>
      <c r="AR436" s="1411"/>
      <c r="AT436" s="1422"/>
      <c r="AU436" s="1411"/>
      <c r="AV436" s="1411"/>
      <c r="AW436" s="1423"/>
      <c r="AX436" s="1423"/>
      <c r="AZ436" s="1503"/>
      <c r="BA436" s="1503"/>
      <c r="BB436" s="1503"/>
      <c r="BC436" s="1503"/>
      <c r="BD436" s="1503"/>
      <c r="BE436" s="1503"/>
      <c r="BF436" s="1503"/>
      <c r="BG436" s="1503"/>
      <c r="BH436" s="1504"/>
      <c r="BI436" s="1504"/>
      <c r="BJ436" s="1504"/>
      <c r="BK436" s="1504"/>
      <c r="BM436" s="1411"/>
      <c r="BN436" s="1411"/>
      <c r="BO436" s="1425"/>
      <c r="BP436" s="1425"/>
      <c r="BQ436" s="1425"/>
      <c r="BR436" s="1425"/>
      <c r="BS436" s="1411"/>
      <c r="BT436" s="1411"/>
      <c r="BU436" s="1411"/>
      <c r="BV436" s="1411"/>
      <c r="BW436" s="1411"/>
      <c r="BX436" s="1411"/>
      <c r="BZ436" s="1438"/>
      <c r="CA436" s="1438"/>
      <c r="CB436" s="1496"/>
      <c r="CC436" s="1496"/>
      <c r="CD436" s="1496"/>
      <c r="CE436" s="1496"/>
      <c r="CF436" s="1438"/>
      <c r="CG436" s="1438"/>
      <c r="CH436" s="1438"/>
      <c r="CI436" s="1438"/>
      <c r="CJ436" s="1438"/>
      <c r="CK436" s="1438"/>
      <c r="CU436" s="1411"/>
      <c r="CV436" s="1411"/>
      <c r="CW436" s="1425"/>
      <c r="CX436" s="1425"/>
      <c r="CY436" s="1425"/>
      <c r="CZ436" s="1425"/>
      <c r="DA436" s="1411"/>
      <c r="DB436" s="1411"/>
      <c r="DC436" s="1411"/>
      <c r="DD436" s="1411"/>
      <c r="DE436" s="1411"/>
      <c r="DF436" s="1411"/>
      <c r="DH436" s="1432"/>
      <c r="DI436" s="1432"/>
      <c r="DJ436" s="1437"/>
      <c r="DK436" s="1437"/>
      <c r="DL436" s="1437"/>
      <c r="DM436" s="1437"/>
      <c r="DN436" s="1432"/>
      <c r="DO436" s="1432"/>
      <c r="DP436" s="1432"/>
      <c r="DQ436" s="1432"/>
      <c r="DR436" s="1432"/>
      <c r="DS436" s="1432"/>
      <c r="DT436" s="1316"/>
      <c r="DU436" s="1433"/>
      <c r="DV436" s="1433"/>
      <c r="DW436" s="1433"/>
      <c r="DX436" s="1433"/>
      <c r="DY436" s="1433"/>
      <c r="DZ436" s="1433"/>
      <c r="EA436" s="1433"/>
      <c r="EB436" s="1433"/>
    </row>
    <row r="437" customFormat="false" ht="14.25" hidden="false" customHeight="false" outlineLevel="0" collapsed="false">
      <c r="A437" s="2" t="n">
        <f aca="false">'V_DATOS PAC_SGA'!CC432</f>
        <v>0</v>
      </c>
      <c r="B437" s="2" t="n">
        <f aca="false">IF(OR(A437=0,A437=""),0,IF(I437="IV",CONCATENATE('V_DATOS PAC_SGA'!CC432,"4")+0,CONCATENATE('V_DATOS PAC_SGA'!CC432,"0")+0))</f>
        <v>0</v>
      </c>
      <c r="C437" s="2" t="n">
        <f aca="false">'V_DATOS PAC_SGA'!CD432</f>
        <v>0</v>
      </c>
      <c r="D437" s="1409" t="n">
        <f aca="false">'V_DATOS PAC_SGA'!Y432</f>
        <v>0</v>
      </c>
      <c r="E437" s="1410" t="str">
        <f aca="false">IF('V_DATOS PAC_SGA'!AV432="","Regadio",'V_DATOS PAC_SGA'!AV432)</f>
        <v>Regadio</v>
      </c>
      <c r="F437" s="1411" t="n">
        <f aca="false">'V_DATOS PAC_SGA'!BK432</f>
        <v>0</v>
      </c>
      <c r="G437" s="1412" t="n">
        <f aca="false">'V_DATOS PAC_SGA'!AN432</f>
        <v>0</v>
      </c>
      <c r="H437" s="1413" t="str">
        <f aca="false">IF(B437&gt;0,VLOOKUP(B437,'O_MN, PE_UTA_UGM 2024'!E$3:O$419,10),"")</f>
        <v/>
      </c>
      <c r="I437" s="1359" t="str">
        <f aca="false">IF('V_DATOS PAC_SGA'!BV432="IV",'V_DATOS PAC_SGA'!BV432,"")</f>
        <v/>
      </c>
      <c r="J437" s="2" t="str">
        <f aca="false">IF($A437&gt;0,IF(AND(J$4=$G437,J$6=$F437),$D437*J$5,""),"")</f>
        <v/>
      </c>
      <c r="K437" s="2" t="str">
        <f aca="false">IF($A437&gt;0,IF(AND(K$4=$G437,K$6=$F437),$D437*K$5,""),"")</f>
        <v/>
      </c>
      <c r="L437" s="2" t="str">
        <f aca="false">IF($A437&gt;0,IF(AND(L$4=$G437,L$6=$F437),$D437*L$5,""),"")</f>
        <v/>
      </c>
      <c r="M437" s="2" t="str">
        <f aca="false">IF($A437&gt;0,IF(AND(M$4=$G437,M$6=$F437),$D437*M$5,""),"")</f>
        <v/>
      </c>
      <c r="N437" s="1508" t="n">
        <f aca="false">VLOOKUP(B437,'O_MN, PE_UTA_UGM 2024'!$E$2:$K$419,IF(G437&gt;1,6,7))</f>
        <v>0</v>
      </c>
      <c r="O437" s="1434" t="str">
        <f aca="false">IF($H437=O$4,$D437*$N437,"")</f>
        <v/>
      </c>
      <c r="P437" s="1435" t="str">
        <f aca="false">IF($H437=P$4,$D437*$N437,"")</f>
        <v/>
      </c>
      <c r="Q437" s="1435" t="str">
        <f aca="false">IF($H437=Q$4,$D437*$N437,"")</f>
        <v/>
      </c>
      <c r="R437" s="1435" t="str">
        <f aca="false">IF($H437=R$4,$D437*$N437,"")</f>
        <v/>
      </c>
      <c r="S437" s="1435" t="str">
        <f aca="false">IF($H437=S$4,$D437*$N437,"")</f>
        <v/>
      </c>
      <c r="T437" s="1435" t="str">
        <f aca="false">IF($H437=T$4,$D437*$N437,"")</f>
        <v/>
      </c>
      <c r="U437" s="1436" t="str">
        <f aca="false">IF($H437=U$4,$D437*$N437,"")</f>
        <v/>
      </c>
      <c r="V437" s="1472"/>
      <c r="W437" s="1471"/>
      <c r="X437" s="1471"/>
      <c r="Y437" s="1471"/>
      <c r="Z437" s="1471"/>
      <c r="AA437" s="1471"/>
      <c r="AB437" s="1473"/>
      <c r="AC437" s="1319"/>
      <c r="AD437" s="2" t="str">
        <f aca="false">IF(AND(AD$4=$G437,AD$6=$F437),$B437,"")</f>
        <v/>
      </c>
      <c r="AE437" s="2" t="str">
        <f aca="false">IF(AND(AE$4=$G437,AE$6=$F437),$B437,"")</f>
        <v/>
      </c>
      <c r="AF437" s="2" t="str">
        <f aca="false">IF(AND(AF$4=$G437,AF$6=$F437),$B437,"")</f>
        <v/>
      </c>
      <c r="AG437" s="2" t="str">
        <f aca="false">IF(AND(AG$4=$G437,AG$6=$F437),$B437,"")</f>
        <v/>
      </c>
      <c r="AI437" s="366"/>
      <c r="AL437" s="367"/>
      <c r="AO437" s="367"/>
      <c r="AR437" s="1411"/>
      <c r="AT437" s="1422"/>
      <c r="AU437" s="1411"/>
      <c r="AV437" s="1411"/>
      <c r="AW437" s="1423"/>
      <c r="AX437" s="1423"/>
      <c r="AZ437" s="1503"/>
      <c r="BA437" s="1503"/>
      <c r="BB437" s="1503"/>
      <c r="BC437" s="1503"/>
      <c r="BD437" s="1503"/>
      <c r="BE437" s="1503"/>
      <c r="BF437" s="1503"/>
      <c r="BG437" s="1503"/>
      <c r="BH437" s="1504"/>
      <c r="BI437" s="1504"/>
      <c r="BJ437" s="1504"/>
      <c r="BK437" s="1504"/>
      <c r="BM437" s="1411"/>
      <c r="BN437" s="1411"/>
      <c r="BO437" s="1425"/>
      <c r="BP437" s="1425"/>
      <c r="BQ437" s="1425"/>
      <c r="BR437" s="1425"/>
      <c r="BS437" s="1411"/>
      <c r="BT437" s="1411"/>
      <c r="BU437" s="1411"/>
      <c r="BV437" s="1411"/>
      <c r="BW437" s="1411"/>
      <c r="BX437" s="1411"/>
      <c r="BZ437" s="1438"/>
      <c r="CA437" s="1438"/>
      <c r="CB437" s="1496"/>
      <c r="CC437" s="1496"/>
      <c r="CD437" s="1496"/>
      <c r="CE437" s="1496"/>
      <c r="CF437" s="1438"/>
      <c r="CG437" s="1438"/>
      <c r="CH437" s="1438"/>
      <c r="CI437" s="1438"/>
      <c r="CJ437" s="1438"/>
      <c r="CK437" s="1438"/>
      <c r="CU437" s="1411"/>
      <c r="CV437" s="1411"/>
      <c r="CW437" s="1425"/>
      <c r="CX437" s="1425"/>
      <c r="CY437" s="1425"/>
      <c r="CZ437" s="1425"/>
      <c r="DA437" s="1411"/>
      <c r="DB437" s="1411"/>
      <c r="DC437" s="1411"/>
      <c r="DD437" s="1411"/>
      <c r="DE437" s="1411"/>
      <c r="DF437" s="1411"/>
      <c r="DH437" s="1432"/>
      <c r="DI437" s="1432"/>
      <c r="DJ437" s="1437"/>
      <c r="DK437" s="1437"/>
      <c r="DL437" s="1437"/>
      <c r="DM437" s="1437"/>
      <c r="DN437" s="1432"/>
      <c r="DO437" s="1432"/>
      <c r="DP437" s="1432"/>
      <c r="DQ437" s="1432"/>
      <c r="DR437" s="1432"/>
      <c r="DS437" s="1432"/>
      <c r="DT437" s="1316"/>
      <c r="DU437" s="1433"/>
      <c r="DV437" s="1433"/>
      <c r="DW437" s="1433"/>
      <c r="DX437" s="1433"/>
      <c r="DY437" s="1433"/>
      <c r="DZ437" s="1433"/>
      <c r="EA437" s="1433"/>
      <c r="EB437" s="1433"/>
    </row>
    <row r="438" customFormat="false" ht="14.25" hidden="false" customHeight="false" outlineLevel="0" collapsed="false">
      <c r="A438" s="2" t="n">
        <f aca="false">'V_DATOS PAC_SGA'!CC433</f>
        <v>0</v>
      </c>
      <c r="B438" s="2" t="n">
        <f aca="false">IF(OR(A438=0,A438=""),0,IF(I438="IV",CONCATENATE('V_DATOS PAC_SGA'!CC433,"4")+0,CONCATENATE('V_DATOS PAC_SGA'!CC433,"0")+0))</f>
        <v>0</v>
      </c>
      <c r="C438" s="2" t="n">
        <f aca="false">'V_DATOS PAC_SGA'!CD433</f>
        <v>0</v>
      </c>
      <c r="D438" s="1409" t="n">
        <f aca="false">'V_DATOS PAC_SGA'!Y433</f>
        <v>0</v>
      </c>
      <c r="E438" s="1410" t="str">
        <f aca="false">IF('V_DATOS PAC_SGA'!AV433="","Regadio",'V_DATOS PAC_SGA'!AV433)</f>
        <v>Regadio</v>
      </c>
      <c r="F438" s="1411" t="n">
        <f aca="false">'V_DATOS PAC_SGA'!BK433</f>
        <v>0</v>
      </c>
      <c r="G438" s="1412" t="n">
        <f aca="false">'V_DATOS PAC_SGA'!AN433</f>
        <v>0</v>
      </c>
      <c r="H438" s="1413" t="str">
        <f aca="false">IF(B438&gt;0,VLOOKUP(B438,'O_MN, PE_UTA_UGM 2024'!E$3:O$419,10),"")</f>
        <v/>
      </c>
      <c r="I438" s="1359" t="str">
        <f aca="false">IF('V_DATOS PAC_SGA'!BV433="IV",'V_DATOS PAC_SGA'!BV433,"")</f>
        <v/>
      </c>
      <c r="J438" s="2" t="str">
        <f aca="false">IF($A438&gt;0,IF(AND(J$4=$G438,J$6=$F438),$D438*J$5,""),"")</f>
        <v/>
      </c>
      <c r="K438" s="2" t="str">
        <f aca="false">IF($A438&gt;0,IF(AND(K$4=$G438,K$6=$F438),$D438*K$5,""),"")</f>
        <v/>
      </c>
      <c r="L438" s="2" t="str">
        <f aca="false">IF($A438&gt;0,IF(AND(L$4=$G438,L$6=$F438),$D438*L$5,""),"")</f>
        <v/>
      </c>
      <c r="M438" s="2" t="str">
        <f aca="false">IF($A438&gt;0,IF(AND(M$4=$G438,M$6=$F438),$D438*M$5,""),"")</f>
        <v/>
      </c>
      <c r="N438" s="1508" t="n">
        <f aca="false">VLOOKUP(B438,'O_MN, PE_UTA_UGM 2024'!$E$2:$K$419,IF(G438&gt;1,6,7))</f>
        <v>0</v>
      </c>
      <c r="O438" s="1434" t="str">
        <f aca="false">IF($H438=O$4,$D438*$N438,"")</f>
        <v/>
      </c>
      <c r="P438" s="1435" t="str">
        <f aca="false">IF($H438=P$4,$D438*$N438,"")</f>
        <v/>
      </c>
      <c r="Q438" s="1435" t="str">
        <f aca="false">IF($H438=Q$4,$D438*$N438,"")</f>
        <v/>
      </c>
      <c r="R438" s="1435" t="str">
        <f aca="false">IF($H438=R$4,$D438*$N438,"")</f>
        <v/>
      </c>
      <c r="S438" s="1435" t="str">
        <f aca="false">IF($H438=S$4,$D438*$N438,"")</f>
        <v/>
      </c>
      <c r="T438" s="1435" t="str">
        <f aca="false">IF($H438=T$4,$D438*$N438,"")</f>
        <v/>
      </c>
      <c r="U438" s="1436" t="str">
        <f aca="false">IF($H438=U$4,$D438*$N438,"")</f>
        <v/>
      </c>
      <c r="V438" s="1472"/>
      <c r="W438" s="1471"/>
      <c r="X438" s="1471"/>
      <c r="Y438" s="1471"/>
      <c r="Z438" s="1471"/>
      <c r="AA438" s="1471"/>
      <c r="AB438" s="1473"/>
      <c r="AC438" s="1319"/>
      <c r="AD438" s="2" t="str">
        <f aca="false">IF(AND(AD$4=$G438,AD$6=$F438),$B438,"")</f>
        <v/>
      </c>
      <c r="AE438" s="2" t="str">
        <f aca="false">IF(AND(AE$4=$G438,AE$6=$F438),$B438,"")</f>
        <v/>
      </c>
      <c r="AF438" s="2" t="str">
        <f aca="false">IF(AND(AF$4=$G438,AF$6=$F438),$B438,"")</f>
        <v/>
      </c>
      <c r="AG438" s="2" t="str">
        <f aca="false">IF(AND(AG$4=$G438,AG$6=$F438),$B438,"")</f>
        <v/>
      </c>
      <c r="AI438" s="366"/>
      <c r="AL438" s="367"/>
      <c r="AO438" s="367"/>
      <c r="AR438" s="1411"/>
      <c r="AT438" s="1422"/>
      <c r="AU438" s="1411"/>
      <c r="AV438" s="1411"/>
      <c r="AW438" s="1423"/>
      <c r="AX438" s="1423"/>
      <c r="AZ438" s="1503"/>
      <c r="BA438" s="1503"/>
      <c r="BB438" s="1503"/>
      <c r="BC438" s="1503"/>
      <c r="BD438" s="1503"/>
      <c r="BE438" s="1503"/>
      <c r="BF438" s="1503"/>
      <c r="BG438" s="1503"/>
      <c r="BH438" s="1504"/>
      <c r="BI438" s="1504"/>
      <c r="BJ438" s="1504"/>
      <c r="BK438" s="1504"/>
      <c r="BM438" s="1411"/>
      <c r="BN438" s="1411"/>
      <c r="BO438" s="1425"/>
      <c r="BP438" s="1425"/>
      <c r="BQ438" s="1425"/>
      <c r="BR438" s="1425"/>
      <c r="BS438" s="1411"/>
      <c r="BT438" s="1411"/>
      <c r="BU438" s="1411"/>
      <c r="BV438" s="1411"/>
      <c r="BW438" s="1411"/>
      <c r="BX438" s="1411"/>
      <c r="BZ438" s="1438"/>
      <c r="CA438" s="1438"/>
      <c r="CB438" s="1496"/>
      <c r="CC438" s="1496"/>
      <c r="CD438" s="1496"/>
      <c r="CE438" s="1496"/>
      <c r="CF438" s="1438"/>
      <c r="CG438" s="1438"/>
      <c r="CH438" s="1438"/>
      <c r="CI438" s="1438"/>
      <c r="CJ438" s="1438"/>
      <c r="CK438" s="1438"/>
      <c r="CU438" s="1411"/>
      <c r="CV438" s="1411"/>
      <c r="CW438" s="1425"/>
      <c r="CX438" s="1425"/>
      <c r="CY438" s="1425"/>
      <c r="CZ438" s="1425"/>
      <c r="DA438" s="1411"/>
      <c r="DB438" s="1411"/>
      <c r="DC438" s="1411"/>
      <c r="DD438" s="1411"/>
      <c r="DE438" s="1411"/>
      <c r="DF438" s="1411"/>
      <c r="DH438" s="1432"/>
      <c r="DI438" s="1432"/>
      <c r="DJ438" s="1437"/>
      <c r="DK438" s="1437"/>
      <c r="DL438" s="1437"/>
      <c r="DM438" s="1437"/>
      <c r="DN438" s="1432"/>
      <c r="DO438" s="1432"/>
      <c r="DP438" s="1432"/>
      <c r="DQ438" s="1432"/>
      <c r="DR438" s="1432"/>
      <c r="DS438" s="1432"/>
      <c r="DT438" s="1316"/>
      <c r="DU438" s="1433"/>
      <c r="DV438" s="1433"/>
      <c r="DW438" s="1433"/>
      <c r="DX438" s="1433"/>
      <c r="DY438" s="1433"/>
      <c r="DZ438" s="1433"/>
      <c r="EA438" s="1433"/>
      <c r="EB438" s="1433"/>
    </row>
    <row r="439" customFormat="false" ht="14.25" hidden="false" customHeight="false" outlineLevel="0" collapsed="false">
      <c r="A439" s="2" t="n">
        <f aca="false">'V_DATOS PAC_SGA'!CC434</f>
        <v>0</v>
      </c>
      <c r="B439" s="2" t="n">
        <f aca="false">IF(OR(A439=0,A439=""),0,IF(I439="IV",CONCATENATE('V_DATOS PAC_SGA'!CC434,"4")+0,CONCATENATE('V_DATOS PAC_SGA'!CC434,"0")+0))</f>
        <v>0</v>
      </c>
      <c r="C439" s="2" t="n">
        <f aca="false">'V_DATOS PAC_SGA'!CD434</f>
        <v>0</v>
      </c>
      <c r="D439" s="1409" t="n">
        <f aca="false">'V_DATOS PAC_SGA'!Y434</f>
        <v>0</v>
      </c>
      <c r="E439" s="1410" t="str">
        <f aca="false">IF('V_DATOS PAC_SGA'!AV434="","Regadio",'V_DATOS PAC_SGA'!AV434)</f>
        <v>Regadio</v>
      </c>
      <c r="F439" s="1411" t="n">
        <f aca="false">'V_DATOS PAC_SGA'!BK434</f>
        <v>0</v>
      </c>
      <c r="G439" s="1412" t="n">
        <f aca="false">'V_DATOS PAC_SGA'!AN434</f>
        <v>0</v>
      </c>
      <c r="H439" s="1413" t="str">
        <f aca="false">IF(B439&gt;0,VLOOKUP(B439,'O_MN, PE_UTA_UGM 2024'!E$3:O$419,10),"")</f>
        <v/>
      </c>
      <c r="I439" s="1359" t="str">
        <f aca="false">IF('V_DATOS PAC_SGA'!BV434="IV",'V_DATOS PAC_SGA'!BV434,"")</f>
        <v/>
      </c>
      <c r="J439" s="2" t="str">
        <f aca="false">IF($A439&gt;0,IF(AND(J$4=$G439,J$6=$F439),$D439*J$5,""),"")</f>
        <v/>
      </c>
      <c r="K439" s="2" t="str">
        <f aca="false">IF($A439&gt;0,IF(AND(K$4=$G439,K$6=$F439),$D439*K$5,""),"")</f>
        <v/>
      </c>
      <c r="L439" s="2" t="str">
        <f aca="false">IF($A439&gt;0,IF(AND(L$4=$G439,L$6=$F439),$D439*L$5,""),"")</f>
        <v/>
      </c>
      <c r="M439" s="2" t="str">
        <f aca="false">IF($A439&gt;0,IF(AND(M$4=$G439,M$6=$F439),$D439*M$5,""),"")</f>
        <v/>
      </c>
      <c r="N439" s="1508" t="n">
        <f aca="false">VLOOKUP(B439,'O_MN, PE_UTA_UGM 2024'!$E$2:$K$419,IF(G439&gt;1,6,7))</f>
        <v>0</v>
      </c>
      <c r="O439" s="1434" t="str">
        <f aca="false">IF($H439=O$4,$D439*$N439,"")</f>
        <v/>
      </c>
      <c r="P439" s="1435" t="str">
        <f aca="false">IF($H439=P$4,$D439*$N439,"")</f>
        <v/>
      </c>
      <c r="Q439" s="1435" t="str">
        <f aca="false">IF($H439=Q$4,$D439*$N439,"")</f>
        <v/>
      </c>
      <c r="R439" s="1435" t="str">
        <f aca="false">IF($H439=R$4,$D439*$N439,"")</f>
        <v/>
      </c>
      <c r="S439" s="1435" t="str">
        <f aca="false">IF($H439=S$4,$D439*$N439,"")</f>
        <v/>
      </c>
      <c r="T439" s="1435" t="str">
        <f aca="false">IF($H439=T$4,$D439*$N439,"")</f>
        <v/>
      </c>
      <c r="U439" s="1436" t="str">
        <f aca="false">IF($H439=U$4,$D439*$N439,"")</f>
        <v/>
      </c>
      <c r="V439" s="1472"/>
      <c r="W439" s="1471"/>
      <c r="X439" s="1471"/>
      <c r="Y439" s="1471"/>
      <c r="Z439" s="1471"/>
      <c r="AA439" s="1471"/>
      <c r="AB439" s="1473"/>
      <c r="AC439" s="1319"/>
      <c r="AD439" s="2" t="str">
        <f aca="false">IF(AND(AD$4=$G439,AD$6=$F439),$B439,"")</f>
        <v/>
      </c>
      <c r="AE439" s="2" t="str">
        <f aca="false">IF(AND(AE$4=$G439,AE$6=$F439),$B439,"")</f>
        <v/>
      </c>
      <c r="AF439" s="2" t="str">
        <f aca="false">IF(AND(AF$4=$G439,AF$6=$F439),$B439,"")</f>
        <v/>
      </c>
      <c r="AG439" s="2" t="str">
        <f aca="false">IF(AND(AG$4=$G439,AG$6=$F439),$B439,"")</f>
        <v/>
      </c>
      <c r="AI439" s="366"/>
      <c r="AL439" s="367"/>
      <c r="AO439" s="367"/>
      <c r="AR439" s="1411"/>
      <c r="AT439" s="1422"/>
      <c r="AU439" s="1411"/>
      <c r="AV439" s="1411"/>
      <c r="AW439" s="1423"/>
      <c r="AX439" s="1423"/>
      <c r="AZ439" s="1503"/>
      <c r="BA439" s="1503"/>
      <c r="BB439" s="1503"/>
      <c r="BC439" s="1503"/>
      <c r="BD439" s="1503"/>
      <c r="BE439" s="1503"/>
      <c r="BF439" s="1503"/>
      <c r="BG439" s="1503"/>
      <c r="BH439" s="1504"/>
      <c r="BI439" s="1504"/>
      <c r="BJ439" s="1504"/>
      <c r="BK439" s="1504"/>
      <c r="BM439" s="1411"/>
      <c r="BN439" s="1411"/>
      <c r="BO439" s="1425"/>
      <c r="BP439" s="1425"/>
      <c r="BQ439" s="1425"/>
      <c r="BR439" s="1425"/>
      <c r="BS439" s="1411"/>
      <c r="BT439" s="1411"/>
      <c r="BU439" s="1411"/>
      <c r="BV439" s="1411"/>
      <c r="BW439" s="1411"/>
      <c r="BX439" s="1411"/>
      <c r="BZ439" s="1438"/>
      <c r="CA439" s="1438"/>
      <c r="CB439" s="1496"/>
      <c r="CC439" s="1496"/>
      <c r="CD439" s="1496"/>
      <c r="CE439" s="1496"/>
      <c r="CF439" s="1438"/>
      <c r="CG439" s="1438"/>
      <c r="CH439" s="1438"/>
      <c r="CI439" s="1438"/>
      <c r="CJ439" s="1438"/>
      <c r="CK439" s="1438"/>
      <c r="CU439" s="1411"/>
      <c r="CV439" s="1411"/>
      <c r="CW439" s="1425"/>
      <c r="CX439" s="1425"/>
      <c r="CY439" s="1425"/>
      <c r="CZ439" s="1425"/>
      <c r="DA439" s="1411"/>
      <c r="DB439" s="1411"/>
      <c r="DC439" s="1411"/>
      <c r="DD439" s="1411"/>
      <c r="DE439" s="1411"/>
      <c r="DF439" s="1411"/>
      <c r="DH439" s="1432"/>
      <c r="DI439" s="1432"/>
      <c r="DJ439" s="1437"/>
      <c r="DK439" s="1437"/>
      <c r="DL439" s="1437"/>
      <c r="DM439" s="1437"/>
      <c r="DN439" s="1432"/>
      <c r="DO439" s="1432"/>
      <c r="DP439" s="1432"/>
      <c r="DQ439" s="1432"/>
      <c r="DR439" s="1432"/>
      <c r="DS439" s="1432"/>
      <c r="DT439" s="1316"/>
      <c r="DU439" s="1433"/>
      <c r="DV439" s="1433"/>
      <c r="DW439" s="1433"/>
      <c r="DX439" s="1433"/>
      <c r="DY439" s="1433"/>
      <c r="DZ439" s="1433"/>
      <c r="EA439" s="1433"/>
      <c r="EB439" s="1433"/>
    </row>
    <row r="440" customFormat="false" ht="14.25" hidden="false" customHeight="false" outlineLevel="0" collapsed="false">
      <c r="A440" s="2" t="n">
        <f aca="false">'V_DATOS PAC_SGA'!CC435</f>
        <v>0</v>
      </c>
      <c r="B440" s="2" t="n">
        <f aca="false">IF(OR(A440=0,A440=""),0,IF(I440="IV",CONCATENATE('V_DATOS PAC_SGA'!CC435,"4")+0,CONCATENATE('V_DATOS PAC_SGA'!CC435,"0")+0))</f>
        <v>0</v>
      </c>
      <c r="C440" s="2" t="n">
        <f aca="false">'V_DATOS PAC_SGA'!CD435</f>
        <v>0</v>
      </c>
      <c r="D440" s="1409" t="n">
        <f aca="false">'V_DATOS PAC_SGA'!Y435</f>
        <v>0</v>
      </c>
      <c r="E440" s="1410" t="str">
        <f aca="false">IF('V_DATOS PAC_SGA'!AV435="","Regadio",'V_DATOS PAC_SGA'!AV435)</f>
        <v>Regadio</v>
      </c>
      <c r="F440" s="1411" t="n">
        <f aca="false">'V_DATOS PAC_SGA'!BK435</f>
        <v>0</v>
      </c>
      <c r="G440" s="1412" t="n">
        <f aca="false">'V_DATOS PAC_SGA'!AN435</f>
        <v>0</v>
      </c>
      <c r="H440" s="1413" t="str">
        <f aca="false">IF(B440&gt;0,VLOOKUP(B440,'O_MN, PE_UTA_UGM 2024'!E$3:O$419,10),"")</f>
        <v/>
      </c>
      <c r="I440" s="1359" t="str">
        <f aca="false">IF('V_DATOS PAC_SGA'!BV435="IV",'V_DATOS PAC_SGA'!BV435,"")</f>
        <v/>
      </c>
      <c r="J440" s="2" t="str">
        <f aca="false">IF($A440&gt;0,IF(AND(J$4=$G440,J$6=$F440),$D440*J$5,""),"")</f>
        <v/>
      </c>
      <c r="K440" s="2" t="str">
        <f aca="false">IF($A440&gt;0,IF(AND(K$4=$G440,K$6=$F440),$D440*K$5,""),"")</f>
        <v/>
      </c>
      <c r="L440" s="2" t="str">
        <f aca="false">IF($A440&gt;0,IF(AND(L$4=$G440,L$6=$F440),$D440*L$5,""),"")</f>
        <v/>
      </c>
      <c r="M440" s="2" t="str">
        <f aca="false">IF($A440&gt;0,IF(AND(M$4=$G440,M$6=$F440),$D440*M$5,""),"")</f>
        <v/>
      </c>
      <c r="N440" s="1508" t="n">
        <f aca="false">VLOOKUP(B440,'O_MN, PE_UTA_UGM 2024'!$E$2:$K$419,IF(G440&gt;1,6,7))</f>
        <v>0</v>
      </c>
      <c r="O440" s="1434" t="str">
        <f aca="false">IF($H440=O$4,$D440*$N440,"")</f>
        <v/>
      </c>
      <c r="P440" s="1435" t="str">
        <f aca="false">IF($H440=P$4,$D440*$N440,"")</f>
        <v/>
      </c>
      <c r="Q440" s="1435" t="str">
        <f aca="false">IF($H440=Q$4,$D440*$N440,"")</f>
        <v/>
      </c>
      <c r="R440" s="1435" t="str">
        <f aca="false">IF($H440=R$4,$D440*$N440,"")</f>
        <v/>
      </c>
      <c r="S440" s="1435" t="str">
        <f aca="false">IF($H440=S$4,$D440*$N440,"")</f>
        <v/>
      </c>
      <c r="T440" s="1435" t="str">
        <f aca="false">IF($H440=T$4,$D440*$N440,"")</f>
        <v/>
      </c>
      <c r="U440" s="1436" t="str">
        <f aca="false">IF($H440=U$4,$D440*$N440,"")</f>
        <v/>
      </c>
      <c r="V440" s="1472"/>
      <c r="W440" s="1471"/>
      <c r="X440" s="1471"/>
      <c r="Y440" s="1471"/>
      <c r="Z440" s="1471"/>
      <c r="AA440" s="1471"/>
      <c r="AB440" s="1473"/>
      <c r="AC440" s="1319"/>
      <c r="AD440" s="2" t="str">
        <f aca="false">IF(AND(AD$4=$G440,AD$6=$F440),$B440,"")</f>
        <v/>
      </c>
      <c r="AE440" s="2" t="str">
        <f aca="false">IF(AND(AE$4=$G440,AE$6=$F440),$B440,"")</f>
        <v/>
      </c>
      <c r="AF440" s="2" t="str">
        <f aca="false">IF(AND(AF$4=$G440,AF$6=$F440),$B440,"")</f>
        <v/>
      </c>
      <c r="AG440" s="2" t="str">
        <f aca="false">IF(AND(AG$4=$G440,AG$6=$F440),$B440,"")</f>
        <v/>
      </c>
      <c r="AI440" s="366"/>
      <c r="AL440" s="367"/>
      <c r="AO440" s="367"/>
      <c r="AR440" s="1411"/>
      <c r="AT440" s="1422"/>
      <c r="AU440" s="1411"/>
      <c r="AV440" s="1411"/>
      <c r="AW440" s="1423"/>
      <c r="AX440" s="1423"/>
      <c r="AZ440" s="1503"/>
      <c r="BA440" s="1503"/>
      <c r="BB440" s="1503"/>
      <c r="BC440" s="1503"/>
      <c r="BD440" s="1503"/>
      <c r="BE440" s="1503"/>
      <c r="BF440" s="1503"/>
      <c r="BG440" s="1503"/>
      <c r="BH440" s="1504"/>
      <c r="BI440" s="1504"/>
      <c r="BJ440" s="1504"/>
      <c r="BK440" s="1504"/>
      <c r="BM440" s="1411"/>
      <c r="BN440" s="1411"/>
      <c r="BO440" s="1425"/>
      <c r="BP440" s="1425"/>
      <c r="BQ440" s="1425"/>
      <c r="BR440" s="1425"/>
      <c r="BS440" s="1411"/>
      <c r="BT440" s="1411"/>
      <c r="BU440" s="1411"/>
      <c r="BV440" s="1411"/>
      <c r="BW440" s="1411"/>
      <c r="BX440" s="1411"/>
      <c r="BZ440" s="1438"/>
      <c r="CA440" s="1438"/>
      <c r="CB440" s="1496"/>
      <c r="CC440" s="1496"/>
      <c r="CD440" s="1496"/>
      <c r="CE440" s="1496"/>
      <c r="CF440" s="1438"/>
      <c r="CG440" s="1438"/>
      <c r="CH440" s="1438"/>
      <c r="CI440" s="1438"/>
      <c r="CJ440" s="1438"/>
      <c r="CK440" s="1438"/>
      <c r="CU440" s="1411"/>
      <c r="CV440" s="1411"/>
      <c r="CW440" s="1425"/>
      <c r="CX440" s="1425"/>
      <c r="CY440" s="1425"/>
      <c r="CZ440" s="1425"/>
      <c r="DA440" s="1411"/>
      <c r="DB440" s="1411"/>
      <c r="DC440" s="1411"/>
      <c r="DD440" s="1411"/>
      <c r="DE440" s="1411"/>
      <c r="DF440" s="1411"/>
      <c r="DH440" s="1432"/>
      <c r="DI440" s="1432"/>
      <c r="DJ440" s="1437"/>
      <c r="DK440" s="1437"/>
      <c r="DL440" s="1437"/>
      <c r="DM440" s="1437"/>
      <c r="DN440" s="1432"/>
      <c r="DO440" s="1432"/>
      <c r="DP440" s="1432"/>
      <c r="DQ440" s="1432"/>
      <c r="DR440" s="1432"/>
      <c r="DS440" s="1432"/>
      <c r="DT440" s="1316"/>
      <c r="DU440" s="1433"/>
      <c r="DV440" s="1433"/>
      <c r="DW440" s="1433"/>
      <c r="DX440" s="1433"/>
      <c r="DY440" s="1433"/>
      <c r="DZ440" s="1433"/>
      <c r="EA440" s="1433"/>
      <c r="EB440" s="1433"/>
    </row>
    <row r="441" customFormat="false" ht="14.25" hidden="false" customHeight="false" outlineLevel="0" collapsed="false">
      <c r="A441" s="2" t="n">
        <f aca="false">'V_DATOS PAC_SGA'!CC436</f>
        <v>0</v>
      </c>
      <c r="B441" s="2" t="n">
        <f aca="false">IF(OR(A441=0,A441=""),0,IF(I441="IV",CONCATENATE('V_DATOS PAC_SGA'!CC436,"4")+0,CONCATENATE('V_DATOS PAC_SGA'!CC436,"0")+0))</f>
        <v>0</v>
      </c>
      <c r="C441" s="2" t="n">
        <f aca="false">'V_DATOS PAC_SGA'!CD436</f>
        <v>0</v>
      </c>
      <c r="D441" s="1409" t="n">
        <f aca="false">'V_DATOS PAC_SGA'!Y436</f>
        <v>0</v>
      </c>
      <c r="E441" s="1410" t="str">
        <f aca="false">IF('V_DATOS PAC_SGA'!AV436="","Regadio",'V_DATOS PAC_SGA'!AV436)</f>
        <v>Regadio</v>
      </c>
      <c r="F441" s="1411" t="n">
        <f aca="false">'V_DATOS PAC_SGA'!BK436</f>
        <v>0</v>
      </c>
      <c r="G441" s="1412" t="n">
        <f aca="false">'V_DATOS PAC_SGA'!AN436</f>
        <v>0</v>
      </c>
      <c r="H441" s="1413" t="str">
        <f aca="false">IF(B441&gt;0,VLOOKUP(B441,'O_MN, PE_UTA_UGM 2024'!E$3:O$419,10),"")</f>
        <v/>
      </c>
      <c r="I441" s="1359" t="str">
        <f aca="false">IF('V_DATOS PAC_SGA'!BV436="IV",'V_DATOS PAC_SGA'!BV436,"")</f>
        <v/>
      </c>
      <c r="J441" s="2" t="str">
        <f aca="false">IF($A441&gt;0,IF(AND(J$4=$G441,J$6=$F441),$D441*J$5,""),"")</f>
        <v/>
      </c>
      <c r="K441" s="2" t="str">
        <f aca="false">IF($A441&gt;0,IF(AND(K$4=$G441,K$6=$F441),$D441*K$5,""),"")</f>
        <v/>
      </c>
      <c r="L441" s="2" t="str">
        <f aca="false">IF($A441&gt;0,IF(AND(L$4=$G441,L$6=$F441),$D441*L$5,""),"")</f>
        <v/>
      </c>
      <c r="M441" s="2" t="str">
        <f aca="false">IF($A441&gt;0,IF(AND(M$4=$G441,M$6=$F441),$D441*M$5,""),"")</f>
        <v/>
      </c>
      <c r="N441" s="1508" t="n">
        <f aca="false">VLOOKUP(B441,'O_MN, PE_UTA_UGM 2024'!$E$2:$K$419,IF(G441&gt;1,6,7))</f>
        <v>0</v>
      </c>
      <c r="O441" s="1434" t="str">
        <f aca="false">IF($H441=O$4,$D441*$N441,"")</f>
        <v/>
      </c>
      <c r="P441" s="1435" t="str">
        <f aca="false">IF($H441=P$4,$D441*$N441,"")</f>
        <v/>
      </c>
      <c r="Q441" s="1435" t="str">
        <f aca="false">IF($H441=Q$4,$D441*$N441,"")</f>
        <v/>
      </c>
      <c r="R441" s="1435" t="str">
        <f aca="false">IF($H441=R$4,$D441*$N441,"")</f>
        <v/>
      </c>
      <c r="S441" s="1435" t="str">
        <f aca="false">IF($H441=S$4,$D441*$N441,"")</f>
        <v/>
      </c>
      <c r="T441" s="1435" t="str">
        <f aca="false">IF($H441=T$4,$D441*$N441,"")</f>
        <v/>
      </c>
      <c r="U441" s="1436" t="str">
        <f aca="false">IF($H441=U$4,$D441*$N441,"")</f>
        <v/>
      </c>
      <c r="V441" s="1472"/>
      <c r="W441" s="1471"/>
      <c r="X441" s="1471"/>
      <c r="Y441" s="1471"/>
      <c r="Z441" s="1471"/>
      <c r="AA441" s="1471"/>
      <c r="AB441" s="1473"/>
      <c r="AC441" s="1319"/>
      <c r="AD441" s="2" t="str">
        <f aca="false">IF(AND(AD$4=$G441,AD$6=$F441),$B441,"")</f>
        <v/>
      </c>
      <c r="AE441" s="2" t="str">
        <f aca="false">IF(AND(AE$4=$G441,AE$6=$F441),$B441,"")</f>
        <v/>
      </c>
      <c r="AF441" s="2" t="str">
        <f aca="false">IF(AND(AF$4=$G441,AF$6=$F441),$B441,"")</f>
        <v/>
      </c>
      <c r="AG441" s="2" t="str">
        <f aca="false">IF(AND(AG$4=$G441,AG$6=$F441),$B441,"")</f>
        <v/>
      </c>
      <c r="AI441" s="366"/>
      <c r="AL441" s="367"/>
      <c r="AO441" s="367"/>
      <c r="AR441" s="1411"/>
      <c r="AT441" s="1422"/>
      <c r="AU441" s="1411"/>
      <c r="AV441" s="1411"/>
      <c r="AW441" s="1423"/>
      <c r="AX441" s="1423"/>
      <c r="AZ441" s="1503"/>
      <c r="BA441" s="1503"/>
      <c r="BB441" s="1503"/>
      <c r="BC441" s="1503"/>
      <c r="BD441" s="1503"/>
      <c r="BE441" s="1503"/>
      <c r="BF441" s="1503"/>
      <c r="BG441" s="1503"/>
      <c r="BH441" s="1504"/>
      <c r="BI441" s="1504"/>
      <c r="BJ441" s="1504"/>
      <c r="BK441" s="1504"/>
      <c r="BM441" s="1411"/>
      <c r="BN441" s="1411"/>
      <c r="BO441" s="1425"/>
      <c r="BP441" s="1425"/>
      <c r="BQ441" s="1425"/>
      <c r="BR441" s="1425"/>
      <c r="BS441" s="1411"/>
      <c r="BT441" s="1411"/>
      <c r="BU441" s="1411"/>
      <c r="BV441" s="1411"/>
      <c r="BW441" s="1411"/>
      <c r="BX441" s="1411"/>
      <c r="BZ441" s="1438"/>
      <c r="CA441" s="1438"/>
      <c r="CB441" s="1496"/>
      <c r="CC441" s="1496"/>
      <c r="CD441" s="1496"/>
      <c r="CE441" s="1496"/>
      <c r="CF441" s="1438"/>
      <c r="CG441" s="1438"/>
      <c r="CH441" s="1438"/>
      <c r="CI441" s="1438"/>
      <c r="CJ441" s="1438"/>
      <c r="CK441" s="1438"/>
      <c r="CU441" s="1411"/>
      <c r="CV441" s="1411"/>
      <c r="CW441" s="1425"/>
      <c r="CX441" s="1425"/>
      <c r="CY441" s="1425"/>
      <c r="CZ441" s="1425"/>
      <c r="DA441" s="1411"/>
      <c r="DB441" s="1411"/>
      <c r="DC441" s="1411"/>
      <c r="DD441" s="1411"/>
      <c r="DE441" s="1411"/>
      <c r="DF441" s="1411"/>
      <c r="DH441" s="1432"/>
      <c r="DI441" s="1432"/>
      <c r="DJ441" s="1437"/>
      <c r="DK441" s="1437"/>
      <c r="DL441" s="1437"/>
      <c r="DM441" s="1437"/>
      <c r="DN441" s="1432"/>
      <c r="DO441" s="1432"/>
      <c r="DP441" s="1432"/>
      <c r="DQ441" s="1432"/>
      <c r="DR441" s="1432"/>
      <c r="DS441" s="1432"/>
      <c r="DT441" s="1316"/>
      <c r="DU441" s="1433"/>
      <c r="DV441" s="1433"/>
      <c r="DW441" s="1433"/>
      <c r="DX441" s="1433"/>
      <c r="DY441" s="1433"/>
      <c r="DZ441" s="1433"/>
      <c r="EA441" s="1433"/>
      <c r="EB441" s="1433"/>
    </row>
    <row r="442" customFormat="false" ht="14.25" hidden="false" customHeight="false" outlineLevel="0" collapsed="false">
      <c r="A442" s="2" t="n">
        <f aca="false">'V_DATOS PAC_SGA'!CC437</f>
        <v>0</v>
      </c>
      <c r="B442" s="2" t="n">
        <f aca="false">IF(OR(A442=0,A442=""),0,IF(I442="IV",CONCATENATE('V_DATOS PAC_SGA'!CC437,"4")+0,CONCATENATE('V_DATOS PAC_SGA'!CC437,"0")+0))</f>
        <v>0</v>
      </c>
      <c r="C442" s="2" t="n">
        <f aca="false">'V_DATOS PAC_SGA'!CD437</f>
        <v>0</v>
      </c>
      <c r="D442" s="1409" t="n">
        <f aca="false">'V_DATOS PAC_SGA'!Y437</f>
        <v>0</v>
      </c>
      <c r="E442" s="1410" t="str">
        <f aca="false">IF('V_DATOS PAC_SGA'!AV437="","Regadio",'V_DATOS PAC_SGA'!AV437)</f>
        <v>Regadio</v>
      </c>
      <c r="F442" s="1411" t="n">
        <f aca="false">'V_DATOS PAC_SGA'!BK437</f>
        <v>0</v>
      </c>
      <c r="G442" s="1412" t="n">
        <f aca="false">'V_DATOS PAC_SGA'!AN437</f>
        <v>0</v>
      </c>
      <c r="H442" s="1413" t="str">
        <f aca="false">IF(B442&gt;0,VLOOKUP(B442,'O_MN, PE_UTA_UGM 2024'!E$3:O$419,10),"")</f>
        <v/>
      </c>
      <c r="I442" s="1359" t="str">
        <f aca="false">IF('V_DATOS PAC_SGA'!BV437="IV",'V_DATOS PAC_SGA'!BV437,"")</f>
        <v/>
      </c>
      <c r="J442" s="2" t="str">
        <f aca="false">IF($A442&gt;0,IF(AND(J$4=$G442,J$6=$F442),$D442*J$5,""),"")</f>
        <v/>
      </c>
      <c r="K442" s="2" t="str">
        <f aca="false">IF($A442&gt;0,IF(AND(K$4=$G442,K$6=$F442),$D442*K$5,""),"")</f>
        <v/>
      </c>
      <c r="L442" s="2" t="str">
        <f aca="false">IF($A442&gt;0,IF(AND(L$4=$G442,L$6=$F442),$D442*L$5,""),"")</f>
        <v/>
      </c>
      <c r="M442" s="2" t="str">
        <f aca="false">IF($A442&gt;0,IF(AND(M$4=$G442,M$6=$F442),$D442*M$5,""),"")</f>
        <v/>
      </c>
      <c r="N442" s="1508" t="n">
        <f aca="false">VLOOKUP(B442,'O_MN, PE_UTA_UGM 2024'!$E$2:$K$419,IF(G442&gt;1,6,7))</f>
        <v>0</v>
      </c>
      <c r="O442" s="1434" t="str">
        <f aca="false">IF($H442=O$4,$D442*$N442,"")</f>
        <v/>
      </c>
      <c r="P442" s="1435" t="str">
        <f aca="false">IF($H442=P$4,$D442*$N442,"")</f>
        <v/>
      </c>
      <c r="Q442" s="1435" t="str">
        <f aca="false">IF($H442=Q$4,$D442*$N442,"")</f>
        <v/>
      </c>
      <c r="R442" s="1435" t="str">
        <f aca="false">IF($H442=R$4,$D442*$N442,"")</f>
        <v/>
      </c>
      <c r="S442" s="1435" t="str">
        <f aca="false">IF($H442=S$4,$D442*$N442,"")</f>
        <v/>
      </c>
      <c r="T442" s="1435" t="str">
        <f aca="false">IF($H442=T$4,$D442*$N442,"")</f>
        <v/>
      </c>
      <c r="U442" s="1436" t="str">
        <f aca="false">IF($H442=U$4,$D442*$N442,"")</f>
        <v/>
      </c>
      <c r="V442" s="1472"/>
      <c r="W442" s="1471"/>
      <c r="X442" s="1471"/>
      <c r="Y442" s="1471"/>
      <c r="Z442" s="1471"/>
      <c r="AA442" s="1471"/>
      <c r="AB442" s="1473"/>
      <c r="AC442" s="1319"/>
      <c r="AD442" s="2" t="str">
        <f aca="false">IF(AND(AD$4=$G442,AD$6=$F442),$B442,"")</f>
        <v/>
      </c>
      <c r="AE442" s="2" t="str">
        <f aca="false">IF(AND(AE$4=$G442,AE$6=$F442),$B442,"")</f>
        <v/>
      </c>
      <c r="AF442" s="2" t="str">
        <f aca="false">IF(AND(AF$4=$G442,AF$6=$F442),$B442,"")</f>
        <v/>
      </c>
      <c r="AG442" s="2" t="str">
        <f aca="false">IF(AND(AG$4=$G442,AG$6=$F442),$B442,"")</f>
        <v/>
      </c>
      <c r="AI442" s="366"/>
      <c r="AL442" s="367"/>
      <c r="AO442" s="367"/>
      <c r="AR442" s="1411"/>
      <c r="AT442" s="1422"/>
      <c r="AU442" s="1411"/>
      <c r="AV442" s="1411"/>
      <c r="AW442" s="1423"/>
      <c r="AX442" s="1423"/>
      <c r="AZ442" s="1503"/>
      <c r="BA442" s="1503"/>
      <c r="BB442" s="1503"/>
      <c r="BC442" s="1503"/>
      <c r="BD442" s="1503"/>
      <c r="BE442" s="1503"/>
      <c r="BF442" s="1503"/>
      <c r="BG442" s="1503"/>
      <c r="BH442" s="1504"/>
      <c r="BI442" s="1504"/>
      <c r="BJ442" s="1504"/>
      <c r="BK442" s="1504"/>
      <c r="BM442" s="1411"/>
      <c r="BN442" s="1411"/>
      <c r="BO442" s="1425"/>
      <c r="BP442" s="1425"/>
      <c r="BQ442" s="1425"/>
      <c r="BR442" s="1425"/>
      <c r="BS442" s="1411"/>
      <c r="BT442" s="1411"/>
      <c r="BU442" s="1411"/>
      <c r="BV442" s="1411"/>
      <c r="BW442" s="1411"/>
      <c r="BX442" s="1411"/>
      <c r="BZ442" s="1438"/>
      <c r="CA442" s="1438"/>
      <c r="CB442" s="1496"/>
      <c r="CC442" s="1496"/>
      <c r="CD442" s="1496"/>
      <c r="CE442" s="1496"/>
      <c r="CF442" s="1438"/>
      <c r="CG442" s="1438"/>
      <c r="CH442" s="1438"/>
      <c r="CI442" s="1438"/>
      <c r="CJ442" s="1438"/>
      <c r="CK442" s="1438"/>
      <c r="CU442" s="1411"/>
      <c r="CV442" s="1411"/>
      <c r="CW442" s="1425"/>
      <c r="CX442" s="1425"/>
      <c r="CY442" s="1425"/>
      <c r="CZ442" s="1425"/>
      <c r="DA442" s="1411"/>
      <c r="DB442" s="1411"/>
      <c r="DC442" s="1411"/>
      <c r="DD442" s="1411"/>
      <c r="DE442" s="1411"/>
      <c r="DF442" s="1411"/>
      <c r="DH442" s="1432"/>
      <c r="DI442" s="1432"/>
      <c r="DJ442" s="1437"/>
      <c r="DK442" s="1437"/>
      <c r="DL442" s="1437"/>
      <c r="DM442" s="1437"/>
      <c r="DN442" s="1432"/>
      <c r="DO442" s="1432"/>
      <c r="DP442" s="1432"/>
      <c r="DQ442" s="1432"/>
      <c r="DR442" s="1432"/>
      <c r="DS442" s="1432"/>
      <c r="DT442" s="1316"/>
      <c r="DU442" s="1433"/>
      <c r="DV442" s="1433"/>
      <c r="DW442" s="1433"/>
      <c r="DX442" s="1433"/>
      <c r="DY442" s="1433"/>
      <c r="DZ442" s="1433"/>
      <c r="EA442" s="1433"/>
      <c r="EB442" s="1433"/>
    </row>
    <row r="443" customFormat="false" ht="14.25" hidden="false" customHeight="false" outlineLevel="0" collapsed="false">
      <c r="A443" s="2" t="n">
        <f aca="false">'V_DATOS PAC_SGA'!CC438</f>
        <v>0</v>
      </c>
      <c r="B443" s="2" t="n">
        <f aca="false">IF(OR(A443=0,A443=""),0,IF(I443="IV",CONCATENATE('V_DATOS PAC_SGA'!CC438,"4")+0,CONCATENATE('V_DATOS PAC_SGA'!CC438,"0")+0))</f>
        <v>0</v>
      </c>
      <c r="C443" s="2" t="n">
        <f aca="false">'V_DATOS PAC_SGA'!CD438</f>
        <v>0</v>
      </c>
      <c r="D443" s="1409" t="n">
        <f aca="false">'V_DATOS PAC_SGA'!Y438</f>
        <v>0</v>
      </c>
      <c r="E443" s="1410" t="str">
        <f aca="false">IF('V_DATOS PAC_SGA'!AV438="","Regadio",'V_DATOS PAC_SGA'!AV438)</f>
        <v>Regadio</v>
      </c>
      <c r="F443" s="1411" t="n">
        <f aca="false">'V_DATOS PAC_SGA'!BK438</f>
        <v>0</v>
      </c>
      <c r="G443" s="1412" t="n">
        <f aca="false">'V_DATOS PAC_SGA'!AN438</f>
        <v>0</v>
      </c>
      <c r="H443" s="1413" t="str">
        <f aca="false">IF(B443&gt;0,VLOOKUP(B443,'O_MN, PE_UTA_UGM 2024'!E$3:O$419,10),"")</f>
        <v/>
      </c>
      <c r="I443" s="1359" t="str">
        <f aca="false">IF('V_DATOS PAC_SGA'!BV438="IV",'V_DATOS PAC_SGA'!BV438,"")</f>
        <v/>
      </c>
      <c r="J443" s="2" t="str">
        <f aca="false">IF($A443&gt;0,IF(AND(J$4=$G443,J$6=$F443),$D443*J$5,""),"")</f>
        <v/>
      </c>
      <c r="K443" s="2" t="str">
        <f aca="false">IF($A443&gt;0,IF(AND(K$4=$G443,K$6=$F443),$D443*K$5,""),"")</f>
        <v/>
      </c>
      <c r="L443" s="2" t="str">
        <f aca="false">IF($A443&gt;0,IF(AND(L$4=$G443,L$6=$F443),$D443*L$5,""),"")</f>
        <v/>
      </c>
      <c r="M443" s="2" t="str">
        <f aca="false">IF($A443&gt;0,IF(AND(M$4=$G443,M$6=$F443),$D443*M$5,""),"")</f>
        <v/>
      </c>
      <c r="N443" s="1508" t="n">
        <f aca="false">VLOOKUP(B443,'O_MN, PE_UTA_UGM 2024'!$E$2:$K$419,IF(G443&gt;1,6,7))</f>
        <v>0</v>
      </c>
      <c r="O443" s="1434" t="str">
        <f aca="false">IF($H443=O$4,$D443*$N443,"")</f>
        <v/>
      </c>
      <c r="P443" s="1435" t="str">
        <f aca="false">IF($H443=P$4,$D443*$N443,"")</f>
        <v/>
      </c>
      <c r="Q443" s="1435" t="str">
        <f aca="false">IF($H443=Q$4,$D443*$N443,"")</f>
        <v/>
      </c>
      <c r="R443" s="1435" t="str">
        <f aca="false">IF($H443=R$4,$D443*$N443,"")</f>
        <v/>
      </c>
      <c r="S443" s="1435" t="str">
        <f aca="false">IF($H443=S$4,$D443*$N443,"")</f>
        <v/>
      </c>
      <c r="T443" s="1435" t="str">
        <f aca="false">IF($H443=T$4,$D443*$N443,"")</f>
        <v/>
      </c>
      <c r="U443" s="1436" t="str">
        <f aca="false">IF($H443=U$4,$D443*$N443,"")</f>
        <v/>
      </c>
      <c r="V443" s="1472"/>
      <c r="W443" s="1471"/>
      <c r="X443" s="1471"/>
      <c r="Y443" s="1471"/>
      <c r="Z443" s="1471"/>
      <c r="AA443" s="1471"/>
      <c r="AB443" s="1473"/>
      <c r="AC443" s="1319"/>
      <c r="AD443" s="2" t="str">
        <f aca="false">IF(AND(AD$4=$G443,AD$6=$F443),$B443,"")</f>
        <v/>
      </c>
      <c r="AE443" s="2" t="str">
        <f aca="false">IF(AND(AE$4=$G443,AE$6=$F443),$B443,"")</f>
        <v/>
      </c>
      <c r="AF443" s="2" t="str">
        <f aca="false">IF(AND(AF$4=$G443,AF$6=$F443),$B443,"")</f>
        <v/>
      </c>
      <c r="AG443" s="2" t="str">
        <f aca="false">IF(AND(AG$4=$G443,AG$6=$F443),$B443,"")</f>
        <v/>
      </c>
      <c r="AI443" s="366"/>
      <c r="AL443" s="367"/>
      <c r="AO443" s="367"/>
      <c r="AR443" s="1411"/>
      <c r="AT443" s="1422"/>
      <c r="AU443" s="1411"/>
      <c r="AV443" s="1411"/>
      <c r="AW443" s="1423"/>
      <c r="AX443" s="1423"/>
      <c r="AZ443" s="1503"/>
      <c r="BA443" s="1503"/>
      <c r="BB443" s="1503"/>
      <c r="BC443" s="1503"/>
      <c r="BD443" s="1503"/>
      <c r="BE443" s="1503"/>
      <c r="BF443" s="1503"/>
      <c r="BG443" s="1503"/>
      <c r="BH443" s="1504"/>
      <c r="BI443" s="1504"/>
      <c r="BJ443" s="1504"/>
      <c r="BK443" s="1504"/>
      <c r="BM443" s="1411"/>
      <c r="BN443" s="1411"/>
      <c r="BO443" s="1425"/>
      <c r="BP443" s="1425"/>
      <c r="BQ443" s="1425"/>
      <c r="BR443" s="1425"/>
      <c r="BS443" s="1411"/>
      <c r="BT443" s="1411"/>
      <c r="BU443" s="1411"/>
      <c r="BV443" s="1411"/>
      <c r="BW443" s="1411"/>
      <c r="BX443" s="1411"/>
      <c r="BZ443" s="1438"/>
      <c r="CA443" s="1438"/>
      <c r="CB443" s="1496"/>
      <c r="CC443" s="1496"/>
      <c r="CD443" s="1496"/>
      <c r="CE443" s="1496"/>
      <c r="CF443" s="1438"/>
      <c r="CG443" s="1438"/>
      <c r="CH443" s="1438"/>
      <c r="CI443" s="1438"/>
      <c r="CJ443" s="1438"/>
      <c r="CK443" s="1438"/>
      <c r="CU443" s="1411"/>
      <c r="CV443" s="1411"/>
      <c r="CW443" s="1425"/>
      <c r="CX443" s="1425"/>
      <c r="CY443" s="1425"/>
      <c r="CZ443" s="1425"/>
      <c r="DA443" s="1411"/>
      <c r="DB443" s="1411"/>
      <c r="DC443" s="1411"/>
      <c r="DD443" s="1411"/>
      <c r="DE443" s="1411"/>
      <c r="DF443" s="1411"/>
      <c r="DH443" s="1432"/>
      <c r="DI443" s="1432"/>
      <c r="DJ443" s="1437"/>
      <c r="DK443" s="1437"/>
      <c r="DL443" s="1437"/>
      <c r="DM443" s="1437"/>
      <c r="DN443" s="1432"/>
      <c r="DO443" s="1432"/>
      <c r="DP443" s="1432"/>
      <c r="DQ443" s="1432"/>
      <c r="DR443" s="1432"/>
      <c r="DS443" s="1432"/>
      <c r="DT443" s="1316"/>
      <c r="DU443" s="1433"/>
      <c r="DV443" s="1433"/>
      <c r="DW443" s="1433"/>
      <c r="DX443" s="1433"/>
      <c r="DY443" s="1433"/>
      <c r="DZ443" s="1433"/>
      <c r="EA443" s="1433"/>
      <c r="EB443" s="1433"/>
    </row>
    <row r="444" customFormat="false" ht="14.25" hidden="false" customHeight="false" outlineLevel="0" collapsed="false">
      <c r="A444" s="2" t="n">
        <f aca="false">'V_DATOS PAC_SGA'!CC439</f>
        <v>0</v>
      </c>
      <c r="B444" s="2" t="n">
        <f aca="false">IF(OR(A444=0,A444=""),0,IF(I444="IV",CONCATENATE('V_DATOS PAC_SGA'!CC439,"4")+0,CONCATENATE('V_DATOS PAC_SGA'!CC439,"0")+0))</f>
        <v>0</v>
      </c>
      <c r="C444" s="2" t="n">
        <f aca="false">'V_DATOS PAC_SGA'!CD439</f>
        <v>0</v>
      </c>
      <c r="D444" s="1409" t="n">
        <f aca="false">'V_DATOS PAC_SGA'!Y439</f>
        <v>0</v>
      </c>
      <c r="E444" s="1410" t="str">
        <f aca="false">IF('V_DATOS PAC_SGA'!AV439="","Regadio",'V_DATOS PAC_SGA'!AV439)</f>
        <v>Regadio</v>
      </c>
      <c r="F444" s="1411" t="n">
        <f aca="false">'V_DATOS PAC_SGA'!BK439</f>
        <v>0</v>
      </c>
      <c r="G444" s="1412" t="n">
        <f aca="false">'V_DATOS PAC_SGA'!AN439</f>
        <v>0</v>
      </c>
      <c r="H444" s="1413" t="str">
        <f aca="false">IF(B444&gt;0,VLOOKUP(B444,'O_MN, PE_UTA_UGM 2024'!E$3:O$419,10),"")</f>
        <v/>
      </c>
      <c r="I444" s="1359" t="str">
        <f aca="false">IF('V_DATOS PAC_SGA'!BV439="IV",'V_DATOS PAC_SGA'!BV439,"")</f>
        <v/>
      </c>
      <c r="J444" s="2" t="str">
        <f aca="false">IF($A444&gt;0,IF(AND(J$4=$G444,J$6=$F444),$D444*J$5,""),"")</f>
        <v/>
      </c>
      <c r="K444" s="2" t="str">
        <f aca="false">IF($A444&gt;0,IF(AND(K$4=$G444,K$6=$F444),$D444*K$5,""),"")</f>
        <v/>
      </c>
      <c r="L444" s="2" t="str">
        <f aca="false">IF($A444&gt;0,IF(AND(L$4=$G444,L$6=$F444),$D444*L$5,""),"")</f>
        <v/>
      </c>
      <c r="M444" s="2" t="str">
        <f aca="false">IF($A444&gt;0,IF(AND(M$4=$G444,M$6=$F444),$D444*M$5,""),"")</f>
        <v/>
      </c>
      <c r="N444" s="1508" t="n">
        <f aca="false">VLOOKUP(B444,'O_MN, PE_UTA_UGM 2024'!$E$2:$K$419,IF(G444&gt;1,6,7))</f>
        <v>0</v>
      </c>
      <c r="O444" s="1434" t="str">
        <f aca="false">IF($H444=O$4,$D444*$N444,"")</f>
        <v/>
      </c>
      <c r="P444" s="1435" t="str">
        <f aca="false">IF($H444=P$4,$D444*$N444,"")</f>
        <v/>
      </c>
      <c r="Q444" s="1435" t="str">
        <f aca="false">IF($H444=Q$4,$D444*$N444,"")</f>
        <v/>
      </c>
      <c r="R444" s="1435" t="str">
        <f aca="false">IF($H444=R$4,$D444*$N444,"")</f>
        <v/>
      </c>
      <c r="S444" s="1435" t="str">
        <f aca="false">IF($H444=S$4,$D444*$N444,"")</f>
        <v/>
      </c>
      <c r="T444" s="1435" t="str">
        <f aca="false">IF($H444=T$4,$D444*$N444,"")</f>
        <v/>
      </c>
      <c r="U444" s="1436" t="str">
        <f aca="false">IF($H444=U$4,$D444*$N444,"")</f>
        <v/>
      </c>
      <c r="V444" s="1472"/>
      <c r="W444" s="1471"/>
      <c r="X444" s="1471"/>
      <c r="Y444" s="1471"/>
      <c r="Z444" s="1471"/>
      <c r="AA444" s="1471"/>
      <c r="AB444" s="1473"/>
      <c r="AC444" s="1319"/>
      <c r="AD444" s="2" t="str">
        <f aca="false">IF(AND(AD$4=$G444,AD$6=$F444),$B444,"")</f>
        <v/>
      </c>
      <c r="AE444" s="2" t="str">
        <f aca="false">IF(AND(AE$4=$G444,AE$6=$F444),$B444,"")</f>
        <v/>
      </c>
      <c r="AF444" s="2" t="str">
        <f aca="false">IF(AND(AF$4=$G444,AF$6=$F444),$B444,"")</f>
        <v/>
      </c>
      <c r="AG444" s="2" t="str">
        <f aca="false">IF(AND(AG$4=$G444,AG$6=$F444),$B444,"")</f>
        <v/>
      </c>
      <c r="AI444" s="366"/>
      <c r="AL444" s="367"/>
      <c r="AO444" s="367"/>
      <c r="AR444" s="1411"/>
      <c r="AT444" s="1422"/>
      <c r="AU444" s="1411"/>
      <c r="AV444" s="1411"/>
      <c r="AW444" s="1423"/>
      <c r="AX444" s="1423"/>
      <c r="AZ444" s="1503"/>
      <c r="BA444" s="1503"/>
      <c r="BB444" s="1503"/>
      <c r="BC444" s="1503"/>
      <c r="BD444" s="1503"/>
      <c r="BE444" s="1503"/>
      <c r="BF444" s="1503"/>
      <c r="BG444" s="1503"/>
      <c r="BH444" s="1504"/>
      <c r="BI444" s="1504"/>
      <c r="BJ444" s="1504"/>
      <c r="BK444" s="1504"/>
      <c r="BM444" s="1411"/>
      <c r="BN444" s="1411"/>
      <c r="BO444" s="1425"/>
      <c r="BP444" s="1425"/>
      <c r="BQ444" s="1425"/>
      <c r="BR444" s="1425"/>
      <c r="BS444" s="1411"/>
      <c r="BT444" s="1411"/>
      <c r="BU444" s="1411"/>
      <c r="BV444" s="1411"/>
      <c r="BW444" s="1411"/>
      <c r="BX444" s="1411"/>
      <c r="BZ444" s="1438"/>
      <c r="CA444" s="1438"/>
      <c r="CB444" s="1496"/>
      <c r="CC444" s="1496"/>
      <c r="CD444" s="1496"/>
      <c r="CE444" s="1496"/>
      <c r="CF444" s="1438"/>
      <c r="CG444" s="1438"/>
      <c r="CH444" s="1438"/>
      <c r="CI444" s="1438"/>
      <c r="CJ444" s="1438"/>
      <c r="CK444" s="1438"/>
      <c r="CU444" s="1411"/>
      <c r="CV444" s="1411"/>
      <c r="CW444" s="1425"/>
      <c r="CX444" s="1425"/>
      <c r="CY444" s="1425"/>
      <c r="CZ444" s="1425"/>
      <c r="DA444" s="1411"/>
      <c r="DB444" s="1411"/>
      <c r="DC444" s="1411"/>
      <c r="DD444" s="1411"/>
      <c r="DE444" s="1411"/>
      <c r="DF444" s="1411"/>
      <c r="DH444" s="1432"/>
      <c r="DI444" s="1432"/>
      <c r="DJ444" s="1437"/>
      <c r="DK444" s="1437"/>
      <c r="DL444" s="1437"/>
      <c r="DM444" s="1437"/>
      <c r="DN444" s="1432"/>
      <c r="DO444" s="1432"/>
      <c r="DP444" s="1432"/>
      <c r="DQ444" s="1432"/>
      <c r="DR444" s="1432"/>
      <c r="DS444" s="1432"/>
      <c r="DT444" s="1316"/>
      <c r="DU444" s="1433"/>
      <c r="DV444" s="1433"/>
      <c r="DW444" s="1433"/>
      <c r="DX444" s="1433"/>
      <c r="DY444" s="1433"/>
      <c r="DZ444" s="1433"/>
      <c r="EA444" s="1433"/>
      <c r="EB444" s="1433"/>
    </row>
    <row r="445" customFormat="false" ht="14.25" hidden="false" customHeight="false" outlineLevel="0" collapsed="false">
      <c r="A445" s="2" t="n">
        <f aca="false">'V_DATOS PAC_SGA'!CC440</f>
        <v>0</v>
      </c>
      <c r="B445" s="2" t="n">
        <f aca="false">IF(OR(A445=0,A445=""),0,IF(I445="IV",CONCATENATE('V_DATOS PAC_SGA'!CC440,"4")+0,CONCATENATE('V_DATOS PAC_SGA'!CC440,"0")+0))</f>
        <v>0</v>
      </c>
      <c r="C445" s="2" t="n">
        <f aca="false">'V_DATOS PAC_SGA'!CD440</f>
        <v>0</v>
      </c>
      <c r="D445" s="1409" t="n">
        <f aca="false">'V_DATOS PAC_SGA'!Y440</f>
        <v>0</v>
      </c>
      <c r="E445" s="1410" t="str">
        <f aca="false">IF('V_DATOS PAC_SGA'!AV440="","Regadio",'V_DATOS PAC_SGA'!AV440)</f>
        <v>Regadio</v>
      </c>
      <c r="F445" s="1411" t="n">
        <f aca="false">'V_DATOS PAC_SGA'!BK440</f>
        <v>0</v>
      </c>
      <c r="G445" s="1412" t="n">
        <f aca="false">'V_DATOS PAC_SGA'!AN440</f>
        <v>0</v>
      </c>
      <c r="H445" s="1413" t="str">
        <f aca="false">IF(B445&gt;0,VLOOKUP(B445,'O_MN, PE_UTA_UGM 2024'!E$3:O$419,10),"")</f>
        <v/>
      </c>
      <c r="I445" s="1359" t="str">
        <f aca="false">IF('V_DATOS PAC_SGA'!BV440="IV",'V_DATOS PAC_SGA'!BV440,"")</f>
        <v/>
      </c>
      <c r="J445" s="2" t="str">
        <f aca="false">IF($A445&gt;0,IF(AND(J$4=$G445,J$6=$F445),$D445*J$5,""),"")</f>
        <v/>
      </c>
      <c r="K445" s="2" t="str">
        <f aca="false">IF($A445&gt;0,IF(AND(K$4=$G445,K$6=$F445),$D445*K$5,""),"")</f>
        <v/>
      </c>
      <c r="L445" s="2" t="str">
        <f aca="false">IF($A445&gt;0,IF(AND(L$4=$G445,L$6=$F445),$D445*L$5,""),"")</f>
        <v/>
      </c>
      <c r="M445" s="2" t="str">
        <f aca="false">IF($A445&gt;0,IF(AND(M$4=$G445,M$6=$F445),$D445*M$5,""),"")</f>
        <v/>
      </c>
      <c r="N445" s="1508" t="n">
        <f aca="false">VLOOKUP(B445,'O_MN, PE_UTA_UGM 2024'!$E$2:$K$419,IF(G445&gt;1,6,7))</f>
        <v>0</v>
      </c>
      <c r="O445" s="1434" t="str">
        <f aca="false">IF($H445=O$4,$D445*$N445,"")</f>
        <v/>
      </c>
      <c r="P445" s="1435" t="str">
        <f aca="false">IF($H445=P$4,$D445*$N445,"")</f>
        <v/>
      </c>
      <c r="Q445" s="1435" t="str">
        <f aca="false">IF($H445=Q$4,$D445*$N445,"")</f>
        <v/>
      </c>
      <c r="R445" s="1435" t="str">
        <f aca="false">IF($H445=R$4,$D445*$N445,"")</f>
        <v/>
      </c>
      <c r="S445" s="1435" t="str">
        <f aca="false">IF($H445=S$4,$D445*$N445,"")</f>
        <v/>
      </c>
      <c r="T445" s="1435" t="str">
        <f aca="false">IF($H445=T$4,$D445*$N445,"")</f>
        <v/>
      </c>
      <c r="U445" s="1436" t="str">
        <f aca="false">IF($H445=U$4,$D445*$N445,"")</f>
        <v/>
      </c>
      <c r="V445" s="1472"/>
      <c r="W445" s="1471"/>
      <c r="X445" s="1471"/>
      <c r="Y445" s="1471"/>
      <c r="Z445" s="1471"/>
      <c r="AA445" s="1471"/>
      <c r="AB445" s="1473"/>
      <c r="AC445" s="1319"/>
      <c r="AD445" s="2" t="str">
        <f aca="false">IF(AND(AD$4=$G445,AD$6=$F445),$B445,"")</f>
        <v/>
      </c>
      <c r="AE445" s="2" t="str">
        <f aca="false">IF(AND(AE$4=$G445,AE$6=$F445),$B445,"")</f>
        <v/>
      </c>
      <c r="AF445" s="2" t="str">
        <f aca="false">IF(AND(AF$4=$G445,AF$6=$F445),$B445,"")</f>
        <v/>
      </c>
      <c r="AG445" s="2" t="str">
        <f aca="false">IF(AND(AG$4=$G445,AG$6=$F445),$B445,"")</f>
        <v/>
      </c>
      <c r="AI445" s="366"/>
      <c r="AL445" s="367"/>
      <c r="AO445" s="367"/>
      <c r="AR445" s="1411"/>
      <c r="AT445" s="1422"/>
      <c r="AU445" s="1411"/>
      <c r="AV445" s="1411"/>
      <c r="AW445" s="1423"/>
      <c r="AX445" s="1423"/>
      <c r="AZ445" s="1503"/>
      <c r="BA445" s="1503"/>
      <c r="BB445" s="1503"/>
      <c r="BC445" s="1503"/>
      <c r="BD445" s="1503"/>
      <c r="BE445" s="1503"/>
      <c r="BF445" s="1503"/>
      <c r="BG445" s="1503"/>
      <c r="BH445" s="1504"/>
      <c r="BI445" s="1504"/>
      <c r="BJ445" s="1504"/>
      <c r="BK445" s="1504"/>
      <c r="BM445" s="1411"/>
      <c r="BN445" s="1411"/>
      <c r="BO445" s="1425"/>
      <c r="BP445" s="1425"/>
      <c r="BQ445" s="1425"/>
      <c r="BR445" s="1425"/>
      <c r="BS445" s="1411"/>
      <c r="BT445" s="1411"/>
      <c r="BU445" s="1411"/>
      <c r="BV445" s="1411"/>
      <c r="BW445" s="1411"/>
      <c r="BX445" s="1411"/>
      <c r="BZ445" s="1438"/>
      <c r="CA445" s="1438"/>
      <c r="CB445" s="1496"/>
      <c r="CC445" s="1496"/>
      <c r="CD445" s="1496"/>
      <c r="CE445" s="1496"/>
      <c r="CF445" s="1438"/>
      <c r="CG445" s="1438"/>
      <c r="CH445" s="1438"/>
      <c r="CI445" s="1438"/>
      <c r="CJ445" s="1438"/>
      <c r="CK445" s="1438"/>
      <c r="CU445" s="1411"/>
      <c r="CV445" s="1411"/>
      <c r="CW445" s="1425"/>
      <c r="CX445" s="1425"/>
      <c r="CY445" s="1425"/>
      <c r="CZ445" s="1425"/>
      <c r="DA445" s="1411"/>
      <c r="DB445" s="1411"/>
      <c r="DC445" s="1411"/>
      <c r="DD445" s="1411"/>
      <c r="DE445" s="1411"/>
      <c r="DF445" s="1411"/>
      <c r="DH445" s="1432"/>
      <c r="DI445" s="1432"/>
      <c r="DJ445" s="1437"/>
      <c r="DK445" s="1437"/>
      <c r="DL445" s="1437"/>
      <c r="DM445" s="1437"/>
      <c r="DN445" s="1432"/>
      <c r="DO445" s="1432"/>
      <c r="DP445" s="1432"/>
      <c r="DQ445" s="1432"/>
      <c r="DR445" s="1432"/>
      <c r="DS445" s="1432"/>
      <c r="DT445" s="1316"/>
      <c r="DU445" s="1433"/>
      <c r="DV445" s="1433"/>
      <c r="DW445" s="1433"/>
      <c r="DX445" s="1433"/>
      <c r="DY445" s="1433"/>
      <c r="DZ445" s="1433"/>
      <c r="EA445" s="1433"/>
      <c r="EB445" s="1433"/>
    </row>
    <row r="446" customFormat="false" ht="14.25" hidden="false" customHeight="false" outlineLevel="0" collapsed="false">
      <c r="A446" s="2" t="n">
        <f aca="false">'V_DATOS PAC_SGA'!CC441</f>
        <v>0</v>
      </c>
      <c r="B446" s="2" t="n">
        <f aca="false">IF(OR(A446=0,A446=""),0,IF(I446="IV",CONCATENATE('V_DATOS PAC_SGA'!CC441,"4")+0,CONCATENATE('V_DATOS PAC_SGA'!CC441,"0")+0))</f>
        <v>0</v>
      </c>
      <c r="C446" s="2" t="n">
        <f aca="false">'V_DATOS PAC_SGA'!CD441</f>
        <v>0</v>
      </c>
      <c r="D446" s="1409" t="n">
        <f aca="false">'V_DATOS PAC_SGA'!Y441</f>
        <v>0</v>
      </c>
      <c r="E446" s="1410" t="str">
        <f aca="false">IF('V_DATOS PAC_SGA'!AV441="","Regadio",'V_DATOS PAC_SGA'!AV441)</f>
        <v>Regadio</v>
      </c>
      <c r="F446" s="1411" t="n">
        <f aca="false">'V_DATOS PAC_SGA'!BK441</f>
        <v>0</v>
      </c>
      <c r="G446" s="1412" t="n">
        <f aca="false">'V_DATOS PAC_SGA'!AN441</f>
        <v>0</v>
      </c>
      <c r="H446" s="1413" t="str">
        <f aca="false">IF(B446&gt;0,VLOOKUP(B446,'O_MN, PE_UTA_UGM 2024'!E$3:O$419,10),"")</f>
        <v/>
      </c>
      <c r="I446" s="1359" t="str">
        <f aca="false">IF('V_DATOS PAC_SGA'!BV441="IV",'V_DATOS PAC_SGA'!BV441,"")</f>
        <v/>
      </c>
      <c r="J446" s="2" t="str">
        <f aca="false">IF($A446&gt;0,IF(AND(J$4=$G446,J$6=$F446),$D446*J$5,""),"")</f>
        <v/>
      </c>
      <c r="K446" s="2" t="str">
        <f aca="false">IF($A446&gt;0,IF(AND(K$4=$G446,K$6=$F446),$D446*K$5,""),"")</f>
        <v/>
      </c>
      <c r="L446" s="2" t="str">
        <f aca="false">IF($A446&gt;0,IF(AND(L$4=$G446,L$6=$F446),$D446*L$5,""),"")</f>
        <v/>
      </c>
      <c r="M446" s="2" t="str">
        <f aca="false">IF($A446&gt;0,IF(AND(M$4=$G446,M$6=$F446),$D446*M$5,""),"")</f>
        <v/>
      </c>
      <c r="N446" s="1508" t="n">
        <f aca="false">VLOOKUP(B446,'O_MN, PE_UTA_UGM 2024'!$E$2:$K$419,IF(G446&gt;1,6,7))</f>
        <v>0</v>
      </c>
      <c r="O446" s="1434" t="str">
        <f aca="false">IF($H446=O$4,$D446*$N446,"")</f>
        <v/>
      </c>
      <c r="P446" s="1435" t="str">
        <f aca="false">IF($H446=P$4,$D446*$N446,"")</f>
        <v/>
      </c>
      <c r="Q446" s="1435" t="str">
        <f aca="false">IF($H446=Q$4,$D446*$N446,"")</f>
        <v/>
      </c>
      <c r="R446" s="1435" t="str">
        <f aca="false">IF($H446=R$4,$D446*$N446,"")</f>
        <v/>
      </c>
      <c r="S446" s="1435" t="str">
        <f aca="false">IF($H446=S$4,$D446*$N446,"")</f>
        <v/>
      </c>
      <c r="T446" s="1435" t="str">
        <f aca="false">IF($H446=T$4,$D446*$N446,"")</f>
        <v/>
      </c>
      <c r="U446" s="1436" t="str">
        <f aca="false">IF($H446=U$4,$D446*$N446,"")</f>
        <v/>
      </c>
      <c r="V446" s="1472"/>
      <c r="W446" s="1471"/>
      <c r="X446" s="1471"/>
      <c r="Y446" s="1471"/>
      <c r="Z446" s="1471"/>
      <c r="AA446" s="1471"/>
      <c r="AB446" s="1473"/>
      <c r="AC446" s="1319"/>
      <c r="AD446" s="2" t="str">
        <f aca="false">IF(AND(AD$4=$G446,AD$6=$F446),$B446,"")</f>
        <v/>
      </c>
      <c r="AE446" s="2" t="str">
        <f aca="false">IF(AND(AE$4=$G446,AE$6=$F446),$B446,"")</f>
        <v/>
      </c>
      <c r="AF446" s="2" t="str">
        <f aca="false">IF(AND(AF$4=$G446,AF$6=$F446),$B446,"")</f>
        <v/>
      </c>
      <c r="AG446" s="2" t="str">
        <f aca="false">IF(AND(AG$4=$G446,AG$6=$F446),$B446,"")</f>
        <v/>
      </c>
      <c r="AI446" s="366"/>
      <c r="AL446" s="367"/>
      <c r="AO446" s="367"/>
      <c r="AR446" s="1411"/>
      <c r="AT446" s="1422"/>
      <c r="AU446" s="1411"/>
      <c r="AV446" s="1411"/>
      <c r="AW446" s="1423"/>
      <c r="AX446" s="1423"/>
      <c r="AZ446" s="1503"/>
      <c r="BA446" s="1503"/>
      <c r="BB446" s="1503"/>
      <c r="BC446" s="1503"/>
      <c r="BD446" s="1503"/>
      <c r="BE446" s="1503"/>
      <c r="BF446" s="1503"/>
      <c r="BG446" s="1503"/>
      <c r="BH446" s="1504"/>
      <c r="BI446" s="1504"/>
      <c r="BJ446" s="1504"/>
      <c r="BK446" s="1504"/>
      <c r="BM446" s="1411"/>
      <c r="BN446" s="1411"/>
      <c r="BO446" s="1425"/>
      <c r="BP446" s="1425"/>
      <c r="BQ446" s="1425"/>
      <c r="BR446" s="1425"/>
      <c r="BS446" s="1411"/>
      <c r="BT446" s="1411"/>
      <c r="BU446" s="1411"/>
      <c r="BV446" s="1411"/>
      <c r="BW446" s="1411"/>
      <c r="BX446" s="1411"/>
      <c r="BZ446" s="1438"/>
      <c r="CA446" s="1438"/>
      <c r="CB446" s="1496"/>
      <c r="CC446" s="1496"/>
      <c r="CD446" s="1496"/>
      <c r="CE446" s="1496"/>
      <c r="CF446" s="1438"/>
      <c r="CG446" s="1438"/>
      <c r="CH446" s="1438"/>
      <c r="CI446" s="1438"/>
      <c r="CJ446" s="1438"/>
      <c r="CK446" s="1438"/>
      <c r="CU446" s="1411"/>
      <c r="CV446" s="1411"/>
      <c r="CW446" s="1425"/>
      <c r="CX446" s="1425"/>
      <c r="CY446" s="1425"/>
      <c r="CZ446" s="1425"/>
      <c r="DA446" s="1411"/>
      <c r="DB446" s="1411"/>
      <c r="DC446" s="1411"/>
      <c r="DD446" s="1411"/>
      <c r="DE446" s="1411"/>
      <c r="DF446" s="1411"/>
      <c r="DH446" s="1432"/>
      <c r="DI446" s="1432"/>
      <c r="DJ446" s="1437"/>
      <c r="DK446" s="1437"/>
      <c r="DL446" s="1437"/>
      <c r="DM446" s="1437"/>
      <c r="DN446" s="1432"/>
      <c r="DO446" s="1432"/>
      <c r="DP446" s="1432"/>
      <c r="DQ446" s="1432"/>
      <c r="DR446" s="1432"/>
      <c r="DS446" s="1432"/>
      <c r="DT446" s="1316"/>
      <c r="DU446" s="1433"/>
      <c r="DV446" s="1433"/>
      <c r="DW446" s="1433"/>
      <c r="DX446" s="1433"/>
      <c r="DY446" s="1433"/>
      <c r="DZ446" s="1433"/>
      <c r="EA446" s="1433"/>
      <c r="EB446" s="1433"/>
    </row>
    <row r="447" customFormat="false" ht="14.25" hidden="false" customHeight="false" outlineLevel="0" collapsed="false">
      <c r="A447" s="2" t="n">
        <f aca="false">'V_DATOS PAC_SGA'!CC442</f>
        <v>0</v>
      </c>
      <c r="B447" s="2" t="n">
        <f aca="false">IF(OR(A447=0,A447=""),0,IF(I447="IV",CONCATENATE('V_DATOS PAC_SGA'!CC442,"4")+0,CONCATENATE('V_DATOS PAC_SGA'!CC442,"0")+0))</f>
        <v>0</v>
      </c>
      <c r="C447" s="2" t="n">
        <f aca="false">'V_DATOS PAC_SGA'!CD442</f>
        <v>0</v>
      </c>
      <c r="D447" s="1409" t="n">
        <f aca="false">'V_DATOS PAC_SGA'!Y442</f>
        <v>0</v>
      </c>
      <c r="E447" s="1410" t="str">
        <f aca="false">IF('V_DATOS PAC_SGA'!AV442="","Regadio",'V_DATOS PAC_SGA'!AV442)</f>
        <v>Regadio</v>
      </c>
      <c r="F447" s="1411" t="n">
        <f aca="false">'V_DATOS PAC_SGA'!BK442</f>
        <v>0</v>
      </c>
      <c r="G447" s="1412" t="n">
        <f aca="false">'V_DATOS PAC_SGA'!AN442</f>
        <v>0</v>
      </c>
      <c r="H447" s="1413" t="str">
        <f aca="false">IF(B447&gt;0,VLOOKUP(B447,'O_MN, PE_UTA_UGM 2024'!E$3:O$419,10),"")</f>
        <v/>
      </c>
      <c r="I447" s="1359" t="str">
        <f aca="false">IF('V_DATOS PAC_SGA'!BV442="IV",'V_DATOS PAC_SGA'!BV442,"")</f>
        <v/>
      </c>
      <c r="J447" s="2" t="str">
        <f aca="false">IF($A447&gt;0,IF(AND(J$4=$G447,J$6=$F447),$D447*J$5,""),"")</f>
        <v/>
      </c>
      <c r="K447" s="2" t="str">
        <f aca="false">IF($A447&gt;0,IF(AND(K$4=$G447,K$6=$F447),$D447*K$5,""),"")</f>
        <v/>
      </c>
      <c r="L447" s="2" t="str">
        <f aca="false">IF($A447&gt;0,IF(AND(L$4=$G447,L$6=$F447),$D447*L$5,""),"")</f>
        <v/>
      </c>
      <c r="M447" s="2" t="str">
        <f aca="false">IF($A447&gt;0,IF(AND(M$4=$G447,M$6=$F447),$D447*M$5,""),"")</f>
        <v/>
      </c>
      <c r="N447" s="1508" t="n">
        <f aca="false">VLOOKUP(B447,'O_MN, PE_UTA_UGM 2024'!$E$2:$K$419,IF(G447&gt;1,6,7))</f>
        <v>0</v>
      </c>
      <c r="O447" s="1434" t="str">
        <f aca="false">IF($H447=O$4,$D447*$N447,"")</f>
        <v/>
      </c>
      <c r="P447" s="1435" t="str">
        <f aca="false">IF($H447=P$4,$D447*$N447,"")</f>
        <v/>
      </c>
      <c r="Q447" s="1435" t="str">
        <f aca="false">IF($H447=Q$4,$D447*$N447,"")</f>
        <v/>
      </c>
      <c r="R447" s="1435" t="str">
        <f aca="false">IF($H447=R$4,$D447*$N447,"")</f>
        <v/>
      </c>
      <c r="S447" s="1435" t="str">
        <f aca="false">IF($H447=S$4,$D447*$N447,"")</f>
        <v/>
      </c>
      <c r="T447" s="1435" t="str">
        <f aca="false">IF($H447=T$4,$D447*$N447,"")</f>
        <v/>
      </c>
      <c r="U447" s="1436" t="str">
        <f aca="false">IF($H447=U$4,$D447*$N447,"")</f>
        <v/>
      </c>
      <c r="V447" s="1472"/>
      <c r="W447" s="1471"/>
      <c r="X447" s="1471"/>
      <c r="Y447" s="1471"/>
      <c r="Z447" s="1471"/>
      <c r="AA447" s="1471"/>
      <c r="AB447" s="1473"/>
      <c r="AC447" s="1319"/>
      <c r="AD447" s="2" t="str">
        <f aca="false">IF(AND(AD$4=$G447,AD$6=$F447),$B447,"")</f>
        <v/>
      </c>
      <c r="AE447" s="2" t="str">
        <f aca="false">IF(AND(AE$4=$G447,AE$6=$F447),$B447,"")</f>
        <v/>
      </c>
      <c r="AF447" s="2" t="str">
        <f aca="false">IF(AND(AF$4=$G447,AF$6=$F447),$B447,"")</f>
        <v/>
      </c>
      <c r="AG447" s="2" t="str">
        <f aca="false">IF(AND(AG$4=$G447,AG$6=$F447),$B447,"")</f>
        <v/>
      </c>
      <c r="AI447" s="366"/>
      <c r="AL447" s="367"/>
      <c r="AO447" s="367"/>
      <c r="AR447" s="1411"/>
      <c r="AT447" s="1422"/>
      <c r="AU447" s="1411"/>
      <c r="AV447" s="1411"/>
      <c r="AW447" s="1423"/>
      <c r="AX447" s="1423"/>
      <c r="AZ447" s="1503"/>
      <c r="BA447" s="1503"/>
      <c r="BB447" s="1503"/>
      <c r="BC447" s="1503"/>
      <c r="BD447" s="1503"/>
      <c r="BE447" s="1503"/>
      <c r="BF447" s="1503"/>
      <c r="BG447" s="1503"/>
      <c r="BH447" s="1504"/>
      <c r="BI447" s="1504"/>
      <c r="BJ447" s="1504"/>
      <c r="BK447" s="1504"/>
      <c r="BM447" s="1411"/>
      <c r="BN447" s="1411"/>
      <c r="BO447" s="1425"/>
      <c r="BP447" s="1425"/>
      <c r="BQ447" s="1425"/>
      <c r="BR447" s="1425"/>
      <c r="BS447" s="1411"/>
      <c r="BT447" s="1411"/>
      <c r="BU447" s="1411"/>
      <c r="BV447" s="1411"/>
      <c r="BW447" s="1411"/>
      <c r="BX447" s="1411"/>
      <c r="BZ447" s="1438"/>
      <c r="CA447" s="1438"/>
      <c r="CB447" s="1496"/>
      <c r="CC447" s="1496"/>
      <c r="CD447" s="1496"/>
      <c r="CE447" s="1496"/>
      <c r="CF447" s="1438"/>
      <c r="CG447" s="1438"/>
      <c r="CH447" s="1438"/>
      <c r="CI447" s="1438"/>
      <c r="CJ447" s="1438"/>
      <c r="CK447" s="1438"/>
      <c r="CU447" s="1411"/>
      <c r="CV447" s="1411"/>
      <c r="CW447" s="1425"/>
      <c r="CX447" s="1425"/>
      <c r="CY447" s="1425"/>
      <c r="CZ447" s="1425"/>
      <c r="DA447" s="1411"/>
      <c r="DB447" s="1411"/>
      <c r="DC447" s="1411"/>
      <c r="DD447" s="1411"/>
      <c r="DE447" s="1411"/>
      <c r="DF447" s="1411"/>
      <c r="DH447" s="1432"/>
      <c r="DI447" s="1432"/>
      <c r="DJ447" s="1437"/>
      <c r="DK447" s="1437"/>
      <c r="DL447" s="1437"/>
      <c r="DM447" s="1437"/>
      <c r="DN447" s="1432"/>
      <c r="DO447" s="1432"/>
      <c r="DP447" s="1432"/>
      <c r="DQ447" s="1432"/>
      <c r="DR447" s="1432"/>
      <c r="DS447" s="1432"/>
      <c r="DT447" s="1316"/>
      <c r="DU447" s="1433"/>
      <c r="DV447" s="1433"/>
      <c r="DW447" s="1433"/>
      <c r="DX447" s="1433"/>
      <c r="DY447" s="1433"/>
      <c r="DZ447" s="1433"/>
      <c r="EA447" s="1433"/>
      <c r="EB447" s="1433"/>
    </row>
    <row r="448" customFormat="false" ht="14.25" hidden="false" customHeight="false" outlineLevel="0" collapsed="false">
      <c r="A448" s="2" t="n">
        <f aca="false">'V_DATOS PAC_SGA'!CC443</f>
        <v>0</v>
      </c>
      <c r="B448" s="2" t="n">
        <f aca="false">IF(OR(A448=0,A448=""),0,IF(I448="IV",CONCATENATE('V_DATOS PAC_SGA'!CC443,"4")+0,CONCATENATE('V_DATOS PAC_SGA'!CC443,"0")+0))</f>
        <v>0</v>
      </c>
      <c r="C448" s="2" t="n">
        <f aca="false">'V_DATOS PAC_SGA'!CD443</f>
        <v>0</v>
      </c>
      <c r="D448" s="1409" t="n">
        <f aca="false">'V_DATOS PAC_SGA'!Y443</f>
        <v>0</v>
      </c>
      <c r="E448" s="1410" t="str">
        <f aca="false">IF('V_DATOS PAC_SGA'!AV443="","Regadio",'V_DATOS PAC_SGA'!AV443)</f>
        <v>Regadio</v>
      </c>
      <c r="F448" s="1411" t="n">
        <f aca="false">'V_DATOS PAC_SGA'!BK443</f>
        <v>0</v>
      </c>
      <c r="G448" s="1412" t="n">
        <f aca="false">'V_DATOS PAC_SGA'!AN443</f>
        <v>0</v>
      </c>
      <c r="H448" s="1413" t="str">
        <f aca="false">IF(B448&gt;0,VLOOKUP(B448,'O_MN, PE_UTA_UGM 2024'!E$3:O$419,10),"")</f>
        <v/>
      </c>
      <c r="I448" s="1359" t="str">
        <f aca="false">IF('V_DATOS PAC_SGA'!BV443="IV",'V_DATOS PAC_SGA'!BV443,"")</f>
        <v/>
      </c>
      <c r="J448" s="2" t="str">
        <f aca="false">IF($A448&gt;0,IF(AND(J$4=$G448,J$6=$F448),$D448*J$5,""),"")</f>
        <v/>
      </c>
      <c r="K448" s="2" t="str">
        <f aca="false">IF($A448&gt;0,IF(AND(K$4=$G448,K$6=$F448),$D448*K$5,""),"")</f>
        <v/>
      </c>
      <c r="L448" s="2" t="str">
        <f aca="false">IF($A448&gt;0,IF(AND(L$4=$G448,L$6=$F448),$D448*L$5,""),"")</f>
        <v/>
      </c>
      <c r="M448" s="2" t="str">
        <f aca="false">IF($A448&gt;0,IF(AND(M$4=$G448,M$6=$F448),$D448*M$5,""),"")</f>
        <v/>
      </c>
      <c r="N448" s="1508" t="n">
        <f aca="false">VLOOKUP(B448,'O_MN, PE_UTA_UGM 2024'!$E$2:$K$419,IF(G448&gt;1,6,7))</f>
        <v>0</v>
      </c>
      <c r="O448" s="1434" t="str">
        <f aca="false">IF($H448=O$4,$D448*$N448,"")</f>
        <v/>
      </c>
      <c r="P448" s="1435" t="str">
        <f aca="false">IF($H448=P$4,$D448*$N448,"")</f>
        <v/>
      </c>
      <c r="Q448" s="1435" t="str">
        <f aca="false">IF($H448=Q$4,$D448*$N448,"")</f>
        <v/>
      </c>
      <c r="R448" s="1435" t="str">
        <f aca="false">IF($H448=R$4,$D448*$N448,"")</f>
        <v/>
      </c>
      <c r="S448" s="1435" t="str">
        <f aca="false">IF($H448=S$4,$D448*$N448,"")</f>
        <v/>
      </c>
      <c r="T448" s="1435" t="str">
        <f aca="false">IF($H448=T$4,$D448*$N448,"")</f>
        <v/>
      </c>
      <c r="U448" s="1436" t="str">
        <f aca="false">IF($H448=U$4,$D448*$N448,"")</f>
        <v/>
      </c>
      <c r="V448" s="1472"/>
      <c r="W448" s="1471"/>
      <c r="X448" s="1471"/>
      <c r="Y448" s="1471"/>
      <c r="Z448" s="1471"/>
      <c r="AA448" s="1471"/>
      <c r="AB448" s="1473"/>
      <c r="AC448" s="1319"/>
      <c r="AD448" s="2" t="str">
        <f aca="false">IF(AND(AD$4=$G448,AD$6=$F448),$B448,"")</f>
        <v/>
      </c>
      <c r="AE448" s="2" t="str">
        <f aca="false">IF(AND(AE$4=$G448,AE$6=$F448),$B448,"")</f>
        <v/>
      </c>
      <c r="AF448" s="2" t="str">
        <f aca="false">IF(AND(AF$4=$G448,AF$6=$F448),$B448,"")</f>
        <v/>
      </c>
      <c r="AG448" s="2" t="str">
        <f aca="false">IF(AND(AG$4=$G448,AG$6=$F448),$B448,"")</f>
        <v/>
      </c>
      <c r="AI448" s="366"/>
      <c r="AL448" s="367"/>
      <c r="AO448" s="367"/>
      <c r="AR448" s="1411"/>
      <c r="AT448" s="1422"/>
      <c r="AU448" s="1411"/>
      <c r="AV448" s="1411"/>
      <c r="AW448" s="1423"/>
      <c r="AX448" s="1423"/>
      <c r="AZ448" s="1503"/>
      <c r="BA448" s="1503"/>
      <c r="BB448" s="1503"/>
      <c r="BC448" s="1503"/>
      <c r="BD448" s="1503"/>
      <c r="BE448" s="1503"/>
      <c r="BF448" s="1503"/>
      <c r="BG448" s="1503"/>
      <c r="BH448" s="1504"/>
      <c r="BI448" s="1504"/>
      <c r="BJ448" s="1504"/>
      <c r="BK448" s="1504"/>
      <c r="BM448" s="1411"/>
      <c r="BN448" s="1411"/>
      <c r="BO448" s="1425"/>
      <c r="BP448" s="1425"/>
      <c r="BQ448" s="1425"/>
      <c r="BR448" s="1425"/>
      <c r="BS448" s="1411"/>
      <c r="BT448" s="1411"/>
      <c r="BU448" s="1411"/>
      <c r="BV448" s="1411"/>
      <c r="BW448" s="1411"/>
      <c r="BX448" s="1411"/>
      <c r="BZ448" s="1438"/>
      <c r="CA448" s="1438"/>
      <c r="CB448" s="1496"/>
      <c r="CC448" s="1496"/>
      <c r="CD448" s="1496"/>
      <c r="CE448" s="1496"/>
      <c r="CF448" s="1438"/>
      <c r="CG448" s="1438"/>
      <c r="CH448" s="1438"/>
      <c r="CI448" s="1438"/>
      <c r="CJ448" s="1438"/>
      <c r="CK448" s="1438"/>
      <c r="CU448" s="1411"/>
      <c r="CV448" s="1411"/>
      <c r="CW448" s="1425"/>
      <c r="CX448" s="1425"/>
      <c r="CY448" s="1425"/>
      <c r="CZ448" s="1425"/>
      <c r="DA448" s="1411"/>
      <c r="DB448" s="1411"/>
      <c r="DC448" s="1411"/>
      <c r="DD448" s="1411"/>
      <c r="DE448" s="1411"/>
      <c r="DF448" s="1411"/>
      <c r="DH448" s="1432"/>
      <c r="DI448" s="1432"/>
      <c r="DJ448" s="1437"/>
      <c r="DK448" s="1437"/>
      <c r="DL448" s="1437"/>
      <c r="DM448" s="1437"/>
      <c r="DN448" s="1432"/>
      <c r="DO448" s="1432"/>
      <c r="DP448" s="1432"/>
      <c r="DQ448" s="1432"/>
      <c r="DR448" s="1432"/>
      <c r="DS448" s="1432"/>
      <c r="DT448" s="1316"/>
      <c r="DU448" s="1433"/>
      <c r="DV448" s="1433"/>
      <c r="DW448" s="1433"/>
      <c r="DX448" s="1433"/>
      <c r="DY448" s="1433"/>
      <c r="DZ448" s="1433"/>
      <c r="EA448" s="1433"/>
      <c r="EB448" s="1433"/>
    </row>
    <row r="449" customFormat="false" ht="14.25" hidden="false" customHeight="false" outlineLevel="0" collapsed="false">
      <c r="A449" s="2" t="n">
        <f aca="false">'V_DATOS PAC_SGA'!CC444</f>
        <v>0</v>
      </c>
      <c r="B449" s="2" t="n">
        <f aca="false">IF(OR(A449=0,A449=""),0,IF(I449="IV",CONCATENATE('V_DATOS PAC_SGA'!CC444,"4")+0,CONCATENATE('V_DATOS PAC_SGA'!CC444,"0")+0))</f>
        <v>0</v>
      </c>
      <c r="C449" s="2" t="n">
        <f aca="false">'V_DATOS PAC_SGA'!CD444</f>
        <v>0</v>
      </c>
      <c r="D449" s="1409" t="n">
        <f aca="false">'V_DATOS PAC_SGA'!Y444</f>
        <v>0</v>
      </c>
      <c r="E449" s="1410" t="str">
        <f aca="false">IF('V_DATOS PAC_SGA'!AV444="","Regadio",'V_DATOS PAC_SGA'!AV444)</f>
        <v>Regadio</v>
      </c>
      <c r="F449" s="1411" t="n">
        <f aca="false">'V_DATOS PAC_SGA'!BK444</f>
        <v>0</v>
      </c>
      <c r="G449" s="1412" t="n">
        <f aca="false">'V_DATOS PAC_SGA'!AN444</f>
        <v>0</v>
      </c>
      <c r="H449" s="1413" t="str">
        <f aca="false">IF(B449&gt;0,VLOOKUP(B449,'O_MN, PE_UTA_UGM 2024'!E$3:O$419,10),"")</f>
        <v/>
      </c>
      <c r="I449" s="1359" t="str">
        <f aca="false">IF('V_DATOS PAC_SGA'!BV444="IV",'V_DATOS PAC_SGA'!BV444,"")</f>
        <v/>
      </c>
      <c r="J449" s="2" t="str">
        <f aca="false">IF($A449&gt;0,IF(AND(J$4=$G449,J$6=$F449),$D449*J$5,""),"")</f>
        <v/>
      </c>
      <c r="K449" s="2" t="str">
        <f aca="false">IF($A449&gt;0,IF(AND(K$4=$G449,K$6=$F449),$D449*K$5,""),"")</f>
        <v/>
      </c>
      <c r="L449" s="2" t="str">
        <f aca="false">IF($A449&gt;0,IF(AND(L$4=$G449,L$6=$F449),$D449*L$5,""),"")</f>
        <v/>
      </c>
      <c r="M449" s="2" t="str">
        <f aca="false">IF($A449&gt;0,IF(AND(M$4=$G449,M$6=$F449),$D449*M$5,""),"")</f>
        <v/>
      </c>
      <c r="N449" s="1508" t="n">
        <f aca="false">VLOOKUP(B449,'O_MN, PE_UTA_UGM 2024'!$E$2:$K$419,IF(G449&gt;1,6,7))</f>
        <v>0</v>
      </c>
      <c r="O449" s="1434" t="str">
        <f aca="false">IF($H449=O$4,$D449*$N449,"")</f>
        <v/>
      </c>
      <c r="P449" s="1435" t="str">
        <f aca="false">IF($H449=P$4,$D449*$N449,"")</f>
        <v/>
      </c>
      <c r="Q449" s="1435" t="str">
        <f aca="false">IF($H449=Q$4,$D449*$N449,"")</f>
        <v/>
      </c>
      <c r="R449" s="1435" t="str">
        <f aca="false">IF($H449=R$4,$D449*$N449,"")</f>
        <v/>
      </c>
      <c r="S449" s="1435" t="str">
        <f aca="false">IF($H449=S$4,$D449*$N449,"")</f>
        <v/>
      </c>
      <c r="T449" s="1435" t="str">
        <f aca="false">IF($H449=T$4,$D449*$N449,"")</f>
        <v/>
      </c>
      <c r="U449" s="1436" t="str">
        <f aca="false">IF($H449=U$4,$D449*$N449,"")</f>
        <v/>
      </c>
      <c r="V449" s="1472"/>
      <c r="W449" s="1471"/>
      <c r="X449" s="1471"/>
      <c r="Y449" s="1471"/>
      <c r="Z449" s="1471"/>
      <c r="AA449" s="1471"/>
      <c r="AB449" s="1473"/>
      <c r="AC449" s="1319"/>
      <c r="AD449" s="2" t="str">
        <f aca="false">IF(AND(AD$4=$G449,AD$6=$F449),$B449,"")</f>
        <v/>
      </c>
      <c r="AE449" s="2" t="str">
        <f aca="false">IF(AND(AE$4=$G449,AE$6=$F449),$B449,"")</f>
        <v/>
      </c>
      <c r="AF449" s="2" t="str">
        <f aca="false">IF(AND(AF$4=$G449,AF$6=$F449),$B449,"")</f>
        <v/>
      </c>
      <c r="AG449" s="2" t="str">
        <f aca="false">IF(AND(AG$4=$G449,AG$6=$F449),$B449,"")</f>
        <v/>
      </c>
      <c r="AI449" s="366"/>
      <c r="AL449" s="367"/>
      <c r="AO449" s="367"/>
      <c r="AR449" s="1411"/>
      <c r="AT449" s="1422"/>
      <c r="AU449" s="1411"/>
      <c r="AV449" s="1411"/>
      <c r="AW449" s="1423"/>
      <c r="AX449" s="1423"/>
      <c r="AZ449" s="1503"/>
      <c r="BA449" s="1503"/>
      <c r="BB449" s="1503"/>
      <c r="BC449" s="1503"/>
      <c r="BD449" s="1503"/>
      <c r="BE449" s="1503"/>
      <c r="BF449" s="1503"/>
      <c r="BG449" s="1503"/>
      <c r="BH449" s="1504"/>
      <c r="BI449" s="1504"/>
      <c r="BJ449" s="1504"/>
      <c r="BK449" s="1504"/>
      <c r="BM449" s="1411"/>
      <c r="BN449" s="1411"/>
      <c r="BO449" s="1425"/>
      <c r="BP449" s="1425"/>
      <c r="BQ449" s="1425"/>
      <c r="BR449" s="1425"/>
      <c r="BS449" s="1411"/>
      <c r="BT449" s="1411"/>
      <c r="BU449" s="1411"/>
      <c r="BV449" s="1411"/>
      <c r="BW449" s="1411"/>
      <c r="BX449" s="1411"/>
      <c r="BZ449" s="1438"/>
      <c r="CA449" s="1438"/>
      <c r="CB449" s="1496"/>
      <c r="CC449" s="1496"/>
      <c r="CD449" s="1496"/>
      <c r="CE449" s="1496"/>
      <c r="CF449" s="1438"/>
      <c r="CG449" s="1438"/>
      <c r="CH449" s="1438"/>
      <c r="CI449" s="1438"/>
      <c r="CJ449" s="1438"/>
      <c r="CK449" s="1438"/>
      <c r="CU449" s="1411"/>
      <c r="CV449" s="1411"/>
      <c r="CW449" s="1425"/>
      <c r="CX449" s="1425"/>
      <c r="CY449" s="1425"/>
      <c r="CZ449" s="1425"/>
      <c r="DA449" s="1411"/>
      <c r="DB449" s="1411"/>
      <c r="DC449" s="1411"/>
      <c r="DD449" s="1411"/>
      <c r="DE449" s="1411"/>
      <c r="DF449" s="1411"/>
      <c r="DH449" s="1432"/>
      <c r="DI449" s="1432"/>
      <c r="DJ449" s="1437"/>
      <c r="DK449" s="1437"/>
      <c r="DL449" s="1437"/>
      <c r="DM449" s="1437"/>
      <c r="DN449" s="1432"/>
      <c r="DO449" s="1432"/>
      <c r="DP449" s="1432"/>
      <c r="DQ449" s="1432"/>
      <c r="DR449" s="1432"/>
      <c r="DS449" s="1432"/>
      <c r="DT449" s="1316"/>
      <c r="DU449" s="1433"/>
      <c r="DV449" s="1433"/>
      <c r="DW449" s="1433"/>
      <c r="DX449" s="1433"/>
      <c r="DY449" s="1433"/>
      <c r="DZ449" s="1433"/>
      <c r="EA449" s="1433"/>
      <c r="EB449" s="1433"/>
    </row>
    <row r="450" customFormat="false" ht="14.25" hidden="false" customHeight="false" outlineLevel="0" collapsed="false">
      <c r="A450" s="2" t="n">
        <f aca="false">'V_DATOS PAC_SGA'!CC445</f>
        <v>0</v>
      </c>
      <c r="B450" s="2" t="n">
        <f aca="false">IF(OR(A450=0,A450=""),0,IF(I450="IV",CONCATENATE('V_DATOS PAC_SGA'!CC445,"4")+0,CONCATENATE('V_DATOS PAC_SGA'!CC445,"0")+0))</f>
        <v>0</v>
      </c>
      <c r="C450" s="2" t="n">
        <f aca="false">'V_DATOS PAC_SGA'!CD445</f>
        <v>0</v>
      </c>
      <c r="D450" s="1409" t="n">
        <f aca="false">'V_DATOS PAC_SGA'!Y445</f>
        <v>0</v>
      </c>
      <c r="E450" s="1410" t="str">
        <f aca="false">IF('V_DATOS PAC_SGA'!AV445="","Regadio",'V_DATOS PAC_SGA'!AV445)</f>
        <v>Regadio</v>
      </c>
      <c r="F450" s="1411" t="n">
        <f aca="false">'V_DATOS PAC_SGA'!BK445</f>
        <v>0</v>
      </c>
      <c r="G450" s="1412" t="n">
        <f aca="false">'V_DATOS PAC_SGA'!AN445</f>
        <v>0</v>
      </c>
      <c r="H450" s="1413" t="str">
        <f aca="false">IF(B450&gt;0,VLOOKUP(B450,'O_MN, PE_UTA_UGM 2024'!E$3:O$419,10),"")</f>
        <v/>
      </c>
      <c r="I450" s="1359" t="str">
        <f aca="false">IF('V_DATOS PAC_SGA'!BV445="IV",'V_DATOS PAC_SGA'!BV445,"")</f>
        <v/>
      </c>
      <c r="J450" s="2" t="str">
        <f aca="false">IF($A450&gt;0,IF(AND(J$4=$G450,J$6=$F450),$D450*J$5,""),"")</f>
        <v/>
      </c>
      <c r="K450" s="2" t="str">
        <f aca="false">IF($A450&gt;0,IF(AND(K$4=$G450,K$6=$F450),$D450*K$5,""),"")</f>
        <v/>
      </c>
      <c r="L450" s="2" t="str">
        <f aca="false">IF($A450&gt;0,IF(AND(L$4=$G450,L$6=$F450),$D450*L$5,""),"")</f>
        <v/>
      </c>
      <c r="M450" s="2" t="str">
        <f aca="false">IF($A450&gt;0,IF(AND(M$4=$G450,M$6=$F450),$D450*M$5,""),"")</f>
        <v/>
      </c>
      <c r="N450" s="1508" t="n">
        <f aca="false">VLOOKUP(B450,'O_MN, PE_UTA_UGM 2024'!$E$2:$K$419,IF(G450&gt;1,6,7))</f>
        <v>0</v>
      </c>
      <c r="O450" s="1434" t="str">
        <f aca="false">IF($H450=O$4,$D450*$N450,"")</f>
        <v/>
      </c>
      <c r="P450" s="1435" t="str">
        <f aca="false">IF($H450=P$4,$D450*$N450,"")</f>
        <v/>
      </c>
      <c r="Q450" s="1435" t="str">
        <f aca="false">IF($H450=Q$4,$D450*$N450,"")</f>
        <v/>
      </c>
      <c r="R450" s="1435" t="str">
        <f aca="false">IF($H450=R$4,$D450*$N450,"")</f>
        <v/>
      </c>
      <c r="S450" s="1435" t="str">
        <f aca="false">IF($H450=S$4,$D450*$N450,"")</f>
        <v/>
      </c>
      <c r="T450" s="1435" t="str">
        <f aca="false">IF($H450=T$4,$D450*$N450,"")</f>
        <v/>
      </c>
      <c r="U450" s="1436" t="str">
        <f aca="false">IF($H450=U$4,$D450*$N450,"")</f>
        <v/>
      </c>
      <c r="V450" s="1472"/>
      <c r="W450" s="1471"/>
      <c r="X450" s="1471"/>
      <c r="Y450" s="1471"/>
      <c r="Z450" s="1471"/>
      <c r="AA450" s="1471"/>
      <c r="AB450" s="1473"/>
      <c r="AC450" s="1319"/>
      <c r="AD450" s="2" t="str">
        <f aca="false">IF(AND(AD$4=$G450,AD$6=$F450),$B450,"")</f>
        <v/>
      </c>
      <c r="AE450" s="2" t="str">
        <f aca="false">IF(AND(AE$4=$G450,AE$6=$F450),$B450,"")</f>
        <v/>
      </c>
      <c r="AF450" s="2" t="str">
        <f aca="false">IF(AND(AF$4=$G450,AF$6=$F450),$B450,"")</f>
        <v/>
      </c>
      <c r="AG450" s="2" t="str">
        <f aca="false">IF(AND(AG$4=$G450,AG$6=$F450),$B450,"")</f>
        <v/>
      </c>
      <c r="AI450" s="366"/>
      <c r="AL450" s="367"/>
      <c r="AO450" s="367"/>
      <c r="AR450" s="1411"/>
      <c r="AT450" s="1422"/>
      <c r="AU450" s="1411"/>
      <c r="AV450" s="1411"/>
      <c r="AW450" s="1423"/>
      <c r="AX450" s="1423"/>
      <c r="AZ450" s="1503"/>
      <c r="BA450" s="1503"/>
      <c r="BB450" s="1503"/>
      <c r="BC450" s="1503"/>
      <c r="BD450" s="1503"/>
      <c r="BE450" s="1503"/>
      <c r="BF450" s="1503"/>
      <c r="BG450" s="1503"/>
      <c r="BH450" s="1504"/>
      <c r="BI450" s="1504"/>
      <c r="BJ450" s="1504"/>
      <c r="BK450" s="1504"/>
      <c r="BM450" s="1411"/>
      <c r="BN450" s="1411"/>
      <c r="BO450" s="1425"/>
      <c r="BP450" s="1425"/>
      <c r="BQ450" s="1425"/>
      <c r="BR450" s="1425"/>
      <c r="BS450" s="1411"/>
      <c r="BT450" s="1411"/>
      <c r="BU450" s="1411"/>
      <c r="BV450" s="1411"/>
      <c r="BW450" s="1411"/>
      <c r="BX450" s="1411"/>
      <c r="BZ450" s="1438"/>
      <c r="CA450" s="1438"/>
      <c r="CB450" s="1496"/>
      <c r="CC450" s="1496"/>
      <c r="CD450" s="1496"/>
      <c r="CE450" s="1496"/>
      <c r="CF450" s="1438"/>
      <c r="CG450" s="1438"/>
      <c r="CH450" s="1438"/>
      <c r="CI450" s="1438"/>
      <c r="CJ450" s="1438"/>
      <c r="CK450" s="1438"/>
      <c r="CU450" s="1411"/>
      <c r="CV450" s="1411"/>
      <c r="CW450" s="1425"/>
      <c r="CX450" s="1425"/>
      <c r="CY450" s="1425"/>
      <c r="CZ450" s="1425"/>
      <c r="DA450" s="1411"/>
      <c r="DB450" s="1411"/>
      <c r="DC450" s="1411"/>
      <c r="DD450" s="1411"/>
      <c r="DE450" s="1411"/>
      <c r="DF450" s="1411"/>
      <c r="DH450" s="1432"/>
      <c r="DI450" s="1432"/>
      <c r="DJ450" s="1437"/>
      <c r="DK450" s="1437"/>
      <c r="DL450" s="1437"/>
      <c r="DM450" s="1437"/>
      <c r="DN450" s="1432"/>
      <c r="DO450" s="1432"/>
      <c r="DP450" s="1432"/>
      <c r="DQ450" s="1432"/>
      <c r="DR450" s="1432"/>
      <c r="DS450" s="1432"/>
      <c r="DT450" s="1316"/>
      <c r="DU450" s="1433"/>
      <c r="DV450" s="1433"/>
      <c r="DW450" s="1433"/>
      <c r="DX450" s="1433"/>
      <c r="DY450" s="1433"/>
      <c r="DZ450" s="1433"/>
      <c r="EA450" s="1433"/>
      <c r="EB450" s="1433"/>
    </row>
    <row r="451" customFormat="false" ht="14.25" hidden="false" customHeight="false" outlineLevel="0" collapsed="false">
      <c r="A451" s="2" t="n">
        <f aca="false">'V_DATOS PAC_SGA'!CC446</f>
        <v>0</v>
      </c>
      <c r="B451" s="2" t="n">
        <f aca="false">IF(OR(A451=0,A451=""),0,IF(I451="IV",CONCATENATE('V_DATOS PAC_SGA'!CC446,"4")+0,CONCATENATE('V_DATOS PAC_SGA'!CC446,"0")+0))</f>
        <v>0</v>
      </c>
      <c r="C451" s="2" t="n">
        <f aca="false">'V_DATOS PAC_SGA'!CD446</f>
        <v>0</v>
      </c>
      <c r="D451" s="1409" t="n">
        <f aca="false">'V_DATOS PAC_SGA'!Y446</f>
        <v>0</v>
      </c>
      <c r="E451" s="1410" t="str">
        <f aca="false">IF('V_DATOS PAC_SGA'!AV446="","Regadio",'V_DATOS PAC_SGA'!AV446)</f>
        <v>Regadio</v>
      </c>
      <c r="F451" s="1411" t="n">
        <f aca="false">'V_DATOS PAC_SGA'!BK446</f>
        <v>0</v>
      </c>
      <c r="G451" s="1412" t="n">
        <f aca="false">'V_DATOS PAC_SGA'!AN446</f>
        <v>0</v>
      </c>
      <c r="H451" s="1413" t="str">
        <f aca="false">IF(B451&gt;0,VLOOKUP(B451,'O_MN, PE_UTA_UGM 2024'!E$3:O$419,10),"")</f>
        <v/>
      </c>
      <c r="I451" s="1359" t="str">
        <f aca="false">IF('V_DATOS PAC_SGA'!BV446="IV",'V_DATOS PAC_SGA'!BV446,"")</f>
        <v/>
      </c>
      <c r="J451" s="2" t="str">
        <f aca="false">IF($A451&gt;0,IF(AND(J$4=$G451,J$6=$F451),$D451*J$5,""),"")</f>
        <v/>
      </c>
      <c r="K451" s="2" t="str">
        <f aca="false">IF($A451&gt;0,IF(AND(K$4=$G451,K$6=$F451),$D451*K$5,""),"")</f>
        <v/>
      </c>
      <c r="L451" s="2" t="str">
        <f aca="false">IF($A451&gt;0,IF(AND(L$4=$G451,L$6=$F451),$D451*L$5,""),"")</f>
        <v/>
      </c>
      <c r="M451" s="2" t="str">
        <f aca="false">IF($A451&gt;0,IF(AND(M$4=$G451,M$6=$F451),$D451*M$5,""),"")</f>
        <v/>
      </c>
      <c r="N451" s="1508" t="n">
        <f aca="false">VLOOKUP(B451,'O_MN, PE_UTA_UGM 2024'!$E$2:$K$419,IF(G451&gt;1,6,7))</f>
        <v>0</v>
      </c>
      <c r="O451" s="1434" t="str">
        <f aca="false">IF($H451=O$4,$D451*$N451,"")</f>
        <v/>
      </c>
      <c r="P451" s="1435" t="str">
        <f aca="false">IF($H451=P$4,$D451*$N451,"")</f>
        <v/>
      </c>
      <c r="Q451" s="1435" t="str">
        <f aca="false">IF($H451=Q$4,$D451*$N451,"")</f>
        <v/>
      </c>
      <c r="R451" s="1435" t="str">
        <f aca="false">IF($H451=R$4,$D451*$N451,"")</f>
        <v/>
      </c>
      <c r="S451" s="1435" t="str">
        <f aca="false">IF($H451=S$4,$D451*$N451,"")</f>
        <v/>
      </c>
      <c r="T451" s="1435" t="str">
        <f aca="false">IF($H451=T$4,$D451*$N451,"")</f>
        <v/>
      </c>
      <c r="U451" s="1436" t="str">
        <f aca="false">IF($H451=U$4,$D451*$N451,"")</f>
        <v/>
      </c>
      <c r="V451" s="1472"/>
      <c r="W451" s="1471"/>
      <c r="X451" s="1471"/>
      <c r="Y451" s="1471"/>
      <c r="Z451" s="1471"/>
      <c r="AA451" s="1471"/>
      <c r="AB451" s="1473"/>
      <c r="AC451" s="1319"/>
      <c r="AD451" s="2" t="str">
        <f aca="false">IF(AND(AD$4=$G451,AD$6=$F451),$B451,"")</f>
        <v/>
      </c>
      <c r="AE451" s="2" t="str">
        <f aca="false">IF(AND(AE$4=$G451,AE$6=$F451),$B451,"")</f>
        <v/>
      </c>
      <c r="AF451" s="2" t="str">
        <f aca="false">IF(AND(AF$4=$G451,AF$6=$F451),$B451,"")</f>
        <v/>
      </c>
      <c r="AG451" s="2" t="str">
        <f aca="false">IF(AND(AG$4=$G451,AG$6=$F451),$B451,"")</f>
        <v/>
      </c>
      <c r="AI451" s="366"/>
      <c r="AL451" s="367"/>
      <c r="AO451" s="367"/>
      <c r="AR451" s="1411"/>
      <c r="AT451" s="1422"/>
      <c r="AU451" s="1411"/>
      <c r="AV451" s="1411"/>
      <c r="AW451" s="1423"/>
      <c r="AX451" s="1423"/>
      <c r="AZ451" s="1503"/>
      <c r="BA451" s="1503"/>
      <c r="BB451" s="1503"/>
      <c r="BC451" s="1503"/>
      <c r="BD451" s="1503"/>
      <c r="BE451" s="1503"/>
      <c r="BF451" s="1503"/>
      <c r="BG451" s="1503"/>
      <c r="BH451" s="1504"/>
      <c r="BI451" s="1504"/>
      <c r="BJ451" s="1504"/>
      <c r="BK451" s="1504"/>
      <c r="BM451" s="1411"/>
      <c r="BN451" s="1411"/>
      <c r="BO451" s="1425"/>
      <c r="BP451" s="1425"/>
      <c r="BQ451" s="1425"/>
      <c r="BR451" s="1425"/>
      <c r="BS451" s="1411"/>
      <c r="BT451" s="1411"/>
      <c r="BU451" s="1411"/>
      <c r="BV451" s="1411"/>
      <c r="BW451" s="1411"/>
      <c r="BX451" s="1411"/>
      <c r="BZ451" s="1438"/>
      <c r="CA451" s="1438"/>
      <c r="CB451" s="1496"/>
      <c r="CC451" s="1496"/>
      <c r="CD451" s="1496"/>
      <c r="CE451" s="1496"/>
      <c r="CF451" s="1438"/>
      <c r="CG451" s="1438"/>
      <c r="CH451" s="1438"/>
      <c r="CI451" s="1438"/>
      <c r="CJ451" s="1438"/>
      <c r="CK451" s="1438"/>
      <c r="CU451" s="1411"/>
      <c r="CV451" s="1411"/>
      <c r="CW451" s="1425"/>
      <c r="CX451" s="1425"/>
      <c r="CY451" s="1425"/>
      <c r="CZ451" s="1425"/>
      <c r="DA451" s="1411"/>
      <c r="DB451" s="1411"/>
      <c r="DC451" s="1411"/>
      <c r="DD451" s="1411"/>
      <c r="DE451" s="1411"/>
      <c r="DF451" s="1411"/>
      <c r="DH451" s="1432"/>
      <c r="DI451" s="1432"/>
      <c r="DJ451" s="1437"/>
      <c r="DK451" s="1437"/>
      <c r="DL451" s="1437"/>
      <c r="DM451" s="1437"/>
      <c r="DN451" s="1432"/>
      <c r="DO451" s="1432"/>
      <c r="DP451" s="1432"/>
      <c r="DQ451" s="1432"/>
      <c r="DR451" s="1432"/>
      <c r="DS451" s="1432"/>
      <c r="DT451" s="1316"/>
      <c r="DU451" s="1433"/>
      <c r="DV451" s="1433"/>
      <c r="DW451" s="1433"/>
      <c r="DX451" s="1433"/>
      <c r="DY451" s="1433"/>
      <c r="DZ451" s="1433"/>
      <c r="EA451" s="1433"/>
      <c r="EB451" s="1433"/>
    </row>
    <row r="452" customFormat="false" ht="14.25" hidden="false" customHeight="false" outlineLevel="0" collapsed="false">
      <c r="A452" s="2" t="n">
        <f aca="false">'V_DATOS PAC_SGA'!CC447</f>
        <v>0</v>
      </c>
      <c r="B452" s="2" t="n">
        <f aca="false">IF(OR(A452=0,A452=""),0,IF(I452="IV",CONCATENATE('V_DATOS PAC_SGA'!CC447,"4")+0,CONCATENATE('V_DATOS PAC_SGA'!CC447,"0")+0))</f>
        <v>0</v>
      </c>
      <c r="C452" s="2" t="n">
        <f aca="false">'V_DATOS PAC_SGA'!CD447</f>
        <v>0</v>
      </c>
      <c r="D452" s="1409" t="n">
        <f aca="false">'V_DATOS PAC_SGA'!Y447</f>
        <v>0</v>
      </c>
      <c r="E452" s="1410" t="str">
        <f aca="false">IF('V_DATOS PAC_SGA'!AV447="","Regadio",'V_DATOS PAC_SGA'!AV447)</f>
        <v>Regadio</v>
      </c>
      <c r="F452" s="1411" t="n">
        <f aca="false">'V_DATOS PAC_SGA'!BK447</f>
        <v>0</v>
      </c>
      <c r="G452" s="1412" t="n">
        <f aca="false">'V_DATOS PAC_SGA'!AN447</f>
        <v>0</v>
      </c>
      <c r="H452" s="1413" t="str">
        <f aca="false">IF(B452&gt;0,VLOOKUP(B452,'O_MN, PE_UTA_UGM 2024'!E$3:O$419,10),"")</f>
        <v/>
      </c>
      <c r="I452" s="1359" t="str">
        <f aca="false">IF('V_DATOS PAC_SGA'!BV447="IV",'V_DATOS PAC_SGA'!BV447,"")</f>
        <v/>
      </c>
      <c r="J452" s="2" t="str">
        <f aca="false">IF($A452&gt;0,IF(AND(J$4=$G452,J$6=$F452),$D452*J$5,""),"")</f>
        <v/>
      </c>
      <c r="K452" s="2" t="str">
        <f aca="false">IF($A452&gt;0,IF(AND(K$4=$G452,K$6=$F452),$D452*K$5,""),"")</f>
        <v/>
      </c>
      <c r="L452" s="2" t="str">
        <f aca="false">IF($A452&gt;0,IF(AND(L$4=$G452,L$6=$F452),$D452*L$5,""),"")</f>
        <v/>
      </c>
      <c r="M452" s="2" t="str">
        <f aca="false">IF($A452&gt;0,IF(AND(M$4=$G452,M$6=$F452),$D452*M$5,""),"")</f>
        <v/>
      </c>
      <c r="N452" s="1508" t="n">
        <f aca="false">VLOOKUP(B452,'O_MN, PE_UTA_UGM 2024'!$E$2:$K$419,IF(G452&gt;1,6,7))</f>
        <v>0</v>
      </c>
      <c r="O452" s="1434" t="str">
        <f aca="false">IF($H452=O$4,$D452*$N452,"")</f>
        <v/>
      </c>
      <c r="P452" s="1435" t="str">
        <f aca="false">IF($H452=P$4,$D452*$N452,"")</f>
        <v/>
      </c>
      <c r="Q452" s="1435" t="str">
        <f aca="false">IF($H452=Q$4,$D452*$N452,"")</f>
        <v/>
      </c>
      <c r="R452" s="1435" t="str">
        <f aca="false">IF($H452=R$4,$D452*$N452,"")</f>
        <v/>
      </c>
      <c r="S452" s="1435" t="str">
        <f aca="false">IF($H452=S$4,$D452*$N452,"")</f>
        <v/>
      </c>
      <c r="T452" s="1435" t="str">
        <f aca="false">IF($H452=T$4,$D452*$N452,"")</f>
        <v/>
      </c>
      <c r="U452" s="1436" t="str">
        <f aca="false">IF($H452=U$4,$D452*$N452,"")</f>
        <v/>
      </c>
      <c r="V452" s="1472"/>
      <c r="W452" s="1471"/>
      <c r="X452" s="1471"/>
      <c r="Y452" s="1471"/>
      <c r="Z452" s="1471"/>
      <c r="AA452" s="1471"/>
      <c r="AB452" s="1473"/>
      <c r="AC452" s="1319"/>
      <c r="AD452" s="2" t="str">
        <f aca="false">IF(AND(AD$4=$G452,AD$6=$F452),$B452,"")</f>
        <v/>
      </c>
      <c r="AE452" s="2" t="str">
        <f aca="false">IF(AND(AE$4=$G452,AE$6=$F452),$B452,"")</f>
        <v/>
      </c>
      <c r="AF452" s="2" t="str">
        <f aca="false">IF(AND(AF$4=$G452,AF$6=$F452),$B452,"")</f>
        <v/>
      </c>
      <c r="AG452" s="2" t="str">
        <f aca="false">IF(AND(AG$4=$G452,AG$6=$F452),$B452,"")</f>
        <v/>
      </c>
      <c r="AI452" s="366"/>
      <c r="AL452" s="367"/>
      <c r="AO452" s="367"/>
      <c r="AR452" s="1411"/>
      <c r="AT452" s="1422"/>
      <c r="AU452" s="1411"/>
      <c r="AV452" s="1411"/>
      <c r="AW452" s="1423"/>
      <c r="AX452" s="1423"/>
      <c r="AZ452" s="1503"/>
      <c r="BA452" s="1503"/>
      <c r="BB452" s="1503"/>
      <c r="BC452" s="1503"/>
      <c r="BD452" s="1503"/>
      <c r="BE452" s="1503"/>
      <c r="BF452" s="1503"/>
      <c r="BG452" s="1503"/>
      <c r="BH452" s="1504"/>
      <c r="BI452" s="1504"/>
      <c r="BJ452" s="1504"/>
      <c r="BK452" s="1504"/>
      <c r="BM452" s="1411"/>
      <c r="BN452" s="1411"/>
      <c r="BO452" s="1425"/>
      <c r="BP452" s="1425"/>
      <c r="BQ452" s="1425"/>
      <c r="BR452" s="1425"/>
      <c r="BS452" s="1411"/>
      <c r="BT452" s="1411"/>
      <c r="BU452" s="1411"/>
      <c r="BV452" s="1411"/>
      <c r="BW452" s="1411"/>
      <c r="BX452" s="1411"/>
      <c r="BZ452" s="1438"/>
      <c r="CA452" s="1438"/>
      <c r="CB452" s="1496"/>
      <c r="CC452" s="1496"/>
      <c r="CD452" s="1496"/>
      <c r="CE452" s="1496"/>
      <c r="CF452" s="1438"/>
      <c r="CG452" s="1438"/>
      <c r="CH452" s="1438"/>
      <c r="CI452" s="1438"/>
      <c r="CJ452" s="1438"/>
      <c r="CK452" s="1438"/>
      <c r="CU452" s="1411"/>
      <c r="CV452" s="1411"/>
      <c r="CW452" s="1425"/>
      <c r="CX452" s="1425"/>
      <c r="CY452" s="1425"/>
      <c r="CZ452" s="1425"/>
      <c r="DA452" s="1411"/>
      <c r="DB452" s="1411"/>
      <c r="DC452" s="1411"/>
      <c r="DD452" s="1411"/>
      <c r="DE452" s="1411"/>
      <c r="DF452" s="1411"/>
      <c r="DH452" s="1432"/>
      <c r="DI452" s="1432"/>
      <c r="DJ452" s="1437"/>
      <c r="DK452" s="1437"/>
      <c r="DL452" s="1437"/>
      <c r="DM452" s="1437"/>
      <c r="DN452" s="1432"/>
      <c r="DO452" s="1432"/>
      <c r="DP452" s="1432"/>
      <c r="DQ452" s="1432"/>
      <c r="DR452" s="1432"/>
      <c r="DS452" s="1432"/>
      <c r="DT452" s="1316"/>
      <c r="DU452" s="1433"/>
      <c r="DV452" s="1433"/>
      <c r="DW452" s="1433"/>
      <c r="DX452" s="1433"/>
      <c r="DY452" s="1433"/>
      <c r="DZ452" s="1433"/>
      <c r="EA452" s="1433"/>
      <c r="EB452" s="1433"/>
    </row>
    <row r="453" customFormat="false" ht="14.25" hidden="false" customHeight="false" outlineLevel="0" collapsed="false">
      <c r="A453" s="2" t="n">
        <f aca="false">'V_DATOS PAC_SGA'!CC448</f>
        <v>0</v>
      </c>
      <c r="B453" s="2" t="n">
        <f aca="false">IF(OR(A453=0,A453=""),0,IF(I453="IV",CONCATENATE('V_DATOS PAC_SGA'!CC448,"4")+0,CONCATENATE('V_DATOS PAC_SGA'!CC448,"0")+0))</f>
        <v>0</v>
      </c>
      <c r="C453" s="2" t="n">
        <f aca="false">'V_DATOS PAC_SGA'!CD448</f>
        <v>0</v>
      </c>
      <c r="D453" s="1409" t="n">
        <f aca="false">'V_DATOS PAC_SGA'!Y448</f>
        <v>0</v>
      </c>
      <c r="E453" s="1410" t="str">
        <f aca="false">IF('V_DATOS PAC_SGA'!AV448="","Regadio",'V_DATOS PAC_SGA'!AV448)</f>
        <v>Regadio</v>
      </c>
      <c r="F453" s="1411" t="n">
        <f aca="false">'V_DATOS PAC_SGA'!BK448</f>
        <v>0</v>
      </c>
      <c r="G453" s="1412" t="n">
        <f aca="false">'V_DATOS PAC_SGA'!AN448</f>
        <v>0</v>
      </c>
      <c r="H453" s="1413" t="str">
        <f aca="false">IF(B453&gt;0,VLOOKUP(B453,'O_MN, PE_UTA_UGM 2024'!E$3:O$419,10),"")</f>
        <v/>
      </c>
      <c r="I453" s="1359" t="str">
        <f aca="false">IF('V_DATOS PAC_SGA'!BV448="IV",'V_DATOS PAC_SGA'!BV448,"")</f>
        <v/>
      </c>
      <c r="J453" s="2" t="str">
        <f aca="false">IF($A453&gt;0,IF(AND(J$4=$G453,J$6=$F453),$D453*J$5,""),"")</f>
        <v/>
      </c>
      <c r="K453" s="2" t="str">
        <f aca="false">IF($A453&gt;0,IF(AND(K$4=$G453,K$6=$F453),$D453*K$5,""),"")</f>
        <v/>
      </c>
      <c r="L453" s="2" t="str">
        <f aca="false">IF($A453&gt;0,IF(AND(L$4=$G453,L$6=$F453),$D453*L$5,""),"")</f>
        <v/>
      </c>
      <c r="M453" s="2" t="str">
        <f aca="false">IF($A453&gt;0,IF(AND(M$4=$G453,M$6=$F453),$D453*M$5,""),"")</f>
        <v/>
      </c>
      <c r="N453" s="1508" t="n">
        <f aca="false">VLOOKUP(B453,'O_MN, PE_UTA_UGM 2024'!$E$2:$K$419,IF(G453&gt;1,6,7))</f>
        <v>0</v>
      </c>
      <c r="O453" s="1434" t="str">
        <f aca="false">IF($H453=O$4,$D453*$N453,"")</f>
        <v/>
      </c>
      <c r="P453" s="1435" t="str">
        <f aca="false">IF($H453=P$4,$D453*$N453,"")</f>
        <v/>
      </c>
      <c r="Q453" s="1435" t="str">
        <f aca="false">IF($H453=Q$4,$D453*$N453,"")</f>
        <v/>
      </c>
      <c r="R453" s="1435" t="str">
        <f aca="false">IF($H453=R$4,$D453*$N453,"")</f>
        <v/>
      </c>
      <c r="S453" s="1435" t="str">
        <f aca="false">IF($H453=S$4,$D453*$N453,"")</f>
        <v/>
      </c>
      <c r="T453" s="1435" t="str">
        <f aca="false">IF($H453=T$4,$D453*$N453,"")</f>
        <v/>
      </c>
      <c r="U453" s="1436" t="str">
        <f aca="false">IF($H453=U$4,$D453*$N453,"")</f>
        <v/>
      </c>
      <c r="V453" s="1472"/>
      <c r="W453" s="1471"/>
      <c r="X453" s="1471"/>
      <c r="Y453" s="1471"/>
      <c r="Z453" s="1471"/>
      <c r="AA453" s="1471"/>
      <c r="AB453" s="1473"/>
      <c r="AC453" s="1319"/>
      <c r="AD453" s="2" t="str">
        <f aca="false">IF(AND(AD$4=$G453,AD$6=$F453),$B453,"")</f>
        <v/>
      </c>
      <c r="AE453" s="2" t="str">
        <f aca="false">IF(AND(AE$4=$G453,AE$6=$F453),$B453,"")</f>
        <v/>
      </c>
      <c r="AF453" s="2" t="str">
        <f aca="false">IF(AND(AF$4=$G453,AF$6=$F453),$B453,"")</f>
        <v/>
      </c>
      <c r="AG453" s="2" t="str">
        <f aca="false">IF(AND(AG$4=$G453,AG$6=$F453),$B453,"")</f>
        <v/>
      </c>
      <c r="AI453" s="366"/>
      <c r="AL453" s="367"/>
      <c r="AO453" s="367"/>
      <c r="AR453" s="1411"/>
      <c r="AT453" s="1422"/>
      <c r="AU453" s="1411"/>
      <c r="AV453" s="1411"/>
      <c r="AW453" s="1423"/>
      <c r="AX453" s="1423"/>
      <c r="AZ453" s="1503"/>
      <c r="BA453" s="1503"/>
      <c r="BB453" s="1503"/>
      <c r="BC453" s="1503"/>
      <c r="BD453" s="1503"/>
      <c r="BE453" s="1503"/>
      <c r="BF453" s="1503"/>
      <c r="BG453" s="1503"/>
      <c r="BH453" s="1504"/>
      <c r="BI453" s="1504"/>
      <c r="BJ453" s="1504"/>
      <c r="BK453" s="1504"/>
      <c r="BM453" s="1411"/>
      <c r="BN453" s="1411"/>
      <c r="BO453" s="1425"/>
      <c r="BP453" s="1425"/>
      <c r="BQ453" s="1425"/>
      <c r="BR453" s="1425"/>
      <c r="BS453" s="1411"/>
      <c r="BT453" s="1411"/>
      <c r="BU453" s="1411"/>
      <c r="BV453" s="1411"/>
      <c r="BW453" s="1411"/>
      <c r="BX453" s="1411"/>
      <c r="BZ453" s="1438"/>
      <c r="CA453" s="1438"/>
      <c r="CB453" s="1496"/>
      <c r="CC453" s="1496"/>
      <c r="CD453" s="1496"/>
      <c r="CE453" s="1496"/>
      <c r="CF453" s="1438"/>
      <c r="CG453" s="1438"/>
      <c r="CH453" s="1438"/>
      <c r="CI453" s="1438"/>
      <c r="CJ453" s="1438"/>
      <c r="CK453" s="1438"/>
      <c r="CU453" s="1411"/>
      <c r="CV453" s="1411"/>
      <c r="CW453" s="1425"/>
      <c r="CX453" s="1425"/>
      <c r="CY453" s="1425"/>
      <c r="CZ453" s="1425"/>
      <c r="DA453" s="1411"/>
      <c r="DB453" s="1411"/>
      <c r="DC453" s="1411"/>
      <c r="DD453" s="1411"/>
      <c r="DE453" s="1411"/>
      <c r="DF453" s="1411"/>
      <c r="DH453" s="1432"/>
      <c r="DI453" s="1432"/>
      <c r="DJ453" s="1437"/>
      <c r="DK453" s="1437"/>
      <c r="DL453" s="1437"/>
      <c r="DM453" s="1437"/>
      <c r="DN453" s="1432"/>
      <c r="DO453" s="1432"/>
      <c r="DP453" s="1432"/>
      <c r="DQ453" s="1432"/>
      <c r="DR453" s="1432"/>
      <c r="DS453" s="1432"/>
      <c r="DT453" s="1316"/>
      <c r="DU453" s="1433"/>
      <c r="DV453" s="1433"/>
      <c r="DW453" s="1433"/>
      <c r="DX453" s="1433"/>
      <c r="DY453" s="1433"/>
      <c r="DZ453" s="1433"/>
      <c r="EA453" s="1433"/>
      <c r="EB453" s="1433"/>
    </row>
    <row r="454" customFormat="false" ht="14.25" hidden="false" customHeight="false" outlineLevel="0" collapsed="false">
      <c r="A454" s="2" t="n">
        <f aca="false">'V_DATOS PAC_SGA'!CC449</f>
        <v>0</v>
      </c>
      <c r="B454" s="2" t="n">
        <f aca="false">IF(OR(A454=0,A454=""),0,IF(I454="IV",CONCATENATE('V_DATOS PAC_SGA'!CC449,"4")+0,CONCATENATE('V_DATOS PAC_SGA'!CC449,"0")+0))</f>
        <v>0</v>
      </c>
      <c r="C454" s="2" t="n">
        <f aca="false">'V_DATOS PAC_SGA'!CD449</f>
        <v>0</v>
      </c>
      <c r="D454" s="1409" t="n">
        <f aca="false">'V_DATOS PAC_SGA'!Y449</f>
        <v>0</v>
      </c>
      <c r="E454" s="1410" t="str">
        <f aca="false">IF('V_DATOS PAC_SGA'!AV449="","Regadio",'V_DATOS PAC_SGA'!AV449)</f>
        <v>Regadio</v>
      </c>
      <c r="F454" s="1411" t="n">
        <f aca="false">'V_DATOS PAC_SGA'!BK449</f>
        <v>0</v>
      </c>
      <c r="G454" s="1412" t="n">
        <f aca="false">'V_DATOS PAC_SGA'!AN449</f>
        <v>0</v>
      </c>
      <c r="H454" s="1413" t="str">
        <f aca="false">IF(B454&gt;0,VLOOKUP(B454,'O_MN, PE_UTA_UGM 2024'!E$3:O$419,10),"")</f>
        <v/>
      </c>
      <c r="I454" s="1359" t="str">
        <f aca="false">IF('V_DATOS PAC_SGA'!BV449="IV",'V_DATOS PAC_SGA'!BV449,"")</f>
        <v/>
      </c>
      <c r="J454" s="2" t="str">
        <f aca="false">IF($A454&gt;0,IF(AND(J$4=$G454,J$6=$F454),$D454*J$5,""),"")</f>
        <v/>
      </c>
      <c r="K454" s="2" t="str">
        <f aca="false">IF($A454&gt;0,IF(AND(K$4=$G454,K$6=$F454),$D454*K$5,""),"")</f>
        <v/>
      </c>
      <c r="L454" s="2" t="str">
        <f aca="false">IF($A454&gt;0,IF(AND(L$4=$G454,L$6=$F454),$D454*L$5,""),"")</f>
        <v/>
      </c>
      <c r="M454" s="2" t="str">
        <f aca="false">IF($A454&gt;0,IF(AND(M$4=$G454,M$6=$F454),$D454*M$5,""),"")</f>
        <v/>
      </c>
      <c r="N454" s="1508" t="n">
        <f aca="false">VLOOKUP(B454,'O_MN, PE_UTA_UGM 2024'!$E$2:$K$419,IF(G454&gt;1,6,7))</f>
        <v>0</v>
      </c>
      <c r="O454" s="1434" t="str">
        <f aca="false">IF($H454=O$4,$D454*$N454,"")</f>
        <v/>
      </c>
      <c r="P454" s="1435" t="str">
        <f aca="false">IF($H454=P$4,$D454*$N454,"")</f>
        <v/>
      </c>
      <c r="Q454" s="1435" t="str">
        <f aca="false">IF($H454=Q$4,$D454*$N454,"")</f>
        <v/>
      </c>
      <c r="R454" s="1435" t="str">
        <f aca="false">IF($H454=R$4,$D454*$N454,"")</f>
        <v/>
      </c>
      <c r="S454" s="1435" t="str">
        <f aca="false">IF($H454=S$4,$D454*$N454,"")</f>
        <v/>
      </c>
      <c r="T454" s="1435" t="str">
        <f aca="false">IF($H454=T$4,$D454*$N454,"")</f>
        <v/>
      </c>
      <c r="U454" s="1436" t="str">
        <f aca="false">IF($H454=U$4,$D454*$N454,"")</f>
        <v/>
      </c>
      <c r="V454" s="1472"/>
      <c r="W454" s="1471"/>
      <c r="X454" s="1471"/>
      <c r="Y454" s="1471"/>
      <c r="Z454" s="1471"/>
      <c r="AA454" s="1471"/>
      <c r="AB454" s="1473"/>
      <c r="AC454" s="1319"/>
      <c r="AD454" s="2" t="str">
        <f aca="false">IF(AND(AD$4=$G454,AD$6=$F454),$B454,"")</f>
        <v/>
      </c>
      <c r="AE454" s="2" t="str">
        <f aca="false">IF(AND(AE$4=$G454,AE$6=$F454),$B454,"")</f>
        <v/>
      </c>
      <c r="AF454" s="2" t="str">
        <f aca="false">IF(AND(AF$4=$G454,AF$6=$F454),$B454,"")</f>
        <v/>
      </c>
      <c r="AG454" s="2" t="str">
        <f aca="false">IF(AND(AG$4=$G454,AG$6=$F454),$B454,"")</f>
        <v/>
      </c>
      <c r="AI454" s="366"/>
      <c r="AL454" s="367"/>
      <c r="AO454" s="367"/>
      <c r="AR454" s="1411"/>
      <c r="AT454" s="1422"/>
      <c r="AU454" s="1411"/>
      <c r="AV454" s="1411"/>
      <c r="AW454" s="1423"/>
      <c r="AX454" s="1423"/>
      <c r="AZ454" s="1503"/>
      <c r="BA454" s="1503"/>
      <c r="BB454" s="1503"/>
      <c r="BC454" s="1503"/>
      <c r="BD454" s="1503"/>
      <c r="BE454" s="1503"/>
      <c r="BF454" s="1503"/>
      <c r="BG454" s="1503"/>
      <c r="BH454" s="1504"/>
      <c r="BI454" s="1504"/>
      <c r="BJ454" s="1504"/>
      <c r="BK454" s="1504"/>
      <c r="BM454" s="1411"/>
      <c r="BN454" s="1411"/>
      <c r="BO454" s="1425"/>
      <c r="BP454" s="1425"/>
      <c r="BQ454" s="1425"/>
      <c r="BR454" s="1425"/>
      <c r="BS454" s="1411"/>
      <c r="BT454" s="1411"/>
      <c r="BU454" s="1411"/>
      <c r="BV454" s="1411"/>
      <c r="BW454" s="1411"/>
      <c r="BX454" s="1411"/>
      <c r="BZ454" s="1438"/>
      <c r="CA454" s="1438"/>
      <c r="CB454" s="1496"/>
      <c r="CC454" s="1496"/>
      <c r="CD454" s="1496"/>
      <c r="CE454" s="1496"/>
      <c r="CF454" s="1438"/>
      <c r="CG454" s="1438"/>
      <c r="CH454" s="1438"/>
      <c r="CI454" s="1438"/>
      <c r="CJ454" s="1438"/>
      <c r="CK454" s="1438"/>
      <c r="CU454" s="1411"/>
      <c r="CV454" s="1411"/>
      <c r="CW454" s="1425"/>
      <c r="CX454" s="1425"/>
      <c r="CY454" s="1425"/>
      <c r="CZ454" s="1425"/>
      <c r="DA454" s="1411"/>
      <c r="DB454" s="1411"/>
      <c r="DC454" s="1411"/>
      <c r="DD454" s="1411"/>
      <c r="DE454" s="1411"/>
      <c r="DF454" s="1411"/>
      <c r="DH454" s="1432"/>
      <c r="DI454" s="1432"/>
      <c r="DJ454" s="1437"/>
      <c r="DK454" s="1437"/>
      <c r="DL454" s="1437"/>
      <c r="DM454" s="1437"/>
      <c r="DN454" s="1432"/>
      <c r="DO454" s="1432"/>
      <c r="DP454" s="1432"/>
      <c r="DQ454" s="1432"/>
      <c r="DR454" s="1432"/>
      <c r="DS454" s="1432"/>
      <c r="DT454" s="1316"/>
      <c r="DU454" s="1433"/>
      <c r="DV454" s="1433"/>
      <c r="DW454" s="1433"/>
      <c r="DX454" s="1433"/>
      <c r="DY454" s="1433"/>
      <c r="DZ454" s="1433"/>
      <c r="EA454" s="1433"/>
      <c r="EB454" s="1433"/>
    </row>
    <row r="455" customFormat="false" ht="14.25" hidden="false" customHeight="false" outlineLevel="0" collapsed="false">
      <c r="A455" s="2" t="n">
        <f aca="false">'V_DATOS PAC_SGA'!CC450</f>
        <v>0</v>
      </c>
      <c r="B455" s="2" t="n">
        <f aca="false">IF(OR(A455=0,A455=""),0,IF(I455="IV",CONCATENATE('V_DATOS PAC_SGA'!CC450,"4")+0,CONCATENATE('V_DATOS PAC_SGA'!CC450,"0")+0))</f>
        <v>0</v>
      </c>
      <c r="C455" s="2" t="n">
        <f aca="false">'V_DATOS PAC_SGA'!CD450</f>
        <v>0</v>
      </c>
      <c r="D455" s="1409" t="n">
        <f aca="false">'V_DATOS PAC_SGA'!Y450</f>
        <v>0</v>
      </c>
      <c r="E455" s="1410" t="str">
        <f aca="false">IF('V_DATOS PAC_SGA'!AV450="","Regadio",'V_DATOS PAC_SGA'!AV450)</f>
        <v>Regadio</v>
      </c>
      <c r="F455" s="1411" t="n">
        <f aca="false">'V_DATOS PAC_SGA'!BK450</f>
        <v>0</v>
      </c>
      <c r="G455" s="1412" t="n">
        <f aca="false">'V_DATOS PAC_SGA'!AN450</f>
        <v>0</v>
      </c>
      <c r="H455" s="1413" t="str">
        <f aca="false">IF(B455&gt;0,VLOOKUP(B455,'O_MN, PE_UTA_UGM 2024'!E$3:O$419,10),"")</f>
        <v/>
      </c>
      <c r="I455" s="1359" t="str">
        <f aca="false">IF('V_DATOS PAC_SGA'!BV450="IV",'V_DATOS PAC_SGA'!BV450,"")</f>
        <v/>
      </c>
      <c r="J455" s="2" t="str">
        <f aca="false">IF($A455&gt;0,IF(AND(J$4=$G455,J$6=$F455),$D455*J$5,""),"")</f>
        <v/>
      </c>
      <c r="K455" s="2" t="str">
        <f aca="false">IF($A455&gt;0,IF(AND(K$4=$G455,K$6=$F455),$D455*K$5,""),"")</f>
        <v/>
      </c>
      <c r="L455" s="2" t="str">
        <f aca="false">IF($A455&gt;0,IF(AND(L$4=$G455,L$6=$F455),$D455*L$5,""),"")</f>
        <v/>
      </c>
      <c r="M455" s="2" t="str">
        <f aca="false">IF($A455&gt;0,IF(AND(M$4=$G455,M$6=$F455),$D455*M$5,""),"")</f>
        <v/>
      </c>
      <c r="N455" s="1508" t="n">
        <f aca="false">VLOOKUP(B455,'O_MN, PE_UTA_UGM 2024'!$E$2:$K$419,IF(G455&gt;1,6,7))</f>
        <v>0</v>
      </c>
      <c r="O455" s="1434" t="str">
        <f aca="false">IF($H455=O$4,$D455*$N455,"")</f>
        <v/>
      </c>
      <c r="P455" s="1435" t="str">
        <f aca="false">IF($H455=P$4,$D455*$N455,"")</f>
        <v/>
      </c>
      <c r="Q455" s="1435" t="str">
        <f aca="false">IF($H455=Q$4,$D455*$N455,"")</f>
        <v/>
      </c>
      <c r="R455" s="1435" t="str">
        <f aca="false">IF($H455=R$4,$D455*$N455,"")</f>
        <v/>
      </c>
      <c r="S455" s="1435" t="str">
        <f aca="false">IF($H455=S$4,$D455*$N455,"")</f>
        <v/>
      </c>
      <c r="T455" s="1435" t="str">
        <f aca="false">IF($H455=T$4,$D455*$N455,"")</f>
        <v/>
      </c>
      <c r="U455" s="1436" t="str">
        <f aca="false">IF($H455=U$4,$D455*$N455,"")</f>
        <v/>
      </c>
      <c r="V455" s="1472"/>
      <c r="W455" s="1471"/>
      <c r="X455" s="1471"/>
      <c r="Y455" s="1471"/>
      <c r="Z455" s="1471"/>
      <c r="AA455" s="1471"/>
      <c r="AB455" s="1473"/>
      <c r="AC455" s="1319"/>
      <c r="AD455" s="2" t="str">
        <f aca="false">IF(AND(AD$4=$G455,AD$6=$F455),$B455,"")</f>
        <v/>
      </c>
      <c r="AE455" s="2" t="str">
        <f aca="false">IF(AND(AE$4=$G455,AE$6=$F455),$B455,"")</f>
        <v/>
      </c>
      <c r="AF455" s="2" t="str">
        <f aca="false">IF(AND(AF$4=$G455,AF$6=$F455),$B455,"")</f>
        <v/>
      </c>
      <c r="AG455" s="2" t="str">
        <f aca="false">IF(AND(AG$4=$G455,AG$6=$F455),$B455,"")</f>
        <v/>
      </c>
      <c r="AI455" s="366"/>
      <c r="AL455" s="367"/>
      <c r="AO455" s="367"/>
      <c r="AR455" s="1411"/>
      <c r="AT455" s="1422"/>
      <c r="AU455" s="1411"/>
      <c r="AV455" s="1411"/>
      <c r="AW455" s="1423"/>
      <c r="AX455" s="1423"/>
      <c r="AZ455" s="1503"/>
      <c r="BA455" s="1503"/>
      <c r="BB455" s="1503"/>
      <c r="BC455" s="1503"/>
      <c r="BD455" s="1503"/>
      <c r="BE455" s="1503"/>
      <c r="BF455" s="1503"/>
      <c r="BG455" s="1503"/>
      <c r="BH455" s="1504"/>
      <c r="BI455" s="1504"/>
      <c r="BJ455" s="1504"/>
      <c r="BK455" s="1504"/>
      <c r="BM455" s="1411"/>
      <c r="BN455" s="1411"/>
      <c r="BO455" s="1425"/>
      <c r="BP455" s="1425"/>
      <c r="BQ455" s="1425"/>
      <c r="BR455" s="1425"/>
      <c r="BS455" s="1411"/>
      <c r="BT455" s="1411"/>
      <c r="BU455" s="1411"/>
      <c r="BV455" s="1411"/>
      <c r="BW455" s="1411"/>
      <c r="BX455" s="1411"/>
      <c r="BZ455" s="1438"/>
      <c r="CA455" s="1438"/>
      <c r="CB455" s="1496"/>
      <c r="CC455" s="1496"/>
      <c r="CD455" s="1496"/>
      <c r="CE455" s="1496"/>
      <c r="CF455" s="1438"/>
      <c r="CG455" s="1438"/>
      <c r="CH455" s="1438"/>
      <c r="CI455" s="1438"/>
      <c r="CJ455" s="1438"/>
      <c r="CK455" s="1438"/>
      <c r="CU455" s="1411"/>
      <c r="CV455" s="1411"/>
      <c r="CW455" s="1425"/>
      <c r="CX455" s="1425"/>
      <c r="CY455" s="1425"/>
      <c r="CZ455" s="1425"/>
      <c r="DA455" s="1411"/>
      <c r="DB455" s="1411"/>
      <c r="DC455" s="1411"/>
      <c r="DD455" s="1411"/>
      <c r="DE455" s="1411"/>
      <c r="DF455" s="1411"/>
      <c r="DH455" s="1432"/>
      <c r="DI455" s="1432"/>
      <c r="DJ455" s="1437"/>
      <c r="DK455" s="1437"/>
      <c r="DL455" s="1437"/>
      <c r="DM455" s="1437"/>
      <c r="DN455" s="1432"/>
      <c r="DO455" s="1432"/>
      <c r="DP455" s="1432"/>
      <c r="DQ455" s="1432"/>
      <c r="DR455" s="1432"/>
      <c r="DS455" s="1432"/>
      <c r="DT455" s="1316"/>
      <c r="DU455" s="1433"/>
      <c r="DV455" s="1433"/>
      <c r="DW455" s="1433"/>
      <c r="DX455" s="1433"/>
      <c r="DY455" s="1433"/>
      <c r="DZ455" s="1433"/>
      <c r="EA455" s="1433"/>
      <c r="EB455" s="1433"/>
    </row>
    <row r="456" customFormat="false" ht="14.25" hidden="false" customHeight="false" outlineLevel="0" collapsed="false">
      <c r="A456" s="2" t="n">
        <f aca="false">'V_DATOS PAC_SGA'!CC451</f>
        <v>0</v>
      </c>
      <c r="B456" s="2" t="n">
        <f aca="false">IF(OR(A456=0,A456=""),0,IF(I456="IV",CONCATENATE('V_DATOS PAC_SGA'!CC451,"4")+0,CONCATENATE('V_DATOS PAC_SGA'!CC451,"0")+0))</f>
        <v>0</v>
      </c>
      <c r="C456" s="2" t="n">
        <f aca="false">'V_DATOS PAC_SGA'!CD451</f>
        <v>0</v>
      </c>
      <c r="D456" s="1409" t="n">
        <f aca="false">'V_DATOS PAC_SGA'!Y451</f>
        <v>0</v>
      </c>
      <c r="E456" s="1410" t="str">
        <f aca="false">IF('V_DATOS PAC_SGA'!AV451="","Regadio",'V_DATOS PAC_SGA'!AV451)</f>
        <v>Regadio</v>
      </c>
      <c r="F456" s="1411" t="n">
        <f aca="false">'V_DATOS PAC_SGA'!BK451</f>
        <v>0</v>
      </c>
      <c r="G456" s="1412" t="n">
        <f aca="false">'V_DATOS PAC_SGA'!AN451</f>
        <v>0</v>
      </c>
      <c r="H456" s="1413" t="str">
        <f aca="false">IF(B456&gt;0,VLOOKUP(B456,'O_MN, PE_UTA_UGM 2024'!E$3:O$419,10),"")</f>
        <v/>
      </c>
      <c r="I456" s="1359" t="str">
        <f aca="false">IF('V_DATOS PAC_SGA'!BV451="IV",'V_DATOS PAC_SGA'!BV451,"")</f>
        <v/>
      </c>
      <c r="J456" s="2" t="str">
        <f aca="false">IF($A456&gt;0,IF(AND(J$4=$G456,J$6=$F456),$D456*J$5,""),"")</f>
        <v/>
      </c>
      <c r="K456" s="2" t="str">
        <f aca="false">IF($A456&gt;0,IF(AND(K$4=$G456,K$6=$F456),$D456*K$5,""),"")</f>
        <v/>
      </c>
      <c r="L456" s="2" t="str">
        <f aca="false">IF($A456&gt;0,IF(AND(L$4=$G456,L$6=$F456),$D456*L$5,""),"")</f>
        <v/>
      </c>
      <c r="M456" s="2" t="str">
        <f aca="false">IF($A456&gt;0,IF(AND(M$4=$G456,M$6=$F456),$D456*M$5,""),"")</f>
        <v/>
      </c>
      <c r="N456" s="1508" t="n">
        <f aca="false">VLOOKUP(B456,'O_MN, PE_UTA_UGM 2024'!$E$2:$K$419,IF(G456&gt;1,6,7))</f>
        <v>0</v>
      </c>
      <c r="O456" s="1434" t="str">
        <f aca="false">IF($H456=O$4,$D456*$N456,"")</f>
        <v/>
      </c>
      <c r="P456" s="1435" t="str">
        <f aca="false">IF($H456=P$4,$D456*$N456,"")</f>
        <v/>
      </c>
      <c r="Q456" s="1435" t="str">
        <f aca="false">IF($H456=Q$4,$D456*$N456,"")</f>
        <v/>
      </c>
      <c r="R456" s="1435" t="str">
        <f aca="false">IF($H456=R$4,$D456*$N456,"")</f>
        <v/>
      </c>
      <c r="S456" s="1435" t="str">
        <f aca="false">IF($H456=S$4,$D456*$N456,"")</f>
        <v/>
      </c>
      <c r="T456" s="1435" t="str">
        <f aca="false">IF($H456=T$4,$D456*$N456,"")</f>
        <v/>
      </c>
      <c r="U456" s="1436" t="str">
        <f aca="false">IF($H456=U$4,$D456*$N456,"")</f>
        <v/>
      </c>
      <c r="V456" s="1472"/>
      <c r="W456" s="1471"/>
      <c r="X456" s="1471"/>
      <c r="Y456" s="1471"/>
      <c r="Z456" s="1471"/>
      <c r="AA456" s="1471"/>
      <c r="AB456" s="1473"/>
      <c r="AC456" s="1319"/>
      <c r="AD456" s="2" t="str">
        <f aca="false">IF(AND(AD$4=$G456,AD$6=$F456),$B456,"")</f>
        <v/>
      </c>
      <c r="AE456" s="2" t="str">
        <f aca="false">IF(AND(AE$4=$G456,AE$6=$F456),$B456,"")</f>
        <v/>
      </c>
      <c r="AF456" s="2" t="str">
        <f aca="false">IF(AND(AF$4=$G456,AF$6=$F456),$B456,"")</f>
        <v/>
      </c>
      <c r="AG456" s="2" t="str">
        <f aca="false">IF(AND(AG$4=$G456,AG$6=$F456),$B456,"")</f>
        <v/>
      </c>
      <c r="AI456" s="366"/>
      <c r="AL456" s="367"/>
      <c r="AO456" s="367"/>
      <c r="AR456" s="1411"/>
      <c r="AT456" s="1422"/>
      <c r="AU456" s="1411"/>
      <c r="AV456" s="1411"/>
      <c r="AW456" s="1423"/>
      <c r="AX456" s="1423"/>
      <c r="AZ456" s="1503"/>
      <c r="BA456" s="1503"/>
      <c r="BB456" s="1503"/>
      <c r="BC456" s="1503"/>
      <c r="BD456" s="1503"/>
      <c r="BE456" s="1503"/>
      <c r="BF456" s="1503"/>
      <c r="BG456" s="1503"/>
      <c r="BH456" s="1504"/>
      <c r="BI456" s="1504"/>
      <c r="BJ456" s="1504"/>
      <c r="BK456" s="1504"/>
      <c r="BM456" s="1411"/>
      <c r="BN456" s="1411"/>
      <c r="BO456" s="1425"/>
      <c r="BP456" s="1425"/>
      <c r="BQ456" s="1425"/>
      <c r="BR456" s="1425"/>
      <c r="BS456" s="1411"/>
      <c r="BT456" s="1411"/>
      <c r="BU456" s="1411"/>
      <c r="BV456" s="1411"/>
      <c r="BW456" s="1411"/>
      <c r="BX456" s="1411"/>
      <c r="BZ456" s="1438"/>
      <c r="CA456" s="1438"/>
      <c r="CB456" s="1496"/>
      <c r="CC456" s="1496"/>
      <c r="CD456" s="1496"/>
      <c r="CE456" s="1496"/>
      <c r="CF456" s="1438"/>
      <c r="CG456" s="1438"/>
      <c r="CH456" s="1438"/>
      <c r="CI456" s="1438"/>
      <c r="CJ456" s="1438"/>
      <c r="CK456" s="1438"/>
      <c r="CU456" s="1411"/>
      <c r="CV456" s="1411"/>
      <c r="CW456" s="1425"/>
      <c r="CX456" s="1425"/>
      <c r="CY456" s="1425"/>
      <c r="CZ456" s="1425"/>
      <c r="DA456" s="1411"/>
      <c r="DB456" s="1411"/>
      <c r="DC456" s="1411"/>
      <c r="DD456" s="1411"/>
      <c r="DE456" s="1411"/>
      <c r="DF456" s="1411"/>
      <c r="DH456" s="1432"/>
      <c r="DI456" s="1432"/>
      <c r="DJ456" s="1437"/>
      <c r="DK456" s="1437"/>
      <c r="DL456" s="1437"/>
      <c r="DM456" s="1437"/>
      <c r="DN456" s="1432"/>
      <c r="DO456" s="1432"/>
      <c r="DP456" s="1432"/>
      <c r="DQ456" s="1432"/>
      <c r="DR456" s="1432"/>
      <c r="DS456" s="1432"/>
      <c r="DT456" s="1316"/>
      <c r="DU456" s="1433"/>
      <c r="DV456" s="1433"/>
      <c r="DW456" s="1433"/>
      <c r="DX456" s="1433"/>
      <c r="DY456" s="1433"/>
      <c r="DZ456" s="1433"/>
      <c r="EA456" s="1433"/>
      <c r="EB456" s="1433"/>
    </row>
    <row r="457" customFormat="false" ht="14.25" hidden="false" customHeight="false" outlineLevel="0" collapsed="false">
      <c r="A457" s="2" t="n">
        <f aca="false">'V_DATOS PAC_SGA'!CC452</f>
        <v>0</v>
      </c>
      <c r="B457" s="2" t="n">
        <f aca="false">IF(OR(A457=0,A457=""),0,IF(I457="IV",CONCATENATE('V_DATOS PAC_SGA'!CC452,"4")+0,CONCATENATE('V_DATOS PAC_SGA'!CC452,"0")+0))</f>
        <v>0</v>
      </c>
      <c r="C457" s="2" t="n">
        <f aca="false">'V_DATOS PAC_SGA'!CD452</f>
        <v>0</v>
      </c>
      <c r="D457" s="1409" t="n">
        <f aca="false">'V_DATOS PAC_SGA'!Y452</f>
        <v>0</v>
      </c>
      <c r="E457" s="1410" t="str">
        <f aca="false">IF('V_DATOS PAC_SGA'!AV452="","Regadio",'V_DATOS PAC_SGA'!AV452)</f>
        <v>Regadio</v>
      </c>
      <c r="F457" s="1411" t="n">
        <f aca="false">'V_DATOS PAC_SGA'!BK452</f>
        <v>0</v>
      </c>
      <c r="G457" s="1412" t="n">
        <f aca="false">'V_DATOS PAC_SGA'!AN452</f>
        <v>0</v>
      </c>
      <c r="H457" s="1413" t="str">
        <f aca="false">IF(B457&gt;0,VLOOKUP(B457,'O_MN, PE_UTA_UGM 2024'!E$3:O$419,10),"")</f>
        <v/>
      </c>
      <c r="I457" s="1359" t="str">
        <f aca="false">IF('V_DATOS PAC_SGA'!BV452="IV",'V_DATOS PAC_SGA'!BV452,"")</f>
        <v/>
      </c>
      <c r="J457" s="2" t="str">
        <f aca="false">IF($A457&gt;0,IF(AND(J$4=$G457,J$6=$F457),$D457*J$5,""),"")</f>
        <v/>
      </c>
      <c r="K457" s="2" t="str">
        <f aca="false">IF($A457&gt;0,IF(AND(K$4=$G457,K$6=$F457),$D457*K$5,""),"")</f>
        <v/>
      </c>
      <c r="L457" s="2" t="str">
        <f aca="false">IF($A457&gt;0,IF(AND(L$4=$G457,L$6=$F457),$D457*L$5,""),"")</f>
        <v/>
      </c>
      <c r="M457" s="2" t="str">
        <f aca="false">IF($A457&gt;0,IF(AND(M$4=$G457,M$6=$F457),$D457*M$5,""),"")</f>
        <v/>
      </c>
      <c r="N457" s="1508" t="n">
        <f aca="false">VLOOKUP(B457,'O_MN, PE_UTA_UGM 2024'!$E$2:$K$419,IF(G457&gt;1,6,7))</f>
        <v>0</v>
      </c>
      <c r="O457" s="1434" t="str">
        <f aca="false">IF($H457=O$4,$D457*$N457,"")</f>
        <v/>
      </c>
      <c r="P457" s="1435" t="str">
        <f aca="false">IF($H457=P$4,$D457*$N457,"")</f>
        <v/>
      </c>
      <c r="Q457" s="1435" t="str">
        <f aca="false">IF($H457=Q$4,$D457*$N457,"")</f>
        <v/>
      </c>
      <c r="R457" s="1435" t="str">
        <f aca="false">IF($H457=R$4,$D457*$N457,"")</f>
        <v/>
      </c>
      <c r="S457" s="1435" t="str">
        <f aca="false">IF($H457=S$4,$D457*$N457,"")</f>
        <v/>
      </c>
      <c r="T457" s="1435" t="str">
        <f aca="false">IF($H457=T$4,$D457*$N457,"")</f>
        <v/>
      </c>
      <c r="U457" s="1436" t="str">
        <f aca="false">IF($H457=U$4,$D457*$N457,"")</f>
        <v/>
      </c>
      <c r="V457" s="1472"/>
      <c r="W457" s="1471"/>
      <c r="X457" s="1471"/>
      <c r="Y457" s="1471"/>
      <c r="Z457" s="1471"/>
      <c r="AA457" s="1471"/>
      <c r="AB457" s="1473"/>
      <c r="AC457" s="1319"/>
      <c r="AD457" s="2" t="str">
        <f aca="false">IF(AND(AD$4=$G457,AD$6=$F457),$B457,"")</f>
        <v/>
      </c>
      <c r="AE457" s="2" t="str">
        <f aca="false">IF(AND(AE$4=$G457,AE$6=$F457),$B457,"")</f>
        <v/>
      </c>
      <c r="AF457" s="2" t="str">
        <f aca="false">IF(AND(AF$4=$G457,AF$6=$F457),$B457,"")</f>
        <v/>
      </c>
      <c r="AG457" s="2" t="str">
        <f aca="false">IF(AND(AG$4=$G457,AG$6=$F457),$B457,"")</f>
        <v/>
      </c>
      <c r="AI457" s="366"/>
      <c r="AL457" s="367"/>
      <c r="AO457" s="367"/>
      <c r="AR457" s="1411"/>
      <c r="AT457" s="1422"/>
      <c r="AU457" s="1411"/>
      <c r="AV457" s="1411"/>
      <c r="AW457" s="1423"/>
      <c r="AX457" s="1423"/>
      <c r="AZ457" s="1503"/>
      <c r="BA457" s="1503"/>
      <c r="BB457" s="1503"/>
      <c r="BC457" s="1503"/>
      <c r="BD457" s="1503"/>
      <c r="BE457" s="1503"/>
      <c r="BF457" s="1503"/>
      <c r="BG457" s="1503"/>
      <c r="BH457" s="1504"/>
      <c r="BI457" s="1504"/>
      <c r="BJ457" s="1504"/>
      <c r="BK457" s="1504"/>
      <c r="BM457" s="1411"/>
      <c r="BN457" s="1411"/>
      <c r="BO457" s="1425"/>
      <c r="BP457" s="1425"/>
      <c r="BQ457" s="1425"/>
      <c r="BR457" s="1425"/>
      <c r="BS457" s="1411"/>
      <c r="BT457" s="1411"/>
      <c r="BU457" s="1411"/>
      <c r="BV457" s="1411"/>
      <c r="BW457" s="1411"/>
      <c r="BX457" s="1411"/>
      <c r="BZ457" s="1438"/>
      <c r="CA457" s="1438"/>
      <c r="CB457" s="1496"/>
      <c r="CC457" s="1496"/>
      <c r="CD457" s="1496"/>
      <c r="CE457" s="1496"/>
      <c r="CF457" s="1438"/>
      <c r="CG457" s="1438"/>
      <c r="CH457" s="1438"/>
      <c r="CI457" s="1438"/>
      <c r="CJ457" s="1438"/>
      <c r="CK457" s="1438"/>
      <c r="CU457" s="1411"/>
      <c r="CV457" s="1411"/>
      <c r="CW457" s="1425"/>
      <c r="CX457" s="1425"/>
      <c r="CY457" s="1425"/>
      <c r="CZ457" s="1425"/>
      <c r="DA457" s="1411"/>
      <c r="DB457" s="1411"/>
      <c r="DC457" s="1411"/>
      <c r="DD457" s="1411"/>
      <c r="DE457" s="1411"/>
      <c r="DF457" s="1411"/>
      <c r="DH457" s="1432"/>
      <c r="DI457" s="1432"/>
      <c r="DJ457" s="1437"/>
      <c r="DK457" s="1437"/>
      <c r="DL457" s="1437"/>
      <c r="DM457" s="1437"/>
      <c r="DN457" s="1432"/>
      <c r="DO457" s="1432"/>
      <c r="DP457" s="1432"/>
      <c r="DQ457" s="1432"/>
      <c r="DR457" s="1432"/>
      <c r="DS457" s="1432"/>
      <c r="DT457" s="1316"/>
      <c r="DU457" s="1433"/>
      <c r="DV457" s="1433"/>
      <c r="DW457" s="1433"/>
      <c r="DX457" s="1433"/>
      <c r="DY457" s="1433"/>
      <c r="DZ457" s="1433"/>
      <c r="EA457" s="1433"/>
      <c r="EB457" s="1433"/>
    </row>
    <row r="458" customFormat="false" ht="14.25" hidden="false" customHeight="false" outlineLevel="0" collapsed="false">
      <c r="A458" s="2" t="n">
        <f aca="false">'V_DATOS PAC_SGA'!CC453</f>
        <v>0</v>
      </c>
      <c r="B458" s="2" t="n">
        <f aca="false">IF(OR(A458=0,A458=""),0,IF(I458="IV",CONCATENATE('V_DATOS PAC_SGA'!CC453,"4")+0,CONCATENATE('V_DATOS PAC_SGA'!CC453,"0")+0))</f>
        <v>0</v>
      </c>
      <c r="C458" s="2" t="n">
        <f aca="false">'V_DATOS PAC_SGA'!CD453</f>
        <v>0</v>
      </c>
      <c r="D458" s="1409" t="n">
        <f aca="false">'V_DATOS PAC_SGA'!Y453</f>
        <v>0</v>
      </c>
      <c r="E458" s="1410" t="str">
        <f aca="false">IF('V_DATOS PAC_SGA'!AV453="","Regadio",'V_DATOS PAC_SGA'!AV453)</f>
        <v>Regadio</v>
      </c>
      <c r="F458" s="1411" t="n">
        <f aca="false">'V_DATOS PAC_SGA'!BK453</f>
        <v>0</v>
      </c>
      <c r="G458" s="1412" t="n">
        <f aca="false">'V_DATOS PAC_SGA'!AN453</f>
        <v>0</v>
      </c>
      <c r="H458" s="1413" t="str">
        <f aca="false">IF(B458&gt;0,VLOOKUP(B458,'O_MN, PE_UTA_UGM 2024'!E$3:O$419,10),"")</f>
        <v/>
      </c>
      <c r="I458" s="1359" t="str">
        <f aca="false">IF('V_DATOS PAC_SGA'!BV453="IV",'V_DATOS PAC_SGA'!BV453,"")</f>
        <v/>
      </c>
      <c r="J458" s="2" t="str">
        <f aca="false">IF($A458&gt;0,IF(AND(J$4=$G458,J$6=$F458),$D458*J$5,""),"")</f>
        <v/>
      </c>
      <c r="K458" s="2" t="str">
        <f aca="false">IF($A458&gt;0,IF(AND(K$4=$G458,K$6=$F458),$D458*K$5,""),"")</f>
        <v/>
      </c>
      <c r="L458" s="2" t="str">
        <f aca="false">IF($A458&gt;0,IF(AND(L$4=$G458,L$6=$F458),$D458*L$5,""),"")</f>
        <v/>
      </c>
      <c r="M458" s="2" t="str">
        <f aca="false">IF($A458&gt;0,IF(AND(M$4=$G458,M$6=$F458),$D458*M$5,""),"")</f>
        <v/>
      </c>
      <c r="N458" s="1508" t="n">
        <f aca="false">VLOOKUP(B458,'O_MN, PE_UTA_UGM 2024'!$E$2:$K$419,IF(G458&gt;1,6,7))</f>
        <v>0</v>
      </c>
      <c r="O458" s="1434" t="str">
        <f aca="false">IF($H458=O$4,$D458*$N458,"")</f>
        <v/>
      </c>
      <c r="P458" s="1435" t="str">
        <f aca="false">IF($H458=P$4,$D458*$N458,"")</f>
        <v/>
      </c>
      <c r="Q458" s="1435" t="str">
        <f aca="false">IF($H458=Q$4,$D458*$N458,"")</f>
        <v/>
      </c>
      <c r="R458" s="1435" t="str">
        <f aca="false">IF($H458=R$4,$D458*$N458,"")</f>
        <v/>
      </c>
      <c r="S458" s="1435" t="str">
        <f aca="false">IF($H458=S$4,$D458*$N458,"")</f>
        <v/>
      </c>
      <c r="T458" s="1435" t="str">
        <f aca="false">IF($H458=T$4,$D458*$N458,"")</f>
        <v/>
      </c>
      <c r="U458" s="1436" t="str">
        <f aca="false">IF($H458=U$4,$D458*$N458,"")</f>
        <v/>
      </c>
      <c r="V458" s="1472"/>
      <c r="W458" s="1471"/>
      <c r="X458" s="1471"/>
      <c r="Y458" s="1471"/>
      <c r="Z458" s="1471"/>
      <c r="AA458" s="1471"/>
      <c r="AB458" s="1473"/>
      <c r="AC458" s="1319"/>
      <c r="AD458" s="2" t="str">
        <f aca="false">IF(AND(AD$4=$G458,AD$6=$F458),$B458,"")</f>
        <v/>
      </c>
      <c r="AE458" s="2" t="str">
        <f aca="false">IF(AND(AE$4=$G458,AE$6=$F458),$B458,"")</f>
        <v/>
      </c>
      <c r="AF458" s="2" t="str">
        <f aca="false">IF(AND(AF$4=$G458,AF$6=$F458),$B458,"")</f>
        <v/>
      </c>
      <c r="AG458" s="2" t="str">
        <f aca="false">IF(AND(AG$4=$G458,AG$6=$F458),$B458,"")</f>
        <v/>
      </c>
      <c r="AI458" s="366"/>
      <c r="AL458" s="367"/>
      <c r="AO458" s="367"/>
      <c r="AR458" s="1411"/>
      <c r="AT458" s="1422"/>
      <c r="AU458" s="1411"/>
      <c r="AV458" s="1411"/>
      <c r="AW458" s="1423"/>
      <c r="AX458" s="1423"/>
      <c r="AZ458" s="1503"/>
      <c r="BA458" s="1503"/>
      <c r="BB458" s="1503"/>
      <c r="BC458" s="1503"/>
      <c r="BD458" s="1503"/>
      <c r="BE458" s="1503"/>
      <c r="BF458" s="1503"/>
      <c r="BG458" s="1503"/>
      <c r="BH458" s="1504"/>
      <c r="BI458" s="1504"/>
      <c r="BJ458" s="1504"/>
      <c r="BK458" s="1504"/>
      <c r="BM458" s="1411"/>
      <c r="BN458" s="1411"/>
      <c r="BO458" s="1425"/>
      <c r="BP458" s="1425"/>
      <c r="BQ458" s="1425"/>
      <c r="BR458" s="1425"/>
      <c r="BS458" s="1411"/>
      <c r="BT458" s="1411"/>
      <c r="BU458" s="1411"/>
      <c r="BV458" s="1411"/>
      <c r="BW458" s="1411"/>
      <c r="BX458" s="1411"/>
      <c r="BZ458" s="1438"/>
      <c r="CA458" s="1438"/>
      <c r="CB458" s="1496"/>
      <c r="CC458" s="1496"/>
      <c r="CD458" s="1496"/>
      <c r="CE458" s="1496"/>
      <c r="CF458" s="1438"/>
      <c r="CG458" s="1438"/>
      <c r="CH458" s="1438"/>
      <c r="CI458" s="1438"/>
      <c r="CJ458" s="1438"/>
      <c r="CK458" s="1438"/>
      <c r="CU458" s="1411"/>
      <c r="CV458" s="1411"/>
      <c r="CW458" s="1425"/>
      <c r="CX458" s="1425"/>
      <c r="CY458" s="1425"/>
      <c r="CZ458" s="1425"/>
      <c r="DA458" s="1411"/>
      <c r="DB458" s="1411"/>
      <c r="DC458" s="1411"/>
      <c r="DD458" s="1411"/>
      <c r="DE458" s="1411"/>
      <c r="DF458" s="1411"/>
      <c r="DH458" s="1432"/>
      <c r="DI458" s="1432"/>
      <c r="DJ458" s="1437"/>
      <c r="DK458" s="1437"/>
      <c r="DL458" s="1437"/>
      <c r="DM458" s="1437"/>
      <c r="DN458" s="1432"/>
      <c r="DO458" s="1432"/>
      <c r="DP458" s="1432"/>
      <c r="DQ458" s="1432"/>
      <c r="DR458" s="1432"/>
      <c r="DS458" s="1432"/>
      <c r="DT458" s="1316"/>
      <c r="DU458" s="1433"/>
      <c r="DV458" s="1433"/>
      <c r="DW458" s="1433"/>
      <c r="DX458" s="1433"/>
      <c r="DY458" s="1433"/>
      <c r="DZ458" s="1433"/>
      <c r="EA458" s="1433"/>
      <c r="EB458" s="1433"/>
    </row>
    <row r="459" customFormat="false" ht="14.25" hidden="false" customHeight="false" outlineLevel="0" collapsed="false">
      <c r="A459" s="2" t="n">
        <f aca="false">'V_DATOS PAC_SGA'!CC454</f>
        <v>0</v>
      </c>
      <c r="B459" s="2" t="n">
        <f aca="false">IF(OR(A459=0,A459=""),0,IF(I459="IV",CONCATENATE('V_DATOS PAC_SGA'!CC454,"4")+0,CONCATENATE('V_DATOS PAC_SGA'!CC454,"0")+0))</f>
        <v>0</v>
      </c>
      <c r="C459" s="2" t="n">
        <f aca="false">'V_DATOS PAC_SGA'!CD454</f>
        <v>0</v>
      </c>
      <c r="D459" s="1409" t="n">
        <f aca="false">'V_DATOS PAC_SGA'!Y454</f>
        <v>0</v>
      </c>
      <c r="E459" s="1410" t="str">
        <f aca="false">IF('V_DATOS PAC_SGA'!AV454="","Regadio",'V_DATOS PAC_SGA'!AV454)</f>
        <v>Regadio</v>
      </c>
      <c r="F459" s="1411" t="n">
        <f aca="false">'V_DATOS PAC_SGA'!BK454</f>
        <v>0</v>
      </c>
      <c r="G459" s="1412" t="n">
        <f aca="false">'V_DATOS PAC_SGA'!AN454</f>
        <v>0</v>
      </c>
      <c r="H459" s="1413" t="str">
        <f aca="false">IF(B459&gt;0,VLOOKUP(B459,'O_MN, PE_UTA_UGM 2024'!E$3:O$419,10),"")</f>
        <v/>
      </c>
      <c r="I459" s="1359" t="str">
        <f aca="false">IF('V_DATOS PAC_SGA'!BV454="IV",'V_DATOS PAC_SGA'!BV454,"")</f>
        <v/>
      </c>
      <c r="J459" s="2" t="str">
        <f aca="false">IF($A459&gt;0,IF(AND(J$4=$G459,J$6=$F459),$D459*J$5,""),"")</f>
        <v/>
      </c>
      <c r="K459" s="2" t="str">
        <f aca="false">IF($A459&gt;0,IF(AND(K$4=$G459,K$6=$F459),$D459*K$5,""),"")</f>
        <v/>
      </c>
      <c r="L459" s="2" t="str">
        <f aca="false">IF($A459&gt;0,IF(AND(L$4=$G459,L$6=$F459),$D459*L$5,""),"")</f>
        <v/>
      </c>
      <c r="M459" s="2" t="str">
        <f aca="false">IF($A459&gt;0,IF(AND(M$4=$G459,M$6=$F459),$D459*M$5,""),"")</f>
        <v/>
      </c>
      <c r="N459" s="1508" t="n">
        <f aca="false">VLOOKUP(B459,'O_MN, PE_UTA_UGM 2024'!$E$2:$K$419,IF(G459&gt;1,6,7))</f>
        <v>0</v>
      </c>
      <c r="O459" s="1434" t="str">
        <f aca="false">IF($H459=O$4,$D459*$N459,"")</f>
        <v/>
      </c>
      <c r="P459" s="1435" t="str">
        <f aca="false">IF($H459=P$4,$D459*$N459,"")</f>
        <v/>
      </c>
      <c r="Q459" s="1435" t="str">
        <f aca="false">IF($H459=Q$4,$D459*$N459,"")</f>
        <v/>
      </c>
      <c r="R459" s="1435" t="str">
        <f aca="false">IF($H459=R$4,$D459*$N459,"")</f>
        <v/>
      </c>
      <c r="S459" s="1435" t="str">
        <f aca="false">IF($H459=S$4,$D459*$N459,"")</f>
        <v/>
      </c>
      <c r="T459" s="1435" t="str">
        <f aca="false">IF($H459=T$4,$D459*$N459,"")</f>
        <v/>
      </c>
      <c r="U459" s="1436" t="str">
        <f aca="false">IF($H459=U$4,$D459*$N459,"")</f>
        <v/>
      </c>
      <c r="V459" s="1472"/>
      <c r="W459" s="1471"/>
      <c r="X459" s="1471"/>
      <c r="Y459" s="1471"/>
      <c r="Z459" s="1471"/>
      <c r="AA459" s="1471"/>
      <c r="AB459" s="1473"/>
      <c r="AC459" s="1319"/>
      <c r="AD459" s="2" t="str">
        <f aca="false">IF(AND(AD$4=$G459,AD$6=$F459),$B459,"")</f>
        <v/>
      </c>
      <c r="AE459" s="2" t="str">
        <f aca="false">IF(AND(AE$4=$G459,AE$6=$F459),$B459,"")</f>
        <v/>
      </c>
      <c r="AF459" s="2" t="str">
        <f aca="false">IF(AND(AF$4=$G459,AF$6=$F459),$B459,"")</f>
        <v/>
      </c>
      <c r="AG459" s="2" t="str">
        <f aca="false">IF(AND(AG$4=$G459,AG$6=$F459),$B459,"")</f>
        <v/>
      </c>
      <c r="AI459" s="366"/>
      <c r="AL459" s="367"/>
      <c r="AO459" s="367"/>
      <c r="AR459" s="1411"/>
      <c r="AT459" s="1422"/>
      <c r="AU459" s="1411"/>
      <c r="AV459" s="1411"/>
      <c r="AW459" s="1423"/>
      <c r="AX459" s="1423"/>
      <c r="AZ459" s="1503"/>
      <c r="BA459" s="1503"/>
      <c r="BB459" s="1503"/>
      <c r="BC459" s="1503"/>
      <c r="BD459" s="1503"/>
      <c r="BE459" s="1503"/>
      <c r="BF459" s="1503"/>
      <c r="BG459" s="1503"/>
      <c r="BH459" s="1504"/>
      <c r="BI459" s="1504"/>
      <c r="BJ459" s="1504"/>
      <c r="BK459" s="1504"/>
      <c r="BM459" s="1411"/>
      <c r="BN459" s="1411"/>
      <c r="BO459" s="1425"/>
      <c r="BP459" s="1425"/>
      <c r="BQ459" s="1425"/>
      <c r="BR459" s="1425"/>
      <c r="BS459" s="1411"/>
      <c r="BT459" s="1411"/>
      <c r="BU459" s="1411"/>
      <c r="BV459" s="1411"/>
      <c r="BW459" s="1411"/>
      <c r="BX459" s="1411"/>
      <c r="BZ459" s="1438"/>
      <c r="CA459" s="1438"/>
      <c r="CB459" s="1496"/>
      <c r="CC459" s="1496"/>
      <c r="CD459" s="1496"/>
      <c r="CE459" s="1496"/>
      <c r="CF459" s="1438"/>
      <c r="CG459" s="1438"/>
      <c r="CH459" s="1438"/>
      <c r="CI459" s="1438"/>
      <c r="CJ459" s="1438"/>
      <c r="CK459" s="1438"/>
      <c r="CU459" s="1411"/>
      <c r="CV459" s="1411"/>
      <c r="CW459" s="1425"/>
      <c r="CX459" s="1425"/>
      <c r="CY459" s="1425"/>
      <c r="CZ459" s="1425"/>
      <c r="DA459" s="1411"/>
      <c r="DB459" s="1411"/>
      <c r="DC459" s="1411"/>
      <c r="DD459" s="1411"/>
      <c r="DE459" s="1411"/>
      <c r="DF459" s="1411"/>
      <c r="DH459" s="1432"/>
      <c r="DI459" s="1432"/>
      <c r="DJ459" s="1437"/>
      <c r="DK459" s="1437"/>
      <c r="DL459" s="1437"/>
      <c r="DM459" s="1437"/>
      <c r="DN459" s="1432"/>
      <c r="DO459" s="1432"/>
      <c r="DP459" s="1432"/>
      <c r="DQ459" s="1432"/>
      <c r="DR459" s="1432"/>
      <c r="DS459" s="1432"/>
      <c r="DT459" s="1316"/>
      <c r="DU459" s="1433"/>
      <c r="DV459" s="1433"/>
      <c r="DW459" s="1433"/>
      <c r="DX459" s="1433"/>
      <c r="DY459" s="1433"/>
      <c r="DZ459" s="1433"/>
      <c r="EA459" s="1433"/>
      <c r="EB459" s="1433"/>
    </row>
    <row r="460" customFormat="false" ht="14.25" hidden="false" customHeight="false" outlineLevel="0" collapsed="false">
      <c r="A460" s="2" t="n">
        <f aca="false">'V_DATOS PAC_SGA'!CC455</f>
        <v>0</v>
      </c>
      <c r="B460" s="2" t="n">
        <f aca="false">IF(OR(A460=0,A460=""),0,IF(I460="IV",CONCATENATE('V_DATOS PAC_SGA'!CC455,"4")+0,CONCATENATE('V_DATOS PAC_SGA'!CC455,"0")+0))</f>
        <v>0</v>
      </c>
      <c r="C460" s="2" t="n">
        <f aca="false">'V_DATOS PAC_SGA'!CD455</f>
        <v>0</v>
      </c>
      <c r="D460" s="1409" t="n">
        <f aca="false">'V_DATOS PAC_SGA'!Y455</f>
        <v>0</v>
      </c>
      <c r="E460" s="1410" t="str">
        <f aca="false">IF('V_DATOS PAC_SGA'!AV455="","Regadio",'V_DATOS PAC_SGA'!AV455)</f>
        <v>Regadio</v>
      </c>
      <c r="F460" s="1411" t="n">
        <f aca="false">'V_DATOS PAC_SGA'!BK455</f>
        <v>0</v>
      </c>
      <c r="G460" s="1412" t="n">
        <f aca="false">'V_DATOS PAC_SGA'!AN455</f>
        <v>0</v>
      </c>
      <c r="H460" s="1413" t="str">
        <f aca="false">IF(B460&gt;0,VLOOKUP(B460,'O_MN, PE_UTA_UGM 2024'!E$3:O$419,10),"")</f>
        <v/>
      </c>
      <c r="I460" s="1359" t="str">
        <f aca="false">IF('V_DATOS PAC_SGA'!BV455="IV",'V_DATOS PAC_SGA'!BV455,"")</f>
        <v/>
      </c>
      <c r="J460" s="2" t="str">
        <f aca="false">IF($A460&gt;0,IF(AND(J$4=$G460,J$6=$F460),$D460*J$5,""),"")</f>
        <v/>
      </c>
      <c r="K460" s="2" t="str">
        <f aca="false">IF($A460&gt;0,IF(AND(K$4=$G460,K$6=$F460),$D460*K$5,""),"")</f>
        <v/>
      </c>
      <c r="L460" s="2" t="str">
        <f aca="false">IF($A460&gt;0,IF(AND(L$4=$G460,L$6=$F460),$D460*L$5,""),"")</f>
        <v/>
      </c>
      <c r="M460" s="2" t="str">
        <f aca="false">IF($A460&gt;0,IF(AND(M$4=$G460,M$6=$F460),$D460*M$5,""),"")</f>
        <v/>
      </c>
      <c r="N460" s="1508" t="n">
        <f aca="false">VLOOKUP(B460,'O_MN, PE_UTA_UGM 2024'!$E$2:$K$419,IF(G460&gt;1,6,7))</f>
        <v>0</v>
      </c>
      <c r="O460" s="1434" t="str">
        <f aca="false">IF($H460=O$4,$D460*$N460,"")</f>
        <v/>
      </c>
      <c r="P460" s="1435" t="str">
        <f aca="false">IF($H460=P$4,$D460*$N460,"")</f>
        <v/>
      </c>
      <c r="Q460" s="1435" t="str">
        <f aca="false">IF($H460=Q$4,$D460*$N460,"")</f>
        <v/>
      </c>
      <c r="R460" s="1435" t="str">
        <f aca="false">IF($H460=R$4,$D460*$N460,"")</f>
        <v/>
      </c>
      <c r="S460" s="1435" t="str">
        <f aca="false">IF($H460=S$4,$D460*$N460,"")</f>
        <v/>
      </c>
      <c r="T460" s="1435" t="str">
        <f aca="false">IF($H460=T$4,$D460*$N460,"")</f>
        <v/>
      </c>
      <c r="U460" s="1436" t="str">
        <f aca="false">IF($H460=U$4,$D460*$N460,"")</f>
        <v/>
      </c>
      <c r="V460" s="1472"/>
      <c r="W460" s="1471"/>
      <c r="X460" s="1471"/>
      <c r="Y460" s="1471"/>
      <c r="Z460" s="1471"/>
      <c r="AA460" s="1471"/>
      <c r="AB460" s="1473"/>
      <c r="AC460" s="1319"/>
      <c r="AD460" s="2" t="str">
        <f aca="false">IF(AND(AD$4=$G460,AD$6=$F460),$B460,"")</f>
        <v/>
      </c>
      <c r="AE460" s="2" t="str">
        <f aca="false">IF(AND(AE$4=$G460,AE$6=$F460),$B460,"")</f>
        <v/>
      </c>
      <c r="AF460" s="2" t="str">
        <f aca="false">IF(AND(AF$4=$G460,AF$6=$F460),$B460,"")</f>
        <v/>
      </c>
      <c r="AG460" s="2" t="str">
        <f aca="false">IF(AND(AG$4=$G460,AG$6=$F460),$B460,"")</f>
        <v/>
      </c>
      <c r="AI460" s="366"/>
      <c r="AL460" s="367"/>
      <c r="AO460" s="367"/>
      <c r="AR460" s="1411"/>
      <c r="AT460" s="1422"/>
      <c r="AU460" s="1411"/>
      <c r="AV460" s="1411"/>
      <c r="AW460" s="1423"/>
      <c r="AX460" s="1423"/>
      <c r="AZ460" s="1503"/>
      <c r="BA460" s="1503"/>
      <c r="BB460" s="1503"/>
      <c r="BC460" s="1503"/>
      <c r="BD460" s="1503"/>
      <c r="BE460" s="1503"/>
      <c r="BF460" s="1503"/>
      <c r="BG460" s="1503"/>
      <c r="BH460" s="1504"/>
      <c r="BI460" s="1504"/>
      <c r="BJ460" s="1504"/>
      <c r="BK460" s="1504"/>
      <c r="BM460" s="1411"/>
      <c r="BN460" s="1411"/>
      <c r="BO460" s="1425"/>
      <c r="BP460" s="1425"/>
      <c r="BQ460" s="1425"/>
      <c r="BR460" s="1425"/>
      <c r="BS460" s="1411"/>
      <c r="BT460" s="1411"/>
      <c r="BU460" s="1411"/>
      <c r="BV460" s="1411"/>
      <c r="BW460" s="1411"/>
      <c r="BX460" s="1411"/>
      <c r="BZ460" s="1438"/>
      <c r="CA460" s="1438"/>
      <c r="CB460" s="1496"/>
      <c r="CC460" s="1496"/>
      <c r="CD460" s="1496"/>
      <c r="CE460" s="1496"/>
      <c r="CF460" s="1438"/>
      <c r="CG460" s="1438"/>
      <c r="CH460" s="1438"/>
      <c r="CI460" s="1438"/>
      <c r="CJ460" s="1438"/>
      <c r="CK460" s="1438"/>
      <c r="CU460" s="1411"/>
      <c r="CV460" s="1411"/>
      <c r="CW460" s="1425"/>
      <c r="CX460" s="1425"/>
      <c r="CY460" s="1425"/>
      <c r="CZ460" s="1425"/>
      <c r="DA460" s="1411"/>
      <c r="DB460" s="1411"/>
      <c r="DC460" s="1411"/>
      <c r="DD460" s="1411"/>
      <c r="DE460" s="1411"/>
      <c r="DF460" s="1411"/>
      <c r="DH460" s="1432"/>
      <c r="DI460" s="1432"/>
      <c r="DJ460" s="1437"/>
      <c r="DK460" s="1437"/>
      <c r="DL460" s="1437"/>
      <c r="DM460" s="1437"/>
      <c r="DN460" s="1432"/>
      <c r="DO460" s="1432"/>
      <c r="DP460" s="1432"/>
      <c r="DQ460" s="1432"/>
      <c r="DR460" s="1432"/>
      <c r="DS460" s="1432"/>
      <c r="DT460" s="1316"/>
      <c r="DU460" s="1433"/>
      <c r="DV460" s="1433"/>
      <c r="DW460" s="1433"/>
      <c r="DX460" s="1433"/>
      <c r="DY460" s="1433"/>
      <c r="DZ460" s="1433"/>
      <c r="EA460" s="1433"/>
      <c r="EB460" s="1433"/>
    </row>
    <row r="461" customFormat="false" ht="14.25" hidden="false" customHeight="false" outlineLevel="0" collapsed="false">
      <c r="A461" s="2" t="n">
        <f aca="false">'V_DATOS PAC_SGA'!CC456</f>
        <v>0</v>
      </c>
      <c r="B461" s="2" t="n">
        <f aca="false">IF(OR(A461=0,A461=""),0,IF(I461="IV",CONCATENATE('V_DATOS PAC_SGA'!CC456,"4")+0,CONCATENATE('V_DATOS PAC_SGA'!CC456,"0")+0))</f>
        <v>0</v>
      </c>
      <c r="C461" s="2" t="n">
        <f aca="false">'V_DATOS PAC_SGA'!CD456</f>
        <v>0</v>
      </c>
      <c r="D461" s="1409" t="n">
        <f aca="false">'V_DATOS PAC_SGA'!Y456</f>
        <v>0</v>
      </c>
      <c r="E461" s="1410" t="str">
        <f aca="false">IF('V_DATOS PAC_SGA'!AV456="","Regadio",'V_DATOS PAC_SGA'!AV456)</f>
        <v>Regadio</v>
      </c>
      <c r="F461" s="1411" t="n">
        <f aca="false">'V_DATOS PAC_SGA'!BK456</f>
        <v>0</v>
      </c>
      <c r="G461" s="1412" t="n">
        <f aca="false">'V_DATOS PAC_SGA'!AN456</f>
        <v>0</v>
      </c>
      <c r="H461" s="1413" t="str">
        <f aca="false">IF(B461&gt;0,VLOOKUP(B461,'O_MN, PE_UTA_UGM 2024'!E$3:O$419,10),"")</f>
        <v/>
      </c>
      <c r="I461" s="1359" t="str">
        <f aca="false">IF('V_DATOS PAC_SGA'!BV456="IV",'V_DATOS PAC_SGA'!BV456,"")</f>
        <v/>
      </c>
      <c r="J461" s="2" t="str">
        <f aca="false">IF($A461&gt;0,IF(AND(J$4=$G461,J$6=$F461),$D461*J$5,""),"")</f>
        <v/>
      </c>
      <c r="K461" s="2" t="str">
        <f aca="false">IF($A461&gt;0,IF(AND(K$4=$G461,K$6=$F461),$D461*K$5,""),"")</f>
        <v/>
      </c>
      <c r="L461" s="2" t="str">
        <f aca="false">IF($A461&gt;0,IF(AND(L$4=$G461,L$6=$F461),$D461*L$5,""),"")</f>
        <v/>
      </c>
      <c r="M461" s="2" t="str">
        <f aca="false">IF($A461&gt;0,IF(AND(M$4=$G461,M$6=$F461),$D461*M$5,""),"")</f>
        <v/>
      </c>
      <c r="N461" s="1508" t="n">
        <f aca="false">VLOOKUP(B461,'O_MN, PE_UTA_UGM 2024'!$E$2:$K$419,IF(G461&gt;1,6,7))</f>
        <v>0</v>
      </c>
      <c r="O461" s="1434" t="str">
        <f aca="false">IF($H461=O$4,$D461*$N461,"")</f>
        <v/>
      </c>
      <c r="P461" s="1435" t="str">
        <f aca="false">IF($H461=P$4,$D461*$N461,"")</f>
        <v/>
      </c>
      <c r="Q461" s="1435" t="str">
        <f aca="false">IF($H461=Q$4,$D461*$N461,"")</f>
        <v/>
      </c>
      <c r="R461" s="1435" t="str">
        <f aca="false">IF($H461=R$4,$D461*$N461,"")</f>
        <v/>
      </c>
      <c r="S461" s="1435" t="str">
        <f aca="false">IF($H461=S$4,$D461*$N461,"")</f>
        <v/>
      </c>
      <c r="T461" s="1435" t="str">
        <f aca="false">IF($H461=T$4,$D461*$N461,"")</f>
        <v/>
      </c>
      <c r="U461" s="1436" t="str">
        <f aca="false">IF($H461=U$4,$D461*$N461,"")</f>
        <v/>
      </c>
      <c r="V461" s="1472"/>
      <c r="W461" s="1471"/>
      <c r="X461" s="1471"/>
      <c r="Y461" s="1471"/>
      <c r="Z461" s="1471"/>
      <c r="AA461" s="1471"/>
      <c r="AB461" s="1473"/>
      <c r="AC461" s="1319"/>
      <c r="AD461" s="2" t="str">
        <f aca="false">IF(AND(AD$4=$G461,AD$6=$F461),$B461,"")</f>
        <v/>
      </c>
      <c r="AE461" s="2" t="str">
        <f aca="false">IF(AND(AE$4=$G461,AE$6=$F461),$B461,"")</f>
        <v/>
      </c>
      <c r="AF461" s="2" t="str">
        <f aca="false">IF(AND(AF$4=$G461,AF$6=$F461),$B461,"")</f>
        <v/>
      </c>
      <c r="AG461" s="2" t="str">
        <f aca="false">IF(AND(AG$4=$G461,AG$6=$F461),$B461,"")</f>
        <v/>
      </c>
      <c r="AI461" s="366"/>
      <c r="AL461" s="367"/>
      <c r="AO461" s="367"/>
      <c r="AR461" s="1411"/>
      <c r="AT461" s="1422"/>
      <c r="AU461" s="1411"/>
      <c r="AV461" s="1411"/>
      <c r="AW461" s="1423"/>
      <c r="AX461" s="1423"/>
      <c r="AZ461" s="1503"/>
      <c r="BA461" s="1503"/>
      <c r="BB461" s="1503"/>
      <c r="BC461" s="1503"/>
      <c r="BD461" s="1503"/>
      <c r="BE461" s="1503"/>
      <c r="BF461" s="1503"/>
      <c r="BG461" s="1503"/>
      <c r="BH461" s="1504"/>
      <c r="BI461" s="1504"/>
      <c r="BJ461" s="1504"/>
      <c r="BK461" s="1504"/>
      <c r="BM461" s="1411"/>
      <c r="BN461" s="1411"/>
      <c r="BO461" s="1425"/>
      <c r="BP461" s="1425"/>
      <c r="BQ461" s="1425"/>
      <c r="BR461" s="1425"/>
      <c r="BS461" s="1411"/>
      <c r="BT461" s="1411"/>
      <c r="BU461" s="1411"/>
      <c r="BV461" s="1411"/>
      <c r="BW461" s="1411"/>
      <c r="BX461" s="1411"/>
      <c r="BZ461" s="1438"/>
      <c r="CA461" s="1438"/>
      <c r="CB461" s="1496"/>
      <c r="CC461" s="1496"/>
      <c r="CD461" s="1496"/>
      <c r="CE461" s="1496"/>
      <c r="CF461" s="1438"/>
      <c r="CG461" s="1438"/>
      <c r="CH461" s="1438"/>
      <c r="CI461" s="1438"/>
      <c r="CJ461" s="1438"/>
      <c r="CK461" s="1438"/>
      <c r="CU461" s="1411"/>
      <c r="CV461" s="1411"/>
      <c r="CW461" s="1425"/>
      <c r="CX461" s="1425"/>
      <c r="CY461" s="1425"/>
      <c r="CZ461" s="1425"/>
      <c r="DA461" s="1411"/>
      <c r="DB461" s="1411"/>
      <c r="DC461" s="1411"/>
      <c r="DD461" s="1411"/>
      <c r="DE461" s="1411"/>
      <c r="DF461" s="1411"/>
      <c r="DH461" s="1432"/>
      <c r="DI461" s="1432"/>
      <c r="DJ461" s="1437"/>
      <c r="DK461" s="1437"/>
      <c r="DL461" s="1437"/>
      <c r="DM461" s="1437"/>
      <c r="DN461" s="1432"/>
      <c r="DO461" s="1432"/>
      <c r="DP461" s="1432"/>
      <c r="DQ461" s="1432"/>
      <c r="DR461" s="1432"/>
      <c r="DS461" s="1432"/>
      <c r="DT461" s="1316"/>
      <c r="DU461" s="1433"/>
      <c r="DV461" s="1433"/>
      <c r="DW461" s="1433"/>
      <c r="DX461" s="1433"/>
      <c r="DY461" s="1433"/>
      <c r="DZ461" s="1433"/>
      <c r="EA461" s="1433"/>
      <c r="EB461" s="1433"/>
    </row>
    <row r="462" customFormat="false" ht="14.25" hidden="false" customHeight="false" outlineLevel="0" collapsed="false">
      <c r="A462" s="2" t="n">
        <f aca="false">'V_DATOS PAC_SGA'!CC457</f>
        <v>0</v>
      </c>
      <c r="B462" s="2" t="n">
        <f aca="false">IF(OR(A462=0,A462=""),0,IF(I462="IV",CONCATENATE('V_DATOS PAC_SGA'!CC457,"4")+0,CONCATENATE('V_DATOS PAC_SGA'!CC457,"0")+0))</f>
        <v>0</v>
      </c>
      <c r="C462" s="2" t="n">
        <f aca="false">'V_DATOS PAC_SGA'!CD457</f>
        <v>0</v>
      </c>
      <c r="D462" s="1409" t="n">
        <f aca="false">'V_DATOS PAC_SGA'!Y457</f>
        <v>0</v>
      </c>
      <c r="E462" s="1410" t="str">
        <f aca="false">IF('V_DATOS PAC_SGA'!AV457="","Regadio",'V_DATOS PAC_SGA'!AV457)</f>
        <v>Regadio</v>
      </c>
      <c r="F462" s="1411" t="n">
        <f aca="false">'V_DATOS PAC_SGA'!BK457</f>
        <v>0</v>
      </c>
      <c r="G462" s="1412" t="n">
        <f aca="false">'V_DATOS PAC_SGA'!AN457</f>
        <v>0</v>
      </c>
      <c r="H462" s="1413" t="str">
        <f aca="false">IF(B462&gt;0,VLOOKUP(B462,'O_MN, PE_UTA_UGM 2024'!E$3:O$419,10),"")</f>
        <v/>
      </c>
      <c r="I462" s="1359" t="str">
        <f aca="false">IF('V_DATOS PAC_SGA'!BV457="IV",'V_DATOS PAC_SGA'!BV457,"")</f>
        <v/>
      </c>
      <c r="J462" s="2" t="str">
        <f aca="false">IF($A462&gt;0,IF(AND(J$4=$G462,J$6=$F462),$D462*J$5,""),"")</f>
        <v/>
      </c>
      <c r="K462" s="2" t="str">
        <f aca="false">IF($A462&gt;0,IF(AND(K$4=$G462,K$6=$F462),$D462*K$5,""),"")</f>
        <v/>
      </c>
      <c r="L462" s="2" t="str">
        <f aca="false">IF($A462&gt;0,IF(AND(L$4=$G462,L$6=$F462),$D462*L$5,""),"")</f>
        <v/>
      </c>
      <c r="M462" s="2" t="str">
        <f aca="false">IF($A462&gt;0,IF(AND(M$4=$G462,M$6=$F462),$D462*M$5,""),"")</f>
        <v/>
      </c>
      <c r="N462" s="1508" t="n">
        <f aca="false">VLOOKUP(B462,'O_MN, PE_UTA_UGM 2024'!$E$2:$K$419,IF(G462&gt;1,6,7))</f>
        <v>0</v>
      </c>
      <c r="O462" s="1434" t="str">
        <f aca="false">IF($H462=O$4,$D462*$N462,"")</f>
        <v/>
      </c>
      <c r="P462" s="1435" t="str">
        <f aca="false">IF($H462=P$4,$D462*$N462,"")</f>
        <v/>
      </c>
      <c r="Q462" s="1435" t="str">
        <f aca="false">IF($H462=Q$4,$D462*$N462,"")</f>
        <v/>
      </c>
      <c r="R462" s="1435" t="str">
        <f aca="false">IF($H462=R$4,$D462*$N462,"")</f>
        <v/>
      </c>
      <c r="S462" s="1435" t="str">
        <f aca="false">IF($H462=S$4,$D462*$N462,"")</f>
        <v/>
      </c>
      <c r="T462" s="1435" t="str">
        <f aca="false">IF($H462=T$4,$D462*$N462,"")</f>
        <v/>
      </c>
      <c r="U462" s="1436" t="str">
        <f aca="false">IF($H462=U$4,$D462*$N462,"")</f>
        <v/>
      </c>
      <c r="V462" s="1472"/>
      <c r="W462" s="1471"/>
      <c r="X462" s="1471"/>
      <c r="Y462" s="1471"/>
      <c r="Z462" s="1471"/>
      <c r="AA462" s="1471"/>
      <c r="AB462" s="1473"/>
      <c r="AC462" s="1319"/>
      <c r="AD462" s="2" t="str">
        <f aca="false">IF(AND(AD$4=$G462,AD$6=$F462),$B462,"")</f>
        <v/>
      </c>
      <c r="AE462" s="2" t="str">
        <f aca="false">IF(AND(AE$4=$G462,AE$6=$F462),$B462,"")</f>
        <v/>
      </c>
      <c r="AF462" s="2" t="str">
        <f aca="false">IF(AND(AF$4=$G462,AF$6=$F462),$B462,"")</f>
        <v/>
      </c>
      <c r="AG462" s="2" t="str">
        <f aca="false">IF(AND(AG$4=$G462,AG$6=$F462),$B462,"")</f>
        <v/>
      </c>
      <c r="AI462" s="366"/>
      <c r="AL462" s="367"/>
      <c r="AO462" s="367"/>
      <c r="AR462" s="1411"/>
      <c r="AT462" s="1422"/>
      <c r="AU462" s="1411"/>
      <c r="AV462" s="1411"/>
      <c r="AW462" s="1423"/>
      <c r="AX462" s="1423"/>
      <c r="AZ462" s="1503"/>
      <c r="BA462" s="1503"/>
      <c r="BB462" s="1503"/>
      <c r="BC462" s="1503"/>
      <c r="BD462" s="1503"/>
      <c r="BE462" s="1503"/>
      <c r="BF462" s="1503"/>
      <c r="BG462" s="1503"/>
      <c r="BH462" s="1504"/>
      <c r="BI462" s="1504"/>
      <c r="BJ462" s="1504"/>
      <c r="BK462" s="1504"/>
      <c r="BM462" s="1411"/>
      <c r="BN462" s="1411"/>
      <c r="BO462" s="1425"/>
      <c r="BP462" s="1425"/>
      <c r="BQ462" s="1425"/>
      <c r="BR462" s="1425"/>
      <c r="BS462" s="1411"/>
      <c r="BT462" s="1411"/>
      <c r="BU462" s="1411"/>
      <c r="BV462" s="1411"/>
      <c r="BW462" s="1411"/>
      <c r="BX462" s="1411"/>
      <c r="BZ462" s="1438"/>
      <c r="CA462" s="1438"/>
      <c r="CB462" s="1496"/>
      <c r="CC462" s="1496"/>
      <c r="CD462" s="1496"/>
      <c r="CE462" s="1496"/>
      <c r="CF462" s="1438"/>
      <c r="CG462" s="1438"/>
      <c r="CH462" s="1438"/>
      <c r="CI462" s="1438"/>
      <c r="CJ462" s="1438"/>
      <c r="CK462" s="1438"/>
      <c r="CU462" s="1411"/>
      <c r="CV462" s="1411"/>
      <c r="CW462" s="1425"/>
      <c r="CX462" s="1425"/>
      <c r="CY462" s="1425"/>
      <c r="CZ462" s="1425"/>
      <c r="DA462" s="1411"/>
      <c r="DB462" s="1411"/>
      <c r="DC462" s="1411"/>
      <c r="DD462" s="1411"/>
      <c r="DE462" s="1411"/>
      <c r="DF462" s="1411"/>
      <c r="DH462" s="1432"/>
      <c r="DI462" s="1432"/>
      <c r="DJ462" s="1437"/>
      <c r="DK462" s="1437"/>
      <c r="DL462" s="1437"/>
      <c r="DM462" s="1437"/>
      <c r="DN462" s="1432"/>
      <c r="DO462" s="1432"/>
      <c r="DP462" s="1432"/>
      <c r="DQ462" s="1432"/>
      <c r="DR462" s="1432"/>
      <c r="DS462" s="1432"/>
      <c r="DT462" s="1316"/>
      <c r="DU462" s="1433"/>
      <c r="DV462" s="1433"/>
      <c r="DW462" s="1433"/>
      <c r="DX462" s="1433"/>
      <c r="DY462" s="1433"/>
      <c r="DZ462" s="1433"/>
      <c r="EA462" s="1433"/>
      <c r="EB462" s="1433"/>
    </row>
    <row r="463" customFormat="false" ht="14.25" hidden="false" customHeight="false" outlineLevel="0" collapsed="false">
      <c r="A463" s="2" t="n">
        <f aca="false">'V_DATOS PAC_SGA'!CC458</f>
        <v>0</v>
      </c>
      <c r="B463" s="2" t="n">
        <f aca="false">IF(OR(A463=0,A463=""),0,IF(I463="IV",CONCATENATE('V_DATOS PAC_SGA'!CC458,"4")+0,CONCATENATE('V_DATOS PAC_SGA'!CC458,"0")+0))</f>
        <v>0</v>
      </c>
      <c r="C463" s="2" t="n">
        <f aca="false">'V_DATOS PAC_SGA'!CD458</f>
        <v>0</v>
      </c>
      <c r="D463" s="1409" t="n">
        <f aca="false">'V_DATOS PAC_SGA'!Y458</f>
        <v>0</v>
      </c>
      <c r="E463" s="1410" t="str">
        <f aca="false">IF('V_DATOS PAC_SGA'!AV458="","Regadio",'V_DATOS PAC_SGA'!AV458)</f>
        <v>Regadio</v>
      </c>
      <c r="F463" s="1411" t="n">
        <f aca="false">'V_DATOS PAC_SGA'!BK458</f>
        <v>0</v>
      </c>
      <c r="G463" s="1412" t="n">
        <f aca="false">'V_DATOS PAC_SGA'!AN458</f>
        <v>0</v>
      </c>
      <c r="H463" s="1413" t="str">
        <f aca="false">IF(B463&gt;0,VLOOKUP(B463,'O_MN, PE_UTA_UGM 2024'!E$3:O$419,10),"")</f>
        <v/>
      </c>
      <c r="I463" s="1359" t="str">
        <f aca="false">IF('V_DATOS PAC_SGA'!BV458="IV",'V_DATOS PAC_SGA'!BV458,"")</f>
        <v/>
      </c>
      <c r="J463" s="2" t="str">
        <f aca="false">IF($A463&gt;0,IF(AND(J$4=$G463,J$6=$F463),$D463*J$5,""),"")</f>
        <v/>
      </c>
      <c r="K463" s="2" t="str">
        <f aca="false">IF($A463&gt;0,IF(AND(K$4=$G463,K$6=$F463),$D463*K$5,""),"")</f>
        <v/>
      </c>
      <c r="L463" s="2" t="str">
        <f aca="false">IF($A463&gt;0,IF(AND(L$4=$G463,L$6=$F463),$D463*L$5,""),"")</f>
        <v/>
      </c>
      <c r="M463" s="2" t="str">
        <f aca="false">IF($A463&gt;0,IF(AND(M$4=$G463,M$6=$F463),$D463*M$5,""),"")</f>
        <v/>
      </c>
      <c r="N463" s="1508" t="n">
        <f aca="false">VLOOKUP(B463,'O_MN, PE_UTA_UGM 2024'!$E$2:$K$419,IF(G463&gt;1,6,7))</f>
        <v>0</v>
      </c>
      <c r="O463" s="1434" t="str">
        <f aca="false">IF($H463=O$4,$D463*$N463,"")</f>
        <v/>
      </c>
      <c r="P463" s="1435" t="str">
        <f aca="false">IF($H463=P$4,$D463*$N463,"")</f>
        <v/>
      </c>
      <c r="Q463" s="1435" t="str">
        <f aca="false">IF($H463=Q$4,$D463*$N463,"")</f>
        <v/>
      </c>
      <c r="R463" s="1435" t="str">
        <f aca="false">IF($H463=R$4,$D463*$N463,"")</f>
        <v/>
      </c>
      <c r="S463" s="1435" t="str">
        <f aca="false">IF($H463=S$4,$D463*$N463,"")</f>
        <v/>
      </c>
      <c r="T463" s="1435" t="str">
        <f aca="false">IF($H463=T$4,$D463*$N463,"")</f>
        <v/>
      </c>
      <c r="U463" s="1436" t="str">
        <f aca="false">IF($H463=U$4,$D463*$N463,"")</f>
        <v/>
      </c>
      <c r="V463" s="1472"/>
      <c r="W463" s="1471"/>
      <c r="X463" s="1471"/>
      <c r="Y463" s="1471"/>
      <c r="Z463" s="1471"/>
      <c r="AA463" s="1471"/>
      <c r="AB463" s="1473"/>
      <c r="AC463" s="1319"/>
      <c r="AD463" s="2" t="str">
        <f aca="false">IF(AND(AD$4=$G463,AD$6=$F463),$B463,"")</f>
        <v/>
      </c>
      <c r="AE463" s="2" t="str">
        <f aca="false">IF(AND(AE$4=$G463,AE$6=$F463),$B463,"")</f>
        <v/>
      </c>
      <c r="AF463" s="2" t="str">
        <f aca="false">IF(AND(AF$4=$G463,AF$6=$F463),$B463,"")</f>
        <v/>
      </c>
      <c r="AG463" s="2" t="str">
        <f aca="false">IF(AND(AG$4=$G463,AG$6=$F463),$B463,"")</f>
        <v/>
      </c>
      <c r="AI463" s="366"/>
      <c r="AL463" s="367"/>
      <c r="AO463" s="367"/>
      <c r="AR463" s="1411"/>
      <c r="AT463" s="1422"/>
      <c r="AU463" s="1411"/>
      <c r="AV463" s="1411"/>
      <c r="AW463" s="1423"/>
      <c r="AX463" s="1423"/>
      <c r="AZ463" s="1503"/>
      <c r="BA463" s="1503"/>
      <c r="BB463" s="1503"/>
      <c r="BC463" s="1503"/>
      <c r="BD463" s="1503"/>
      <c r="BE463" s="1503"/>
      <c r="BF463" s="1503"/>
      <c r="BG463" s="1503"/>
      <c r="BH463" s="1504"/>
      <c r="BI463" s="1504"/>
      <c r="BJ463" s="1504"/>
      <c r="BK463" s="1504"/>
      <c r="BM463" s="1411"/>
      <c r="BN463" s="1411"/>
      <c r="BO463" s="1425"/>
      <c r="BP463" s="1425"/>
      <c r="BQ463" s="1425"/>
      <c r="BR463" s="1425"/>
      <c r="BS463" s="1411"/>
      <c r="BT463" s="1411"/>
      <c r="BU463" s="1411"/>
      <c r="BV463" s="1411"/>
      <c r="BW463" s="1411"/>
      <c r="BX463" s="1411"/>
      <c r="BZ463" s="1438"/>
      <c r="CA463" s="1438"/>
      <c r="CB463" s="1496"/>
      <c r="CC463" s="1496"/>
      <c r="CD463" s="1496"/>
      <c r="CE463" s="1496"/>
      <c r="CF463" s="1438"/>
      <c r="CG463" s="1438"/>
      <c r="CH463" s="1438"/>
      <c r="CI463" s="1438"/>
      <c r="CJ463" s="1438"/>
      <c r="CK463" s="1438"/>
      <c r="CU463" s="1411"/>
      <c r="CV463" s="1411"/>
      <c r="CW463" s="1425"/>
      <c r="CX463" s="1425"/>
      <c r="CY463" s="1425"/>
      <c r="CZ463" s="1425"/>
      <c r="DA463" s="1411"/>
      <c r="DB463" s="1411"/>
      <c r="DC463" s="1411"/>
      <c r="DD463" s="1411"/>
      <c r="DE463" s="1411"/>
      <c r="DF463" s="1411"/>
      <c r="DH463" s="1432"/>
      <c r="DI463" s="1432"/>
      <c r="DJ463" s="1437"/>
      <c r="DK463" s="1437"/>
      <c r="DL463" s="1437"/>
      <c r="DM463" s="1437"/>
      <c r="DN463" s="1432"/>
      <c r="DO463" s="1432"/>
      <c r="DP463" s="1432"/>
      <c r="DQ463" s="1432"/>
      <c r="DR463" s="1432"/>
      <c r="DS463" s="1432"/>
      <c r="DT463" s="1316"/>
      <c r="DU463" s="1433"/>
      <c r="DV463" s="1433"/>
      <c r="DW463" s="1433"/>
      <c r="DX463" s="1433"/>
      <c r="DY463" s="1433"/>
      <c r="DZ463" s="1433"/>
      <c r="EA463" s="1433"/>
      <c r="EB463" s="1433"/>
    </row>
    <row r="464" customFormat="false" ht="14.25" hidden="false" customHeight="false" outlineLevel="0" collapsed="false">
      <c r="A464" s="2" t="n">
        <f aca="false">'V_DATOS PAC_SGA'!CC459</f>
        <v>0</v>
      </c>
      <c r="B464" s="2" t="n">
        <f aca="false">IF(OR(A464=0,A464=""),0,IF(I464="IV",CONCATENATE('V_DATOS PAC_SGA'!CC459,"4")+0,CONCATENATE('V_DATOS PAC_SGA'!CC459,"0")+0))</f>
        <v>0</v>
      </c>
      <c r="C464" s="2" t="n">
        <f aca="false">'V_DATOS PAC_SGA'!CD459</f>
        <v>0</v>
      </c>
      <c r="D464" s="1409" t="n">
        <f aca="false">'V_DATOS PAC_SGA'!Y459</f>
        <v>0</v>
      </c>
      <c r="E464" s="1410" t="str">
        <f aca="false">IF('V_DATOS PAC_SGA'!AV459="","Regadio",'V_DATOS PAC_SGA'!AV459)</f>
        <v>Regadio</v>
      </c>
      <c r="F464" s="1411" t="n">
        <f aca="false">'V_DATOS PAC_SGA'!BK459</f>
        <v>0</v>
      </c>
      <c r="G464" s="1412" t="n">
        <f aca="false">'V_DATOS PAC_SGA'!AN459</f>
        <v>0</v>
      </c>
      <c r="H464" s="1413" t="str">
        <f aca="false">IF(B464&gt;0,VLOOKUP(B464,'O_MN, PE_UTA_UGM 2024'!E$3:O$419,10),"")</f>
        <v/>
      </c>
      <c r="I464" s="1359" t="str">
        <f aca="false">IF('V_DATOS PAC_SGA'!BV459="IV",'V_DATOS PAC_SGA'!BV459,"")</f>
        <v/>
      </c>
      <c r="J464" s="2" t="str">
        <f aca="false">IF($A464&gt;0,IF(AND(J$4=$G464,J$6=$F464),$D464*J$5,""),"")</f>
        <v/>
      </c>
      <c r="K464" s="2" t="str">
        <f aca="false">IF($A464&gt;0,IF(AND(K$4=$G464,K$6=$F464),$D464*K$5,""),"")</f>
        <v/>
      </c>
      <c r="L464" s="2" t="str">
        <f aca="false">IF($A464&gt;0,IF(AND(L$4=$G464,L$6=$F464),$D464*L$5,""),"")</f>
        <v/>
      </c>
      <c r="M464" s="2" t="str">
        <f aca="false">IF($A464&gt;0,IF(AND(M$4=$G464,M$6=$F464),$D464*M$5,""),"")</f>
        <v/>
      </c>
      <c r="N464" s="1508" t="n">
        <f aca="false">VLOOKUP(B464,'O_MN, PE_UTA_UGM 2024'!$E$2:$K$419,IF(G464&gt;1,6,7))</f>
        <v>0</v>
      </c>
      <c r="O464" s="1434" t="str">
        <f aca="false">IF($H464=O$4,$D464*$N464,"")</f>
        <v/>
      </c>
      <c r="P464" s="1435" t="str">
        <f aca="false">IF($H464=P$4,$D464*$N464,"")</f>
        <v/>
      </c>
      <c r="Q464" s="1435" t="str">
        <f aca="false">IF($H464=Q$4,$D464*$N464,"")</f>
        <v/>
      </c>
      <c r="R464" s="1435" t="str">
        <f aca="false">IF($H464=R$4,$D464*$N464,"")</f>
        <v/>
      </c>
      <c r="S464" s="1435" t="str">
        <f aca="false">IF($H464=S$4,$D464*$N464,"")</f>
        <v/>
      </c>
      <c r="T464" s="1435" t="str">
        <f aca="false">IF($H464=T$4,$D464*$N464,"")</f>
        <v/>
      </c>
      <c r="U464" s="1436" t="str">
        <f aca="false">IF($H464=U$4,$D464*$N464,"")</f>
        <v/>
      </c>
      <c r="V464" s="1472"/>
      <c r="W464" s="1471"/>
      <c r="X464" s="1471"/>
      <c r="Y464" s="1471"/>
      <c r="Z464" s="1471"/>
      <c r="AA464" s="1471"/>
      <c r="AB464" s="1473"/>
      <c r="AC464" s="1319"/>
      <c r="AD464" s="2" t="str">
        <f aca="false">IF(AND(AD$4=$G464,AD$6=$F464),$B464,"")</f>
        <v/>
      </c>
      <c r="AE464" s="2" t="str">
        <f aca="false">IF(AND(AE$4=$G464,AE$6=$F464),$B464,"")</f>
        <v/>
      </c>
      <c r="AF464" s="2" t="str">
        <f aca="false">IF(AND(AF$4=$G464,AF$6=$F464),$B464,"")</f>
        <v/>
      </c>
      <c r="AG464" s="2" t="str">
        <f aca="false">IF(AND(AG$4=$G464,AG$6=$F464),$B464,"")</f>
        <v/>
      </c>
      <c r="AI464" s="366"/>
      <c r="AL464" s="367"/>
      <c r="AO464" s="367"/>
      <c r="AR464" s="1411"/>
      <c r="AT464" s="1422"/>
      <c r="AU464" s="1411"/>
      <c r="AV464" s="1411"/>
      <c r="AW464" s="1423"/>
      <c r="AX464" s="1423"/>
      <c r="AZ464" s="1503"/>
      <c r="BA464" s="1503"/>
      <c r="BB464" s="1503"/>
      <c r="BC464" s="1503"/>
      <c r="BD464" s="1503"/>
      <c r="BE464" s="1503"/>
      <c r="BF464" s="1503"/>
      <c r="BG464" s="1503"/>
      <c r="BH464" s="1504"/>
      <c r="BI464" s="1504"/>
      <c r="BJ464" s="1504"/>
      <c r="BK464" s="1504"/>
      <c r="BM464" s="1411"/>
      <c r="BN464" s="1411"/>
      <c r="BO464" s="1425"/>
      <c r="BP464" s="1425"/>
      <c r="BQ464" s="1425"/>
      <c r="BR464" s="1425"/>
      <c r="BS464" s="1411"/>
      <c r="BT464" s="1411"/>
      <c r="BU464" s="1411"/>
      <c r="BV464" s="1411"/>
      <c r="BW464" s="1411"/>
      <c r="BX464" s="1411"/>
      <c r="BZ464" s="1438"/>
      <c r="CA464" s="1438"/>
      <c r="CB464" s="1496"/>
      <c r="CC464" s="1496"/>
      <c r="CD464" s="1496"/>
      <c r="CE464" s="1496"/>
      <c r="CF464" s="1438"/>
      <c r="CG464" s="1438"/>
      <c r="CH464" s="1438"/>
      <c r="CI464" s="1438"/>
      <c r="CJ464" s="1438"/>
      <c r="CK464" s="1438"/>
      <c r="CU464" s="1411"/>
      <c r="CV464" s="1411"/>
      <c r="CW464" s="1425"/>
      <c r="CX464" s="1425"/>
      <c r="CY464" s="1425"/>
      <c r="CZ464" s="1425"/>
      <c r="DA464" s="1411"/>
      <c r="DB464" s="1411"/>
      <c r="DC464" s="1411"/>
      <c r="DD464" s="1411"/>
      <c r="DE464" s="1411"/>
      <c r="DF464" s="1411"/>
      <c r="DH464" s="1432"/>
      <c r="DI464" s="1432"/>
      <c r="DJ464" s="1437"/>
      <c r="DK464" s="1437"/>
      <c r="DL464" s="1437"/>
      <c r="DM464" s="1437"/>
      <c r="DN464" s="1432"/>
      <c r="DO464" s="1432"/>
      <c r="DP464" s="1432"/>
      <c r="DQ464" s="1432"/>
      <c r="DR464" s="1432"/>
      <c r="DS464" s="1432"/>
      <c r="DT464" s="1316"/>
      <c r="DU464" s="1433"/>
      <c r="DV464" s="1433"/>
      <c r="DW464" s="1433"/>
      <c r="DX464" s="1433"/>
      <c r="DY464" s="1433"/>
      <c r="DZ464" s="1433"/>
      <c r="EA464" s="1433"/>
      <c r="EB464" s="1433"/>
    </row>
    <row r="465" customFormat="false" ht="14.25" hidden="false" customHeight="false" outlineLevel="0" collapsed="false">
      <c r="A465" s="2" t="n">
        <f aca="false">'V_DATOS PAC_SGA'!CC460</f>
        <v>0</v>
      </c>
      <c r="B465" s="2" t="n">
        <f aca="false">IF(OR(A465=0,A465=""),0,IF(I465="IV",CONCATENATE('V_DATOS PAC_SGA'!CC460,"4")+0,CONCATENATE('V_DATOS PAC_SGA'!CC460,"0")+0))</f>
        <v>0</v>
      </c>
      <c r="C465" s="2" t="n">
        <f aca="false">'V_DATOS PAC_SGA'!CD460</f>
        <v>0</v>
      </c>
      <c r="D465" s="1409" t="n">
        <f aca="false">'V_DATOS PAC_SGA'!Y460</f>
        <v>0</v>
      </c>
      <c r="E465" s="1410" t="str">
        <f aca="false">IF('V_DATOS PAC_SGA'!AV460="","Regadio",'V_DATOS PAC_SGA'!AV460)</f>
        <v>Regadio</v>
      </c>
      <c r="F465" s="1411" t="n">
        <f aca="false">'V_DATOS PAC_SGA'!BK460</f>
        <v>0</v>
      </c>
      <c r="G465" s="1412" t="n">
        <f aca="false">'V_DATOS PAC_SGA'!AN460</f>
        <v>0</v>
      </c>
      <c r="H465" s="1413" t="str">
        <f aca="false">IF(B465&gt;0,VLOOKUP(B465,'O_MN, PE_UTA_UGM 2024'!E$3:O$419,10),"")</f>
        <v/>
      </c>
      <c r="I465" s="1359" t="str">
        <f aca="false">IF('V_DATOS PAC_SGA'!BV460="IV",'V_DATOS PAC_SGA'!BV460,"")</f>
        <v/>
      </c>
      <c r="J465" s="2" t="str">
        <f aca="false">IF($A465&gt;0,IF(AND(J$4=$G465,J$6=$F465),$D465*J$5,""),"")</f>
        <v/>
      </c>
      <c r="K465" s="2" t="str">
        <f aca="false">IF($A465&gt;0,IF(AND(K$4=$G465,K$6=$F465),$D465*K$5,""),"")</f>
        <v/>
      </c>
      <c r="L465" s="2" t="str">
        <f aca="false">IF($A465&gt;0,IF(AND(L$4=$G465,L$6=$F465),$D465*L$5,""),"")</f>
        <v/>
      </c>
      <c r="M465" s="2" t="str">
        <f aca="false">IF($A465&gt;0,IF(AND(M$4=$G465,M$6=$F465),$D465*M$5,""),"")</f>
        <v/>
      </c>
      <c r="N465" s="1508" t="n">
        <f aca="false">VLOOKUP(B465,'O_MN, PE_UTA_UGM 2024'!$E$2:$K$419,IF(G465&gt;1,6,7))</f>
        <v>0</v>
      </c>
      <c r="O465" s="1434" t="str">
        <f aca="false">IF($H465=O$4,$D465*$N465,"")</f>
        <v/>
      </c>
      <c r="P465" s="1435" t="str">
        <f aca="false">IF($H465=P$4,$D465*$N465,"")</f>
        <v/>
      </c>
      <c r="Q465" s="1435" t="str">
        <f aca="false">IF($H465=Q$4,$D465*$N465,"")</f>
        <v/>
      </c>
      <c r="R465" s="1435" t="str">
        <f aca="false">IF($H465=R$4,$D465*$N465,"")</f>
        <v/>
      </c>
      <c r="S465" s="1435" t="str">
        <f aca="false">IF($H465=S$4,$D465*$N465,"")</f>
        <v/>
      </c>
      <c r="T465" s="1435" t="str">
        <f aca="false">IF($H465=T$4,$D465*$N465,"")</f>
        <v/>
      </c>
      <c r="U465" s="1436" t="str">
        <f aca="false">IF($H465=U$4,$D465*$N465,"")</f>
        <v/>
      </c>
      <c r="V465" s="1472"/>
      <c r="W465" s="1471"/>
      <c r="X465" s="1471"/>
      <c r="Y465" s="1471"/>
      <c r="Z465" s="1471"/>
      <c r="AA465" s="1471"/>
      <c r="AB465" s="1473"/>
      <c r="AC465" s="1319"/>
      <c r="AD465" s="2" t="str">
        <f aca="false">IF(AND(AD$4=$G465,AD$6=$F465),$B465,"")</f>
        <v/>
      </c>
      <c r="AE465" s="2" t="str">
        <f aca="false">IF(AND(AE$4=$G465,AE$6=$F465),$B465,"")</f>
        <v/>
      </c>
      <c r="AF465" s="2" t="str">
        <f aca="false">IF(AND(AF$4=$G465,AF$6=$F465),$B465,"")</f>
        <v/>
      </c>
      <c r="AG465" s="2" t="str">
        <f aca="false">IF(AND(AG$4=$G465,AG$6=$F465),$B465,"")</f>
        <v/>
      </c>
      <c r="AI465" s="366"/>
      <c r="AL465" s="367"/>
      <c r="AO465" s="367"/>
      <c r="AR465" s="1411"/>
      <c r="AT465" s="1422"/>
      <c r="AU465" s="1411"/>
      <c r="AV465" s="1411"/>
      <c r="AW465" s="1423"/>
      <c r="AX465" s="1423"/>
      <c r="AZ465" s="1503"/>
      <c r="BA465" s="1503"/>
      <c r="BB465" s="1503"/>
      <c r="BC465" s="1503"/>
      <c r="BD465" s="1503"/>
      <c r="BE465" s="1503"/>
      <c r="BF465" s="1503"/>
      <c r="BG465" s="1503"/>
      <c r="BH465" s="1504"/>
      <c r="BI465" s="1504"/>
      <c r="BJ465" s="1504"/>
      <c r="BK465" s="1504"/>
      <c r="BM465" s="1411"/>
      <c r="BN465" s="1411"/>
      <c r="BO465" s="1425"/>
      <c r="BP465" s="1425"/>
      <c r="BQ465" s="1425"/>
      <c r="BR465" s="1425"/>
      <c r="BS465" s="1411"/>
      <c r="BT465" s="1411"/>
      <c r="BU465" s="1411"/>
      <c r="BV465" s="1411"/>
      <c r="BW465" s="1411"/>
      <c r="BX465" s="1411"/>
      <c r="BZ465" s="1438"/>
      <c r="CA465" s="1438"/>
      <c r="CB465" s="1496"/>
      <c r="CC465" s="1496"/>
      <c r="CD465" s="1496"/>
      <c r="CE465" s="1496"/>
      <c r="CF465" s="1438"/>
      <c r="CG465" s="1438"/>
      <c r="CH465" s="1438"/>
      <c r="CI465" s="1438"/>
      <c r="CJ465" s="1438"/>
      <c r="CK465" s="1438"/>
      <c r="CU465" s="1411"/>
      <c r="CV465" s="1411"/>
      <c r="CW465" s="1425"/>
      <c r="CX465" s="1425"/>
      <c r="CY465" s="1425"/>
      <c r="CZ465" s="1425"/>
      <c r="DA465" s="1411"/>
      <c r="DB465" s="1411"/>
      <c r="DC465" s="1411"/>
      <c r="DD465" s="1411"/>
      <c r="DE465" s="1411"/>
      <c r="DF465" s="1411"/>
      <c r="DH465" s="1432"/>
      <c r="DI465" s="1432"/>
      <c r="DJ465" s="1437"/>
      <c r="DK465" s="1437"/>
      <c r="DL465" s="1437"/>
      <c r="DM465" s="1437"/>
      <c r="DN465" s="1432"/>
      <c r="DO465" s="1432"/>
      <c r="DP465" s="1432"/>
      <c r="DQ465" s="1432"/>
      <c r="DR465" s="1432"/>
      <c r="DS465" s="1432"/>
      <c r="DT465" s="1316"/>
      <c r="DU465" s="1433"/>
      <c r="DV465" s="1433"/>
      <c r="DW465" s="1433"/>
      <c r="DX465" s="1433"/>
      <c r="DY465" s="1433"/>
      <c r="DZ465" s="1433"/>
      <c r="EA465" s="1433"/>
      <c r="EB465" s="1433"/>
    </row>
    <row r="466" customFormat="false" ht="14.25" hidden="false" customHeight="false" outlineLevel="0" collapsed="false">
      <c r="A466" s="2" t="n">
        <f aca="false">'V_DATOS PAC_SGA'!CC461</f>
        <v>0</v>
      </c>
      <c r="B466" s="2" t="n">
        <f aca="false">IF(OR(A466=0,A466=""),0,IF(I466="IV",CONCATENATE('V_DATOS PAC_SGA'!CC461,"4")+0,CONCATENATE('V_DATOS PAC_SGA'!CC461,"0")+0))</f>
        <v>0</v>
      </c>
      <c r="C466" s="2" t="n">
        <f aca="false">'V_DATOS PAC_SGA'!CD461</f>
        <v>0</v>
      </c>
      <c r="D466" s="1409" t="n">
        <f aca="false">'V_DATOS PAC_SGA'!Y461</f>
        <v>0</v>
      </c>
      <c r="E466" s="1410" t="str">
        <f aca="false">IF('V_DATOS PAC_SGA'!AV461="","Regadio",'V_DATOS PAC_SGA'!AV461)</f>
        <v>Regadio</v>
      </c>
      <c r="F466" s="1411" t="n">
        <f aca="false">'V_DATOS PAC_SGA'!BK461</f>
        <v>0</v>
      </c>
      <c r="G466" s="1412" t="n">
        <f aca="false">'V_DATOS PAC_SGA'!AN461</f>
        <v>0</v>
      </c>
      <c r="H466" s="1413" t="str">
        <f aca="false">IF(B466&gt;0,VLOOKUP(B466,'O_MN, PE_UTA_UGM 2024'!E$3:O$419,10),"")</f>
        <v/>
      </c>
      <c r="I466" s="1359" t="str">
        <f aca="false">IF('V_DATOS PAC_SGA'!BV461="IV",'V_DATOS PAC_SGA'!BV461,"")</f>
        <v/>
      </c>
      <c r="J466" s="2" t="str">
        <f aca="false">IF($A466&gt;0,IF(AND(J$4=$G466,J$6=$F466),$D466*J$5,""),"")</f>
        <v/>
      </c>
      <c r="K466" s="2" t="str">
        <f aca="false">IF($A466&gt;0,IF(AND(K$4=$G466,K$6=$F466),$D466*K$5,""),"")</f>
        <v/>
      </c>
      <c r="L466" s="2" t="str">
        <f aca="false">IF($A466&gt;0,IF(AND(L$4=$G466,L$6=$F466),$D466*L$5,""),"")</f>
        <v/>
      </c>
      <c r="M466" s="2" t="str">
        <f aca="false">IF($A466&gt;0,IF(AND(M$4=$G466,M$6=$F466),$D466*M$5,""),"")</f>
        <v/>
      </c>
      <c r="N466" s="1508" t="n">
        <f aca="false">VLOOKUP(B466,'O_MN, PE_UTA_UGM 2024'!$E$2:$K$419,IF(G466&gt;1,6,7))</f>
        <v>0</v>
      </c>
      <c r="O466" s="1434" t="str">
        <f aca="false">IF($H466=O$4,$D466*$N466,"")</f>
        <v/>
      </c>
      <c r="P466" s="1435" t="str">
        <f aca="false">IF($H466=P$4,$D466*$N466,"")</f>
        <v/>
      </c>
      <c r="Q466" s="1435" t="str">
        <f aca="false">IF($H466=Q$4,$D466*$N466,"")</f>
        <v/>
      </c>
      <c r="R466" s="1435" t="str">
        <f aca="false">IF($H466=R$4,$D466*$N466,"")</f>
        <v/>
      </c>
      <c r="S466" s="1435" t="str">
        <f aca="false">IF($H466=S$4,$D466*$N466,"")</f>
        <v/>
      </c>
      <c r="T466" s="1435" t="str">
        <f aca="false">IF($H466=T$4,$D466*$N466,"")</f>
        <v/>
      </c>
      <c r="U466" s="1436" t="str">
        <f aca="false">IF($H466=U$4,$D466*$N466,"")</f>
        <v/>
      </c>
      <c r="V466" s="1472"/>
      <c r="W466" s="1471"/>
      <c r="X466" s="1471"/>
      <c r="Y466" s="1471"/>
      <c r="Z466" s="1471"/>
      <c r="AA466" s="1471"/>
      <c r="AB466" s="1473"/>
      <c r="AC466" s="1319"/>
      <c r="AD466" s="2" t="str">
        <f aca="false">IF(AND(AD$4=$G466,AD$6=$F466),$B466,"")</f>
        <v/>
      </c>
      <c r="AE466" s="2" t="str">
        <f aca="false">IF(AND(AE$4=$G466,AE$6=$F466),$B466,"")</f>
        <v/>
      </c>
      <c r="AF466" s="2" t="str">
        <f aca="false">IF(AND(AF$4=$G466,AF$6=$F466),$B466,"")</f>
        <v/>
      </c>
      <c r="AG466" s="2" t="str">
        <f aca="false">IF(AND(AG$4=$G466,AG$6=$F466),$B466,"")</f>
        <v/>
      </c>
      <c r="AI466" s="366"/>
      <c r="AL466" s="367"/>
      <c r="AO466" s="367"/>
      <c r="AR466" s="1411"/>
      <c r="AT466" s="1422"/>
      <c r="AU466" s="1411"/>
      <c r="AV466" s="1411"/>
      <c r="AW466" s="1423"/>
      <c r="AX466" s="1423"/>
      <c r="AZ466" s="1503"/>
      <c r="BA466" s="1503"/>
      <c r="BB466" s="1503"/>
      <c r="BC466" s="1503"/>
      <c r="BD466" s="1503"/>
      <c r="BE466" s="1503"/>
      <c r="BF466" s="1503"/>
      <c r="BG466" s="1503"/>
      <c r="BH466" s="1504"/>
      <c r="BI466" s="1504"/>
      <c r="BJ466" s="1504"/>
      <c r="BK466" s="1504"/>
      <c r="BM466" s="1411"/>
      <c r="BN466" s="1411"/>
      <c r="BO466" s="1425"/>
      <c r="BP466" s="1425"/>
      <c r="BQ466" s="1425"/>
      <c r="BR466" s="1425"/>
      <c r="BS466" s="1411"/>
      <c r="BT466" s="1411"/>
      <c r="BU466" s="1411"/>
      <c r="BV466" s="1411"/>
      <c r="BW466" s="1411"/>
      <c r="BX466" s="1411"/>
      <c r="BZ466" s="1438"/>
      <c r="CA466" s="1438"/>
      <c r="CB466" s="1496"/>
      <c r="CC466" s="1496"/>
      <c r="CD466" s="1496"/>
      <c r="CE466" s="1496"/>
      <c r="CF466" s="1438"/>
      <c r="CG466" s="1438"/>
      <c r="CH466" s="1438"/>
      <c r="CI466" s="1438"/>
      <c r="CJ466" s="1438"/>
      <c r="CK466" s="1438"/>
      <c r="CU466" s="1411"/>
      <c r="CV466" s="1411"/>
      <c r="CW466" s="1425"/>
      <c r="CX466" s="1425"/>
      <c r="CY466" s="1425"/>
      <c r="CZ466" s="1425"/>
      <c r="DA466" s="1411"/>
      <c r="DB466" s="1411"/>
      <c r="DC466" s="1411"/>
      <c r="DD466" s="1411"/>
      <c r="DE466" s="1411"/>
      <c r="DF466" s="1411"/>
      <c r="DH466" s="1432"/>
      <c r="DI466" s="1432"/>
      <c r="DJ466" s="1437"/>
      <c r="DK466" s="1437"/>
      <c r="DL466" s="1437"/>
      <c r="DM466" s="1437"/>
      <c r="DN466" s="1432"/>
      <c r="DO466" s="1432"/>
      <c r="DP466" s="1432"/>
      <c r="DQ466" s="1432"/>
      <c r="DR466" s="1432"/>
      <c r="DS466" s="1432"/>
      <c r="DT466" s="1316"/>
      <c r="DU466" s="1433"/>
      <c r="DV466" s="1433"/>
      <c r="DW466" s="1433"/>
      <c r="DX466" s="1433"/>
      <c r="DY466" s="1433"/>
      <c r="DZ466" s="1433"/>
      <c r="EA466" s="1433"/>
      <c r="EB466" s="1433"/>
    </row>
    <row r="467" customFormat="false" ht="14.25" hidden="false" customHeight="false" outlineLevel="0" collapsed="false">
      <c r="A467" s="2" t="n">
        <f aca="false">'V_DATOS PAC_SGA'!CC462</f>
        <v>0</v>
      </c>
      <c r="B467" s="2" t="n">
        <f aca="false">IF(OR(A467=0,A467=""),0,IF(I467="IV",CONCATENATE('V_DATOS PAC_SGA'!CC462,"4")+0,CONCATENATE('V_DATOS PAC_SGA'!CC462,"0")+0))</f>
        <v>0</v>
      </c>
      <c r="C467" s="2" t="n">
        <f aca="false">'V_DATOS PAC_SGA'!CD462</f>
        <v>0</v>
      </c>
      <c r="D467" s="1409" t="n">
        <f aca="false">'V_DATOS PAC_SGA'!Y462</f>
        <v>0</v>
      </c>
      <c r="E467" s="1410" t="str">
        <f aca="false">IF('V_DATOS PAC_SGA'!AV462="","Regadio",'V_DATOS PAC_SGA'!AV462)</f>
        <v>Regadio</v>
      </c>
      <c r="F467" s="1411" t="n">
        <f aca="false">'V_DATOS PAC_SGA'!BK462</f>
        <v>0</v>
      </c>
      <c r="G467" s="1412" t="n">
        <f aca="false">'V_DATOS PAC_SGA'!AN462</f>
        <v>0</v>
      </c>
      <c r="H467" s="1413" t="str">
        <f aca="false">IF(B467&gt;0,VLOOKUP(B467,'O_MN, PE_UTA_UGM 2024'!E$3:O$419,10),"")</f>
        <v/>
      </c>
      <c r="I467" s="1359" t="str">
        <f aca="false">IF('V_DATOS PAC_SGA'!BV462="IV",'V_DATOS PAC_SGA'!BV462,"")</f>
        <v/>
      </c>
      <c r="J467" s="2" t="str">
        <f aca="false">IF($A467&gt;0,IF(AND(J$4=$G467,J$6=$F467),$D467*J$5,""),"")</f>
        <v/>
      </c>
      <c r="K467" s="2" t="str">
        <f aca="false">IF($A467&gt;0,IF(AND(K$4=$G467,K$6=$F467),$D467*K$5,""),"")</f>
        <v/>
      </c>
      <c r="L467" s="2" t="str">
        <f aca="false">IF($A467&gt;0,IF(AND(L$4=$G467,L$6=$F467),$D467*L$5,""),"")</f>
        <v/>
      </c>
      <c r="M467" s="2" t="str">
        <f aca="false">IF($A467&gt;0,IF(AND(M$4=$G467,M$6=$F467),$D467*M$5,""),"")</f>
        <v/>
      </c>
      <c r="N467" s="1508" t="n">
        <f aca="false">VLOOKUP(B467,'O_MN, PE_UTA_UGM 2024'!$E$2:$K$419,IF(G467&gt;1,6,7))</f>
        <v>0</v>
      </c>
      <c r="O467" s="1434" t="str">
        <f aca="false">IF($H467=O$4,$D467*$N467,"")</f>
        <v/>
      </c>
      <c r="P467" s="1435" t="str">
        <f aca="false">IF($H467=P$4,$D467*$N467,"")</f>
        <v/>
      </c>
      <c r="Q467" s="1435" t="str">
        <f aca="false">IF($H467=Q$4,$D467*$N467,"")</f>
        <v/>
      </c>
      <c r="R467" s="1435" t="str">
        <f aca="false">IF($H467=R$4,$D467*$N467,"")</f>
        <v/>
      </c>
      <c r="S467" s="1435" t="str">
        <f aca="false">IF($H467=S$4,$D467*$N467,"")</f>
        <v/>
      </c>
      <c r="T467" s="1435" t="str">
        <f aca="false">IF($H467=T$4,$D467*$N467,"")</f>
        <v/>
      </c>
      <c r="U467" s="1436" t="str">
        <f aca="false">IF($H467=U$4,$D467*$N467,"")</f>
        <v/>
      </c>
      <c r="V467" s="1472"/>
      <c r="W467" s="1471"/>
      <c r="X467" s="1471"/>
      <c r="Y467" s="1471"/>
      <c r="Z467" s="1471"/>
      <c r="AA467" s="1471"/>
      <c r="AB467" s="1473"/>
      <c r="AC467" s="1319"/>
      <c r="AD467" s="2" t="str">
        <f aca="false">IF(AND(AD$4=$G467,AD$6=$F467),$B467,"")</f>
        <v/>
      </c>
      <c r="AE467" s="2" t="str">
        <f aca="false">IF(AND(AE$4=$G467,AE$6=$F467),$B467,"")</f>
        <v/>
      </c>
      <c r="AF467" s="2" t="str">
        <f aca="false">IF(AND(AF$4=$G467,AF$6=$F467),$B467,"")</f>
        <v/>
      </c>
      <c r="AG467" s="2" t="str">
        <f aca="false">IF(AND(AG$4=$G467,AG$6=$F467),$B467,"")</f>
        <v/>
      </c>
      <c r="AI467" s="366"/>
      <c r="AL467" s="367"/>
      <c r="AO467" s="367"/>
      <c r="AR467" s="1411"/>
      <c r="AT467" s="1422"/>
      <c r="AU467" s="1411"/>
      <c r="AV467" s="1411"/>
      <c r="AW467" s="1423"/>
      <c r="AX467" s="1423"/>
      <c r="AZ467" s="1503"/>
      <c r="BA467" s="1503"/>
      <c r="BB467" s="1503"/>
      <c r="BC467" s="1503"/>
      <c r="BD467" s="1503"/>
      <c r="BE467" s="1503"/>
      <c r="BF467" s="1503"/>
      <c r="BG467" s="1503"/>
      <c r="BH467" s="1504"/>
      <c r="BI467" s="1504"/>
      <c r="BJ467" s="1504"/>
      <c r="BK467" s="1504"/>
      <c r="BM467" s="1411"/>
      <c r="BN467" s="1411"/>
      <c r="BO467" s="1425"/>
      <c r="BP467" s="1425"/>
      <c r="BQ467" s="1425"/>
      <c r="BR467" s="1425"/>
      <c r="BS467" s="1411"/>
      <c r="BT467" s="1411"/>
      <c r="BU467" s="1411"/>
      <c r="BV467" s="1411"/>
      <c r="BW467" s="1411"/>
      <c r="BX467" s="1411"/>
      <c r="BZ467" s="1438"/>
      <c r="CA467" s="1438"/>
      <c r="CB467" s="1496"/>
      <c r="CC467" s="1496"/>
      <c r="CD467" s="1496"/>
      <c r="CE467" s="1496"/>
      <c r="CF467" s="1438"/>
      <c r="CG467" s="1438"/>
      <c r="CH467" s="1438"/>
      <c r="CI467" s="1438"/>
      <c r="CJ467" s="1438"/>
      <c r="CK467" s="1438"/>
      <c r="CU467" s="1411"/>
      <c r="CV467" s="1411"/>
      <c r="CW467" s="1425"/>
      <c r="CX467" s="1425"/>
      <c r="CY467" s="1425"/>
      <c r="CZ467" s="1425"/>
      <c r="DA467" s="1411"/>
      <c r="DB467" s="1411"/>
      <c r="DC467" s="1411"/>
      <c r="DD467" s="1411"/>
      <c r="DE467" s="1411"/>
      <c r="DF467" s="1411"/>
      <c r="DH467" s="1432"/>
      <c r="DI467" s="1432"/>
      <c r="DJ467" s="1437"/>
      <c r="DK467" s="1437"/>
      <c r="DL467" s="1437"/>
      <c r="DM467" s="1437"/>
      <c r="DN467" s="1432"/>
      <c r="DO467" s="1432"/>
      <c r="DP467" s="1432"/>
      <c r="DQ467" s="1432"/>
      <c r="DR467" s="1432"/>
      <c r="DS467" s="1432"/>
      <c r="DT467" s="1316"/>
      <c r="DU467" s="1433"/>
      <c r="DV467" s="1433"/>
      <c r="DW467" s="1433"/>
      <c r="DX467" s="1433"/>
      <c r="DY467" s="1433"/>
      <c r="DZ467" s="1433"/>
      <c r="EA467" s="1433"/>
      <c r="EB467" s="1433"/>
    </row>
    <row r="468" customFormat="false" ht="14.25" hidden="false" customHeight="false" outlineLevel="0" collapsed="false">
      <c r="A468" s="2" t="n">
        <f aca="false">'V_DATOS PAC_SGA'!CC463</f>
        <v>0</v>
      </c>
      <c r="B468" s="2" t="n">
        <f aca="false">IF(OR(A468=0,A468=""),0,IF(I468="IV",CONCATENATE('V_DATOS PAC_SGA'!CC463,"4")+0,CONCATENATE('V_DATOS PAC_SGA'!CC463,"0")+0))</f>
        <v>0</v>
      </c>
      <c r="C468" s="2" t="n">
        <f aca="false">'V_DATOS PAC_SGA'!CD463</f>
        <v>0</v>
      </c>
      <c r="D468" s="1409" t="n">
        <f aca="false">'V_DATOS PAC_SGA'!Y463</f>
        <v>0</v>
      </c>
      <c r="E468" s="1410" t="str">
        <f aca="false">IF('V_DATOS PAC_SGA'!AV463="","Regadio",'V_DATOS PAC_SGA'!AV463)</f>
        <v>Regadio</v>
      </c>
      <c r="F468" s="1411" t="n">
        <f aca="false">'V_DATOS PAC_SGA'!BK463</f>
        <v>0</v>
      </c>
      <c r="G468" s="1412" t="n">
        <f aca="false">'V_DATOS PAC_SGA'!AN463</f>
        <v>0</v>
      </c>
      <c r="H468" s="1413" t="str">
        <f aca="false">IF(B468&gt;0,VLOOKUP(B468,'O_MN, PE_UTA_UGM 2024'!E$3:O$419,10),"")</f>
        <v/>
      </c>
      <c r="I468" s="1359" t="str">
        <f aca="false">IF('V_DATOS PAC_SGA'!BV463="IV",'V_DATOS PAC_SGA'!BV463,"")</f>
        <v/>
      </c>
      <c r="J468" s="2" t="str">
        <f aca="false">IF($A468&gt;0,IF(AND(J$4=$G468,J$6=$F468),$D468*J$5,""),"")</f>
        <v/>
      </c>
      <c r="K468" s="2" t="str">
        <f aca="false">IF($A468&gt;0,IF(AND(K$4=$G468,K$6=$F468),$D468*K$5,""),"")</f>
        <v/>
      </c>
      <c r="L468" s="2" t="str">
        <f aca="false">IF($A468&gt;0,IF(AND(L$4=$G468,L$6=$F468),$D468*L$5,""),"")</f>
        <v/>
      </c>
      <c r="M468" s="2" t="str">
        <f aca="false">IF($A468&gt;0,IF(AND(M$4=$G468,M$6=$F468),$D468*M$5,""),"")</f>
        <v/>
      </c>
      <c r="N468" s="1508" t="n">
        <f aca="false">VLOOKUP(B468,'O_MN, PE_UTA_UGM 2024'!$E$2:$K$419,IF(G468&gt;1,6,7))</f>
        <v>0</v>
      </c>
      <c r="O468" s="1434" t="str">
        <f aca="false">IF($H468=O$4,$D468*$N468,"")</f>
        <v/>
      </c>
      <c r="P468" s="1435" t="str">
        <f aca="false">IF($H468=P$4,$D468*$N468,"")</f>
        <v/>
      </c>
      <c r="Q468" s="1435" t="str">
        <f aca="false">IF($H468=Q$4,$D468*$N468,"")</f>
        <v/>
      </c>
      <c r="R468" s="1435" t="str">
        <f aca="false">IF($H468=R$4,$D468*$N468,"")</f>
        <v/>
      </c>
      <c r="S468" s="1435" t="str">
        <f aca="false">IF($H468=S$4,$D468*$N468,"")</f>
        <v/>
      </c>
      <c r="T468" s="1435" t="str">
        <f aca="false">IF($H468=T$4,$D468*$N468,"")</f>
        <v/>
      </c>
      <c r="U468" s="1436" t="str">
        <f aca="false">IF($H468=U$4,$D468*$N468,"")</f>
        <v/>
      </c>
      <c r="V468" s="1472"/>
      <c r="W468" s="1471"/>
      <c r="X468" s="1471"/>
      <c r="Y468" s="1471"/>
      <c r="Z468" s="1471"/>
      <c r="AA468" s="1471"/>
      <c r="AB468" s="1473"/>
      <c r="AC468" s="1319"/>
      <c r="AD468" s="2" t="str">
        <f aca="false">IF(AND(AD$4=$G468,AD$6=$F468),$B468,"")</f>
        <v/>
      </c>
      <c r="AE468" s="2" t="str">
        <f aca="false">IF(AND(AE$4=$G468,AE$6=$F468),$B468,"")</f>
        <v/>
      </c>
      <c r="AF468" s="2" t="str">
        <f aca="false">IF(AND(AF$4=$G468,AF$6=$F468),$B468,"")</f>
        <v/>
      </c>
      <c r="AG468" s="2" t="str">
        <f aca="false">IF(AND(AG$4=$G468,AG$6=$F468),$B468,"")</f>
        <v/>
      </c>
      <c r="AI468" s="366"/>
      <c r="AL468" s="367"/>
      <c r="AO468" s="367"/>
      <c r="AR468" s="1411"/>
      <c r="AT468" s="1422"/>
      <c r="AU468" s="1411"/>
      <c r="AV468" s="1411"/>
      <c r="AW468" s="1423"/>
      <c r="AX468" s="1423"/>
      <c r="AZ468" s="1503"/>
      <c r="BA468" s="1503"/>
      <c r="BB468" s="1503"/>
      <c r="BC468" s="1503"/>
      <c r="BD468" s="1503"/>
      <c r="BE468" s="1503"/>
      <c r="BF468" s="1503"/>
      <c r="BG468" s="1503"/>
      <c r="BH468" s="1504"/>
      <c r="BI468" s="1504"/>
      <c r="BJ468" s="1504"/>
      <c r="BK468" s="1504"/>
      <c r="BM468" s="1411"/>
      <c r="BN468" s="1411"/>
      <c r="BO468" s="1425"/>
      <c r="BP468" s="1425"/>
      <c r="BQ468" s="1425"/>
      <c r="BR468" s="1425"/>
      <c r="BS468" s="1411"/>
      <c r="BT468" s="1411"/>
      <c r="BU468" s="1411"/>
      <c r="BV468" s="1411"/>
      <c r="BW468" s="1411"/>
      <c r="BX468" s="1411"/>
      <c r="BZ468" s="1438"/>
      <c r="CA468" s="1438"/>
      <c r="CB468" s="1496"/>
      <c r="CC468" s="1496"/>
      <c r="CD468" s="1496"/>
      <c r="CE468" s="1496"/>
      <c r="CF468" s="1438"/>
      <c r="CG468" s="1438"/>
      <c r="CH468" s="1438"/>
      <c r="CI468" s="1438"/>
      <c r="CJ468" s="1438"/>
      <c r="CK468" s="1438"/>
      <c r="CU468" s="1411"/>
      <c r="CV468" s="1411"/>
      <c r="CW468" s="1425"/>
      <c r="CX468" s="1425"/>
      <c r="CY468" s="1425"/>
      <c r="CZ468" s="1425"/>
      <c r="DA468" s="1411"/>
      <c r="DB468" s="1411"/>
      <c r="DC468" s="1411"/>
      <c r="DD468" s="1411"/>
      <c r="DE468" s="1411"/>
      <c r="DF468" s="1411"/>
      <c r="DH468" s="1432"/>
      <c r="DI468" s="1432"/>
      <c r="DJ468" s="1437"/>
      <c r="DK468" s="1437"/>
      <c r="DL468" s="1437"/>
      <c r="DM468" s="1437"/>
      <c r="DN468" s="1432"/>
      <c r="DO468" s="1432"/>
      <c r="DP468" s="1432"/>
      <c r="DQ468" s="1432"/>
      <c r="DR468" s="1432"/>
      <c r="DS468" s="1432"/>
      <c r="DT468" s="1316"/>
      <c r="DU468" s="1433"/>
      <c r="DV468" s="1433"/>
      <c r="DW468" s="1433"/>
      <c r="DX468" s="1433"/>
      <c r="DY468" s="1433"/>
      <c r="DZ468" s="1433"/>
      <c r="EA468" s="1433"/>
      <c r="EB468" s="1433"/>
    </row>
    <row r="469" customFormat="false" ht="14.25" hidden="false" customHeight="false" outlineLevel="0" collapsed="false">
      <c r="A469" s="2" t="n">
        <f aca="false">'V_DATOS PAC_SGA'!CC464</f>
        <v>0</v>
      </c>
      <c r="B469" s="2" t="n">
        <f aca="false">IF(OR(A469=0,A469=""),0,IF(I469="IV",CONCATENATE('V_DATOS PAC_SGA'!CC464,"4")+0,CONCATENATE('V_DATOS PAC_SGA'!CC464,"0")+0))</f>
        <v>0</v>
      </c>
      <c r="C469" s="2" t="n">
        <f aca="false">'V_DATOS PAC_SGA'!CD464</f>
        <v>0</v>
      </c>
      <c r="D469" s="1409" t="n">
        <f aca="false">'V_DATOS PAC_SGA'!Y464</f>
        <v>0</v>
      </c>
      <c r="E469" s="1410" t="str">
        <f aca="false">IF('V_DATOS PAC_SGA'!AV464="","Regadio",'V_DATOS PAC_SGA'!AV464)</f>
        <v>Regadio</v>
      </c>
      <c r="F469" s="1411" t="n">
        <f aca="false">'V_DATOS PAC_SGA'!BK464</f>
        <v>0</v>
      </c>
      <c r="G469" s="1412" t="n">
        <f aca="false">'V_DATOS PAC_SGA'!AN464</f>
        <v>0</v>
      </c>
      <c r="H469" s="1413" t="str">
        <f aca="false">IF(B469&gt;0,VLOOKUP(B469,'O_MN, PE_UTA_UGM 2024'!E$3:O$419,10),"")</f>
        <v/>
      </c>
      <c r="I469" s="1359" t="str">
        <f aca="false">IF('V_DATOS PAC_SGA'!BV464="IV",'V_DATOS PAC_SGA'!BV464,"")</f>
        <v/>
      </c>
      <c r="J469" s="2" t="str">
        <f aca="false">IF($A469&gt;0,IF(AND(J$4=$G469,J$6=$F469),$D469*J$5,""),"")</f>
        <v/>
      </c>
      <c r="K469" s="2" t="str">
        <f aca="false">IF($A469&gt;0,IF(AND(K$4=$G469,K$6=$F469),$D469*K$5,""),"")</f>
        <v/>
      </c>
      <c r="L469" s="2" t="str">
        <f aca="false">IF($A469&gt;0,IF(AND(L$4=$G469,L$6=$F469),$D469*L$5,""),"")</f>
        <v/>
      </c>
      <c r="M469" s="2" t="str">
        <f aca="false">IF($A469&gt;0,IF(AND(M$4=$G469,M$6=$F469),$D469*M$5,""),"")</f>
        <v/>
      </c>
      <c r="N469" s="1508" t="n">
        <f aca="false">VLOOKUP(B469,'O_MN, PE_UTA_UGM 2024'!$E$2:$K$419,IF(G469&gt;1,6,7))</f>
        <v>0</v>
      </c>
      <c r="O469" s="1434" t="str">
        <f aca="false">IF($H469=O$4,$D469*$N469,"")</f>
        <v/>
      </c>
      <c r="P469" s="1435" t="str">
        <f aca="false">IF($H469=P$4,$D469*$N469,"")</f>
        <v/>
      </c>
      <c r="Q469" s="1435" t="str">
        <f aca="false">IF($H469=Q$4,$D469*$N469,"")</f>
        <v/>
      </c>
      <c r="R469" s="1435" t="str">
        <f aca="false">IF($H469=R$4,$D469*$N469,"")</f>
        <v/>
      </c>
      <c r="S469" s="1435" t="str">
        <f aca="false">IF($H469=S$4,$D469*$N469,"")</f>
        <v/>
      </c>
      <c r="T469" s="1435" t="str">
        <f aca="false">IF($H469=T$4,$D469*$N469,"")</f>
        <v/>
      </c>
      <c r="U469" s="1436" t="str">
        <f aca="false">IF($H469=U$4,$D469*$N469,"")</f>
        <v/>
      </c>
      <c r="V469" s="1472"/>
      <c r="W469" s="1471"/>
      <c r="X469" s="1471"/>
      <c r="Y469" s="1471"/>
      <c r="Z469" s="1471"/>
      <c r="AA469" s="1471"/>
      <c r="AB469" s="1473"/>
      <c r="AC469" s="1319"/>
      <c r="AD469" s="2" t="str">
        <f aca="false">IF(AND(AD$4=$G469,AD$6=$F469),$B469,"")</f>
        <v/>
      </c>
      <c r="AE469" s="2" t="str">
        <f aca="false">IF(AND(AE$4=$G469,AE$6=$F469),$B469,"")</f>
        <v/>
      </c>
      <c r="AF469" s="2" t="str">
        <f aca="false">IF(AND(AF$4=$G469,AF$6=$F469),$B469,"")</f>
        <v/>
      </c>
      <c r="AG469" s="2" t="str">
        <f aca="false">IF(AND(AG$4=$G469,AG$6=$F469),$B469,"")</f>
        <v/>
      </c>
      <c r="AI469" s="366"/>
      <c r="AL469" s="367"/>
      <c r="AO469" s="367"/>
      <c r="AR469" s="1411"/>
      <c r="AT469" s="1422"/>
      <c r="AU469" s="1411"/>
      <c r="AV469" s="1411"/>
      <c r="AW469" s="1423"/>
      <c r="AX469" s="1423"/>
      <c r="AZ469" s="1503"/>
      <c r="BA469" s="1503"/>
      <c r="BB469" s="1503"/>
      <c r="BC469" s="1503"/>
      <c r="BD469" s="1503"/>
      <c r="BE469" s="1503"/>
      <c r="BF469" s="1503"/>
      <c r="BG469" s="1503"/>
      <c r="BH469" s="1504"/>
      <c r="BI469" s="1504"/>
      <c r="BJ469" s="1504"/>
      <c r="BK469" s="1504"/>
      <c r="BM469" s="1411"/>
      <c r="BN469" s="1411"/>
      <c r="BO469" s="1425"/>
      <c r="BP469" s="1425"/>
      <c r="BQ469" s="1425"/>
      <c r="BR469" s="1425"/>
      <c r="BS469" s="1411"/>
      <c r="BT469" s="1411"/>
      <c r="BU469" s="1411"/>
      <c r="BV469" s="1411"/>
      <c r="BW469" s="1411"/>
      <c r="BX469" s="1411"/>
      <c r="BZ469" s="1438"/>
      <c r="CA469" s="1438"/>
      <c r="CB469" s="1496"/>
      <c r="CC469" s="1496"/>
      <c r="CD469" s="1496"/>
      <c r="CE469" s="1496"/>
      <c r="CF469" s="1438"/>
      <c r="CG469" s="1438"/>
      <c r="CH469" s="1438"/>
      <c r="CI469" s="1438"/>
      <c r="CJ469" s="1438"/>
      <c r="CK469" s="1438"/>
      <c r="CU469" s="1411"/>
      <c r="CV469" s="1411"/>
      <c r="CW469" s="1425"/>
      <c r="CX469" s="1425"/>
      <c r="CY469" s="1425"/>
      <c r="CZ469" s="1425"/>
      <c r="DA469" s="1411"/>
      <c r="DB469" s="1411"/>
      <c r="DC469" s="1411"/>
      <c r="DD469" s="1411"/>
      <c r="DE469" s="1411"/>
      <c r="DF469" s="1411"/>
      <c r="DH469" s="1432"/>
      <c r="DI469" s="1432"/>
      <c r="DJ469" s="1437"/>
      <c r="DK469" s="1437"/>
      <c r="DL469" s="1437"/>
      <c r="DM469" s="1437"/>
      <c r="DN469" s="1432"/>
      <c r="DO469" s="1432"/>
      <c r="DP469" s="1432"/>
      <c r="DQ469" s="1432"/>
      <c r="DR469" s="1432"/>
      <c r="DS469" s="1432"/>
      <c r="DT469" s="1316"/>
      <c r="DU469" s="1433"/>
      <c r="DV469" s="1433"/>
      <c r="DW469" s="1433"/>
      <c r="DX469" s="1433"/>
      <c r="DY469" s="1433"/>
      <c r="DZ469" s="1433"/>
      <c r="EA469" s="1433"/>
      <c r="EB469" s="1433"/>
    </row>
    <row r="470" customFormat="false" ht="14.25" hidden="false" customHeight="false" outlineLevel="0" collapsed="false">
      <c r="A470" s="2" t="n">
        <f aca="false">'V_DATOS PAC_SGA'!CC465</f>
        <v>0</v>
      </c>
      <c r="B470" s="2" t="n">
        <f aca="false">IF(OR(A470=0,A470=""),0,IF(I470="IV",CONCATENATE('V_DATOS PAC_SGA'!CC465,"4")+0,CONCATENATE('V_DATOS PAC_SGA'!CC465,"0")+0))</f>
        <v>0</v>
      </c>
      <c r="C470" s="2" t="n">
        <f aca="false">'V_DATOS PAC_SGA'!CD465</f>
        <v>0</v>
      </c>
      <c r="D470" s="1409" t="n">
        <f aca="false">'V_DATOS PAC_SGA'!Y465</f>
        <v>0</v>
      </c>
      <c r="E470" s="1410" t="str">
        <f aca="false">IF('V_DATOS PAC_SGA'!AV465="","Regadio",'V_DATOS PAC_SGA'!AV465)</f>
        <v>Regadio</v>
      </c>
      <c r="F470" s="1411" t="n">
        <f aca="false">'V_DATOS PAC_SGA'!BK465</f>
        <v>0</v>
      </c>
      <c r="G470" s="1412" t="n">
        <f aca="false">'V_DATOS PAC_SGA'!AN465</f>
        <v>0</v>
      </c>
      <c r="H470" s="1413" t="str">
        <f aca="false">IF(B470&gt;0,VLOOKUP(B470,'O_MN, PE_UTA_UGM 2024'!E$3:O$419,10),"")</f>
        <v/>
      </c>
      <c r="I470" s="1359" t="str">
        <f aca="false">IF('V_DATOS PAC_SGA'!BV465="IV",'V_DATOS PAC_SGA'!BV465,"")</f>
        <v/>
      </c>
      <c r="J470" s="2" t="str">
        <f aca="false">IF($A470&gt;0,IF(AND(J$4=$G470,J$6=$F470),$D470*J$5,""),"")</f>
        <v/>
      </c>
      <c r="K470" s="2" t="str">
        <f aca="false">IF($A470&gt;0,IF(AND(K$4=$G470,K$6=$F470),$D470*K$5,""),"")</f>
        <v/>
      </c>
      <c r="L470" s="2" t="str">
        <f aca="false">IF($A470&gt;0,IF(AND(L$4=$G470,L$6=$F470),$D470*L$5,""),"")</f>
        <v/>
      </c>
      <c r="M470" s="2" t="str">
        <f aca="false">IF($A470&gt;0,IF(AND(M$4=$G470,M$6=$F470),$D470*M$5,""),"")</f>
        <v/>
      </c>
      <c r="N470" s="1508" t="n">
        <f aca="false">VLOOKUP(B470,'O_MN, PE_UTA_UGM 2024'!$E$2:$K$419,IF(G470&gt;1,6,7))</f>
        <v>0</v>
      </c>
      <c r="O470" s="1434" t="str">
        <f aca="false">IF($H470=O$4,$D470*$N470,"")</f>
        <v/>
      </c>
      <c r="P470" s="1435" t="str">
        <f aca="false">IF($H470=P$4,$D470*$N470,"")</f>
        <v/>
      </c>
      <c r="Q470" s="1435" t="str">
        <f aca="false">IF($H470=Q$4,$D470*$N470,"")</f>
        <v/>
      </c>
      <c r="R470" s="1435" t="str">
        <f aca="false">IF($H470=R$4,$D470*$N470,"")</f>
        <v/>
      </c>
      <c r="S470" s="1435" t="str">
        <f aca="false">IF($H470=S$4,$D470*$N470,"")</f>
        <v/>
      </c>
      <c r="T470" s="1435" t="str">
        <f aca="false">IF($H470=T$4,$D470*$N470,"")</f>
        <v/>
      </c>
      <c r="U470" s="1436" t="str">
        <f aca="false">IF($H470=U$4,$D470*$N470,"")</f>
        <v/>
      </c>
      <c r="V470" s="1472"/>
      <c r="W470" s="1471"/>
      <c r="X470" s="1471"/>
      <c r="Y470" s="1471"/>
      <c r="Z470" s="1471"/>
      <c r="AA470" s="1471"/>
      <c r="AB470" s="1473"/>
      <c r="AC470" s="1319"/>
      <c r="AD470" s="2" t="str">
        <f aca="false">IF(AND(AD$4=$G470,AD$6=$F470),$B470,"")</f>
        <v/>
      </c>
      <c r="AE470" s="2" t="str">
        <f aca="false">IF(AND(AE$4=$G470,AE$6=$F470),$B470,"")</f>
        <v/>
      </c>
      <c r="AF470" s="2" t="str">
        <f aca="false">IF(AND(AF$4=$G470,AF$6=$F470),$B470,"")</f>
        <v/>
      </c>
      <c r="AG470" s="2" t="str">
        <f aca="false">IF(AND(AG$4=$G470,AG$6=$F470),$B470,"")</f>
        <v/>
      </c>
      <c r="AI470" s="366"/>
      <c r="AL470" s="367"/>
      <c r="AO470" s="367"/>
      <c r="AR470" s="1411"/>
      <c r="AT470" s="1422"/>
      <c r="AU470" s="1411"/>
      <c r="AV470" s="1411"/>
      <c r="AW470" s="1423"/>
      <c r="AX470" s="1423"/>
      <c r="AZ470" s="1503"/>
      <c r="BA470" s="1503"/>
      <c r="BB470" s="1503"/>
      <c r="BC470" s="1503"/>
      <c r="BD470" s="1503"/>
      <c r="BE470" s="1503"/>
      <c r="BF470" s="1503"/>
      <c r="BG470" s="1503"/>
      <c r="BH470" s="1504"/>
      <c r="BI470" s="1504"/>
      <c r="BJ470" s="1504"/>
      <c r="BK470" s="1504"/>
      <c r="BM470" s="1411"/>
      <c r="BN470" s="1411"/>
      <c r="BO470" s="1425"/>
      <c r="BP470" s="1425"/>
      <c r="BQ470" s="1425"/>
      <c r="BR470" s="1425"/>
      <c r="BS470" s="1411"/>
      <c r="BT470" s="1411"/>
      <c r="BU470" s="1411"/>
      <c r="BV470" s="1411"/>
      <c r="BW470" s="1411"/>
      <c r="BX470" s="1411"/>
      <c r="BZ470" s="1438"/>
      <c r="CA470" s="1438"/>
      <c r="CB470" s="1496"/>
      <c r="CC470" s="1496"/>
      <c r="CD470" s="1496"/>
      <c r="CE470" s="1496"/>
      <c r="CF470" s="1438"/>
      <c r="CG470" s="1438"/>
      <c r="CH470" s="1438"/>
      <c r="CI470" s="1438"/>
      <c r="CJ470" s="1438"/>
      <c r="CK470" s="1438"/>
      <c r="CU470" s="1411"/>
      <c r="CV470" s="1411"/>
      <c r="CW470" s="1425"/>
      <c r="CX470" s="1425"/>
      <c r="CY470" s="1425"/>
      <c r="CZ470" s="1425"/>
      <c r="DA470" s="1411"/>
      <c r="DB470" s="1411"/>
      <c r="DC470" s="1411"/>
      <c r="DD470" s="1411"/>
      <c r="DE470" s="1411"/>
      <c r="DF470" s="1411"/>
      <c r="DH470" s="1432"/>
      <c r="DI470" s="1432"/>
      <c r="DJ470" s="1437"/>
      <c r="DK470" s="1437"/>
      <c r="DL470" s="1437"/>
      <c r="DM470" s="1437"/>
      <c r="DN470" s="1432"/>
      <c r="DO470" s="1432"/>
      <c r="DP470" s="1432"/>
      <c r="DQ470" s="1432"/>
      <c r="DR470" s="1432"/>
      <c r="DS470" s="1432"/>
      <c r="DT470" s="1316"/>
      <c r="DU470" s="1433"/>
      <c r="DV470" s="1433"/>
      <c r="DW470" s="1433"/>
      <c r="DX470" s="1433"/>
      <c r="DY470" s="1433"/>
      <c r="DZ470" s="1433"/>
      <c r="EA470" s="1433"/>
      <c r="EB470" s="1433"/>
    </row>
    <row r="471" customFormat="false" ht="14.25" hidden="false" customHeight="false" outlineLevel="0" collapsed="false">
      <c r="A471" s="2" t="n">
        <f aca="false">'V_DATOS PAC_SGA'!CC466</f>
        <v>0</v>
      </c>
      <c r="B471" s="2" t="n">
        <f aca="false">IF(OR(A471=0,A471=""),0,IF(I471="IV",CONCATENATE('V_DATOS PAC_SGA'!CC466,"4")+0,CONCATENATE('V_DATOS PAC_SGA'!CC466,"0")+0))</f>
        <v>0</v>
      </c>
      <c r="C471" s="2" t="n">
        <f aca="false">'V_DATOS PAC_SGA'!CD466</f>
        <v>0</v>
      </c>
      <c r="D471" s="1409" t="n">
        <f aca="false">'V_DATOS PAC_SGA'!Y466</f>
        <v>0</v>
      </c>
      <c r="E471" s="1410" t="str">
        <f aca="false">IF('V_DATOS PAC_SGA'!AV466="","Regadio",'V_DATOS PAC_SGA'!AV466)</f>
        <v>Regadio</v>
      </c>
      <c r="F471" s="1411" t="n">
        <f aca="false">'V_DATOS PAC_SGA'!BK466</f>
        <v>0</v>
      </c>
      <c r="G471" s="1412" t="n">
        <f aca="false">'V_DATOS PAC_SGA'!AN466</f>
        <v>0</v>
      </c>
      <c r="H471" s="1413" t="str">
        <f aca="false">IF(B471&gt;0,VLOOKUP(B471,'O_MN, PE_UTA_UGM 2024'!E$3:O$419,10),"")</f>
        <v/>
      </c>
      <c r="I471" s="1359" t="str">
        <f aca="false">IF('V_DATOS PAC_SGA'!BV466="IV",'V_DATOS PAC_SGA'!BV466,"")</f>
        <v/>
      </c>
      <c r="J471" s="2" t="str">
        <f aca="false">IF($A471&gt;0,IF(AND(J$4=$G471,J$6=$F471),$D471*J$5,""),"")</f>
        <v/>
      </c>
      <c r="K471" s="2" t="str">
        <f aca="false">IF($A471&gt;0,IF(AND(K$4=$G471,K$6=$F471),$D471*K$5,""),"")</f>
        <v/>
      </c>
      <c r="L471" s="2" t="str">
        <f aca="false">IF($A471&gt;0,IF(AND(L$4=$G471,L$6=$F471),$D471*L$5,""),"")</f>
        <v/>
      </c>
      <c r="M471" s="2" t="str">
        <f aca="false">IF($A471&gt;0,IF(AND(M$4=$G471,M$6=$F471),$D471*M$5,""),"")</f>
        <v/>
      </c>
      <c r="N471" s="1508" t="n">
        <f aca="false">VLOOKUP(B471,'O_MN, PE_UTA_UGM 2024'!$E$2:$K$419,IF(G471&gt;1,6,7))</f>
        <v>0</v>
      </c>
      <c r="O471" s="1434" t="str">
        <f aca="false">IF($H471=O$4,$D471*$N471,"")</f>
        <v/>
      </c>
      <c r="P471" s="1435" t="str">
        <f aca="false">IF($H471=P$4,$D471*$N471,"")</f>
        <v/>
      </c>
      <c r="Q471" s="1435" t="str">
        <f aca="false">IF($H471=Q$4,$D471*$N471,"")</f>
        <v/>
      </c>
      <c r="R471" s="1435" t="str">
        <f aca="false">IF($H471=R$4,$D471*$N471,"")</f>
        <v/>
      </c>
      <c r="S471" s="1435" t="str">
        <f aca="false">IF($H471=S$4,$D471*$N471,"")</f>
        <v/>
      </c>
      <c r="T471" s="1435" t="str">
        <f aca="false">IF($H471=T$4,$D471*$N471,"")</f>
        <v/>
      </c>
      <c r="U471" s="1436" t="str">
        <f aca="false">IF($H471=U$4,$D471*$N471,"")</f>
        <v/>
      </c>
      <c r="V471" s="1472"/>
      <c r="W471" s="1471"/>
      <c r="X471" s="1471"/>
      <c r="Y471" s="1471"/>
      <c r="Z471" s="1471"/>
      <c r="AA471" s="1471"/>
      <c r="AB471" s="1473"/>
      <c r="AC471" s="1319"/>
      <c r="AD471" s="2" t="str">
        <f aca="false">IF(AND(AD$4=$G471,AD$6=$F471),$B471,"")</f>
        <v/>
      </c>
      <c r="AE471" s="2" t="str">
        <f aca="false">IF(AND(AE$4=$G471,AE$6=$F471),$B471,"")</f>
        <v/>
      </c>
      <c r="AF471" s="2" t="str">
        <f aca="false">IF(AND(AF$4=$G471,AF$6=$F471),$B471,"")</f>
        <v/>
      </c>
      <c r="AG471" s="2" t="str">
        <f aca="false">IF(AND(AG$4=$G471,AG$6=$F471),$B471,"")</f>
        <v/>
      </c>
      <c r="AI471" s="366"/>
      <c r="AL471" s="367"/>
      <c r="AO471" s="367"/>
      <c r="AR471" s="1411"/>
      <c r="AT471" s="1422"/>
      <c r="AU471" s="1411"/>
      <c r="AV471" s="1411"/>
      <c r="AW471" s="1423"/>
      <c r="AX471" s="1423"/>
      <c r="AZ471" s="1503"/>
      <c r="BA471" s="1503"/>
      <c r="BB471" s="1503"/>
      <c r="BC471" s="1503"/>
      <c r="BD471" s="1503"/>
      <c r="BE471" s="1503"/>
      <c r="BF471" s="1503"/>
      <c r="BG471" s="1503"/>
      <c r="BH471" s="1504"/>
      <c r="BI471" s="1504"/>
      <c r="BJ471" s="1504"/>
      <c r="BK471" s="1504"/>
      <c r="BM471" s="1411"/>
      <c r="BN471" s="1411"/>
      <c r="BO471" s="1425"/>
      <c r="BP471" s="1425"/>
      <c r="BQ471" s="1425"/>
      <c r="BR471" s="1425"/>
      <c r="BS471" s="1411"/>
      <c r="BT471" s="1411"/>
      <c r="BU471" s="1411"/>
      <c r="BV471" s="1411"/>
      <c r="BW471" s="1411"/>
      <c r="BX471" s="1411"/>
      <c r="BZ471" s="1438"/>
      <c r="CA471" s="1438"/>
      <c r="CB471" s="1496"/>
      <c r="CC471" s="1496"/>
      <c r="CD471" s="1496"/>
      <c r="CE471" s="1496"/>
      <c r="CF471" s="1438"/>
      <c r="CG471" s="1438"/>
      <c r="CH471" s="1438"/>
      <c r="CI471" s="1438"/>
      <c r="CJ471" s="1438"/>
      <c r="CK471" s="1438"/>
      <c r="CU471" s="1411"/>
      <c r="CV471" s="1411"/>
      <c r="CW471" s="1425"/>
      <c r="CX471" s="1425"/>
      <c r="CY471" s="1425"/>
      <c r="CZ471" s="1425"/>
      <c r="DA471" s="1411"/>
      <c r="DB471" s="1411"/>
      <c r="DC471" s="1411"/>
      <c r="DD471" s="1411"/>
      <c r="DE471" s="1411"/>
      <c r="DF471" s="1411"/>
      <c r="DH471" s="1432"/>
      <c r="DI471" s="1432"/>
      <c r="DJ471" s="1437"/>
      <c r="DK471" s="1437"/>
      <c r="DL471" s="1437"/>
      <c r="DM471" s="1437"/>
      <c r="DN471" s="1432"/>
      <c r="DO471" s="1432"/>
      <c r="DP471" s="1432"/>
      <c r="DQ471" s="1432"/>
      <c r="DR471" s="1432"/>
      <c r="DS471" s="1432"/>
      <c r="DT471" s="1316"/>
      <c r="DU471" s="1433"/>
      <c r="DV471" s="1433"/>
      <c r="DW471" s="1433"/>
      <c r="DX471" s="1433"/>
      <c r="DY471" s="1433"/>
      <c r="DZ471" s="1433"/>
      <c r="EA471" s="1433"/>
      <c r="EB471" s="1433"/>
    </row>
    <row r="472" customFormat="false" ht="14.25" hidden="false" customHeight="false" outlineLevel="0" collapsed="false">
      <c r="A472" s="2" t="n">
        <f aca="false">'V_DATOS PAC_SGA'!CC467</f>
        <v>0</v>
      </c>
      <c r="B472" s="2" t="n">
        <f aca="false">IF(OR(A472=0,A472=""),0,IF(I472="IV",CONCATENATE('V_DATOS PAC_SGA'!CC467,"4")+0,CONCATENATE('V_DATOS PAC_SGA'!CC467,"0")+0))</f>
        <v>0</v>
      </c>
      <c r="C472" s="2" t="n">
        <f aca="false">'V_DATOS PAC_SGA'!CD467</f>
        <v>0</v>
      </c>
      <c r="D472" s="1409" t="n">
        <f aca="false">'V_DATOS PAC_SGA'!Y467</f>
        <v>0</v>
      </c>
      <c r="E472" s="1410" t="str">
        <f aca="false">IF('V_DATOS PAC_SGA'!AV467="","Regadio",'V_DATOS PAC_SGA'!AV467)</f>
        <v>Regadio</v>
      </c>
      <c r="F472" s="1411" t="n">
        <f aca="false">'V_DATOS PAC_SGA'!BK467</f>
        <v>0</v>
      </c>
      <c r="G472" s="1412" t="n">
        <f aca="false">'V_DATOS PAC_SGA'!AN467</f>
        <v>0</v>
      </c>
      <c r="H472" s="1413" t="str">
        <f aca="false">IF(B472&gt;0,VLOOKUP(B472,'O_MN, PE_UTA_UGM 2024'!E$3:O$419,10),"")</f>
        <v/>
      </c>
      <c r="I472" s="1359" t="str">
        <f aca="false">IF('V_DATOS PAC_SGA'!BV467="IV",'V_DATOS PAC_SGA'!BV467,"")</f>
        <v/>
      </c>
      <c r="J472" s="2" t="str">
        <f aca="false">IF($A472&gt;0,IF(AND(J$4=$G472,J$6=$F472),$D472*J$5,""),"")</f>
        <v/>
      </c>
      <c r="K472" s="2" t="str">
        <f aca="false">IF($A472&gt;0,IF(AND(K$4=$G472,K$6=$F472),$D472*K$5,""),"")</f>
        <v/>
      </c>
      <c r="L472" s="2" t="str">
        <f aca="false">IF($A472&gt;0,IF(AND(L$4=$G472,L$6=$F472),$D472*L$5,""),"")</f>
        <v/>
      </c>
      <c r="M472" s="2" t="str">
        <f aca="false">IF($A472&gt;0,IF(AND(M$4=$G472,M$6=$F472),$D472*M$5,""),"")</f>
        <v/>
      </c>
      <c r="N472" s="1508" t="n">
        <f aca="false">VLOOKUP(B472,'O_MN, PE_UTA_UGM 2024'!$E$2:$K$419,IF(G472&gt;1,6,7))</f>
        <v>0</v>
      </c>
      <c r="O472" s="1434" t="str">
        <f aca="false">IF($H472=O$4,$D472*$N472,"")</f>
        <v/>
      </c>
      <c r="P472" s="1435" t="str">
        <f aca="false">IF($H472=P$4,$D472*$N472,"")</f>
        <v/>
      </c>
      <c r="Q472" s="1435" t="str">
        <f aca="false">IF($H472=Q$4,$D472*$N472,"")</f>
        <v/>
      </c>
      <c r="R472" s="1435" t="str">
        <f aca="false">IF($H472=R$4,$D472*$N472,"")</f>
        <v/>
      </c>
      <c r="S472" s="1435" t="str">
        <f aca="false">IF($H472=S$4,$D472*$N472,"")</f>
        <v/>
      </c>
      <c r="T472" s="1435" t="str">
        <f aca="false">IF($H472=T$4,$D472*$N472,"")</f>
        <v/>
      </c>
      <c r="U472" s="1436" t="str">
        <f aca="false">IF($H472=U$4,$D472*$N472,"")</f>
        <v/>
      </c>
      <c r="V472" s="1472"/>
      <c r="W472" s="1471"/>
      <c r="X472" s="1471"/>
      <c r="Y472" s="1471"/>
      <c r="Z472" s="1471"/>
      <c r="AA472" s="1471"/>
      <c r="AB472" s="1473"/>
      <c r="AC472" s="1319"/>
      <c r="AD472" s="2" t="str">
        <f aca="false">IF(AND(AD$4=$G472,AD$6=$F472),$B472,"")</f>
        <v/>
      </c>
      <c r="AE472" s="2" t="str">
        <f aca="false">IF(AND(AE$4=$G472,AE$6=$F472),$B472,"")</f>
        <v/>
      </c>
      <c r="AF472" s="2" t="str">
        <f aca="false">IF(AND(AF$4=$G472,AF$6=$F472),$B472,"")</f>
        <v/>
      </c>
      <c r="AG472" s="2" t="str">
        <f aca="false">IF(AND(AG$4=$G472,AG$6=$F472),$B472,"")</f>
        <v/>
      </c>
      <c r="AI472" s="366"/>
      <c r="AL472" s="367"/>
      <c r="AO472" s="367"/>
      <c r="AR472" s="1411"/>
      <c r="AT472" s="1422"/>
      <c r="AU472" s="1411"/>
      <c r="AV472" s="1411"/>
      <c r="AW472" s="1423"/>
      <c r="AX472" s="1423"/>
      <c r="AZ472" s="1503"/>
      <c r="BA472" s="1503"/>
      <c r="BB472" s="1503"/>
      <c r="BC472" s="1503"/>
      <c r="BD472" s="1503"/>
      <c r="BE472" s="1503"/>
      <c r="BF472" s="1503"/>
      <c r="BG472" s="1503"/>
      <c r="BH472" s="1504"/>
      <c r="BI472" s="1504"/>
      <c r="BJ472" s="1504"/>
      <c r="BK472" s="1504"/>
      <c r="BM472" s="1411"/>
      <c r="BN472" s="1411"/>
      <c r="BO472" s="1425"/>
      <c r="BP472" s="1425"/>
      <c r="BQ472" s="1425"/>
      <c r="BR472" s="1425"/>
      <c r="BS472" s="1411"/>
      <c r="BT472" s="1411"/>
      <c r="BU472" s="1411"/>
      <c r="BV472" s="1411"/>
      <c r="BW472" s="1411"/>
      <c r="BX472" s="1411"/>
      <c r="BZ472" s="1438"/>
      <c r="CA472" s="1438"/>
      <c r="CB472" s="1496"/>
      <c r="CC472" s="1496"/>
      <c r="CD472" s="1496"/>
      <c r="CE472" s="1496"/>
      <c r="CF472" s="1438"/>
      <c r="CG472" s="1438"/>
      <c r="CH472" s="1438"/>
      <c r="CI472" s="1438"/>
      <c r="CJ472" s="1438"/>
      <c r="CK472" s="1438"/>
      <c r="CU472" s="1411"/>
      <c r="CV472" s="1411"/>
      <c r="CW472" s="1425"/>
      <c r="CX472" s="1425"/>
      <c r="CY472" s="1425"/>
      <c r="CZ472" s="1425"/>
      <c r="DA472" s="1411"/>
      <c r="DB472" s="1411"/>
      <c r="DC472" s="1411"/>
      <c r="DD472" s="1411"/>
      <c r="DE472" s="1411"/>
      <c r="DF472" s="1411"/>
      <c r="DH472" s="1432"/>
      <c r="DI472" s="1432"/>
      <c r="DJ472" s="1437"/>
      <c r="DK472" s="1437"/>
      <c r="DL472" s="1437"/>
      <c r="DM472" s="1437"/>
      <c r="DN472" s="1432"/>
      <c r="DO472" s="1432"/>
      <c r="DP472" s="1432"/>
      <c r="DQ472" s="1432"/>
      <c r="DR472" s="1432"/>
      <c r="DS472" s="1432"/>
      <c r="DT472" s="1316"/>
      <c r="DU472" s="1433"/>
      <c r="DV472" s="1433"/>
      <c r="DW472" s="1433"/>
      <c r="DX472" s="1433"/>
      <c r="DY472" s="1433"/>
      <c r="DZ472" s="1433"/>
      <c r="EA472" s="1433"/>
      <c r="EB472" s="1433"/>
    </row>
    <row r="473" customFormat="false" ht="14.25" hidden="false" customHeight="false" outlineLevel="0" collapsed="false">
      <c r="A473" s="2" t="n">
        <f aca="false">'V_DATOS PAC_SGA'!CC468</f>
        <v>0</v>
      </c>
      <c r="B473" s="2" t="n">
        <f aca="false">IF(OR(A473=0,A473=""),0,IF(I473="IV",CONCATENATE('V_DATOS PAC_SGA'!CC468,"4")+0,CONCATENATE('V_DATOS PAC_SGA'!CC468,"0")+0))</f>
        <v>0</v>
      </c>
      <c r="C473" s="2" t="n">
        <f aca="false">'V_DATOS PAC_SGA'!CD468</f>
        <v>0</v>
      </c>
      <c r="D473" s="1409" t="n">
        <f aca="false">'V_DATOS PAC_SGA'!Y468</f>
        <v>0</v>
      </c>
      <c r="E473" s="1410" t="str">
        <f aca="false">IF('V_DATOS PAC_SGA'!AV468="","Regadio",'V_DATOS PAC_SGA'!AV468)</f>
        <v>Regadio</v>
      </c>
      <c r="F473" s="1411" t="n">
        <f aca="false">'V_DATOS PAC_SGA'!BK468</f>
        <v>0</v>
      </c>
      <c r="G473" s="1412" t="n">
        <f aca="false">'V_DATOS PAC_SGA'!AN468</f>
        <v>0</v>
      </c>
      <c r="H473" s="1413" t="str">
        <f aca="false">IF(B473&gt;0,VLOOKUP(B473,'O_MN, PE_UTA_UGM 2024'!E$3:O$419,10),"")</f>
        <v/>
      </c>
      <c r="I473" s="1359" t="str">
        <f aca="false">IF('V_DATOS PAC_SGA'!BV468="IV",'V_DATOS PAC_SGA'!BV468,"")</f>
        <v/>
      </c>
      <c r="J473" s="2" t="str">
        <f aca="false">IF($A473&gt;0,IF(AND(J$4=$G473,J$6=$F473),$D473*J$5,""),"")</f>
        <v/>
      </c>
      <c r="K473" s="2" t="str">
        <f aca="false">IF($A473&gt;0,IF(AND(K$4=$G473,K$6=$F473),$D473*K$5,""),"")</f>
        <v/>
      </c>
      <c r="L473" s="2" t="str">
        <f aca="false">IF($A473&gt;0,IF(AND(L$4=$G473,L$6=$F473),$D473*L$5,""),"")</f>
        <v/>
      </c>
      <c r="M473" s="2" t="str">
        <f aca="false">IF($A473&gt;0,IF(AND(M$4=$G473,M$6=$F473),$D473*M$5,""),"")</f>
        <v/>
      </c>
      <c r="N473" s="1508" t="n">
        <f aca="false">VLOOKUP(B473,'O_MN, PE_UTA_UGM 2024'!$E$2:$K$419,IF(G473&gt;1,6,7))</f>
        <v>0</v>
      </c>
      <c r="O473" s="1434" t="str">
        <f aca="false">IF($H473=O$4,$D473*$N473,"")</f>
        <v/>
      </c>
      <c r="P473" s="1435" t="str">
        <f aca="false">IF($H473=P$4,$D473*$N473,"")</f>
        <v/>
      </c>
      <c r="Q473" s="1435" t="str">
        <f aca="false">IF($H473=Q$4,$D473*$N473,"")</f>
        <v/>
      </c>
      <c r="R473" s="1435" t="str">
        <f aca="false">IF($H473=R$4,$D473*$N473,"")</f>
        <v/>
      </c>
      <c r="S473" s="1435" t="str">
        <f aca="false">IF($H473=S$4,$D473*$N473,"")</f>
        <v/>
      </c>
      <c r="T473" s="1435" t="str">
        <f aca="false">IF($H473=T$4,$D473*$N473,"")</f>
        <v/>
      </c>
      <c r="U473" s="1436" t="str">
        <f aca="false">IF($H473=U$4,$D473*$N473,"")</f>
        <v/>
      </c>
      <c r="V473" s="1472"/>
      <c r="W473" s="1471"/>
      <c r="X473" s="1471"/>
      <c r="Y473" s="1471"/>
      <c r="Z473" s="1471"/>
      <c r="AA473" s="1471"/>
      <c r="AB473" s="1473"/>
      <c r="AC473" s="1319"/>
      <c r="AD473" s="2" t="str">
        <f aca="false">IF(AND(AD$4=$G473,AD$6=$F473),$B473,"")</f>
        <v/>
      </c>
      <c r="AE473" s="2" t="str">
        <f aca="false">IF(AND(AE$4=$G473,AE$6=$F473),$B473,"")</f>
        <v/>
      </c>
      <c r="AF473" s="2" t="str">
        <f aca="false">IF(AND(AF$4=$G473,AF$6=$F473),$B473,"")</f>
        <v/>
      </c>
      <c r="AG473" s="2" t="str">
        <f aca="false">IF(AND(AG$4=$G473,AG$6=$F473),$B473,"")</f>
        <v/>
      </c>
      <c r="AI473" s="366"/>
      <c r="AL473" s="367"/>
      <c r="AO473" s="367"/>
      <c r="AR473" s="1411"/>
      <c r="AT473" s="1422"/>
      <c r="AU473" s="1411"/>
      <c r="AV473" s="1411"/>
      <c r="AW473" s="1423"/>
      <c r="AX473" s="1423"/>
      <c r="AZ473" s="1503"/>
      <c r="BA473" s="1503"/>
      <c r="BB473" s="1503"/>
      <c r="BC473" s="1503"/>
      <c r="BD473" s="1503"/>
      <c r="BE473" s="1503"/>
      <c r="BF473" s="1503"/>
      <c r="BG473" s="1503"/>
      <c r="BH473" s="1504"/>
      <c r="BI473" s="1504"/>
      <c r="BJ473" s="1504"/>
      <c r="BK473" s="1504"/>
      <c r="BM473" s="1411"/>
      <c r="BN473" s="1411"/>
      <c r="BO473" s="1425"/>
      <c r="BP473" s="1425"/>
      <c r="BQ473" s="1425"/>
      <c r="BR473" s="1425"/>
      <c r="BS473" s="1411"/>
      <c r="BT473" s="1411"/>
      <c r="BU473" s="1411"/>
      <c r="BV473" s="1411"/>
      <c r="BW473" s="1411"/>
      <c r="BX473" s="1411"/>
      <c r="BZ473" s="1438"/>
      <c r="CA473" s="1438"/>
      <c r="CB473" s="1496"/>
      <c r="CC473" s="1496"/>
      <c r="CD473" s="1496"/>
      <c r="CE473" s="1496"/>
      <c r="CF473" s="1438"/>
      <c r="CG473" s="1438"/>
      <c r="CH473" s="1438"/>
      <c r="CI473" s="1438"/>
      <c r="CJ473" s="1438"/>
      <c r="CK473" s="1438"/>
      <c r="CU473" s="1411"/>
      <c r="CV473" s="1411"/>
      <c r="CW473" s="1425"/>
      <c r="CX473" s="1425"/>
      <c r="CY473" s="1425"/>
      <c r="CZ473" s="1425"/>
      <c r="DA473" s="1411"/>
      <c r="DB473" s="1411"/>
      <c r="DC473" s="1411"/>
      <c r="DD473" s="1411"/>
      <c r="DE473" s="1411"/>
      <c r="DF473" s="1411"/>
      <c r="DH473" s="1432"/>
      <c r="DI473" s="1432"/>
      <c r="DJ473" s="1437"/>
      <c r="DK473" s="1437"/>
      <c r="DL473" s="1437"/>
      <c r="DM473" s="1437"/>
      <c r="DN473" s="1432"/>
      <c r="DO473" s="1432"/>
      <c r="DP473" s="1432"/>
      <c r="DQ473" s="1432"/>
      <c r="DR473" s="1432"/>
      <c r="DS473" s="1432"/>
      <c r="DT473" s="1316"/>
      <c r="DU473" s="1433"/>
      <c r="DV473" s="1433"/>
      <c r="DW473" s="1433"/>
      <c r="DX473" s="1433"/>
      <c r="DY473" s="1433"/>
      <c r="DZ473" s="1433"/>
      <c r="EA473" s="1433"/>
      <c r="EB473" s="1433"/>
    </row>
    <row r="474" customFormat="false" ht="14.25" hidden="false" customHeight="false" outlineLevel="0" collapsed="false">
      <c r="A474" s="2" t="n">
        <f aca="false">'V_DATOS PAC_SGA'!CC469</f>
        <v>0</v>
      </c>
      <c r="B474" s="2" t="n">
        <f aca="false">IF(OR(A474=0,A474=""),0,IF(I474="IV",CONCATENATE('V_DATOS PAC_SGA'!CC469,"4")+0,CONCATENATE('V_DATOS PAC_SGA'!CC469,"0")+0))</f>
        <v>0</v>
      </c>
      <c r="C474" s="2" t="n">
        <f aca="false">'V_DATOS PAC_SGA'!CD469</f>
        <v>0</v>
      </c>
      <c r="D474" s="1409" t="n">
        <f aca="false">'V_DATOS PAC_SGA'!Y469</f>
        <v>0</v>
      </c>
      <c r="E474" s="1410" t="str">
        <f aca="false">IF('V_DATOS PAC_SGA'!AV469="","Regadio",'V_DATOS PAC_SGA'!AV469)</f>
        <v>Regadio</v>
      </c>
      <c r="F474" s="1411" t="n">
        <f aca="false">'V_DATOS PAC_SGA'!BK469</f>
        <v>0</v>
      </c>
      <c r="G474" s="1412" t="n">
        <f aca="false">'V_DATOS PAC_SGA'!AN469</f>
        <v>0</v>
      </c>
      <c r="H474" s="1413" t="str">
        <f aca="false">IF(B474&gt;0,VLOOKUP(B474,'O_MN, PE_UTA_UGM 2024'!E$3:O$419,10),"")</f>
        <v/>
      </c>
      <c r="I474" s="1359" t="str">
        <f aca="false">IF('V_DATOS PAC_SGA'!BV469="IV",'V_DATOS PAC_SGA'!BV469,"")</f>
        <v/>
      </c>
      <c r="J474" s="2" t="str">
        <f aca="false">IF($A474&gt;0,IF(AND(J$4=$G474,J$6=$F474),$D474*J$5,""),"")</f>
        <v/>
      </c>
      <c r="K474" s="2" t="str">
        <f aca="false">IF($A474&gt;0,IF(AND(K$4=$G474,K$6=$F474),$D474*K$5,""),"")</f>
        <v/>
      </c>
      <c r="L474" s="2" t="str">
        <f aca="false">IF($A474&gt;0,IF(AND(L$4=$G474,L$6=$F474),$D474*L$5,""),"")</f>
        <v/>
      </c>
      <c r="M474" s="2" t="str">
        <f aca="false">IF($A474&gt;0,IF(AND(M$4=$G474,M$6=$F474),$D474*M$5,""),"")</f>
        <v/>
      </c>
      <c r="N474" s="1508" t="n">
        <f aca="false">VLOOKUP(B474,'O_MN, PE_UTA_UGM 2024'!$E$2:$K$419,IF(G474&gt;1,6,7))</f>
        <v>0</v>
      </c>
      <c r="O474" s="1434" t="str">
        <f aca="false">IF($H474=O$4,$D474*$N474,"")</f>
        <v/>
      </c>
      <c r="P474" s="1435" t="str">
        <f aca="false">IF($H474=P$4,$D474*$N474,"")</f>
        <v/>
      </c>
      <c r="Q474" s="1435" t="str">
        <f aca="false">IF($H474=Q$4,$D474*$N474,"")</f>
        <v/>
      </c>
      <c r="R474" s="1435" t="str">
        <f aca="false">IF($H474=R$4,$D474*$N474,"")</f>
        <v/>
      </c>
      <c r="S474" s="1435" t="str">
        <f aca="false">IF($H474=S$4,$D474*$N474,"")</f>
        <v/>
      </c>
      <c r="T474" s="1435" t="str">
        <f aca="false">IF($H474=T$4,$D474*$N474,"")</f>
        <v/>
      </c>
      <c r="U474" s="1436" t="str">
        <f aca="false">IF($H474=U$4,$D474*$N474,"")</f>
        <v/>
      </c>
      <c r="V474" s="1472"/>
      <c r="W474" s="1471"/>
      <c r="X474" s="1471"/>
      <c r="Y474" s="1471"/>
      <c r="Z474" s="1471"/>
      <c r="AA474" s="1471"/>
      <c r="AB474" s="1473"/>
      <c r="AC474" s="1319"/>
      <c r="AD474" s="2" t="str">
        <f aca="false">IF(AND(AD$4=$G474,AD$6=$F474),$B474,"")</f>
        <v/>
      </c>
      <c r="AE474" s="2" t="str">
        <f aca="false">IF(AND(AE$4=$G474,AE$6=$F474),$B474,"")</f>
        <v/>
      </c>
      <c r="AF474" s="2" t="str">
        <f aca="false">IF(AND(AF$4=$G474,AF$6=$F474),$B474,"")</f>
        <v/>
      </c>
      <c r="AG474" s="2" t="str">
        <f aca="false">IF(AND(AG$4=$G474,AG$6=$F474),$B474,"")</f>
        <v/>
      </c>
      <c r="AI474" s="366"/>
      <c r="AL474" s="367"/>
      <c r="AO474" s="367"/>
      <c r="AR474" s="1411"/>
      <c r="AT474" s="1422"/>
      <c r="AU474" s="1411"/>
      <c r="AV474" s="1411"/>
      <c r="AW474" s="1423"/>
      <c r="AX474" s="1423"/>
      <c r="AZ474" s="1503"/>
      <c r="BA474" s="1503"/>
      <c r="BB474" s="1503"/>
      <c r="BC474" s="1503"/>
      <c r="BD474" s="1503"/>
      <c r="BE474" s="1503"/>
      <c r="BF474" s="1503"/>
      <c r="BG474" s="1503"/>
      <c r="BH474" s="1504"/>
      <c r="BI474" s="1504"/>
      <c r="BJ474" s="1504"/>
      <c r="BK474" s="1504"/>
      <c r="BM474" s="1411"/>
      <c r="BN474" s="1411"/>
      <c r="BO474" s="1425"/>
      <c r="BP474" s="1425"/>
      <c r="BQ474" s="1425"/>
      <c r="BR474" s="1425"/>
      <c r="BS474" s="1411"/>
      <c r="BT474" s="1411"/>
      <c r="BU474" s="1411"/>
      <c r="BV474" s="1411"/>
      <c r="BW474" s="1411"/>
      <c r="BX474" s="1411"/>
      <c r="BZ474" s="1438"/>
      <c r="CA474" s="1438"/>
      <c r="CB474" s="1496"/>
      <c r="CC474" s="1496"/>
      <c r="CD474" s="1496"/>
      <c r="CE474" s="1496"/>
      <c r="CF474" s="1438"/>
      <c r="CG474" s="1438"/>
      <c r="CH474" s="1438"/>
      <c r="CI474" s="1438"/>
      <c r="CJ474" s="1438"/>
      <c r="CK474" s="1438"/>
      <c r="CU474" s="1411"/>
      <c r="CV474" s="1411"/>
      <c r="CW474" s="1425"/>
      <c r="CX474" s="1425"/>
      <c r="CY474" s="1425"/>
      <c r="CZ474" s="1425"/>
      <c r="DA474" s="1411"/>
      <c r="DB474" s="1411"/>
      <c r="DC474" s="1411"/>
      <c r="DD474" s="1411"/>
      <c r="DE474" s="1411"/>
      <c r="DF474" s="1411"/>
      <c r="DH474" s="1432"/>
      <c r="DI474" s="1432"/>
      <c r="DJ474" s="1437"/>
      <c r="DK474" s="1437"/>
      <c r="DL474" s="1437"/>
      <c r="DM474" s="1437"/>
      <c r="DN474" s="1432"/>
      <c r="DO474" s="1432"/>
      <c r="DP474" s="1432"/>
      <c r="DQ474" s="1432"/>
      <c r="DR474" s="1432"/>
      <c r="DS474" s="1432"/>
      <c r="DT474" s="1316"/>
      <c r="DU474" s="1433"/>
      <c r="DV474" s="1433"/>
      <c r="DW474" s="1433"/>
      <c r="DX474" s="1433"/>
      <c r="DY474" s="1433"/>
      <c r="DZ474" s="1433"/>
      <c r="EA474" s="1433"/>
      <c r="EB474" s="1433"/>
    </row>
    <row r="475" customFormat="false" ht="14.25" hidden="false" customHeight="false" outlineLevel="0" collapsed="false">
      <c r="A475" s="2" t="n">
        <f aca="false">'V_DATOS PAC_SGA'!CC470</f>
        <v>0</v>
      </c>
      <c r="B475" s="2" t="n">
        <f aca="false">IF(OR(A475=0,A475=""),0,IF(I475="IV",CONCATENATE('V_DATOS PAC_SGA'!CC470,"4")+0,CONCATENATE('V_DATOS PAC_SGA'!CC470,"0")+0))</f>
        <v>0</v>
      </c>
      <c r="C475" s="2" t="n">
        <f aca="false">'V_DATOS PAC_SGA'!CD470</f>
        <v>0</v>
      </c>
      <c r="D475" s="1409" t="n">
        <f aca="false">'V_DATOS PAC_SGA'!Y470</f>
        <v>0</v>
      </c>
      <c r="E475" s="1410" t="str">
        <f aca="false">IF('V_DATOS PAC_SGA'!AV470="","Regadio",'V_DATOS PAC_SGA'!AV470)</f>
        <v>Regadio</v>
      </c>
      <c r="F475" s="1411" t="n">
        <f aca="false">'V_DATOS PAC_SGA'!BK470</f>
        <v>0</v>
      </c>
      <c r="G475" s="1412" t="n">
        <f aca="false">'V_DATOS PAC_SGA'!AN470</f>
        <v>0</v>
      </c>
      <c r="H475" s="1413" t="str">
        <f aca="false">IF(B475&gt;0,VLOOKUP(B475,'O_MN, PE_UTA_UGM 2024'!E$3:O$419,10),"")</f>
        <v/>
      </c>
      <c r="I475" s="1359" t="str">
        <f aca="false">IF('V_DATOS PAC_SGA'!BV470="IV",'V_DATOS PAC_SGA'!BV470,"")</f>
        <v/>
      </c>
      <c r="J475" s="2" t="str">
        <f aca="false">IF($A475&gt;0,IF(AND(J$4=$G475,J$6=$F475),$D475*J$5,""),"")</f>
        <v/>
      </c>
      <c r="K475" s="2" t="str">
        <f aca="false">IF($A475&gt;0,IF(AND(K$4=$G475,K$6=$F475),$D475*K$5,""),"")</f>
        <v/>
      </c>
      <c r="L475" s="2" t="str">
        <f aca="false">IF($A475&gt;0,IF(AND(L$4=$G475,L$6=$F475),$D475*L$5,""),"")</f>
        <v/>
      </c>
      <c r="M475" s="2" t="str">
        <f aca="false">IF($A475&gt;0,IF(AND(M$4=$G475,M$6=$F475),$D475*M$5,""),"")</f>
        <v/>
      </c>
      <c r="N475" s="1508" t="n">
        <f aca="false">VLOOKUP(B475,'O_MN, PE_UTA_UGM 2024'!$E$2:$K$419,IF(G475&gt;1,6,7))</f>
        <v>0</v>
      </c>
      <c r="O475" s="1434" t="str">
        <f aca="false">IF($H475=O$4,$D475*$N475,"")</f>
        <v/>
      </c>
      <c r="P475" s="1435" t="str">
        <f aca="false">IF($H475=P$4,$D475*$N475,"")</f>
        <v/>
      </c>
      <c r="Q475" s="1435" t="str">
        <f aca="false">IF($H475=Q$4,$D475*$N475,"")</f>
        <v/>
      </c>
      <c r="R475" s="1435" t="str">
        <f aca="false">IF($H475=R$4,$D475*$N475,"")</f>
        <v/>
      </c>
      <c r="S475" s="1435" t="str">
        <f aca="false">IF($H475=S$4,$D475*$N475,"")</f>
        <v/>
      </c>
      <c r="T475" s="1435" t="str">
        <f aca="false">IF($H475=T$4,$D475*$N475,"")</f>
        <v/>
      </c>
      <c r="U475" s="1436" t="str">
        <f aca="false">IF($H475=U$4,$D475*$N475,"")</f>
        <v/>
      </c>
      <c r="V475" s="1472"/>
      <c r="W475" s="1471"/>
      <c r="X475" s="1471"/>
      <c r="Y475" s="1471"/>
      <c r="Z475" s="1471"/>
      <c r="AA475" s="1471"/>
      <c r="AB475" s="1473"/>
      <c r="AC475" s="1319"/>
      <c r="AD475" s="2" t="str">
        <f aca="false">IF(AND(AD$4=$G475,AD$6=$F475),$B475,"")</f>
        <v/>
      </c>
      <c r="AE475" s="2" t="str">
        <f aca="false">IF(AND(AE$4=$G475,AE$6=$F475),$B475,"")</f>
        <v/>
      </c>
      <c r="AF475" s="2" t="str">
        <f aca="false">IF(AND(AF$4=$G475,AF$6=$F475),$B475,"")</f>
        <v/>
      </c>
      <c r="AG475" s="2" t="str">
        <f aca="false">IF(AND(AG$4=$G475,AG$6=$F475),$B475,"")</f>
        <v/>
      </c>
      <c r="AI475" s="366"/>
      <c r="AL475" s="367"/>
      <c r="AO475" s="367"/>
      <c r="AR475" s="1411"/>
      <c r="AT475" s="1422"/>
      <c r="AU475" s="1411"/>
      <c r="AV475" s="1411"/>
      <c r="AW475" s="1423"/>
      <c r="AX475" s="1423"/>
      <c r="AZ475" s="1503"/>
      <c r="BA475" s="1503"/>
      <c r="BB475" s="1503"/>
      <c r="BC475" s="1503"/>
      <c r="BD475" s="1503"/>
      <c r="BE475" s="1503"/>
      <c r="BF475" s="1503"/>
      <c r="BG475" s="1503"/>
      <c r="BH475" s="1504"/>
      <c r="BI475" s="1504"/>
      <c r="BJ475" s="1504"/>
      <c r="BK475" s="1504"/>
      <c r="BM475" s="1411"/>
      <c r="BN475" s="1411"/>
      <c r="BO475" s="1425"/>
      <c r="BP475" s="1425"/>
      <c r="BQ475" s="1425"/>
      <c r="BR475" s="1425"/>
      <c r="BS475" s="1411"/>
      <c r="BT475" s="1411"/>
      <c r="BU475" s="1411"/>
      <c r="BV475" s="1411"/>
      <c r="BW475" s="1411"/>
      <c r="BX475" s="1411"/>
      <c r="BZ475" s="1438"/>
      <c r="CA475" s="1438"/>
      <c r="CB475" s="1496"/>
      <c r="CC475" s="1496"/>
      <c r="CD475" s="1496"/>
      <c r="CE475" s="1496"/>
      <c r="CF475" s="1438"/>
      <c r="CG475" s="1438"/>
      <c r="CH475" s="1438"/>
      <c r="CI475" s="1438"/>
      <c r="CJ475" s="1438"/>
      <c r="CK475" s="1438"/>
      <c r="CU475" s="1411"/>
      <c r="CV475" s="1411"/>
      <c r="CW475" s="1425"/>
      <c r="CX475" s="1425"/>
      <c r="CY475" s="1425"/>
      <c r="CZ475" s="1425"/>
      <c r="DA475" s="1411"/>
      <c r="DB475" s="1411"/>
      <c r="DC475" s="1411"/>
      <c r="DD475" s="1411"/>
      <c r="DE475" s="1411"/>
      <c r="DF475" s="1411"/>
      <c r="DH475" s="1432"/>
      <c r="DI475" s="1432"/>
      <c r="DJ475" s="1437"/>
      <c r="DK475" s="1437"/>
      <c r="DL475" s="1437"/>
      <c r="DM475" s="1437"/>
      <c r="DN475" s="1432"/>
      <c r="DO475" s="1432"/>
      <c r="DP475" s="1432"/>
      <c r="DQ475" s="1432"/>
      <c r="DR475" s="1432"/>
      <c r="DS475" s="1432"/>
      <c r="DT475" s="1316"/>
      <c r="DU475" s="1433"/>
      <c r="DV475" s="1433"/>
      <c r="DW475" s="1433"/>
      <c r="DX475" s="1433"/>
      <c r="DY475" s="1433"/>
      <c r="DZ475" s="1433"/>
      <c r="EA475" s="1433"/>
      <c r="EB475" s="1433"/>
    </row>
    <row r="476" customFormat="false" ht="14.25" hidden="false" customHeight="false" outlineLevel="0" collapsed="false">
      <c r="A476" s="2" t="n">
        <f aca="false">'V_DATOS PAC_SGA'!CC471</f>
        <v>0</v>
      </c>
      <c r="B476" s="2" t="n">
        <f aca="false">IF(OR(A476=0,A476=""),0,IF(I476="IV",CONCATENATE('V_DATOS PAC_SGA'!CC471,"4")+0,CONCATENATE('V_DATOS PAC_SGA'!CC471,"0")+0))</f>
        <v>0</v>
      </c>
      <c r="C476" s="2" t="n">
        <f aca="false">'V_DATOS PAC_SGA'!CD471</f>
        <v>0</v>
      </c>
      <c r="D476" s="1409" t="n">
        <f aca="false">'V_DATOS PAC_SGA'!Y471</f>
        <v>0</v>
      </c>
      <c r="E476" s="1410" t="str">
        <f aca="false">IF('V_DATOS PAC_SGA'!AV471="","Regadio",'V_DATOS PAC_SGA'!AV471)</f>
        <v>Regadio</v>
      </c>
      <c r="F476" s="1411" t="n">
        <f aca="false">'V_DATOS PAC_SGA'!BK471</f>
        <v>0</v>
      </c>
      <c r="G476" s="1412" t="n">
        <f aca="false">'V_DATOS PAC_SGA'!AN471</f>
        <v>0</v>
      </c>
      <c r="H476" s="1413" t="str">
        <f aca="false">IF(B476&gt;0,VLOOKUP(B476,'O_MN, PE_UTA_UGM 2024'!E$3:O$419,10),"")</f>
        <v/>
      </c>
      <c r="I476" s="1359" t="str">
        <f aca="false">IF('V_DATOS PAC_SGA'!BV471="IV",'V_DATOS PAC_SGA'!BV471,"")</f>
        <v/>
      </c>
      <c r="J476" s="2" t="str">
        <f aca="false">IF($A476&gt;0,IF(AND(J$4=$G476,J$6=$F476),$D476*J$5,""),"")</f>
        <v/>
      </c>
      <c r="K476" s="2" t="str">
        <f aca="false">IF($A476&gt;0,IF(AND(K$4=$G476,K$6=$F476),$D476*K$5,""),"")</f>
        <v/>
      </c>
      <c r="L476" s="2" t="str">
        <f aca="false">IF($A476&gt;0,IF(AND(L$4=$G476,L$6=$F476),$D476*L$5,""),"")</f>
        <v/>
      </c>
      <c r="M476" s="2" t="str">
        <f aca="false">IF($A476&gt;0,IF(AND(M$4=$G476,M$6=$F476),$D476*M$5,""),"")</f>
        <v/>
      </c>
      <c r="N476" s="1508" t="n">
        <f aca="false">VLOOKUP(B476,'O_MN, PE_UTA_UGM 2024'!$E$2:$K$419,IF(G476&gt;1,6,7))</f>
        <v>0</v>
      </c>
      <c r="O476" s="1434" t="str">
        <f aca="false">IF($H476=O$4,$D476*$N476,"")</f>
        <v/>
      </c>
      <c r="P476" s="1435" t="str">
        <f aca="false">IF($H476=P$4,$D476*$N476,"")</f>
        <v/>
      </c>
      <c r="Q476" s="1435" t="str">
        <f aca="false">IF($H476=Q$4,$D476*$N476,"")</f>
        <v/>
      </c>
      <c r="R476" s="1435" t="str">
        <f aca="false">IF($H476=R$4,$D476*$N476,"")</f>
        <v/>
      </c>
      <c r="S476" s="1435" t="str">
        <f aca="false">IF($H476=S$4,$D476*$N476,"")</f>
        <v/>
      </c>
      <c r="T476" s="1435" t="str">
        <f aca="false">IF($H476=T$4,$D476*$N476,"")</f>
        <v/>
      </c>
      <c r="U476" s="1436" t="str">
        <f aca="false">IF($H476=U$4,$D476*$N476,"")</f>
        <v/>
      </c>
      <c r="V476" s="1472"/>
      <c r="W476" s="1471"/>
      <c r="X476" s="1471"/>
      <c r="Y476" s="1471"/>
      <c r="Z476" s="1471"/>
      <c r="AA476" s="1471"/>
      <c r="AB476" s="1473"/>
      <c r="AC476" s="1319"/>
      <c r="AD476" s="2" t="str">
        <f aca="false">IF(AND(AD$4=$G476,AD$6=$F476),$B476,"")</f>
        <v/>
      </c>
      <c r="AE476" s="2" t="str">
        <f aca="false">IF(AND(AE$4=$G476,AE$6=$F476),$B476,"")</f>
        <v/>
      </c>
      <c r="AF476" s="2" t="str">
        <f aca="false">IF(AND(AF$4=$G476,AF$6=$F476),$B476,"")</f>
        <v/>
      </c>
      <c r="AG476" s="2" t="str">
        <f aca="false">IF(AND(AG$4=$G476,AG$6=$F476),$B476,"")</f>
        <v/>
      </c>
      <c r="AI476" s="366"/>
      <c r="AL476" s="367"/>
      <c r="AO476" s="367"/>
      <c r="AR476" s="1411"/>
      <c r="AT476" s="1422"/>
      <c r="AU476" s="1411"/>
      <c r="AV476" s="1411"/>
      <c r="AW476" s="1423"/>
      <c r="AX476" s="1423"/>
      <c r="AZ476" s="1503"/>
      <c r="BA476" s="1503"/>
      <c r="BB476" s="1503"/>
      <c r="BC476" s="1503"/>
      <c r="BD476" s="1503"/>
      <c r="BE476" s="1503"/>
      <c r="BF476" s="1503"/>
      <c r="BG476" s="1503"/>
      <c r="BH476" s="1504"/>
      <c r="BI476" s="1504"/>
      <c r="BJ476" s="1504"/>
      <c r="BK476" s="1504"/>
      <c r="BM476" s="1411"/>
      <c r="BN476" s="1411"/>
      <c r="BO476" s="1425"/>
      <c r="BP476" s="1425"/>
      <c r="BQ476" s="1425"/>
      <c r="BR476" s="1425"/>
      <c r="BS476" s="1411"/>
      <c r="BT476" s="1411"/>
      <c r="BU476" s="1411"/>
      <c r="BV476" s="1411"/>
      <c r="BW476" s="1411"/>
      <c r="BX476" s="1411"/>
      <c r="BZ476" s="1438"/>
      <c r="CA476" s="1438"/>
      <c r="CB476" s="1496"/>
      <c r="CC476" s="1496"/>
      <c r="CD476" s="1496"/>
      <c r="CE476" s="1496"/>
      <c r="CF476" s="1438"/>
      <c r="CG476" s="1438"/>
      <c r="CH476" s="1438"/>
      <c r="CI476" s="1438"/>
      <c r="CJ476" s="1438"/>
      <c r="CK476" s="1438"/>
      <c r="CU476" s="1411"/>
      <c r="CV476" s="1411"/>
      <c r="CW476" s="1425"/>
      <c r="CX476" s="1425"/>
      <c r="CY476" s="1425"/>
      <c r="CZ476" s="1425"/>
      <c r="DA476" s="1411"/>
      <c r="DB476" s="1411"/>
      <c r="DC476" s="1411"/>
      <c r="DD476" s="1411"/>
      <c r="DE476" s="1411"/>
      <c r="DF476" s="1411"/>
      <c r="DH476" s="1432"/>
      <c r="DI476" s="1432"/>
      <c r="DJ476" s="1437"/>
      <c r="DK476" s="1437"/>
      <c r="DL476" s="1437"/>
      <c r="DM476" s="1437"/>
      <c r="DN476" s="1432"/>
      <c r="DO476" s="1432"/>
      <c r="DP476" s="1432"/>
      <c r="DQ476" s="1432"/>
      <c r="DR476" s="1432"/>
      <c r="DS476" s="1432"/>
      <c r="DT476" s="1316"/>
      <c r="DU476" s="1433"/>
      <c r="DV476" s="1433"/>
      <c r="DW476" s="1433"/>
      <c r="DX476" s="1433"/>
      <c r="DY476" s="1433"/>
      <c r="DZ476" s="1433"/>
      <c r="EA476" s="1433"/>
      <c r="EB476" s="1433"/>
    </row>
    <row r="477" customFormat="false" ht="14.25" hidden="false" customHeight="false" outlineLevel="0" collapsed="false">
      <c r="A477" s="2" t="n">
        <f aca="false">'V_DATOS PAC_SGA'!CC472</f>
        <v>0</v>
      </c>
      <c r="B477" s="2" t="n">
        <f aca="false">IF(OR(A477=0,A477=""),0,IF(I477="IV",CONCATENATE('V_DATOS PAC_SGA'!CC472,"4")+0,CONCATENATE('V_DATOS PAC_SGA'!CC472,"0")+0))</f>
        <v>0</v>
      </c>
      <c r="C477" s="2" t="n">
        <f aca="false">'V_DATOS PAC_SGA'!CD472</f>
        <v>0</v>
      </c>
      <c r="D477" s="1409" t="n">
        <f aca="false">'V_DATOS PAC_SGA'!Y472</f>
        <v>0</v>
      </c>
      <c r="E477" s="1410" t="str">
        <f aca="false">IF('V_DATOS PAC_SGA'!AV472="","Regadio",'V_DATOS PAC_SGA'!AV472)</f>
        <v>Regadio</v>
      </c>
      <c r="F477" s="1411" t="n">
        <f aca="false">'V_DATOS PAC_SGA'!BK472</f>
        <v>0</v>
      </c>
      <c r="G477" s="1412" t="n">
        <f aca="false">'V_DATOS PAC_SGA'!AN472</f>
        <v>0</v>
      </c>
      <c r="H477" s="1413" t="str">
        <f aca="false">IF(B477&gt;0,VLOOKUP(B477,'O_MN, PE_UTA_UGM 2024'!E$3:O$419,10),"")</f>
        <v/>
      </c>
      <c r="I477" s="1359" t="str">
        <f aca="false">IF('V_DATOS PAC_SGA'!BV472="IV",'V_DATOS PAC_SGA'!BV472,"")</f>
        <v/>
      </c>
      <c r="J477" s="2" t="str">
        <f aca="false">IF($A477&gt;0,IF(AND(J$4=$G477,J$6=$F477),$D477*J$5,""),"")</f>
        <v/>
      </c>
      <c r="K477" s="2" t="str">
        <f aca="false">IF($A477&gt;0,IF(AND(K$4=$G477,K$6=$F477),$D477*K$5,""),"")</f>
        <v/>
      </c>
      <c r="L477" s="2" t="str">
        <f aca="false">IF($A477&gt;0,IF(AND(L$4=$G477,L$6=$F477),$D477*L$5,""),"")</f>
        <v/>
      </c>
      <c r="M477" s="2" t="str">
        <f aca="false">IF($A477&gt;0,IF(AND(M$4=$G477,M$6=$F477),$D477*M$5,""),"")</f>
        <v/>
      </c>
      <c r="N477" s="1508" t="n">
        <f aca="false">VLOOKUP(B477,'O_MN, PE_UTA_UGM 2024'!$E$2:$K$419,IF(G477&gt;1,6,7))</f>
        <v>0</v>
      </c>
      <c r="O477" s="1434" t="str">
        <f aca="false">IF($H477=O$4,$D477*$N477,"")</f>
        <v/>
      </c>
      <c r="P477" s="1435" t="str">
        <f aca="false">IF($H477=P$4,$D477*$N477,"")</f>
        <v/>
      </c>
      <c r="Q477" s="1435" t="str">
        <f aca="false">IF($H477=Q$4,$D477*$N477,"")</f>
        <v/>
      </c>
      <c r="R477" s="1435" t="str">
        <f aca="false">IF($H477=R$4,$D477*$N477,"")</f>
        <v/>
      </c>
      <c r="S477" s="1435" t="str">
        <f aca="false">IF($H477=S$4,$D477*$N477,"")</f>
        <v/>
      </c>
      <c r="T477" s="1435" t="str">
        <f aca="false">IF($H477=T$4,$D477*$N477,"")</f>
        <v/>
      </c>
      <c r="U477" s="1436" t="str">
        <f aca="false">IF($H477=U$4,$D477*$N477,"")</f>
        <v/>
      </c>
      <c r="V477" s="1472"/>
      <c r="W477" s="1471"/>
      <c r="X477" s="1471"/>
      <c r="Y477" s="1471"/>
      <c r="Z477" s="1471"/>
      <c r="AA477" s="1471"/>
      <c r="AB477" s="1473"/>
      <c r="AC477" s="1319"/>
      <c r="AD477" s="2" t="str">
        <f aca="false">IF(AND(AD$4=$G477,AD$6=$F477),$B477,"")</f>
        <v/>
      </c>
      <c r="AE477" s="2" t="str">
        <f aca="false">IF(AND(AE$4=$G477,AE$6=$F477),$B477,"")</f>
        <v/>
      </c>
      <c r="AF477" s="2" t="str">
        <f aca="false">IF(AND(AF$4=$G477,AF$6=$F477),$B477,"")</f>
        <v/>
      </c>
      <c r="AG477" s="2" t="str">
        <f aca="false">IF(AND(AG$4=$G477,AG$6=$F477),$B477,"")</f>
        <v/>
      </c>
      <c r="AI477" s="366"/>
      <c r="AL477" s="367"/>
      <c r="AO477" s="367"/>
      <c r="AR477" s="1411"/>
      <c r="AT477" s="1422"/>
      <c r="AU477" s="1411"/>
      <c r="AV477" s="1411"/>
      <c r="AW477" s="1423"/>
      <c r="AX477" s="1423"/>
      <c r="AZ477" s="1503"/>
      <c r="BA477" s="1503"/>
      <c r="BB477" s="1503"/>
      <c r="BC477" s="1503"/>
      <c r="BD477" s="1503"/>
      <c r="BE477" s="1503"/>
      <c r="BF477" s="1503"/>
      <c r="BG477" s="1503"/>
      <c r="BH477" s="1504"/>
      <c r="BI477" s="1504"/>
      <c r="BJ477" s="1504"/>
      <c r="BK477" s="1504"/>
      <c r="BM477" s="1411"/>
      <c r="BN477" s="1411"/>
      <c r="BO477" s="1425"/>
      <c r="BP477" s="1425"/>
      <c r="BQ477" s="1425"/>
      <c r="BR477" s="1425"/>
      <c r="BS477" s="1411"/>
      <c r="BT477" s="1411"/>
      <c r="BU477" s="1411"/>
      <c r="BV477" s="1411"/>
      <c r="BW477" s="1411"/>
      <c r="BX477" s="1411"/>
      <c r="BZ477" s="1438"/>
      <c r="CA477" s="1438"/>
      <c r="CB477" s="1496"/>
      <c r="CC477" s="1496"/>
      <c r="CD477" s="1496"/>
      <c r="CE477" s="1496"/>
      <c r="CF477" s="1438"/>
      <c r="CG477" s="1438"/>
      <c r="CH477" s="1438"/>
      <c r="CI477" s="1438"/>
      <c r="CJ477" s="1438"/>
      <c r="CK477" s="1438"/>
      <c r="CU477" s="1411"/>
      <c r="CV477" s="1411"/>
      <c r="CW477" s="1425"/>
      <c r="CX477" s="1425"/>
      <c r="CY477" s="1425"/>
      <c r="CZ477" s="1425"/>
      <c r="DA477" s="1411"/>
      <c r="DB477" s="1411"/>
      <c r="DC477" s="1411"/>
      <c r="DD477" s="1411"/>
      <c r="DE477" s="1411"/>
      <c r="DF477" s="1411"/>
      <c r="DH477" s="1432"/>
      <c r="DI477" s="1432"/>
      <c r="DJ477" s="1437"/>
      <c r="DK477" s="1437"/>
      <c r="DL477" s="1437"/>
      <c r="DM477" s="1437"/>
      <c r="DN477" s="1432"/>
      <c r="DO477" s="1432"/>
      <c r="DP477" s="1432"/>
      <c r="DQ477" s="1432"/>
      <c r="DR477" s="1432"/>
      <c r="DS477" s="1432"/>
      <c r="DT477" s="1316"/>
      <c r="DU477" s="1433"/>
      <c r="DV477" s="1433"/>
      <c r="DW477" s="1433"/>
      <c r="DX477" s="1433"/>
      <c r="DY477" s="1433"/>
      <c r="DZ477" s="1433"/>
      <c r="EA477" s="1433"/>
      <c r="EB477" s="1433"/>
    </row>
    <row r="478" customFormat="false" ht="14.25" hidden="false" customHeight="false" outlineLevel="0" collapsed="false">
      <c r="A478" s="2" t="n">
        <f aca="false">'V_DATOS PAC_SGA'!CC473</f>
        <v>0</v>
      </c>
      <c r="B478" s="2" t="n">
        <f aca="false">IF(OR(A478=0,A478=""),0,IF(I478="IV",CONCATENATE('V_DATOS PAC_SGA'!CC473,"4")+0,CONCATENATE('V_DATOS PAC_SGA'!CC473,"0")+0))</f>
        <v>0</v>
      </c>
      <c r="C478" s="2" t="n">
        <f aca="false">'V_DATOS PAC_SGA'!CD473</f>
        <v>0</v>
      </c>
      <c r="D478" s="1409" t="n">
        <f aca="false">'V_DATOS PAC_SGA'!Y473</f>
        <v>0</v>
      </c>
      <c r="E478" s="1410" t="str">
        <f aca="false">IF('V_DATOS PAC_SGA'!AV473="","Regadio",'V_DATOS PAC_SGA'!AV473)</f>
        <v>Regadio</v>
      </c>
      <c r="F478" s="1411" t="n">
        <f aca="false">'V_DATOS PAC_SGA'!BK473</f>
        <v>0</v>
      </c>
      <c r="G478" s="1412" t="n">
        <f aca="false">'V_DATOS PAC_SGA'!AN473</f>
        <v>0</v>
      </c>
      <c r="H478" s="1413" t="str">
        <f aca="false">IF(B478&gt;0,VLOOKUP(B478,'O_MN, PE_UTA_UGM 2024'!E$3:O$419,10),"")</f>
        <v/>
      </c>
      <c r="I478" s="1359" t="str">
        <f aca="false">IF('V_DATOS PAC_SGA'!BV473="IV",'V_DATOS PAC_SGA'!BV473,"")</f>
        <v/>
      </c>
      <c r="J478" s="2" t="str">
        <f aca="false">IF($A478&gt;0,IF(AND(J$4=$G478,J$6=$F478),$D478*J$5,""),"")</f>
        <v/>
      </c>
      <c r="K478" s="2" t="str">
        <f aca="false">IF($A478&gt;0,IF(AND(K$4=$G478,K$6=$F478),$D478*K$5,""),"")</f>
        <v/>
      </c>
      <c r="L478" s="2" t="str">
        <f aca="false">IF($A478&gt;0,IF(AND(L$4=$G478,L$6=$F478),$D478*L$5,""),"")</f>
        <v/>
      </c>
      <c r="M478" s="2" t="str">
        <f aca="false">IF($A478&gt;0,IF(AND(M$4=$G478,M$6=$F478),$D478*M$5,""),"")</f>
        <v/>
      </c>
      <c r="N478" s="1508" t="n">
        <f aca="false">VLOOKUP(B478,'O_MN, PE_UTA_UGM 2024'!$E$2:$K$419,IF(G478&gt;1,6,7))</f>
        <v>0</v>
      </c>
      <c r="O478" s="1434" t="str">
        <f aca="false">IF($H478=O$4,$D478*$N478,"")</f>
        <v/>
      </c>
      <c r="P478" s="1435" t="str">
        <f aca="false">IF($H478=P$4,$D478*$N478,"")</f>
        <v/>
      </c>
      <c r="Q478" s="1435" t="str">
        <f aca="false">IF($H478=Q$4,$D478*$N478,"")</f>
        <v/>
      </c>
      <c r="R478" s="1435" t="str">
        <f aca="false">IF($H478=R$4,$D478*$N478,"")</f>
        <v/>
      </c>
      <c r="S478" s="1435" t="str">
        <f aca="false">IF($H478=S$4,$D478*$N478,"")</f>
        <v/>
      </c>
      <c r="T478" s="1435" t="str">
        <f aca="false">IF($H478=T$4,$D478*$N478,"")</f>
        <v/>
      </c>
      <c r="U478" s="1436" t="str">
        <f aca="false">IF($H478=U$4,$D478*$N478,"")</f>
        <v/>
      </c>
      <c r="V478" s="1472"/>
      <c r="W478" s="1471"/>
      <c r="X478" s="1471"/>
      <c r="Y478" s="1471"/>
      <c r="Z478" s="1471"/>
      <c r="AA478" s="1471"/>
      <c r="AB478" s="1473"/>
      <c r="AC478" s="1319"/>
      <c r="AD478" s="2" t="str">
        <f aca="false">IF(AND(AD$4=$G478,AD$6=$F478),$B478,"")</f>
        <v/>
      </c>
      <c r="AE478" s="2" t="str">
        <f aca="false">IF(AND(AE$4=$G478,AE$6=$F478),$B478,"")</f>
        <v/>
      </c>
      <c r="AF478" s="2" t="str">
        <f aca="false">IF(AND(AF$4=$G478,AF$6=$F478),$B478,"")</f>
        <v/>
      </c>
      <c r="AG478" s="2" t="str">
        <f aca="false">IF(AND(AG$4=$G478,AG$6=$F478),$B478,"")</f>
        <v/>
      </c>
      <c r="AI478" s="366"/>
      <c r="AL478" s="367"/>
      <c r="AO478" s="367"/>
      <c r="AR478" s="1411"/>
      <c r="AT478" s="1422"/>
      <c r="AU478" s="1411"/>
      <c r="AV478" s="1411"/>
      <c r="AW478" s="1423"/>
      <c r="AX478" s="1423"/>
      <c r="AZ478" s="1503"/>
      <c r="BA478" s="1503"/>
      <c r="BB478" s="1503"/>
      <c r="BC478" s="1503"/>
      <c r="BD478" s="1503"/>
      <c r="BE478" s="1503"/>
      <c r="BF478" s="1503"/>
      <c r="BG478" s="1503"/>
      <c r="BH478" s="1504"/>
      <c r="BI478" s="1504"/>
      <c r="BJ478" s="1504"/>
      <c r="BK478" s="1504"/>
      <c r="BM478" s="1411"/>
      <c r="BN478" s="1411"/>
      <c r="BO478" s="1425"/>
      <c r="BP478" s="1425"/>
      <c r="BQ478" s="1425"/>
      <c r="BR478" s="1425"/>
      <c r="BS478" s="1411"/>
      <c r="BT478" s="1411"/>
      <c r="BU478" s="1411"/>
      <c r="BV478" s="1411"/>
      <c r="BW478" s="1411"/>
      <c r="BX478" s="1411"/>
      <c r="BZ478" s="1438"/>
      <c r="CA478" s="1438"/>
      <c r="CB478" s="1496"/>
      <c r="CC478" s="1496"/>
      <c r="CD478" s="1496"/>
      <c r="CE478" s="1496"/>
      <c r="CF478" s="1438"/>
      <c r="CG478" s="1438"/>
      <c r="CH478" s="1438"/>
      <c r="CI478" s="1438"/>
      <c r="CJ478" s="1438"/>
      <c r="CK478" s="1438"/>
      <c r="CU478" s="1411"/>
      <c r="CV478" s="1411"/>
      <c r="CW478" s="1425"/>
      <c r="CX478" s="1425"/>
      <c r="CY478" s="1425"/>
      <c r="CZ478" s="1425"/>
      <c r="DA478" s="1411"/>
      <c r="DB478" s="1411"/>
      <c r="DC478" s="1411"/>
      <c r="DD478" s="1411"/>
      <c r="DE478" s="1411"/>
      <c r="DF478" s="1411"/>
      <c r="DH478" s="1432"/>
      <c r="DI478" s="1432"/>
      <c r="DJ478" s="1437"/>
      <c r="DK478" s="1437"/>
      <c r="DL478" s="1437"/>
      <c r="DM478" s="1437"/>
      <c r="DN478" s="1432"/>
      <c r="DO478" s="1432"/>
      <c r="DP478" s="1432"/>
      <c r="DQ478" s="1432"/>
      <c r="DR478" s="1432"/>
      <c r="DS478" s="1432"/>
      <c r="DT478" s="1316"/>
      <c r="DU478" s="1433"/>
      <c r="DV478" s="1433"/>
      <c r="DW478" s="1433"/>
      <c r="DX478" s="1433"/>
      <c r="DY478" s="1433"/>
      <c r="DZ478" s="1433"/>
      <c r="EA478" s="1433"/>
      <c r="EB478" s="1433"/>
    </row>
    <row r="479" customFormat="false" ht="14.25" hidden="false" customHeight="false" outlineLevel="0" collapsed="false">
      <c r="A479" s="2" t="n">
        <f aca="false">'V_DATOS PAC_SGA'!CC474</f>
        <v>0</v>
      </c>
      <c r="B479" s="2" t="n">
        <f aca="false">IF(OR(A479=0,A479=""),0,IF(I479="IV",CONCATENATE('V_DATOS PAC_SGA'!CC474,"4")+0,CONCATENATE('V_DATOS PAC_SGA'!CC474,"0")+0))</f>
        <v>0</v>
      </c>
      <c r="C479" s="2" t="n">
        <f aca="false">'V_DATOS PAC_SGA'!CD474</f>
        <v>0</v>
      </c>
      <c r="D479" s="1409" t="n">
        <f aca="false">'V_DATOS PAC_SGA'!Y474</f>
        <v>0</v>
      </c>
      <c r="E479" s="1410" t="str">
        <f aca="false">IF('V_DATOS PAC_SGA'!AV474="","Regadio",'V_DATOS PAC_SGA'!AV474)</f>
        <v>Regadio</v>
      </c>
      <c r="F479" s="1411" t="n">
        <f aca="false">'V_DATOS PAC_SGA'!BK474</f>
        <v>0</v>
      </c>
      <c r="G479" s="1412" t="n">
        <f aca="false">'V_DATOS PAC_SGA'!AN474</f>
        <v>0</v>
      </c>
      <c r="H479" s="1413" t="str">
        <f aca="false">IF(B479&gt;0,VLOOKUP(B479,'O_MN, PE_UTA_UGM 2024'!E$3:O$419,10),"")</f>
        <v/>
      </c>
      <c r="I479" s="1359" t="str">
        <f aca="false">IF('V_DATOS PAC_SGA'!BV474="IV",'V_DATOS PAC_SGA'!BV474,"")</f>
        <v/>
      </c>
      <c r="J479" s="2" t="str">
        <f aca="false">IF($A479&gt;0,IF(AND(J$4=$G479,J$6=$F479),$D479*J$5,""),"")</f>
        <v/>
      </c>
      <c r="K479" s="2" t="str">
        <f aca="false">IF($A479&gt;0,IF(AND(K$4=$G479,K$6=$F479),$D479*K$5,""),"")</f>
        <v/>
      </c>
      <c r="L479" s="2" t="str">
        <f aca="false">IF($A479&gt;0,IF(AND(L$4=$G479,L$6=$F479),$D479*L$5,""),"")</f>
        <v/>
      </c>
      <c r="M479" s="2" t="str">
        <f aca="false">IF($A479&gt;0,IF(AND(M$4=$G479,M$6=$F479),$D479*M$5,""),"")</f>
        <v/>
      </c>
      <c r="N479" s="1508" t="n">
        <f aca="false">VLOOKUP(B479,'O_MN, PE_UTA_UGM 2024'!$E$2:$K$419,IF(G479&gt;1,6,7))</f>
        <v>0</v>
      </c>
      <c r="O479" s="1434" t="str">
        <f aca="false">IF($H479=O$4,$D479*$N479,"")</f>
        <v/>
      </c>
      <c r="P479" s="1435" t="str">
        <f aca="false">IF($H479=P$4,$D479*$N479,"")</f>
        <v/>
      </c>
      <c r="Q479" s="1435" t="str">
        <f aca="false">IF($H479=Q$4,$D479*$N479,"")</f>
        <v/>
      </c>
      <c r="R479" s="1435" t="str">
        <f aca="false">IF($H479=R$4,$D479*$N479,"")</f>
        <v/>
      </c>
      <c r="S479" s="1435" t="str">
        <f aca="false">IF($H479=S$4,$D479*$N479,"")</f>
        <v/>
      </c>
      <c r="T479" s="1435" t="str">
        <f aca="false">IF($H479=T$4,$D479*$N479,"")</f>
        <v/>
      </c>
      <c r="U479" s="1436" t="str">
        <f aca="false">IF($H479=U$4,$D479*$N479,"")</f>
        <v/>
      </c>
      <c r="V479" s="1472"/>
      <c r="W479" s="1471"/>
      <c r="X479" s="1471"/>
      <c r="Y479" s="1471"/>
      <c r="Z479" s="1471"/>
      <c r="AA479" s="1471"/>
      <c r="AB479" s="1473"/>
      <c r="AC479" s="1319"/>
      <c r="AD479" s="2" t="str">
        <f aca="false">IF(AND(AD$4=$G479,AD$6=$F479),$B479,"")</f>
        <v/>
      </c>
      <c r="AE479" s="2" t="str">
        <f aca="false">IF(AND(AE$4=$G479,AE$6=$F479),$B479,"")</f>
        <v/>
      </c>
      <c r="AF479" s="2" t="str">
        <f aca="false">IF(AND(AF$4=$G479,AF$6=$F479),$B479,"")</f>
        <v/>
      </c>
      <c r="AG479" s="2" t="str">
        <f aca="false">IF(AND(AG$4=$G479,AG$6=$F479),$B479,"")</f>
        <v/>
      </c>
      <c r="AI479" s="366"/>
      <c r="AL479" s="367"/>
      <c r="AO479" s="367"/>
      <c r="AR479" s="1411"/>
      <c r="AT479" s="1422"/>
      <c r="AU479" s="1411"/>
      <c r="AV479" s="1411"/>
      <c r="AW479" s="1423"/>
      <c r="AX479" s="1423"/>
      <c r="AZ479" s="1503"/>
      <c r="BA479" s="1503"/>
      <c r="BB479" s="1503"/>
      <c r="BC479" s="1503"/>
      <c r="BD479" s="1503"/>
      <c r="BE479" s="1503"/>
      <c r="BF479" s="1503"/>
      <c r="BG479" s="1503"/>
      <c r="BH479" s="1504"/>
      <c r="BI479" s="1504"/>
      <c r="BJ479" s="1504"/>
      <c r="BK479" s="1504"/>
      <c r="BM479" s="1411"/>
      <c r="BN479" s="1411"/>
      <c r="BO479" s="1425"/>
      <c r="BP479" s="1425"/>
      <c r="BQ479" s="1425"/>
      <c r="BR479" s="1425"/>
      <c r="BS479" s="1411"/>
      <c r="BT479" s="1411"/>
      <c r="BU479" s="1411"/>
      <c r="BV479" s="1411"/>
      <c r="BW479" s="1411"/>
      <c r="BX479" s="1411"/>
      <c r="BZ479" s="1438"/>
      <c r="CA479" s="1438"/>
      <c r="CB479" s="1496"/>
      <c r="CC479" s="1496"/>
      <c r="CD479" s="1496"/>
      <c r="CE479" s="1496"/>
      <c r="CF479" s="1438"/>
      <c r="CG479" s="1438"/>
      <c r="CH479" s="1438"/>
      <c r="CI479" s="1438"/>
      <c r="CJ479" s="1438"/>
      <c r="CK479" s="1438"/>
      <c r="CU479" s="1411"/>
      <c r="CV479" s="1411"/>
      <c r="CW479" s="1425"/>
      <c r="CX479" s="1425"/>
      <c r="CY479" s="1425"/>
      <c r="CZ479" s="1425"/>
      <c r="DA479" s="1411"/>
      <c r="DB479" s="1411"/>
      <c r="DC479" s="1411"/>
      <c r="DD479" s="1411"/>
      <c r="DE479" s="1411"/>
      <c r="DF479" s="1411"/>
      <c r="DH479" s="1432"/>
      <c r="DI479" s="1432"/>
      <c r="DJ479" s="1437"/>
      <c r="DK479" s="1437"/>
      <c r="DL479" s="1437"/>
      <c r="DM479" s="1437"/>
      <c r="DN479" s="1432"/>
      <c r="DO479" s="1432"/>
      <c r="DP479" s="1432"/>
      <c r="DQ479" s="1432"/>
      <c r="DR479" s="1432"/>
      <c r="DS479" s="1432"/>
      <c r="DT479" s="1316"/>
      <c r="DU479" s="1433"/>
      <c r="DV479" s="1433"/>
      <c r="DW479" s="1433"/>
      <c r="DX479" s="1433"/>
      <c r="DY479" s="1433"/>
      <c r="DZ479" s="1433"/>
      <c r="EA479" s="1433"/>
      <c r="EB479" s="1433"/>
    </row>
    <row r="480" customFormat="false" ht="14.25" hidden="false" customHeight="false" outlineLevel="0" collapsed="false">
      <c r="A480" s="2" t="n">
        <f aca="false">'V_DATOS PAC_SGA'!CC475</f>
        <v>0</v>
      </c>
      <c r="B480" s="2" t="n">
        <f aca="false">IF(OR(A480=0,A480=""),0,IF(I480="IV",CONCATENATE('V_DATOS PAC_SGA'!CC475,"4")+0,CONCATENATE('V_DATOS PAC_SGA'!CC475,"0")+0))</f>
        <v>0</v>
      </c>
      <c r="C480" s="2" t="n">
        <f aca="false">'V_DATOS PAC_SGA'!CD475</f>
        <v>0</v>
      </c>
      <c r="D480" s="1409" t="n">
        <f aca="false">'V_DATOS PAC_SGA'!Y475</f>
        <v>0</v>
      </c>
      <c r="E480" s="1410" t="str">
        <f aca="false">IF('V_DATOS PAC_SGA'!AV475="","Regadio",'V_DATOS PAC_SGA'!AV475)</f>
        <v>Regadio</v>
      </c>
      <c r="F480" s="1411" t="n">
        <f aca="false">'V_DATOS PAC_SGA'!BK475</f>
        <v>0</v>
      </c>
      <c r="G480" s="1412" t="n">
        <f aca="false">'V_DATOS PAC_SGA'!AN475</f>
        <v>0</v>
      </c>
      <c r="H480" s="1413" t="str">
        <f aca="false">IF(B480&gt;0,VLOOKUP(B480,'O_MN, PE_UTA_UGM 2024'!E$3:O$419,10),"")</f>
        <v/>
      </c>
      <c r="I480" s="1359" t="str">
        <f aca="false">IF('V_DATOS PAC_SGA'!BV475="IV",'V_DATOS PAC_SGA'!BV475,"")</f>
        <v/>
      </c>
      <c r="J480" s="2" t="str">
        <f aca="false">IF($A480&gt;0,IF(AND(J$4=$G480,J$6=$F480),$D480*J$5,""),"")</f>
        <v/>
      </c>
      <c r="K480" s="2" t="str">
        <f aca="false">IF($A480&gt;0,IF(AND(K$4=$G480,K$6=$F480),$D480*K$5,""),"")</f>
        <v/>
      </c>
      <c r="L480" s="2" t="str">
        <f aca="false">IF($A480&gt;0,IF(AND(L$4=$G480,L$6=$F480),$D480*L$5,""),"")</f>
        <v/>
      </c>
      <c r="M480" s="2" t="str">
        <f aca="false">IF($A480&gt;0,IF(AND(M$4=$G480,M$6=$F480),$D480*M$5,""),"")</f>
        <v/>
      </c>
      <c r="N480" s="1508" t="n">
        <f aca="false">VLOOKUP(B480,'O_MN, PE_UTA_UGM 2024'!$E$2:$K$419,IF(G480&gt;1,6,7))</f>
        <v>0</v>
      </c>
      <c r="O480" s="1434" t="str">
        <f aca="false">IF($H480=O$4,$D480*$N480,"")</f>
        <v/>
      </c>
      <c r="P480" s="1435" t="str">
        <f aca="false">IF($H480=P$4,$D480*$N480,"")</f>
        <v/>
      </c>
      <c r="Q480" s="1435" t="str">
        <f aca="false">IF($H480=Q$4,$D480*$N480,"")</f>
        <v/>
      </c>
      <c r="R480" s="1435" t="str">
        <f aca="false">IF($H480=R$4,$D480*$N480,"")</f>
        <v/>
      </c>
      <c r="S480" s="1435" t="str">
        <f aca="false">IF($H480=S$4,$D480*$N480,"")</f>
        <v/>
      </c>
      <c r="T480" s="1435" t="str">
        <f aca="false">IF($H480=T$4,$D480*$N480,"")</f>
        <v/>
      </c>
      <c r="U480" s="1436" t="str">
        <f aca="false">IF($H480=U$4,$D480*$N480,"")</f>
        <v/>
      </c>
      <c r="V480" s="1472"/>
      <c r="W480" s="1471"/>
      <c r="X480" s="1471"/>
      <c r="Y480" s="1471"/>
      <c r="Z480" s="1471"/>
      <c r="AA480" s="1471"/>
      <c r="AB480" s="1473"/>
      <c r="AC480" s="1319"/>
      <c r="AD480" s="2" t="str">
        <f aca="false">IF(AND(AD$4=$G480,AD$6=$F480),$B480,"")</f>
        <v/>
      </c>
      <c r="AE480" s="2" t="str">
        <f aca="false">IF(AND(AE$4=$G480,AE$6=$F480),$B480,"")</f>
        <v/>
      </c>
      <c r="AF480" s="2" t="str">
        <f aca="false">IF(AND(AF$4=$G480,AF$6=$F480),$B480,"")</f>
        <v/>
      </c>
      <c r="AG480" s="2" t="str">
        <f aca="false">IF(AND(AG$4=$G480,AG$6=$F480),$B480,"")</f>
        <v/>
      </c>
      <c r="AI480" s="366"/>
      <c r="AL480" s="367"/>
      <c r="AO480" s="367"/>
      <c r="AR480" s="1411"/>
      <c r="AT480" s="1422"/>
      <c r="AU480" s="1411"/>
      <c r="AV480" s="1411"/>
      <c r="AW480" s="1423"/>
      <c r="AX480" s="1423"/>
      <c r="AZ480" s="1503"/>
      <c r="BA480" s="1503"/>
      <c r="BB480" s="1503"/>
      <c r="BC480" s="1503"/>
      <c r="BD480" s="1503"/>
      <c r="BE480" s="1503"/>
      <c r="BF480" s="1503"/>
      <c r="BG480" s="1503"/>
      <c r="BH480" s="1504"/>
      <c r="BI480" s="1504"/>
      <c r="BJ480" s="1504"/>
      <c r="BK480" s="1504"/>
      <c r="BM480" s="1411"/>
      <c r="BN480" s="1411"/>
      <c r="BO480" s="1425"/>
      <c r="BP480" s="1425"/>
      <c r="BQ480" s="1425"/>
      <c r="BR480" s="1425"/>
      <c r="BS480" s="1411"/>
      <c r="BT480" s="1411"/>
      <c r="BU480" s="1411"/>
      <c r="BV480" s="1411"/>
      <c r="BW480" s="1411"/>
      <c r="BX480" s="1411"/>
      <c r="BZ480" s="1438"/>
      <c r="CA480" s="1438"/>
      <c r="CB480" s="1496"/>
      <c r="CC480" s="1496"/>
      <c r="CD480" s="1496"/>
      <c r="CE480" s="1496"/>
      <c r="CF480" s="1438"/>
      <c r="CG480" s="1438"/>
      <c r="CH480" s="1438"/>
      <c r="CI480" s="1438"/>
      <c r="CJ480" s="1438"/>
      <c r="CK480" s="1438"/>
      <c r="CU480" s="1411"/>
      <c r="CV480" s="1411"/>
      <c r="CW480" s="1425"/>
      <c r="CX480" s="1425"/>
      <c r="CY480" s="1425"/>
      <c r="CZ480" s="1425"/>
      <c r="DA480" s="1411"/>
      <c r="DB480" s="1411"/>
      <c r="DC480" s="1411"/>
      <c r="DD480" s="1411"/>
      <c r="DE480" s="1411"/>
      <c r="DF480" s="1411"/>
      <c r="DH480" s="1432"/>
      <c r="DI480" s="1432"/>
      <c r="DJ480" s="1437"/>
      <c r="DK480" s="1437"/>
      <c r="DL480" s="1437"/>
      <c r="DM480" s="1437"/>
      <c r="DN480" s="1432"/>
      <c r="DO480" s="1432"/>
      <c r="DP480" s="1432"/>
      <c r="DQ480" s="1432"/>
      <c r="DR480" s="1432"/>
      <c r="DS480" s="1432"/>
      <c r="DT480" s="1316"/>
      <c r="DU480" s="1433"/>
      <c r="DV480" s="1433"/>
      <c r="DW480" s="1433"/>
      <c r="DX480" s="1433"/>
      <c r="DY480" s="1433"/>
      <c r="DZ480" s="1433"/>
      <c r="EA480" s="1433"/>
      <c r="EB480" s="1433"/>
    </row>
    <row r="481" customFormat="false" ht="14.25" hidden="false" customHeight="false" outlineLevel="0" collapsed="false">
      <c r="A481" s="2" t="n">
        <f aca="false">'V_DATOS PAC_SGA'!CC476</f>
        <v>0</v>
      </c>
      <c r="B481" s="2" t="n">
        <f aca="false">IF(OR(A481=0,A481=""),0,IF(I481="IV",CONCATENATE('V_DATOS PAC_SGA'!CC476,"4")+0,CONCATENATE('V_DATOS PAC_SGA'!CC476,"0")+0))</f>
        <v>0</v>
      </c>
      <c r="C481" s="2" t="n">
        <f aca="false">'V_DATOS PAC_SGA'!CD476</f>
        <v>0</v>
      </c>
      <c r="D481" s="1409" t="n">
        <f aca="false">'V_DATOS PAC_SGA'!Y476</f>
        <v>0</v>
      </c>
      <c r="E481" s="1410" t="str">
        <f aca="false">IF('V_DATOS PAC_SGA'!AV476="","Regadio",'V_DATOS PAC_SGA'!AV476)</f>
        <v>Regadio</v>
      </c>
      <c r="F481" s="1411" t="n">
        <f aca="false">'V_DATOS PAC_SGA'!BK476</f>
        <v>0</v>
      </c>
      <c r="G481" s="1412" t="n">
        <f aca="false">'V_DATOS PAC_SGA'!AN476</f>
        <v>0</v>
      </c>
      <c r="H481" s="1413" t="str">
        <f aca="false">IF(B481&gt;0,VLOOKUP(B481,'O_MN, PE_UTA_UGM 2024'!E$3:O$419,10),"")</f>
        <v/>
      </c>
      <c r="I481" s="1359" t="str">
        <f aca="false">IF('V_DATOS PAC_SGA'!BV476="IV",'V_DATOS PAC_SGA'!BV476,"")</f>
        <v/>
      </c>
      <c r="J481" s="2" t="str">
        <f aca="false">IF($A481&gt;0,IF(AND(J$4=$G481,J$6=$F481),$D481*J$5,""),"")</f>
        <v/>
      </c>
      <c r="K481" s="2" t="str">
        <f aca="false">IF($A481&gt;0,IF(AND(K$4=$G481,K$6=$F481),$D481*K$5,""),"")</f>
        <v/>
      </c>
      <c r="L481" s="2" t="str">
        <f aca="false">IF($A481&gt;0,IF(AND(L$4=$G481,L$6=$F481),$D481*L$5,""),"")</f>
        <v/>
      </c>
      <c r="M481" s="2" t="str">
        <f aca="false">IF($A481&gt;0,IF(AND(M$4=$G481,M$6=$F481),$D481*M$5,""),"")</f>
        <v/>
      </c>
      <c r="N481" s="1508" t="n">
        <f aca="false">VLOOKUP(B481,'O_MN, PE_UTA_UGM 2024'!$E$2:$K$419,IF(G481&gt;1,6,7))</f>
        <v>0</v>
      </c>
      <c r="O481" s="1434" t="str">
        <f aca="false">IF($H481=O$4,$D481*$N481,"")</f>
        <v/>
      </c>
      <c r="P481" s="1435" t="str">
        <f aca="false">IF($H481=P$4,$D481*$N481,"")</f>
        <v/>
      </c>
      <c r="Q481" s="1435" t="str">
        <f aca="false">IF($H481=Q$4,$D481*$N481,"")</f>
        <v/>
      </c>
      <c r="R481" s="1435" t="str">
        <f aca="false">IF($H481=R$4,$D481*$N481,"")</f>
        <v/>
      </c>
      <c r="S481" s="1435" t="str">
        <f aca="false">IF($H481=S$4,$D481*$N481,"")</f>
        <v/>
      </c>
      <c r="T481" s="1435" t="str">
        <f aca="false">IF($H481=T$4,$D481*$N481,"")</f>
        <v/>
      </c>
      <c r="U481" s="1436" t="str">
        <f aca="false">IF($H481=U$4,$D481*$N481,"")</f>
        <v/>
      </c>
      <c r="V481" s="1472"/>
      <c r="W481" s="1471"/>
      <c r="X481" s="1471"/>
      <c r="Y481" s="1471"/>
      <c r="Z481" s="1471"/>
      <c r="AA481" s="1471"/>
      <c r="AB481" s="1473"/>
      <c r="AC481" s="1319"/>
      <c r="AD481" s="2" t="str">
        <f aca="false">IF(AND(AD$4=$G481,AD$6=$F481),$B481,"")</f>
        <v/>
      </c>
      <c r="AE481" s="2" t="str">
        <f aca="false">IF(AND(AE$4=$G481,AE$6=$F481),$B481,"")</f>
        <v/>
      </c>
      <c r="AF481" s="2" t="str">
        <f aca="false">IF(AND(AF$4=$G481,AF$6=$F481),$B481,"")</f>
        <v/>
      </c>
      <c r="AG481" s="2" t="str">
        <f aca="false">IF(AND(AG$4=$G481,AG$6=$F481),$B481,"")</f>
        <v/>
      </c>
      <c r="AI481" s="366"/>
      <c r="AL481" s="367"/>
      <c r="AO481" s="367"/>
      <c r="AR481" s="1411"/>
      <c r="AT481" s="1422"/>
      <c r="AU481" s="1411"/>
      <c r="AV481" s="1411"/>
      <c r="AW481" s="1423"/>
      <c r="AX481" s="1423"/>
      <c r="AZ481" s="1503"/>
      <c r="BA481" s="1503"/>
      <c r="BB481" s="1503"/>
      <c r="BC481" s="1503"/>
      <c r="BD481" s="1503"/>
      <c r="BE481" s="1503"/>
      <c r="BF481" s="1503"/>
      <c r="BG481" s="1503"/>
      <c r="BH481" s="1504"/>
      <c r="BI481" s="1504"/>
      <c r="BJ481" s="1504"/>
      <c r="BK481" s="1504"/>
      <c r="BM481" s="1411"/>
      <c r="BN481" s="1411"/>
      <c r="BO481" s="1425"/>
      <c r="BP481" s="1425"/>
      <c r="BQ481" s="1425"/>
      <c r="BR481" s="1425"/>
      <c r="BS481" s="1411"/>
      <c r="BT481" s="1411"/>
      <c r="BU481" s="1411"/>
      <c r="BV481" s="1411"/>
      <c r="BW481" s="1411"/>
      <c r="BX481" s="1411"/>
      <c r="BZ481" s="1438"/>
      <c r="CA481" s="1438"/>
      <c r="CB481" s="1496"/>
      <c r="CC481" s="1496"/>
      <c r="CD481" s="1496"/>
      <c r="CE481" s="1496"/>
      <c r="CF481" s="1438"/>
      <c r="CG481" s="1438"/>
      <c r="CH481" s="1438"/>
      <c r="CI481" s="1438"/>
      <c r="CJ481" s="1438"/>
      <c r="CK481" s="1438"/>
      <c r="CU481" s="1411"/>
      <c r="CV481" s="1411"/>
      <c r="CW481" s="1425"/>
      <c r="CX481" s="1425"/>
      <c r="CY481" s="1425"/>
      <c r="CZ481" s="1425"/>
      <c r="DA481" s="1411"/>
      <c r="DB481" s="1411"/>
      <c r="DC481" s="1411"/>
      <c r="DD481" s="1411"/>
      <c r="DE481" s="1411"/>
      <c r="DF481" s="1411"/>
      <c r="DH481" s="1432"/>
      <c r="DI481" s="1432"/>
      <c r="DJ481" s="1437"/>
      <c r="DK481" s="1437"/>
      <c r="DL481" s="1437"/>
      <c r="DM481" s="1437"/>
      <c r="DN481" s="1432"/>
      <c r="DO481" s="1432"/>
      <c r="DP481" s="1432"/>
      <c r="DQ481" s="1432"/>
      <c r="DR481" s="1432"/>
      <c r="DS481" s="1432"/>
      <c r="DT481" s="1316"/>
      <c r="DU481" s="1433"/>
      <c r="DV481" s="1433"/>
      <c r="DW481" s="1433"/>
      <c r="DX481" s="1433"/>
      <c r="DY481" s="1433"/>
      <c r="DZ481" s="1433"/>
      <c r="EA481" s="1433"/>
      <c r="EB481" s="1433"/>
    </row>
    <row r="482" customFormat="false" ht="14.25" hidden="false" customHeight="false" outlineLevel="0" collapsed="false">
      <c r="A482" s="2" t="n">
        <f aca="false">'V_DATOS PAC_SGA'!CC477</f>
        <v>0</v>
      </c>
      <c r="B482" s="2" t="n">
        <f aca="false">IF(OR(A482=0,A482=""),0,IF(I482="IV",CONCATENATE('V_DATOS PAC_SGA'!CC477,"4")+0,CONCATENATE('V_DATOS PAC_SGA'!CC477,"0")+0))</f>
        <v>0</v>
      </c>
      <c r="C482" s="2" t="n">
        <f aca="false">'V_DATOS PAC_SGA'!CD477</f>
        <v>0</v>
      </c>
      <c r="D482" s="1409" t="n">
        <f aca="false">'V_DATOS PAC_SGA'!Y477</f>
        <v>0</v>
      </c>
      <c r="E482" s="1410" t="str">
        <f aca="false">IF('V_DATOS PAC_SGA'!AV477="","Regadio",'V_DATOS PAC_SGA'!AV477)</f>
        <v>Regadio</v>
      </c>
      <c r="F482" s="1411" t="n">
        <f aca="false">'V_DATOS PAC_SGA'!BK477</f>
        <v>0</v>
      </c>
      <c r="G482" s="1412" t="n">
        <f aca="false">'V_DATOS PAC_SGA'!AN477</f>
        <v>0</v>
      </c>
      <c r="H482" s="1413" t="str">
        <f aca="false">IF(B482&gt;0,VLOOKUP(B482,'O_MN, PE_UTA_UGM 2024'!E$3:O$419,10),"")</f>
        <v/>
      </c>
      <c r="I482" s="1359" t="str">
        <f aca="false">IF('V_DATOS PAC_SGA'!BV477="IV",'V_DATOS PAC_SGA'!BV477,"")</f>
        <v/>
      </c>
      <c r="J482" s="2" t="str">
        <f aca="false">IF($A482&gt;0,IF(AND(J$4=$G482,J$6=$F482),$D482*J$5,""),"")</f>
        <v/>
      </c>
      <c r="K482" s="2" t="str">
        <f aca="false">IF($A482&gt;0,IF(AND(K$4=$G482,K$6=$F482),$D482*K$5,""),"")</f>
        <v/>
      </c>
      <c r="L482" s="2" t="str">
        <f aca="false">IF($A482&gt;0,IF(AND(L$4=$G482,L$6=$F482),$D482*L$5,""),"")</f>
        <v/>
      </c>
      <c r="M482" s="2" t="str">
        <f aca="false">IF($A482&gt;0,IF(AND(M$4=$G482,M$6=$F482),$D482*M$5,""),"")</f>
        <v/>
      </c>
      <c r="N482" s="1508" t="n">
        <f aca="false">VLOOKUP(B482,'O_MN, PE_UTA_UGM 2024'!$E$2:$K$419,IF(G482&gt;1,6,7))</f>
        <v>0</v>
      </c>
      <c r="O482" s="1434" t="str">
        <f aca="false">IF($H482=O$4,$D482*$N482,"")</f>
        <v/>
      </c>
      <c r="P482" s="1435" t="str">
        <f aca="false">IF($H482=P$4,$D482*$N482,"")</f>
        <v/>
      </c>
      <c r="Q482" s="1435" t="str">
        <f aca="false">IF($H482=Q$4,$D482*$N482,"")</f>
        <v/>
      </c>
      <c r="R482" s="1435" t="str">
        <f aca="false">IF($H482=R$4,$D482*$N482,"")</f>
        <v/>
      </c>
      <c r="S482" s="1435" t="str">
        <f aca="false">IF($H482=S$4,$D482*$N482,"")</f>
        <v/>
      </c>
      <c r="T482" s="1435" t="str">
        <f aca="false">IF($H482=T$4,$D482*$N482,"")</f>
        <v/>
      </c>
      <c r="U482" s="1436" t="str">
        <f aca="false">IF($H482=U$4,$D482*$N482,"")</f>
        <v/>
      </c>
      <c r="V482" s="1472"/>
      <c r="W482" s="1471"/>
      <c r="X482" s="1471"/>
      <c r="Y482" s="1471"/>
      <c r="Z482" s="1471"/>
      <c r="AA482" s="1471"/>
      <c r="AB482" s="1473"/>
      <c r="AC482" s="1319"/>
      <c r="AD482" s="2" t="str">
        <f aca="false">IF(AND(AD$4=$G482,AD$6=$F482),$B482,"")</f>
        <v/>
      </c>
      <c r="AE482" s="2" t="str">
        <f aca="false">IF(AND(AE$4=$G482,AE$6=$F482),$B482,"")</f>
        <v/>
      </c>
      <c r="AF482" s="2" t="str">
        <f aca="false">IF(AND(AF$4=$G482,AF$6=$F482),$B482,"")</f>
        <v/>
      </c>
      <c r="AG482" s="2" t="str">
        <f aca="false">IF(AND(AG$4=$G482,AG$6=$F482),$B482,"")</f>
        <v/>
      </c>
      <c r="AI482" s="366"/>
      <c r="AL482" s="367"/>
      <c r="AO482" s="367"/>
      <c r="AR482" s="1411"/>
      <c r="AT482" s="1422"/>
      <c r="AU482" s="1411"/>
      <c r="AV482" s="1411"/>
      <c r="AW482" s="1423"/>
      <c r="AX482" s="1423"/>
      <c r="AZ482" s="1503"/>
      <c r="BA482" s="1503"/>
      <c r="BB482" s="1503"/>
      <c r="BC482" s="1503"/>
      <c r="BD482" s="1503"/>
      <c r="BE482" s="1503"/>
      <c r="BF482" s="1503"/>
      <c r="BG482" s="1503"/>
      <c r="BH482" s="1504"/>
      <c r="BI482" s="1504"/>
      <c r="BJ482" s="1504"/>
      <c r="BK482" s="1504"/>
      <c r="BM482" s="1411"/>
      <c r="BN482" s="1411"/>
      <c r="BO482" s="1425"/>
      <c r="BP482" s="1425"/>
      <c r="BQ482" s="1425"/>
      <c r="BR482" s="1425"/>
      <c r="BS482" s="1411"/>
      <c r="BT482" s="1411"/>
      <c r="BU482" s="1411"/>
      <c r="BV482" s="1411"/>
      <c r="BW482" s="1411"/>
      <c r="BX482" s="1411"/>
      <c r="BZ482" s="1438"/>
      <c r="CA482" s="1438"/>
      <c r="CB482" s="1496"/>
      <c r="CC482" s="1496"/>
      <c r="CD482" s="1496"/>
      <c r="CE482" s="1496"/>
      <c r="CF482" s="1438"/>
      <c r="CG482" s="1438"/>
      <c r="CH482" s="1438"/>
      <c r="CI482" s="1438"/>
      <c r="CJ482" s="1438"/>
      <c r="CK482" s="1438"/>
      <c r="CU482" s="1411"/>
      <c r="CV482" s="1411"/>
      <c r="CW482" s="1425"/>
      <c r="CX482" s="1425"/>
      <c r="CY482" s="1425"/>
      <c r="CZ482" s="1425"/>
      <c r="DA482" s="1411"/>
      <c r="DB482" s="1411"/>
      <c r="DC482" s="1411"/>
      <c r="DD482" s="1411"/>
      <c r="DE482" s="1411"/>
      <c r="DF482" s="1411"/>
      <c r="DH482" s="1432"/>
      <c r="DI482" s="1432"/>
      <c r="DJ482" s="1437"/>
      <c r="DK482" s="1437"/>
      <c r="DL482" s="1437"/>
      <c r="DM482" s="1437"/>
      <c r="DN482" s="1432"/>
      <c r="DO482" s="1432"/>
      <c r="DP482" s="1432"/>
      <c r="DQ482" s="1432"/>
      <c r="DR482" s="1432"/>
      <c r="DS482" s="1432"/>
      <c r="DT482" s="1316"/>
      <c r="DU482" s="1433"/>
      <c r="DV482" s="1433"/>
      <c r="DW482" s="1433"/>
      <c r="DX482" s="1433"/>
      <c r="DY482" s="1433"/>
      <c r="DZ482" s="1433"/>
      <c r="EA482" s="1433"/>
      <c r="EB482" s="1433"/>
    </row>
    <row r="483" customFormat="false" ht="14.25" hidden="false" customHeight="false" outlineLevel="0" collapsed="false">
      <c r="A483" s="2" t="n">
        <f aca="false">'V_DATOS PAC_SGA'!CC478</f>
        <v>0</v>
      </c>
      <c r="B483" s="2" t="n">
        <f aca="false">IF(OR(A483=0,A483=""),0,IF(I483="IV",CONCATENATE('V_DATOS PAC_SGA'!CC478,"4")+0,CONCATENATE('V_DATOS PAC_SGA'!CC478,"0")+0))</f>
        <v>0</v>
      </c>
      <c r="C483" s="2" t="n">
        <f aca="false">'V_DATOS PAC_SGA'!CD478</f>
        <v>0</v>
      </c>
      <c r="D483" s="1409" t="n">
        <f aca="false">'V_DATOS PAC_SGA'!Y478</f>
        <v>0</v>
      </c>
      <c r="E483" s="1410" t="str">
        <f aca="false">IF('V_DATOS PAC_SGA'!AV478="","Regadio",'V_DATOS PAC_SGA'!AV478)</f>
        <v>Regadio</v>
      </c>
      <c r="F483" s="1411" t="n">
        <f aca="false">'V_DATOS PAC_SGA'!BK478</f>
        <v>0</v>
      </c>
      <c r="G483" s="1412" t="n">
        <f aca="false">'V_DATOS PAC_SGA'!AN478</f>
        <v>0</v>
      </c>
      <c r="H483" s="1413" t="str">
        <f aca="false">IF(B483&gt;0,VLOOKUP(B483,'O_MN, PE_UTA_UGM 2024'!E$3:O$419,10),"")</f>
        <v/>
      </c>
      <c r="I483" s="1359" t="str">
        <f aca="false">IF('V_DATOS PAC_SGA'!BV478="IV",'V_DATOS PAC_SGA'!BV478,"")</f>
        <v/>
      </c>
      <c r="J483" s="2" t="str">
        <f aca="false">IF($A483&gt;0,IF(AND(J$4=$G483,J$6=$F483),$D483*J$5,""),"")</f>
        <v/>
      </c>
      <c r="K483" s="2" t="str">
        <f aca="false">IF($A483&gt;0,IF(AND(K$4=$G483,K$6=$F483),$D483*K$5,""),"")</f>
        <v/>
      </c>
      <c r="L483" s="2" t="str">
        <f aca="false">IF($A483&gt;0,IF(AND(L$4=$G483,L$6=$F483),$D483*L$5,""),"")</f>
        <v/>
      </c>
      <c r="M483" s="2" t="str">
        <f aca="false">IF($A483&gt;0,IF(AND(M$4=$G483,M$6=$F483),$D483*M$5,""),"")</f>
        <v/>
      </c>
      <c r="N483" s="1508" t="n">
        <f aca="false">VLOOKUP(B483,'O_MN, PE_UTA_UGM 2024'!$E$2:$K$419,IF(G483&gt;1,6,7))</f>
        <v>0</v>
      </c>
      <c r="O483" s="1434" t="str">
        <f aca="false">IF($H483=O$4,$D483*$N483,"")</f>
        <v/>
      </c>
      <c r="P483" s="1435" t="str">
        <f aca="false">IF($H483=P$4,$D483*$N483,"")</f>
        <v/>
      </c>
      <c r="Q483" s="1435" t="str">
        <f aca="false">IF($H483=Q$4,$D483*$N483,"")</f>
        <v/>
      </c>
      <c r="R483" s="1435" t="str">
        <f aca="false">IF($H483=R$4,$D483*$N483,"")</f>
        <v/>
      </c>
      <c r="S483" s="1435" t="str">
        <f aca="false">IF($H483=S$4,$D483*$N483,"")</f>
        <v/>
      </c>
      <c r="T483" s="1435" t="str">
        <f aca="false">IF($H483=T$4,$D483*$N483,"")</f>
        <v/>
      </c>
      <c r="U483" s="1436" t="str">
        <f aca="false">IF($H483=U$4,$D483*$N483,"")</f>
        <v/>
      </c>
      <c r="V483" s="1472"/>
      <c r="W483" s="1471"/>
      <c r="X483" s="1471"/>
      <c r="Y483" s="1471"/>
      <c r="Z483" s="1471"/>
      <c r="AA483" s="1471"/>
      <c r="AB483" s="1473"/>
      <c r="AC483" s="1319"/>
      <c r="AD483" s="2" t="str">
        <f aca="false">IF(AND(AD$4=$G483,AD$6=$F483),$B483,"")</f>
        <v/>
      </c>
      <c r="AE483" s="2" t="str">
        <f aca="false">IF(AND(AE$4=$G483,AE$6=$F483),$B483,"")</f>
        <v/>
      </c>
      <c r="AF483" s="2" t="str">
        <f aca="false">IF(AND(AF$4=$G483,AF$6=$F483),$B483,"")</f>
        <v/>
      </c>
      <c r="AG483" s="2" t="str">
        <f aca="false">IF(AND(AG$4=$G483,AG$6=$F483),$B483,"")</f>
        <v/>
      </c>
      <c r="AI483" s="366"/>
      <c r="AL483" s="367"/>
      <c r="AO483" s="367"/>
      <c r="AR483" s="1411"/>
      <c r="AT483" s="1422"/>
      <c r="AU483" s="1411"/>
      <c r="AV483" s="1411"/>
      <c r="AW483" s="1423"/>
      <c r="AX483" s="1423"/>
      <c r="AZ483" s="1503"/>
      <c r="BA483" s="1503"/>
      <c r="BB483" s="1503"/>
      <c r="BC483" s="1503"/>
      <c r="BD483" s="1503"/>
      <c r="BE483" s="1503"/>
      <c r="BF483" s="1503"/>
      <c r="BG483" s="1503"/>
      <c r="BH483" s="1504"/>
      <c r="BI483" s="1504"/>
      <c r="BJ483" s="1504"/>
      <c r="BK483" s="1504"/>
      <c r="BM483" s="1411"/>
      <c r="BN483" s="1411"/>
      <c r="BO483" s="1425"/>
      <c r="BP483" s="1425"/>
      <c r="BQ483" s="1425"/>
      <c r="BR483" s="1425"/>
      <c r="BS483" s="1411"/>
      <c r="BT483" s="1411"/>
      <c r="BU483" s="1411"/>
      <c r="BV483" s="1411"/>
      <c r="BW483" s="1411"/>
      <c r="BX483" s="1411"/>
      <c r="BZ483" s="1438"/>
      <c r="CA483" s="1438"/>
      <c r="CB483" s="1496"/>
      <c r="CC483" s="1496"/>
      <c r="CD483" s="1496"/>
      <c r="CE483" s="1496"/>
      <c r="CF483" s="1438"/>
      <c r="CG483" s="1438"/>
      <c r="CH483" s="1438"/>
      <c r="CI483" s="1438"/>
      <c r="CJ483" s="1438"/>
      <c r="CK483" s="1438"/>
      <c r="CU483" s="1411"/>
      <c r="CV483" s="1411"/>
      <c r="CW483" s="1425"/>
      <c r="CX483" s="1425"/>
      <c r="CY483" s="1425"/>
      <c r="CZ483" s="1425"/>
      <c r="DA483" s="1411"/>
      <c r="DB483" s="1411"/>
      <c r="DC483" s="1411"/>
      <c r="DD483" s="1411"/>
      <c r="DE483" s="1411"/>
      <c r="DF483" s="1411"/>
      <c r="DH483" s="1432"/>
      <c r="DI483" s="1432"/>
      <c r="DJ483" s="1437"/>
      <c r="DK483" s="1437"/>
      <c r="DL483" s="1437"/>
      <c r="DM483" s="1437"/>
      <c r="DN483" s="1432"/>
      <c r="DO483" s="1432"/>
      <c r="DP483" s="1432"/>
      <c r="DQ483" s="1432"/>
      <c r="DR483" s="1432"/>
      <c r="DS483" s="1432"/>
      <c r="DT483" s="1316"/>
      <c r="DU483" s="1433"/>
      <c r="DV483" s="1433"/>
      <c r="DW483" s="1433"/>
      <c r="DX483" s="1433"/>
      <c r="DY483" s="1433"/>
      <c r="DZ483" s="1433"/>
      <c r="EA483" s="1433"/>
      <c r="EB483" s="1433"/>
    </row>
    <row r="484" customFormat="false" ht="14.25" hidden="false" customHeight="false" outlineLevel="0" collapsed="false">
      <c r="A484" s="2" t="n">
        <f aca="false">'V_DATOS PAC_SGA'!CC479</f>
        <v>0</v>
      </c>
      <c r="B484" s="2" t="n">
        <f aca="false">IF(OR(A484=0,A484=""),0,IF(I484="IV",CONCATENATE('V_DATOS PAC_SGA'!CC479,"4")+0,CONCATENATE('V_DATOS PAC_SGA'!CC479,"0")+0))</f>
        <v>0</v>
      </c>
      <c r="C484" s="2" t="n">
        <f aca="false">'V_DATOS PAC_SGA'!CD479</f>
        <v>0</v>
      </c>
      <c r="D484" s="1409" t="n">
        <f aca="false">'V_DATOS PAC_SGA'!Y479</f>
        <v>0</v>
      </c>
      <c r="E484" s="1410" t="str">
        <f aca="false">IF('V_DATOS PAC_SGA'!AV479="","Regadio",'V_DATOS PAC_SGA'!AV479)</f>
        <v>Regadio</v>
      </c>
      <c r="F484" s="1411" t="n">
        <f aca="false">'V_DATOS PAC_SGA'!BK479</f>
        <v>0</v>
      </c>
      <c r="G484" s="1412" t="n">
        <f aca="false">'V_DATOS PAC_SGA'!AN479</f>
        <v>0</v>
      </c>
      <c r="H484" s="1413" t="str">
        <f aca="false">IF(B484&gt;0,VLOOKUP(B484,'O_MN, PE_UTA_UGM 2024'!E$3:O$419,10),"")</f>
        <v/>
      </c>
      <c r="I484" s="1359" t="str">
        <f aca="false">IF('V_DATOS PAC_SGA'!BV479="IV",'V_DATOS PAC_SGA'!BV479,"")</f>
        <v/>
      </c>
      <c r="J484" s="2" t="str">
        <f aca="false">IF($A484&gt;0,IF(AND(J$4=$G484,J$6=$F484),$D484*J$5,""),"")</f>
        <v/>
      </c>
      <c r="K484" s="2" t="str">
        <f aca="false">IF($A484&gt;0,IF(AND(K$4=$G484,K$6=$F484),$D484*K$5,""),"")</f>
        <v/>
      </c>
      <c r="L484" s="2" t="str">
        <f aca="false">IF($A484&gt;0,IF(AND(L$4=$G484,L$6=$F484),$D484*L$5,""),"")</f>
        <v/>
      </c>
      <c r="M484" s="2" t="str">
        <f aca="false">IF($A484&gt;0,IF(AND(M$4=$G484,M$6=$F484),$D484*M$5,""),"")</f>
        <v/>
      </c>
      <c r="N484" s="1508" t="n">
        <f aca="false">VLOOKUP(B484,'O_MN, PE_UTA_UGM 2024'!$E$2:$K$419,IF(G484&gt;1,6,7))</f>
        <v>0</v>
      </c>
      <c r="O484" s="1434" t="str">
        <f aca="false">IF($H484=O$4,$D484*$N484,"")</f>
        <v/>
      </c>
      <c r="P484" s="1435" t="str">
        <f aca="false">IF($H484=P$4,$D484*$N484,"")</f>
        <v/>
      </c>
      <c r="Q484" s="1435" t="str">
        <f aca="false">IF($H484=Q$4,$D484*$N484,"")</f>
        <v/>
      </c>
      <c r="R484" s="1435" t="str">
        <f aca="false">IF($H484=R$4,$D484*$N484,"")</f>
        <v/>
      </c>
      <c r="S484" s="1435" t="str">
        <f aca="false">IF($H484=S$4,$D484*$N484,"")</f>
        <v/>
      </c>
      <c r="T484" s="1435" t="str">
        <f aca="false">IF($H484=T$4,$D484*$N484,"")</f>
        <v/>
      </c>
      <c r="U484" s="1436" t="str">
        <f aca="false">IF($H484=U$4,$D484*$N484,"")</f>
        <v/>
      </c>
      <c r="V484" s="1472"/>
      <c r="W484" s="1471"/>
      <c r="X484" s="1471"/>
      <c r="Y484" s="1471"/>
      <c r="Z484" s="1471"/>
      <c r="AA484" s="1471"/>
      <c r="AB484" s="1473"/>
      <c r="AC484" s="1319"/>
      <c r="AD484" s="2" t="str">
        <f aca="false">IF(AND(AD$4=$G484,AD$6=$F484),$B484,"")</f>
        <v/>
      </c>
      <c r="AE484" s="2" t="str">
        <f aca="false">IF(AND(AE$4=$G484,AE$6=$F484),$B484,"")</f>
        <v/>
      </c>
      <c r="AF484" s="2" t="str">
        <f aca="false">IF(AND(AF$4=$G484,AF$6=$F484),$B484,"")</f>
        <v/>
      </c>
      <c r="AG484" s="2" t="str">
        <f aca="false">IF(AND(AG$4=$G484,AG$6=$F484),$B484,"")</f>
        <v/>
      </c>
      <c r="AI484" s="366"/>
      <c r="AL484" s="367"/>
      <c r="AO484" s="367"/>
      <c r="AR484" s="1411"/>
      <c r="AT484" s="1422"/>
      <c r="AU484" s="1411"/>
      <c r="AV484" s="1411"/>
      <c r="AW484" s="1423"/>
      <c r="AX484" s="1423"/>
      <c r="AZ484" s="1503"/>
      <c r="BA484" s="1503"/>
      <c r="BB484" s="1503"/>
      <c r="BC484" s="1503"/>
      <c r="BD484" s="1503"/>
      <c r="BE484" s="1503"/>
      <c r="BF484" s="1503"/>
      <c r="BG484" s="1503"/>
      <c r="BH484" s="1504"/>
      <c r="BI484" s="1504"/>
      <c r="BJ484" s="1504"/>
      <c r="BK484" s="1504"/>
      <c r="BM484" s="1411"/>
      <c r="BN484" s="1411"/>
      <c r="BO484" s="1425"/>
      <c r="BP484" s="1425"/>
      <c r="BQ484" s="1425"/>
      <c r="BR484" s="1425"/>
      <c r="BS484" s="1411"/>
      <c r="BT484" s="1411"/>
      <c r="BU484" s="1411"/>
      <c r="BV484" s="1411"/>
      <c r="BW484" s="1411"/>
      <c r="BX484" s="1411"/>
      <c r="BZ484" s="1438"/>
      <c r="CA484" s="1438"/>
      <c r="CB484" s="1496"/>
      <c r="CC484" s="1496"/>
      <c r="CD484" s="1496"/>
      <c r="CE484" s="1496"/>
      <c r="CF484" s="1438"/>
      <c r="CG484" s="1438"/>
      <c r="CH484" s="1438"/>
      <c r="CI484" s="1438"/>
      <c r="CJ484" s="1438"/>
      <c r="CK484" s="1438"/>
      <c r="CU484" s="1411"/>
      <c r="CV484" s="1411"/>
      <c r="CW484" s="1425"/>
      <c r="CX484" s="1425"/>
      <c r="CY484" s="1425"/>
      <c r="CZ484" s="1425"/>
      <c r="DA484" s="1411"/>
      <c r="DB484" s="1411"/>
      <c r="DC484" s="1411"/>
      <c r="DD484" s="1411"/>
      <c r="DE484" s="1411"/>
      <c r="DF484" s="1411"/>
      <c r="DH484" s="1432"/>
      <c r="DI484" s="1432"/>
      <c r="DJ484" s="1437"/>
      <c r="DK484" s="1437"/>
      <c r="DL484" s="1437"/>
      <c r="DM484" s="1437"/>
      <c r="DN484" s="1432"/>
      <c r="DO484" s="1432"/>
      <c r="DP484" s="1432"/>
      <c r="DQ484" s="1432"/>
      <c r="DR484" s="1432"/>
      <c r="DS484" s="1432"/>
      <c r="DT484" s="1316"/>
      <c r="DU484" s="1433"/>
      <c r="DV484" s="1433"/>
      <c r="DW484" s="1433"/>
      <c r="DX484" s="1433"/>
      <c r="DY484" s="1433"/>
      <c r="DZ484" s="1433"/>
      <c r="EA484" s="1433"/>
      <c r="EB484" s="1433"/>
    </row>
    <row r="485" customFormat="false" ht="14.25" hidden="false" customHeight="false" outlineLevel="0" collapsed="false">
      <c r="A485" s="2" t="n">
        <f aca="false">'V_DATOS PAC_SGA'!CC480</f>
        <v>0</v>
      </c>
      <c r="B485" s="2" t="n">
        <f aca="false">IF(OR(A485=0,A485=""),0,IF(I485="IV",CONCATENATE('V_DATOS PAC_SGA'!CC480,"4")+0,CONCATENATE('V_DATOS PAC_SGA'!CC480,"0")+0))</f>
        <v>0</v>
      </c>
      <c r="C485" s="2" t="n">
        <f aca="false">'V_DATOS PAC_SGA'!CD480</f>
        <v>0</v>
      </c>
      <c r="D485" s="1409" t="n">
        <f aca="false">'V_DATOS PAC_SGA'!Y480</f>
        <v>0</v>
      </c>
      <c r="E485" s="1410" t="str">
        <f aca="false">IF('V_DATOS PAC_SGA'!AV480="","Regadio",'V_DATOS PAC_SGA'!AV480)</f>
        <v>Regadio</v>
      </c>
      <c r="F485" s="1411" t="n">
        <f aca="false">'V_DATOS PAC_SGA'!BK480</f>
        <v>0</v>
      </c>
      <c r="G485" s="1412" t="n">
        <f aca="false">'V_DATOS PAC_SGA'!AN480</f>
        <v>0</v>
      </c>
      <c r="H485" s="1413" t="str">
        <f aca="false">IF(B485&gt;0,VLOOKUP(B485,'O_MN, PE_UTA_UGM 2024'!E$3:O$419,10),"")</f>
        <v/>
      </c>
      <c r="I485" s="1359" t="str">
        <f aca="false">IF('V_DATOS PAC_SGA'!BV480="IV",'V_DATOS PAC_SGA'!BV480,"")</f>
        <v/>
      </c>
      <c r="J485" s="2" t="str">
        <f aca="false">IF($A485&gt;0,IF(AND(J$4=$G485,J$6=$F485),$D485*J$5,""),"")</f>
        <v/>
      </c>
      <c r="K485" s="2" t="str">
        <f aca="false">IF($A485&gt;0,IF(AND(K$4=$G485,K$6=$F485),$D485*K$5,""),"")</f>
        <v/>
      </c>
      <c r="L485" s="2" t="str">
        <f aca="false">IF($A485&gt;0,IF(AND(L$4=$G485,L$6=$F485),$D485*L$5,""),"")</f>
        <v/>
      </c>
      <c r="M485" s="2" t="str">
        <f aca="false">IF($A485&gt;0,IF(AND(M$4=$G485,M$6=$F485),$D485*M$5,""),"")</f>
        <v/>
      </c>
      <c r="N485" s="1508" t="n">
        <f aca="false">VLOOKUP(B485,'O_MN, PE_UTA_UGM 2024'!$E$2:$K$419,IF(G485&gt;1,6,7))</f>
        <v>0</v>
      </c>
      <c r="O485" s="1434" t="str">
        <f aca="false">IF($H485=O$4,$D485*$N485,"")</f>
        <v/>
      </c>
      <c r="P485" s="1435" t="str">
        <f aca="false">IF($H485=P$4,$D485*$N485,"")</f>
        <v/>
      </c>
      <c r="Q485" s="1435" t="str">
        <f aca="false">IF($H485=Q$4,$D485*$N485,"")</f>
        <v/>
      </c>
      <c r="R485" s="1435" t="str">
        <f aca="false">IF($H485=R$4,$D485*$N485,"")</f>
        <v/>
      </c>
      <c r="S485" s="1435" t="str">
        <f aca="false">IF($H485=S$4,$D485*$N485,"")</f>
        <v/>
      </c>
      <c r="T485" s="1435" t="str">
        <f aca="false">IF($H485=T$4,$D485*$N485,"")</f>
        <v/>
      </c>
      <c r="U485" s="1436" t="str">
        <f aca="false">IF($H485=U$4,$D485*$N485,"")</f>
        <v/>
      </c>
      <c r="V485" s="1472"/>
      <c r="W485" s="1471"/>
      <c r="X485" s="1471"/>
      <c r="Y485" s="1471"/>
      <c r="Z485" s="1471"/>
      <c r="AA485" s="1471"/>
      <c r="AB485" s="1473"/>
      <c r="AC485" s="1319"/>
      <c r="AD485" s="2" t="str">
        <f aca="false">IF(AND(AD$4=$G485,AD$6=$F485),$B485,"")</f>
        <v/>
      </c>
      <c r="AE485" s="2" t="str">
        <f aca="false">IF(AND(AE$4=$G485,AE$6=$F485),$B485,"")</f>
        <v/>
      </c>
      <c r="AF485" s="2" t="str">
        <f aca="false">IF(AND(AF$4=$G485,AF$6=$F485),$B485,"")</f>
        <v/>
      </c>
      <c r="AG485" s="2" t="str">
        <f aca="false">IF(AND(AG$4=$G485,AG$6=$F485),$B485,"")</f>
        <v/>
      </c>
      <c r="AI485" s="366"/>
      <c r="AL485" s="367"/>
      <c r="AO485" s="367"/>
      <c r="AR485" s="1411"/>
      <c r="AT485" s="1422"/>
      <c r="AU485" s="1411"/>
      <c r="AV485" s="1411"/>
      <c r="AW485" s="1423"/>
      <c r="AX485" s="1423"/>
      <c r="AZ485" s="1503"/>
      <c r="BA485" s="1503"/>
      <c r="BB485" s="1503"/>
      <c r="BC485" s="1503"/>
      <c r="BD485" s="1503"/>
      <c r="BE485" s="1503"/>
      <c r="BF485" s="1503"/>
      <c r="BG485" s="1503"/>
      <c r="BH485" s="1504"/>
      <c r="BI485" s="1504"/>
      <c r="BJ485" s="1504"/>
      <c r="BK485" s="1504"/>
      <c r="BM485" s="1411"/>
      <c r="BN485" s="1411"/>
      <c r="BO485" s="1425"/>
      <c r="BP485" s="1425"/>
      <c r="BQ485" s="1425"/>
      <c r="BR485" s="1425"/>
      <c r="BS485" s="1411"/>
      <c r="BT485" s="1411"/>
      <c r="BU485" s="1411"/>
      <c r="BV485" s="1411"/>
      <c r="BW485" s="1411"/>
      <c r="BX485" s="1411"/>
      <c r="BZ485" s="1438"/>
      <c r="CA485" s="1438"/>
      <c r="CB485" s="1496"/>
      <c r="CC485" s="1496"/>
      <c r="CD485" s="1496"/>
      <c r="CE485" s="1496"/>
      <c r="CF485" s="1438"/>
      <c r="CG485" s="1438"/>
      <c r="CH485" s="1438"/>
      <c r="CI485" s="1438"/>
      <c r="CJ485" s="1438"/>
      <c r="CK485" s="1438"/>
      <c r="CU485" s="1411"/>
      <c r="CV485" s="1411"/>
      <c r="CW485" s="1425"/>
      <c r="CX485" s="1425"/>
      <c r="CY485" s="1425"/>
      <c r="CZ485" s="1425"/>
      <c r="DA485" s="1411"/>
      <c r="DB485" s="1411"/>
      <c r="DC485" s="1411"/>
      <c r="DD485" s="1411"/>
      <c r="DE485" s="1411"/>
      <c r="DF485" s="1411"/>
      <c r="DH485" s="1432"/>
      <c r="DI485" s="1432"/>
      <c r="DJ485" s="1437"/>
      <c r="DK485" s="1437"/>
      <c r="DL485" s="1437"/>
      <c r="DM485" s="1437"/>
      <c r="DN485" s="1432"/>
      <c r="DO485" s="1432"/>
      <c r="DP485" s="1432"/>
      <c r="DQ485" s="1432"/>
      <c r="DR485" s="1432"/>
      <c r="DS485" s="1432"/>
      <c r="DT485" s="1316"/>
      <c r="DU485" s="1433"/>
      <c r="DV485" s="1433"/>
      <c r="DW485" s="1433"/>
      <c r="DX485" s="1433"/>
      <c r="DY485" s="1433"/>
      <c r="DZ485" s="1433"/>
      <c r="EA485" s="1433"/>
      <c r="EB485" s="1433"/>
    </row>
    <row r="486" customFormat="false" ht="14.25" hidden="false" customHeight="false" outlineLevel="0" collapsed="false">
      <c r="A486" s="2" t="n">
        <f aca="false">'V_DATOS PAC_SGA'!CC481</f>
        <v>0</v>
      </c>
      <c r="B486" s="2" t="n">
        <f aca="false">IF(OR(A486=0,A486=""),0,IF(I486="IV",CONCATENATE('V_DATOS PAC_SGA'!CC481,"4")+0,CONCATENATE('V_DATOS PAC_SGA'!CC481,"0")+0))</f>
        <v>0</v>
      </c>
      <c r="C486" s="2" t="n">
        <f aca="false">'V_DATOS PAC_SGA'!CD481</f>
        <v>0</v>
      </c>
      <c r="D486" s="1409" t="n">
        <f aca="false">'V_DATOS PAC_SGA'!Y481</f>
        <v>0</v>
      </c>
      <c r="E486" s="1410" t="str">
        <f aca="false">IF('V_DATOS PAC_SGA'!AV481="","Regadio",'V_DATOS PAC_SGA'!AV481)</f>
        <v>Regadio</v>
      </c>
      <c r="F486" s="1411" t="n">
        <f aca="false">'V_DATOS PAC_SGA'!BK481</f>
        <v>0</v>
      </c>
      <c r="G486" s="1412" t="n">
        <f aca="false">'V_DATOS PAC_SGA'!AN481</f>
        <v>0</v>
      </c>
      <c r="H486" s="1413" t="str">
        <f aca="false">IF(B486&gt;0,VLOOKUP(B486,'O_MN, PE_UTA_UGM 2024'!E$3:O$419,10),"")</f>
        <v/>
      </c>
      <c r="I486" s="1359" t="str">
        <f aca="false">IF('V_DATOS PAC_SGA'!BV481="IV",'V_DATOS PAC_SGA'!BV481,"")</f>
        <v/>
      </c>
      <c r="J486" s="2" t="str">
        <f aca="false">IF($A486&gt;0,IF(AND(J$4=$G486,J$6=$F486),$D486*J$5,""),"")</f>
        <v/>
      </c>
      <c r="K486" s="2" t="str">
        <f aca="false">IF($A486&gt;0,IF(AND(K$4=$G486,K$6=$F486),$D486*K$5,""),"")</f>
        <v/>
      </c>
      <c r="L486" s="2" t="str">
        <f aca="false">IF($A486&gt;0,IF(AND(L$4=$G486,L$6=$F486),$D486*L$5,""),"")</f>
        <v/>
      </c>
      <c r="M486" s="2" t="str">
        <f aca="false">IF($A486&gt;0,IF(AND(M$4=$G486,M$6=$F486),$D486*M$5,""),"")</f>
        <v/>
      </c>
      <c r="N486" s="1508" t="n">
        <f aca="false">VLOOKUP(B486,'O_MN, PE_UTA_UGM 2024'!$E$2:$K$419,IF(G486&gt;1,6,7))</f>
        <v>0</v>
      </c>
      <c r="O486" s="1434" t="str">
        <f aca="false">IF($H486=O$4,$D486*$N486,"")</f>
        <v/>
      </c>
      <c r="P486" s="1435" t="str">
        <f aca="false">IF($H486=P$4,$D486*$N486,"")</f>
        <v/>
      </c>
      <c r="Q486" s="1435" t="str">
        <f aca="false">IF($H486=Q$4,$D486*$N486,"")</f>
        <v/>
      </c>
      <c r="R486" s="1435" t="str">
        <f aca="false">IF($H486=R$4,$D486*$N486,"")</f>
        <v/>
      </c>
      <c r="S486" s="1435" t="str">
        <f aca="false">IF($H486=S$4,$D486*$N486,"")</f>
        <v/>
      </c>
      <c r="T486" s="1435" t="str">
        <f aca="false">IF($H486=T$4,$D486*$N486,"")</f>
        <v/>
      </c>
      <c r="U486" s="1436" t="str">
        <f aca="false">IF($H486=U$4,$D486*$N486,"")</f>
        <v/>
      </c>
      <c r="V486" s="1472"/>
      <c r="W486" s="1471"/>
      <c r="X486" s="1471"/>
      <c r="Y486" s="1471"/>
      <c r="Z486" s="1471"/>
      <c r="AA486" s="1471"/>
      <c r="AB486" s="1473"/>
      <c r="AC486" s="1319"/>
      <c r="AD486" s="2" t="str">
        <f aca="false">IF(AND(AD$4=$G486,AD$6=$F486),$B486,"")</f>
        <v/>
      </c>
      <c r="AE486" s="2" t="str">
        <f aca="false">IF(AND(AE$4=$G486,AE$6=$F486),$B486,"")</f>
        <v/>
      </c>
      <c r="AF486" s="2" t="str">
        <f aca="false">IF(AND(AF$4=$G486,AF$6=$F486),$B486,"")</f>
        <v/>
      </c>
      <c r="AG486" s="2" t="str">
        <f aca="false">IF(AND(AG$4=$G486,AG$6=$F486),$B486,"")</f>
        <v/>
      </c>
      <c r="AI486" s="366"/>
      <c r="AL486" s="367"/>
      <c r="AO486" s="367"/>
      <c r="AR486" s="1411"/>
      <c r="AT486" s="1422"/>
      <c r="AU486" s="1411"/>
      <c r="AV486" s="1411"/>
      <c r="AW486" s="1423"/>
      <c r="AX486" s="1423"/>
      <c r="AZ486" s="1503"/>
      <c r="BA486" s="1503"/>
      <c r="BB486" s="1503"/>
      <c r="BC486" s="1503"/>
      <c r="BD486" s="1503"/>
      <c r="BE486" s="1503"/>
      <c r="BF486" s="1503"/>
      <c r="BG486" s="1503"/>
      <c r="BH486" s="1504"/>
      <c r="BI486" s="1504"/>
      <c r="BJ486" s="1504"/>
      <c r="BK486" s="1504"/>
      <c r="BM486" s="1411"/>
      <c r="BN486" s="1411"/>
      <c r="BO486" s="1425"/>
      <c r="BP486" s="1425"/>
      <c r="BQ486" s="1425"/>
      <c r="BR486" s="1425"/>
      <c r="BS486" s="1411"/>
      <c r="BT486" s="1411"/>
      <c r="BU486" s="1411"/>
      <c r="BV486" s="1411"/>
      <c r="BW486" s="1411"/>
      <c r="BX486" s="1411"/>
      <c r="BZ486" s="1438"/>
      <c r="CA486" s="1438"/>
      <c r="CB486" s="1496"/>
      <c r="CC486" s="1496"/>
      <c r="CD486" s="1496"/>
      <c r="CE486" s="1496"/>
      <c r="CF486" s="1438"/>
      <c r="CG486" s="1438"/>
      <c r="CH486" s="1438"/>
      <c r="CI486" s="1438"/>
      <c r="CJ486" s="1438"/>
      <c r="CK486" s="1438"/>
      <c r="CU486" s="1411"/>
      <c r="CV486" s="1411"/>
      <c r="CW486" s="1425"/>
      <c r="CX486" s="1425"/>
      <c r="CY486" s="1425"/>
      <c r="CZ486" s="1425"/>
      <c r="DA486" s="1411"/>
      <c r="DB486" s="1411"/>
      <c r="DC486" s="1411"/>
      <c r="DD486" s="1411"/>
      <c r="DE486" s="1411"/>
      <c r="DF486" s="1411"/>
      <c r="DH486" s="1432"/>
      <c r="DI486" s="1432"/>
      <c r="DJ486" s="1437"/>
      <c r="DK486" s="1437"/>
      <c r="DL486" s="1437"/>
      <c r="DM486" s="1437"/>
      <c r="DN486" s="1432"/>
      <c r="DO486" s="1432"/>
      <c r="DP486" s="1432"/>
      <c r="DQ486" s="1432"/>
      <c r="DR486" s="1432"/>
      <c r="DS486" s="1432"/>
      <c r="DT486" s="1316"/>
      <c r="DU486" s="1433"/>
      <c r="DV486" s="1433"/>
      <c r="DW486" s="1433"/>
      <c r="DX486" s="1433"/>
      <c r="DY486" s="1433"/>
      <c r="DZ486" s="1433"/>
      <c r="EA486" s="1433"/>
      <c r="EB486" s="1433"/>
    </row>
    <row r="487" customFormat="false" ht="14.25" hidden="false" customHeight="false" outlineLevel="0" collapsed="false">
      <c r="A487" s="2" t="n">
        <f aca="false">'V_DATOS PAC_SGA'!CC482</f>
        <v>0</v>
      </c>
      <c r="B487" s="2" t="n">
        <f aca="false">IF(OR(A487=0,A487=""),0,IF(I487="IV",CONCATENATE('V_DATOS PAC_SGA'!CC482,"4")+0,CONCATENATE('V_DATOS PAC_SGA'!CC482,"0")+0))</f>
        <v>0</v>
      </c>
      <c r="C487" s="2" t="n">
        <f aca="false">'V_DATOS PAC_SGA'!CD482</f>
        <v>0</v>
      </c>
      <c r="D487" s="1409" t="n">
        <f aca="false">'V_DATOS PAC_SGA'!Y482</f>
        <v>0</v>
      </c>
      <c r="E487" s="1410" t="str">
        <f aca="false">IF('V_DATOS PAC_SGA'!AV482="","Regadio",'V_DATOS PAC_SGA'!AV482)</f>
        <v>Regadio</v>
      </c>
      <c r="F487" s="1411" t="n">
        <f aca="false">'V_DATOS PAC_SGA'!BK482</f>
        <v>0</v>
      </c>
      <c r="G487" s="1412" t="n">
        <f aca="false">'V_DATOS PAC_SGA'!AN482</f>
        <v>0</v>
      </c>
      <c r="H487" s="1413" t="str">
        <f aca="false">IF(B487&gt;0,VLOOKUP(B487,'O_MN, PE_UTA_UGM 2024'!E$3:O$419,10),"")</f>
        <v/>
      </c>
      <c r="I487" s="1359" t="str">
        <f aca="false">IF('V_DATOS PAC_SGA'!BV482="IV",'V_DATOS PAC_SGA'!BV482,"")</f>
        <v/>
      </c>
      <c r="J487" s="2" t="str">
        <f aca="false">IF($A487&gt;0,IF(AND(J$4=$G487,J$6=$F487),$D487*J$5,""),"")</f>
        <v/>
      </c>
      <c r="K487" s="2" t="str">
        <f aca="false">IF($A487&gt;0,IF(AND(K$4=$G487,K$6=$F487),$D487*K$5,""),"")</f>
        <v/>
      </c>
      <c r="L487" s="2" t="str">
        <f aca="false">IF($A487&gt;0,IF(AND(L$4=$G487,L$6=$F487),$D487*L$5,""),"")</f>
        <v/>
      </c>
      <c r="M487" s="2" t="str">
        <f aca="false">IF($A487&gt;0,IF(AND(M$4=$G487,M$6=$F487),$D487*M$5,""),"")</f>
        <v/>
      </c>
      <c r="N487" s="1508" t="n">
        <f aca="false">VLOOKUP(B487,'O_MN, PE_UTA_UGM 2024'!$E$2:$K$419,IF(G487&gt;1,6,7))</f>
        <v>0</v>
      </c>
      <c r="O487" s="1434" t="str">
        <f aca="false">IF($H487=O$4,$D487*$N487,"")</f>
        <v/>
      </c>
      <c r="P487" s="1435" t="str">
        <f aca="false">IF($H487=P$4,$D487*$N487,"")</f>
        <v/>
      </c>
      <c r="Q487" s="1435" t="str">
        <f aca="false">IF($H487=Q$4,$D487*$N487,"")</f>
        <v/>
      </c>
      <c r="R487" s="1435" t="str">
        <f aca="false">IF($H487=R$4,$D487*$N487,"")</f>
        <v/>
      </c>
      <c r="S487" s="1435" t="str">
        <f aca="false">IF($H487=S$4,$D487*$N487,"")</f>
        <v/>
      </c>
      <c r="T487" s="1435" t="str">
        <f aca="false">IF($H487=T$4,$D487*$N487,"")</f>
        <v/>
      </c>
      <c r="U487" s="1436" t="str">
        <f aca="false">IF($H487=U$4,$D487*$N487,"")</f>
        <v/>
      </c>
      <c r="V487" s="1472"/>
      <c r="W487" s="1471"/>
      <c r="X487" s="1471"/>
      <c r="Y487" s="1471"/>
      <c r="Z487" s="1471"/>
      <c r="AA487" s="1471"/>
      <c r="AB487" s="1473"/>
      <c r="AC487" s="1319"/>
      <c r="AD487" s="2" t="str">
        <f aca="false">IF(AND(AD$4=$G487,AD$6=$F487),$B487,"")</f>
        <v/>
      </c>
      <c r="AE487" s="2" t="str">
        <f aca="false">IF(AND(AE$4=$G487,AE$6=$F487),$B487,"")</f>
        <v/>
      </c>
      <c r="AF487" s="2" t="str">
        <f aca="false">IF(AND(AF$4=$G487,AF$6=$F487),$B487,"")</f>
        <v/>
      </c>
      <c r="AG487" s="2" t="str">
        <f aca="false">IF(AND(AG$4=$G487,AG$6=$F487),$B487,"")</f>
        <v/>
      </c>
      <c r="AI487" s="366"/>
      <c r="AL487" s="367"/>
      <c r="AO487" s="367"/>
      <c r="AR487" s="1411"/>
      <c r="AT487" s="1422"/>
      <c r="AU487" s="1411"/>
      <c r="AV487" s="1411"/>
      <c r="AW487" s="1423"/>
      <c r="AX487" s="1423"/>
      <c r="AZ487" s="1503"/>
      <c r="BA487" s="1503"/>
      <c r="BB487" s="1503"/>
      <c r="BC487" s="1503"/>
      <c r="BD487" s="1503"/>
      <c r="BE487" s="1503"/>
      <c r="BF487" s="1503"/>
      <c r="BG487" s="1503"/>
      <c r="BH487" s="1504"/>
      <c r="BI487" s="1504"/>
      <c r="BJ487" s="1504"/>
      <c r="BK487" s="1504"/>
      <c r="BM487" s="1411"/>
      <c r="BN487" s="1411"/>
      <c r="BO487" s="1425"/>
      <c r="BP487" s="1425"/>
      <c r="BQ487" s="1425"/>
      <c r="BR487" s="1425"/>
      <c r="BS487" s="1411"/>
      <c r="BT487" s="1411"/>
      <c r="BU487" s="1411"/>
      <c r="BV487" s="1411"/>
      <c r="BW487" s="1411"/>
      <c r="BX487" s="1411"/>
      <c r="BZ487" s="1438"/>
      <c r="CA487" s="1438"/>
      <c r="CB487" s="1496"/>
      <c r="CC487" s="1496"/>
      <c r="CD487" s="1496"/>
      <c r="CE487" s="1496"/>
      <c r="CF487" s="1438"/>
      <c r="CG487" s="1438"/>
      <c r="CH487" s="1438"/>
      <c r="CI487" s="1438"/>
      <c r="CJ487" s="1438"/>
      <c r="CK487" s="1438"/>
      <c r="CU487" s="1411"/>
      <c r="CV487" s="1411"/>
      <c r="CW487" s="1425"/>
      <c r="CX487" s="1425"/>
      <c r="CY487" s="1425"/>
      <c r="CZ487" s="1425"/>
      <c r="DA487" s="1411"/>
      <c r="DB487" s="1411"/>
      <c r="DC487" s="1411"/>
      <c r="DD487" s="1411"/>
      <c r="DE487" s="1411"/>
      <c r="DF487" s="1411"/>
      <c r="DH487" s="1432"/>
      <c r="DI487" s="1432"/>
      <c r="DJ487" s="1437"/>
      <c r="DK487" s="1437"/>
      <c r="DL487" s="1437"/>
      <c r="DM487" s="1437"/>
      <c r="DN487" s="1432"/>
      <c r="DO487" s="1432"/>
      <c r="DP487" s="1432"/>
      <c r="DQ487" s="1432"/>
      <c r="DR487" s="1432"/>
      <c r="DS487" s="1432"/>
      <c r="DT487" s="1316"/>
      <c r="DU487" s="1433"/>
      <c r="DV487" s="1433"/>
      <c r="DW487" s="1433"/>
      <c r="DX487" s="1433"/>
      <c r="DY487" s="1433"/>
      <c r="DZ487" s="1433"/>
      <c r="EA487" s="1433"/>
      <c r="EB487" s="1433"/>
    </row>
    <row r="488" customFormat="false" ht="14.25" hidden="false" customHeight="false" outlineLevel="0" collapsed="false">
      <c r="A488" s="2" t="n">
        <f aca="false">'V_DATOS PAC_SGA'!CC483</f>
        <v>0</v>
      </c>
      <c r="B488" s="2" t="n">
        <f aca="false">IF(OR(A488=0,A488=""),0,IF(I488="IV",CONCATENATE('V_DATOS PAC_SGA'!CC483,"4")+0,CONCATENATE('V_DATOS PAC_SGA'!CC483,"0")+0))</f>
        <v>0</v>
      </c>
      <c r="C488" s="2" t="n">
        <f aca="false">'V_DATOS PAC_SGA'!CD483</f>
        <v>0</v>
      </c>
      <c r="D488" s="1409" t="n">
        <f aca="false">'V_DATOS PAC_SGA'!Y483</f>
        <v>0</v>
      </c>
      <c r="E488" s="1410" t="str">
        <f aca="false">IF('V_DATOS PAC_SGA'!AV483="","Regadio",'V_DATOS PAC_SGA'!AV483)</f>
        <v>Regadio</v>
      </c>
      <c r="F488" s="1411" t="n">
        <f aca="false">'V_DATOS PAC_SGA'!BK483</f>
        <v>0</v>
      </c>
      <c r="G488" s="1412" t="n">
        <f aca="false">'V_DATOS PAC_SGA'!AN483</f>
        <v>0</v>
      </c>
      <c r="H488" s="1413" t="str">
        <f aca="false">IF(B488&gt;0,VLOOKUP(B488,'O_MN, PE_UTA_UGM 2024'!E$3:O$419,10),"")</f>
        <v/>
      </c>
      <c r="I488" s="1359" t="str">
        <f aca="false">IF('V_DATOS PAC_SGA'!BV483="IV",'V_DATOS PAC_SGA'!BV483,"")</f>
        <v/>
      </c>
      <c r="J488" s="2" t="str">
        <f aca="false">IF($A488&gt;0,IF(AND(J$4=$G488,J$6=$F488),$D488*J$5,""),"")</f>
        <v/>
      </c>
      <c r="K488" s="2" t="str">
        <f aca="false">IF($A488&gt;0,IF(AND(K$4=$G488,K$6=$F488),$D488*K$5,""),"")</f>
        <v/>
      </c>
      <c r="L488" s="2" t="str">
        <f aca="false">IF($A488&gt;0,IF(AND(L$4=$G488,L$6=$F488),$D488*L$5,""),"")</f>
        <v/>
      </c>
      <c r="M488" s="2" t="str">
        <f aca="false">IF($A488&gt;0,IF(AND(M$4=$G488,M$6=$F488),$D488*M$5,""),"")</f>
        <v/>
      </c>
      <c r="N488" s="1508" t="n">
        <f aca="false">VLOOKUP(B488,'O_MN, PE_UTA_UGM 2024'!$E$2:$K$419,IF(G488&gt;1,6,7))</f>
        <v>0</v>
      </c>
      <c r="O488" s="1434" t="str">
        <f aca="false">IF($H488=O$4,$D488*$N488,"")</f>
        <v/>
      </c>
      <c r="P488" s="1435" t="str">
        <f aca="false">IF($H488=P$4,$D488*$N488,"")</f>
        <v/>
      </c>
      <c r="Q488" s="1435" t="str">
        <f aca="false">IF($H488=Q$4,$D488*$N488,"")</f>
        <v/>
      </c>
      <c r="R488" s="1435" t="str">
        <f aca="false">IF($H488=R$4,$D488*$N488,"")</f>
        <v/>
      </c>
      <c r="S488" s="1435" t="str">
        <f aca="false">IF($H488=S$4,$D488*$N488,"")</f>
        <v/>
      </c>
      <c r="T488" s="1435" t="str">
        <f aca="false">IF($H488=T$4,$D488*$N488,"")</f>
        <v/>
      </c>
      <c r="U488" s="1436" t="str">
        <f aca="false">IF($H488=U$4,$D488*$N488,"")</f>
        <v/>
      </c>
      <c r="V488" s="1472"/>
      <c r="W488" s="1471"/>
      <c r="X488" s="1471"/>
      <c r="Y488" s="1471"/>
      <c r="Z488" s="1471"/>
      <c r="AA488" s="1471"/>
      <c r="AB488" s="1473"/>
      <c r="AC488" s="1319"/>
      <c r="AD488" s="2" t="str">
        <f aca="false">IF(AND(AD$4=$G488,AD$6=$F488),$B488,"")</f>
        <v/>
      </c>
      <c r="AE488" s="2" t="str">
        <f aca="false">IF(AND(AE$4=$G488,AE$6=$F488),$B488,"")</f>
        <v/>
      </c>
      <c r="AF488" s="2" t="str">
        <f aca="false">IF(AND(AF$4=$G488,AF$6=$F488),$B488,"")</f>
        <v/>
      </c>
      <c r="AG488" s="2" t="str">
        <f aca="false">IF(AND(AG$4=$G488,AG$6=$F488),$B488,"")</f>
        <v/>
      </c>
      <c r="AI488" s="366"/>
      <c r="AL488" s="367"/>
      <c r="AO488" s="367"/>
      <c r="AR488" s="1411"/>
      <c r="AT488" s="1422"/>
      <c r="AU488" s="1411"/>
      <c r="AV488" s="1411"/>
      <c r="AW488" s="1423"/>
      <c r="AX488" s="1423"/>
      <c r="AZ488" s="1503"/>
      <c r="BA488" s="1503"/>
      <c r="BB488" s="1503"/>
      <c r="BC488" s="1503"/>
      <c r="BD488" s="1503"/>
      <c r="BE488" s="1503"/>
      <c r="BF488" s="1503"/>
      <c r="BG488" s="1503"/>
      <c r="BH488" s="1504"/>
      <c r="BI488" s="1504"/>
      <c r="BJ488" s="1504"/>
      <c r="BK488" s="1504"/>
      <c r="BM488" s="1411"/>
      <c r="BN488" s="1411"/>
      <c r="BO488" s="1425"/>
      <c r="BP488" s="1425"/>
      <c r="BQ488" s="1425"/>
      <c r="BR488" s="1425"/>
      <c r="BS488" s="1411"/>
      <c r="BT488" s="1411"/>
      <c r="BU488" s="1411"/>
      <c r="BV488" s="1411"/>
      <c r="BW488" s="1411"/>
      <c r="BX488" s="1411"/>
      <c r="BZ488" s="1438"/>
      <c r="CA488" s="1438"/>
      <c r="CB488" s="1496"/>
      <c r="CC488" s="1496"/>
      <c r="CD488" s="1496"/>
      <c r="CE488" s="1496"/>
      <c r="CF488" s="1438"/>
      <c r="CG488" s="1438"/>
      <c r="CH488" s="1438"/>
      <c r="CI488" s="1438"/>
      <c r="CJ488" s="1438"/>
      <c r="CK488" s="1438"/>
      <c r="CU488" s="1411"/>
      <c r="CV488" s="1411"/>
      <c r="CW488" s="1425"/>
      <c r="CX488" s="1425"/>
      <c r="CY488" s="1425"/>
      <c r="CZ488" s="1425"/>
      <c r="DA488" s="1411"/>
      <c r="DB488" s="1411"/>
      <c r="DC488" s="1411"/>
      <c r="DD488" s="1411"/>
      <c r="DE488" s="1411"/>
      <c r="DF488" s="1411"/>
      <c r="DH488" s="1432"/>
      <c r="DI488" s="1432"/>
      <c r="DJ488" s="1437"/>
      <c r="DK488" s="1437"/>
      <c r="DL488" s="1437"/>
      <c r="DM488" s="1437"/>
      <c r="DN488" s="1432"/>
      <c r="DO488" s="1432"/>
      <c r="DP488" s="1432"/>
      <c r="DQ488" s="1432"/>
      <c r="DR488" s="1432"/>
      <c r="DS488" s="1432"/>
      <c r="DT488" s="1316"/>
      <c r="DU488" s="1433"/>
      <c r="DV488" s="1433"/>
      <c r="DW488" s="1433"/>
      <c r="DX488" s="1433"/>
      <c r="DY488" s="1433"/>
      <c r="DZ488" s="1433"/>
      <c r="EA488" s="1433"/>
      <c r="EB488" s="1433"/>
    </row>
    <row r="489" customFormat="false" ht="14.25" hidden="false" customHeight="false" outlineLevel="0" collapsed="false">
      <c r="A489" s="2" t="n">
        <f aca="false">'V_DATOS PAC_SGA'!CC484</f>
        <v>0</v>
      </c>
      <c r="B489" s="2" t="n">
        <f aca="false">IF(OR(A489=0,A489=""),0,IF(I489="IV",CONCATENATE('V_DATOS PAC_SGA'!CC484,"4")+0,CONCATENATE('V_DATOS PAC_SGA'!CC484,"0")+0))</f>
        <v>0</v>
      </c>
      <c r="C489" s="2" t="n">
        <f aca="false">'V_DATOS PAC_SGA'!CD484</f>
        <v>0</v>
      </c>
      <c r="D489" s="1409" t="n">
        <f aca="false">'V_DATOS PAC_SGA'!Y484</f>
        <v>0</v>
      </c>
      <c r="E489" s="1410" t="str">
        <f aca="false">IF('V_DATOS PAC_SGA'!AV484="","Regadio",'V_DATOS PAC_SGA'!AV484)</f>
        <v>Regadio</v>
      </c>
      <c r="F489" s="1411" t="n">
        <f aca="false">'V_DATOS PAC_SGA'!BK484</f>
        <v>0</v>
      </c>
      <c r="G489" s="1412" t="n">
        <f aca="false">'V_DATOS PAC_SGA'!AN484</f>
        <v>0</v>
      </c>
      <c r="H489" s="1413" t="str">
        <f aca="false">IF(B489&gt;0,VLOOKUP(B489,'O_MN, PE_UTA_UGM 2024'!E$3:O$419,10),"")</f>
        <v/>
      </c>
      <c r="I489" s="1359" t="str">
        <f aca="false">IF('V_DATOS PAC_SGA'!BV484="IV",'V_DATOS PAC_SGA'!BV484,"")</f>
        <v/>
      </c>
      <c r="J489" s="2" t="str">
        <f aca="false">IF($A489&gt;0,IF(AND(J$4=$G489,J$6=$F489),$D489*J$5,""),"")</f>
        <v/>
      </c>
      <c r="K489" s="2" t="str">
        <f aca="false">IF($A489&gt;0,IF(AND(K$4=$G489,K$6=$F489),$D489*K$5,""),"")</f>
        <v/>
      </c>
      <c r="L489" s="2" t="str">
        <f aca="false">IF($A489&gt;0,IF(AND(L$4=$G489,L$6=$F489),$D489*L$5,""),"")</f>
        <v/>
      </c>
      <c r="M489" s="2" t="str">
        <f aca="false">IF($A489&gt;0,IF(AND(M$4=$G489,M$6=$F489),$D489*M$5,""),"")</f>
        <v/>
      </c>
      <c r="N489" s="1508" t="n">
        <f aca="false">VLOOKUP(B489,'O_MN, PE_UTA_UGM 2024'!$E$2:$K$419,IF(G489&gt;1,6,7))</f>
        <v>0</v>
      </c>
      <c r="O489" s="1434" t="str">
        <f aca="false">IF($H489=O$4,$D489*$N489,"")</f>
        <v/>
      </c>
      <c r="P489" s="1435" t="str">
        <f aca="false">IF($H489=P$4,$D489*$N489,"")</f>
        <v/>
      </c>
      <c r="Q489" s="1435" t="str">
        <f aca="false">IF($H489=Q$4,$D489*$N489,"")</f>
        <v/>
      </c>
      <c r="R489" s="1435" t="str">
        <f aca="false">IF($H489=R$4,$D489*$N489,"")</f>
        <v/>
      </c>
      <c r="S489" s="1435" t="str">
        <f aca="false">IF($H489=S$4,$D489*$N489,"")</f>
        <v/>
      </c>
      <c r="T489" s="1435" t="str">
        <f aca="false">IF($H489=T$4,$D489*$N489,"")</f>
        <v/>
      </c>
      <c r="U489" s="1436" t="str">
        <f aca="false">IF($H489=U$4,$D489*$N489,"")</f>
        <v/>
      </c>
      <c r="V489" s="1472"/>
      <c r="W489" s="1471"/>
      <c r="X489" s="1471"/>
      <c r="Y489" s="1471"/>
      <c r="Z489" s="1471"/>
      <c r="AA489" s="1471"/>
      <c r="AB489" s="1473"/>
      <c r="AC489" s="1319"/>
      <c r="AD489" s="2" t="str">
        <f aca="false">IF(AND(AD$4=$G489,AD$6=$F489),$B489,"")</f>
        <v/>
      </c>
      <c r="AE489" s="2" t="str">
        <f aca="false">IF(AND(AE$4=$G489,AE$6=$F489),$B489,"")</f>
        <v/>
      </c>
      <c r="AF489" s="2" t="str">
        <f aca="false">IF(AND(AF$4=$G489,AF$6=$F489),$B489,"")</f>
        <v/>
      </c>
      <c r="AG489" s="2" t="str">
        <f aca="false">IF(AND(AG$4=$G489,AG$6=$F489),$B489,"")</f>
        <v/>
      </c>
      <c r="AI489" s="366"/>
      <c r="AL489" s="367"/>
      <c r="AO489" s="367"/>
      <c r="AR489" s="1411"/>
      <c r="AT489" s="1422"/>
      <c r="AU489" s="1411"/>
      <c r="AV489" s="1411"/>
      <c r="AW489" s="1423"/>
      <c r="AX489" s="1423"/>
      <c r="AZ489" s="1503"/>
      <c r="BA489" s="1503"/>
      <c r="BB489" s="1503"/>
      <c r="BC489" s="1503"/>
      <c r="BD489" s="1503"/>
      <c r="BE489" s="1503"/>
      <c r="BF489" s="1503"/>
      <c r="BG489" s="1503"/>
      <c r="BH489" s="1504"/>
      <c r="BI489" s="1504"/>
      <c r="BJ489" s="1504"/>
      <c r="BK489" s="1504"/>
      <c r="BM489" s="1411"/>
      <c r="BN489" s="1411"/>
      <c r="BO489" s="1425"/>
      <c r="BP489" s="1425"/>
      <c r="BQ489" s="1425"/>
      <c r="BR489" s="1425"/>
      <c r="BS489" s="1411"/>
      <c r="BT489" s="1411"/>
      <c r="BU489" s="1411"/>
      <c r="BV489" s="1411"/>
      <c r="BW489" s="1411"/>
      <c r="BX489" s="1411"/>
      <c r="BZ489" s="1438"/>
      <c r="CA489" s="1438"/>
      <c r="CB489" s="1496"/>
      <c r="CC489" s="1496"/>
      <c r="CD489" s="1496"/>
      <c r="CE489" s="1496"/>
      <c r="CF489" s="1438"/>
      <c r="CG489" s="1438"/>
      <c r="CH489" s="1438"/>
      <c r="CI489" s="1438"/>
      <c r="CJ489" s="1438"/>
      <c r="CK489" s="1438"/>
      <c r="CU489" s="1411"/>
      <c r="CV489" s="1411"/>
      <c r="CW489" s="1425"/>
      <c r="CX489" s="1425"/>
      <c r="CY489" s="1425"/>
      <c r="CZ489" s="1425"/>
      <c r="DA489" s="1411"/>
      <c r="DB489" s="1411"/>
      <c r="DC489" s="1411"/>
      <c r="DD489" s="1411"/>
      <c r="DE489" s="1411"/>
      <c r="DF489" s="1411"/>
      <c r="DH489" s="1432"/>
      <c r="DI489" s="1432"/>
      <c r="DJ489" s="1437"/>
      <c r="DK489" s="1437"/>
      <c r="DL489" s="1437"/>
      <c r="DM489" s="1437"/>
      <c r="DN489" s="1432"/>
      <c r="DO489" s="1432"/>
      <c r="DP489" s="1432"/>
      <c r="DQ489" s="1432"/>
      <c r="DR489" s="1432"/>
      <c r="DS489" s="1432"/>
      <c r="DT489" s="1316"/>
      <c r="DU489" s="1433"/>
      <c r="DV489" s="1433"/>
      <c r="DW489" s="1433"/>
      <c r="DX489" s="1433"/>
      <c r="DY489" s="1433"/>
      <c r="DZ489" s="1433"/>
      <c r="EA489" s="1433"/>
      <c r="EB489" s="1433"/>
    </row>
    <row r="490" customFormat="false" ht="14.25" hidden="false" customHeight="false" outlineLevel="0" collapsed="false">
      <c r="A490" s="2" t="n">
        <f aca="false">'V_DATOS PAC_SGA'!CC485</f>
        <v>0</v>
      </c>
      <c r="B490" s="2" t="n">
        <f aca="false">IF(OR(A490=0,A490=""),0,IF(I490="IV",CONCATENATE('V_DATOS PAC_SGA'!CC485,"4")+0,CONCATENATE('V_DATOS PAC_SGA'!CC485,"0")+0))</f>
        <v>0</v>
      </c>
      <c r="C490" s="2" t="n">
        <f aca="false">'V_DATOS PAC_SGA'!CD485</f>
        <v>0</v>
      </c>
      <c r="D490" s="1409" t="n">
        <f aca="false">'V_DATOS PAC_SGA'!Y485</f>
        <v>0</v>
      </c>
      <c r="E490" s="1410" t="str">
        <f aca="false">IF('V_DATOS PAC_SGA'!AV485="","Regadio",'V_DATOS PAC_SGA'!AV485)</f>
        <v>Regadio</v>
      </c>
      <c r="F490" s="1411" t="n">
        <f aca="false">'V_DATOS PAC_SGA'!BK485</f>
        <v>0</v>
      </c>
      <c r="G490" s="1412" t="n">
        <f aca="false">'V_DATOS PAC_SGA'!AN485</f>
        <v>0</v>
      </c>
      <c r="H490" s="1413" t="str">
        <f aca="false">IF(B490&gt;0,VLOOKUP(B490,'O_MN, PE_UTA_UGM 2024'!E$3:O$419,10),"")</f>
        <v/>
      </c>
      <c r="I490" s="1359" t="str">
        <f aca="false">IF('V_DATOS PAC_SGA'!BV485="IV",'V_DATOS PAC_SGA'!BV485,"")</f>
        <v/>
      </c>
      <c r="J490" s="2" t="str">
        <f aca="false">IF($A490&gt;0,IF(AND(J$4=$G490,J$6=$F490),$D490*J$5,""),"")</f>
        <v/>
      </c>
      <c r="K490" s="2" t="str">
        <f aca="false">IF($A490&gt;0,IF(AND(K$4=$G490,K$6=$F490),$D490*K$5,""),"")</f>
        <v/>
      </c>
      <c r="L490" s="2" t="str">
        <f aca="false">IF($A490&gt;0,IF(AND(L$4=$G490,L$6=$F490),$D490*L$5,""),"")</f>
        <v/>
      </c>
      <c r="M490" s="2" t="str">
        <f aca="false">IF($A490&gt;0,IF(AND(M$4=$G490,M$6=$F490),$D490*M$5,""),"")</f>
        <v/>
      </c>
      <c r="N490" s="1508" t="n">
        <f aca="false">VLOOKUP(B490,'O_MN, PE_UTA_UGM 2024'!$E$2:$K$419,IF(G490&gt;1,6,7))</f>
        <v>0</v>
      </c>
      <c r="O490" s="1434" t="str">
        <f aca="false">IF($H490=O$4,$D490*$N490,"")</f>
        <v/>
      </c>
      <c r="P490" s="1435" t="str">
        <f aca="false">IF($H490=P$4,$D490*$N490,"")</f>
        <v/>
      </c>
      <c r="Q490" s="1435" t="str">
        <f aca="false">IF($H490=Q$4,$D490*$N490,"")</f>
        <v/>
      </c>
      <c r="R490" s="1435" t="str">
        <f aca="false">IF($H490=R$4,$D490*$N490,"")</f>
        <v/>
      </c>
      <c r="S490" s="1435" t="str">
        <f aca="false">IF($H490=S$4,$D490*$N490,"")</f>
        <v/>
      </c>
      <c r="T490" s="1435" t="str">
        <f aca="false">IF($H490=T$4,$D490*$N490,"")</f>
        <v/>
      </c>
      <c r="U490" s="1436" t="str">
        <f aca="false">IF($H490=U$4,$D490*$N490,"")</f>
        <v/>
      </c>
      <c r="V490" s="1472"/>
      <c r="W490" s="1471"/>
      <c r="X490" s="1471"/>
      <c r="Y490" s="1471"/>
      <c r="Z490" s="1471"/>
      <c r="AA490" s="1471"/>
      <c r="AB490" s="1473"/>
      <c r="AC490" s="1319"/>
      <c r="AD490" s="2" t="str">
        <f aca="false">IF(AND(AD$4=$G490,AD$6=$F490),$B490,"")</f>
        <v/>
      </c>
      <c r="AE490" s="2" t="str">
        <f aca="false">IF(AND(AE$4=$G490,AE$6=$F490),$B490,"")</f>
        <v/>
      </c>
      <c r="AF490" s="2" t="str">
        <f aca="false">IF(AND(AF$4=$G490,AF$6=$F490),$B490,"")</f>
        <v/>
      </c>
      <c r="AG490" s="2" t="str">
        <f aca="false">IF(AND(AG$4=$G490,AG$6=$F490),$B490,"")</f>
        <v/>
      </c>
      <c r="AI490" s="366"/>
      <c r="AL490" s="367"/>
      <c r="AO490" s="367"/>
      <c r="AR490" s="1411"/>
      <c r="AT490" s="1422"/>
      <c r="AU490" s="1411"/>
      <c r="AV490" s="1411"/>
      <c r="AW490" s="1423"/>
      <c r="AX490" s="1423"/>
      <c r="AZ490" s="1503"/>
      <c r="BA490" s="1503"/>
      <c r="BB490" s="1503"/>
      <c r="BC490" s="1503"/>
      <c r="BD490" s="1503"/>
      <c r="BE490" s="1503"/>
      <c r="BF490" s="1503"/>
      <c r="BG490" s="1503"/>
      <c r="BH490" s="1504"/>
      <c r="BI490" s="1504"/>
      <c r="BJ490" s="1504"/>
      <c r="BK490" s="1504"/>
      <c r="BM490" s="1411"/>
      <c r="BN490" s="1411"/>
      <c r="BO490" s="1425"/>
      <c r="BP490" s="1425"/>
      <c r="BQ490" s="1425"/>
      <c r="BR490" s="1425"/>
      <c r="BS490" s="1411"/>
      <c r="BT490" s="1411"/>
      <c r="BU490" s="1411"/>
      <c r="BV490" s="1411"/>
      <c r="BW490" s="1411"/>
      <c r="BX490" s="1411"/>
      <c r="BZ490" s="1438"/>
      <c r="CA490" s="1438"/>
      <c r="CB490" s="1496"/>
      <c r="CC490" s="1496"/>
      <c r="CD490" s="1496"/>
      <c r="CE490" s="1496"/>
      <c r="CF490" s="1438"/>
      <c r="CG490" s="1438"/>
      <c r="CH490" s="1438"/>
      <c r="CI490" s="1438"/>
      <c r="CJ490" s="1438"/>
      <c r="CK490" s="1438"/>
      <c r="CU490" s="1411"/>
      <c r="CV490" s="1411"/>
      <c r="CW490" s="1425"/>
      <c r="CX490" s="1425"/>
      <c r="CY490" s="1425"/>
      <c r="CZ490" s="1425"/>
      <c r="DA490" s="1411"/>
      <c r="DB490" s="1411"/>
      <c r="DC490" s="1411"/>
      <c r="DD490" s="1411"/>
      <c r="DE490" s="1411"/>
      <c r="DF490" s="1411"/>
      <c r="DH490" s="1432"/>
      <c r="DI490" s="1432"/>
      <c r="DJ490" s="1437"/>
      <c r="DK490" s="1437"/>
      <c r="DL490" s="1437"/>
      <c r="DM490" s="1437"/>
      <c r="DN490" s="1432"/>
      <c r="DO490" s="1432"/>
      <c r="DP490" s="1432"/>
      <c r="DQ490" s="1432"/>
      <c r="DR490" s="1432"/>
      <c r="DS490" s="1432"/>
      <c r="DT490" s="1316"/>
      <c r="DU490" s="1433"/>
      <c r="DV490" s="1433"/>
      <c r="DW490" s="1433"/>
      <c r="DX490" s="1433"/>
      <c r="DY490" s="1433"/>
      <c r="DZ490" s="1433"/>
      <c r="EA490" s="1433"/>
      <c r="EB490" s="1433"/>
    </row>
    <row r="491" customFormat="false" ht="14.25" hidden="false" customHeight="false" outlineLevel="0" collapsed="false">
      <c r="A491" s="2" t="n">
        <f aca="false">'V_DATOS PAC_SGA'!CC486</f>
        <v>0</v>
      </c>
      <c r="B491" s="2" t="n">
        <f aca="false">IF(OR(A491=0,A491=""),0,IF(I491="IV",CONCATENATE('V_DATOS PAC_SGA'!CC486,"4")+0,CONCATENATE('V_DATOS PAC_SGA'!CC486,"0")+0))</f>
        <v>0</v>
      </c>
      <c r="C491" s="2" t="n">
        <f aca="false">'V_DATOS PAC_SGA'!CD486</f>
        <v>0</v>
      </c>
      <c r="D491" s="1409" t="n">
        <f aca="false">'V_DATOS PAC_SGA'!Y486</f>
        <v>0</v>
      </c>
      <c r="E491" s="1410" t="str">
        <f aca="false">IF('V_DATOS PAC_SGA'!AV486="","Regadio",'V_DATOS PAC_SGA'!AV486)</f>
        <v>Regadio</v>
      </c>
      <c r="F491" s="1411" t="n">
        <f aca="false">'V_DATOS PAC_SGA'!BK486</f>
        <v>0</v>
      </c>
      <c r="G491" s="1412" t="n">
        <f aca="false">'V_DATOS PAC_SGA'!AN486</f>
        <v>0</v>
      </c>
      <c r="H491" s="1413" t="str">
        <f aca="false">IF(B491&gt;0,VLOOKUP(B491,'O_MN, PE_UTA_UGM 2024'!E$3:O$419,10),"")</f>
        <v/>
      </c>
      <c r="I491" s="1359" t="str">
        <f aca="false">IF('V_DATOS PAC_SGA'!BV486="IV",'V_DATOS PAC_SGA'!BV486,"")</f>
        <v/>
      </c>
      <c r="J491" s="2" t="str">
        <f aca="false">IF($A491&gt;0,IF(AND(J$4=$G491,J$6=$F491),$D491*J$5,""),"")</f>
        <v/>
      </c>
      <c r="K491" s="2" t="str">
        <f aca="false">IF($A491&gt;0,IF(AND(K$4=$G491,K$6=$F491),$D491*K$5,""),"")</f>
        <v/>
      </c>
      <c r="L491" s="2" t="str">
        <f aca="false">IF($A491&gt;0,IF(AND(L$4=$G491,L$6=$F491),$D491*L$5,""),"")</f>
        <v/>
      </c>
      <c r="M491" s="2" t="str">
        <f aca="false">IF($A491&gt;0,IF(AND(M$4=$G491,M$6=$F491),$D491*M$5,""),"")</f>
        <v/>
      </c>
      <c r="N491" s="1508" t="n">
        <f aca="false">VLOOKUP(B491,'O_MN, PE_UTA_UGM 2024'!$E$2:$K$419,IF(G491&gt;1,6,7))</f>
        <v>0</v>
      </c>
      <c r="O491" s="1434" t="str">
        <f aca="false">IF($H491=O$4,$D491*$N491,"")</f>
        <v/>
      </c>
      <c r="P491" s="1435" t="str">
        <f aca="false">IF($H491=P$4,$D491*$N491,"")</f>
        <v/>
      </c>
      <c r="Q491" s="1435" t="str">
        <f aca="false">IF($H491=Q$4,$D491*$N491,"")</f>
        <v/>
      </c>
      <c r="R491" s="1435" t="str">
        <f aca="false">IF($H491=R$4,$D491*$N491,"")</f>
        <v/>
      </c>
      <c r="S491" s="1435" t="str">
        <f aca="false">IF($H491=S$4,$D491*$N491,"")</f>
        <v/>
      </c>
      <c r="T491" s="1435" t="str">
        <f aca="false">IF($H491=T$4,$D491*$N491,"")</f>
        <v/>
      </c>
      <c r="U491" s="1436" t="str">
        <f aca="false">IF($H491=U$4,$D491*$N491,"")</f>
        <v/>
      </c>
      <c r="V491" s="1472"/>
      <c r="W491" s="1471"/>
      <c r="X491" s="1471"/>
      <c r="Y491" s="1471"/>
      <c r="Z491" s="1471"/>
      <c r="AA491" s="1471"/>
      <c r="AB491" s="1473"/>
      <c r="AC491" s="1319"/>
      <c r="AD491" s="2" t="str">
        <f aca="false">IF(AND(AD$4=$G491,AD$6=$F491),$B491,"")</f>
        <v/>
      </c>
      <c r="AE491" s="2" t="str">
        <f aca="false">IF(AND(AE$4=$G491,AE$6=$F491),$B491,"")</f>
        <v/>
      </c>
      <c r="AF491" s="2" t="str">
        <f aca="false">IF(AND(AF$4=$G491,AF$6=$F491),$B491,"")</f>
        <v/>
      </c>
      <c r="AG491" s="2" t="str">
        <f aca="false">IF(AND(AG$4=$G491,AG$6=$F491),$B491,"")</f>
        <v/>
      </c>
      <c r="AI491" s="366"/>
      <c r="AL491" s="367"/>
      <c r="AO491" s="367"/>
      <c r="AR491" s="1411"/>
      <c r="AT491" s="1422"/>
      <c r="AU491" s="1411"/>
      <c r="AV491" s="1411"/>
      <c r="AW491" s="1423"/>
      <c r="AX491" s="1423"/>
      <c r="AZ491" s="1503"/>
      <c r="BA491" s="1503"/>
      <c r="BB491" s="1503"/>
      <c r="BC491" s="1503"/>
      <c r="BD491" s="1503"/>
      <c r="BE491" s="1503"/>
      <c r="BF491" s="1503"/>
      <c r="BG491" s="1503"/>
      <c r="BH491" s="1504"/>
      <c r="BI491" s="1504"/>
      <c r="BJ491" s="1504"/>
      <c r="BK491" s="1504"/>
      <c r="BM491" s="1411"/>
      <c r="BN491" s="1411"/>
      <c r="BO491" s="1425"/>
      <c r="BP491" s="1425"/>
      <c r="BQ491" s="1425"/>
      <c r="BR491" s="1425"/>
      <c r="BS491" s="1411"/>
      <c r="BT491" s="1411"/>
      <c r="BU491" s="1411"/>
      <c r="BV491" s="1411"/>
      <c r="BW491" s="1411"/>
      <c r="BX491" s="1411"/>
      <c r="BZ491" s="1438"/>
      <c r="CA491" s="1438"/>
      <c r="CB491" s="1496"/>
      <c r="CC491" s="1496"/>
      <c r="CD491" s="1496"/>
      <c r="CE491" s="1496"/>
      <c r="CF491" s="1438"/>
      <c r="CG491" s="1438"/>
      <c r="CH491" s="1438"/>
      <c r="CI491" s="1438"/>
      <c r="CJ491" s="1438"/>
      <c r="CK491" s="1438"/>
      <c r="CU491" s="1411"/>
      <c r="CV491" s="1411"/>
      <c r="CW491" s="1425"/>
      <c r="CX491" s="1425"/>
      <c r="CY491" s="1425"/>
      <c r="CZ491" s="1425"/>
      <c r="DA491" s="1411"/>
      <c r="DB491" s="1411"/>
      <c r="DC491" s="1411"/>
      <c r="DD491" s="1411"/>
      <c r="DE491" s="1411"/>
      <c r="DF491" s="1411"/>
      <c r="DH491" s="1432"/>
      <c r="DI491" s="1432"/>
      <c r="DJ491" s="1437"/>
      <c r="DK491" s="1437"/>
      <c r="DL491" s="1437"/>
      <c r="DM491" s="1437"/>
      <c r="DN491" s="1432"/>
      <c r="DO491" s="1432"/>
      <c r="DP491" s="1432"/>
      <c r="DQ491" s="1432"/>
      <c r="DR491" s="1432"/>
      <c r="DS491" s="1432"/>
      <c r="DT491" s="1316"/>
      <c r="DU491" s="1433"/>
      <c r="DV491" s="1433"/>
      <c r="DW491" s="1433"/>
      <c r="DX491" s="1433"/>
      <c r="DY491" s="1433"/>
      <c r="DZ491" s="1433"/>
      <c r="EA491" s="1433"/>
      <c r="EB491" s="1433"/>
    </row>
    <row r="492" customFormat="false" ht="14.25" hidden="false" customHeight="false" outlineLevel="0" collapsed="false">
      <c r="A492" s="2" t="n">
        <f aca="false">'V_DATOS PAC_SGA'!CC487</f>
        <v>0</v>
      </c>
      <c r="B492" s="2" t="n">
        <f aca="false">IF(OR(A492=0,A492=""),0,IF(I492="IV",CONCATENATE('V_DATOS PAC_SGA'!CC487,"4")+0,CONCATENATE('V_DATOS PAC_SGA'!CC487,"0")+0))</f>
        <v>0</v>
      </c>
      <c r="C492" s="2" t="n">
        <f aca="false">'V_DATOS PAC_SGA'!CD487</f>
        <v>0</v>
      </c>
      <c r="D492" s="1409" t="n">
        <f aca="false">'V_DATOS PAC_SGA'!Y487</f>
        <v>0</v>
      </c>
      <c r="E492" s="1410" t="str">
        <f aca="false">IF('V_DATOS PAC_SGA'!AV487="","Regadio",'V_DATOS PAC_SGA'!AV487)</f>
        <v>Regadio</v>
      </c>
      <c r="F492" s="1411" t="n">
        <f aca="false">'V_DATOS PAC_SGA'!BK487</f>
        <v>0</v>
      </c>
      <c r="G492" s="1412" t="n">
        <f aca="false">'V_DATOS PAC_SGA'!AN487</f>
        <v>0</v>
      </c>
      <c r="H492" s="1413" t="str">
        <f aca="false">IF(B492&gt;0,VLOOKUP(B492,'O_MN, PE_UTA_UGM 2024'!E$3:O$419,10),"")</f>
        <v/>
      </c>
      <c r="I492" s="1359" t="str">
        <f aca="false">IF('V_DATOS PAC_SGA'!BV487="IV",'V_DATOS PAC_SGA'!BV487,"")</f>
        <v/>
      </c>
      <c r="J492" s="2" t="str">
        <f aca="false">IF($A492&gt;0,IF(AND(J$4=$G492,J$6=$F492),$D492*J$5,""),"")</f>
        <v/>
      </c>
      <c r="K492" s="2" t="str">
        <f aca="false">IF($A492&gt;0,IF(AND(K$4=$G492,K$6=$F492),$D492*K$5,""),"")</f>
        <v/>
      </c>
      <c r="L492" s="2" t="str">
        <f aca="false">IF($A492&gt;0,IF(AND(L$4=$G492,L$6=$F492),$D492*L$5,""),"")</f>
        <v/>
      </c>
      <c r="M492" s="2" t="str">
        <f aca="false">IF($A492&gt;0,IF(AND(M$4=$G492,M$6=$F492),$D492*M$5,""),"")</f>
        <v/>
      </c>
      <c r="N492" s="1508" t="n">
        <f aca="false">VLOOKUP(B492,'O_MN, PE_UTA_UGM 2024'!$E$2:$K$419,IF(G492&gt;1,6,7))</f>
        <v>0</v>
      </c>
      <c r="O492" s="1434" t="str">
        <f aca="false">IF($H492=O$4,$D492*$N492,"")</f>
        <v/>
      </c>
      <c r="P492" s="1435" t="str">
        <f aca="false">IF($H492=P$4,$D492*$N492,"")</f>
        <v/>
      </c>
      <c r="Q492" s="1435" t="str">
        <f aca="false">IF($H492=Q$4,$D492*$N492,"")</f>
        <v/>
      </c>
      <c r="R492" s="1435" t="str">
        <f aca="false">IF($H492=R$4,$D492*$N492,"")</f>
        <v/>
      </c>
      <c r="S492" s="1435" t="str">
        <f aca="false">IF($H492=S$4,$D492*$N492,"")</f>
        <v/>
      </c>
      <c r="T492" s="1435" t="str">
        <f aca="false">IF($H492=T$4,$D492*$N492,"")</f>
        <v/>
      </c>
      <c r="U492" s="1436" t="str">
        <f aca="false">IF($H492=U$4,$D492*$N492,"")</f>
        <v/>
      </c>
      <c r="V492" s="1472"/>
      <c r="W492" s="1471"/>
      <c r="X492" s="1471"/>
      <c r="Y492" s="1471"/>
      <c r="Z492" s="1471"/>
      <c r="AA492" s="1471"/>
      <c r="AB492" s="1473"/>
      <c r="AC492" s="1319"/>
      <c r="AD492" s="2" t="str">
        <f aca="false">IF(AND(AD$4=$G492,AD$6=$F492),$B492,"")</f>
        <v/>
      </c>
      <c r="AE492" s="2" t="str">
        <f aca="false">IF(AND(AE$4=$G492,AE$6=$F492),$B492,"")</f>
        <v/>
      </c>
      <c r="AF492" s="2" t="str">
        <f aca="false">IF(AND(AF$4=$G492,AF$6=$F492),$B492,"")</f>
        <v/>
      </c>
      <c r="AG492" s="2" t="str">
        <f aca="false">IF(AND(AG$4=$G492,AG$6=$F492),$B492,"")</f>
        <v/>
      </c>
      <c r="AI492" s="366"/>
      <c r="AL492" s="367"/>
      <c r="AO492" s="367"/>
      <c r="AR492" s="1411"/>
      <c r="AT492" s="1422"/>
      <c r="AU492" s="1411"/>
      <c r="AV492" s="1411"/>
      <c r="AW492" s="1423"/>
      <c r="AX492" s="1423"/>
      <c r="AZ492" s="1503"/>
      <c r="BA492" s="1503"/>
      <c r="BB492" s="1503"/>
      <c r="BC492" s="1503"/>
      <c r="BD492" s="1503"/>
      <c r="BE492" s="1503"/>
      <c r="BF492" s="1503"/>
      <c r="BG492" s="1503"/>
      <c r="BH492" s="1504"/>
      <c r="BI492" s="1504"/>
      <c r="BJ492" s="1504"/>
      <c r="BK492" s="1504"/>
      <c r="BM492" s="1411"/>
      <c r="BN492" s="1411"/>
      <c r="BO492" s="1425"/>
      <c r="BP492" s="1425"/>
      <c r="BQ492" s="1425"/>
      <c r="BR492" s="1425"/>
      <c r="BS492" s="1411"/>
      <c r="BT492" s="1411"/>
      <c r="BU492" s="1411"/>
      <c r="BV492" s="1411"/>
      <c r="BW492" s="1411"/>
      <c r="BX492" s="1411"/>
      <c r="BZ492" s="1438"/>
      <c r="CA492" s="1438"/>
      <c r="CB492" s="1496"/>
      <c r="CC492" s="1496"/>
      <c r="CD492" s="1496"/>
      <c r="CE492" s="1496"/>
      <c r="CF492" s="1438"/>
      <c r="CG492" s="1438"/>
      <c r="CH492" s="1438"/>
      <c r="CI492" s="1438"/>
      <c r="CJ492" s="1438"/>
      <c r="CK492" s="1438"/>
      <c r="CU492" s="1411"/>
      <c r="CV492" s="1411"/>
      <c r="CW492" s="1425"/>
      <c r="CX492" s="1425"/>
      <c r="CY492" s="1425"/>
      <c r="CZ492" s="1425"/>
      <c r="DA492" s="1411"/>
      <c r="DB492" s="1411"/>
      <c r="DC492" s="1411"/>
      <c r="DD492" s="1411"/>
      <c r="DE492" s="1411"/>
      <c r="DF492" s="1411"/>
      <c r="DH492" s="1432"/>
      <c r="DI492" s="1432"/>
      <c r="DJ492" s="1437"/>
      <c r="DK492" s="1437"/>
      <c r="DL492" s="1437"/>
      <c r="DM492" s="1437"/>
      <c r="DN492" s="1432"/>
      <c r="DO492" s="1432"/>
      <c r="DP492" s="1432"/>
      <c r="DQ492" s="1432"/>
      <c r="DR492" s="1432"/>
      <c r="DS492" s="1432"/>
      <c r="DT492" s="1316"/>
      <c r="DU492" s="1433"/>
      <c r="DV492" s="1433"/>
      <c r="DW492" s="1433"/>
      <c r="DX492" s="1433"/>
      <c r="DY492" s="1433"/>
      <c r="DZ492" s="1433"/>
      <c r="EA492" s="1433"/>
      <c r="EB492" s="1433"/>
    </row>
    <row r="493" customFormat="false" ht="14.25" hidden="false" customHeight="false" outlineLevel="0" collapsed="false">
      <c r="A493" s="2" t="n">
        <f aca="false">'V_DATOS PAC_SGA'!CC488</f>
        <v>0</v>
      </c>
      <c r="B493" s="2" t="n">
        <f aca="false">IF(OR(A493=0,A493=""),0,IF(I493="IV",CONCATENATE('V_DATOS PAC_SGA'!CC488,"4")+0,CONCATENATE('V_DATOS PAC_SGA'!CC488,"0")+0))</f>
        <v>0</v>
      </c>
      <c r="C493" s="2" t="n">
        <f aca="false">'V_DATOS PAC_SGA'!CD488</f>
        <v>0</v>
      </c>
      <c r="D493" s="1409" t="n">
        <f aca="false">'V_DATOS PAC_SGA'!Y488</f>
        <v>0</v>
      </c>
      <c r="E493" s="1410" t="str">
        <f aca="false">IF('V_DATOS PAC_SGA'!AV488="","Regadio",'V_DATOS PAC_SGA'!AV488)</f>
        <v>Regadio</v>
      </c>
      <c r="F493" s="1411" t="n">
        <f aca="false">'V_DATOS PAC_SGA'!BK488</f>
        <v>0</v>
      </c>
      <c r="G493" s="1412" t="n">
        <f aca="false">'V_DATOS PAC_SGA'!AN488</f>
        <v>0</v>
      </c>
      <c r="H493" s="1413" t="str">
        <f aca="false">IF(B493&gt;0,VLOOKUP(B493,'O_MN, PE_UTA_UGM 2024'!E$3:O$419,10),"")</f>
        <v/>
      </c>
      <c r="I493" s="1359" t="str">
        <f aca="false">IF('V_DATOS PAC_SGA'!BV488="IV",'V_DATOS PAC_SGA'!BV488,"")</f>
        <v/>
      </c>
      <c r="J493" s="2" t="str">
        <f aca="false">IF($A493&gt;0,IF(AND(J$4=$G493,J$6=$F493),$D493*J$5,""),"")</f>
        <v/>
      </c>
      <c r="K493" s="2" t="str">
        <f aca="false">IF($A493&gt;0,IF(AND(K$4=$G493,K$6=$F493),$D493*K$5,""),"")</f>
        <v/>
      </c>
      <c r="L493" s="2" t="str">
        <f aca="false">IF($A493&gt;0,IF(AND(L$4=$G493,L$6=$F493),$D493*L$5,""),"")</f>
        <v/>
      </c>
      <c r="M493" s="2" t="str">
        <f aca="false">IF($A493&gt;0,IF(AND(M$4=$G493,M$6=$F493),$D493*M$5,""),"")</f>
        <v/>
      </c>
      <c r="N493" s="1508" t="n">
        <f aca="false">VLOOKUP(B493,'O_MN, PE_UTA_UGM 2024'!$E$2:$K$419,IF(G493&gt;1,6,7))</f>
        <v>0</v>
      </c>
      <c r="O493" s="1434" t="str">
        <f aca="false">IF($H493=O$4,$D493*$N493,"")</f>
        <v/>
      </c>
      <c r="P493" s="1435" t="str">
        <f aca="false">IF($H493=P$4,$D493*$N493,"")</f>
        <v/>
      </c>
      <c r="Q493" s="1435" t="str">
        <f aca="false">IF($H493=Q$4,$D493*$N493,"")</f>
        <v/>
      </c>
      <c r="R493" s="1435" t="str">
        <f aca="false">IF($H493=R$4,$D493*$N493,"")</f>
        <v/>
      </c>
      <c r="S493" s="1435" t="str">
        <f aca="false">IF($H493=S$4,$D493*$N493,"")</f>
        <v/>
      </c>
      <c r="T493" s="1435" t="str">
        <f aca="false">IF($H493=T$4,$D493*$N493,"")</f>
        <v/>
      </c>
      <c r="U493" s="1436" t="str">
        <f aca="false">IF($H493=U$4,$D493*$N493,"")</f>
        <v/>
      </c>
      <c r="V493" s="1472"/>
      <c r="W493" s="1471"/>
      <c r="X493" s="1471"/>
      <c r="Y493" s="1471"/>
      <c r="Z493" s="1471"/>
      <c r="AA493" s="1471"/>
      <c r="AB493" s="1473"/>
      <c r="AC493" s="1319"/>
      <c r="AD493" s="2" t="str">
        <f aca="false">IF(AND(AD$4=$G493,AD$6=$F493),$B493,"")</f>
        <v/>
      </c>
      <c r="AE493" s="2" t="str">
        <f aca="false">IF(AND(AE$4=$G493,AE$6=$F493),$B493,"")</f>
        <v/>
      </c>
      <c r="AF493" s="2" t="str">
        <f aca="false">IF(AND(AF$4=$G493,AF$6=$F493),$B493,"")</f>
        <v/>
      </c>
      <c r="AG493" s="2" t="str">
        <f aca="false">IF(AND(AG$4=$G493,AG$6=$F493),$B493,"")</f>
        <v/>
      </c>
      <c r="AI493" s="366"/>
      <c r="AL493" s="367"/>
      <c r="AO493" s="367"/>
      <c r="AR493" s="1411"/>
      <c r="AT493" s="1422"/>
      <c r="AU493" s="1411"/>
      <c r="AV493" s="1411"/>
      <c r="AW493" s="1423"/>
      <c r="AX493" s="1423"/>
      <c r="AZ493" s="1503"/>
      <c r="BA493" s="1503"/>
      <c r="BB493" s="1503"/>
      <c r="BC493" s="1503"/>
      <c r="BD493" s="1503"/>
      <c r="BE493" s="1503"/>
      <c r="BF493" s="1503"/>
      <c r="BG493" s="1503"/>
      <c r="BH493" s="1504"/>
      <c r="BI493" s="1504"/>
      <c r="BJ493" s="1504"/>
      <c r="BK493" s="1504"/>
      <c r="BM493" s="1411"/>
      <c r="BN493" s="1411"/>
      <c r="BO493" s="1425"/>
      <c r="BP493" s="1425"/>
      <c r="BQ493" s="1425"/>
      <c r="BR493" s="1425"/>
      <c r="BS493" s="1411"/>
      <c r="BT493" s="1411"/>
      <c r="BU493" s="1411"/>
      <c r="BV493" s="1411"/>
      <c r="BW493" s="1411"/>
      <c r="BX493" s="1411"/>
      <c r="BZ493" s="1438"/>
      <c r="CA493" s="1438"/>
      <c r="CB493" s="1496"/>
      <c r="CC493" s="1496"/>
      <c r="CD493" s="1496"/>
      <c r="CE493" s="1496"/>
      <c r="CF493" s="1438"/>
      <c r="CG493" s="1438"/>
      <c r="CH493" s="1438"/>
      <c r="CI493" s="1438"/>
      <c r="CJ493" s="1438"/>
      <c r="CK493" s="1438"/>
      <c r="CU493" s="1411"/>
      <c r="CV493" s="1411"/>
      <c r="CW493" s="1425"/>
      <c r="CX493" s="1425"/>
      <c r="CY493" s="1425"/>
      <c r="CZ493" s="1425"/>
      <c r="DA493" s="1411"/>
      <c r="DB493" s="1411"/>
      <c r="DC493" s="1411"/>
      <c r="DD493" s="1411"/>
      <c r="DE493" s="1411"/>
      <c r="DF493" s="1411"/>
      <c r="DH493" s="1432"/>
      <c r="DI493" s="1432"/>
      <c r="DJ493" s="1437"/>
      <c r="DK493" s="1437"/>
      <c r="DL493" s="1437"/>
      <c r="DM493" s="1437"/>
      <c r="DN493" s="1432"/>
      <c r="DO493" s="1432"/>
      <c r="DP493" s="1432"/>
      <c r="DQ493" s="1432"/>
      <c r="DR493" s="1432"/>
      <c r="DS493" s="1432"/>
      <c r="DT493" s="1316"/>
      <c r="DU493" s="1433"/>
      <c r="DV493" s="1433"/>
      <c r="DW493" s="1433"/>
      <c r="DX493" s="1433"/>
      <c r="DY493" s="1433"/>
      <c r="DZ493" s="1433"/>
      <c r="EA493" s="1433"/>
      <c r="EB493" s="1433"/>
    </row>
    <row r="494" customFormat="false" ht="14.25" hidden="false" customHeight="false" outlineLevel="0" collapsed="false">
      <c r="A494" s="2" t="n">
        <f aca="false">'V_DATOS PAC_SGA'!CC489</f>
        <v>0</v>
      </c>
      <c r="B494" s="2" t="n">
        <f aca="false">IF(OR(A494=0,A494=""),0,IF(I494="IV",CONCATENATE('V_DATOS PAC_SGA'!CC489,"4")+0,CONCATENATE('V_DATOS PAC_SGA'!CC489,"0")+0))</f>
        <v>0</v>
      </c>
      <c r="C494" s="2" t="n">
        <f aca="false">'V_DATOS PAC_SGA'!CD489</f>
        <v>0</v>
      </c>
      <c r="D494" s="1409" t="n">
        <f aca="false">'V_DATOS PAC_SGA'!Y489</f>
        <v>0</v>
      </c>
      <c r="E494" s="1410" t="str">
        <f aca="false">IF('V_DATOS PAC_SGA'!AV489="","Regadio",'V_DATOS PAC_SGA'!AV489)</f>
        <v>Regadio</v>
      </c>
      <c r="F494" s="1411" t="n">
        <f aca="false">'V_DATOS PAC_SGA'!BK489</f>
        <v>0</v>
      </c>
      <c r="G494" s="1412" t="n">
        <f aca="false">'V_DATOS PAC_SGA'!AN489</f>
        <v>0</v>
      </c>
      <c r="H494" s="1413" t="str">
        <f aca="false">IF(B494&gt;0,VLOOKUP(B494,'O_MN, PE_UTA_UGM 2024'!E$3:O$419,10),"")</f>
        <v/>
      </c>
      <c r="I494" s="1359" t="str">
        <f aca="false">IF('V_DATOS PAC_SGA'!BV489="IV",'V_DATOS PAC_SGA'!BV489,"")</f>
        <v/>
      </c>
      <c r="J494" s="2" t="str">
        <f aca="false">IF($A494&gt;0,IF(AND(J$4=$G494,J$6=$F494),$D494*J$5,""),"")</f>
        <v/>
      </c>
      <c r="K494" s="2" t="str">
        <f aca="false">IF($A494&gt;0,IF(AND(K$4=$G494,K$6=$F494),$D494*K$5,""),"")</f>
        <v/>
      </c>
      <c r="L494" s="2" t="str">
        <f aca="false">IF($A494&gt;0,IF(AND(L$4=$G494,L$6=$F494),$D494*L$5,""),"")</f>
        <v/>
      </c>
      <c r="M494" s="2" t="str">
        <f aca="false">IF($A494&gt;0,IF(AND(M$4=$G494,M$6=$F494),$D494*M$5,""),"")</f>
        <v/>
      </c>
      <c r="N494" s="1508" t="n">
        <f aca="false">VLOOKUP(B494,'O_MN, PE_UTA_UGM 2024'!$E$2:$K$419,IF(G494&gt;1,6,7))</f>
        <v>0</v>
      </c>
      <c r="O494" s="1434" t="str">
        <f aca="false">IF($H494=O$4,$D494*$N494,"")</f>
        <v/>
      </c>
      <c r="P494" s="1435" t="str">
        <f aca="false">IF($H494=P$4,$D494*$N494,"")</f>
        <v/>
      </c>
      <c r="Q494" s="1435" t="str">
        <f aca="false">IF($H494=Q$4,$D494*$N494,"")</f>
        <v/>
      </c>
      <c r="R494" s="1435" t="str">
        <f aca="false">IF($H494=R$4,$D494*$N494,"")</f>
        <v/>
      </c>
      <c r="S494" s="1435" t="str">
        <f aca="false">IF($H494=S$4,$D494*$N494,"")</f>
        <v/>
      </c>
      <c r="T494" s="1435" t="str">
        <f aca="false">IF($H494=T$4,$D494*$N494,"")</f>
        <v/>
      </c>
      <c r="U494" s="1436" t="str">
        <f aca="false">IF($H494=U$4,$D494*$N494,"")</f>
        <v/>
      </c>
      <c r="V494" s="1472"/>
      <c r="W494" s="1471"/>
      <c r="X494" s="1471"/>
      <c r="Y494" s="1471"/>
      <c r="Z494" s="1471"/>
      <c r="AA494" s="1471"/>
      <c r="AB494" s="1473"/>
      <c r="AC494" s="1319"/>
      <c r="AD494" s="2" t="str">
        <f aca="false">IF(AND(AD$4=$G494,AD$6=$F494),$B494,"")</f>
        <v/>
      </c>
      <c r="AE494" s="2" t="str">
        <f aca="false">IF(AND(AE$4=$G494,AE$6=$F494),$B494,"")</f>
        <v/>
      </c>
      <c r="AF494" s="2" t="str">
        <f aca="false">IF(AND(AF$4=$G494,AF$6=$F494),$B494,"")</f>
        <v/>
      </c>
      <c r="AG494" s="2" t="str">
        <f aca="false">IF(AND(AG$4=$G494,AG$6=$F494),$B494,"")</f>
        <v/>
      </c>
      <c r="AI494" s="366"/>
      <c r="AL494" s="367"/>
      <c r="AO494" s="367"/>
      <c r="AR494" s="1411"/>
      <c r="AT494" s="1422"/>
      <c r="AU494" s="1411"/>
      <c r="AV494" s="1411"/>
      <c r="AW494" s="1423"/>
      <c r="AX494" s="1423"/>
      <c r="AZ494" s="1503"/>
      <c r="BA494" s="1503"/>
      <c r="BB494" s="1503"/>
      <c r="BC494" s="1503"/>
      <c r="BD494" s="1503"/>
      <c r="BE494" s="1503"/>
      <c r="BF494" s="1503"/>
      <c r="BG494" s="1503"/>
      <c r="BH494" s="1504"/>
      <c r="BI494" s="1504"/>
      <c r="BJ494" s="1504"/>
      <c r="BK494" s="1504"/>
      <c r="BM494" s="1411"/>
      <c r="BN494" s="1411"/>
      <c r="BO494" s="1425"/>
      <c r="BP494" s="1425"/>
      <c r="BQ494" s="1425"/>
      <c r="BR494" s="1425"/>
      <c r="BS494" s="1411"/>
      <c r="BT494" s="1411"/>
      <c r="BU494" s="1411"/>
      <c r="BV494" s="1411"/>
      <c r="BW494" s="1411"/>
      <c r="BX494" s="1411"/>
      <c r="BZ494" s="1438"/>
      <c r="CA494" s="1438"/>
      <c r="CB494" s="1496"/>
      <c r="CC494" s="1496"/>
      <c r="CD494" s="1496"/>
      <c r="CE494" s="1496"/>
      <c r="CF494" s="1438"/>
      <c r="CG494" s="1438"/>
      <c r="CH494" s="1438"/>
      <c r="CI494" s="1438"/>
      <c r="CJ494" s="1438"/>
      <c r="CK494" s="1438"/>
      <c r="CU494" s="1411"/>
      <c r="CV494" s="1411"/>
      <c r="CW494" s="1425"/>
      <c r="CX494" s="1425"/>
      <c r="CY494" s="1425"/>
      <c r="CZ494" s="1425"/>
      <c r="DA494" s="1411"/>
      <c r="DB494" s="1411"/>
      <c r="DC494" s="1411"/>
      <c r="DD494" s="1411"/>
      <c r="DE494" s="1411"/>
      <c r="DF494" s="1411"/>
      <c r="DH494" s="1432"/>
      <c r="DI494" s="1432"/>
      <c r="DJ494" s="1437"/>
      <c r="DK494" s="1437"/>
      <c r="DL494" s="1437"/>
      <c r="DM494" s="1437"/>
      <c r="DN494" s="1432"/>
      <c r="DO494" s="1432"/>
      <c r="DP494" s="1432"/>
      <c r="DQ494" s="1432"/>
      <c r="DR494" s="1432"/>
      <c r="DS494" s="1432"/>
      <c r="DT494" s="1316"/>
      <c r="DU494" s="1433"/>
      <c r="DV494" s="1433"/>
      <c r="DW494" s="1433"/>
      <c r="DX494" s="1433"/>
      <c r="DY494" s="1433"/>
      <c r="DZ494" s="1433"/>
      <c r="EA494" s="1433"/>
      <c r="EB494" s="1433"/>
    </row>
    <row r="495" customFormat="false" ht="14.25" hidden="false" customHeight="false" outlineLevel="0" collapsed="false">
      <c r="A495" s="2" t="n">
        <f aca="false">'V_DATOS PAC_SGA'!CC490</f>
        <v>0</v>
      </c>
      <c r="B495" s="2" t="n">
        <f aca="false">IF(OR(A495=0,A495=""),0,IF(I495="IV",CONCATENATE('V_DATOS PAC_SGA'!CC490,"4")+0,CONCATENATE('V_DATOS PAC_SGA'!CC490,"0")+0))</f>
        <v>0</v>
      </c>
      <c r="C495" s="2" t="n">
        <f aca="false">'V_DATOS PAC_SGA'!CD490</f>
        <v>0</v>
      </c>
      <c r="D495" s="1409" t="n">
        <f aca="false">'V_DATOS PAC_SGA'!Y490</f>
        <v>0</v>
      </c>
      <c r="E495" s="1410" t="str">
        <f aca="false">IF('V_DATOS PAC_SGA'!AV490="","Regadio",'V_DATOS PAC_SGA'!AV490)</f>
        <v>Regadio</v>
      </c>
      <c r="F495" s="1411" t="n">
        <f aca="false">'V_DATOS PAC_SGA'!BK490</f>
        <v>0</v>
      </c>
      <c r="G495" s="1412" t="n">
        <f aca="false">'V_DATOS PAC_SGA'!AN490</f>
        <v>0</v>
      </c>
      <c r="H495" s="1413" t="str">
        <f aca="false">IF(B495&gt;0,VLOOKUP(B495,'O_MN, PE_UTA_UGM 2024'!E$3:O$419,10),"")</f>
        <v/>
      </c>
      <c r="I495" s="1359" t="str">
        <f aca="false">IF('V_DATOS PAC_SGA'!BV490="IV",'V_DATOS PAC_SGA'!BV490,"")</f>
        <v/>
      </c>
      <c r="J495" s="2" t="str">
        <f aca="false">IF($A495&gt;0,IF(AND(J$4=$G495,J$6=$F495),$D495*J$5,""),"")</f>
        <v/>
      </c>
      <c r="K495" s="2" t="str">
        <f aca="false">IF($A495&gt;0,IF(AND(K$4=$G495,K$6=$F495),$D495*K$5,""),"")</f>
        <v/>
      </c>
      <c r="L495" s="2" t="str">
        <f aca="false">IF($A495&gt;0,IF(AND(L$4=$G495,L$6=$F495),$D495*L$5,""),"")</f>
        <v/>
      </c>
      <c r="M495" s="2" t="str">
        <f aca="false">IF($A495&gt;0,IF(AND(M$4=$G495,M$6=$F495),$D495*M$5,""),"")</f>
        <v/>
      </c>
      <c r="N495" s="1508" t="n">
        <f aca="false">VLOOKUP(B495,'O_MN, PE_UTA_UGM 2024'!$E$2:$K$419,IF(G495&gt;1,6,7))</f>
        <v>0</v>
      </c>
      <c r="O495" s="1434" t="str">
        <f aca="false">IF($H495=O$4,$D495*$N495,"")</f>
        <v/>
      </c>
      <c r="P495" s="1435" t="str">
        <f aca="false">IF($H495=P$4,$D495*$N495,"")</f>
        <v/>
      </c>
      <c r="Q495" s="1435" t="str">
        <f aca="false">IF($H495=Q$4,$D495*$N495,"")</f>
        <v/>
      </c>
      <c r="R495" s="1435" t="str">
        <f aca="false">IF($H495=R$4,$D495*$N495,"")</f>
        <v/>
      </c>
      <c r="S495" s="1435" t="str">
        <f aca="false">IF($H495=S$4,$D495*$N495,"")</f>
        <v/>
      </c>
      <c r="T495" s="1435" t="str">
        <f aca="false">IF($H495=T$4,$D495*$N495,"")</f>
        <v/>
      </c>
      <c r="U495" s="1436" t="str">
        <f aca="false">IF($H495=U$4,$D495*$N495,"")</f>
        <v/>
      </c>
      <c r="V495" s="1472"/>
      <c r="W495" s="1471"/>
      <c r="X495" s="1471"/>
      <c r="Y495" s="1471"/>
      <c r="Z495" s="1471"/>
      <c r="AA495" s="1471"/>
      <c r="AB495" s="1473"/>
      <c r="AC495" s="1319"/>
      <c r="AD495" s="2" t="str">
        <f aca="false">IF(AND(AD$4=$G495,AD$6=$F495),$B495,"")</f>
        <v/>
      </c>
      <c r="AE495" s="2" t="str">
        <f aca="false">IF(AND(AE$4=$G495,AE$6=$F495),$B495,"")</f>
        <v/>
      </c>
      <c r="AF495" s="2" t="str">
        <f aca="false">IF(AND(AF$4=$G495,AF$6=$F495),$B495,"")</f>
        <v/>
      </c>
      <c r="AG495" s="2" t="str">
        <f aca="false">IF(AND(AG$4=$G495,AG$6=$F495),$B495,"")</f>
        <v/>
      </c>
      <c r="AI495" s="366"/>
      <c r="AL495" s="367"/>
      <c r="AO495" s="367"/>
      <c r="AR495" s="1411"/>
      <c r="AT495" s="1422"/>
      <c r="AU495" s="1411"/>
      <c r="AV495" s="1411"/>
      <c r="AW495" s="1423"/>
      <c r="AX495" s="1423"/>
      <c r="AZ495" s="1503"/>
      <c r="BA495" s="1503"/>
      <c r="BB495" s="1503"/>
      <c r="BC495" s="1503"/>
      <c r="BD495" s="1503"/>
      <c r="BE495" s="1503"/>
      <c r="BF495" s="1503"/>
      <c r="BG495" s="1503"/>
      <c r="BH495" s="1504"/>
      <c r="BI495" s="1504"/>
      <c r="BJ495" s="1504"/>
      <c r="BK495" s="1504"/>
      <c r="BM495" s="1411"/>
      <c r="BN495" s="1411"/>
      <c r="BO495" s="1425"/>
      <c r="BP495" s="1425"/>
      <c r="BQ495" s="1425"/>
      <c r="BR495" s="1425"/>
      <c r="BS495" s="1411"/>
      <c r="BT495" s="1411"/>
      <c r="BU495" s="1411"/>
      <c r="BV495" s="1411"/>
      <c r="BW495" s="1411"/>
      <c r="BX495" s="1411"/>
      <c r="BZ495" s="1438"/>
      <c r="CA495" s="1438"/>
      <c r="CB495" s="1496"/>
      <c r="CC495" s="1496"/>
      <c r="CD495" s="1496"/>
      <c r="CE495" s="1496"/>
      <c r="CF495" s="1438"/>
      <c r="CG495" s="1438"/>
      <c r="CH495" s="1438"/>
      <c r="CI495" s="1438"/>
      <c r="CJ495" s="1438"/>
      <c r="CK495" s="1438"/>
      <c r="CU495" s="1411"/>
      <c r="CV495" s="1411"/>
      <c r="CW495" s="1425"/>
      <c r="CX495" s="1425"/>
      <c r="CY495" s="1425"/>
      <c r="CZ495" s="1425"/>
      <c r="DA495" s="1411"/>
      <c r="DB495" s="1411"/>
      <c r="DC495" s="1411"/>
      <c r="DD495" s="1411"/>
      <c r="DE495" s="1411"/>
      <c r="DF495" s="1411"/>
      <c r="DH495" s="1432"/>
      <c r="DI495" s="1432"/>
      <c r="DJ495" s="1437"/>
      <c r="DK495" s="1437"/>
      <c r="DL495" s="1437"/>
      <c r="DM495" s="1437"/>
      <c r="DN495" s="1432"/>
      <c r="DO495" s="1432"/>
      <c r="DP495" s="1432"/>
      <c r="DQ495" s="1432"/>
      <c r="DR495" s="1432"/>
      <c r="DS495" s="1432"/>
      <c r="DT495" s="1316"/>
      <c r="DU495" s="1433"/>
      <c r="DV495" s="1433"/>
      <c r="DW495" s="1433"/>
      <c r="DX495" s="1433"/>
      <c r="DY495" s="1433"/>
      <c r="DZ495" s="1433"/>
      <c r="EA495" s="1433"/>
      <c r="EB495" s="1433"/>
    </row>
    <row r="496" customFormat="false" ht="14.25" hidden="false" customHeight="false" outlineLevel="0" collapsed="false">
      <c r="A496" s="2" t="n">
        <f aca="false">'V_DATOS PAC_SGA'!CC491</f>
        <v>0</v>
      </c>
      <c r="B496" s="2" t="n">
        <f aca="false">IF(OR(A496=0,A496=""),0,IF(I496="IV",CONCATENATE('V_DATOS PAC_SGA'!CC491,"4")+0,CONCATENATE('V_DATOS PAC_SGA'!CC491,"0")+0))</f>
        <v>0</v>
      </c>
      <c r="C496" s="2" t="n">
        <f aca="false">'V_DATOS PAC_SGA'!CD491</f>
        <v>0</v>
      </c>
      <c r="D496" s="1409" t="n">
        <f aca="false">'V_DATOS PAC_SGA'!Y491</f>
        <v>0</v>
      </c>
      <c r="E496" s="1410" t="str">
        <f aca="false">IF('V_DATOS PAC_SGA'!AV491="","Regadio",'V_DATOS PAC_SGA'!AV491)</f>
        <v>Regadio</v>
      </c>
      <c r="F496" s="1411" t="n">
        <f aca="false">'V_DATOS PAC_SGA'!BK491</f>
        <v>0</v>
      </c>
      <c r="G496" s="1412" t="n">
        <f aca="false">'V_DATOS PAC_SGA'!AN491</f>
        <v>0</v>
      </c>
      <c r="H496" s="1413" t="str">
        <f aca="false">IF(B496&gt;0,VLOOKUP(B496,'O_MN, PE_UTA_UGM 2024'!E$3:O$419,10),"")</f>
        <v/>
      </c>
      <c r="I496" s="1359" t="str">
        <f aca="false">IF('V_DATOS PAC_SGA'!BV491="IV",'V_DATOS PAC_SGA'!BV491,"")</f>
        <v/>
      </c>
      <c r="J496" s="2" t="str">
        <f aca="false">IF($A496&gt;0,IF(AND(J$4=$G496,J$6=$F496),$D496*J$5,""),"")</f>
        <v/>
      </c>
      <c r="K496" s="2" t="str">
        <f aca="false">IF($A496&gt;0,IF(AND(K$4=$G496,K$6=$F496),$D496*K$5,""),"")</f>
        <v/>
      </c>
      <c r="L496" s="2" t="str">
        <f aca="false">IF($A496&gt;0,IF(AND(L$4=$G496,L$6=$F496),$D496*L$5,""),"")</f>
        <v/>
      </c>
      <c r="M496" s="2" t="str">
        <f aca="false">IF($A496&gt;0,IF(AND(M$4=$G496,M$6=$F496),$D496*M$5,""),"")</f>
        <v/>
      </c>
      <c r="N496" s="1508" t="n">
        <f aca="false">VLOOKUP(B496,'O_MN, PE_UTA_UGM 2024'!$E$2:$K$419,IF(G496&gt;1,6,7))</f>
        <v>0</v>
      </c>
      <c r="O496" s="1434" t="str">
        <f aca="false">IF($H496=O$4,$D496*$N496,"")</f>
        <v/>
      </c>
      <c r="P496" s="1435" t="str">
        <f aca="false">IF($H496=P$4,$D496*$N496,"")</f>
        <v/>
      </c>
      <c r="Q496" s="1435" t="str">
        <f aca="false">IF($H496=Q$4,$D496*$N496,"")</f>
        <v/>
      </c>
      <c r="R496" s="1435" t="str">
        <f aca="false">IF($H496=R$4,$D496*$N496,"")</f>
        <v/>
      </c>
      <c r="S496" s="1435" t="str">
        <f aca="false">IF($H496=S$4,$D496*$N496,"")</f>
        <v/>
      </c>
      <c r="T496" s="1435" t="str">
        <f aca="false">IF($H496=T$4,$D496*$N496,"")</f>
        <v/>
      </c>
      <c r="U496" s="1436" t="str">
        <f aca="false">IF($H496=U$4,$D496*$N496,"")</f>
        <v/>
      </c>
      <c r="V496" s="1472"/>
      <c r="W496" s="1471"/>
      <c r="X496" s="1471"/>
      <c r="Y496" s="1471"/>
      <c r="Z496" s="1471"/>
      <c r="AA496" s="1471"/>
      <c r="AB496" s="1473"/>
      <c r="AC496" s="1319"/>
      <c r="AD496" s="2" t="str">
        <f aca="false">IF(AND(AD$4=$G496,AD$6=$F496),$B496,"")</f>
        <v/>
      </c>
      <c r="AE496" s="2" t="str">
        <f aca="false">IF(AND(AE$4=$G496,AE$6=$F496),$B496,"")</f>
        <v/>
      </c>
      <c r="AF496" s="2" t="str">
        <f aca="false">IF(AND(AF$4=$G496,AF$6=$F496),$B496,"")</f>
        <v/>
      </c>
      <c r="AG496" s="2" t="str">
        <f aca="false">IF(AND(AG$4=$G496,AG$6=$F496),$B496,"")</f>
        <v/>
      </c>
      <c r="AI496" s="366"/>
      <c r="AL496" s="367"/>
      <c r="AO496" s="367"/>
      <c r="AR496" s="1411"/>
      <c r="AT496" s="1422"/>
      <c r="AU496" s="1411"/>
      <c r="AV496" s="1411"/>
      <c r="AW496" s="1423"/>
      <c r="AX496" s="1423"/>
      <c r="AZ496" s="1503"/>
      <c r="BA496" s="1503"/>
      <c r="BB496" s="1503"/>
      <c r="BC496" s="1503"/>
      <c r="BD496" s="1503"/>
      <c r="BE496" s="1503"/>
      <c r="BF496" s="1503"/>
      <c r="BG496" s="1503"/>
      <c r="BH496" s="1504"/>
      <c r="BI496" s="1504"/>
      <c r="BJ496" s="1504"/>
      <c r="BK496" s="1504"/>
      <c r="BM496" s="1411"/>
      <c r="BN496" s="1411"/>
      <c r="BO496" s="1425"/>
      <c r="BP496" s="1425"/>
      <c r="BQ496" s="1425"/>
      <c r="BR496" s="1425"/>
      <c r="BS496" s="1411"/>
      <c r="BT496" s="1411"/>
      <c r="BU496" s="1411"/>
      <c r="BV496" s="1411"/>
      <c r="BW496" s="1411"/>
      <c r="BX496" s="1411"/>
      <c r="BZ496" s="1438"/>
      <c r="CA496" s="1438"/>
      <c r="CB496" s="1496"/>
      <c r="CC496" s="1496"/>
      <c r="CD496" s="1496"/>
      <c r="CE496" s="1496"/>
      <c r="CF496" s="1438"/>
      <c r="CG496" s="1438"/>
      <c r="CH496" s="1438"/>
      <c r="CI496" s="1438"/>
      <c r="CJ496" s="1438"/>
      <c r="CK496" s="1438"/>
      <c r="CU496" s="1411"/>
      <c r="CV496" s="1411"/>
      <c r="CW496" s="1425"/>
      <c r="CX496" s="1425"/>
      <c r="CY496" s="1425"/>
      <c r="CZ496" s="1425"/>
      <c r="DA496" s="1411"/>
      <c r="DB496" s="1411"/>
      <c r="DC496" s="1411"/>
      <c r="DD496" s="1411"/>
      <c r="DE496" s="1411"/>
      <c r="DF496" s="1411"/>
      <c r="DH496" s="1432"/>
      <c r="DI496" s="1432"/>
      <c r="DJ496" s="1437"/>
      <c r="DK496" s="1437"/>
      <c r="DL496" s="1437"/>
      <c r="DM496" s="1437"/>
      <c r="DN496" s="1432"/>
      <c r="DO496" s="1432"/>
      <c r="DP496" s="1432"/>
      <c r="DQ496" s="1432"/>
      <c r="DR496" s="1432"/>
      <c r="DS496" s="1432"/>
      <c r="DT496" s="1316"/>
      <c r="DU496" s="1433"/>
      <c r="DV496" s="1433"/>
      <c r="DW496" s="1433"/>
      <c r="DX496" s="1433"/>
      <c r="DY496" s="1433"/>
      <c r="DZ496" s="1433"/>
      <c r="EA496" s="1433"/>
      <c r="EB496" s="1433"/>
    </row>
    <row r="497" customFormat="false" ht="14.25" hidden="false" customHeight="false" outlineLevel="0" collapsed="false">
      <c r="A497" s="2" t="n">
        <f aca="false">'V_DATOS PAC_SGA'!CC492</f>
        <v>0</v>
      </c>
      <c r="B497" s="2" t="n">
        <f aca="false">IF(OR(A497=0,A497=""),0,IF(I497="IV",CONCATENATE('V_DATOS PAC_SGA'!CC492,"4")+0,CONCATENATE('V_DATOS PAC_SGA'!CC492,"0")+0))</f>
        <v>0</v>
      </c>
      <c r="C497" s="2" t="n">
        <f aca="false">'V_DATOS PAC_SGA'!CD492</f>
        <v>0</v>
      </c>
      <c r="D497" s="1409" t="n">
        <f aca="false">'V_DATOS PAC_SGA'!Y492</f>
        <v>0</v>
      </c>
      <c r="E497" s="1410" t="str">
        <f aca="false">IF('V_DATOS PAC_SGA'!AV492="","Regadio",'V_DATOS PAC_SGA'!AV492)</f>
        <v>Regadio</v>
      </c>
      <c r="F497" s="1411" t="n">
        <f aca="false">'V_DATOS PAC_SGA'!BK492</f>
        <v>0</v>
      </c>
      <c r="G497" s="1412" t="n">
        <f aca="false">'V_DATOS PAC_SGA'!AN492</f>
        <v>0</v>
      </c>
      <c r="H497" s="1413" t="str">
        <f aca="false">IF(B497&gt;0,VLOOKUP(B497,'O_MN, PE_UTA_UGM 2024'!E$3:O$419,10),"")</f>
        <v/>
      </c>
      <c r="I497" s="1359" t="str">
        <f aca="false">IF('V_DATOS PAC_SGA'!BV492="IV",'V_DATOS PAC_SGA'!BV492,"")</f>
        <v/>
      </c>
      <c r="J497" s="2" t="str">
        <f aca="false">IF($A497&gt;0,IF(AND(J$4=$G497,J$6=$F497),$D497*J$5,""),"")</f>
        <v/>
      </c>
      <c r="K497" s="2" t="str">
        <f aca="false">IF($A497&gt;0,IF(AND(K$4=$G497,K$6=$F497),$D497*K$5,""),"")</f>
        <v/>
      </c>
      <c r="L497" s="2" t="str">
        <f aca="false">IF($A497&gt;0,IF(AND(L$4=$G497,L$6=$F497),$D497*L$5,""),"")</f>
        <v/>
      </c>
      <c r="M497" s="2" t="str">
        <f aca="false">IF($A497&gt;0,IF(AND(M$4=$G497,M$6=$F497),$D497*M$5,""),"")</f>
        <v/>
      </c>
      <c r="N497" s="1508" t="n">
        <f aca="false">VLOOKUP(B497,'O_MN, PE_UTA_UGM 2024'!$E$2:$K$419,IF(G497&gt;1,6,7))</f>
        <v>0</v>
      </c>
      <c r="O497" s="1434" t="str">
        <f aca="false">IF($H497=O$4,$D497*$N497,"")</f>
        <v/>
      </c>
      <c r="P497" s="1435" t="str">
        <f aca="false">IF($H497=P$4,$D497*$N497,"")</f>
        <v/>
      </c>
      <c r="Q497" s="1435" t="str">
        <f aca="false">IF($H497=Q$4,$D497*$N497,"")</f>
        <v/>
      </c>
      <c r="R497" s="1435" t="str">
        <f aca="false">IF($H497=R$4,$D497*$N497,"")</f>
        <v/>
      </c>
      <c r="S497" s="1435" t="str">
        <f aca="false">IF($H497=S$4,$D497*$N497,"")</f>
        <v/>
      </c>
      <c r="T497" s="1435" t="str">
        <f aca="false">IF($H497=T$4,$D497*$N497,"")</f>
        <v/>
      </c>
      <c r="U497" s="1436" t="str">
        <f aca="false">IF($H497=U$4,$D497*$N497,"")</f>
        <v/>
      </c>
      <c r="V497" s="1472"/>
      <c r="W497" s="1471"/>
      <c r="X497" s="1471"/>
      <c r="Y497" s="1471"/>
      <c r="Z497" s="1471"/>
      <c r="AA497" s="1471"/>
      <c r="AB497" s="1473"/>
      <c r="AC497" s="1319"/>
      <c r="AD497" s="2" t="str">
        <f aca="false">IF(AND(AD$4=$G497,AD$6=$F497),$B497,"")</f>
        <v/>
      </c>
      <c r="AE497" s="2" t="str">
        <f aca="false">IF(AND(AE$4=$G497,AE$6=$F497),$B497,"")</f>
        <v/>
      </c>
      <c r="AF497" s="2" t="str">
        <f aca="false">IF(AND(AF$4=$G497,AF$6=$F497),$B497,"")</f>
        <v/>
      </c>
      <c r="AG497" s="2" t="str">
        <f aca="false">IF(AND(AG$4=$G497,AG$6=$F497),$B497,"")</f>
        <v/>
      </c>
      <c r="AI497" s="366"/>
      <c r="AL497" s="367"/>
      <c r="AO497" s="367"/>
      <c r="AR497" s="1411"/>
      <c r="AT497" s="1422"/>
      <c r="AU497" s="1411"/>
      <c r="AV497" s="1411"/>
      <c r="AW497" s="1423"/>
      <c r="AX497" s="1423"/>
      <c r="AZ497" s="1503"/>
      <c r="BA497" s="1503"/>
      <c r="BB497" s="1503"/>
      <c r="BC497" s="1503"/>
      <c r="BD497" s="1503"/>
      <c r="BE497" s="1503"/>
      <c r="BF497" s="1503"/>
      <c r="BG497" s="1503"/>
      <c r="BH497" s="1504"/>
      <c r="BI497" s="1504"/>
      <c r="BJ497" s="1504"/>
      <c r="BK497" s="1504"/>
      <c r="BM497" s="1411"/>
      <c r="BN497" s="1411"/>
      <c r="BO497" s="1425"/>
      <c r="BP497" s="1425"/>
      <c r="BQ497" s="1425"/>
      <c r="BR497" s="1425"/>
      <c r="BS497" s="1411"/>
      <c r="BT497" s="1411"/>
      <c r="BU497" s="1411"/>
      <c r="BV497" s="1411"/>
      <c r="BW497" s="1411"/>
      <c r="BX497" s="1411"/>
      <c r="BZ497" s="1438"/>
      <c r="CA497" s="1438"/>
      <c r="CB497" s="1496"/>
      <c r="CC497" s="1496"/>
      <c r="CD497" s="1496"/>
      <c r="CE497" s="1496"/>
      <c r="CF497" s="1438"/>
      <c r="CG497" s="1438"/>
      <c r="CH497" s="1438"/>
      <c r="CI497" s="1438"/>
      <c r="CJ497" s="1438"/>
      <c r="CK497" s="1438"/>
      <c r="CU497" s="1411"/>
      <c r="CV497" s="1411"/>
      <c r="CW497" s="1425"/>
      <c r="CX497" s="1425"/>
      <c r="CY497" s="1425"/>
      <c r="CZ497" s="1425"/>
      <c r="DA497" s="1411"/>
      <c r="DB497" s="1411"/>
      <c r="DC497" s="1411"/>
      <c r="DD497" s="1411"/>
      <c r="DE497" s="1411"/>
      <c r="DF497" s="1411"/>
      <c r="DH497" s="1432"/>
      <c r="DI497" s="1432"/>
      <c r="DJ497" s="1437"/>
      <c r="DK497" s="1437"/>
      <c r="DL497" s="1437"/>
      <c r="DM497" s="1437"/>
      <c r="DN497" s="1432"/>
      <c r="DO497" s="1432"/>
      <c r="DP497" s="1432"/>
      <c r="DQ497" s="1432"/>
      <c r="DR497" s="1432"/>
      <c r="DS497" s="1432"/>
      <c r="DT497" s="1316"/>
      <c r="DU497" s="1433"/>
      <c r="DV497" s="1433"/>
      <c r="DW497" s="1433"/>
      <c r="DX497" s="1433"/>
      <c r="DY497" s="1433"/>
      <c r="DZ497" s="1433"/>
      <c r="EA497" s="1433"/>
      <c r="EB497" s="1433"/>
    </row>
    <row r="498" customFormat="false" ht="14.25" hidden="false" customHeight="false" outlineLevel="0" collapsed="false">
      <c r="A498" s="2" t="n">
        <f aca="false">'V_DATOS PAC_SGA'!CC493</f>
        <v>0</v>
      </c>
      <c r="B498" s="2" t="n">
        <f aca="false">IF(OR(A498=0,A498=""),0,IF(I498="IV",CONCATENATE('V_DATOS PAC_SGA'!CC493,"4")+0,CONCATENATE('V_DATOS PAC_SGA'!CC493,"0")+0))</f>
        <v>0</v>
      </c>
      <c r="C498" s="2" t="n">
        <f aca="false">'V_DATOS PAC_SGA'!CD493</f>
        <v>0</v>
      </c>
      <c r="D498" s="1409" t="n">
        <f aca="false">'V_DATOS PAC_SGA'!Y493</f>
        <v>0</v>
      </c>
      <c r="E498" s="1410" t="str">
        <f aca="false">IF('V_DATOS PAC_SGA'!AV493="","Regadio",'V_DATOS PAC_SGA'!AV493)</f>
        <v>Regadio</v>
      </c>
      <c r="F498" s="1411" t="n">
        <f aca="false">'V_DATOS PAC_SGA'!BK493</f>
        <v>0</v>
      </c>
      <c r="G498" s="1412" t="n">
        <f aca="false">'V_DATOS PAC_SGA'!AN493</f>
        <v>0</v>
      </c>
      <c r="H498" s="1413" t="str">
        <f aca="false">IF(B498&gt;0,VLOOKUP(B498,'O_MN, PE_UTA_UGM 2024'!E$3:O$419,10),"")</f>
        <v/>
      </c>
      <c r="I498" s="1359" t="str">
        <f aca="false">IF('V_DATOS PAC_SGA'!BV493="IV",'V_DATOS PAC_SGA'!BV493,"")</f>
        <v/>
      </c>
      <c r="J498" s="2" t="str">
        <f aca="false">IF($A498&gt;0,IF(AND(J$4=$G498,J$6=$F498),$D498*J$5,""),"")</f>
        <v/>
      </c>
      <c r="K498" s="2" t="str">
        <f aca="false">IF($A498&gt;0,IF(AND(K$4=$G498,K$6=$F498),$D498*K$5,""),"")</f>
        <v/>
      </c>
      <c r="L498" s="2" t="str">
        <f aca="false">IF($A498&gt;0,IF(AND(L$4=$G498,L$6=$F498),$D498*L$5,""),"")</f>
        <v/>
      </c>
      <c r="M498" s="2" t="str">
        <f aca="false">IF($A498&gt;0,IF(AND(M$4=$G498,M$6=$F498),$D498*M$5,""),"")</f>
        <v/>
      </c>
      <c r="N498" s="1508" t="n">
        <f aca="false">VLOOKUP(B498,'O_MN, PE_UTA_UGM 2024'!$E$2:$K$419,IF(G498&gt;1,6,7))</f>
        <v>0</v>
      </c>
      <c r="O498" s="1434" t="str">
        <f aca="false">IF($H498=O$4,$D498*$N498,"")</f>
        <v/>
      </c>
      <c r="P498" s="1435" t="str">
        <f aca="false">IF($H498=P$4,$D498*$N498,"")</f>
        <v/>
      </c>
      <c r="Q498" s="1435" t="str">
        <f aca="false">IF($H498=Q$4,$D498*$N498,"")</f>
        <v/>
      </c>
      <c r="R498" s="1435" t="str">
        <f aca="false">IF($H498=R$4,$D498*$N498,"")</f>
        <v/>
      </c>
      <c r="S498" s="1435" t="str">
        <f aca="false">IF($H498=S$4,$D498*$N498,"")</f>
        <v/>
      </c>
      <c r="T498" s="1435" t="str">
        <f aca="false">IF($H498=T$4,$D498*$N498,"")</f>
        <v/>
      </c>
      <c r="U498" s="1436" t="str">
        <f aca="false">IF($H498=U$4,$D498*$N498,"")</f>
        <v/>
      </c>
      <c r="V498" s="1472"/>
      <c r="W498" s="1471"/>
      <c r="X498" s="1471"/>
      <c r="Y498" s="1471"/>
      <c r="Z498" s="1471"/>
      <c r="AA498" s="1471"/>
      <c r="AB498" s="1473"/>
      <c r="AC498" s="1319"/>
      <c r="AD498" s="2" t="str">
        <f aca="false">IF(AND(AD$4=$G498,AD$6=$F498),$B498,"")</f>
        <v/>
      </c>
      <c r="AE498" s="2" t="str">
        <f aca="false">IF(AND(AE$4=$G498,AE$6=$F498),$B498,"")</f>
        <v/>
      </c>
      <c r="AF498" s="2" t="str">
        <f aca="false">IF(AND(AF$4=$G498,AF$6=$F498),$B498,"")</f>
        <v/>
      </c>
      <c r="AG498" s="2" t="str">
        <f aca="false">IF(AND(AG$4=$G498,AG$6=$F498),$B498,"")</f>
        <v/>
      </c>
      <c r="AI498" s="366"/>
      <c r="AL498" s="367"/>
      <c r="AO498" s="367"/>
      <c r="AR498" s="1411"/>
      <c r="AT498" s="1422"/>
      <c r="AU498" s="1411"/>
      <c r="AV498" s="1411"/>
      <c r="AW498" s="1423"/>
      <c r="AX498" s="1423"/>
      <c r="AZ498" s="1503"/>
      <c r="BA498" s="1503"/>
      <c r="BB498" s="1503"/>
      <c r="BC498" s="1503"/>
      <c r="BD498" s="1503"/>
      <c r="BE498" s="1503"/>
      <c r="BF498" s="1503"/>
      <c r="BG498" s="1503"/>
      <c r="BH498" s="1504"/>
      <c r="BI498" s="1504"/>
      <c r="BJ498" s="1504"/>
      <c r="BK498" s="1504"/>
      <c r="BM498" s="1411"/>
      <c r="BN498" s="1411"/>
      <c r="BO498" s="1425"/>
      <c r="BP498" s="1425"/>
      <c r="BQ498" s="1425"/>
      <c r="BR498" s="1425"/>
      <c r="BS498" s="1411"/>
      <c r="BT498" s="1411"/>
      <c r="BU498" s="1411"/>
      <c r="BV498" s="1411"/>
      <c r="BW498" s="1411"/>
      <c r="BX498" s="1411"/>
      <c r="BZ498" s="1438"/>
      <c r="CA498" s="1438"/>
      <c r="CB498" s="1496"/>
      <c r="CC498" s="1496"/>
      <c r="CD498" s="1496"/>
      <c r="CE498" s="1496"/>
      <c r="CF498" s="1438"/>
      <c r="CG498" s="1438"/>
      <c r="CH498" s="1438"/>
      <c r="CI498" s="1438"/>
      <c r="CJ498" s="1438"/>
      <c r="CK498" s="1438"/>
      <c r="CU498" s="1411"/>
      <c r="CV498" s="1411"/>
      <c r="CW498" s="1425"/>
      <c r="CX498" s="1425"/>
      <c r="CY498" s="1425"/>
      <c r="CZ498" s="1425"/>
      <c r="DA498" s="1411"/>
      <c r="DB498" s="1411"/>
      <c r="DC498" s="1411"/>
      <c r="DD498" s="1411"/>
      <c r="DE498" s="1411"/>
      <c r="DF498" s="1411"/>
      <c r="DH498" s="1432"/>
      <c r="DI498" s="1432"/>
      <c r="DJ498" s="1437"/>
      <c r="DK498" s="1437"/>
      <c r="DL498" s="1437"/>
      <c r="DM498" s="1437"/>
      <c r="DN498" s="1432"/>
      <c r="DO498" s="1432"/>
      <c r="DP498" s="1432"/>
      <c r="DQ498" s="1432"/>
      <c r="DR498" s="1432"/>
      <c r="DS498" s="1432"/>
      <c r="DT498" s="1316"/>
      <c r="DU498" s="1433"/>
      <c r="DV498" s="1433"/>
      <c r="DW498" s="1433"/>
      <c r="DX498" s="1433"/>
      <c r="DY498" s="1433"/>
      <c r="DZ498" s="1433"/>
      <c r="EA498" s="1433"/>
      <c r="EB498" s="1433"/>
    </row>
    <row r="499" customFormat="false" ht="14.25" hidden="false" customHeight="false" outlineLevel="0" collapsed="false">
      <c r="A499" s="2" t="n">
        <f aca="false">'V_DATOS PAC_SGA'!CC494</f>
        <v>0</v>
      </c>
      <c r="B499" s="2" t="n">
        <f aca="false">IF(OR(A499=0,A499=""),0,IF(I499="IV",CONCATENATE('V_DATOS PAC_SGA'!CC494,"4")+0,CONCATENATE('V_DATOS PAC_SGA'!CC494,"0")+0))</f>
        <v>0</v>
      </c>
      <c r="C499" s="2" t="n">
        <f aca="false">'V_DATOS PAC_SGA'!CD494</f>
        <v>0</v>
      </c>
      <c r="D499" s="1409" t="n">
        <f aca="false">'V_DATOS PAC_SGA'!Y494</f>
        <v>0</v>
      </c>
      <c r="E499" s="1410" t="str">
        <f aca="false">IF('V_DATOS PAC_SGA'!AV494="","Regadio",'V_DATOS PAC_SGA'!AV494)</f>
        <v>Regadio</v>
      </c>
      <c r="F499" s="1411" t="n">
        <f aca="false">'V_DATOS PAC_SGA'!BK494</f>
        <v>0</v>
      </c>
      <c r="G499" s="1412" t="n">
        <f aca="false">'V_DATOS PAC_SGA'!AN494</f>
        <v>0</v>
      </c>
      <c r="H499" s="1413" t="str">
        <f aca="false">IF(B499&gt;0,VLOOKUP(B499,'O_MN, PE_UTA_UGM 2024'!E$3:O$419,10),"")</f>
        <v/>
      </c>
      <c r="I499" s="1359" t="str">
        <f aca="false">IF('V_DATOS PAC_SGA'!BV494="IV",'V_DATOS PAC_SGA'!BV494,"")</f>
        <v/>
      </c>
      <c r="J499" s="2" t="str">
        <f aca="false">IF($A499&gt;0,IF(AND(J$4=$G499,J$6=$F499),$D499*J$5,""),"")</f>
        <v/>
      </c>
      <c r="K499" s="2" t="str">
        <f aca="false">IF($A499&gt;0,IF(AND(K$4=$G499,K$6=$F499),$D499*K$5,""),"")</f>
        <v/>
      </c>
      <c r="L499" s="2" t="str">
        <f aca="false">IF($A499&gt;0,IF(AND(L$4=$G499,L$6=$F499),$D499*L$5,""),"")</f>
        <v/>
      </c>
      <c r="M499" s="2" t="str">
        <f aca="false">IF($A499&gt;0,IF(AND(M$4=$G499,M$6=$F499),$D499*M$5,""),"")</f>
        <v/>
      </c>
      <c r="N499" s="1508" t="n">
        <f aca="false">VLOOKUP(B499,'O_MN, PE_UTA_UGM 2024'!$E$2:$K$419,IF(G499&gt;1,6,7))</f>
        <v>0</v>
      </c>
      <c r="O499" s="1434" t="str">
        <f aca="false">IF($H499=O$4,$D499*$N499,"")</f>
        <v/>
      </c>
      <c r="P499" s="1435" t="str">
        <f aca="false">IF($H499=P$4,$D499*$N499,"")</f>
        <v/>
      </c>
      <c r="Q499" s="1435" t="str">
        <f aca="false">IF($H499=Q$4,$D499*$N499,"")</f>
        <v/>
      </c>
      <c r="R499" s="1435" t="str">
        <f aca="false">IF($H499=R$4,$D499*$N499,"")</f>
        <v/>
      </c>
      <c r="S499" s="1435" t="str">
        <f aca="false">IF($H499=S$4,$D499*$N499,"")</f>
        <v/>
      </c>
      <c r="T499" s="1435" t="str">
        <f aca="false">IF($H499=T$4,$D499*$N499,"")</f>
        <v/>
      </c>
      <c r="U499" s="1436" t="str">
        <f aca="false">IF($H499=U$4,$D499*$N499,"")</f>
        <v/>
      </c>
      <c r="V499" s="1472"/>
      <c r="W499" s="1471"/>
      <c r="X499" s="1471"/>
      <c r="Y499" s="1471"/>
      <c r="Z499" s="1471"/>
      <c r="AA499" s="1471"/>
      <c r="AB499" s="1473"/>
      <c r="AC499" s="1319"/>
      <c r="AD499" s="2" t="str">
        <f aca="false">IF(AND(AD$4=$G499,AD$6=$F499),$B499,"")</f>
        <v/>
      </c>
      <c r="AE499" s="2" t="str">
        <f aca="false">IF(AND(AE$4=$G499,AE$6=$F499),$B499,"")</f>
        <v/>
      </c>
      <c r="AF499" s="2" t="str">
        <f aca="false">IF(AND(AF$4=$G499,AF$6=$F499),$B499,"")</f>
        <v/>
      </c>
      <c r="AG499" s="2" t="str">
        <f aca="false">IF(AND(AG$4=$G499,AG$6=$F499),$B499,"")</f>
        <v/>
      </c>
      <c r="AI499" s="366"/>
      <c r="AL499" s="367"/>
      <c r="AO499" s="367"/>
      <c r="AR499" s="1411"/>
      <c r="AT499" s="1422"/>
      <c r="AU499" s="1411"/>
      <c r="AV499" s="1411"/>
      <c r="AW499" s="1423"/>
      <c r="AX499" s="1423"/>
      <c r="AZ499" s="1503"/>
      <c r="BA499" s="1503"/>
      <c r="BB499" s="1503"/>
      <c r="BC499" s="1503"/>
      <c r="BD499" s="1503"/>
      <c r="BE499" s="1503"/>
      <c r="BF499" s="1503"/>
      <c r="BG499" s="1503"/>
      <c r="BH499" s="1504"/>
      <c r="BI499" s="1504"/>
      <c r="BJ499" s="1504"/>
      <c r="BK499" s="1504"/>
      <c r="BM499" s="1411"/>
      <c r="BN499" s="1411"/>
      <c r="BO499" s="1425"/>
      <c r="BP499" s="1425"/>
      <c r="BQ499" s="1425"/>
      <c r="BR499" s="1425"/>
      <c r="BS499" s="1411"/>
      <c r="BT499" s="1411"/>
      <c r="BU499" s="1411"/>
      <c r="BV499" s="1411"/>
      <c r="BW499" s="1411"/>
      <c r="BX499" s="1411"/>
      <c r="BZ499" s="1438"/>
      <c r="CA499" s="1438"/>
      <c r="CB499" s="1496"/>
      <c r="CC499" s="1496"/>
      <c r="CD499" s="1496"/>
      <c r="CE499" s="1496"/>
      <c r="CF499" s="1438"/>
      <c r="CG499" s="1438"/>
      <c r="CH499" s="1438"/>
      <c r="CI499" s="1438"/>
      <c r="CJ499" s="1438"/>
      <c r="CK499" s="1438"/>
      <c r="CU499" s="1411"/>
      <c r="CV499" s="1411"/>
      <c r="CW499" s="1425"/>
      <c r="CX499" s="1425"/>
      <c r="CY499" s="1425"/>
      <c r="CZ499" s="1425"/>
      <c r="DA499" s="1411"/>
      <c r="DB499" s="1411"/>
      <c r="DC499" s="1411"/>
      <c r="DD499" s="1411"/>
      <c r="DE499" s="1411"/>
      <c r="DF499" s="1411"/>
      <c r="DH499" s="1432"/>
      <c r="DI499" s="1432"/>
      <c r="DJ499" s="1437"/>
      <c r="DK499" s="1437"/>
      <c r="DL499" s="1437"/>
      <c r="DM499" s="1437"/>
      <c r="DN499" s="1432"/>
      <c r="DO499" s="1432"/>
      <c r="DP499" s="1432"/>
      <c r="DQ499" s="1432"/>
      <c r="DR499" s="1432"/>
      <c r="DS499" s="1432"/>
      <c r="DT499" s="1316"/>
      <c r="DU499" s="1433"/>
      <c r="DV499" s="1433"/>
      <c r="DW499" s="1433"/>
      <c r="DX499" s="1433"/>
      <c r="DY499" s="1433"/>
      <c r="DZ499" s="1433"/>
      <c r="EA499" s="1433"/>
      <c r="EB499" s="1433"/>
    </row>
    <row r="500" customFormat="false" ht="14.25" hidden="false" customHeight="false" outlineLevel="0" collapsed="false">
      <c r="A500" s="2" t="n">
        <f aca="false">'V_DATOS PAC_SGA'!CC495</f>
        <v>0</v>
      </c>
      <c r="B500" s="2" t="n">
        <f aca="false">IF(OR(A500=0,A500=""),0,IF(I500="IV",CONCATENATE('V_DATOS PAC_SGA'!CC495,"4")+0,CONCATENATE('V_DATOS PAC_SGA'!CC495,"0")+0))</f>
        <v>0</v>
      </c>
      <c r="C500" s="2" t="n">
        <f aca="false">'V_DATOS PAC_SGA'!CD495</f>
        <v>0</v>
      </c>
      <c r="D500" s="1409" t="n">
        <f aca="false">'V_DATOS PAC_SGA'!Y495</f>
        <v>0</v>
      </c>
      <c r="E500" s="1410" t="str">
        <f aca="false">IF('V_DATOS PAC_SGA'!AV495="","Regadio",'V_DATOS PAC_SGA'!AV495)</f>
        <v>Regadio</v>
      </c>
      <c r="F500" s="1411" t="n">
        <f aca="false">'V_DATOS PAC_SGA'!BK495</f>
        <v>0</v>
      </c>
      <c r="G500" s="1412" t="n">
        <f aca="false">'V_DATOS PAC_SGA'!AN495</f>
        <v>0</v>
      </c>
      <c r="H500" s="1413" t="str">
        <f aca="false">IF(B500&gt;0,VLOOKUP(B500,'O_MN, PE_UTA_UGM 2024'!E$3:O$419,10),"")</f>
        <v/>
      </c>
      <c r="I500" s="1359" t="str">
        <f aca="false">IF('V_DATOS PAC_SGA'!BV495="IV",'V_DATOS PAC_SGA'!BV495,"")</f>
        <v/>
      </c>
      <c r="J500" s="2" t="str">
        <f aca="false">IF($A500&gt;0,IF(AND(J$4=$G500,J$6=$F500),$D500*J$5,""),"")</f>
        <v/>
      </c>
      <c r="K500" s="2" t="str">
        <f aca="false">IF($A500&gt;0,IF(AND(K$4=$G500,K$6=$F500),$D500*K$5,""),"")</f>
        <v/>
      </c>
      <c r="L500" s="2" t="str">
        <f aca="false">IF($A500&gt;0,IF(AND(L$4=$G500,L$6=$F500),$D500*L$5,""),"")</f>
        <v/>
      </c>
      <c r="M500" s="2" t="str">
        <f aca="false">IF($A500&gt;0,IF(AND(M$4=$G500,M$6=$F500),$D500*M$5,""),"")</f>
        <v/>
      </c>
      <c r="N500" s="1508" t="n">
        <f aca="false">VLOOKUP(B500,'O_MN, PE_UTA_UGM 2024'!$E$2:$K$419,IF(G500&gt;1,6,7))</f>
        <v>0</v>
      </c>
      <c r="O500" s="1434" t="str">
        <f aca="false">IF($H500=O$4,$D500*$N500,"")</f>
        <v/>
      </c>
      <c r="P500" s="1435" t="str">
        <f aca="false">IF($H500=P$4,$D500*$N500,"")</f>
        <v/>
      </c>
      <c r="Q500" s="1435" t="str">
        <f aca="false">IF($H500=Q$4,$D500*$N500,"")</f>
        <v/>
      </c>
      <c r="R500" s="1435" t="str">
        <f aca="false">IF($H500=R$4,$D500*$N500,"")</f>
        <v/>
      </c>
      <c r="S500" s="1435" t="str">
        <f aca="false">IF($H500=S$4,$D500*$N500,"")</f>
        <v/>
      </c>
      <c r="T500" s="1435" t="str">
        <f aca="false">IF($H500=T$4,$D500*$N500,"")</f>
        <v/>
      </c>
      <c r="U500" s="1436" t="str">
        <f aca="false">IF($H500=U$4,$D500*$N500,"")</f>
        <v/>
      </c>
      <c r="V500" s="1472"/>
      <c r="W500" s="1471"/>
      <c r="X500" s="1471"/>
      <c r="Y500" s="1471"/>
      <c r="Z500" s="1471"/>
      <c r="AA500" s="1471"/>
      <c r="AB500" s="1473"/>
      <c r="AC500" s="1319"/>
      <c r="AD500" s="2" t="str">
        <f aca="false">IF(AND(AD$4=$G500,AD$6=$F500),$B500,"")</f>
        <v/>
      </c>
      <c r="AE500" s="2" t="str">
        <f aca="false">IF(AND(AE$4=$G500,AE$6=$F500),$B500,"")</f>
        <v/>
      </c>
      <c r="AF500" s="2" t="str">
        <f aca="false">IF(AND(AF$4=$G500,AF$6=$F500),$B500,"")</f>
        <v/>
      </c>
      <c r="AG500" s="2" t="str">
        <f aca="false">IF(AND(AG$4=$G500,AG$6=$F500),$B500,"")</f>
        <v/>
      </c>
      <c r="AI500" s="366"/>
      <c r="AL500" s="367"/>
      <c r="AO500" s="367"/>
      <c r="AR500" s="1411"/>
      <c r="AT500" s="1422"/>
      <c r="AU500" s="1411"/>
      <c r="AV500" s="1411"/>
      <c r="AW500" s="1423"/>
      <c r="AX500" s="1423"/>
      <c r="AZ500" s="1503"/>
      <c r="BA500" s="1503"/>
      <c r="BB500" s="1503"/>
      <c r="BC500" s="1503"/>
      <c r="BD500" s="1503"/>
      <c r="BE500" s="1503"/>
      <c r="BF500" s="1503"/>
      <c r="BG500" s="1503"/>
      <c r="BH500" s="1504"/>
      <c r="BI500" s="1504"/>
      <c r="BJ500" s="1504"/>
      <c r="BK500" s="1504"/>
      <c r="BM500" s="1411"/>
      <c r="BN500" s="1411"/>
      <c r="BO500" s="1425"/>
      <c r="BP500" s="1425"/>
      <c r="BQ500" s="1425"/>
      <c r="BR500" s="1425"/>
      <c r="BS500" s="1411"/>
      <c r="BT500" s="1411"/>
      <c r="BU500" s="1411"/>
      <c r="BV500" s="1411"/>
      <c r="BW500" s="1411"/>
      <c r="BX500" s="1411"/>
      <c r="BZ500" s="1438"/>
      <c r="CA500" s="1438"/>
      <c r="CB500" s="1496"/>
      <c r="CC500" s="1496"/>
      <c r="CD500" s="1496"/>
      <c r="CE500" s="1496"/>
      <c r="CF500" s="1438"/>
      <c r="CG500" s="1438"/>
      <c r="CH500" s="1438"/>
      <c r="CI500" s="1438"/>
      <c r="CJ500" s="1438"/>
      <c r="CK500" s="1438"/>
      <c r="CU500" s="1411"/>
      <c r="CV500" s="1411"/>
      <c r="CW500" s="1425"/>
      <c r="CX500" s="1425"/>
      <c r="CY500" s="1425"/>
      <c r="CZ500" s="1425"/>
      <c r="DA500" s="1411"/>
      <c r="DB500" s="1411"/>
      <c r="DC500" s="1411"/>
      <c r="DD500" s="1411"/>
      <c r="DE500" s="1411"/>
      <c r="DF500" s="1411"/>
      <c r="DH500" s="1432"/>
      <c r="DI500" s="1432"/>
      <c r="DJ500" s="1437"/>
      <c r="DK500" s="1437"/>
      <c r="DL500" s="1437"/>
      <c r="DM500" s="1437"/>
      <c r="DN500" s="1432"/>
      <c r="DO500" s="1432"/>
      <c r="DP500" s="1432"/>
      <c r="DQ500" s="1432"/>
      <c r="DR500" s="1432"/>
      <c r="DS500" s="1432"/>
      <c r="DT500" s="1316"/>
      <c r="DU500" s="1433"/>
      <c r="DV500" s="1433"/>
      <c r="DW500" s="1433"/>
      <c r="DX500" s="1433"/>
      <c r="DY500" s="1433"/>
      <c r="DZ500" s="1433"/>
      <c r="EA500" s="1433"/>
      <c r="EB500" s="1433"/>
    </row>
    <row r="501" customFormat="false" ht="14.25" hidden="false" customHeight="false" outlineLevel="0" collapsed="false">
      <c r="A501" s="2" t="n">
        <f aca="false">'V_DATOS PAC_SGA'!CC496</f>
        <v>0</v>
      </c>
      <c r="B501" s="2" t="n">
        <f aca="false">IF(OR(A501=0,A501=""),0,IF(I501="IV",CONCATENATE('V_DATOS PAC_SGA'!CC496,"4")+0,CONCATENATE('V_DATOS PAC_SGA'!CC496,"0")+0))</f>
        <v>0</v>
      </c>
      <c r="C501" s="2" t="n">
        <f aca="false">'V_DATOS PAC_SGA'!CD496</f>
        <v>0</v>
      </c>
      <c r="D501" s="1409" t="n">
        <f aca="false">'V_DATOS PAC_SGA'!Y496</f>
        <v>0</v>
      </c>
      <c r="E501" s="1410" t="str">
        <f aca="false">IF('V_DATOS PAC_SGA'!AV496="","Regadio",'V_DATOS PAC_SGA'!AV496)</f>
        <v>Regadio</v>
      </c>
      <c r="F501" s="1411" t="n">
        <f aca="false">'V_DATOS PAC_SGA'!BK496</f>
        <v>0</v>
      </c>
      <c r="G501" s="1412" t="n">
        <f aca="false">'V_DATOS PAC_SGA'!AN496</f>
        <v>0</v>
      </c>
      <c r="H501" s="1413" t="str">
        <f aca="false">IF(B501&gt;0,VLOOKUP(B501,'O_MN, PE_UTA_UGM 2024'!E$3:O$419,10),"")</f>
        <v/>
      </c>
      <c r="I501" s="1359" t="str">
        <f aca="false">IF('V_DATOS PAC_SGA'!BV496="IV",'V_DATOS PAC_SGA'!BV496,"")</f>
        <v/>
      </c>
      <c r="J501" s="2" t="str">
        <f aca="false">IF($A501&gt;0,IF(AND(J$4=$G501,J$6=$F501),$D501*J$5,""),"")</f>
        <v/>
      </c>
      <c r="K501" s="2" t="str">
        <f aca="false">IF($A501&gt;0,IF(AND(K$4=$G501,K$6=$F501),$D501*K$5,""),"")</f>
        <v/>
      </c>
      <c r="L501" s="2" t="str">
        <f aca="false">IF($A501&gt;0,IF(AND(L$4=$G501,L$6=$F501),$D501*L$5,""),"")</f>
        <v/>
      </c>
      <c r="M501" s="2" t="str">
        <f aca="false">IF($A501&gt;0,IF(AND(M$4=$G501,M$6=$F501),$D501*M$5,""),"")</f>
        <v/>
      </c>
      <c r="N501" s="1508" t="n">
        <f aca="false">VLOOKUP(B501,'O_MN, PE_UTA_UGM 2024'!$E$2:$K$419,IF(G501&gt;1,6,7))</f>
        <v>0</v>
      </c>
      <c r="O501" s="1434" t="str">
        <f aca="false">IF($H501=O$4,$D501*$N501,"")</f>
        <v/>
      </c>
      <c r="P501" s="1435" t="str">
        <f aca="false">IF($H501=P$4,$D501*$N501,"")</f>
        <v/>
      </c>
      <c r="Q501" s="1435" t="str">
        <f aca="false">IF($H501=Q$4,$D501*$N501,"")</f>
        <v/>
      </c>
      <c r="R501" s="1435" t="str">
        <f aca="false">IF($H501=R$4,$D501*$N501,"")</f>
        <v/>
      </c>
      <c r="S501" s="1435" t="str">
        <f aca="false">IF($H501=S$4,$D501*$N501,"")</f>
        <v/>
      </c>
      <c r="T501" s="1435" t="str">
        <f aca="false">IF($H501=T$4,$D501*$N501,"")</f>
        <v/>
      </c>
      <c r="U501" s="1436" t="str">
        <f aca="false">IF($H501=U$4,$D501*$N501,"")</f>
        <v/>
      </c>
      <c r="V501" s="1472"/>
      <c r="W501" s="1471"/>
      <c r="X501" s="1471"/>
      <c r="Y501" s="1471"/>
      <c r="Z501" s="1471"/>
      <c r="AA501" s="1471"/>
      <c r="AB501" s="1473"/>
      <c r="AC501" s="1319"/>
      <c r="AD501" s="2" t="str">
        <f aca="false">IF(AND(AD$4=$G501,AD$6=$F501),$B501,"")</f>
        <v/>
      </c>
      <c r="AE501" s="2" t="str">
        <f aca="false">IF(AND(AE$4=$G501,AE$6=$F501),$B501,"")</f>
        <v/>
      </c>
      <c r="AF501" s="2" t="str">
        <f aca="false">IF(AND(AF$4=$G501,AF$6=$F501),$B501,"")</f>
        <v/>
      </c>
      <c r="AG501" s="2" t="str">
        <f aca="false">IF(AND(AG$4=$G501,AG$6=$F501),$B501,"")</f>
        <v/>
      </c>
      <c r="AI501" s="366"/>
      <c r="AL501" s="367"/>
      <c r="AO501" s="367"/>
      <c r="AR501" s="1411"/>
      <c r="AT501" s="1422"/>
      <c r="AU501" s="1411"/>
      <c r="AV501" s="1411"/>
      <c r="AW501" s="1423"/>
      <c r="AX501" s="1423"/>
      <c r="AZ501" s="1503"/>
      <c r="BA501" s="1503"/>
      <c r="BB501" s="1503"/>
      <c r="BC501" s="1503"/>
      <c r="BD501" s="1503"/>
      <c r="BE501" s="1503"/>
      <c r="BF501" s="1503"/>
      <c r="BG501" s="1503"/>
      <c r="BH501" s="1504"/>
      <c r="BI501" s="1504"/>
      <c r="BJ501" s="1504"/>
      <c r="BK501" s="1504"/>
      <c r="BM501" s="1411"/>
      <c r="BN501" s="1411"/>
      <c r="BO501" s="1425"/>
      <c r="BP501" s="1425"/>
      <c r="BQ501" s="1425"/>
      <c r="BR501" s="1425"/>
      <c r="BS501" s="1411"/>
      <c r="BT501" s="1411"/>
      <c r="BU501" s="1411"/>
      <c r="BV501" s="1411"/>
      <c r="BW501" s="1411"/>
      <c r="BX501" s="1411"/>
      <c r="BZ501" s="1438"/>
      <c r="CA501" s="1438"/>
      <c r="CB501" s="1496"/>
      <c r="CC501" s="1496"/>
      <c r="CD501" s="1496"/>
      <c r="CE501" s="1496"/>
      <c r="CF501" s="1438"/>
      <c r="CG501" s="1438"/>
      <c r="CH501" s="1438"/>
      <c r="CI501" s="1438"/>
      <c r="CJ501" s="1438"/>
      <c r="CK501" s="1438"/>
      <c r="CU501" s="1411"/>
      <c r="CV501" s="1411"/>
      <c r="CW501" s="1425"/>
      <c r="CX501" s="1425"/>
      <c r="CY501" s="1425"/>
      <c r="CZ501" s="1425"/>
      <c r="DA501" s="1411"/>
      <c r="DB501" s="1411"/>
      <c r="DC501" s="1411"/>
      <c r="DD501" s="1411"/>
      <c r="DE501" s="1411"/>
      <c r="DF501" s="1411"/>
      <c r="DH501" s="1432"/>
      <c r="DI501" s="1432"/>
      <c r="DJ501" s="1437"/>
      <c r="DK501" s="1437"/>
      <c r="DL501" s="1437"/>
      <c r="DM501" s="1437"/>
      <c r="DN501" s="1432"/>
      <c r="DO501" s="1432"/>
      <c r="DP501" s="1432"/>
      <c r="DQ501" s="1432"/>
      <c r="DR501" s="1432"/>
      <c r="DS501" s="1432"/>
      <c r="DT501" s="1316"/>
      <c r="DU501" s="1433"/>
      <c r="DV501" s="1433"/>
      <c r="DW501" s="1433"/>
      <c r="DX501" s="1433"/>
      <c r="DY501" s="1433"/>
      <c r="DZ501" s="1433"/>
      <c r="EA501" s="1433"/>
      <c r="EB501" s="1433"/>
    </row>
    <row r="502" customFormat="false" ht="14.25" hidden="false" customHeight="false" outlineLevel="0" collapsed="false">
      <c r="A502" s="2" t="n">
        <f aca="false">'V_DATOS PAC_SGA'!CC497</f>
        <v>0</v>
      </c>
      <c r="B502" s="2" t="n">
        <f aca="false">IF(OR(A502=0,A502=""),0,IF(I502="IV",CONCATENATE('V_DATOS PAC_SGA'!CC497,"4")+0,CONCATENATE('V_DATOS PAC_SGA'!CC497,"0")+0))</f>
        <v>0</v>
      </c>
      <c r="C502" s="2" t="n">
        <f aca="false">'V_DATOS PAC_SGA'!CD497</f>
        <v>0</v>
      </c>
      <c r="D502" s="1409" t="n">
        <f aca="false">'V_DATOS PAC_SGA'!Y497</f>
        <v>0</v>
      </c>
      <c r="E502" s="1410" t="str">
        <f aca="false">IF('V_DATOS PAC_SGA'!AV497="","Regadio",'V_DATOS PAC_SGA'!AV497)</f>
        <v>Regadio</v>
      </c>
      <c r="F502" s="1411" t="n">
        <f aca="false">'V_DATOS PAC_SGA'!BK497</f>
        <v>0</v>
      </c>
      <c r="G502" s="1412" t="n">
        <f aca="false">'V_DATOS PAC_SGA'!AN497</f>
        <v>0</v>
      </c>
      <c r="H502" s="1413" t="str">
        <f aca="false">IF(B502&gt;0,VLOOKUP(B502,'O_MN, PE_UTA_UGM 2024'!E$3:O$419,10),"")</f>
        <v/>
      </c>
      <c r="I502" s="1359" t="str">
        <f aca="false">IF('V_DATOS PAC_SGA'!BV497="IV",'V_DATOS PAC_SGA'!BV497,"")</f>
        <v/>
      </c>
      <c r="J502" s="2" t="str">
        <f aca="false">IF($A502&gt;0,IF(AND(J$4=$G502,J$6=$F502),$D502*J$5,""),"")</f>
        <v/>
      </c>
      <c r="K502" s="2" t="str">
        <f aca="false">IF($A502&gt;0,IF(AND(K$4=$G502,K$6=$F502),$D502*K$5,""),"")</f>
        <v/>
      </c>
      <c r="L502" s="2" t="str">
        <f aca="false">IF($A502&gt;0,IF(AND(L$4=$G502,L$6=$F502),$D502*L$5,""),"")</f>
        <v/>
      </c>
      <c r="M502" s="2" t="str">
        <f aca="false">IF($A502&gt;0,IF(AND(M$4=$G502,M$6=$F502),$D502*M$5,""),"")</f>
        <v/>
      </c>
      <c r="N502" s="1508" t="n">
        <f aca="false">VLOOKUP(B502,'O_MN, PE_UTA_UGM 2024'!$E$2:$K$419,IF(G502&gt;1,6,7))</f>
        <v>0</v>
      </c>
      <c r="O502" s="1434" t="str">
        <f aca="false">IF($H502=O$4,$D502*$N502,"")</f>
        <v/>
      </c>
      <c r="P502" s="1435" t="str">
        <f aca="false">IF($H502=P$4,$D502*$N502,"")</f>
        <v/>
      </c>
      <c r="Q502" s="1435" t="str">
        <f aca="false">IF($H502=Q$4,$D502*$N502,"")</f>
        <v/>
      </c>
      <c r="R502" s="1435" t="str">
        <f aca="false">IF($H502=R$4,$D502*$N502,"")</f>
        <v/>
      </c>
      <c r="S502" s="1435" t="str">
        <f aca="false">IF($H502=S$4,$D502*$N502,"")</f>
        <v/>
      </c>
      <c r="T502" s="1435" t="str">
        <f aca="false">IF($H502=T$4,$D502*$N502,"")</f>
        <v/>
      </c>
      <c r="U502" s="1436" t="str">
        <f aca="false">IF($H502=U$4,$D502*$N502,"")</f>
        <v/>
      </c>
      <c r="V502" s="1472"/>
      <c r="W502" s="1471"/>
      <c r="X502" s="1471"/>
      <c r="Y502" s="1471"/>
      <c r="Z502" s="1471"/>
      <c r="AA502" s="1471"/>
      <c r="AB502" s="1473"/>
      <c r="AC502" s="1319"/>
      <c r="AD502" s="2" t="str">
        <f aca="false">IF(AND(AD$4=$G502,AD$6=$F502),$B502,"")</f>
        <v/>
      </c>
      <c r="AE502" s="2" t="str">
        <f aca="false">IF(AND(AE$4=$G502,AE$6=$F502),$B502,"")</f>
        <v/>
      </c>
      <c r="AF502" s="2" t="str">
        <f aca="false">IF(AND(AF$4=$G502,AF$6=$F502),$B502,"")</f>
        <v/>
      </c>
      <c r="AG502" s="2" t="str">
        <f aca="false">IF(AND(AG$4=$G502,AG$6=$F502),$B502,"")</f>
        <v/>
      </c>
      <c r="AI502" s="366"/>
      <c r="AL502" s="367"/>
      <c r="AO502" s="367"/>
      <c r="AR502" s="1411"/>
      <c r="AT502" s="1422"/>
      <c r="AU502" s="1411"/>
      <c r="AV502" s="1411"/>
      <c r="AW502" s="1423"/>
      <c r="AX502" s="1423"/>
      <c r="AZ502" s="1503"/>
      <c r="BA502" s="1503"/>
      <c r="BB502" s="1503"/>
      <c r="BC502" s="1503"/>
      <c r="BD502" s="1503"/>
      <c r="BE502" s="1503"/>
      <c r="BF502" s="1503"/>
      <c r="BG502" s="1503"/>
      <c r="BH502" s="1504"/>
      <c r="BI502" s="1504"/>
      <c r="BJ502" s="1504"/>
      <c r="BK502" s="1504"/>
      <c r="BM502" s="1411"/>
      <c r="BN502" s="1411"/>
      <c r="BO502" s="1425"/>
      <c r="BP502" s="1425"/>
      <c r="BQ502" s="1425"/>
      <c r="BR502" s="1425"/>
      <c r="BS502" s="1411"/>
      <c r="BT502" s="1411"/>
      <c r="BU502" s="1411"/>
      <c r="BV502" s="1411"/>
      <c r="BW502" s="1411"/>
      <c r="BX502" s="1411"/>
      <c r="BZ502" s="1438"/>
      <c r="CA502" s="1438"/>
      <c r="CB502" s="1496"/>
      <c r="CC502" s="1496"/>
      <c r="CD502" s="1496"/>
      <c r="CE502" s="1496"/>
      <c r="CF502" s="1438"/>
      <c r="CG502" s="1438"/>
      <c r="CH502" s="1438"/>
      <c r="CI502" s="1438"/>
      <c r="CJ502" s="1438"/>
      <c r="CK502" s="1438"/>
      <c r="CU502" s="1411"/>
      <c r="CV502" s="1411"/>
      <c r="CW502" s="1425"/>
      <c r="CX502" s="1425"/>
      <c r="CY502" s="1425"/>
      <c r="CZ502" s="1425"/>
      <c r="DA502" s="1411"/>
      <c r="DB502" s="1411"/>
      <c r="DC502" s="1411"/>
      <c r="DD502" s="1411"/>
      <c r="DE502" s="1411"/>
      <c r="DF502" s="1411"/>
      <c r="DH502" s="1432"/>
      <c r="DI502" s="1432"/>
      <c r="DJ502" s="1437"/>
      <c r="DK502" s="1437"/>
      <c r="DL502" s="1437"/>
      <c r="DM502" s="1437"/>
      <c r="DN502" s="1432"/>
      <c r="DO502" s="1432"/>
      <c r="DP502" s="1432"/>
      <c r="DQ502" s="1432"/>
      <c r="DR502" s="1432"/>
      <c r="DS502" s="1432"/>
      <c r="DT502" s="1316"/>
      <c r="DU502" s="1433"/>
      <c r="DV502" s="1433"/>
      <c r="DW502" s="1433"/>
      <c r="DX502" s="1433"/>
      <c r="DY502" s="1433"/>
      <c r="DZ502" s="1433"/>
      <c r="EA502" s="1433"/>
      <c r="EB502" s="1433"/>
    </row>
    <row r="503" customFormat="false" ht="14.25" hidden="false" customHeight="false" outlineLevel="0" collapsed="false">
      <c r="A503" s="2" t="n">
        <f aca="false">'V_DATOS PAC_SGA'!CC498</f>
        <v>0</v>
      </c>
      <c r="B503" s="2" t="n">
        <f aca="false">IF(OR(A503=0,A503=""),0,IF(I503="IV",CONCATENATE('V_DATOS PAC_SGA'!CC498,"4")+0,CONCATENATE('V_DATOS PAC_SGA'!CC498,"0")+0))</f>
        <v>0</v>
      </c>
      <c r="C503" s="2" t="n">
        <f aca="false">'V_DATOS PAC_SGA'!CD498</f>
        <v>0</v>
      </c>
      <c r="D503" s="1409" t="n">
        <f aca="false">'V_DATOS PAC_SGA'!Y498</f>
        <v>0</v>
      </c>
      <c r="E503" s="1498" t="s">
        <v>978</v>
      </c>
      <c r="F503" s="1411" t="n">
        <f aca="false">'V_DATOS PAC_SGA'!BK498</f>
        <v>0</v>
      </c>
      <c r="G503" s="1412" t="n">
        <f aca="false">'V_DATOS PAC_SGA'!AN498</f>
        <v>0</v>
      </c>
      <c r="H503" s="1413" t="str">
        <f aca="false">IF(B503&gt;0,VLOOKUP(B503,'O_MN, PE_UTA_UGM 2024'!E$3:O$419,10),"")</f>
        <v/>
      </c>
      <c r="I503" s="1359" t="str">
        <f aca="false">IF('V_DATOS PAC_SGA'!BV498="IV",'V_DATOS PAC_SGA'!BV498,"")</f>
        <v/>
      </c>
      <c r="J503" s="2" t="str">
        <f aca="false">IF($A503&gt;0,IF(AND(J$4=$G503,J$6=$F503),$D503*J$5,""),"")</f>
        <v/>
      </c>
      <c r="K503" s="2" t="str">
        <f aca="false">IF($A503&gt;0,IF(AND(K$4=$G503,K$6=$F503),$D503*K$5,""),"")</f>
        <v/>
      </c>
      <c r="L503" s="2" t="str">
        <f aca="false">IF($A503&gt;0,IF(AND(L$4=$G503,L$6=$F503),$D503*L$5,""),"")</f>
        <v/>
      </c>
      <c r="M503" s="2" t="str">
        <f aca="false">IF($A503&gt;0,IF(AND(M$4=$G503,M$6=$F503),$D503*M$5,""),"")</f>
        <v/>
      </c>
      <c r="N503" s="1508" t="n">
        <f aca="false">VLOOKUP(B503,'O_MN, PE_UTA_UGM 2024'!$E$2:$K$419,IF(G503&gt;1,6,7))</f>
        <v>0</v>
      </c>
      <c r="O503" s="1434" t="str">
        <f aca="false">IF($H503=O$4,$D503*$N503,"")</f>
        <v/>
      </c>
      <c r="P503" s="1435" t="str">
        <f aca="false">IF($H503=P$4,$D503*$N503,"")</f>
        <v/>
      </c>
      <c r="Q503" s="1435" t="str">
        <f aca="false">IF($H503=Q$4,$D503*$N503,"")</f>
        <v/>
      </c>
      <c r="R503" s="1435" t="str">
        <f aca="false">IF($H503=R$4,$D503*$N503,"")</f>
        <v/>
      </c>
      <c r="S503" s="1435" t="str">
        <f aca="false">IF($H503=S$4,$D503*$N503,"")</f>
        <v/>
      </c>
      <c r="T503" s="1435" t="str">
        <f aca="false">IF($H503=T$4,$D503*$N503,"")</f>
        <v/>
      </c>
      <c r="U503" s="1436" t="str">
        <f aca="false">IF($H503=U$4,$D503*$N503,"")</f>
        <v/>
      </c>
      <c r="V503" s="1472"/>
      <c r="W503" s="1471"/>
      <c r="X503" s="1471"/>
      <c r="Y503" s="1471"/>
      <c r="Z503" s="1471"/>
      <c r="AA503" s="1471"/>
      <c r="AB503" s="1473"/>
      <c r="AC503" s="1319"/>
      <c r="AD503" s="2" t="str">
        <f aca="false">IF(AND(AD$4=$G503,AD$6=$F503),$B503,"")</f>
        <v/>
      </c>
      <c r="AE503" s="2" t="str">
        <f aca="false">IF(AND(AE$4=$G503,AE$6=$F503),$B503,"")</f>
        <v/>
      </c>
      <c r="AF503" s="2" t="str">
        <f aca="false">IF(AND(AF$4=$G503,AF$6=$F503),$B503,"")</f>
        <v/>
      </c>
      <c r="AG503" s="2" t="str">
        <f aca="false">IF(AND(AG$4=$G503,AG$6=$F503),$B503,"")</f>
        <v/>
      </c>
      <c r="AI503" s="366"/>
      <c r="AL503" s="367"/>
      <c r="AO503" s="367"/>
      <c r="AR503" s="1411"/>
      <c r="AT503" s="1422"/>
      <c r="AU503" s="1411"/>
      <c r="AV503" s="1411"/>
      <c r="AW503" s="1423"/>
      <c r="AX503" s="1423"/>
      <c r="AZ503" s="1503"/>
      <c r="BA503" s="1503"/>
      <c r="BB503" s="1503"/>
      <c r="BC503" s="1503"/>
      <c r="BD503" s="1503"/>
      <c r="BE503" s="1503"/>
      <c r="BF503" s="1503"/>
      <c r="BG503" s="1503"/>
      <c r="BH503" s="1504"/>
      <c r="BI503" s="1504"/>
      <c r="BJ503" s="1504"/>
      <c r="BK503" s="1504"/>
      <c r="BM503" s="1411"/>
      <c r="BN503" s="1411"/>
      <c r="BO503" s="1425"/>
      <c r="BP503" s="1425"/>
      <c r="BQ503" s="1425"/>
      <c r="BR503" s="1425"/>
      <c r="BS503" s="1411"/>
      <c r="BT503" s="1411"/>
      <c r="BU503" s="1411"/>
      <c r="BV503" s="1411"/>
      <c r="BW503" s="1411"/>
      <c r="BX503" s="1411"/>
      <c r="BZ503" s="1438"/>
      <c r="CA503" s="1438"/>
      <c r="CB503" s="1496"/>
      <c r="CC503" s="1496"/>
      <c r="CD503" s="1496"/>
      <c r="CE503" s="1496"/>
      <c r="CF503" s="1438"/>
      <c r="CG503" s="1438"/>
      <c r="CH503" s="1438"/>
      <c r="CI503" s="1438"/>
      <c r="CJ503" s="1438"/>
      <c r="CK503" s="1438"/>
      <c r="CU503" s="1411"/>
      <c r="CV503" s="1411"/>
      <c r="CW503" s="1425"/>
      <c r="CX503" s="1425"/>
      <c r="CY503" s="1425"/>
      <c r="CZ503" s="1425"/>
      <c r="DA503" s="1411"/>
      <c r="DB503" s="1411"/>
      <c r="DC503" s="1411"/>
      <c r="DD503" s="1411"/>
      <c r="DE503" s="1411"/>
      <c r="DF503" s="1411"/>
      <c r="DH503" s="1432"/>
      <c r="DI503" s="1432"/>
      <c r="DJ503" s="1437"/>
      <c r="DK503" s="1437"/>
      <c r="DL503" s="1437"/>
      <c r="DM503" s="1437"/>
      <c r="DN503" s="1432"/>
      <c r="DO503" s="1432"/>
      <c r="DP503" s="1432"/>
      <c r="DQ503" s="1432"/>
      <c r="DR503" s="1432"/>
      <c r="DS503" s="1432"/>
      <c r="DT503" s="1316"/>
      <c r="DU503" s="1433"/>
      <c r="DV503" s="1433"/>
      <c r="DW503" s="1433"/>
      <c r="DX503" s="1433"/>
      <c r="DY503" s="1433"/>
      <c r="DZ503" s="1433"/>
      <c r="EA503" s="1433"/>
      <c r="EB503" s="1433"/>
    </row>
    <row r="504" customFormat="false" ht="14.25" hidden="false" customHeight="false" outlineLevel="0" collapsed="false">
      <c r="A504" s="2" t="n">
        <f aca="false">'V_DATOS PAC_SGA'!CC499</f>
        <v>0</v>
      </c>
      <c r="B504" s="2" t="n">
        <f aca="false">IF(OR(A504=0,A504=""),0,IF(I504="IV",CONCATENATE('V_DATOS PAC_SGA'!CC499,"4")+0,CONCATENATE('V_DATOS PAC_SGA'!CC499,"0")+0))</f>
        <v>0</v>
      </c>
      <c r="C504" s="2" t="n">
        <f aca="false">'V_DATOS PAC_SGA'!CD499</f>
        <v>0</v>
      </c>
      <c r="D504" s="1409" t="n">
        <f aca="false">'V_DATOS PAC_SGA'!Y499</f>
        <v>0</v>
      </c>
      <c r="E504" s="1498" t="s">
        <v>978</v>
      </c>
      <c r="F504" s="1411" t="n">
        <f aca="false">'V_DATOS PAC_SGA'!BK499</f>
        <v>0</v>
      </c>
      <c r="G504" s="1412" t="n">
        <f aca="false">'V_DATOS PAC_SGA'!AN499</f>
        <v>0</v>
      </c>
      <c r="H504" s="1413" t="str">
        <f aca="false">IF(B504&gt;0,VLOOKUP(B504,'O_MN, PE_UTA_UGM 2024'!E$3:O$419,10),"")</f>
        <v/>
      </c>
      <c r="I504" s="1359" t="str">
        <f aca="false">IF('V_DATOS PAC_SGA'!BV499="IV",'V_DATOS PAC_SGA'!BV499,"")</f>
        <v/>
      </c>
      <c r="J504" s="2" t="str">
        <f aca="false">IF($A504&gt;0,IF(AND(J$4=$G504,J$6=$F504),$D504*J$5,""),"")</f>
        <v/>
      </c>
      <c r="K504" s="2" t="str">
        <f aca="false">IF($A504&gt;0,IF(AND(K$4=$G504,K$6=$F504),$D504*K$5,""),"")</f>
        <v/>
      </c>
      <c r="L504" s="2" t="str">
        <f aca="false">IF($A504&gt;0,IF(AND(L$4=$G504,L$6=$F504),$D504*L$5,""),"")</f>
        <v/>
      </c>
      <c r="M504" s="2" t="str">
        <f aca="false">IF($A504&gt;0,IF(AND(M$4=$G504,M$6=$F504),$D504*M$5,""),"")</f>
        <v/>
      </c>
      <c r="N504" s="1508" t="n">
        <f aca="false">VLOOKUP(B504,'O_MN, PE_UTA_UGM 2024'!$E$2:$K$419,IF(G504&gt;1,6,7))</f>
        <v>0</v>
      </c>
      <c r="O504" s="1434" t="str">
        <f aca="false">IF($H504=O$4,$D504*$N504,"")</f>
        <v/>
      </c>
      <c r="P504" s="1435" t="str">
        <f aca="false">IF($H504=P$4,$D504*$N504,"")</f>
        <v/>
      </c>
      <c r="Q504" s="1435" t="str">
        <f aca="false">IF($H504=Q$4,$D504*$N504,"")</f>
        <v/>
      </c>
      <c r="R504" s="1435" t="str">
        <f aca="false">IF($H504=R$4,$D504*$N504,"")</f>
        <v/>
      </c>
      <c r="S504" s="1435" t="str">
        <f aca="false">IF($H504=S$4,$D504*$N504,"")</f>
        <v/>
      </c>
      <c r="T504" s="1435" t="str">
        <f aca="false">IF($H504=T$4,$D504*$N504,"")</f>
        <v/>
      </c>
      <c r="U504" s="1436" t="str">
        <f aca="false">IF($H504=U$4,$D504*$N504,"")</f>
        <v/>
      </c>
      <c r="V504" s="1472"/>
      <c r="W504" s="1471"/>
      <c r="X504" s="1471"/>
      <c r="Y504" s="1471"/>
      <c r="Z504" s="1471"/>
      <c r="AA504" s="1471"/>
      <c r="AB504" s="1473"/>
      <c r="AC504" s="1319"/>
      <c r="AI504" s="366"/>
      <c r="AL504" s="367"/>
      <c r="AO504" s="367"/>
      <c r="AR504" s="1411"/>
      <c r="AT504" s="1422"/>
      <c r="AU504" s="1411"/>
      <c r="AV504" s="1411"/>
      <c r="AW504" s="1423"/>
      <c r="AX504" s="1423"/>
      <c r="AZ504" s="1503"/>
      <c r="BA504" s="1503"/>
      <c r="BB504" s="1503"/>
      <c r="BC504" s="1503"/>
      <c r="BD504" s="1503"/>
      <c r="BE504" s="1503"/>
      <c r="BF504" s="1503"/>
      <c r="BG504" s="1503"/>
      <c r="BH504" s="1504"/>
      <c r="BI504" s="1504"/>
      <c r="BJ504" s="1504"/>
      <c r="BK504" s="1504"/>
      <c r="BM504" s="1411"/>
      <c r="BN504" s="1411"/>
      <c r="BO504" s="1425"/>
      <c r="BP504" s="1425"/>
      <c r="BQ504" s="1425"/>
      <c r="BR504" s="1425"/>
      <c r="BS504" s="1411"/>
      <c r="BT504" s="1411"/>
      <c r="BU504" s="1411"/>
      <c r="BV504" s="1411"/>
      <c r="BW504" s="1411"/>
      <c r="BX504" s="1411"/>
      <c r="BZ504" s="1438"/>
      <c r="CA504" s="1438"/>
      <c r="CB504" s="1496"/>
      <c r="CC504" s="1496"/>
      <c r="CD504" s="1496"/>
      <c r="CE504" s="1496"/>
      <c r="CF504" s="1438"/>
      <c r="CG504" s="1438"/>
      <c r="CH504" s="1438"/>
      <c r="CI504" s="1438"/>
      <c r="CJ504" s="1438"/>
      <c r="CK504" s="1438"/>
      <c r="CU504" s="1411"/>
      <c r="CV504" s="1411"/>
      <c r="CW504" s="1425"/>
      <c r="CX504" s="1425"/>
      <c r="CY504" s="1425"/>
      <c r="CZ504" s="1425"/>
      <c r="DA504" s="1411"/>
      <c r="DB504" s="1411"/>
      <c r="DC504" s="1411"/>
      <c r="DD504" s="1411"/>
      <c r="DE504" s="1411"/>
      <c r="DF504" s="1411"/>
      <c r="DH504" s="1432"/>
      <c r="DI504" s="1432"/>
      <c r="DJ504" s="1437"/>
      <c r="DK504" s="1437"/>
      <c r="DL504" s="1437"/>
      <c r="DM504" s="1437"/>
      <c r="DN504" s="1432"/>
      <c r="DO504" s="1432"/>
      <c r="DP504" s="1432"/>
      <c r="DQ504" s="1432"/>
      <c r="DR504" s="1432"/>
      <c r="DS504" s="1432"/>
      <c r="DT504" s="1316"/>
      <c r="DU504" s="1433"/>
      <c r="DV504" s="1433"/>
      <c r="DW504" s="1433"/>
      <c r="DX504" s="1433"/>
      <c r="DY504" s="1433"/>
      <c r="DZ504" s="1433"/>
      <c r="EA504" s="1433"/>
      <c r="EB504" s="1433"/>
    </row>
    <row r="505" customFormat="false" ht="14.25" hidden="false" customHeight="false" outlineLevel="0" collapsed="false">
      <c r="A505" s="2" t="n">
        <f aca="false">'V_DATOS PAC_SGA'!CC500</f>
        <v>0</v>
      </c>
      <c r="B505" s="2" t="n">
        <f aca="false">IF(OR(A505=0,A505=""),0,IF(I505="IV",CONCATENATE('V_DATOS PAC_SGA'!CC500,"4")+0,CONCATENATE('V_DATOS PAC_SGA'!CC500,"0")+0))</f>
        <v>0</v>
      </c>
      <c r="C505" s="2" t="n">
        <f aca="false">'V_DATOS PAC_SGA'!CD500</f>
        <v>0</v>
      </c>
      <c r="D505" s="1409" t="n">
        <f aca="false">'V_DATOS PAC_SGA'!Y500</f>
        <v>0</v>
      </c>
      <c r="E505" s="1410" t="str">
        <f aca="false">IF('V_DATOS PAC_SGA'!AV500="","Regadio",'V_DATOS PAC_SGA'!AV500)</f>
        <v>Regadio</v>
      </c>
      <c r="F505" s="1411" t="n">
        <f aca="false">'V_DATOS PAC_SGA'!BK500</f>
        <v>0</v>
      </c>
      <c r="G505" s="1412" t="n">
        <f aca="false">'V_DATOS PAC_SGA'!AN500</f>
        <v>0</v>
      </c>
      <c r="H505" s="1413" t="str">
        <f aca="false">IF(B505&gt;0,VLOOKUP(B505,'O_MN, PE_UTA_UGM 2024'!E$3:O$419,10),"")</f>
        <v/>
      </c>
      <c r="I505" s="1359" t="str">
        <f aca="false">IF('V_DATOS PAC_SGA'!BV500="IV",'V_DATOS PAC_SGA'!BV500,"")</f>
        <v/>
      </c>
      <c r="J505" s="2" t="str">
        <f aca="false">IF($A505&gt;0,IF(AND(J$4=$G505,J$6=$F505),$D505*J$5,""),"")</f>
        <v/>
      </c>
      <c r="K505" s="2" t="str">
        <f aca="false">IF($A505&gt;0,IF(AND(K$4=$G505,K$6=$F505),$D505*K$5,""),"")</f>
        <v/>
      </c>
      <c r="L505" s="2" t="str">
        <f aca="false">IF($A505&gt;0,IF(AND(L$4=$G505,L$6=$F505),$D505*L$5,""),"")</f>
        <v/>
      </c>
      <c r="M505" s="2" t="str">
        <f aca="false">IF($A505&gt;0,IF(AND(M$4=$G505,M$6=$F505),$D505*M$5,""),"")</f>
        <v/>
      </c>
      <c r="N505" s="1508" t="n">
        <f aca="false">VLOOKUP(B505,'O_MN, PE_UTA_UGM 2024'!$E$2:$K$419,IF(G505&gt;1,6,7))</f>
        <v>0</v>
      </c>
      <c r="O505" s="1434" t="str">
        <f aca="false">IF($H505=O$4,$D505*$N505,"")</f>
        <v/>
      </c>
      <c r="P505" s="1435" t="str">
        <f aca="false">IF($H505=P$4,$D505*$N505,"")</f>
        <v/>
      </c>
      <c r="Q505" s="1435" t="str">
        <f aca="false">IF($H505=Q$4,$D505*$N505,"")</f>
        <v/>
      </c>
      <c r="R505" s="1435" t="str">
        <f aca="false">IF($H505=R$4,$D505*$N505,"")</f>
        <v/>
      </c>
      <c r="S505" s="1435" t="str">
        <f aca="false">IF($H505=S$4,$D505*$N505,"")</f>
        <v/>
      </c>
      <c r="T505" s="1435" t="str">
        <f aca="false">IF($H505=T$4,$D505*$N505,"")</f>
        <v/>
      </c>
      <c r="U505" s="1436" t="str">
        <f aca="false">IF($H505=U$4,$D505*$N505,"")</f>
        <v/>
      </c>
      <c r="V505" s="1472"/>
      <c r="W505" s="1471"/>
      <c r="X505" s="1471"/>
      <c r="Y505" s="1471"/>
      <c r="Z505" s="1471"/>
      <c r="AA505" s="1471"/>
      <c r="AB505" s="1473"/>
      <c r="AC505" s="1319"/>
      <c r="AI505" s="366"/>
      <c r="AL505" s="367"/>
      <c r="AO505" s="367"/>
      <c r="AR505" s="1411"/>
      <c r="AT505" s="1422"/>
      <c r="AU505" s="1411"/>
      <c r="AV505" s="1411"/>
      <c r="AW505" s="1423"/>
      <c r="AX505" s="1423"/>
      <c r="AZ505" s="1503"/>
      <c r="BA505" s="1503"/>
      <c r="BB505" s="1503"/>
      <c r="BC505" s="1503"/>
      <c r="BD505" s="1503"/>
      <c r="BE505" s="1503"/>
      <c r="BF505" s="1503"/>
      <c r="BG505" s="1503"/>
      <c r="BH505" s="1504"/>
      <c r="BI505" s="1504"/>
      <c r="BJ505" s="1504"/>
      <c r="BK505" s="1504"/>
      <c r="BM505" s="1411"/>
      <c r="BN505" s="1411"/>
      <c r="BO505" s="1425"/>
      <c r="BP505" s="1425"/>
      <c r="BQ505" s="1425"/>
      <c r="BR505" s="1425"/>
      <c r="BS505" s="1411"/>
      <c r="BT505" s="1411"/>
      <c r="BU505" s="1411"/>
      <c r="BV505" s="1411"/>
      <c r="BW505" s="1411"/>
      <c r="BX505" s="1411"/>
      <c r="BZ505" s="1438"/>
      <c r="CA505" s="1438"/>
      <c r="CB505" s="1496"/>
      <c r="CC505" s="1496"/>
      <c r="CD505" s="1496"/>
      <c r="CE505" s="1496"/>
      <c r="CF505" s="1438"/>
      <c r="CG505" s="1438"/>
      <c r="CH505" s="1438"/>
      <c r="CI505" s="1438"/>
      <c r="CJ505" s="1438"/>
      <c r="CK505" s="1438"/>
      <c r="CU505" s="1411"/>
      <c r="CV505" s="1411"/>
      <c r="CW505" s="1425"/>
      <c r="CX505" s="1425"/>
      <c r="CY505" s="1425"/>
      <c r="CZ505" s="1425"/>
      <c r="DA505" s="1411"/>
      <c r="DB505" s="1411"/>
      <c r="DC505" s="1411"/>
      <c r="DD505" s="1411"/>
      <c r="DE505" s="1411"/>
      <c r="DF505" s="1411"/>
      <c r="DH505" s="1432"/>
      <c r="DI505" s="1432"/>
      <c r="DJ505" s="1437"/>
      <c r="DK505" s="1437"/>
      <c r="DL505" s="1437"/>
      <c r="DM505" s="1437"/>
      <c r="DN505" s="1432"/>
      <c r="DO505" s="1432"/>
      <c r="DP505" s="1432"/>
      <c r="DQ505" s="1432"/>
      <c r="DR505" s="1432"/>
      <c r="DS505" s="1432"/>
      <c r="DT505" s="1316"/>
      <c r="DU505" s="1433"/>
      <c r="DV505" s="1433"/>
      <c r="DW505" s="1433"/>
      <c r="DX505" s="1433"/>
      <c r="DY505" s="1433"/>
      <c r="DZ505" s="1433"/>
      <c r="EA505" s="1433"/>
      <c r="EB505" s="1433"/>
    </row>
  </sheetData>
  <sheetProtection sheet="true" password="cc9e" objects="true" scenarios="true"/>
  <mergeCells count="4">
    <mergeCell ref="O2:U2"/>
    <mergeCell ref="V2:AB2"/>
    <mergeCell ref="AD2:AJ2"/>
    <mergeCell ref="AK2:AN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419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ColWidth="12.75390625" defaultRowHeight="14.25" zeroHeight="false" outlineLevelRow="0" outlineLevelCol="0"/>
  <cols>
    <col collapsed="false" customWidth="true" hidden="false" outlineLevel="0" max="1" min="1" style="2" width="6.38"/>
    <col collapsed="false" customWidth="true" hidden="false" outlineLevel="0" max="2" min="2" style="2" width="10.13"/>
    <col collapsed="false" customWidth="true" hidden="false" outlineLevel="0" max="3" min="3" style="2" width="8.13"/>
    <col collapsed="false" customWidth="true" hidden="false" outlineLevel="0" max="4" min="4" style="2" width="10.13"/>
    <col collapsed="false" customWidth="true" hidden="false" outlineLevel="0" max="5" min="5" style="2" width="18.38"/>
    <col collapsed="false" customWidth="true" hidden="false" outlineLevel="0" max="6" min="6" style="2" width="30.13"/>
    <col collapsed="false" customWidth="true" hidden="false" outlineLevel="0" max="7" min="7" style="2" width="4.38"/>
    <col collapsed="false" customWidth="true" hidden="false" outlineLevel="0" max="8" min="8" style="2" width="8.38"/>
    <col collapsed="false" customWidth="true" hidden="false" outlineLevel="0" max="10" min="9" style="2" width="8.75"/>
    <col collapsed="false" customWidth="true" hidden="false" outlineLevel="0" max="11" min="11" style="2" width="8.25"/>
    <col collapsed="false" customWidth="true" hidden="false" outlineLevel="0" max="12" min="12" style="2" width="9.13"/>
    <col collapsed="false" customWidth="true" hidden="false" outlineLevel="0" max="13" min="13" style="2" width="9.5"/>
    <col collapsed="false" customWidth="true" hidden="false" outlineLevel="0" max="14" min="14" style="2" width="8.88"/>
    <col collapsed="false" customWidth="true" hidden="false" outlineLevel="0" max="15" min="15" style="2" width="10.38"/>
    <col collapsed="false" customWidth="true" hidden="false" outlineLevel="0" max="16" min="16" style="2" width="2.88"/>
    <col collapsed="false" customWidth="true" hidden="false" outlineLevel="0" max="20" min="20" style="2" width="5"/>
    <col collapsed="false" customWidth="true" hidden="false" outlineLevel="0" max="21" min="21" style="2" width="50.75"/>
    <col collapsed="false" customWidth="true" hidden="false" outlineLevel="0" max="22" min="22" style="2" width="7.88"/>
    <col collapsed="false" customWidth="true" hidden="false" outlineLevel="0" max="23" min="23" style="2" width="43.75"/>
  </cols>
  <sheetData>
    <row r="1" s="1515" customFormat="true" ht="82.5" hidden="false" customHeight="true" outlineLevel="0" collapsed="false">
      <c r="A1" s="1513" t="s">
        <v>979</v>
      </c>
      <c r="B1" s="1513" t="s">
        <v>980</v>
      </c>
      <c r="C1" s="1513" t="s">
        <v>981</v>
      </c>
      <c r="D1" s="1513" t="s">
        <v>982</v>
      </c>
      <c r="E1" s="1513" t="s">
        <v>983</v>
      </c>
      <c r="F1" s="1513" t="s">
        <v>984</v>
      </c>
      <c r="G1" s="1513" t="s">
        <v>985</v>
      </c>
      <c r="H1" s="1513" t="s">
        <v>986</v>
      </c>
      <c r="I1" s="1513" t="s">
        <v>987</v>
      </c>
      <c r="J1" s="1513" t="s">
        <v>988</v>
      </c>
      <c r="K1" s="1513" t="s">
        <v>989</v>
      </c>
      <c r="L1" s="1513" t="s">
        <v>990</v>
      </c>
      <c r="M1" s="1513" t="s">
        <v>991</v>
      </c>
      <c r="N1" s="1513" t="s">
        <v>474</v>
      </c>
      <c r="O1" s="1513" t="s">
        <v>992</v>
      </c>
      <c r="P1" s="1514"/>
      <c r="Q1" s="1514"/>
      <c r="R1" s="1514"/>
      <c r="S1" s="1514"/>
      <c r="T1" s="1514" t="s">
        <v>984</v>
      </c>
      <c r="U1" s="1514"/>
    </row>
    <row r="2" s="1515" customFormat="true" ht="14.25" hidden="false" customHeight="false" outlineLevel="0" collapsed="false">
      <c r="A2" s="359" t="n">
        <v>514</v>
      </c>
      <c r="B2" s="359"/>
      <c r="C2" s="1516"/>
      <c r="D2" s="359" t="n">
        <v>0</v>
      </c>
      <c r="E2" s="1517" t="n">
        <f aca="false">IF(O2=19,CONCATENATE(C2,"9")+0,CONCATENATE(C2,O2)+0)</f>
        <v>0</v>
      </c>
      <c r="F2" s="1516"/>
      <c r="G2" s="359"/>
      <c r="H2" s="1518" t="n">
        <v>0</v>
      </c>
      <c r="I2" s="1519" t="n">
        <v>0</v>
      </c>
      <c r="J2" s="1520" t="n">
        <v>0</v>
      </c>
      <c r="K2" s="1520" t="n">
        <v>0</v>
      </c>
      <c r="L2" s="1518" t="n">
        <v>0</v>
      </c>
      <c r="M2" s="1518" t="n">
        <v>0</v>
      </c>
      <c r="N2" s="1521" t="n">
        <v>0</v>
      </c>
      <c r="O2" s="1518" t="n">
        <v>0</v>
      </c>
      <c r="P2" s="359"/>
      <c r="Q2" s="359"/>
      <c r="R2" s="359"/>
      <c r="S2" s="359"/>
      <c r="T2" s="1522"/>
      <c r="U2" s="1522"/>
    </row>
    <row r="3" s="1515" customFormat="true" ht="14.25" hidden="false" customHeight="false" outlineLevel="0" collapsed="false">
      <c r="A3" s="1523"/>
      <c r="B3" s="1515" t="n">
        <v>2025</v>
      </c>
      <c r="C3" s="1524" t="n">
        <v>1</v>
      </c>
      <c r="D3" s="359" t="n">
        <v>0</v>
      </c>
      <c r="E3" s="1524" t="n">
        <f aca="false">CONCATENATE(C3,IF(O3=19,9,IF(O3=6,6,IF(O3=4,4,0))))+0</f>
        <v>10</v>
      </c>
      <c r="F3" s="1525" t="s">
        <v>993</v>
      </c>
      <c r="G3" s="1525"/>
      <c r="H3" s="1524" t="n">
        <v>114.19</v>
      </c>
      <c r="I3" s="1524" t="n">
        <v>240.4</v>
      </c>
      <c r="J3" s="1524" t="n">
        <v>522.73</v>
      </c>
      <c r="K3" s="1524" t="n">
        <v>1000</v>
      </c>
      <c r="L3" s="1526" t="n">
        <v>0.00465</v>
      </c>
      <c r="M3" s="1526" t="n">
        <v>0.0098</v>
      </c>
      <c r="N3" s="1527" t="n">
        <v>1</v>
      </c>
      <c r="O3" s="1524" t="n">
        <v>0</v>
      </c>
      <c r="P3" s="1515" t="n">
        <f aca="false">E3+0</f>
        <v>10</v>
      </c>
      <c r="T3" s="1528" t="n">
        <v>1</v>
      </c>
      <c r="U3" s="1528" t="s">
        <v>993</v>
      </c>
      <c r="V3" s="1515" t="e">
        <f aca="false">#VALUE!</f>
        <v>#VALUE!</v>
      </c>
      <c r="W3" s="1515" t="s">
        <v>993</v>
      </c>
    </row>
    <row r="4" s="1515" customFormat="true" ht="14.25" hidden="false" customHeight="false" outlineLevel="0" collapsed="false">
      <c r="A4" s="1523"/>
      <c r="B4" s="1515" t="n">
        <v>2025</v>
      </c>
      <c r="C4" s="1529" t="n">
        <v>2</v>
      </c>
      <c r="D4" s="359" t="n">
        <v>0</v>
      </c>
      <c r="E4" s="1524" t="n">
        <f aca="false">CONCATENATE(C4,IF(O4=19,9,IF(O4=6,6,IF(O4=4,4,0))))+0</f>
        <v>20</v>
      </c>
      <c r="F4" s="1530" t="s">
        <v>994</v>
      </c>
      <c r="G4" s="1530"/>
      <c r="H4" s="1529" t="n">
        <v>114.19</v>
      </c>
      <c r="I4" s="1529" t="n">
        <v>240.4</v>
      </c>
      <c r="J4" s="1529" t="n">
        <v>365.73</v>
      </c>
      <c r="K4" s="1529" t="n">
        <v>700</v>
      </c>
      <c r="L4" s="1526" t="n">
        <v>0.00465</v>
      </c>
      <c r="M4" s="1526" t="n">
        <v>0.0098</v>
      </c>
      <c r="N4" s="1531" t="n">
        <v>1</v>
      </c>
      <c r="O4" s="1529" t="n">
        <v>0</v>
      </c>
      <c r="T4" s="1528" t="n">
        <v>2</v>
      </c>
      <c r="U4" s="1528" t="s">
        <v>994</v>
      </c>
      <c r="V4" s="1515" t="str">
        <f aca="false">MID(E4,LEN(E4),1)</f>
        <v>0</v>
      </c>
      <c r="W4" s="1515" t="s">
        <v>994</v>
      </c>
    </row>
    <row r="5" s="1515" customFormat="true" ht="14.25" hidden="false" customHeight="false" outlineLevel="0" collapsed="false">
      <c r="A5" s="1523"/>
      <c r="B5" s="1515" t="n">
        <v>2025</v>
      </c>
      <c r="C5" s="1529" t="n">
        <v>3</v>
      </c>
      <c r="D5" s="359" t="n">
        <v>0</v>
      </c>
      <c r="E5" s="1524" t="n">
        <f aca="false">CONCATENATE(C5,IF(O5=19,9,IF(O5=6,6,IF(O5=4,4,0))))+0</f>
        <v>30</v>
      </c>
      <c r="F5" s="1530" t="s">
        <v>995</v>
      </c>
      <c r="G5" s="1530"/>
      <c r="H5" s="1529" t="n">
        <v>114.19</v>
      </c>
      <c r="I5" s="1529" t="n">
        <v>240.4</v>
      </c>
      <c r="J5" s="1529" t="n">
        <v>358.58</v>
      </c>
      <c r="K5" s="1529" t="n">
        <v>1000</v>
      </c>
      <c r="L5" s="1526" t="n">
        <v>0.00465</v>
      </c>
      <c r="M5" s="1526" t="n">
        <v>0.0098</v>
      </c>
      <c r="N5" s="1531" t="n">
        <v>1</v>
      </c>
      <c r="O5" s="1529" t="n">
        <v>0</v>
      </c>
      <c r="T5" s="1528" t="n">
        <v>3</v>
      </c>
      <c r="U5" s="1528" t="s">
        <v>995</v>
      </c>
      <c r="V5" s="1515" t="str">
        <f aca="false">MID(E5,LEN(E5),1)</f>
        <v>0</v>
      </c>
      <c r="W5" s="1515" t="s">
        <v>995</v>
      </c>
    </row>
    <row r="6" s="1515" customFormat="true" ht="14.25" hidden="false" customHeight="false" outlineLevel="0" collapsed="false">
      <c r="B6" s="1515" t="n">
        <v>2025</v>
      </c>
      <c r="C6" s="1529" t="n">
        <v>4</v>
      </c>
      <c r="D6" s="359" t="n">
        <v>0</v>
      </c>
      <c r="E6" s="1524" t="n">
        <f aca="false">CONCATENATE(C6,IF(O6=19,9,IF(O6=6,6,IF(O6=4,4,0))))+0</f>
        <v>40</v>
      </c>
      <c r="F6" s="1530" t="s">
        <v>996</v>
      </c>
      <c r="G6" s="1530"/>
      <c r="H6" s="1529" t="n">
        <v>114.19</v>
      </c>
      <c r="I6" s="1529" t="n">
        <v>480.81</v>
      </c>
      <c r="J6" s="1529" t="n">
        <v>951.75</v>
      </c>
      <c r="K6" s="1529" t="n">
        <v>2400</v>
      </c>
      <c r="L6" s="1526" t="n">
        <v>0.00465</v>
      </c>
      <c r="M6" s="1526" t="n">
        <v>0.0196</v>
      </c>
      <c r="N6" s="1531" t="n">
        <v>1</v>
      </c>
      <c r="O6" s="1529" t="n">
        <v>0</v>
      </c>
      <c r="T6" s="1528" t="n">
        <v>4</v>
      </c>
      <c r="U6" s="1528" t="s">
        <v>996</v>
      </c>
      <c r="V6" s="1515" t="str">
        <f aca="false">MID(E6,LEN(E6),1)</f>
        <v>0</v>
      </c>
      <c r="W6" s="1515" t="s">
        <v>996</v>
      </c>
    </row>
    <row r="7" s="1515" customFormat="true" ht="14.25" hidden="false" customHeight="false" outlineLevel="0" collapsed="false">
      <c r="B7" s="1515" t="n">
        <v>2025</v>
      </c>
      <c r="C7" s="1529" t="n">
        <v>5</v>
      </c>
      <c r="D7" s="359" t="n">
        <v>0</v>
      </c>
      <c r="E7" s="1524" t="n">
        <f aca="false">CONCATENATE(C7,IF(O7=19,9,IF(O7=6,6,IF(O7=4,4,0))))+0</f>
        <v>50</v>
      </c>
      <c r="F7" s="1530" t="s">
        <v>997</v>
      </c>
      <c r="G7" s="1530"/>
      <c r="H7" s="1529" t="n">
        <v>114.19</v>
      </c>
      <c r="I7" s="1529" t="n">
        <v>240.4</v>
      </c>
      <c r="J7" s="1529" t="n">
        <v>400</v>
      </c>
      <c r="K7" s="1529" t="n">
        <v>800</v>
      </c>
      <c r="L7" s="1526" t="n">
        <v>0.00465</v>
      </c>
      <c r="M7" s="1526" t="n">
        <v>0.0098</v>
      </c>
      <c r="N7" s="1531" t="n">
        <v>1</v>
      </c>
      <c r="O7" s="1529" t="n">
        <v>0</v>
      </c>
      <c r="T7" s="1528" t="n">
        <v>5</v>
      </c>
      <c r="U7" s="1528" t="s">
        <v>997</v>
      </c>
      <c r="V7" s="1515" t="str">
        <f aca="false">MID(E7,LEN(E7),1)</f>
        <v>0</v>
      </c>
      <c r="W7" s="1515" t="s">
        <v>997</v>
      </c>
    </row>
    <row r="8" s="1515" customFormat="true" ht="14.25" hidden="false" customHeight="false" outlineLevel="0" collapsed="false">
      <c r="B8" s="1515" t="n">
        <v>2025</v>
      </c>
      <c r="C8" s="1529" t="n">
        <v>6</v>
      </c>
      <c r="D8" s="359" t="n">
        <v>0</v>
      </c>
      <c r="E8" s="1524" t="n">
        <f aca="false">CONCATENATE(C8,IF(O8=19,9,IF(O8=6,6,IF(O8=4,4,0))))+0</f>
        <v>60</v>
      </c>
      <c r="F8" s="1530" t="s">
        <v>998</v>
      </c>
      <c r="G8" s="1530"/>
      <c r="H8" s="1529" t="n">
        <v>114.19</v>
      </c>
      <c r="I8" s="1529" t="n">
        <v>240.4</v>
      </c>
      <c r="J8" s="1529" t="n">
        <v>364.22</v>
      </c>
      <c r="K8" s="1529" t="n">
        <v>600</v>
      </c>
      <c r="L8" s="1526" t="n">
        <v>0.00465</v>
      </c>
      <c r="M8" s="1526" t="n">
        <v>0.0098</v>
      </c>
      <c r="N8" s="1531" t="n">
        <v>1</v>
      </c>
      <c r="O8" s="1529" t="n">
        <v>0</v>
      </c>
      <c r="T8" s="1528" t="n">
        <v>6</v>
      </c>
      <c r="U8" s="1528" t="s">
        <v>998</v>
      </c>
      <c r="V8" s="1515" t="str">
        <f aca="false">MID(E8,LEN(E8),1)</f>
        <v>0</v>
      </c>
      <c r="W8" s="1515" t="s">
        <v>998</v>
      </c>
    </row>
    <row r="9" s="1515" customFormat="true" ht="14.25" hidden="false" customHeight="false" outlineLevel="0" collapsed="false">
      <c r="B9" s="1515" t="n">
        <v>2025</v>
      </c>
      <c r="C9" s="1529" t="n">
        <v>7</v>
      </c>
      <c r="D9" s="359" t="n">
        <v>0</v>
      </c>
      <c r="E9" s="1524" t="n">
        <f aca="false">CONCATENATE(C9,IF(O9=19,9,IF(O9=6,6,IF(O9=4,4,0))))+0</f>
        <v>70</v>
      </c>
      <c r="F9" s="1530" t="s">
        <v>999</v>
      </c>
      <c r="G9" s="1530"/>
      <c r="H9" s="1529" t="n">
        <v>114.19</v>
      </c>
      <c r="I9" s="1529" t="n">
        <v>240.4</v>
      </c>
      <c r="J9" s="1529" t="n">
        <v>400</v>
      </c>
      <c r="K9" s="1529" t="n">
        <v>800</v>
      </c>
      <c r="L9" s="1526" t="n">
        <v>0.00465</v>
      </c>
      <c r="M9" s="1526" t="n">
        <v>0.0098</v>
      </c>
      <c r="N9" s="1531" t="n">
        <v>1</v>
      </c>
      <c r="O9" s="1529" t="n">
        <v>0</v>
      </c>
      <c r="T9" s="1528" t="n">
        <v>7</v>
      </c>
      <c r="U9" s="1528" t="s">
        <v>999</v>
      </c>
      <c r="V9" s="1515" t="str">
        <f aca="false">MID(E9,LEN(E9),1)</f>
        <v>0</v>
      </c>
      <c r="W9" s="1515" t="s">
        <v>999</v>
      </c>
    </row>
    <row r="10" s="1515" customFormat="true" ht="14.25" hidden="false" customHeight="false" outlineLevel="0" collapsed="false">
      <c r="B10" s="1515" t="n">
        <v>2025</v>
      </c>
      <c r="C10" s="1529" t="n">
        <v>8</v>
      </c>
      <c r="D10" s="359" t="n">
        <v>0</v>
      </c>
      <c r="E10" s="1524" t="n">
        <f aca="false">CONCATENATE(C10,IF(O10=19,9,IF(O10=6,6,IF(O10=4,4,0))))+0</f>
        <v>80</v>
      </c>
      <c r="F10" s="1530" t="s">
        <v>1000</v>
      </c>
      <c r="G10" s="1530"/>
      <c r="H10" s="1529" t="n">
        <v>114.19</v>
      </c>
      <c r="I10" s="1529" t="n">
        <v>240.4</v>
      </c>
      <c r="J10" s="1529" t="n">
        <v>294.04</v>
      </c>
      <c r="K10" s="1529" t="n">
        <v>600</v>
      </c>
      <c r="L10" s="1526" t="n">
        <v>0.00465</v>
      </c>
      <c r="M10" s="1526" t="n">
        <v>0.0098</v>
      </c>
      <c r="N10" s="1531" t="n">
        <v>1</v>
      </c>
      <c r="O10" s="1529" t="n">
        <v>0</v>
      </c>
      <c r="T10" s="1528" t="n">
        <v>8</v>
      </c>
      <c r="U10" s="1528" t="s">
        <v>1000</v>
      </c>
      <c r="V10" s="1515" t="str">
        <f aca="false">MID(E10,LEN(E10),1)</f>
        <v>0</v>
      </c>
      <c r="W10" s="1515" t="s">
        <v>1000</v>
      </c>
    </row>
    <row r="11" s="1515" customFormat="true" ht="14.25" hidden="false" customHeight="false" outlineLevel="0" collapsed="false">
      <c r="B11" s="1515" t="n">
        <v>2025</v>
      </c>
      <c r="C11" s="1529" t="n">
        <v>9</v>
      </c>
      <c r="D11" s="359" t="n">
        <v>0</v>
      </c>
      <c r="E11" s="1524" t="n">
        <f aca="false">CONCATENATE(C11,IF(O11=19,9,IF(O11=6,6,IF(O11=4,4,0))))+0</f>
        <v>90</v>
      </c>
      <c r="F11" s="1530" t="s">
        <v>1001</v>
      </c>
      <c r="G11" s="1530"/>
      <c r="H11" s="1529" t="n">
        <v>114.19</v>
      </c>
      <c r="I11" s="1529" t="n">
        <v>240.4</v>
      </c>
      <c r="J11" s="1529" t="n">
        <v>265.73</v>
      </c>
      <c r="K11" s="1529" t="n">
        <v>500</v>
      </c>
      <c r="L11" s="1526" t="n">
        <v>0.00465</v>
      </c>
      <c r="M11" s="1526" t="n">
        <v>0.0098</v>
      </c>
      <c r="N11" s="1531" t="n">
        <v>1</v>
      </c>
      <c r="O11" s="1529" t="n">
        <v>0</v>
      </c>
      <c r="T11" s="1528" t="n">
        <v>9</v>
      </c>
      <c r="U11" s="1528" t="s">
        <v>1001</v>
      </c>
      <c r="V11" s="1515" t="str">
        <f aca="false">MID(E11,LEN(E11),1)</f>
        <v>0</v>
      </c>
      <c r="W11" s="1515" t="s">
        <v>1001</v>
      </c>
    </row>
    <row r="12" s="1515" customFormat="true" ht="14.25" hidden="false" customHeight="false" outlineLevel="0" collapsed="false">
      <c r="B12" s="1515" t="n">
        <v>2025</v>
      </c>
      <c r="C12" s="1529" t="n">
        <v>10</v>
      </c>
      <c r="D12" s="359" t="n">
        <v>0</v>
      </c>
      <c r="E12" s="1524" t="n">
        <f aca="false">CONCATENATE(C12,IF(O12=19,9,IF(O12=6,6,IF(O12=4,4,0))))+0</f>
        <v>100</v>
      </c>
      <c r="F12" s="1530" t="s">
        <v>1002</v>
      </c>
      <c r="G12" s="1530"/>
      <c r="H12" s="1529" t="n">
        <v>114.19</v>
      </c>
      <c r="I12" s="1529" t="n">
        <v>240.4</v>
      </c>
      <c r="J12" s="1529" t="n">
        <v>365.73</v>
      </c>
      <c r="K12" s="1529" t="n">
        <v>600</v>
      </c>
      <c r="L12" s="1526" t="n">
        <v>0.00465</v>
      </c>
      <c r="M12" s="1526" t="n">
        <v>0.0098</v>
      </c>
      <c r="N12" s="1531" t="n">
        <v>1</v>
      </c>
      <c r="O12" s="1529" t="n">
        <v>0</v>
      </c>
      <c r="T12" s="1528" t="n">
        <v>10</v>
      </c>
      <c r="U12" s="1528" t="s">
        <v>1002</v>
      </c>
      <c r="V12" s="1515" t="str">
        <f aca="false">MID(E12,LEN(E12),1)</f>
        <v>0</v>
      </c>
      <c r="W12" s="1515" t="s">
        <v>1002</v>
      </c>
    </row>
    <row r="13" s="1515" customFormat="true" ht="14.25" hidden="false" customHeight="false" outlineLevel="0" collapsed="false">
      <c r="B13" s="1515" t="n">
        <v>2025</v>
      </c>
      <c r="C13" s="1529" t="n">
        <v>11</v>
      </c>
      <c r="D13" s="359" t="n">
        <v>0</v>
      </c>
      <c r="E13" s="1524" t="n">
        <f aca="false">CONCATENATE(C13,IF(O13=19,9,IF(O13=6,6,IF(O13=4,4,0))))+0</f>
        <v>110</v>
      </c>
      <c r="F13" s="1530" t="s">
        <v>1003</v>
      </c>
      <c r="G13" s="1530"/>
      <c r="H13" s="1529" t="n">
        <v>114.19</v>
      </c>
      <c r="I13" s="1529" t="n">
        <v>240.4</v>
      </c>
      <c r="J13" s="1529" t="n">
        <v>365.73</v>
      </c>
      <c r="K13" s="1529" t="n">
        <v>600</v>
      </c>
      <c r="L13" s="1526" t="n">
        <v>0.00465</v>
      </c>
      <c r="M13" s="1526" t="n">
        <v>0.0098</v>
      </c>
      <c r="N13" s="1531" t="n">
        <v>1</v>
      </c>
      <c r="O13" s="1529" t="n">
        <v>0</v>
      </c>
      <c r="T13" s="1528" t="n">
        <v>11</v>
      </c>
      <c r="U13" s="1528" t="s">
        <v>1003</v>
      </c>
      <c r="V13" s="1515" t="str">
        <f aca="false">MID(E13,LEN(E13),1)</f>
        <v>0</v>
      </c>
      <c r="W13" s="1515" t="s">
        <v>1003</v>
      </c>
    </row>
    <row r="14" s="1515" customFormat="true" ht="14.25" hidden="false" customHeight="false" outlineLevel="0" collapsed="false">
      <c r="B14" s="1515" t="n">
        <v>2025</v>
      </c>
      <c r="C14" s="1529" t="n">
        <v>12</v>
      </c>
      <c r="D14" s="359" t="n">
        <v>0</v>
      </c>
      <c r="E14" s="1524" t="n">
        <f aca="false">CONCATENATE(C14,IF(O14=19,9,IF(O14=6,6,IF(O14=4,4,0))))+0</f>
        <v>120</v>
      </c>
      <c r="F14" s="1530" t="s">
        <v>1004</v>
      </c>
      <c r="G14" s="1530"/>
      <c r="H14" s="1529" t="n">
        <v>114.19</v>
      </c>
      <c r="I14" s="1529" t="n">
        <v>240.4</v>
      </c>
      <c r="J14" s="1529" t="n">
        <v>365.73</v>
      </c>
      <c r="K14" s="1529" t="n">
        <v>600</v>
      </c>
      <c r="L14" s="1526" t="n">
        <v>0.00465</v>
      </c>
      <c r="M14" s="1526" t="n">
        <v>0.0098</v>
      </c>
      <c r="N14" s="1531" t="n">
        <v>1</v>
      </c>
      <c r="O14" s="1529" t="n">
        <v>0</v>
      </c>
      <c r="T14" s="1528" t="n">
        <v>12</v>
      </c>
      <c r="U14" s="1528" t="s">
        <v>1004</v>
      </c>
      <c r="V14" s="1515" t="str">
        <f aca="false">MID(E14,LEN(E14),1)</f>
        <v>0</v>
      </c>
      <c r="W14" s="1515" t="s">
        <v>1004</v>
      </c>
    </row>
    <row r="15" s="1515" customFormat="true" ht="14.25" hidden="false" customHeight="false" outlineLevel="0" collapsed="false">
      <c r="B15" s="1515" t="n">
        <v>2025</v>
      </c>
      <c r="C15" s="1529" t="n">
        <v>13</v>
      </c>
      <c r="D15" s="359" t="n">
        <v>0</v>
      </c>
      <c r="E15" s="1524" t="n">
        <f aca="false">CONCATENATE(C15,IF(O15=19,9,IF(O15=6,6,IF(O15=4,4,0))))+0</f>
        <v>130</v>
      </c>
      <c r="F15" s="1530" t="s">
        <v>1005</v>
      </c>
      <c r="G15" s="1530"/>
      <c r="H15" s="1529" t="n">
        <v>114.19</v>
      </c>
      <c r="I15" s="1529" t="n">
        <v>240.4</v>
      </c>
      <c r="J15" s="1529" t="n">
        <v>365.73</v>
      </c>
      <c r="K15" s="1529" t="n">
        <v>700</v>
      </c>
      <c r="L15" s="1526" t="n">
        <v>0.00465</v>
      </c>
      <c r="M15" s="1526" t="n">
        <v>0.0098</v>
      </c>
      <c r="N15" s="1531" t="n">
        <v>1</v>
      </c>
      <c r="O15" s="1529" t="n">
        <v>0</v>
      </c>
      <c r="T15" s="1528" t="n">
        <v>13</v>
      </c>
      <c r="U15" s="1528" t="s">
        <v>1005</v>
      </c>
      <c r="V15" s="1515" t="str">
        <f aca="false">MID(E15,LEN(E15),1)</f>
        <v>0</v>
      </c>
      <c r="W15" s="1515" t="s">
        <v>1005</v>
      </c>
    </row>
    <row r="16" s="1515" customFormat="true" ht="14.25" hidden="false" customHeight="false" outlineLevel="0" collapsed="false">
      <c r="B16" s="1515" t="n">
        <v>2025</v>
      </c>
      <c r="C16" s="1529" t="n">
        <v>14</v>
      </c>
      <c r="D16" s="359" t="n">
        <v>0</v>
      </c>
      <c r="E16" s="1524" t="n">
        <f aca="false">CONCATENATE(C16,IF(O16=19,9,IF(O16=6,6,IF(O16=4,4,0))))+0</f>
        <v>140</v>
      </c>
      <c r="F16" s="1530" t="s">
        <v>1006</v>
      </c>
      <c r="G16" s="1530"/>
      <c r="H16" s="1529" t="n">
        <v>114.19</v>
      </c>
      <c r="I16" s="1529" t="n">
        <v>240.4</v>
      </c>
      <c r="J16" s="1529" t="n">
        <v>365.73</v>
      </c>
      <c r="K16" s="1529" t="n">
        <v>700</v>
      </c>
      <c r="L16" s="1526" t="n">
        <v>0.00465</v>
      </c>
      <c r="M16" s="1526" t="n">
        <v>0.0098</v>
      </c>
      <c r="N16" s="1531" t="n">
        <v>1</v>
      </c>
      <c r="O16" s="1529" t="n">
        <v>0</v>
      </c>
      <c r="T16" s="1528" t="n">
        <v>14</v>
      </c>
      <c r="U16" s="1528" t="s">
        <v>1006</v>
      </c>
      <c r="V16" s="1515" t="str">
        <f aca="false">MID(E16,LEN(E16),1)</f>
        <v>0</v>
      </c>
      <c r="W16" s="1515" t="s">
        <v>1006</v>
      </c>
    </row>
    <row r="17" s="1515" customFormat="true" ht="14.25" hidden="false" customHeight="false" outlineLevel="0" collapsed="false">
      <c r="B17" s="1515" t="n">
        <v>2025</v>
      </c>
      <c r="C17" s="1529" t="n">
        <v>19</v>
      </c>
      <c r="D17" s="359" t="n">
        <v>0</v>
      </c>
      <c r="E17" s="1524" t="n">
        <f aca="false">CONCATENATE(C17,IF(O17=19,9,IF(O17=6,6,IF(O17=4,4,0))))+0</f>
        <v>190</v>
      </c>
      <c r="F17" s="1532" t="s">
        <v>1007</v>
      </c>
      <c r="G17" s="1532"/>
      <c r="H17" s="1529" t="n">
        <v>114.19</v>
      </c>
      <c r="I17" s="1529" t="n">
        <v>240.4</v>
      </c>
      <c r="J17" s="1529" t="n">
        <v>365.73</v>
      </c>
      <c r="K17" s="1529" t="n">
        <v>600</v>
      </c>
      <c r="L17" s="1526" t="n">
        <v>0.00465</v>
      </c>
      <c r="M17" s="1526" t="n">
        <v>0.0098</v>
      </c>
      <c r="N17" s="1531" t="n">
        <v>1</v>
      </c>
      <c r="O17" s="1529" t="n">
        <v>0</v>
      </c>
      <c r="T17" s="1528" t="n">
        <v>19</v>
      </c>
      <c r="U17" s="1528" t="s">
        <v>1007</v>
      </c>
      <c r="V17" s="1515" t="str">
        <f aca="false">MID(E17,LEN(E17),1)</f>
        <v>0</v>
      </c>
      <c r="W17" s="1515" t="s">
        <v>1007</v>
      </c>
    </row>
    <row r="18" s="1515" customFormat="true" ht="14.25" hidden="false" customHeight="false" outlineLevel="0" collapsed="false">
      <c r="B18" s="1515" t="n">
        <v>2025</v>
      </c>
      <c r="C18" s="1529" t="n">
        <v>20</v>
      </c>
      <c r="D18" s="359" t="n">
        <v>0</v>
      </c>
      <c r="E18" s="1524" t="n">
        <f aca="false">CONCATENATE(C18,IF(O18=19,9,IF(O18=6,6,IF(O18=4,4,0))))+0</f>
        <v>200</v>
      </c>
      <c r="F18" s="1532" t="s">
        <v>1008</v>
      </c>
      <c r="G18" s="1532"/>
      <c r="H18" s="1533" t="n">
        <v>48.08</v>
      </c>
      <c r="I18" s="1533" t="n">
        <v>150.25</v>
      </c>
      <c r="J18" s="1533" t="n">
        <v>119</v>
      </c>
      <c r="K18" s="1533" t="n">
        <v>256</v>
      </c>
      <c r="L18" s="1526" t="n">
        <v>0.00196</v>
      </c>
      <c r="M18" s="1526" t="n">
        <v>0.00612</v>
      </c>
      <c r="N18" s="1531" t="n">
        <v>0</v>
      </c>
      <c r="O18" s="1529" t="n">
        <v>0</v>
      </c>
      <c r="P18" s="1534"/>
      <c r="Q18" s="1534"/>
      <c r="R18" s="1534"/>
      <c r="S18" s="1534"/>
      <c r="T18" s="1528" t="n">
        <v>20</v>
      </c>
      <c r="U18" s="1528" t="s">
        <v>1008</v>
      </c>
      <c r="V18" s="1515" t="str">
        <f aca="false">MID(E18,LEN(E18),1)</f>
        <v>0</v>
      </c>
      <c r="W18" s="1515" t="s">
        <v>1008</v>
      </c>
    </row>
    <row r="19" s="1515" customFormat="true" ht="14.25" hidden="false" customHeight="false" outlineLevel="0" collapsed="false">
      <c r="B19" s="1515" t="n">
        <v>2025</v>
      </c>
      <c r="C19" s="1529" t="n">
        <v>23</v>
      </c>
      <c r="D19" s="359" t="n">
        <v>0</v>
      </c>
      <c r="E19" s="1524" t="n">
        <f aca="false">CONCATENATE(C19,IF(O19=19,9,IF(O19=6,6,IF(O19=4,4,0))))+0</f>
        <v>230</v>
      </c>
      <c r="F19" s="1532" t="s">
        <v>1009</v>
      </c>
      <c r="G19" s="1532"/>
      <c r="H19" s="1533" t="n">
        <v>48.08</v>
      </c>
      <c r="I19" s="1533" t="n">
        <v>150.25</v>
      </c>
      <c r="J19" s="1533" t="n">
        <v>119</v>
      </c>
      <c r="K19" s="1533" t="n">
        <v>256</v>
      </c>
      <c r="L19" s="1526" t="n">
        <v>0.00196</v>
      </c>
      <c r="M19" s="1526" t="n">
        <v>0.00612</v>
      </c>
      <c r="N19" s="1531" t="n">
        <v>0</v>
      </c>
      <c r="O19" s="1529" t="n">
        <v>0</v>
      </c>
      <c r="P19" s="1534"/>
      <c r="Q19" s="1534"/>
      <c r="R19" s="1534"/>
      <c r="S19" s="1534"/>
      <c r="T19" s="1528" t="n">
        <v>23</v>
      </c>
      <c r="U19" s="1528" t="s">
        <v>1009</v>
      </c>
      <c r="V19" s="1515" t="str">
        <f aca="false">MID(E19,LEN(E19),1)</f>
        <v>0</v>
      </c>
      <c r="W19" s="1515" t="s">
        <v>1009</v>
      </c>
    </row>
    <row r="20" s="1515" customFormat="true" ht="14.25" hidden="false" customHeight="false" outlineLevel="0" collapsed="false">
      <c r="B20" s="1515" t="n">
        <v>2025</v>
      </c>
      <c r="C20" s="1529" t="n">
        <v>33</v>
      </c>
      <c r="D20" s="359" t="n">
        <v>0</v>
      </c>
      <c r="E20" s="1524" t="n">
        <f aca="false">CONCATENATE(C20,IF(O20=19,9,IF(O20=6,6,IF(O20=4,4,0))))+0</f>
        <v>330</v>
      </c>
      <c r="F20" s="1532" t="s">
        <v>1010</v>
      </c>
      <c r="G20" s="1532"/>
      <c r="H20" s="1529" t="n">
        <v>114.19</v>
      </c>
      <c r="I20" s="1529" t="n">
        <v>240.4</v>
      </c>
      <c r="J20" s="1529" t="n">
        <v>350</v>
      </c>
      <c r="K20" s="1529" t="n">
        <v>750</v>
      </c>
      <c r="L20" s="1526" t="n">
        <v>0.00465</v>
      </c>
      <c r="M20" s="1526" t="n">
        <v>0.0098</v>
      </c>
      <c r="N20" s="1531" t="n">
        <v>1</v>
      </c>
      <c r="O20" s="1529" t="n">
        <v>0</v>
      </c>
      <c r="T20" s="1528" t="n">
        <v>33</v>
      </c>
      <c r="U20" s="1528" t="s">
        <v>1010</v>
      </c>
      <c r="V20" s="1515" t="str">
        <f aca="false">MID(E20,LEN(E20),1)</f>
        <v>0</v>
      </c>
      <c r="W20" s="1515" t="s">
        <v>1010</v>
      </c>
    </row>
    <row r="21" s="1515" customFormat="true" ht="14.25" hidden="false" customHeight="false" outlineLevel="0" collapsed="false">
      <c r="B21" s="1515" t="n">
        <v>2025</v>
      </c>
      <c r="C21" s="1529" t="n">
        <v>34</v>
      </c>
      <c r="D21" s="359" t="n">
        <v>0</v>
      </c>
      <c r="E21" s="1524" t="n">
        <f aca="false">CONCATENATE(C21,IF(O21=19,9,IF(O21=6,6,IF(O21=4,4,0))))+0</f>
        <v>340</v>
      </c>
      <c r="F21" s="1530" t="s">
        <v>1011</v>
      </c>
      <c r="G21" s="1530"/>
      <c r="H21" s="1529" t="n">
        <v>114.19</v>
      </c>
      <c r="I21" s="1529" t="n">
        <v>240.4</v>
      </c>
      <c r="J21" s="1529" t="n">
        <v>350</v>
      </c>
      <c r="K21" s="1529" t="n">
        <v>850</v>
      </c>
      <c r="L21" s="1526" t="n">
        <v>0.00465</v>
      </c>
      <c r="M21" s="1526" t="n">
        <v>0.0098</v>
      </c>
      <c r="N21" s="1531" t="n">
        <v>1</v>
      </c>
      <c r="O21" s="1529" t="n">
        <v>0</v>
      </c>
      <c r="T21" s="1528" t="n">
        <v>34</v>
      </c>
      <c r="U21" s="1528" t="s">
        <v>1011</v>
      </c>
      <c r="V21" s="1515" t="str">
        <f aca="false">MID(E21,LEN(E21),1)</f>
        <v>0</v>
      </c>
      <c r="W21" s="1515" t="s">
        <v>1011</v>
      </c>
    </row>
    <row r="22" s="1515" customFormat="true" ht="14.25" hidden="false" customHeight="false" outlineLevel="0" collapsed="false">
      <c r="B22" s="1515" t="n">
        <v>2025</v>
      </c>
      <c r="C22" s="1529" t="n">
        <v>35</v>
      </c>
      <c r="D22" s="359" t="n">
        <v>0</v>
      </c>
      <c r="E22" s="1524" t="n">
        <f aca="false">CONCATENATE(C22,IF(O22=19,9,IF(O22=6,6,IF(O22=4,4,0))))+0</f>
        <v>350</v>
      </c>
      <c r="F22" s="1530" t="s">
        <v>1012</v>
      </c>
      <c r="G22" s="1530"/>
      <c r="H22" s="1529" t="n">
        <v>114.19</v>
      </c>
      <c r="I22" s="1529" t="n">
        <v>240.4</v>
      </c>
      <c r="J22" s="1529" t="n">
        <v>350</v>
      </c>
      <c r="K22" s="1529" t="n">
        <v>750</v>
      </c>
      <c r="L22" s="1526" t="n">
        <v>0.00465</v>
      </c>
      <c r="M22" s="1526" t="n">
        <v>0.0098</v>
      </c>
      <c r="N22" s="1531" t="n">
        <v>1</v>
      </c>
      <c r="O22" s="1529" t="n">
        <v>0</v>
      </c>
      <c r="T22" s="1528" t="n">
        <v>35</v>
      </c>
      <c r="U22" s="1528" t="s">
        <v>1012</v>
      </c>
      <c r="V22" s="1515" t="str">
        <f aca="false">MID(E22,LEN(E22),1)</f>
        <v>0</v>
      </c>
      <c r="W22" s="1515" t="s">
        <v>1012</v>
      </c>
    </row>
    <row r="23" s="1515" customFormat="true" ht="14.25" hidden="false" customHeight="false" outlineLevel="0" collapsed="false">
      <c r="B23" s="1515" t="n">
        <v>2025</v>
      </c>
      <c r="C23" s="1529" t="n">
        <v>36</v>
      </c>
      <c r="D23" s="359" t="n">
        <v>0</v>
      </c>
      <c r="E23" s="1524" t="n">
        <f aca="false">CONCATENATE(C23,IF(O23=19,9,IF(O23=6,6,IF(O23=4,4,0))))+0</f>
        <v>360</v>
      </c>
      <c r="F23" s="1530" t="s">
        <v>1013</v>
      </c>
      <c r="G23" s="1530"/>
      <c r="H23" s="1529" t="n">
        <v>114.19</v>
      </c>
      <c r="I23" s="1529" t="n">
        <v>240.4</v>
      </c>
      <c r="J23" s="1529" t="n">
        <v>186.91</v>
      </c>
      <c r="K23" s="1529" t="n">
        <v>840.36</v>
      </c>
      <c r="L23" s="1526" t="n">
        <v>0.00465</v>
      </c>
      <c r="M23" s="1526" t="n">
        <v>0.0098</v>
      </c>
      <c r="N23" s="1531" t="n">
        <v>1</v>
      </c>
      <c r="O23" s="1529" t="n">
        <v>0</v>
      </c>
      <c r="T23" s="1528" t="n">
        <v>36</v>
      </c>
      <c r="U23" s="1528" t="s">
        <v>1013</v>
      </c>
      <c r="V23" s="1515" t="str">
        <f aca="false">MID(E23,LEN(E23),1)</f>
        <v>0</v>
      </c>
      <c r="W23" s="1515" t="s">
        <v>1013</v>
      </c>
    </row>
    <row r="24" s="1515" customFormat="true" ht="14.25" hidden="false" customHeight="false" outlineLevel="0" collapsed="false">
      <c r="B24" s="1515" t="n">
        <v>2025</v>
      </c>
      <c r="C24" s="1529" t="n">
        <v>40</v>
      </c>
      <c r="D24" s="359" t="n">
        <v>0</v>
      </c>
      <c r="E24" s="1524" t="n">
        <f aca="false">CONCATENATE(C24,IF(O24=19,9,IF(O24=6,6,IF(O24=4,4,0))))+0</f>
        <v>400</v>
      </c>
      <c r="F24" s="1530" t="s">
        <v>1014</v>
      </c>
      <c r="G24" s="1530"/>
      <c r="H24" s="1529" t="n">
        <v>114.19</v>
      </c>
      <c r="I24" s="1529" t="n">
        <v>240.4</v>
      </c>
      <c r="J24" s="1529" t="n">
        <v>300</v>
      </c>
      <c r="K24" s="1529" t="n">
        <v>700</v>
      </c>
      <c r="L24" s="1526" t="n">
        <v>0.00465</v>
      </c>
      <c r="M24" s="1526" t="n">
        <v>0.0098</v>
      </c>
      <c r="N24" s="1531" t="n">
        <v>1</v>
      </c>
      <c r="O24" s="1529" t="n">
        <v>0</v>
      </c>
      <c r="T24" s="1528" t="n">
        <v>40</v>
      </c>
      <c r="U24" s="1528" t="s">
        <v>1014</v>
      </c>
      <c r="V24" s="1515" t="str">
        <f aca="false">MID(E24,LEN(E24),1)</f>
        <v>0</v>
      </c>
      <c r="W24" s="1515" t="s">
        <v>1014</v>
      </c>
    </row>
    <row r="25" s="1515" customFormat="true" ht="14.25" hidden="false" customHeight="false" outlineLevel="0" collapsed="false">
      <c r="B25" s="1515" t="n">
        <v>2025</v>
      </c>
      <c r="C25" s="1529" t="n">
        <v>41</v>
      </c>
      <c r="D25" s="359" t="n">
        <v>0</v>
      </c>
      <c r="E25" s="1524" t="n">
        <f aca="false">CONCATENATE(C25,IF(O25=19,9,IF(O25=6,6,IF(O25=4,4,0))))+0</f>
        <v>410</v>
      </c>
      <c r="F25" s="1530" t="s">
        <v>1015</v>
      </c>
      <c r="G25" s="1530"/>
      <c r="H25" s="1529" t="n">
        <v>114.19</v>
      </c>
      <c r="I25" s="1529" t="n">
        <v>240.4</v>
      </c>
      <c r="J25" s="1529" t="n">
        <v>350</v>
      </c>
      <c r="K25" s="1529" t="n">
        <v>750</v>
      </c>
      <c r="L25" s="1526" t="n">
        <v>0.00465</v>
      </c>
      <c r="M25" s="1526" t="n">
        <v>0.0098</v>
      </c>
      <c r="N25" s="1531" t="n">
        <v>1</v>
      </c>
      <c r="O25" s="1529" t="n">
        <v>0</v>
      </c>
      <c r="T25" s="1528" t="n">
        <v>41</v>
      </c>
      <c r="U25" s="1528" t="s">
        <v>1015</v>
      </c>
      <c r="V25" s="1515" t="str">
        <f aca="false">MID(E25,LEN(E25),1)</f>
        <v>0</v>
      </c>
      <c r="W25" s="1515" t="s">
        <v>1015</v>
      </c>
    </row>
    <row r="26" s="1515" customFormat="true" ht="14.25" hidden="false" customHeight="false" outlineLevel="0" collapsed="false">
      <c r="B26" s="1515" t="n">
        <v>2025</v>
      </c>
      <c r="C26" s="1529" t="n">
        <v>43</v>
      </c>
      <c r="D26" s="359" t="n">
        <v>0</v>
      </c>
      <c r="E26" s="1524" t="n">
        <f aca="false">CONCATENATE(C26,IF(O26=19,9,IF(O26=6,6,IF(O26=4,4,0))))+0</f>
        <v>430</v>
      </c>
      <c r="F26" s="1530" t="s">
        <v>1016</v>
      </c>
      <c r="G26" s="1530"/>
      <c r="H26" s="1529" t="n">
        <v>114.19</v>
      </c>
      <c r="I26" s="1529" t="n">
        <v>240.4</v>
      </c>
      <c r="J26" s="1529" t="n">
        <v>350</v>
      </c>
      <c r="K26" s="1529" t="n">
        <v>750</v>
      </c>
      <c r="L26" s="1526" t="n">
        <v>0.00465</v>
      </c>
      <c r="M26" s="1526" t="n">
        <v>0.0098</v>
      </c>
      <c r="N26" s="1531" t="n">
        <v>1</v>
      </c>
      <c r="O26" s="1529" t="n">
        <v>0</v>
      </c>
      <c r="T26" s="1528" t="n">
        <v>43</v>
      </c>
      <c r="U26" s="1528" t="s">
        <v>1016</v>
      </c>
      <c r="V26" s="1515" t="str">
        <f aca="false">MID(E26,LEN(E26),1)</f>
        <v>0</v>
      </c>
      <c r="W26" s="1515" t="s">
        <v>1016</v>
      </c>
    </row>
    <row r="27" s="1515" customFormat="true" ht="14.25" hidden="false" customHeight="false" outlineLevel="0" collapsed="false">
      <c r="B27" s="1515" t="n">
        <v>2025</v>
      </c>
      <c r="C27" s="1529" t="n">
        <v>49</v>
      </c>
      <c r="D27" s="359" t="n">
        <v>0</v>
      </c>
      <c r="E27" s="1524" t="n">
        <f aca="false">CONCATENATE(C27,IF(O27=19,9,IF(O27=6,6,IF(O27=4,4,0))))+0</f>
        <v>490</v>
      </c>
      <c r="F27" s="1530" t="s">
        <v>1017</v>
      </c>
      <c r="G27" s="1530"/>
      <c r="H27" s="1529" t="n">
        <v>114.19</v>
      </c>
      <c r="I27" s="1529" t="n">
        <v>240.4</v>
      </c>
      <c r="J27" s="1529" t="n">
        <v>350</v>
      </c>
      <c r="K27" s="1529" t="n">
        <v>750</v>
      </c>
      <c r="L27" s="1526" t="n">
        <v>0.00465</v>
      </c>
      <c r="M27" s="1526" t="n">
        <v>0.0098</v>
      </c>
      <c r="N27" s="1531" t="n">
        <v>1</v>
      </c>
      <c r="O27" s="1529" t="n">
        <v>0</v>
      </c>
      <c r="T27" s="1528" t="n">
        <v>49</v>
      </c>
      <c r="U27" s="1528" t="s">
        <v>1017</v>
      </c>
      <c r="V27" s="1515" t="str">
        <f aca="false">MID(E27,LEN(E27),1)</f>
        <v>0</v>
      </c>
      <c r="W27" s="1515" t="s">
        <v>1017</v>
      </c>
    </row>
    <row r="28" s="1515" customFormat="true" ht="14.25" hidden="false" customHeight="false" outlineLevel="0" collapsed="false">
      <c r="B28" s="1515" t="n">
        <v>2025</v>
      </c>
      <c r="C28" s="1529" t="n">
        <v>50</v>
      </c>
      <c r="D28" s="359" t="n">
        <v>0</v>
      </c>
      <c r="E28" s="1524" t="n">
        <f aca="false">CONCATENATE(C28,IF(O28=19,9,IF(O28=6,6,IF(O28=4,4,0))))+0</f>
        <v>500</v>
      </c>
      <c r="F28" s="1530" t="s">
        <v>1018</v>
      </c>
      <c r="G28" s="1530"/>
      <c r="H28" s="1529" t="n">
        <v>114.19</v>
      </c>
      <c r="I28" s="1529" t="n">
        <v>240.4</v>
      </c>
      <c r="J28" s="1529" t="n">
        <v>350</v>
      </c>
      <c r="K28" s="1529" t="n">
        <v>1000</v>
      </c>
      <c r="L28" s="1526" t="n">
        <v>0.00465</v>
      </c>
      <c r="M28" s="1526" t="n">
        <v>0.0098</v>
      </c>
      <c r="N28" s="1531" t="n">
        <v>1</v>
      </c>
      <c r="O28" s="1529" t="n">
        <v>0</v>
      </c>
      <c r="T28" s="1528" t="n">
        <v>50</v>
      </c>
      <c r="U28" s="1528" t="s">
        <v>1018</v>
      </c>
      <c r="V28" s="1515" t="str">
        <f aca="false">MID(E28,LEN(E28),1)</f>
        <v>0</v>
      </c>
      <c r="W28" s="1515" t="s">
        <v>1018</v>
      </c>
    </row>
    <row r="29" s="1515" customFormat="true" ht="14.25" hidden="false" customHeight="false" outlineLevel="0" collapsed="false">
      <c r="B29" s="1515" t="n">
        <v>2025</v>
      </c>
      <c r="C29" s="1529" t="n">
        <v>51</v>
      </c>
      <c r="D29" s="359" t="n">
        <v>0</v>
      </c>
      <c r="E29" s="1524" t="n">
        <f aca="false">CONCATENATE(C29,IF(O29=19,9,IF(O29=6,6,IF(O29=4,4,0))))+0</f>
        <v>510</v>
      </c>
      <c r="F29" s="1530" t="s">
        <v>1019</v>
      </c>
      <c r="G29" s="1530"/>
      <c r="H29" s="1529" t="n">
        <v>114.19</v>
      </c>
      <c r="I29" s="1529" t="n">
        <v>240.4</v>
      </c>
      <c r="J29" s="1529" t="n">
        <v>350</v>
      </c>
      <c r="K29" s="1529" t="n">
        <v>750</v>
      </c>
      <c r="L29" s="1526" t="n">
        <v>0.00465</v>
      </c>
      <c r="M29" s="1526" t="n">
        <v>0.0098</v>
      </c>
      <c r="N29" s="1531" t="n">
        <v>1</v>
      </c>
      <c r="O29" s="1529" t="n">
        <v>0</v>
      </c>
      <c r="T29" s="1528" t="n">
        <v>51</v>
      </c>
      <c r="U29" s="1528" t="s">
        <v>1019</v>
      </c>
      <c r="V29" s="1515" t="str">
        <f aca="false">MID(E29,LEN(E29),1)</f>
        <v>0</v>
      </c>
      <c r="W29" s="1515" t="s">
        <v>1019</v>
      </c>
    </row>
    <row r="30" s="1515" customFormat="true" ht="14.25" hidden="false" customHeight="false" outlineLevel="0" collapsed="false">
      <c r="B30" s="1515" t="n">
        <v>2025</v>
      </c>
      <c r="C30" s="1529" t="n">
        <v>52</v>
      </c>
      <c r="D30" s="359" t="n">
        <v>0</v>
      </c>
      <c r="E30" s="1524" t="n">
        <f aca="false">CONCATENATE(C30,IF(O30=19,9,IF(O30=6,6,IF(O30=4,4,0))))+0</f>
        <v>520</v>
      </c>
      <c r="F30" s="1530" t="s">
        <v>1020</v>
      </c>
      <c r="G30" s="1530"/>
      <c r="H30" s="1529" t="n">
        <v>114.19</v>
      </c>
      <c r="I30" s="1529" t="n">
        <v>240.4</v>
      </c>
      <c r="J30" s="1529" t="n">
        <v>350</v>
      </c>
      <c r="K30" s="1529" t="n">
        <v>750</v>
      </c>
      <c r="L30" s="1526" t="n">
        <v>0.00465</v>
      </c>
      <c r="M30" s="1526" t="n">
        <v>0.0098</v>
      </c>
      <c r="N30" s="1531" t="n">
        <v>1</v>
      </c>
      <c r="O30" s="1529" t="n">
        <v>0</v>
      </c>
      <c r="T30" s="1528" t="n">
        <v>52</v>
      </c>
      <c r="U30" s="1528" t="s">
        <v>1020</v>
      </c>
      <c r="V30" s="1515" t="str">
        <f aca="false">MID(E30,LEN(E30),1)</f>
        <v>0</v>
      </c>
      <c r="W30" s="1515" t="s">
        <v>1020</v>
      </c>
    </row>
    <row r="31" s="1515" customFormat="true" ht="14.25" hidden="false" customHeight="false" outlineLevel="0" collapsed="false">
      <c r="B31" s="1515" t="n">
        <v>2025</v>
      </c>
      <c r="C31" s="1529" t="n">
        <v>53</v>
      </c>
      <c r="D31" s="359" t="n">
        <v>0</v>
      </c>
      <c r="E31" s="1524" t="n">
        <f aca="false">CONCATENATE(C31,IF(O31=19,9,IF(O31=6,6,IF(O31=4,4,0))))+0</f>
        <v>530</v>
      </c>
      <c r="F31" s="1530" t="s">
        <v>1021</v>
      </c>
      <c r="G31" s="1530"/>
      <c r="H31" s="1529" t="n">
        <v>114.19</v>
      </c>
      <c r="I31" s="1529" t="n">
        <v>240.4</v>
      </c>
      <c r="J31" s="1529" t="n">
        <v>350</v>
      </c>
      <c r="K31" s="1529" t="n">
        <v>750</v>
      </c>
      <c r="L31" s="1526" t="n">
        <v>0.00465</v>
      </c>
      <c r="M31" s="1526" t="n">
        <v>0.0098</v>
      </c>
      <c r="N31" s="1531" t="n">
        <v>1</v>
      </c>
      <c r="O31" s="1529" t="n">
        <v>0</v>
      </c>
      <c r="T31" s="1528" t="n">
        <v>53</v>
      </c>
      <c r="U31" s="1528" t="s">
        <v>1021</v>
      </c>
      <c r="V31" s="1515" t="str">
        <f aca="false">MID(E31,LEN(E31),1)</f>
        <v>0</v>
      </c>
      <c r="W31" s="1515" t="s">
        <v>1021</v>
      </c>
    </row>
    <row r="32" s="1515" customFormat="true" ht="14.25" hidden="false" customHeight="false" outlineLevel="0" collapsed="false">
      <c r="B32" s="1515" t="n">
        <v>2025</v>
      </c>
      <c r="C32" s="1529" t="n">
        <v>60</v>
      </c>
      <c r="D32" s="359" t="n">
        <v>0</v>
      </c>
      <c r="E32" s="1524" t="n">
        <f aca="false">CONCATENATE(C32,IF(O32=19,9,IF(O32=6,6,IF(O32=4,4,0))))+0</f>
        <v>600</v>
      </c>
      <c r="F32" s="1530" t="s">
        <v>1022</v>
      </c>
      <c r="G32" s="1530"/>
      <c r="H32" s="1529" t="n">
        <v>114.19</v>
      </c>
      <c r="I32" s="1529" t="n">
        <v>480.81</v>
      </c>
      <c r="J32" s="1529" t="n">
        <v>800</v>
      </c>
      <c r="K32" s="1529" t="n">
        <v>2000</v>
      </c>
      <c r="L32" s="1526" t="n">
        <v>0.00465</v>
      </c>
      <c r="M32" s="1526" t="n">
        <v>0.0196</v>
      </c>
      <c r="N32" s="1531" t="n">
        <v>1</v>
      </c>
      <c r="O32" s="1529" t="n">
        <v>0</v>
      </c>
      <c r="T32" s="1528" t="n">
        <v>60</v>
      </c>
      <c r="U32" s="1528" t="s">
        <v>1022</v>
      </c>
      <c r="V32" s="1515" t="str">
        <f aca="false">MID(E32,LEN(E32),1)</f>
        <v>0</v>
      </c>
      <c r="W32" s="1515" t="s">
        <v>1022</v>
      </c>
    </row>
    <row r="33" s="1515" customFormat="true" ht="14.25" hidden="false" customHeight="false" outlineLevel="0" collapsed="false">
      <c r="B33" s="1515" t="n">
        <v>2025</v>
      </c>
      <c r="C33" s="1529" t="n">
        <v>61</v>
      </c>
      <c r="D33" s="359" t="n">
        <v>0</v>
      </c>
      <c r="E33" s="1524" t="n">
        <f aca="false">CONCATENATE(C33,IF(O33=19,9,IF(O33=6,6,IF(O33=4,4,0))))+0</f>
        <v>610</v>
      </c>
      <c r="F33" s="1530" t="s">
        <v>1023</v>
      </c>
      <c r="G33" s="1530"/>
      <c r="H33" s="1529" t="n">
        <v>114.19</v>
      </c>
      <c r="I33" s="1529" t="n">
        <v>240.4</v>
      </c>
      <c r="J33" s="1529" t="n">
        <v>700</v>
      </c>
      <c r="K33" s="1529" t="n">
        <v>1800</v>
      </c>
      <c r="L33" s="1526" t="n">
        <v>0.00465</v>
      </c>
      <c r="M33" s="1526" t="n">
        <v>0.0098</v>
      </c>
      <c r="N33" s="1531" t="n">
        <v>1</v>
      </c>
      <c r="O33" s="1529" t="n">
        <v>0</v>
      </c>
      <c r="T33" s="1528" t="n">
        <v>61</v>
      </c>
      <c r="U33" s="1528" t="s">
        <v>1023</v>
      </c>
      <c r="V33" s="1515" t="str">
        <f aca="false">MID(E33,LEN(E33),1)</f>
        <v>0</v>
      </c>
      <c r="W33" s="1515" t="s">
        <v>1023</v>
      </c>
    </row>
    <row r="34" s="1515" customFormat="true" ht="14.25" hidden="false" customHeight="false" outlineLevel="0" collapsed="false">
      <c r="B34" s="1515" t="n">
        <v>2025</v>
      </c>
      <c r="C34" s="1529" t="n">
        <v>67</v>
      </c>
      <c r="D34" s="359" t="n">
        <v>0</v>
      </c>
      <c r="E34" s="1524" t="n">
        <f aca="false">CONCATENATE(C34,IF(O34=19,9,IF(O34=6,6,IF(O34=4,4,0))))+0</f>
        <v>670</v>
      </c>
      <c r="F34" s="1530" t="s">
        <v>1024</v>
      </c>
      <c r="G34" s="1530"/>
      <c r="H34" s="1529" t="n">
        <v>114.19</v>
      </c>
      <c r="I34" s="1529" t="n">
        <v>240.4</v>
      </c>
      <c r="J34" s="1529" t="n">
        <v>700</v>
      </c>
      <c r="K34" s="1529" t="n">
        <v>1800</v>
      </c>
      <c r="L34" s="1526" t="n">
        <v>0.00465</v>
      </c>
      <c r="M34" s="1526" t="n">
        <v>0.0098</v>
      </c>
      <c r="N34" s="1531" t="n">
        <v>1</v>
      </c>
      <c r="O34" s="1529" t="n">
        <v>0</v>
      </c>
      <c r="P34" s="1534"/>
      <c r="Q34" s="1534"/>
      <c r="R34" s="1534"/>
      <c r="S34" s="1534"/>
      <c r="T34" s="1528" t="n">
        <v>67</v>
      </c>
      <c r="U34" s="1528" t="s">
        <v>1024</v>
      </c>
      <c r="V34" s="1515" t="str">
        <f aca="false">MID(E34,LEN(E34),1)</f>
        <v>0</v>
      </c>
      <c r="W34" s="1515" t="s">
        <v>1025</v>
      </c>
    </row>
    <row r="35" s="1515" customFormat="true" ht="14.25" hidden="false" customHeight="false" outlineLevel="0" collapsed="false">
      <c r="B35" s="1515" t="n">
        <v>2025</v>
      </c>
      <c r="C35" s="1529" t="n">
        <v>68</v>
      </c>
      <c r="D35" s="359" t="n">
        <v>0</v>
      </c>
      <c r="E35" s="1524" t="n">
        <f aca="false">CONCATENATE(C35,IF(O35=19,9,IF(O35=6,6,IF(O35=4,4,0))))+0</f>
        <v>680</v>
      </c>
      <c r="F35" s="1530" t="s">
        <v>1026</v>
      </c>
      <c r="G35" s="1530"/>
      <c r="H35" s="1529" t="n">
        <v>114.19</v>
      </c>
      <c r="I35" s="1529" t="n">
        <v>270.46</v>
      </c>
      <c r="J35" s="1529" t="n">
        <v>450</v>
      </c>
      <c r="K35" s="1529" t="n">
        <v>1000</v>
      </c>
      <c r="L35" s="1526" t="n">
        <v>0.00465</v>
      </c>
      <c r="M35" s="1526" t="n">
        <v>0.01102</v>
      </c>
      <c r="N35" s="1531" t="n">
        <v>1</v>
      </c>
      <c r="O35" s="1529" t="n">
        <v>0</v>
      </c>
      <c r="P35" s="1534"/>
      <c r="Q35" s="1534"/>
      <c r="R35" s="1534"/>
      <c r="S35" s="1534"/>
      <c r="T35" s="1528" t="n">
        <v>68</v>
      </c>
      <c r="U35" s="1528" t="s">
        <v>1026</v>
      </c>
      <c r="V35" s="1515" t="str">
        <f aca="false">MID(E35,LEN(E35),1)</f>
        <v>0</v>
      </c>
      <c r="W35" s="1515" t="s">
        <v>1027</v>
      </c>
    </row>
    <row r="36" s="1515" customFormat="true" ht="14.25" hidden="false" customHeight="false" outlineLevel="0" collapsed="false">
      <c r="B36" s="1515" t="n">
        <v>2025</v>
      </c>
      <c r="C36" s="1529" t="n">
        <v>69</v>
      </c>
      <c r="D36" s="359" t="n">
        <v>0</v>
      </c>
      <c r="E36" s="1524" t="n">
        <f aca="false">CONCATENATE(C36,IF(O36=19,9,IF(O36=6,6,IF(O36=4,4,0))))+0</f>
        <v>690</v>
      </c>
      <c r="F36" s="1530" t="s">
        <v>1028</v>
      </c>
      <c r="G36" s="1530"/>
      <c r="H36" s="1529" t="n">
        <v>114.19</v>
      </c>
      <c r="I36" s="1529" t="n">
        <v>270.46</v>
      </c>
      <c r="J36" s="1529" t="n">
        <v>700</v>
      </c>
      <c r="K36" s="1529" t="n">
        <v>2000</v>
      </c>
      <c r="L36" s="1526" t="n">
        <v>0.00465</v>
      </c>
      <c r="M36" s="1526" t="n">
        <v>0.01102</v>
      </c>
      <c r="N36" s="1531" t="n">
        <v>1</v>
      </c>
      <c r="O36" s="1529" t="n">
        <v>0</v>
      </c>
      <c r="T36" s="1528" t="n">
        <v>69</v>
      </c>
      <c r="U36" s="1528" t="s">
        <v>1028</v>
      </c>
      <c r="V36" s="1515" t="str">
        <f aca="false">MID(E36,LEN(E36),1)</f>
        <v>0</v>
      </c>
      <c r="W36" s="1515" t="s">
        <v>1024</v>
      </c>
    </row>
    <row r="37" s="1515" customFormat="true" ht="14.25" hidden="false" customHeight="false" outlineLevel="0" collapsed="false">
      <c r="B37" s="1515" t="n">
        <v>2025</v>
      </c>
      <c r="C37" s="1529" t="n">
        <v>70</v>
      </c>
      <c r="D37" s="359" t="n">
        <v>0</v>
      </c>
      <c r="E37" s="1524" t="n">
        <f aca="false">CONCATENATE(C37,IF(O37=19,9,IF(O37=6,6,IF(O37=4,4,0))))+0</f>
        <v>700</v>
      </c>
      <c r="F37" s="1530" t="s">
        <v>1029</v>
      </c>
      <c r="G37" s="1530"/>
      <c r="H37" s="1529" t="n">
        <v>114.19</v>
      </c>
      <c r="I37" s="1529" t="n">
        <v>270.46</v>
      </c>
      <c r="J37" s="1529" t="n">
        <v>769.21</v>
      </c>
      <c r="K37" s="1529" t="n">
        <v>2400</v>
      </c>
      <c r="L37" s="1526" t="n">
        <v>0.00465</v>
      </c>
      <c r="M37" s="1526" t="n">
        <v>0.01102</v>
      </c>
      <c r="N37" s="1531" t="n">
        <v>1</v>
      </c>
      <c r="O37" s="1529" t="n">
        <v>0</v>
      </c>
      <c r="T37" s="1528" t="n">
        <v>70</v>
      </c>
      <c r="U37" s="1528" t="s">
        <v>1029</v>
      </c>
      <c r="V37" s="1515" t="str">
        <f aca="false">MID(E37,LEN(E37),1)</f>
        <v>0</v>
      </c>
      <c r="W37" s="1515" t="s">
        <v>1026</v>
      </c>
    </row>
    <row r="38" s="1515" customFormat="true" ht="14.25" hidden="false" customHeight="false" outlineLevel="0" collapsed="false">
      <c r="B38" s="1515" t="n">
        <v>2025</v>
      </c>
      <c r="C38" s="1529" t="n">
        <v>71</v>
      </c>
      <c r="D38" s="359" t="n">
        <v>0</v>
      </c>
      <c r="E38" s="1524" t="n">
        <f aca="false">CONCATENATE(C38,IF(O38=19,9,IF(O38=6,6,IF(O38=4,4,0))))+0</f>
        <v>710</v>
      </c>
      <c r="F38" s="1530" t="s">
        <v>1030</v>
      </c>
      <c r="G38" s="1530"/>
      <c r="H38" s="1529" t="n">
        <v>114.19</v>
      </c>
      <c r="I38" s="1529" t="n">
        <v>240.4</v>
      </c>
      <c r="J38" s="1529" t="n">
        <v>700</v>
      </c>
      <c r="K38" s="1529" t="n">
        <v>1800</v>
      </c>
      <c r="L38" s="1526" t="n">
        <v>0.00465</v>
      </c>
      <c r="M38" s="1526" t="n">
        <v>0.0098</v>
      </c>
      <c r="N38" s="1531" t="n">
        <v>1</v>
      </c>
      <c r="O38" s="1529" t="n">
        <v>0</v>
      </c>
      <c r="T38" s="1528" t="n">
        <v>71</v>
      </c>
      <c r="U38" s="1528" t="s">
        <v>1030</v>
      </c>
      <c r="V38" s="1515" t="str">
        <f aca="false">MID(E38,LEN(E38),1)</f>
        <v>0</v>
      </c>
      <c r="W38" s="1515" t="s">
        <v>1028</v>
      </c>
    </row>
    <row r="39" s="1515" customFormat="true" ht="14.25" hidden="false" customHeight="false" outlineLevel="0" collapsed="false">
      <c r="B39" s="1515" t="n">
        <v>2025</v>
      </c>
      <c r="C39" s="1529" t="n">
        <v>72</v>
      </c>
      <c r="D39" s="359" t="n">
        <v>0</v>
      </c>
      <c r="E39" s="1524" t="n">
        <f aca="false">CONCATENATE(C39,IF(O39=19,9,IF(O39=6,6,IF(O39=4,4,0))))+0</f>
        <v>720</v>
      </c>
      <c r="F39" s="1530" t="s">
        <v>1031</v>
      </c>
      <c r="G39" s="1530"/>
      <c r="H39" s="1529" t="n">
        <v>114.19</v>
      </c>
      <c r="I39" s="1529" t="n">
        <v>270.46</v>
      </c>
      <c r="J39" s="1529" t="n">
        <v>700</v>
      </c>
      <c r="K39" s="1529" t="n">
        <v>1800</v>
      </c>
      <c r="L39" s="1526" t="n">
        <v>0.00465</v>
      </c>
      <c r="M39" s="1526" t="n">
        <v>0.01102</v>
      </c>
      <c r="N39" s="1531" t="n">
        <v>1</v>
      </c>
      <c r="O39" s="1529" t="n">
        <v>0</v>
      </c>
      <c r="T39" s="1528" t="n">
        <v>72</v>
      </c>
      <c r="U39" s="1528" t="s">
        <v>1031</v>
      </c>
      <c r="V39" s="1515" t="str">
        <f aca="false">MID(E39,LEN(E39),1)</f>
        <v>0</v>
      </c>
      <c r="W39" s="1515" t="s">
        <v>1029</v>
      </c>
    </row>
    <row r="40" s="1515" customFormat="true" ht="14.25" hidden="false" customHeight="false" outlineLevel="0" collapsed="false">
      <c r="B40" s="1515" t="n">
        <v>2025</v>
      </c>
      <c r="C40" s="1529" t="n">
        <v>73</v>
      </c>
      <c r="D40" s="359" t="n">
        <v>0</v>
      </c>
      <c r="E40" s="1524" t="n">
        <f aca="false">CONCATENATE(C40,IF(O40=19,9,IF(O40=6,6,IF(O40=4,4,0))))+0</f>
        <v>730</v>
      </c>
      <c r="F40" s="1530" t="s">
        <v>1032</v>
      </c>
      <c r="G40" s="1530"/>
      <c r="H40" s="1529" t="n">
        <v>114.19</v>
      </c>
      <c r="I40" s="1529" t="n">
        <v>240.4</v>
      </c>
      <c r="J40" s="1529" t="n">
        <v>700</v>
      </c>
      <c r="K40" s="1529" t="n">
        <v>1800</v>
      </c>
      <c r="L40" s="1526" t="n">
        <v>0.00465</v>
      </c>
      <c r="M40" s="1526" t="n">
        <v>0.0098</v>
      </c>
      <c r="N40" s="1531" t="n">
        <v>1</v>
      </c>
      <c r="O40" s="1529" t="n">
        <v>0</v>
      </c>
      <c r="T40" s="1528" t="n">
        <v>73</v>
      </c>
      <c r="U40" s="1528" t="s">
        <v>1032</v>
      </c>
      <c r="V40" s="1515" t="str">
        <f aca="false">MID(E40,LEN(E40),1)</f>
        <v>0</v>
      </c>
      <c r="W40" s="1515" t="s">
        <v>1030</v>
      </c>
    </row>
    <row r="41" s="1515" customFormat="true" ht="14.25" hidden="false" customHeight="false" outlineLevel="0" collapsed="false">
      <c r="B41" s="1515" t="n">
        <v>2025</v>
      </c>
      <c r="C41" s="1529" t="n">
        <v>74</v>
      </c>
      <c r="D41" s="359" t="n">
        <v>0</v>
      </c>
      <c r="E41" s="1524" t="n">
        <f aca="false">CONCATENATE(C41,IF(O41=19,9,IF(O41=6,6,IF(O41=4,4,0))))+0</f>
        <v>740</v>
      </c>
      <c r="F41" s="1530" t="s">
        <v>1033</v>
      </c>
      <c r="G41" s="1530"/>
      <c r="H41" s="1529" t="n">
        <v>114.19</v>
      </c>
      <c r="I41" s="1529" t="n">
        <v>270.46</v>
      </c>
      <c r="J41" s="1529" t="n">
        <v>700</v>
      </c>
      <c r="K41" s="1529" t="n">
        <v>1800</v>
      </c>
      <c r="L41" s="1526" t="n">
        <v>0.00465</v>
      </c>
      <c r="M41" s="1526" t="n">
        <v>0.01102</v>
      </c>
      <c r="N41" s="1531" t="n">
        <v>1</v>
      </c>
      <c r="O41" s="1529" t="n">
        <v>0</v>
      </c>
      <c r="T41" s="1528" t="n">
        <v>74</v>
      </c>
      <c r="U41" s="1528" t="s">
        <v>1033</v>
      </c>
      <c r="V41" s="1515" t="str">
        <f aca="false">MID(E41,LEN(E41),1)</f>
        <v>0</v>
      </c>
      <c r="W41" s="1515" t="s">
        <v>1031</v>
      </c>
    </row>
    <row r="42" s="1515" customFormat="true" ht="14.25" hidden="false" customHeight="false" outlineLevel="0" collapsed="false">
      <c r="B42" s="1515" t="n">
        <v>2025</v>
      </c>
      <c r="C42" s="1529" t="n">
        <v>76</v>
      </c>
      <c r="D42" s="359" t="n">
        <v>0</v>
      </c>
      <c r="E42" s="1524" t="n">
        <f aca="false">CONCATENATE(C42,IF(O42=19,9,IF(O42=6,6,IF(O42=4,4,0))))+0</f>
        <v>760</v>
      </c>
      <c r="F42" s="1530" t="s">
        <v>1034</v>
      </c>
      <c r="G42" s="1530"/>
      <c r="H42" s="1529" t="n">
        <v>114.19</v>
      </c>
      <c r="I42" s="1529" t="n">
        <v>240.4</v>
      </c>
      <c r="J42" s="1529" t="n">
        <v>700</v>
      </c>
      <c r="K42" s="1529" t="n">
        <v>1800</v>
      </c>
      <c r="L42" s="1526" t="n">
        <v>0.00465</v>
      </c>
      <c r="M42" s="1526" t="n">
        <v>0.0098</v>
      </c>
      <c r="N42" s="1531" t="n">
        <v>1</v>
      </c>
      <c r="O42" s="1529" t="n">
        <v>0</v>
      </c>
      <c r="T42" s="1528" t="n">
        <v>76</v>
      </c>
      <c r="U42" s="1528" t="s">
        <v>1034</v>
      </c>
      <c r="V42" s="1515" t="str">
        <f aca="false">MID(E42,LEN(E42),1)</f>
        <v>0</v>
      </c>
      <c r="W42" s="1515" t="s">
        <v>1032</v>
      </c>
    </row>
    <row r="43" s="1515" customFormat="true" ht="14.25" hidden="false" customHeight="false" outlineLevel="0" collapsed="false">
      <c r="B43" s="1515" t="n">
        <v>2025</v>
      </c>
      <c r="C43" s="1529" t="n">
        <v>77</v>
      </c>
      <c r="D43" s="359" t="n">
        <v>0</v>
      </c>
      <c r="E43" s="1524" t="n">
        <f aca="false">CONCATENATE(C43,IF(O43=19,9,IF(O43=6,6,IF(O43=4,4,0))))+0</f>
        <v>770</v>
      </c>
      <c r="F43" s="1530" t="s">
        <v>1035</v>
      </c>
      <c r="G43" s="1530"/>
      <c r="H43" s="1529" t="n">
        <v>114.19</v>
      </c>
      <c r="I43" s="1529" t="n">
        <v>270.46</v>
      </c>
      <c r="J43" s="1529" t="n">
        <v>500</v>
      </c>
      <c r="K43" s="1529" t="n">
        <v>1000</v>
      </c>
      <c r="L43" s="1526" t="n">
        <v>0.00465</v>
      </c>
      <c r="M43" s="1526" t="n">
        <v>0.01102</v>
      </c>
      <c r="N43" s="1531" t="n">
        <v>1</v>
      </c>
      <c r="O43" s="1529" t="n">
        <v>0</v>
      </c>
      <c r="T43" s="1528" t="n">
        <v>77</v>
      </c>
      <c r="U43" s="1528" t="s">
        <v>1035</v>
      </c>
      <c r="V43" s="1515" t="str">
        <f aca="false">MID(E43,LEN(E43),1)</f>
        <v>0</v>
      </c>
      <c r="W43" s="1515" t="s">
        <v>1033</v>
      </c>
    </row>
    <row r="44" s="1515" customFormat="true" ht="14.25" hidden="false" customHeight="false" outlineLevel="0" collapsed="false">
      <c r="B44" s="1515" t="n">
        <v>2025</v>
      </c>
      <c r="C44" s="1529" t="n">
        <v>78</v>
      </c>
      <c r="D44" s="359" t="n">
        <v>0</v>
      </c>
      <c r="E44" s="1524" t="n">
        <f aca="false">CONCATENATE(C44,IF(O44=19,9,IF(O44=6,6,IF(O44=4,4,0))))+0</f>
        <v>780</v>
      </c>
      <c r="F44" s="1530" t="s">
        <v>1036</v>
      </c>
      <c r="G44" s="1530"/>
      <c r="H44" s="1529" t="n">
        <v>114.19</v>
      </c>
      <c r="I44" s="1529" t="n">
        <v>270.46</v>
      </c>
      <c r="J44" s="1529" t="n">
        <v>500</v>
      </c>
      <c r="K44" s="1529" t="n">
        <v>1000</v>
      </c>
      <c r="L44" s="1526" t="n">
        <v>0.00465</v>
      </c>
      <c r="M44" s="1526" t="n">
        <v>0.01102</v>
      </c>
      <c r="N44" s="1531" t="n">
        <v>1</v>
      </c>
      <c r="O44" s="1529" t="n">
        <v>0</v>
      </c>
      <c r="T44" s="1528" t="n">
        <v>78</v>
      </c>
      <c r="U44" s="1528" t="s">
        <v>1036</v>
      </c>
      <c r="V44" s="1515" t="str">
        <f aca="false">MID(E44,LEN(E44),1)</f>
        <v>0</v>
      </c>
      <c r="W44" s="1515" t="s">
        <v>1034</v>
      </c>
    </row>
    <row r="45" s="1515" customFormat="true" ht="14.25" hidden="false" customHeight="false" outlineLevel="0" collapsed="false">
      <c r="B45" s="1515" t="n">
        <v>2025</v>
      </c>
      <c r="C45" s="1529" t="n">
        <v>80</v>
      </c>
      <c r="D45" s="359" t="n">
        <v>0</v>
      </c>
      <c r="E45" s="1524" t="n">
        <f aca="false">CONCATENATE(C45,IF(O45=19,9,IF(O45=6,6,IF(O45=4,4,0))))+0</f>
        <v>800</v>
      </c>
      <c r="F45" s="1530" t="s">
        <v>1037</v>
      </c>
      <c r="G45" s="1530"/>
      <c r="H45" s="1529" t="n">
        <v>0</v>
      </c>
      <c r="I45" s="1529" t="n">
        <v>450.76</v>
      </c>
      <c r="J45" s="1529" t="n">
        <v>0</v>
      </c>
      <c r="K45" s="1529" t="n">
        <v>1500</v>
      </c>
      <c r="L45" s="1526" t="n">
        <v>0</v>
      </c>
      <c r="M45" s="1526" t="n">
        <v>0.01837</v>
      </c>
      <c r="N45" s="1531" t="n">
        <v>1</v>
      </c>
      <c r="O45" s="1529" t="n">
        <v>0</v>
      </c>
      <c r="T45" s="1528" t="n">
        <v>80</v>
      </c>
      <c r="U45" s="1528" t="s">
        <v>1037</v>
      </c>
      <c r="V45" s="1515" t="str">
        <f aca="false">MID(E45,LEN(E45),1)</f>
        <v>0</v>
      </c>
      <c r="W45" s="1515" t="s">
        <v>1035</v>
      </c>
    </row>
    <row r="46" s="1515" customFormat="true" ht="14.25" hidden="false" customHeight="false" outlineLevel="0" collapsed="false">
      <c r="B46" s="1515" t="n">
        <v>2025</v>
      </c>
      <c r="C46" s="1529" t="n">
        <v>82</v>
      </c>
      <c r="D46" s="359" t="n">
        <v>0</v>
      </c>
      <c r="E46" s="1524" t="n">
        <f aca="false">CONCATENATE(C46,IF(O46=19,9,IF(O46=6,6,IF(O46=4,4,0))))+0</f>
        <v>820</v>
      </c>
      <c r="F46" s="1530" t="s">
        <v>1038</v>
      </c>
      <c r="G46" s="1530"/>
      <c r="H46" s="1529" t="n">
        <v>300.51</v>
      </c>
      <c r="I46" s="1529" t="n">
        <v>901.52</v>
      </c>
      <c r="J46" s="1529" t="n">
        <v>500</v>
      </c>
      <c r="K46" s="1529" t="n">
        <v>1300</v>
      </c>
      <c r="L46" s="1526" t="n">
        <v>0.01225</v>
      </c>
      <c r="M46" s="1526" t="n">
        <v>0.03674</v>
      </c>
      <c r="N46" s="1531" t="n">
        <v>1</v>
      </c>
      <c r="O46" s="1529" t="n">
        <v>0</v>
      </c>
      <c r="T46" s="1528" t="n">
        <v>82</v>
      </c>
      <c r="U46" s="1528" t="s">
        <v>1038</v>
      </c>
      <c r="V46" s="1515" t="str">
        <f aca="false">MID(E46,LEN(E46),1)</f>
        <v>0</v>
      </c>
      <c r="W46" s="1515" t="s">
        <v>1036</v>
      </c>
    </row>
    <row r="47" s="1515" customFormat="true" ht="14.25" hidden="false" customHeight="false" outlineLevel="0" collapsed="false">
      <c r="B47" s="1515" t="n">
        <v>2025</v>
      </c>
      <c r="C47" s="1529" t="n">
        <v>84</v>
      </c>
      <c r="D47" s="359" t="n">
        <v>0</v>
      </c>
      <c r="E47" s="1524" t="n">
        <f aca="false">CONCATENATE(C47,IF(O47=19,9,IF(O47=6,6,IF(O47=4,4,0))))+0</f>
        <v>840</v>
      </c>
      <c r="F47" s="1530" t="s">
        <v>1039</v>
      </c>
      <c r="G47" s="1530"/>
      <c r="H47" s="1529" t="n">
        <v>114.19</v>
      </c>
      <c r="I47" s="1529" t="n">
        <v>240.4</v>
      </c>
      <c r="J47" s="1529" t="n">
        <v>186.91</v>
      </c>
      <c r="K47" s="1529" t="n">
        <v>540.36</v>
      </c>
      <c r="L47" s="1526" t="n">
        <v>0.00465</v>
      </c>
      <c r="M47" s="1526" t="n">
        <v>0.0098</v>
      </c>
      <c r="N47" s="1531" t="n">
        <v>1</v>
      </c>
      <c r="O47" s="1529" t="n">
        <v>0</v>
      </c>
      <c r="T47" s="1528" t="n">
        <v>84</v>
      </c>
      <c r="U47" s="1528" t="s">
        <v>1039</v>
      </c>
      <c r="V47" s="1515" t="str">
        <f aca="false">MID(E47,LEN(E47),1)</f>
        <v>0</v>
      </c>
      <c r="W47" s="1515" t="s">
        <v>1037</v>
      </c>
    </row>
    <row r="48" s="1515" customFormat="true" ht="14.25" hidden="false" customHeight="false" outlineLevel="0" collapsed="false">
      <c r="B48" s="1515" t="n">
        <v>2025</v>
      </c>
      <c r="C48" s="1529" t="n">
        <v>85</v>
      </c>
      <c r="D48" s="359" t="n">
        <v>0</v>
      </c>
      <c r="E48" s="1524" t="n">
        <f aca="false">CONCATENATE(C48,IF(O48=19,9,IF(O48=6,6,IF(O48=4,4,0))))+0</f>
        <v>850</v>
      </c>
      <c r="F48" s="1530" t="s">
        <v>1040</v>
      </c>
      <c r="G48" s="1530"/>
      <c r="H48" s="1529" t="n">
        <v>114.19</v>
      </c>
      <c r="I48" s="1529" t="n">
        <v>240.4</v>
      </c>
      <c r="J48" s="1529" t="n">
        <v>186.91</v>
      </c>
      <c r="K48" s="1529" t="n">
        <v>540.36</v>
      </c>
      <c r="L48" s="1526" t="n">
        <v>0.00465</v>
      </c>
      <c r="M48" s="1526" t="n">
        <v>0.0098</v>
      </c>
      <c r="N48" s="1531" t="n">
        <v>1</v>
      </c>
      <c r="O48" s="1529" t="n">
        <v>0</v>
      </c>
      <c r="T48" s="1528" t="n">
        <v>85</v>
      </c>
      <c r="U48" s="1528" t="s">
        <v>1040</v>
      </c>
      <c r="V48" s="1515" t="str">
        <f aca="false">MID(E48,LEN(E48),1)</f>
        <v>0</v>
      </c>
      <c r="W48" s="1515" t="s">
        <v>1038</v>
      </c>
    </row>
    <row r="49" s="1515" customFormat="true" ht="14.25" hidden="false" customHeight="false" outlineLevel="0" collapsed="false">
      <c r="B49" s="1515" t="n">
        <v>2025</v>
      </c>
      <c r="C49" s="1529" t="n">
        <v>86</v>
      </c>
      <c r="D49" s="359" t="n">
        <v>0</v>
      </c>
      <c r="E49" s="1524" t="n">
        <f aca="false">CONCATENATE(C49,IF(O49=19,9,IF(O49=6,6,IF(O49=4,4,0))))+0</f>
        <v>860</v>
      </c>
      <c r="F49" s="1530" t="s">
        <v>1041</v>
      </c>
      <c r="G49" s="1530"/>
      <c r="H49" s="1529" t="n">
        <v>114.19</v>
      </c>
      <c r="I49" s="1529" t="n">
        <v>240.4</v>
      </c>
      <c r="J49" s="1529" t="n">
        <v>186.91</v>
      </c>
      <c r="K49" s="1529" t="n">
        <v>540.36</v>
      </c>
      <c r="L49" s="1526" t="n">
        <v>0.00465</v>
      </c>
      <c r="M49" s="1526" t="n">
        <v>0.0098</v>
      </c>
      <c r="N49" s="1531" t="n">
        <v>1</v>
      </c>
      <c r="O49" s="1529" t="n">
        <v>0</v>
      </c>
      <c r="T49" s="1528" t="n">
        <v>86</v>
      </c>
      <c r="U49" s="1528" t="s">
        <v>1041</v>
      </c>
      <c r="V49" s="1515" t="str">
        <f aca="false">MID(E49,LEN(E49),1)</f>
        <v>0</v>
      </c>
      <c r="W49" s="1515" t="s">
        <v>1039</v>
      </c>
    </row>
    <row r="50" s="1515" customFormat="true" ht="14.25" hidden="false" customHeight="false" outlineLevel="0" collapsed="false">
      <c r="B50" s="1515" t="n">
        <v>2025</v>
      </c>
      <c r="C50" s="1529" t="n">
        <v>87</v>
      </c>
      <c r="D50" s="359" t="n">
        <v>0</v>
      </c>
      <c r="E50" s="1524" t="n">
        <f aca="false">CONCATENATE(C50,IF(O50=19,9,IF(O50=6,6,IF(O50=4,4,0))))+0</f>
        <v>870</v>
      </c>
      <c r="F50" s="1530" t="s">
        <v>1042</v>
      </c>
      <c r="G50" s="1530"/>
      <c r="H50" s="1529" t="n">
        <v>114.19</v>
      </c>
      <c r="I50" s="1529" t="n">
        <v>240.4</v>
      </c>
      <c r="J50" s="1529" t="n">
        <v>186.91</v>
      </c>
      <c r="K50" s="1529" t="n">
        <v>540.36</v>
      </c>
      <c r="L50" s="1526" t="n">
        <v>0.00465</v>
      </c>
      <c r="M50" s="1526" t="n">
        <v>0.0098</v>
      </c>
      <c r="N50" s="1531" t="n">
        <v>1</v>
      </c>
      <c r="O50" s="1529" t="n">
        <v>0</v>
      </c>
      <c r="T50" s="1528" t="n">
        <v>87</v>
      </c>
      <c r="U50" s="1528" t="s">
        <v>1042</v>
      </c>
      <c r="V50" s="1515" t="str">
        <f aca="false">MID(E50,LEN(E50),1)</f>
        <v>0</v>
      </c>
      <c r="W50" s="1515" t="s">
        <v>1040</v>
      </c>
    </row>
    <row r="51" s="1515" customFormat="true" ht="14.25" hidden="false" customHeight="false" outlineLevel="0" collapsed="false">
      <c r="B51" s="1515" t="n">
        <v>2025</v>
      </c>
      <c r="C51" s="1529" t="n">
        <v>88</v>
      </c>
      <c r="D51" s="359" t="n">
        <v>0</v>
      </c>
      <c r="E51" s="1524" t="n">
        <f aca="false">CONCATENATE(C51,IF(O51=19,9,IF(O51=6,6,IF(O51=4,4,0))))+0</f>
        <v>880</v>
      </c>
      <c r="F51" s="1530" t="s">
        <v>1043</v>
      </c>
      <c r="G51" s="1530"/>
      <c r="H51" s="1529" t="n">
        <v>114.19</v>
      </c>
      <c r="I51" s="1529" t="n">
        <v>240.4</v>
      </c>
      <c r="J51" s="1529" t="n">
        <v>186.91</v>
      </c>
      <c r="K51" s="1529" t="n">
        <v>540.36</v>
      </c>
      <c r="L51" s="1526" t="n">
        <v>0.00465</v>
      </c>
      <c r="M51" s="1526" t="n">
        <v>0.0098</v>
      </c>
      <c r="N51" s="1531" t="n">
        <v>1</v>
      </c>
      <c r="O51" s="1529" t="n">
        <v>0</v>
      </c>
      <c r="T51" s="1528" t="n">
        <v>88</v>
      </c>
      <c r="U51" s="1528" t="s">
        <v>1043</v>
      </c>
      <c r="V51" s="1515" t="str">
        <f aca="false">MID(E51,LEN(E51),1)</f>
        <v>0</v>
      </c>
      <c r="W51" s="1515" t="s">
        <v>1041</v>
      </c>
    </row>
    <row r="52" s="1515" customFormat="true" ht="14.25" hidden="false" customHeight="false" outlineLevel="0" collapsed="false">
      <c r="B52" s="1515" t="n">
        <v>2025</v>
      </c>
      <c r="C52" s="1529" t="n">
        <v>90</v>
      </c>
      <c r="D52" s="359" t="n">
        <v>0</v>
      </c>
      <c r="E52" s="1524" t="n">
        <f aca="false">CONCATENATE(C52,IF(O52=19,9,IF(O52=6,6,IF(O52=4,4,0))))+0</f>
        <v>900</v>
      </c>
      <c r="F52" s="1530" t="s">
        <v>1044</v>
      </c>
      <c r="G52" s="1530"/>
      <c r="H52" s="1529" t="n">
        <v>114.19</v>
      </c>
      <c r="I52" s="1529" t="n">
        <v>240.4</v>
      </c>
      <c r="J52" s="1529" t="n">
        <v>186.91</v>
      </c>
      <c r="K52" s="1529" t="n">
        <v>540.36</v>
      </c>
      <c r="L52" s="1526" t="n">
        <v>0.00465</v>
      </c>
      <c r="M52" s="1526" t="n">
        <v>0.0098</v>
      </c>
      <c r="N52" s="1531" t="n">
        <v>1</v>
      </c>
      <c r="O52" s="1529" t="n">
        <v>0</v>
      </c>
      <c r="T52" s="1528" t="n">
        <v>90</v>
      </c>
      <c r="U52" s="1528" t="s">
        <v>1044</v>
      </c>
      <c r="V52" s="1515" t="str">
        <f aca="false">MID(E52,LEN(E52),1)</f>
        <v>0</v>
      </c>
      <c r="W52" s="1515" t="s">
        <v>1042</v>
      </c>
    </row>
    <row r="53" s="1515" customFormat="true" ht="14.25" hidden="false" customHeight="false" outlineLevel="0" collapsed="false">
      <c r="B53" s="1515" t="n">
        <v>2025</v>
      </c>
      <c r="C53" s="1529" t="n">
        <v>92</v>
      </c>
      <c r="D53" s="359" t="n">
        <v>0</v>
      </c>
      <c r="E53" s="1524" t="n">
        <f aca="false">CONCATENATE(C53,IF(O53=19,9,IF(O53=6,6,IF(O53=4,4,0))))+0</f>
        <v>920</v>
      </c>
      <c r="F53" s="1530" t="s">
        <v>1045</v>
      </c>
      <c r="G53" s="1530"/>
      <c r="H53" s="1529" t="n">
        <v>0</v>
      </c>
      <c r="I53" s="1529" t="n">
        <v>1352.28</v>
      </c>
      <c r="J53" s="1529" t="n">
        <v>0</v>
      </c>
      <c r="K53" s="1529" t="n">
        <v>5200</v>
      </c>
      <c r="L53" s="1526" t="n">
        <v>0</v>
      </c>
      <c r="M53" s="1526" t="n">
        <v>0.05512</v>
      </c>
      <c r="N53" s="1531" t="n">
        <v>1</v>
      </c>
      <c r="O53" s="1529" t="n">
        <v>0</v>
      </c>
      <c r="T53" s="1528" t="n">
        <v>92</v>
      </c>
      <c r="U53" s="1528" t="s">
        <v>1045</v>
      </c>
      <c r="V53" s="1515" t="str">
        <f aca="false">MID(E53,LEN(E53),1)</f>
        <v>0</v>
      </c>
      <c r="W53" s="1515" t="s">
        <v>1043</v>
      </c>
    </row>
    <row r="54" s="1515" customFormat="true" ht="19.4" hidden="false" customHeight="false" outlineLevel="0" collapsed="false">
      <c r="B54" s="1515" t="n">
        <v>2025</v>
      </c>
      <c r="C54" s="1529" t="n">
        <v>96</v>
      </c>
      <c r="D54" s="359" t="n">
        <v>0</v>
      </c>
      <c r="E54" s="1524" t="n">
        <f aca="false">CONCATENATE(C54,IF(O54=19,9,IF(O54=6,6,IF(O54=4,4,0))))+0</f>
        <v>960</v>
      </c>
      <c r="F54" s="1530" t="s">
        <v>1046</v>
      </c>
      <c r="G54" s="1530"/>
      <c r="H54" s="1529" t="n">
        <v>114.19</v>
      </c>
      <c r="I54" s="1529" t="n">
        <v>240.4</v>
      </c>
      <c r="J54" s="1529" t="n">
        <v>1000</v>
      </c>
      <c r="K54" s="1529" t="n">
        <v>3800</v>
      </c>
      <c r="L54" s="1526" t="n">
        <v>0.00465</v>
      </c>
      <c r="M54" s="1526" t="n">
        <v>0.0098</v>
      </c>
      <c r="N54" s="1531" t="n">
        <v>5</v>
      </c>
      <c r="O54" s="1529" t="n">
        <v>0</v>
      </c>
      <c r="T54" s="1528" t="n">
        <v>96</v>
      </c>
      <c r="U54" s="1535" t="s">
        <v>1047</v>
      </c>
      <c r="V54" s="1515" t="str">
        <f aca="false">MID(E54,LEN(E54),1)</f>
        <v>0</v>
      </c>
      <c r="W54" s="1515" t="s">
        <v>1044</v>
      </c>
    </row>
    <row r="55" s="1515" customFormat="true" ht="14.25" hidden="false" customHeight="false" outlineLevel="0" collapsed="false">
      <c r="B55" s="1515" t="n">
        <v>2025</v>
      </c>
      <c r="C55" s="1529" t="n">
        <v>99</v>
      </c>
      <c r="D55" s="359" t="n">
        <v>0</v>
      </c>
      <c r="E55" s="1524" t="n">
        <f aca="false">CONCATENATE(C55,IF(O55=19,9,IF(O55=6,6,IF(O55=4,4,0))))+0</f>
        <v>990</v>
      </c>
      <c r="F55" s="1530" t="s">
        <v>1048</v>
      </c>
      <c r="G55" s="1530"/>
      <c r="H55" s="1529" t="n">
        <v>450.76</v>
      </c>
      <c r="I55" s="1529" t="n">
        <v>1202.02</v>
      </c>
      <c r="J55" s="1529" t="n">
        <v>1739.31</v>
      </c>
      <c r="K55" s="1529" t="n">
        <v>7000</v>
      </c>
      <c r="L55" s="1526" t="n">
        <v>0.01837</v>
      </c>
      <c r="M55" s="1526" t="n">
        <v>0.04899</v>
      </c>
      <c r="N55" s="1531" t="n">
        <v>4</v>
      </c>
      <c r="O55" s="1529" t="n">
        <v>0</v>
      </c>
      <c r="T55" s="1528" t="n">
        <v>99</v>
      </c>
      <c r="U55" s="1528" t="s">
        <v>1048</v>
      </c>
    </row>
    <row r="56" s="1515" customFormat="true" ht="14.25" hidden="false" customHeight="false" outlineLevel="0" collapsed="false">
      <c r="B56" s="1515" t="n">
        <v>2025</v>
      </c>
      <c r="C56" s="1529" t="n">
        <v>101</v>
      </c>
      <c r="D56" s="359" t="n">
        <v>0</v>
      </c>
      <c r="E56" s="1524" t="n">
        <f aca="false">CONCATENATE(C56,IF(O56=19,9,IF(O56=6,6,IF(O56=4,4,0))))+0</f>
        <v>1010</v>
      </c>
      <c r="F56" s="1530" t="s">
        <v>1049</v>
      </c>
      <c r="G56" s="1530"/>
      <c r="H56" s="1529" t="n">
        <v>405.68</v>
      </c>
      <c r="I56" s="1529" t="n">
        <v>649.09</v>
      </c>
      <c r="J56" s="1529" t="n">
        <v>600</v>
      </c>
      <c r="K56" s="1529" t="n">
        <v>1800</v>
      </c>
      <c r="L56" s="1526" t="n">
        <v>0.01653</v>
      </c>
      <c r="M56" s="1526" t="n">
        <v>0.02646</v>
      </c>
      <c r="N56" s="1531" t="n">
        <v>3</v>
      </c>
      <c r="O56" s="1529" t="n">
        <v>0</v>
      </c>
      <c r="T56" s="1528" t="n">
        <v>101</v>
      </c>
      <c r="U56" s="1528" t="s">
        <v>1049</v>
      </c>
      <c r="V56" s="1515" t="str">
        <f aca="false">MID(E56,LEN(E56),1)</f>
        <v>0</v>
      </c>
      <c r="W56" s="1515" t="s">
        <v>1045</v>
      </c>
    </row>
    <row r="57" s="1515" customFormat="true" ht="14.25" hidden="false" customHeight="false" outlineLevel="0" collapsed="false">
      <c r="B57" s="1515" t="n">
        <v>2025</v>
      </c>
      <c r="C57" s="1529" t="n">
        <v>102</v>
      </c>
      <c r="D57" s="359" t="n">
        <v>0</v>
      </c>
      <c r="E57" s="1524" t="n">
        <f aca="false">CONCATENATE(C57,IF(O57=19,9,IF(O57=6,6,IF(O57=4,4,0))))+0</f>
        <v>1020</v>
      </c>
      <c r="F57" s="1530" t="s">
        <v>1050</v>
      </c>
      <c r="G57" s="1530"/>
      <c r="H57" s="1529" t="n">
        <v>450.76</v>
      </c>
      <c r="I57" s="1529" t="n">
        <v>721.21</v>
      </c>
      <c r="J57" s="1529" t="n">
        <v>800</v>
      </c>
      <c r="K57" s="1529" t="n">
        <v>1800</v>
      </c>
      <c r="L57" s="1526" t="n">
        <v>0.01837</v>
      </c>
      <c r="M57" s="1526" t="n">
        <v>0.0294</v>
      </c>
      <c r="N57" s="1531" t="n">
        <v>3</v>
      </c>
      <c r="O57" s="1529" t="n">
        <v>0</v>
      </c>
      <c r="T57" s="1528" t="n">
        <v>102</v>
      </c>
      <c r="U57" s="1528" t="s">
        <v>1050</v>
      </c>
      <c r="V57" s="1515" t="str">
        <f aca="false">MID(E57,LEN(E57),1)</f>
        <v>0</v>
      </c>
      <c r="W57" s="1515" t="s">
        <v>1046</v>
      </c>
    </row>
    <row r="58" s="1515" customFormat="true" ht="14.25" hidden="false" customHeight="false" outlineLevel="0" collapsed="false">
      <c r="B58" s="1515" t="n">
        <v>2025</v>
      </c>
      <c r="C58" s="1529" t="n">
        <v>104</v>
      </c>
      <c r="D58" s="359" t="n">
        <v>0</v>
      </c>
      <c r="E58" s="1524" t="n">
        <f aca="false">CONCATENATE(C58,IF(O58=19,9,IF(O58=6,6,IF(O58=4,4,0))))+0</f>
        <v>1040</v>
      </c>
      <c r="F58" s="1530" t="s">
        <v>1051</v>
      </c>
      <c r="G58" s="1530"/>
      <c r="H58" s="1529" t="n">
        <v>405.68</v>
      </c>
      <c r="I58" s="1529" t="n">
        <v>1352.28</v>
      </c>
      <c r="J58" s="1529" t="n">
        <v>678.7</v>
      </c>
      <c r="K58" s="1529" t="n">
        <v>5000</v>
      </c>
      <c r="L58" s="1526" t="n">
        <v>0.01653</v>
      </c>
      <c r="M58" s="1526" t="n">
        <v>0.05512</v>
      </c>
      <c r="N58" s="1531" t="n">
        <v>3</v>
      </c>
      <c r="O58" s="1529" t="n">
        <v>0</v>
      </c>
      <c r="T58" s="1528" t="n">
        <v>104</v>
      </c>
      <c r="U58" s="1528" t="s">
        <v>1051</v>
      </c>
    </row>
    <row r="59" s="1515" customFormat="true" ht="14.25" hidden="false" customHeight="false" outlineLevel="0" collapsed="false">
      <c r="B59" s="1515" t="n">
        <v>2025</v>
      </c>
      <c r="C59" s="1529" t="n">
        <v>105</v>
      </c>
      <c r="D59" s="359" t="n">
        <v>0</v>
      </c>
      <c r="E59" s="1524" t="n">
        <f aca="false">CONCATENATE(C59,IF(O59=19,9,IF(O59=6,6,IF(O59=4,4,0))))+0</f>
        <v>1050</v>
      </c>
      <c r="F59" s="1530" t="s">
        <v>1052</v>
      </c>
      <c r="G59" s="1530"/>
      <c r="H59" s="1529" t="n">
        <v>480.81</v>
      </c>
      <c r="I59" s="1529" t="n">
        <v>1442.43</v>
      </c>
      <c r="J59" s="1529" t="n">
        <v>1939.8</v>
      </c>
      <c r="K59" s="1529" t="n">
        <v>9500</v>
      </c>
      <c r="L59" s="1526" t="n">
        <v>0.0196</v>
      </c>
      <c r="M59" s="1526" t="n">
        <v>0.05879</v>
      </c>
      <c r="N59" s="1531" t="n">
        <v>2</v>
      </c>
      <c r="O59" s="1529" t="n">
        <v>0</v>
      </c>
      <c r="T59" s="1528" t="n">
        <v>105</v>
      </c>
      <c r="U59" s="1528" t="s">
        <v>1052</v>
      </c>
      <c r="V59" s="1515" t="str">
        <f aca="false">MID(E59,LEN(E59),1)</f>
        <v>0</v>
      </c>
      <c r="W59" s="1515" t="s">
        <v>1048</v>
      </c>
    </row>
    <row r="60" s="1515" customFormat="true" ht="14.25" hidden="false" customHeight="false" outlineLevel="0" collapsed="false">
      <c r="B60" s="1515" t="n">
        <v>2025</v>
      </c>
      <c r="C60" s="1529" t="n">
        <v>106</v>
      </c>
      <c r="D60" s="359" t="n">
        <v>0</v>
      </c>
      <c r="E60" s="1524" t="n">
        <f aca="false">CONCATENATE(C60,IF(O60=19,9,IF(O60=6,6,IF(O60=4,4,0))))+0</f>
        <v>1060</v>
      </c>
      <c r="F60" s="1530" t="s">
        <v>1053</v>
      </c>
      <c r="G60" s="1530"/>
      <c r="H60" s="1529" t="n">
        <v>480.81</v>
      </c>
      <c r="I60" s="1529" t="n">
        <v>1442.43</v>
      </c>
      <c r="J60" s="1529" t="n">
        <v>1939.72</v>
      </c>
      <c r="K60" s="1529" t="n">
        <v>9500</v>
      </c>
      <c r="L60" s="1526" t="n">
        <v>0.0196</v>
      </c>
      <c r="M60" s="1526" t="n">
        <v>0.05879</v>
      </c>
      <c r="N60" s="1531" t="n">
        <v>2</v>
      </c>
      <c r="O60" s="1529" t="n">
        <v>0</v>
      </c>
      <c r="T60" s="1528" t="n">
        <v>106</v>
      </c>
      <c r="U60" s="1528" t="s">
        <v>1053</v>
      </c>
      <c r="V60" s="1515" t="str">
        <f aca="false">MID(E60,LEN(E60),1)</f>
        <v>0</v>
      </c>
      <c r="W60" s="1515" t="s">
        <v>1049</v>
      </c>
    </row>
    <row r="61" s="1515" customFormat="true" ht="14.25" hidden="false" customHeight="false" outlineLevel="0" collapsed="false">
      <c r="B61" s="1515" t="n">
        <v>2025</v>
      </c>
      <c r="C61" s="1529" t="n">
        <v>107</v>
      </c>
      <c r="D61" s="359" t="n">
        <v>0</v>
      </c>
      <c r="E61" s="1524" t="n">
        <f aca="false">CONCATENATE(C61,IF(O61=19,9,IF(O61=6,6,IF(O61=4,4,0))))+0</f>
        <v>1070</v>
      </c>
      <c r="F61" s="1530" t="s">
        <v>1054</v>
      </c>
      <c r="G61" s="1530"/>
      <c r="H61" s="1529" t="n">
        <v>480.81</v>
      </c>
      <c r="I61" s="1529" t="n">
        <v>1442.43</v>
      </c>
      <c r="J61" s="1529" t="n">
        <v>3000</v>
      </c>
      <c r="K61" s="1529" t="n">
        <v>8000</v>
      </c>
      <c r="L61" s="1526" t="n">
        <v>0.0196</v>
      </c>
      <c r="M61" s="1526" t="n">
        <v>0.05879</v>
      </c>
      <c r="N61" s="1531" t="n">
        <v>2</v>
      </c>
      <c r="O61" s="1529" t="n">
        <v>0</v>
      </c>
      <c r="T61" s="1528" t="n">
        <v>107</v>
      </c>
      <c r="U61" s="1528" t="s">
        <v>1054</v>
      </c>
      <c r="V61" s="1515" t="str">
        <f aca="false">MID(E61,LEN(E61),1)</f>
        <v>0</v>
      </c>
      <c r="W61" s="1515" t="s">
        <v>1050</v>
      </c>
    </row>
    <row r="62" s="1515" customFormat="true" ht="14.25" hidden="false" customHeight="false" outlineLevel="0" collapsed="false">
      <c r="B62" s="1515" t="n">
        <v>2025</v>
      </c>
      <c r="C62" s="1529" t="n">
        <v>108</v>
      </c>
      <c r="D62" s="359" t="n">
        <v>0</v>
      </c>
      <c r="E62" s="1524" t="n">
        <f aca="false">CONCATENATE(C62,IF(O62=19,9,IF(O62=6,6,IF(O62=4,4,0))))+0</f>
        <v>1080</v>
      </c>
      <c r="F62" s="1530" t="s">
        <v>1055</v>
      </c>
      <c r="G62" s="1530"/>
      <c r="H62" s="1529" t="n">
        <v>480.81</v>
      </c>
      <c r="I62" s="1529" t="n">
        <v>1442.43</v>
      </c>
      <c r="J62" s="1529" t="n">
        <v>1939.72</v>
      </c>
      <c r="K62" s="1529" t="n">
        <v>8500</v>
      </c>
      <c r="L62" s="1526" t="n">
        <v>0.0196</v>
      </c>
      <c r="M62" s="1526" t="n">
        <v>0.05879</v>
      </c>
      <c r="N62" s="1531" t="n">
        <v>2</v>
      </c>
      <c r="O62" s="1529" t="n">
        <v>0</v>
      </c>
      <c r="T62" s="1528" t="n">
        <v>108</v>
      </c>
      <c r="U62" s="1528" t="s">
        <v>1055</v>
      </c>
      <c r="V62" s="1515" t="str">
        <f aca="false">MID(E62,LEN(E62),1)</f>
        <v>0</v>
      </c>
      <c r="W62" s="1515" t="s">
        <v>1051</v>
      </c>
    </row>
    <row r="63" s="1515" customFormat="true" ht="14.25" hidden="false" customHeight="false" outlineLevel="0" collapsed="false">
      <c r="B63" s="1515" t="n">
        <v>2025</v>
      </c>
      <c r="C63" s="1529" t="n">
        <v>109</v>
      </c>
      <c r="D63" s="359" t="n">
        <v>0</v>
      </c>
      <c r="E63" s="1524" t="n">
        <f aca="false">CONCATENATE(C63,IF(O63=19,9,IF(O63=6,6,IF(O63=4,4,0))))+0</f>
        <v>1090</v>
      </c>
      <c r="F63" s="1530" t="s">
        <v>1056</v>
      </c>
      <c r="G63" s="1530"/>
      <c r="H63" s="1529" t="n">
        <v>480.81</v>
      </c>
      <c r="I63" s="1529" t="n">
        <v>1442.43</v>
      </c>
      <c r="J63" s="1529" t="n">
        <v>1939.8</v>
      </c>
      <c r="K63" s="1529" t="n">
        <v>8000</v>
      </c>
      <c r="L63" s="1526" t="n">
        <v>0.0196</v>
      </c>
      <c r="M63" s="1526" t="n">
        <v>0.05879</v>
      </c>
      <c r="N63" s="1531" t="n">
        <v>2</v>
      </c>
      <c r="O63" s="1529" t="n">
        <v>0</v>
      </c>
      <c r="T63" s="1528" t="n">
        <v>109</v>
      </c>
      <c r="U63" s="1528" t="s">
        <v>1056</v>
      </c>
      <c r="V63" s="1515" t="str">
        <f aca="false">MID(E63,LEN(E63),1)</f>
        <v>0</v>
      </c>
      <c r="W63" s="1515" t="s">
        <v>1052</v>
      </c>
    </row>
    <row r="64" s="1515" customFormat="true" ht="14.25" hidden="false" customHeight="false" outlineLevel="0" collapsed="false">
      <c r="B64" s="1515" t="n">
        <v>2025</v>
      </c>
      <c r="C64" s="1529" t="n">
        <v>110</v>
      </c>
      <c r="D64" s="359" t="n">
        <v>0</v>
      </c>
      <c r="E64" s="1524" t="n">
        <f aca="false">CONCATENATE(C64,IF(O64=19,9,IF(O64=6,6,IF(O64=4,4,0))))+0</f>
        <v>1100</v>
      </c>
      <c r="F64" s="1530" t="s">
        <v>1057</v>
      </c>
      <c r="G64" s="1530"/>
      <c r="H64" s="1529" t="n">
        <v>480.81</v>
      </c>
      <c r="I64" s="1529" t="n">
        <v>1442.43</v>
      </c>
      <c r="J64" s="1529" t="n">
        <v>2439.65</v>
      </c>
      <c r="K64" s="1529" t="n">
        <v>7000</v>
      </c>
      <c r="L64" s="1526" t="n">
        <v>0.0196</v>
      </c>
      <c r="M64" s="1526" t="n">
        <v>0.05879</v>
      </c>
      <c r="N64" s="1531" t="n">
        <v>2</v>
      </c>
      <c r="O64" s="1529" t="n">
        <v>0</v>
      </c>
      <c r="T64" s="1528" t="n">
        <v>110</v>
      </c>
      <c r="U64" s="1528" t="s">
        <v>1057</v>
      </c>
      <c r="V64" s="1515" t="str">
        <f aca="false">MID(E64,LEN(E64),1)</f>
        <v>0</v>
      </c>
      <c r="W64" s="1515" t="s">
        <v>1053</v>
      </c>
    </row>
    <row r="65" s="1515" customFormat="true" ht="14.25" hidden="false" customHeight="false" outlineLevel="0" collapsed="false">
      <c r="B65" s="1515" t="n">
        <v>2025</v>
      </c>
      <c r="C65" s="1529" t="n">
        <v>111</v>
      </c>
      <c r="D65" s="359" t="n">
        <v>0</v>
      </c>
      <c r="E65" s="1524" t="n">
        <f aca="false">CONCATENATE(C65,IF(O65=19,9,IF(O65=6,6,IF(O65=4,4,0))))+0</f>
        <v>1110</v>
      </c>
      <c r="F65" s="1530" t="s">
        <v>1058</v>
      </c>
      <c r="G65" s="1530"/>
      <c r="H65" s="1529" t="n">
        <v>480.81</v>
      </c>
      <c r="I65" s="1529" t="n">
        <v>1442.43</v>
      </c>
      <c r="J65" s="1529" t="n">
        <v>2151.03</v>
      </c>
      <c r="K65" s="1529" t="n">
        <v>7000</v>
      </c>
      <c r="L65" s="1526" t="n">
        <v>0.0196</v>
      </c>
      <c r="M65" s="1526" t="n">
        <v>0.05879</v>
      </c>
      <c r="N65" s="1531" t="n">
        <v>2</v>
      </c>
      <c r="O65" s="1529" t="n">
        <v>0</v>
      </c>
      <c r="T65" s="1528" t="n">
        <v>111</v>
      </c>
      <c r="U65" s="1528" t="s">
        <v>1058</v>
      </c>
      <c r="V65" s="1515" t="str">
        <f aca="false">MID(E65,LEN(E65),1)</f>
        <v>0</v>
      </c>
      <c r="W65" s="1515" t="s">
        <v>1054</v>
      </c>
    </row>
    <row r="66" s="1515" customFormat="true" ht="14.25" hidden="false" customHeight="false" outlineLevel="0" collapsed="false">
      <c r="B66" s="1515" t="n">
        <v>2025</v>
      </c>
      <c r="C66" s="1529" t="n">
        <v>112</v>
      </c>
      <c r="D66" s="359" t="n">
        <v>0</v>
      </c>
      <c r="E66" s="1524" t="n">
        <f aca="false">CONCATENATE(C66,IF(O66=19,9,IF(O66=6,6,IF(O66=4,4,0))))+0</f>
        <v>1126</v>
      </c>
      <c r="F66" s="1530" t="s">
        <v>1059</v>
      </c>
      <c r="G66" s="1530"/>
      <c r="H66" s="1529" t="n">
        <v>450.76</v>
      </c>
      <c r="I66" s="1529" t="n">
        <v>721.21</v>
      </c>
      <c r="J66" s="1529" t="n">
        <v>1000</v>
      </c>
      <c r="K66" s="1529" t="n">
        <v>5500</v>
      </c>
      <c r="L66" s="1526" t="n">
        <v>0.01837</v>
      </c>
      <c r="M66" s="1526" t="n">
        <v>0.0294</v>
      </c>
      <c r="N66" s="1531" t="n">
        <v>3</v>
      </c>
      <c r="O66" s="1529" t="n">
        <v>6</v>
      </c>
      <c r="T66" s="1528" t="n">
        <v>112</v>
      </c>
      <c r="U66" s="1528" t="s">
        <v>1060</v>
      </c>
      <c r="V66" s="1515" t="str">
        <f aca="false">MID(E66,LEN(E66),1)</f>
        <v>6</v>
      </c>
      <c r="W66" s="1515" t="s">
        <v>1055</v>
      </c>
    </row>
    <row r="67" s="1515" customFormat="true" ht="14.25" hidden="false" customHeight="false" outlineLevel="0" collapsed="false">
      <c r="B67" s="1515" t="n">
        <v>2025</v>
      </c>
      <c r="C67" s="1529" t="n">
        <v>113</v>
      </c>
      <c r="D67" s="359" t="n">
        <v>0</v>
      </c>
      <c r="E67" s="1524" t="n">
        <f aca="false">CONCATENATE(C67,IF(O67=19,9,IF(O67=6,6,IF(O67=4,4,0))))+0</f>
        <v>1130</v>
      </c>
      <c r="F67" s="1530" t="s">
        <v>1061</v>
      </c>
      <c r="G67" s="1530"/>
      <c r="H67" s="1529" t="n">
        <v>480.81</v>
      </c>
      <c r="I67" s="1529" t="n">
        <v>1442.43</v>
      </c>
      <c r="J67" s="1529" t="n">
        <v>2151.03</v>
      </c>
      <c r="K67" s="1529" t="n">
        <v>7000</v>
      </c>
      <c r="L67" s="1526" t="n">
        <v>0.0196</v>
      </c>
      <c r="M67" s="1526" t="n">
        <v>0.05879</v>
      </c>
      <c r="N67" s="1531" t="n">
        <v>2</v>
      </c>
      <c r="O67" s="1529" t="n">
        <v>0</v>
      </c>
      <c r="T67" s="1528" t="n">
        <v>113</v>
      </c>
      <c r="U67" s="1528" t="s">
        <v>1061</v>
      </c>
      <c r="V67" s="1515" t="str">
        <f aca="false">MID(E67,LEN(E67),1)</f>
        <v>0</v>
      </c>
      <c r="W67" s="1515" t="s">
        <v>1056</v>
      </c>
    </row>
    <row r="68" s="1515" customFormat="true" ht="14.25" hidden="false" customHeight="false" outlineLevel="0" collapsed="false">
      <c r="B68" s="1515" t="n">
        <v>2025</v>
      </c>
      <c r="C68" s="1529" t="n">
        <v>117</v>
      </c>
      <c r="D68" s="359" t="n">
        <v>0</v>
      </c>
      <c r="E68" s="1524" t="n">
        <f aca="false">CONCATENATE(C68,IF(O68=19,9,IF(O68=6,6,IF(O68=4,4,0))))+0</f>
        <v>1170</v>
      </c>
      <c r="F68" s="1530" t="s">
        <v>1062</v>
      </c>
      <c r="G68" s="1530"/>
      <c r="H68" s="1529" t="n">
        <v>450.76</v>
      </c>
      <c r="I68" s="1529" t="n">
        <v>721.71</v>
      </c>
      <c r="J68" s="1529" t="n">
        <v>500</v>
      </c>
      <c r="K68" s="1529" t="n">
        <v>1500</v>
      </c>
      <c r="L68" s="1526" t="n">
        <v>0.01837</v>
      </c>
      <c r="M68" s="1526" t="n">
        <v>0.02942</v>
      </c>
      <c r="N68" s="1531" t="n">
        <v>3</v>
      </c>
      <c r="O68" s="1529" t="n">
        <v>0</v>
      </c>
      <c r="T68" s="1528" t="n">
        <v>117</v>
      </c>
      <c r="U68" s="1528" t="s">
        <v>1062</v>
      </c>
      <c r="V68" s="1515" t="str">
        <f aca="false">MID(E68,LEN(E68),1)</f>
        <v>0</v>
      </c>
      <c r="W68" s="1515" t="s">
        <v>1057</v>
      </c>
    </row>
    <row r="69" s="1515" customFormat="true" ht="14.25" hidden="false" customHeight="false" outlineLevel="0" collapsed="false">
      <c r="B69" s="1515" t="n">
        <v>2025</v>
      </c>
      <c r="C69" s="1529" t="n">
        <v>118</v>
      </c>
      <c r="D69" s="359" t="n">
        <v>0</v>
      </c>
      <c r="E69" s="1524" t="n">
        <f aca="false">CONCATENATE(C69,IF(O69=19,9,IF(O69=6,6,IF(O69=4,4,0))))+0</f>
        <v>1180</v>
      </c>
      <c r="F69" s="1530" t="s">
        <v>1063</v>
      </c>
      <c r="G69" s="1530"/>
      <c r="H69" s="1529" t="n">
        <v>114.19</v>
      </c>
      <c r="I69" s="1529" t="n">
        <v>240.4</v>
      </c>
      <c r="J69" s="1529" t="n">
        <v>1000</v>
      </c>
      <c r="K69" s="1529" t="n">
        <v>3800</v>
      </c>
      <c r="L69" s="1526" t="n">
        <v>0.00465</v>
      </c>
      <c r="M69" s="1526" t="n">
        <v>0.0098</v>
      </c>
      <c r="N69" s="1531" t="n">
        <v>5</v>
      </c>
      <c r="O69" s="1529" t="n">
        <v>0</v>
      </c>
      <c r="T69" s="1528" t="n">
        <v>118</v>
      </c>
      <c r="U69" s="1535" t="s">
        <v>1064</v>
      </c>
      <c r="V69" s="1515" t="str">
        <f aca="false">MID(E69,LEN(E69),1)</f>
        <v>0</v>
      </c>
      <c r="W69" s="1515" t="s">
        <v>1058</v>
      </c>
    </row>
    <row r="70" s="1515" customFormat="true" ht="14.25" hidden="false" customHeight="false" outlineLevel="0" collapsed="false">
      <c r="B70" s="1515" t="n">
        <v>2025</v>
      </c>
      <c r="C70" s="1529" t="n">
        <v>120</v>
      </c>
      <c r="D70" s="359" t="n">
        <v>0</v>
      </c>
      <c r="E70" s="1524" t="n">
        <f aca="false">CONCATENATE(C70,IF(O70=19,9,IF(O70=6,6,IF(O70=4,4,0))))+0</f>
        <v>1200</v>
      </c>
      <c r="F70" s="1530" t="s">
        <v>1065</v>
      </c>
      <c r="G70" s="1530"/>
      <c r="H70" s="1529" t="n">
        <v>450.76</v>
      </c>
      <c r="I70" s="1529" t="n">
        <v>721.21</v>
      </c>
      <c r="J70" s="1529" t="n">
        <v>500</v>
      </c>
      <c r="K70" s="1529" t="n">
        <v>1500</v>
      </c>
      <c r="L70" s="1526" t="n">
        <v>0.01837</v>
      </c>
      <c r="M70" s="1526" t="n">
        <v>0.0294</v>
      </c>
      <c r="N70" s="1531" t="n">
        <v>3</v>
      </c>
      <c r="O70" s="1529" t="n">
        <v>0</v>
      </c>
      <c r="T70" s="1528" t="n">
        <v>120</v>
      </c>
      <c r="U70" s="1528" t="s">
        <v>1065</v>
      </c>
      <c r="V70" s="1515" t="str">
        <f aca="false">MID(E70,LEN(E70),1)</f>
        <v>0</v>
      </c>
      <c r="W70" s="1515" t="s">
        <v>1059</v>
      </c>
    </row>
    <row r="71" s="1515" customFormat="true" ht="14.25" hidden="false" customHeight="false" outlineLevel="0" collapsed="false">
      <c r="B71" s="1515" t="n">
        <v>2025</v>
      </c>
      <c r="C71" s="1529" t="n">
        <v>121</v>
      </c>
      <c r="D71" s="359" t="n">
        <v>0</v>
      </c>
      <c r="E71" s="1524" t="n">
        <f aca="false">CONCATENATE(C71,IF(O71=19,9,IF(O71=6,6,IF(O71=4,4,0))))+0</f>
        <v>1210</v>
      </c>
      <c r="F71" s="1530" t="s">
        <v>1066</v>
      </c>
      <c r="G71" s="1530"/>
      <c r="H71" s="1529" t="n">
        <v>450.76</v>
      </c>
      <c r="I71" s="1529" t="n">
        <v>1202.02</v>
      </c>
      <c r="J71" s="1529" t="n">
        <v>1739.31</v>
      </c>
      <c r="K71" s="1529" t="n">
        <v>5200</v>
      </c>
      <c r="L71" s="1526" t="n">
        <v>0.01837</v>
      </c>
      <c r="M71" s="1526" t="n">
        <v>0.04899</v>
      </c>
      <c r="N71" s="1531" t="n">
        <v>4</v>
      </c>
      <c r="O71" s="1529" t="n">
        <v>0</v>
      </c>
      <c r="T71" s="1528" t="n">
        <v>121</v>
      </c>
      <c r="U71" s="1528" t="s">
        <v>1066</v>
      </c>
      <c r="V71" s="1515" t="str">
        <f aca="false">MID(E71,LEN(E71),1)</f>
        <v>0</v>
      </c>
      <c r="W71" s="1515" t="s">
        <v>1061</v>
      </c>
    </row>
    <row r="72" s="1515" customFormat="true" ht="14.25" hidden="false" customHeight="false" outlineLevel="0" collapsed="false">
      <c r="B72" s="1515" t="n">
        <v>2025</v>
      </c>
      <c r="C72" s="1529" t="n">
        <v>121</v>
      </c>
      <c r="D72" s="359" t="n">
        <v>0</v>
      </c>
      <c r="E72" s="1524" t="n">
        <f aca="false">CONCATENATE(C72,IF(O72=19,9,IF(O72=6,6,IF(O72=4,4,0))))+0</f>
        <v>1214</v>
      </c>
      <c r="F72" s="1530" t="s">
        <v>1066</v>
      </c>
      <c r="G72" s="1530"/>
      <c r="H72" s="1529" t="n">
        <v>0</v>
      </c>
      <c r="I72" s="1529" t="n">
        <v>36060.73</v>
      </c>
      <c r="J72" s="1529" t="n">
        <v>0</v>
      </c>
      <c r="K72" s="1529" t="n">
        <v>80000</v>
      </c>
      <c r="L72" s="1526" t="n">
        <v>0</v>
      </c>
      <c r="M72" s="1526" t="n">
        <v>1.46978</v>
      </c>
      <c r="N72" s="1531" t="n">
        <v>4</v>
      </c>
      <c r="O72" s="1529" t="n">
        <v>4</v>
      </c>
      <c r="T72" s="1528" t="n">
        <v>121</v>
      </c>
      <c r="U72" s="1528" t="s">
        <v>1067</v>
      </c>
      <c r="V72" s="1515" t="str">
        <f aca="false">MID(E72,LEN(E72),1)</f>
        <v>4</v>
      </c>
      <c r="W72" s="1515" t="s">
        <v>1062</v>
      </c>
    </row>
    <row r="73" s="1515" customFormat="true" ht="14.25" hidden="false" customHeight="false" outlineLevel="0" collapsed="false">
      <c r="B73" s="1515" t="n">
        <v>2025</v>
      </c>
      <c r="C73" s="1529" t="n">
        <v>121</v>
      </c>
      <c r="D73" s="359" t="n">
        <v>0</v>
      </c>
      <c r="E73" s="1524" t="n">
        <f aca="false">CONCATENATE(C73,IF(O73=19,9,IF(O73=6,6,IF(O73=4,4,0))))+0</f>
        <v>1219</v>
      </c>
      <c r="F73" s="1530" t="s">
        <v>1066</v>
      </c>
      <c r="G73" s="1530"/>
      <c r="H73" s="1529" t="n">
        <v>0</v>
      </c>
      <c r="I73" s="1529" t="n">
        <v>36060.73</v>
      </c>
      <c r="J73" s="1529" t="n">
        <v>0</v>
      </c>
      <c r="K73" s="1529" t="n">
        <v>80000</v>
      </c>
      <c r="L73" s="1526" t="n">
        <v>0</v>
      </c>
      <c r="M73" s="1526" t="n">
        <v>1.46978</v>
      </c>
      <c r="N73" s="1531" t="n">
        <v>4</v>
      </c>
      <c r="O73" s="1529" t="n">
        <v>19</v>
      </c>
      <c r="T73" s="1528" t="n">
        <v>121</v>
      </c>
      <c r="U73" s="1528" t="s">
        <v>1068</v>
      </c>
      <c r="V73" s="1515" t="str">
        <f aca="false">MID(E73,LEN(E73),1)</f>
        <v>9</v>
      </c>
      <c r="W73" s="1515" t="s">
        <v>1063</v>
      </c>
    </row>
    <row r="74" s="1515" customFormat="true" ht="14.25" hidden="false" customHeight="false" outlineLevel="0" collapsed="false">
      <c r="B74" s="1515" t="n">
        <v>2025</v>
      </c>
      <c r="C74" s="1529" t="n">
        <v>122</v>
      </c>
      <c r="D74" s="359" t="n">
        <v>0</v>
      </c>
      <c r="E74" s="1524" t="n">
        <f aca="false">CONCATENATE(C74,IF(O74=19,9,IF(O74=6,6,IF(O74=4,4,0))))+0</f>
        <v>1220</v>
      </c>
      <c r="F74" s="1530" t="s">
        <v>1069</v>
      </c>
      <c r="G74" s="1530"/>
      <c r="H74" s="1529" t="n">
        <v>450.76</v>
      </c>
      <c r="I74" s="1529" t="n">
        <v>721.21</v>
      </c>
      <c r="J74" s="1529" t="n">
        <v>500</v>
      </c>
      <c r="K74" s="1529" t="n">
        <v>1500</v>
      </c>
      <c r="L74" s="1526" t="n">
        <v>0.01837</v>
      </c>
      <c r="M74" s="1526" t="n">
        <v>0.0294</v>
      </c>
      <c r="N74" s="1531" t="n">
        <v>1</v>
      </c>
      <c r="O74" s="1529" t="n">
        <v>0</v>
      </c>
      <c r="T74" s="1528" t="n">
        <v>122</v>
      </c>
      <c r="U74" s="1528" t="s">
        <v>1069</v>
      </c>
      <c r="V74" s="1515" t="str">
        <f aca="false">MID(E74,LEN(E74),1)</f>
        <v>0</v>
      </c>
      <c r="W74" s="1515" t="s">
        <v>1065</v>
      </c>
    </row>
    <row r="75" s="1515" customFormat="true" ht="14.25" hidden="false" customHeight="false" outlineLevel="0" collapsed="false">
      <c r="B75" s="1515" t="n">
        <v>2025</v>
      </c>
      <c r="C75" s="1529" t="n">
        <v>123</v>
      </c>
      <c r="D75" s="359" t="n">
        <v>0</v>
      </c>
      <c r="E75" s="1524" t="n">
        <f aca="false">CONCATENATE(C75,IF(O75=19,9,IF(O75=6,6,IF(O75=4,4,0))))+0</f>
        <v>1236</v>
      </c>
      <c r="F75" s="1530" t="s">
        <v>1070</v>
      </c>
      <c r="G75" s="1530"/>
      <c r="H75" s="1529" t="n">
        <v>450.76</v>
      </c>
      <c r="I75" s="1529" t="n">
        <v>721.21</v>
      </c>
      <c r="J75" s="1529" t="n">
        <v>500</v>
      </c>
      <c r="K75" s="1529" t="n">
        <v>1500</v>
      </c>
      <c r="L75" s="1526" t="n">
        <v>0.01837</v>
      </c>
      <c r="M75" s="1526" t="n">
        <v>0.0294</v>
      </c>
      <c r="N75" s="1531" t="n">
        <v>3</v>
      </c>
      <c r="O75" s="1529" t="n">
        <v>6</v>
      </c>
      <c r="T75" s="1528" t="n">
        <v>123</v>
      </c>
      <c r="U75" s="1528" t="s">
        <v>1071</v>
      </c>
      <c r="V75" s="1515" t="str">
        <f aca="false">MID(E75,LEN(E75),1)</f>
        <v>6</v>
      </c>
      <c r="W75" s="1515" t="s">
        <v>1066</v>
      </c>
    </row>
    <row r="76" s="1515" customFormat="true" ht="14.25" hidden="false" customHeight="false" outlineLevel="0" collapsed="false">
      <c r="B76" s="1515" t="n">
        <v>2025</v>
      </c>
      <c r="C76" s="1529" t="n">
        <v>124</v>
      </c>
      <c r="D76" s="359" t="n">
        <v>0</v>
      </c>
      <c r="E76" s="1524" t="n">
        <f aca="false">CONCATENATE(C76,IF(O76=19,9,IF(O76=6,6,IF(O76=4,4,0))))+0</f>
        <v>1240</v>
      </c>
      <c r="F76" s="1530" t="s">
        <v>1072</v>
      </c>
      <c r="G76" s="1530"/>
      <c r="H76" s="1529" t="n">
        <v>450.76</v>
      </c>
      <c r="I76" s="1529" t="n">
        <v>721.21</v>
      </c>
      <c r="J76" s="1529" t="n">
        <v>500</v>
      </c>
      <c r="K76" s="1529" t="n">
        <v>1500</v>
      </c>
      <c r="L76" s="1526" t="n">
        <v>0.01837</v>
      </c>
      <c r="M76" s="1526" t="n">
        <v>0.0294</v>
      </c>
      <c r="N76" s="1531" t="n">
        <v>3</v>
      </c>
      <c r="O76" s="1529" t="n">
        <v>0</v>
      </c>
      <c r="T76" s="1528" t="n">
        <v>124</v>
      </c>
      <c r="U76" s="1528" t="s">
        <v>1072</v>
      </c>
      <c r="V76" s="1515" t="str">
        <f aca="false">MID(E76,LEN(E76),1)</f>
        <v>0</v>
      </c>
      <c r="W76" s="1515" t="s">
        <v>1073</v>
      </c>
    </row>
    <row r="77" s="1515" customFormat="true" ht="14.25" hidden="false" customHeight="false" outlineLevel="0" collapsed="false">
      <c r="B77" s="1515" t="n">
        <v>2025</v>
      </c>
      <c r="C77" s="1529" t="n">
        <v>125</v>
      </c>
      <c r="D77" s="359" t="n">
        <v>0</v>
      </c>
      <c r="E77" s="1524" t="n">
        <f aca="false">CONCATENATE(C77,IF(O77=19,9,IF(O77=6,6,IF(O77=4,4,0))))+0</f>
        <v>1250</v>
      </c>
      <c r="F77" s="1530" t="s">
        <v>1074</v>
      </c>
      <c r="G77" s="1530"/>
      <c r="H77" s="1529" t="n">
        <v>450.76</v>
      </c>
      <c r="I77" s="1529" t="n">
        <v>721.21</v>
      </c>
      <c r="J77" s="1529" t="n">
        <v>500</v>
      </c>
      <c r="K77" s="1529" t="n">
        <v>1500</v>
      </c>
      <c r="L77" s="1526" t="n">
        <v>0.01837</v>
      </c>
      <c r="M77" s="1526" t="n">
        <v>0.0294</v>
      </c>
      <c r="N77" s="1531" t="n">
        <v>3</v>
      </c>
      <c r="O77" s="1529" t="n">
        <v>0</v>
      </c>
      <c r="T77" s="1528" t="n">
        <v>125</v>
      </c>
      <c r="U77" s="1528" t="s">
        <v>1074</v>
      </c>
      <c r="V77" s="1515" t="str">
        <f aca="false">MID(E77,LEN(E77),1)</f>
        <v>0</v>
      </c>
      <c r="W77" s="1515" t="s">
        <v>1073</v>
      </c>
    </row>
    <row r="78" s="1515" customFormat="true" ht="14.25" hidden="false" customHeight="false" outlineLevel="0" collapsed="false">
      <c r="B78" s="1515" t="n">
        <v>2025</v>
      </c>
      <c r="C78" s="1529" t="n">
        <v>138</v>
      </c>
      <c r="D78" s="359" t="n">
        <v>0</v>
      </c>
      <c r="E78" s="1524" t="n">
        <f aca="false">CONCATENATE(C78,IF(O78=19,9,IF(O78=6,6,IF(O78=4,4,0))))+0</f>
        <v>1380</v>
      </c>
      <c r="F78" s="1530" t="s">
        <v>1075</v>
      </c>
      <c r="G78" s="1530"/>
      <c r="H78" s="1529" t="n">
        <v>0</v>
      </c>
      <c r="I78" s="1529" t="n">
        <v>240.4</v>
      </c>
      <c r="J78" s="1529" t="n">
        <v>0</v>
      </c>
      <c r="K78" s="1529" t="n">
        <v>5200</v>
      </c>
      <c r="L78" s="1526" t="n">
        <v>0</v>
      </c>
      <c r="M78" s="1526" t="n">
        <v>0.0098</v>
      </c>
      <c r="N78" s="1531" t="n">
        <v>1</v>
      </c>
      <c r="O78" s="1529" t="n">
        <v>0</v>
      </c>
      <c r="T78" s="1528" t="n">
        <v>138</v>
      </c>
      <c r="U78" s="1528" t="s">
        <v>1075</v>
      </c>
      <c r="V78" s="1515" t="str">
        <f aca="false">MID(E78,LEN(E78),1)</f>
        <v>0</v>
      </c>
      <c r="W78" s="1515" t="s">
        <v>1069</v>
      </c>
    </row>
    <row r="79" s="1515" customFormat="true" ht="14.25" hidden="false" customHeight="false" outlineLevel="0" collapsed="false">
      <c r="B79" s="1515" t="n">
        <v>2025</v>
      </c>
      <c r="C79" s="1529" t="n">
        <v>139</v>
      </c>
      <c r="D79" s="359" t="n">
        <v>0</v>
      </c>
      <c r="E79" s="1524" t="n">
        <f aca="false">CONCATENATE(C79,IF(O79=19,9,IF(O79=6,6,IF(O79=4,4,0))))+0</f>
        <v>1390</v>
      </c>
      <c r="F79" s="1530" t="s">
        <v>1076</v>
      </c>
      <c r="G79" s="1530"/>
      <c r="H79" s="1529" t="n">
        <v>0</v>
      </c>
      <c r="I79" s="1529" t="n">
        <v>240.4</v>
      </c>
      <c r="J79" s="1529" t="n">
        <v>0</v>
      </c>
      <c r="K79" s="1529" t="n">
        <v>5200</v>
      </c>
      <c r="L79" s="1526" t="n">
        <v>0</v>
      </c>
      <c r="M79" s="1526" t="n">
        <v>0.0098</v>
      </c>
      <c r="N79" s="1531" t="n">
        <v>1</v>
      </c>
      <c r="O79" s="1529" t="n">
        <v>0</v>
      </c>
      <c r="T79" s="1528" t="n">
        <v>139</v>
      </c>
      <c r="U79" s="1528" t="s">
        <v>1076</v>
      </c>
      <c r="V79" s="1515" t="str">
        <f aca="false">MID(E79,LEN(E79),1)</f>
        <v>0</v>
      </c>
      <c r="W79" s="1515" t="s">
        <v>1070</v>
      </c>
    </row>
    <row r="80" s="1515" customFormat="true" ht="14.25" hidden="false" customHeight="false" outlineLevel="0" collapsed="false">
      <c r="B80" s="1515" t="n">
        <v>2025</v>
      </c>
      <c r="C80" s="1529" t="n">
        <v>140</v>
      </c>
      <c r="D80" s="359" t="n">
        <v>0</v>
      </c>
      <c r="E80" s="1524" t="n">
        <f aca="false">CONCATENATE(C80,IF(O80=19,9,IF(O80=6,6,IF(O80=4,4,0))))+0</f>
        <v>1400</v>
      </c>
      <c r="F80" s="1530" t="s">
        <v>1077</v>
      </c>
      <c r="G80" s="1530"/>
      <c r="H80" s="1529" t="n">
        <v>0</v>
      </c>
      <c r="I80" s="1529" t="n">
        <v>240.4</v>
      </c>
      <c r="J80" s="1529" t="n">
        <v>0</v>
      </c>
      <c r="K80" s="1529" t="n">
        <v>5200</v>
      </c>
      <c r="L80" s="1526" t="n">
        <v>0</v>
      </c>
      <c r="M80" s="1526" t="n">
        <v>0.0098</v>
      </c>
      <c r="N80" s="1531" t="n">
        <v>1</v>
      </c>
      <c r="O80" s="1529" t="n">
        <v>0</v>
      </c>
      <c r="T80" s="1528" t="n">
        <v>140</v>
      </c>
      <c r="U80" s="1528" t="s">
        <v>1077</v>
      </c>
      <c r="V80" s="1515" t="str">
        <f aca="false">MID(E80,LEN(E80),1)</f>
        <v>0</v>
      </c>
      <c r="W80" s="1515" t="s">
        <v>1072</v>
      </c>
    </row>
    <row r="81" s="1515" customFormat="true" ht="14.25" hidden="false" customHeight="false" outlineLevel="0" collapsed="false">
      <c r="B81" s="1515" t="n">
        <v>2025</v>
      </c>
      <c r="C81" s="1529" t="n">
        <v>141</v>
      </c>
      <c r="D81" s="359" t="n">
        <v>0</v>
      </c>
      <c r="E81" s="1524" t="n">
        <f aca="false">CONCATENATE(C81,IF(O81=19,9,IF(O81=6,6,IF(O81=4,4,0))))+0</f>
        <v>1410</v>
      </c>
      <c r="F81" s="1530" t="s">
        <v>1078</v>
      </c>
      <c r="G81" s="1530"/>
      <c r="H81" s="1529" t="n">
        <v>0</v>
      </c>
      <c r="I81" s="1529" t="n">
        <v>240.4</v>
      </c>
      <c r="J81" s="1529" t="n">
        <v>0</v>
      </c>
      <c r="K81" s="1529" t="n">
        <v>5200</v>
      </c>
      <c r="L81" s="1526" t="n">
        <v>0</v>
      </c>
      <c r="M81" s="1526" t="n">
        <v>0.0098</v>
      </c>
      <c r="N81" s="1531" t="n">
        <v>1</v>
      </c>
      <c r="O81" s="1529" t="n">
        <v>0</v>
      </c>
      <c r="T81" s="1528" t="n">
        <v>141</v>
      </c>
      <c r="U81" s="1528" t="s">
        <v>1078</v>
      </c>
      <c r="V81" s="1515" t="str">
        <f aca="false">MID(E81,LEN(E81),1)</f>
        <v>0</v>
      </c>
      <c r="W81" s="1515" t="s">
        <v>1074</v>
      </c>
    </row>
    <row r="82" s="1515" customFormat="true" ht="14.25" hidden="false" customHeight="false" outlineLevel="0" collapsed="false">
      <c r="B82" s="1515" t="n">
        <v>2025</v>
      </c>
      <c r="C82" s="1529" t="n">
        <v>142</v>
      </c>
      <c r="D82" s="359" t="n">
        <v>0</v>
      </c>
      <c r="E82" s="1524" t="n">
        <f aca="false">CONCATENATE(C82,IF(O82=19,9,IF(O82=6,6,IF(O82=4,4,0))))+0</f>
        <v>1420</v>
      </c>
      <c r="F82" s="1530" t="s">
        <v>1079</v>
      </c>
      <c r="G82" s="1530"/>
      <c r="H82" s="1529" t="n">
        <v>0</v>
      </c>
      <c r="I82" s="1529" t="n">
        <v>240.4</v>
      </c>
      <c r="J82" s="1529" t="n">
        <v>0</v>
      </c>
      <c r="K82" s="1529" t="n">
        <v>5200</v>
      </c>
      <c r="L82" s="1526" t="n">
        <v>0</v>
      </c>
      <c r="M82" s="1526" t="n">
        <v>0.0098</v>
      </c>
      <c r="N82" s="1531" t="n">
        <v>1</v>
      </c>
      <c r="O82" s="1529" t="n">
        <v>0</v>
      </c>
      <c r="T82" s="1528" t="n">
        <v>142</v>
      </c>
      <c r="U82" s="1528" t="s">
        <v>1079</v>
      </c>
      <c r="V82" s="1515" t="str">
        <f aca="false">MID(E82,LEN(E82),1)</f>
        <v>0</v>
      </c>
      <c r="W82" s="1515" t="s">
        <v>1075</v>
      </c>
    </row>
    <row r="83" s="1515" customFormat="true" ht="14.25" hidden="false" customHeight="false" outlineLevel="0" collapsed="false">
      <c r="B83" s="1515" t="n">
        <v>2025</v>
      </c>
      <c r="C83" s="1529" t="n">
        <v>143</v>
      </c>
      <c r="D83" s="359" t="n">
        <v>0</v>
      </c>
      <c r="E83" s="1524" t="n">
        <f aca="false">CONCATENATE(C83,IF(O83=19,9,IF(O83=6,6,IF(O83=4,4,0))))+0</f>
        <v>1430</v>
      </c>
      <c r="F83" s="1530" t="s">
        <v>1080</v>
      </c>
      <c r="G83" s="1530"/>
      <c r="H83" s="1529" t="n">
        <v>0</v>
      </c>
      <c r="I83" s="1529" t="n">
        <v>240.4</v>
      </c>
      <c r="J83" s="1529" t="n">
        <v>0</v>
      </c>
      <c r="K83" s="1529" t="n">
        <v>5200</v>
      </c>
      <c r="L83" s="1526" t="n">
        <v>0</v>
      </c>
      <c r="M83" s="1526" t="n">
        <v>0.0098</v>
      </c>
      <c r="N83" s="1531" t="n">
        <v>1</v>
      </c>
      <c r="O83" s="1529" t="n">
        <v>0</v>
      </c>
      <c r="T83" s="1528" t="n">
        <v>143</v>
      </c>
      <c r="U83" s="1528" t="s">
        <v>1080</v>
      </c>
      <c r="V83" s="1515" t="str">
        <f aca="false">MID(E83,LEN(E83),1)</f>
        <v>0</v>
      </c>
      <c r="W83" s="1515" t="s">
        <v>1076</v>
      </c>
    </row>
    <row r="84" s="1515" customFormat="true" ht="14.25" hidden="false" customHeight="false" outlineLevel="0" collapsed="false">
      <c r="B84" s="1515" t="n">
        <v>2025</v>
      </c>
      <c r="C84" s="1529" t="n">
        <v>147</v>
      </c>
      <c r="D84" s="359" t="n">
        <v>0</v>
      </c>
      <c r="E84" s="1524" t="n">
        <f aca="false">CONCATENATE(C84,IF(O84=19,9,IF(O84=6,6,IF(O84=4,4,0))))+0</f>
        <v>1476</v>
      </c>
      <c r="F84" s="1530" t="s">
        <v>1081</v>
      </c>
      <c r="G84" s="1530"/>
      <c r="H84" s="1529" t="n">
        <v>450.76</v>
      </c>
      <c r="I84" s="1529" t="n">
        <v>721.21</v>
      </c>
      <c r="J84" s="1529" t="n">
        <v>2000</v>
      </c>
      <c r="K84" s="1529" t="n">
        <v>6000</v>
      </c>
      <c r="L84" s="1526" t="n">
        <v>0.01837</v>
      </c>
      <c r="M84" s="1526" t="n">
        <v>0.0294</v>
      </c>
      <c r="N84" s="1531" t="n">
        <v>3</v>
      </c>
      <c r="O84" s="1529" t="n">
        <v>6</v>
      </c>
      <c r="T84" s="1528" t="n">
        <v>147</v>
      </c>
      <c r="U84" s="1528" t="s">
        <v>1082</v>
      </c>
      <c r="V84" s="1515" t="str">
        <f aca="false">MID(E84,LEN(E84),1)</f>
        <v>6</v>
      </c>
      <c r="W84" s="1515" t="s">
        <v>1077</v>
      </c>
    </row>
    <row r="85" s="1515" customFormat="true" ht="14.25" hidden="false" customHeight="false" outlineLevel="0" collapsed="false">
      <c r="B85" s="1515" t="n">
        <v>2025</v>
      </c>
      <c r="C85" s="1529" t="n">
        <v>151</v>
      </c>
      <c r="D85" s="359" t="n">
        <v>0</v>
      </c>
      <c r="E85" s="1524" t="n">
        <f aca="false">CONCATENATE(C85,IF(O85=19,9,IF(O85=6,6,IF(O85=4,4,0))))+0</f>
        <v>1510</v>
      </c>
      <c r="F85" s="1530" t="s">
        <v>1083</v>
      </c>
      <c r="G85" s="1530"/>
      <c r="H85" s="1529" t="n">
        <v>360.61</v>
      </c>
      <c r="I85" s="1529" t="n">
        <v>1352.28</v>
      </c>
      <c r="J85" s="1529" t="n">
        <v>575</v>
      </c>
      <c r="K85" s="1529" t="n">
        <v>8500</v>
      </c>
      <c r="L85" s="1526" t="n">
        <v>0.0147</v>
      </c>
      <c r="M85" s="1526" t="n">
        <v>0.05512</v>
      </c>
      <c r="N85" s="1531" t="n">
        <v>4</v>
      </c>
      <c r="O85" s="1529" t="n">
        <v>0</v>
      </c>
      <c r="T85" s="1528" t="n">
        <v>151</v>
      </c>
      <c r="U85" s="1528" t="s">
        <v>1083</v>
      </c>
      <c r="V85" s="1515" t="str">
        <f aca="false">MID(E85,LEN(E85),1)</f>
        <v>0</v>
      </c>
      <c r="W85" s="1515" t="s">
        <v>1078</v>
      </c>
    </row>
    <row r="86" s="1515" customFormat="true" ht="14.25" hidden="false" customHeight="false" outlineLevel="0" collapsed="false">
      <c r="B86" s="1515" t="n">
        <v>2025</v>
      </c>
      <c r="C86" s="1529" t="n">
        <v>151</v>
      </c>
      <c r="D86" s="359" t="n">
        <v>0</v>
      </c>
      <c r="E86" s="1524" t="n">
        <f aca="false">CONCATENATE(C86,IF(O86=19,9,IF(O86=6,6,IF(O86=4,4,0))))+0</f>
        <v>1514</v>
      </c>
      <c r="F86" s="1530" t="s">
        <v>1083</v>
      </c>
      <c r="G86" s="1530"/>
      <c r="H86" s="1529" t="n">
        <v>0</v>
      </c>
      <c r="I86" s="1529" t="n">
        <v>36060.73</v>
      </c>
      <c r="J86" s="1529" t="n">
        <v>0</v>
      </c>
      <c r="K86" s="1529" t="n">
        <v>80000</v>
      </c>
      <c r="L86" s="1526" t="n">
        <v>0</v>
      </c>
      <c r="M86" s="1526" t="n">
        <v>1.46978</v>
      </c>
      <c r="N86" s="1531" t="n">
        <v>4</v>
      </c>
      <c r="O86" s="1529" t="n">
        <v>4</v>
      </c>
      <c r="T86" s="1528" t="n">
        <v>151</v>
      </c>
      <c r="U86" s="1528" t="s">
        <v>1084</v>
      </c>
      <c r="V86" s="1515" t="str">
        <f aca="false">MID(E86,LEN(E86),1)</f>
        <v>4</v>
      </c>
      <c r="W86" s="1515" t="s">
        <v>1079</v>
      </c>
    </row>
    <row r="87" s="1515" customFormat="true" ht="14.25" hidden="false" customHeight="false" outlineLevel="0" collapsed="false">
      <c r="B87" s="1515" t="n">
        <v>2025</v>
      </c>
      <c r="C87" s="1529" t="n">
        <v>151</v>
      </c>
      <c r="D87" s="359" t="n">
        <v>0</v>
      </c>
      <c r="E87" s="1524" t="n">
        <f aca="false">CONCATENATE(C87,IF(O87=19,9,IF(O87=6,6,IF(O87=4,4,0))))+0</f>
        <v>1519</v>
      </c>
      <c r="F87" s="1530" t="s">
        <v>1083</v>
      </c>
      <c r="G87" s="1530"/>
      <c r="H87" s="1529" t="n">
        <v>0</v>
      </c>
      <c r="I87" s="1529" t="n">
        <v>36060.73</v>
      </c>
      <c r="J87" s="1529" t="n">
        <v>0</v>
      </c>
      <c r="K87" s="1529" t="n">
        <v>80000</v>
      </c>
      <c r="L87" s="1526" t="n">
        <v>0</v>
      </c>
      <c r="M87" s="1526" t="n">
        <v>1.46978</v>
      </c>
      <c r="N87" s="1531" t="n">
        <v>4</v>
      </c>
      <c r="O87" s="1529" t="n">
        <v>19</v>
      </c>
      <c r="T87" s="1528" t="n">
        <v>151</v>
      </c>
      <c r="U87" s="1528" t="s">
        <v>1085</v>
      </c>
      <c r="V87" s="1515" t="str">
        <f aca="false">MID(E87,LEN(E87),1)</f>
        <v>9</v>
      </c>
      <c r="W87" s="1515" t="s">
        <v>1080</v>
      </c>
    </row>
    <row r="88" s="1515" customFormat="true" ht="14.25" hidden="false" customHeight="false" outlineLevel="0" collapsed="false">
      <c r="B88" s="1515" t="n">
        <v>2025</v>
      </c>
      <c r="C88" s="1529" t="n">
        <v>152</v>
      </c>
      <c r="D88" s="359" t="n">
        <v>0</v>
      </c>
      <c r="E88" s="1524" t="n">
        <f aca="false">CONCATENATE(C88,IF(O88=19,9,IF(O88=6,6,IF(O88=4,4,0))))+0</f>
        <v>1520</v>
      </c>
      <c r="F88" s="1530" t="s">
        <v>1086</v>
      </c>
      <c r="G88" s="1530"/>
      <c r="H88" s="1529" t="n">
        <v>360.61</v>
      </c>
      <c r="I88" s="1529" t="n">
        <v>1352.2</v>
      </c>
      <c r="J88" s="1529" t="n">
        <v>575</v>
      </c>
      <c r="K88" s="1529" t="n">
        <v>8000</v>
      </c>
      <c r="L88" s="1526" t="n">
        <v>0.0147</v>
      </c>
      <c r="M88" s="1526" t="n">
        <v>0.05511</v>
      </c>
      <c r="N88" s="1531" t="n">
        <v>4</v>
      </c>
      <c r="O88" s="1529" t="n">
        <v>0</v>
      </c>
      <c r="T88" s="1528" t="n">
        <v>152</v>
      </c>
      <c r="U88" s="1528" t="s">
        <v>1086</v>
      </c>
      <c r="V88" s="1515" t="str">
        <f aca="false">MID(E88,LEN(E88),1)</f>
        <v>0</v>
      </c>
      <c r="W88" s="1515" t="s">
        <v>1081</v>
      </c>
    </row>
    <row r="89" s="1515" customFormat="true" ht="14.25" hidden="false" customHeight="false" outlineLevel="0" collapsed="false">
      <c r="B89" s="1515" t="n">
        <v>2025</v>
      </c>
      <c r="C89" s="1529" t="n">
        <v>152</v>
      </c>
      <c r="D89" s="359" t="n">
        <v>0</v>
      </c>
      <c r="E89" s="1524" t="n">
        <f aca="false">CONCATENATE(C89,IF(O89=19,9,IF(O89=6,6,IF(O89=4,4,0))))+0</f>
        <v>1524</v>
      </c>
      <c r="F89" s="1530" t="s">
        <v>1086</v>
      </c>
      <c r="G89" s="1530"/>
      <c r="H89" s="1529" t="n">
        <v>0</v>
      </c>
      <c r="I89" s="1529" t="n">
        <v>36060.73</v>
      </c>
      <c r="J89" s="1529" t="n">
        <v>0</v>
      </c>
      <c r="K89" s="1529" t="n">
        <v>80000</v>
      </c>
      <c r="L89" s="1526" t="n">
        <v>0</v>
      </c>
      <c r="M89" s="1526" t="n">
        <v>1.46978</v>
      </c>
      <c r="N89" s="1531" t="n">
        <v>4</v>
      </c>
      <c r="O89" s="1529" t="n">
        <v>4</v>
      </c>
      <c r="T89" s="1528" t="n">
        <v>152</v>
      </c>
      <c r="U89" s="1528" t="s">
        <v>1087</v>
      </c>
      <c r="V89" s="1515" t="str">
        <f aca="false">MID(E89,LEN(E89),1)</f>
        <v>4</v>
      </c>
      <c r="W89" s="1515" t="s">
        <v>1083</v>
      </c>
    </row>
    <row r="90" s="1515" customFormat="true" ht="14.25" hidden="false" customHeight="false" outlineLevel="0" collapsed="false">
      <c r="B90" s="1515" t="n">
        <v>2025</v>
      </c>
      <c r="C90" s="1529" t="n">
        <v>152</v>
      </c>
      <c r="D90" s="359" t="n">
        <v>0</v>
      </c>
      <c r="E90" s="1524" t="n">
        <f aca="false">CONCATENATE(C90,IF(O90=19,9,IF(O90=6,6,IF(O90=4,4,0))))+0</f>
        <v>1529</v>
      </c>
      <c r="F90" s="1530" t="s">
        <v>1086</v>
      </c>
      <c r="G90" s="1530"/>
      <c r="H90" s="1529" t="n">
        <v>0</v>
      </c>
      <c r="I90" s="1529" t="n">
        <v>36060.73</v>
      </c>
      <c r="J90" s="1529" t="n">
        <v>0</v>
      </c>
      <c r="K90" s="1529" t="n">
        <v>80000</v>
      </c>
      <c r="L90" s="1526" t="n">
        <v>0</v>
      </c>
      <c r="M90" s="1526" t="n">
        <v>1.46978</v>
      </c>
      <c r="N90" s="1531" t="n">
        <v>4</v>
      </c>
      <c r="O90" s="1529" t="n">
        <v>19</v>
      </c>
      <c r="T90" s="1528" t="n">
        <v>152</v>
      </c>
      <c r="U90" s="1528" t="s">
        <v>1088</v>
      </c>
      <c r="V90" s="1515" t="str">
        <f aca="false">MID(E90,LEN(E90),1)</f>
        <v>9</v>
      </c>
      <c r="W90" s="1515" t="s">
        <v>1089</v>
      </c>
    </row>
    <row r="91" s="1515" customFormat="true" ht="14.25" hidden="false" customHeight="false" outlineLevel="0" collapsed="false">
      <c r="B91" s="1515" t="n">
        <v>2025</v>
      </c>
      <c r="C91" s="1529" t="n">
        <v>153</v>
      </c>
      <c r="D91" s="359" t="n">
        <v>0</v>
      </c>
      <c r="E91" s="1524" t="n">
        <f aca="false">CONCATENATE(C91,IF(O91=19,9,IF(O91=6,6,IF(O91=4,4,0))))+0</f>
        <v>1530</v>
      </c>
      <c r="F91" s="1530" t="s">
        <v>1090</v>
      </c>
      <c r="G91" s="1530"/>
      <c r="H91" s="1529" t="n">
        <v>360.61</v>
      </c>
      <c r="I91" s="1529" t="n">
        <v>1352.28</v>
      </c>
      <c r="J91" s="1529" t="n">
        <v>575</v>
      </c>
      <c r="K91" s="1529" t="n">
        <v>5200</v>
      </c>
      <c r="L91" s="1526" t="n">
        <v>0.0147</v>
      </c>
      <c r="M91" s="1526" t="n">
        <v>0.05512</v>
      </c>
      <c r="N91" s="1531" t="n">
        <v>4</v>
      </c>
      <c r="O91" s="1529" t="n">
        <v>0</v>
      </c>
      <c r="T91" s="1528" t="n">
        <v>153</v>
      </c>
      <c r="U91" s="1528" t="s">
        <v>1090</v>
      </c>
      <c r="V91" s="1515" t="str">
        <f aca="false">MID(E91,LEN(E91),1)</f>
        <v>0</v>
      </c>
      <c r="W91" s="1515" t="s">
        <v>1089</v>
      </c>
    </row>
    <row r="92" s="1515" customFormat="true" ht="14.25" hidden="false" customHeight="false" outlineLevel="0" collapsed="false">
      <c r="B92" s="1515" t="n">
        <v>2025</v>
      </c>
      <c r="C92" s="1529" t="n">
        <v>153</v>
      </c>
      <c r="D92" s="359" t="n">
        <v>0</v>
      </c>
      <c r="E92" s="1524" t="n">
        <f aca="false">CONCATENATE(C92,IF(O92=19,9,IF(O92=6,6,IF(O92=4,4,0))))+0</f>
        <v>1534</v>
      </c>
      <c r="F92" s="1530" t="s">
        <v>1090</v>
      </c>
      <c r="G92" s="1530"/>
      <c r="H92" s="1529" t="n">
        <v>0</v>
      </c>
      <c r="I92" s="1529" t="n">
        <v>36060.73</v>
      </c>
      <c r="J92" s="1529" t="n">
        <v>0</v>
      </c>
      <c r="K92" s="1529" t="n">
        <v>80000</v>
      </c>
      <c r="L92" s="1526" t="n">
        <v>0</v>
      </c>
      <c r="M92" s="1526" t="n">
        <v>1.46978</v>
      </c>
      <c r="N92" s="1531" t="n">
        <v>4</v>
      </c>
      <c r="O92" s="1529" t="n">
        <v>4</v>
      </c>
      <c r="T92" s="1528" t="n">
        <v>153</v>
      </c>
      <c r="U92" s="1528" t="s">
        <v>1091</v>
      </c>
      <c r="V92" s="1515" t="str">
        <f aca="false">MID(E92,LEN(E92),1)</f>
        <v>4</v>
      </c>
      <c r="W92" s="1515" t="s">
        <v>1086</v>
      </c>
    </row>
    <row r="93" s="1515" customFormat="true" ht="14.25" hidden="false" customHeight="false" outlineLevel="0" collapsed="false">
      <c r="B93" s="1515" t="n">
        <v>2025</v>
      </c>
      <c r="C93" s="1529" t="n">
        <v>153</v>
      </c>
      <c r="D93" s="359" t="n">
        <v>0</v>
      </c>
      <c r="E93" s="1524" t="n">
        <f aca="false">CONCATENATE(C93,IF(O93=19,9,IF(O93=6,6,IF(O93=4,4,0))))+0</f>
        <v>1539</v>
      </c>
      <c r="F93" s="1530" t="s">
        <v>1090</v>
      </c>
      <c r="G93" s="1530"/>
      <c r="H93" s="1529" t="n">
        <v>0</v>
      </c>
      <c r="I93" s="1529" t="n">
        <v>36060.73</v>
      </c>
      <c r="J93" s="1529" t="n">
        <v>0</v>
      </c>
      <c r="K93" s="1529" t="n">
        <v>80000</v>
      </c>
      <c r="L93" s="1526" t="n">
        <v>0</v>
      </c>
      <c r="M93" s="1526" t="n">
        <v>1.46978</v>
      </c>
      <c r="N93" s="1531" t="n">
        <v>4</v>
      </c>
      <c r="O93" s="1529" t="n">
        <v>19</v>
      </c>
      <c r="T93" s="1528" t="n">
        <v>153</v>
      </c>
      <c r="U93" s="1528" t="s">
        <v>1092</v>
      </c>
      <c r="V93" s="1515" t="str">
        <f aca="false">MID(E93,LEN(E93),1)</f>
        <v>9</v>
      </c>
      <c r="W93" s="1515" t="s">
        <v>1093</v>
      </c>
    </row>
    <row r="94" s="1515" customFormat="true" ht="14.25" hidden="false" customHeight="false" outlineLevel="0" collapsed="false">
      <c r="B94" s="1515" t="n">
        <v>2025</v>
      </c>
      <c r="C94" s="1529" t="n">
        <v>154</v>
      </c>
      <c r="D94" s="359" t="n">
        <v>0</v>
      </c>
      <c r="E94" s="1524" t="n">
        <f aca="false">CONCATENATE(C94,IF(O94=19,9,IF(O94=6,6,IF(O94=4,4,0))))+0</f>
        <v>1540</v>
      </c>
      <c r="F94" s="1530" t="s">
        <v>1094</v>
      </c>
      <c r="G94" s="1530"/>
      <c r="H94" s="1529" t="n">
        <v>360.61</v>
      </c>
      <c r="I94" s="1529" t="n">
        <v>1352.28</v>
      </c>
      <c r="J94" s="1529" t="n">
        <v>575</v>
      </c>
      <c r="K94" s="1529" t="n">
        <v>5200</v>
      </c>
      <c r="L94" s="1526" t="n">
        <v>0.0147</v>
      </c>
      <c r="M94" s="1526" t="n">
        <v>0.05512</v>
      </c>
      <c r="N94" s="1531" t="n">
        <v>4</v>
      </c>
      <c r="O94" s="1529" t="n">
        <v>0</v>
      </c>
      <c r="T94" s="1528" t="n">
        <v>154</v>
      </c>
      <c r="U94" s="1528" t="s">
        <v>1094</v>
      </c>
      <c r="V94" s="1515" t="str">
        <f aca="false">MID(E94,LEN(E94),1)</f>
        <v>0</v>
      </c>
      <c r="W94" s="1515" t="s">
        <v>1093</v>
      </c>
    </row>
    <row r="95" s="1515" customFormat="true" ht="14.25" hidden="false" customHeight="false" outlineLevel="0" collapsed="false">
      <c r="B95" s="1515" t="n">
        <v>2025</v>
      </c>
      <c r="C95" s="1529" t="n">
        <v>154</v>
      </c>
      <c r="D95" s="359" t="n">
        <v>0</v>
      </c>
      <c r="E95" s="1524" t="n">
        <f aca="false">CONCATENATE(C95,IF(O95=19,9,IF(O95=6,6,IF(O95=4,4,0))))+0</f>
        <v>1544</v>
      </c>
      <c r="F95" s="1530" t="s">
        <v>1094</v>
      </c>
      <c r="G95" s="1530"/>
      <c r="H95" s="1529" t="n">
        <v>0</v>
      </c>
      <c r="I95" s="1529" t="n">
        <v>36060.73</v>
      </c>
      <c r="J95" s="1529" t="n">
        <v>0</v>
      </c>
      <c r="K95" s="1529" t="n">
        <v>80000</v>
      </c>
      <c r="L95" s="1526" t="n">
        <v>0</v>
      </c>
      <c r="M95" s="1526" t="n">
        <v>1.46978</v>
      </c>
      <c r="N95" s="1531" t="n">
        <v>4</v>
      </c>
      <c r="O95" s="1529" t="n">
        <v>4</v>
      </c>
      <c r="T95" s="1528" t="n">
        <v>154</v>
      </c>
      <c r="U95" s="1528" t="s">
        <v>1095</v>
      </c>
      <c r="V95" s="1515" t="str">
        <f aca="false">MID(E95,LEN(E95),1)</f>
        <v>4</v>
      </c>
      <c r="W95" s="1515" t="s">
        <v>1090</v>
      </c>
    </row>
    <row r="96" s="1515" customFormat="true" ht="14.25" hidden="false" customHeight="false" outlineLevel="0" collapsed="false">
      <c r="B96" s="1515" t="n">
        <v>2025</v>
      </c>
      <c r="C96" s="1529" t="n">
        <v>154</v>
      </c>
      <c r="D96" s="359" t="n">
        <v>0</v>
      </c>
      <c r="E96" s="1524" t="n">
        <f aca="false">CONCATENATE(C96,IF(O96=19,9,IF(O96=6,6,IF(O96=4,4,0))))+0</f>
        <v>1549</v>
      </c>
      <c r="F96" s="1530" t="s">
        <v>1094</v>
      </c>
      <c r="G96" s="1530"/>
      <c r="H96" s="1529" t="n">
        <v>0</v>
      </c>
      <c r="I96" s="1529" t="n">
        <v>36060.73</v>
      </c>
      <c r="J96" s="1529" t="n">
        <v>0</v>
      </c>
      <c r="K96" s="1529" t="n">
        <v>80000</v>
      </c>
      <c r="L96" s="1526" t="n">
        <v>0</v>
      </c>
      <c r="M96" s="1526" t="n">
        <v>1.46978</v>
      </c>
      <c r="N96" s="1531" t="n">
        <v>4</v>
      </c>
      <c r="O96" s="1529" t="n">
        <v>19</v>
      </c>
      <c r="T96" s="1528" t="n">
        <v>154</v>
      </c>
      <c r="U96" s="1528" t="s">
        <v>1096</v>
      </c>
      <c r="V96" s="1515" t="str">
        <f aca="false">MID(E96,LEN(E96),1)</f>
        <v>9</v>
      </c>
      <c r="W96" s="1515" t="s">
        <v>1097</v>
      </c>
    </row>
    <row r="97" s="1515" customFormat="true" ht="14.25" hidden="false" customHeight="false" outlineLevel="0" collapsed="false">
      <c r="B97" s="1515" t="n">
        <v>2025</v>
      </c>
      <c r="C97" s="1529" t="n">
        <v>155</v>
      </c>
      <c r="D97" s="359" t="n">
        <v>0</v>
      </c>
      <c r="E97" s="1524" t="n">
        <f aca="false">CONCATENATE(C97,IF(O97=19,9,IF(O97=6,6,IF(O97=4,4,0))))+0</f>
        <v>1550</v>
      </c>
      <c r="F97" s="1530" t="s">
        <v>1098</v>
      </c>
      <c r="G97" s="1530"/>
      <c r="H97" s="1529" t="n">
        <v>360.61</v>
      </c>
      <c r="I97" s="1529" t="n">
        <v>1352.28</v>
      </c>
      <c r="J97" s="1529" t="n">
        <v>575</v>
      </c>
      <c r="K97" s="1529" t="n">
        <v>7000</v>
      </c>
      <c r="L97" s="1526" t="n">
        <v>0.0147</v>
      </c>
      <c r="M97" s="1526" t="n">
        <v>0.05512</v>
      </c>
      <c r="N97" s="1531" t="n">
        <v>4</v>
      </c>
      <c r="O97" s="1529" t="n">
        <v>0</v>
      </c>
      <c r="T97" s="1528" t="n">
        <v>155</v>
      </c>
      <c r="U97" s="1528" t="s">
        <v>1098</v>
      </c>
      <c r="V97" s="1515" t="str">
        <f aca="false">MID(E97,LEN(E97),1)</f>
        <v>0</v>
      </c>
      <c r="W97" s="1515" t="s">
        <v>1097</v>
      </c>
    </row>
    <row r="98" s="1515" customFormat="true" ht="14.25" hidden="false" customHeight="false" outlineLevel="0" collapsed="false">
      <c r="B98" s="1515" t="n">
        <v>2025</v>
      </c>
      <c r="C98" s="1529" t="n">
        <v>155</v>
      </c>
      <c r="D98" s="359" t="n">
        <v>0</v>
      </c>
      <c r="E98" s="1524" t="n">
        <f aca="false">CONCATENATE(C98,IF(O98=19,9,IF(O98=6,6,IF(O98=4,4,0))))+0</f>
        <v>1554</v>
      </c>
      <c r="F98" s="1530" t="s">
        <v>1098</v>
      </c>
      <c r="G98" s="1530"/>
      <c r="H98" s="1529" t="n">
        <v>0</v>
      </c>
      <c r="I98" s="1529" t="n">
        <v>36060.73</v>
      </c>
      <c r="J98" s="1529" t="n">
        <v>0</v>
      </c>
      <c r="K98" s="1529" t="n">
        <v>80000</v>
      </c>
      <c r="L98" s="1526" t="n">
        <v>0</v>
      </c>
      <c r="M98" s="1526" t="n">
        <v>1.46978</v>
      </c>
      <c r="N98" s="1531" t="n">
        <v>4</v>
      </c>
      <c r="O98" s="1529" t="n">
        <v>4</v>
      </c>
      <c r="T98" s="1528" t="n">
        <v>155</v>
      </c>
      <c r="U98" s="1528" t="s">
        <v>1099</v>
      </c>
      <c r="V98" s="1515" t="str">
        <f aca="false">MID(E98,LEN(E98),1)</f>
        <v>4</v>
      </c>
      <c r="W98" s="1515" t="s">
        <v>1094</v>
      </c>
    </row>
    <row r="99" s="1515" customFormat="true" ht="14.25" hidden="false" customHeight="false" outlineLevel="0" collapsed="false">
      <c r="B99" s="1515" t="n">
        <v>2025</v>
      </c>
      <c r="C99" s="1529" t="n">
        <v>155</v>
      </c>
      <c r="D99" s="359" t="n">
        <v>0</v>
      </c>
      <c r="E99" s="1524" t="n">
        <f aca="false">CONCATENATE(C99,IF(O99=19,9,IF(O99=6,6,IF(O99=4,4,0))))+0</f>
        <v>1559</v>
      </c>
      <c r="F99" s="1530" t="s">
        <v>1098</v>
      </c>
      <c r="G99" s="1530"/>
      <c r="H99" s="1529" t="n">
        <v>0</v>
      </c>
      <c r="I99" s="1529" t="n">
        <v>36060.73</v>
      </c>
      <c r="J99" s="1529" t="n">
        <v>0</v>
      </c>
      <c r="K99" s="1529" t="n">
        <v>80000</v>
      </c>
      <c r="L99" s="1526" t="n">
        <v>0</v>
      </c>
      <c r="M99" s="1526" t="n">
        <v>1.46978</v>
      </c>
      <c r="N99" s="1531" t="n">
        <v>4</v>
      </c>
      <c r="O99" s="1529" t="n">
        <v>19</v>
      </c>
      <c r="T99" s="1528" t="n">
        <v>155</v>
      </c>
      <c r="U99" s="1528" t="s">
        <v>1100</v>
      </c>
      <c r="V99" s="1515" t="str">
        <f aca="false">MID(E99,LEN(E99),1)</f>
        <v>9</v>
      </c>
      <c r="W99" s="1515" t="s">
        <v>1101</v>
      </c>
    </row>
    <row r="100" s="1515" customFormat="true" ht="14.25" hidden="false" customHeight="false" outlineLevel="0" collapsed="false">
      <c r="B100" s="1515" t="n">
        <v>2025</v>
      </c>
      <c r="C100" s="1529" t="n">
        <v>156</v>
      </c>
      <c r="D100" s="359" t="n">
        <v>0</v>
      </c>
      <c r="E100" s="1524" t="n">
        <f aca="false">CONCATENATE(C100,IF(O100=19,9,IF(O100=6,6,IF(O100=4,4,0))))+0</f>
        <v>1560</v>
      </c>
      <c r="F100" s="1530" t="s">
        <v>1102</v>
      </c>
      <c r="G100" s="1530"/>
      <c r="H100" s="1529" t="n">
        <v>360.61</v>
      </c>
      <c r="I100" s="1529" t="n">
        <v>1352.28</v>
      </c>
      <c r="J100" s="1529" t="n">
        <v>575</v>
      </c>
      <c r="K100" s="1529" t="n">
        <v>8500</v>
      </c>
      <c r="L100" s="1526" t="n">
        <v>0.0147</v>
      </c>
      <c r="M100" s="1526" t="n">
        <v>0.05512</v>
      </c>
      <c r="N100" s="1531" t="n">
        <v>4</v>
      </c>
      <c r="O100" s="1529" t="n">
        <v>0</v>
      </c>
      <c r="T100" s="1528" t="n">
        <v>156</v>
      </c>
      <c r="U100" s="1528" t="s">
        <v>1102</v>
      </c>
      <c r="V100" s="1515" t="str">
        <f aca="false">MID(E100,LEN(E100),1)</f>
        <v>0</v>
      </c>
      <c r="W100" s="1515" t="s">
        <v>1101</v>
      </c>
    </row>
    <row r="101" s="1515" customFormat="true" ht="14.25" hidden="false" customHeight="false" outlineLevel="0" collapsed="false">
      <c r="B101" s="1515" t="n">
        <v>2025</v>
      </c>
      <c r="C101" s="1529" t="n">
        <v>156</v>
      </c>
      <c r="D101" s="359" t="n">
        <v>0</v>
      </c>
      <c r="E101" s="1524" t="n">
        <f aca="false">CONCATENATE(C101,IF(O101=19,9,IF(O101=6,6,IF(O101=4,4,0))))+0</f>
        <v>1564</v>
      </c>
      <c r="F101" s="1530" t="s">
        <v>1102</v>
      </c>
      <c r="G101" s="1530"/>
      <c r="H101" s="1529" t="n">
        <v>0</v>
      </c>
      <c r="I101" s="1529" t="n">
        <v>36060.73</v>
      </c>
      <c r="J101" s="1529" t="n">
        <v>0</v>
      </c>
      <c r="K101" s="1529" t="n">
        <v>80000</v>
      </c>
      <c r="L101" s="1526" t="n">
        <v>0</v>
      </c>
      <c r="M101" s="1526" t="n">
        <v>1.46978</v>
      </c>
      <c r="N101" s="1531" t="n">
        <v>4</v>
      </c>
      <c r="O101" s="1529" t="n">
        <v>4</v>
      </c>
      <c r="T101" s="1528" t="n">
        <v>156</v>
      </c>
      <c r="U101" s="1528" t="s">
        <v>1103</v>
      </c>
      <c r="V101" s="1515" t="str">
        <f aca="false">MID(E101,LEN(E101),1)</f>
        <v>4</v>
      </c>
      <c r="W101" s="1515" t="s">
        <v>1098</v>
      </c>
    </row>
    <row r="102" s="1515" customFormat="true" ht="14.25" hidden="false" customHeight="false" outlineLevel="0" collapsed="false">
      <c r="B102" s="1515" t="n">
        <v>2025</v>
      </c>
      <c r="C102" s="1529" t="n">
        <v>156</v>
      </c>
      <c r="D102" s="359" t="n">
        <v>0</v>
      </c>
      <c r="E102" s="1524" t="n">
        <f aca="false">CONCATENATE(C102,IF(O102=19,9,IF(O102=6,6,IF(O102=4,4,0))))+0</f>
        <v>1569</v>
      </c>
      <c r="F102" s="1530" t="s">
        <v>1102</v>
      </c>
      <c r="G102" s="1530"/>
      <c r="H102" s="1529" t="n">
        <v>0</v>
      </c>
      <c r="I102" s="1529" t="n">
        <v>36060.73</v>
      </c>
      <c r="J102" s="1529" t="n">
        <v>0</v>
      </c>
      <c r="K102" s="1529" t="n">
        <v>80000</v>
      </c>
      <c r="L102" s="1526" t="n">
        <v>0</v>
      </c>
      <c r="M102" s="1526" t="n">
        <v>1.46978</v>
      </c>
      <c r="N102" s="1531" t="n">
        <v>4</v>
      </c>
      <c r="O102" s="1529" t="n">
        <v>19</v>
      </c>
      <c r="T102" s="1528" t="n">
        <v>156</v>
      </c>
      <c r="U102" s="1528" t="s">
        <v>1104</v>
      </c>
      <c r="V102" s="1515" t="str">
        <f aca="false">MID(E102,LEN(E102),1)</f>
        <v>9</v>
      </c>
      <c r="W102" s="1515" t="s">
        <v>1105</v>
      </c>
    </row>
    <row r="103" s="1515" customFormat="true" ht="14.25" hidden="false" customHeight="false" outlineLevel="0" collapsed="false">
      <c r="B103" s="1515" t="n">
        <v>2025</v>
      </c>
      <c r="C103" s="1529" t="n">
        <v>157</v>
      </c>
      <c r="D103" s="359" t="n">
        <v>0</v>
      </c>
      <c r="E103" s="1524" t="n">
        <f aca="false">CONCATENATE(C103,IF(O103=19,9,IF(O103=6,6,IF(O103=4,4,0))))+0</f>
        <v>1570</v>
      </c>
      <c r="F103" s="1530" t="s">
        <v>1106</v>
      </c>
      <c r="G103" s="1530"/>
      <c r="H103" s="1529" t="n">
        <v>360.61</v>
      </c>
      <c r="I103" s="1529" t="n">
        <v>1352.28</v>
      </c>
      <c r="J103" s="1529" t="n">
        <v>575</v>
      </c>
      <c r="K103" s="1529" t="n">
        <v>8500</v>
      </c>
      <c r="L103" s="1526" t="n">
        <v>0.0147</v>
      </c>
      <c r="M103" s="1526" t="n">
        <v>0.05512</v>
      </c>
      <c r="N103" s="1531" t="n">
        <v>4</v>
      </c>
      <c r="O103" s="1529" t="n">
        <v>0</v>
      </c>
      <c r="T103" s="1528" t="n">
        <v>157</v>
      </c>
      <c r="U103" s="1528" t="s">
        <v>1106</v>
      </c>
      <c r="V103" s="1515" t="str">
        <f aca="false">MID(E103,LEN(E103),1)</f>
        <v>0</v>
      </c>
      <c r="W103" s="1515" t="s">
        <v>1105</v>
      </c>
    </row>
    <row r="104" s="1515" customFormat="true" ht="14.25" hidden="false" customHeight="false" outlineLevel="0" collapsed="false">
      <c r="B104" s="1515" t="n">
        <v>2025</v>
      </c>
      <c r="C104" s="1529" t="n">
        <v>157</v>
      </c>
      <c r="D104" s="359" t="n">
        <v>0</v>
      </c>
      <c r="E104" s="1524" t="n">
        <f aca="false">CONCATENATE(C104,IF(O104=19,9,IF(O104=6,6,IF(O104=4,4,0))))+0</f>
        <v>1574</v>
      </c>
      <c r="F104" s="1530" t="s">
        <v>1106</v>
      </c>
      <c r="G104" s="1530"/>
      <c r="H104" s="1529" t="n">
        <v>0</v>
      </c>
      <c r="I104" s="1529" t="n">
        <v>36060.73</v>
      </c>
      <c r="J104" s="1529" t="n">
        <v>0</v>
      </c>
      <c r="K104" s="1529" t="n">
        <v>80000</v>
      </c>
      <c r="L104" s="1526" t="n">
        <v>0</v>
      </c>
      <c r="M104" s="1526" t="n">
        <v>1.46978</v>
      </c>
      <c r="N104" s="1531" t="n">
        <v>4</v>
      </c>
      <c r="O104" s="1529" t="n">
        <v>4</v>
      </c>
      <c r="T104" s="1528" t="n">
        <v>157</v>
      </c>
      <c r="U104" s="1528" t="s">
        <v>1107</v>
      </c>
      <c r="V104" s="1515" t="str">
        <f aca="false">MID(E104,LEN(E104),1)</f>
        <v>4</v>
      </c>
      <c r="W104" s="1515" t="s">
        <v>1102</v>
      </c>
    </row>
    <row r="105" s="1515" customFormat="true" ht="14.25" hidden="false" customHeight="false" outlineLevel="0" collapsed="false">
      <c r="B105" s="1515" t="n">
        <v>2025</v>
      </c>
      <c r="C105" s="1529" t="n">
        <v>157</v>
      </c>
      <c r="D105" s="359" t="n">
        <v>0</v>
      </c>
      <c r="E105" s="1524" t="n">
        <f aca="false">CONCATENATE(C105,IF(O105=19,9,IF(O105=6,6,IF(O105=4,4,0))))+0</f>
        <v>1579</v>
      </c>
      <c r="F105" s="1530" t="s">
        <v>1106</v>
      </c>
      <c r="G105" s="1530"/>
      <c r="H105" s="1529" t="n">
        <v>0</v>
      </c>
      <c r="I105" s="1529" t="n">
        <v>36060.73</v>
      </c>
      <c r="J105" s="1529" t="n">
        <v>0</v>
      </c>
      <c r="K105" s="1529" t="n">
        <v>80000</v>
      </c>
      <c r="L105" s="1526" t="n">
        <v>0</v>
      </c>
      <c r="M105" s="1526" t="n">
        <v>1.46978</v>
      </c>
      <c r="N105" s="1531" t="n">
        <v>4</v>
      </c>
      <c r="O105" s="1529" t="n">
        <v>19</v>
      </c>
      <c r="T105" s="1528" t="n">
        <v>157</v>
      </c>
      <c r="U105" s="1528" t="s">
        <v>1108</v>
      </c>
      <c r="V105" s="1515" t="str">
        <f aca="false">MID(E105,LEN(E105),1)</f>
        <v>9</v>
      </c>
      <c r="W105" s="1515" t="s">
        <v>1109</v>
      </c>
    </row>
    <row r="106" s="1515" customFormat="true" ht="14.25" hidden="false" customHeight="false" outlineLevel="0" collapsed="false">
      <c r="B106" s="1515" t="n">
        <v>2025</v>
      </c>
      <c r="C106" s="1529" t="n">
        <v>158</v>
      </c>
      <c r="D106" s="359" t="n">
        <v>0</v>
      </c>
      <c r="E106" s="1524" t="n">
        <f aca="false">CONCATENATE(C106,IF(O106=19,9,IF(O106=6,6,IF(O106=4,4,0))))+0</f>
        <v>1580</v>
      </c>
      <c r="F106" s="1530" t="s">
        <v>1110</v>
      </c>
      <c r="G106" s="1530"/>
      <c r="H106" s="1529" t="n">
        <v>360.61</v>
      </c>
      <c r="I106" s="1529" t="n">
        <v>1352.28</v>
      </c>
      <c r="J106" s="1529" t="n">
        <v>575</v>
      </c>
      <c r="K106" s="1529" t="n">
        <v>5200</v>
      </c>
      <c r="L106" s="1526" t="n">
        <v>0.0147</v>
      </c>
      <c r="M106" s="1526" t="n">
        <v>0.05512</v>
      </c>
      <c r="N106" s="1531" t="n">
        <v>4</v>
      </c>
      <c r="O106" s="1529" t="n">
        <v>0</v>
      </c>
      <c r="T106" s="1528" t="n">
        <v>158</v>
      </c>
      <c r="U106" s="1528" t="s">
        <v>1110</v>
      </c>
      <c r="V106" s="1515" t="str">
        <f aca="false">MID(E106,LEN(E106),1)</f>
        <v>0</v>
      </c>
      <c r="W106" s="1515" t="s">
        <v>1109</v>
      </c>
    </row>
    <row r="107" s="1515" customFormat="true" ht="14.25" hidden="false" customHeight="false" outlineLevel="0" collapsed="false">
      <c r="B107" s="1515" t="n">
        <v>2025</v>
      </c>
      <c r="C107" s="1529" t="n">
        <v>158</v>
      </c>
      <c r="D107" s="359" t="n">
        <v>0</v>
      </c>
      <c r="E107" s="1524" t="n">
        <f aca="false">CONCATENATE(C107,IF(O107=19,9,IF(O107=6,6,IF(O107=4,4,0))))+0</f>
        <v>1584</v>
      </c>
      <c r="F107" s="1530" t="s">
        <v>1110</v>
      </c>
      <c r="G107" s="1530"/>
      <c r="H107" s="1529" t="n">
        <v>0</v>
      </c>
      <c r="I107" s="1529" t="n">
        <v>36060.73</v>
      </c>
      <c r="J107" s="1529" t="n">
        <v>0</v>
      </c>
      <c r="K107" s="1529" t="n">
        <v>80000</v>
      </c>
      <c r="L107" s="1526" t="n">
        <v>0</v>
      </c>
      <c r="M107" s="1526" t="n">
        <v>1.46978</v>
      </c>
      <c r="N107" s="1531" t="n">
        <v>4</v>
      </c>
      <c r="O107" s="1529" t="n">
        <v>4</v>
      </c>
      <c r="T107" s="1528" t="n">
        <v>158</v>
      </c>
      <c r="U107" s="1528" t="s">
        <v>1111</v>
      </c>
      <c r="V107" s="1515" t="str">
        <f aca="false">MID(E107,LEN(E107),1)</f>
        <v>4</v>
      </c>
      <c r="W107" s="1515" t="s">
        <v>1106</v>
      </c>
    </row>
    <row r="108" s="1515" customFormat="true" ht="14.25" hidden="false" customHeight="false" outlineLevel="0" collapsed="false">
      <c r="B108" s="1515" t="n">
        <v>2025</v>
      </c>
      <c r="C108" s="1529" t="n">
        <v>158</v>
      </c>
      <c r="D108" s="359" t="n">
        <v>0</v>
      </c>
      <c r="E108" s="1524" t="n">
        <f aca="false">CONCATENATE(C108,IF(O108=19,9,IF(O108=6,6,IF(O108=4,4,0))))+0</f>
        <v>1589</v>
      </c>
      <c r="F108" s="1530" t="s">
        <v>1110</v>
      </c>
      <c r="G108" s="1530"/>
      <c r="H108" s="1529" t="n">
        <v>0</v>
      </c>
      <c r="I108" s="1529" t="n">
        <v>36060.73</v>
      </c>
      <c r="J108" s="1529" t="n">
        <v>0</v>
      </c>
      <c r="K108" s="1529" t="n">
        <v>80000</v>
      </c>
      <c r="L108" s="1526" t="n">
        <v>0</v>
      </c>
      <c r="M108" s="1526" t="n">
        <v>1.46978</v>
      </c>
      <c r="N108" s="1531" t="n">
        <v>4</v>
      </c>
      <c r="O108" s="1529" t="n">
        <v>19</v>
      </c>
      <c r="T108" s="1528" t="n">
        <v>158</v>
      </c>
      <c r="U108" s="1528" t="s">
        <v>1112</v>
      </c>
      <c r="V108" s="1515" t="str">
        <f aca="false">MID(E108,LEN(E108),1)</f>
        <v>9</v>
      </c>
      <c r="W108" s="1515" t="s">
        <v>1113</v>
      </c>
    </row>
    <row r="109" s="1515" customFormat="true" ht="14.25" hidden="false" customHeight="false" outlineLevel="0" collapsed="false">
      <c r="B109" s="1515" t="n">
        <v>2025</v>
      </c>
      <c r="C109" s="1529" t="n">
        <v>159</v>
      </c>
      <c r="D109" s="359" t="n">
        <v>0</v>
      </c>
      <c r="E109" s="1524" t="n">
        <f aca="false">CONCATENATE(C109,IF(O109=19,9,IF(O109=6,6,IF(O109=4,4,0))))+0</f>
        <v>1590</v>
      </c>
      <c r="F109" s="1530" t="s">
        <v>1114</v>
      </c>
      <c r="G109" s="1530"/>
      <c r="H109" s="1529" t="n">
        <v>360.61</v>
      </c>
      <c r="I109" s="1529" t="n">
        <v>1352.28</v>
      </c>
      <c r="J109" s="1529" t="n">
        <v>575</v>
      </c>
      <c r="K109" s="1529" t="n">
        <v>5200</v>
      </c>
      <c r="L109" s="1526" t="n">
        <v>0.0147</v>
      </c>
      <c r="M109" s="1526" t="n">
        <v>0.05512</v>
      </c>
      <c r="N109" s="1531" t="n">
        <v>4</v>
      </c>
      <c r="O109" s="1529" t="n">
        <v>0</v>
      </c>
      <c r="T109" s="1528" t="n">
        <v>159</v>
      </c>
      <c r="U109" s="1528" t="s">
        <v>1114</v>
      </c>
      <c r="V109" s="1515" t="str">
        <f aca="false">MID(E109,LEN(E109),1)</f>
        <v>0</v>
      </c>
      <c r="W109" s="1515" t="s">
        <v>1113</v>
      </c>
    </row>
    <row r="110" s="1515" customFormat="true" ht="14.25" hidden="false" customHeight="false" outlineLevel="0" collapsed="false">
      <c r="B110" s="1515" t="n">
        <v>2025</v>
      </c>
      <c r="C110" s="1529" t="n">
        <v>159</v>
      </c>
      <c r="D110" s="359" t="n">
        <v>0</v>
      </c>
      <c r="E110" s="1524" t="n">
        <f aca="false">CONCATENATE(C110,IF(O110=19,9,IF(O110=6,6,IF(O110=4,4,0))))+0</f>
        <v>1594</v>
      </c>
      <c r="F110" s="1530" t="s">
        <v>1114</v>
      </c>
      <c r="G110" s="1530"/>
      <c r="H110" s="1529" t="n">
        <v>0</v>
      </c>
      <c r="I110" s="1529" t="n">
        <v>36060.73</v>
      </c>
      <c r="J110" s="1529" t="n">
        <v>0</v>
      </c>
      <c r="K110" s="1529" t="n">
        <v>80000</v>
      </c>
      <c r="L110" s="1526" t="n">
        <v>0</v>
      </c>
      <c r="M110" s="1526" t="n">
        <v>1.46978</v>
      </c>
      <c r="N110" s="1531" t="n">
        <v>4</v>
      </c>
      <c r="O110" s="1529" t="n">
        <v>4</v>
      </c>
      <c r="T110" s="1528" t="n">
        <v>159</v>
      </c>
      <c r="U110" s="1528" t="s">
        <v>1115</v>
      </c>
      <c r="V110" s="1515" t="str">
        <f aca="false">MID(E110,LEN(E110),1)</f>
        <v>4</v>
      </c>
      <c r="W110" s="1515" t="s">
        <v>1110</v>
      </c>
    </row>
    <row r="111" s="1515" customFormat="true" ht="14.25" hidden="false" customHeight="false" outlineLevel="0" collapsed="false">
      <c r="B111" s="1515" t="n">
        <v>2025</v>
      </c>
      <c r="C111" s="1529" t="n">
        <v>159</v>
      </c>
      <c r="D111" s="359" t="n">
        <v>0</v>
      </c>
      <c r="E111" s="1524" t="n">
        <f aca="false">CONCATENATE(C111,IF(O111=19,9,IF(O111=6,6,IF(O111=4,4,0))))+0</f>
        <v>1599</v>
      </c>
      <c r="F111" s="1530" t="s">
        <v>1114</v>
      </c>
      <c r="G111" s="1530"/>
      <c r="H111" s="1529" t="n">
        <v>0</v>
      </c>
      <c r="I111" s="1529" t="n">
        <v>36060.73</v>
      </c>
      <c r="J111" s="1529" t="n">
        <v>0</v>
      </c>
      <c r="K111" s="1529" t="n">
        <v>80000</v>
      </c>
      <c r="L111" s="1526" t="n">
        <v>0</v>
      </c>
      <c r="M111" s="1526" t="n">
        <v>1.46978</v>
      </c>
      <c r="N111" s="1531" t="n">
        <v>4</v>
      </c>
      <c r="O111" s="1529" t="n">
        <v>19</v>
      </c>
      <c r="T111" s="1528" t="n">
        <v>159</v>
      </c>
      <c r="U111" s="1528" t="s">
        <v>1116</v>
      </c>
      <c r="V111" s="1515" t="str">
        <f aca="false">MID(E111,LEN(E111),1)</f>
        <v>9</v>
      </c>
      <c r="W111" s="1515" t="s">
        <v>1117</v>
      </c>
    </row>
    <row r="112" s="1515" customFormat="true" ht="14.25" hidden="false" customHeight="false" outlineLevel="0" collapsed="false">
      <c r="B112" s="1515" t="n">
        <v>2025</v>
      </c>
      <c r="C112" s="1529" t="n">
        <v>160</v>
      </c>
      <c r="D112" s="359" t="n">
        <v>0</v>
      </c>
      <c r="E112" s="1524" t="n">
        <f aca="false">CONCATENATE(C112,IF(O112=19,9,IF(O112=6,6,IF(O112=4,4,0))))+0</f>
        <v>1600</v>
      </c>
      <c r="F112" s="1530" t="s">
        <v>1118</v>
      </c>
      <c r="G112" s="1530"/>
      <c r="H112" s="1529" t="n">
        <v>360.61</v>
      </c>
      <c r="I112" s="1529" t="n">
        <v>1352.28</v>
      </c>
      <c r="J112" s="1529" t="n">
        <v>575</v>
      </c>
      <c r="K112" s="1529" t="n">
        <v>5200</v>
      </c>
      <c r="L112" s="1526" t="n">
        <v>0.0147</v>
      </c>
      <c r="M112" s="1526" t="n">
        <v>0.05512</v>
      </c>
      <c r="N112" s="1531" t="n">
        <v>4</v>
      </c>
      <c r="O112" s="1529" t="n">
        <v>0</v>
      </c>
      <c r="T112" s="1528" t="n">
        <v>160</v>
      </c>
      <c r="U112" s="1528" t="s">
        <v>1118</v>
      </c>
      <c r="V112" s="1515" t="str">
        <f aca="false">MID(E112,LEN(E112),1)</f>
        <v>0</v>
      </c>
      <c r="W112" s="1515" t="s">
        <v>1117</v>
      </c>
    </row>
    <row r="113" s="1515" customFormat="true" ht="14.25" hidden="false" customHeight="false" outlineLevel="0" collapsed="false">
      <c r="B113" s="1515" t="n">
        <v>2025</v>
      </c>
      <c r="C113" s="1529" t="n">
        <v>160</v>
      </c>
      <c r="D113" s="359" t="n">
        <v>0</v>
      </c>
      <c r="E113" s="1524" t="n">
        <f aca="false">CONCATENATE(C113,IF(O113=19,9,IF(O113=6,6,IF(O113=4,4,0))))+0</f>
        <v>1604</v>
      </c>
      <c r="F113" s="1530" t="s">
        <v>1118</v>
      </c>
      <c r="G113" s="1530"/>
      <c r="H113" s="1529" t="n">
        <v>0</v>
      </c>
      <c r="I113" s="1529" t="n">
        <v>36060.73</v>
      </c>
      <c r="J113" s="1529" t="n">
        <v>0</v>
      </c>
      <c r="K113" s="1529" t="n">
        <v>80000</v>
      </c>
      <c r="L113" s="1526" t="n">
        <v>0</v>
      </c>
      <c r="M113" s="1526" t="n">
        <v>1.46978</v>
      </c>
      <c r="N113" s="1531" t="n">
        <v>4</v>
      </c>
      <c r="O113" s="1529" t="n">
        <v>4</v>
      </c>
      <c r="T113" s="1528" t="n">
        <v>160</v>
      </c>
      <c r="U113" s="1528" t="s">
        <v>1119</v>
      </c>
      <c r="V113" s="1515" t="str">
        <f aca="false">MID(E113,LEN(E113),1)</f>
        <v>4</v>
      </c>
      <c r="W113" s="1515" t="s">
        <v>1114</v>
      </c>
    </row>
    <row r="114" s="1515" customFormat="true" ht="14.25" hidden="false" customHeight="false" outlineLevel="0" collapsed="false">
      <c r="B114" s="1515" t="n">
        <v>2025</v>
      </c>
      <c r="C114" s="1529" t="n">
        <v>160</v>
      </c>
      <c r="D114" s="359" t="n">
        <v>0</v>
      </c>
      <c r="E114" s="1524" t="n">
        <f aca="false">CONCATENATE(C114,IF(O114=19,9,IF(O114=6,6,IF(O114=4,4,0))))+0</f>
        <v>1609</v>
      </c>
      <c r="F114" s="1530" t="s">
        <v>1118</v>
      </c>
      <c r="G114" s="1530"/>
      <c r="H114" s="1529" t="n">
        <v>0</v>
      </c>
      <c r="I114" s="1529" t="n">
        <v>36060.73</v>
      </c>
      <c r="J114" s="1529" t="n">
        <v>0</v>
      </c>
      <c r="K114" s="1529" t="n">
        <v>80000</v>
      </c>
      <c r="L114" s="1526" t="n">
        <v>0</v>
      </c>
      <c r="M114" s="1526" t="n">
        <v>1.46978</v>
      </c>
      <c r="N114" s="1531" t="n">
        <v>4</v>
      </c>
      <c r="O114" s="1529" t="n">
        <v>19</v>
      </c>
      <c r="T114" s="1528" t="n">
        <v>160</v>
      </c>
      <c r="U114" s="1528" t="s">
        <v>1120</v>
      </c>
      <c r="V114" s="1515" t="str">
        <f aca="false">MID(E114,LEN(E114),1)</f>
        <v>9</v>
      </c>
      <c r="W114" s="1515" t="s">
        <v>1121</v>
      </c>
    </row>
    <row r="115" s="1515" customFormat="true" ht="14.25" hidden="false" customHeight="false" outlineLevel="0" collapsed="false">
      <c r="B115" s="1515" t="n">
        <v>2025</v>
      </c>
      <c r="C115" s="1529" t="n">
        <v>162</v>
      </c>
      <c r="D115" s="359" t="n">
        <v>0</v>
      </c>
      <c r="E115" s="1524" t="n">
        <f aca="false">CONCATENATE(C115,IF(O115=19,9,IF(O115=6,6,IF(O115=4,4,0))))+0</f>
        <v>1620</v>
      </c>
      <c r="F115" s="1530" t="s">
        <v>1122</v>
      </c>
      <c r="G115" s="1530"/>
      <c r="H115" s="1529" t="n">
        <v>360.61</v>
      </c>
      <c r="I115" s="1529" t="n">
        <v>1352.28</v>
      </c>
      <c r="J115" s="1529" t="n">
        <v>575</v>
      </c>
      <c r="K115" s="1529" t="n">
        <v>7200</v>
      </c>
      <c r="L115" s="1526" t="n">
        <v>0.0147</v>
      </c>
      <c r="M115" s="1526" t="n">
        <v>0.05512</v>
      </c>
      <c r="N115" s="1531" t="n">
        <v>4</v>
      </c>
      <c r="O115" s="1529" t="n">
        <v>0</v>
      </c>
      <c r="T115" s="1528" t="n">
        <v>162</v>
      </c>
      <c r="U115" s="1528" t="s">
        <v>1122</v>
      </c>
      <c r="V115" s="1515" t="str">
        <f aca="false">MID(E115,LEN(E115),1)</f>
        <v>0</v>
      </c>
      <c r="W115" s="1515" t="s">
        <v>1121</v>
      </c>
    </row>
    <row r="116" s="1515" customFormat="true" ht="14.25" hidden="false" customHeight="false" outlineLevel="0" collapsed="false">
      <c r="B116" s="1515" t="n">
        <v>2025</v>
      </c>
      <c r="C116" s="1529" t="n">
        <v>162</v>
      </c>
      <c r="D116" s="359" t="n">
        <v>0</v>
      </c>
      <c r="E116" s="1524" t="n">
        <f aca="false">CONCATENATE(C116,IF(O116=19,9,IF(O116=6,6,IF(O116=4,4,0))))+0</f>
        <v>1624</v>
      </c>
      <c r="F116" s="1530" t="s">
        <v>1122</v>
      </c>
      <c r="G116" s="1530"/>
      <c r="H116" s="1529" t="n">
        <v>0</v>
      </c>
      <c r="I116" s="1529" t="n">
        <v>36060.73</v>
      </c>
      <c r="J116" s="1529" t="n">
        <v>0</v>
      </c>
      <c r="K116" s="1529" t="n">
        <v>80000</v>
      </c>
      <c r="L116" s="1526" t="n">
        <v>0</v>
      </c>
      <c r="M116" s="1526" t="n">
        <v>1.46978</v>
      </c>
      <c r="N116" s="1531" t="n">
        <v>4</v>
      </c>
      <c r="O116" s="1529" t="n">
        <v>4</v>
      </c>
      <c r="T116" s="1528" t="n">
        <v>162</v>
      </c>
      <c r="U116" s="1528" t="s">
        <v>1123</v>
      </c>
      <c r="V116" s="1515" t="str">
        <f aca="false">MID(E116,LEN(E116),1)</f>
        <v>4</v>
      </c>
      <c r="W116" s="1515" t="s">
        <v>1118</v>
      </c>
    </row>
    <row r="117" s="1515" customFormat="true" ht="14.25" hidden="false" customHeight="false" outlineLevel="0" collapsed="false">
      <c r="B117" s="1515" t="n">
        <v>2025</v>
      </c>
      <c r="C117" s="1529" t="n">
        <v>162</v>
      </c>
      <c r="D117" s="359" t="n">
        <v>0</v>
      </c>
      <c r="E117" s="1524" t="n">
        <f aca="false">CONCATENATE(C117,IF(O117=19,9,IF(O117=6,6,IF(O117=4,4,0))))+0</f>
        <v>1629</v>
      </c>
      <c r="F117" s="1530" t="s">
        <v>1122</v>
      </c>
      <c r="G117" s="1530"/>
      <c r="H117" s="1529" t="n">
        <v>0</v>
      </c>
      <c r="I117" s="1529" t="n">
        <v>36060.73</v>
      </c>
      <c r="J117" s="1529" t="n">
        <v>0</v>
      </c>
      <c r="K117" s="1529" t="n">
        <v>80000</v>
      </c>
      <c r="L117" s="1526" t="n">
        <v>0</v>
      </c>
      <c r="M117" s="1526" t="n">
        <v>1.46978</v>
      </c>
      <c r="N117" s="1531" t="n">
        <v>4</v>
      </c>
      <c r="O117" s="1529" t="n">
        <v>19</v>
      </c>
      <c r="T117" s="1528" t="n">
        <v>162</v>
      </c>
      <c r="U117" s="1528" t="s">
        <v>1124</v>
      </c>
      <c r="V117" s="1515" t="str">
        <f aca="false">MID(E117,LEN(E117),1)</f>
        <v>9</v>
      </c>
      <c r="W117" s="1515" t="s">
        <v>1125</v>
      </c>
    </row>
    <row r="118" s="1515" customFormat="true" ht="14.25" hidden="false" customHeight="false" outlineLevel="0" collapsed="false">
      <c r="B118" s="1515" t="n">
        <v>2025</v>
      </c>
      <c r="C118" s="1529" t="n">
        <v>163</v>
      </c>
      <c r="D118" s="359" t="n">
        <v>0</v>
      </c>
      <c r="E118" s="1524" t="n">
        <f aca="false">CONCATENATE(C118,IF(O118=19,9,IF(O118=6,6,IF(O118=4,4,0))))+0</f>
        <v>1630</v>
      </c>
      <c r="F118" s="1530" t="s">
        <v>1126</v>
      </c>
      <c r="G118" s="1530"/>
      <c r="H118" s="1529" t="n">
        <v>360.61</v>
      </c>
      <c r="I118" s="1529" t="n">
        <v>1352.28</v>
      </c>
      <c r="J118" s="1529" t="n">
        <v>575</v>
      </c>
      <c r="K118" s="1529" t="n">
        <v>8200</v>
      </c>
      <c r="L118" s="1526" t="n">
        <v>0.0147</v>
      </c>
      <c r="M118" s="1526" t="n">
        <v>0.05512</v>
      </c>
      <c r="N118" s="1531" t="n">
        <v>4</v>
      </c>
      <c r="O118" s="1529" t="n">
        <v>0</v>
      </c>
      <c r="T118" s="1528" t="n">
        <v>163</v>
      </c>
      <c r="U118" s="1528" t="s">
        <v>1126</v>
      </c>
      <c r="V118" s="1515" t="str">
        <f aca="false">MID(E118,LEN(E118),1)</f>
        <v>0</v>
      </c>
      <c r="W118" s="1515" t="s">
        <v>1125</v>
      </c>
    </row>
    <row r="119" s="1515" customFormat="true" ht="14.25" hidden="false" customHeight="false" outlineLevel="0" collapsed="false">
      <c r="B119" s="1515" t="n">
        <v>2025</v>
      </c>
      <c r="C119" s="1529" t="n">
        <v>163</v>
      </c>
      <c r="D119" s="359" t="n">
        <v>0</v>
      </c>
      <c r="E119" s="1524" t="n">
        <f aca="false">CONCATENATE(C119,IF(O119=19,9,IF(O119=6,6,IF(O119=4,4,0))))+0</f>
        <v>1634</v>
      </c>
      <c r="F119" s="1530" t="s">
        <v>1126</v>
      </c>
      <c r="G119" s="1530"/>
      <c r="H119" s="1529" t="n">
        <v>0</v>
      </c>
      <c r="I119" s="1529" t="n">
        <v>36060.73</v>
      </c>
      <c r="J119" s="1529" t="n">
        <v>0</v>
      </c>
      <c r="K119" s="1529" t="n">
        <v>80000</v>
      </c>
      <c r="L119" s="1526" t="n">
        <v>0</v>
      </c>
      <c r="M119" s="1526" t="n">
        <v>1.46978</v>
      </c>
      <c r="N119" s="1531" t="n">
        <v>4</v>
      </c>
      <c r="O119" s="1529" t="n">
        <v>4</v>
      </c>
      <c r="T119" s="1528" t="n">
        <v>163</v>
      </c>
      <c r="U119" s="1528" t="s">
        <v>1127</v>
      </c>
      <c r="V119" s="1515" t="str">
        <f aca="false">MID(E119,LEN(E119),1)</f>
        <v>4</v>
      </c>
      <c r="W119" s="1515" t="s">
        <v>1122</v>
      </c>
    </row>
    <row r="120" s="1515" customFormat="true" ht="14.25" hidden="false" customHeight="false" outlineLevel="0" collapsed="false">
      <c r="B120" s="1515" t="n">
        <v>2025</v>
      </c>
      <c r="C120" s="1529" t="n">
        <v>163</v>
      </c>
      <c r="D120" s="359" t="n">
        <v>0</v>
      </c>
      <c r="E120" s="1524" t="n">
        <f aca="false">CONCATENATE(C120,IF(O120=19,9,IF(O120=6,6,IF(O120=4,4,0))))+0</f>
        <v>1639</v>
      </c>
      <c r="F120" s="1530" t="s">
        <v>1126</v>
      </c>
      <c r="G120" s="1530"/>
      <c r="H120" s="1529" t="n">
        <v>0</v>
      </c>
      <c r="I120" s="1529" t="n">
        <v>36060.73</v>
      </c>
      <c r="J120" s="1529" t="n">
        <v>0</v>
      </c>
      <c r="K120" s="1529" t="n">
        <v>80000</v>
      </c>
      <c r="L120" s="1526" t="n">
        <v>0</v>
      </c>
      <c r="M120" s="1526" t="n">
        <v>1.46978</v>
      </c>
      <c r="N120" s="1531" t="n">
        <v>4</v>
      </c>
      <c r="O120" s="1529" t="n">
        <v>19</v>
      </c>
      <c r="T120" s="1528" t="n">
        <v>163</v>
      </c>
      <c r="U120" s="1528" t="s">
        <v>1128</v>
      </c>
      <c r="V120" s="1515" t="str">
        <f aca="false">MID(E120,LEN(E120),1)</f>
        <v>9</v>
      </c>
      <c r="W120" s="1515" t="s">
        <v>1129</v>
      </c>
    </row>
    <row r="121" s="1515" customFormat="true" ht="14.25" hidden="false" customHeight="false" outlineLevel="0" collapsed="false">
      <c r="B121" s="1515" t="n">
        <v>2025</v>
      </c>
      <c r="C121" s="1529" t="n">
        <v>164</v>
      </c>
      <c r="D121" s="359" t="n">
        <v>0</v>
      </c>
      <c r="E121" s="1524" t="n">
        <f aca="false">CONCATENATE(C121,IF(O121=19,9,IF(O121=6,6,IF(O121=4,4,0))))+0</f>
        <v>1640</v>
      </c>
      <c r="F121" s="1530" t="s">
        <v>1130</v>
      </c>
      <c r="G121" s="1530"/>
      <c r="H121" s="1529" t="n">
        <v>360.61</v>
      </c>
      <c r="I121" s="1529" t="n">
        <v>1352.28</v>
      </c>
      <c r="J121" s="1529" t="n">
        <v>575</v>
      </c>
      <c r="K121" s="1529" t="n">
        <v>10500</v>
      </c>
      <c r="L121" s="1526" t="n">
        <v>0.0147</v>
      </c>
      <c r="M121" s="1526" t="n">
        <v>0.05512</v>
      </c>
      <c r="N121" s="1531" t="n">
        <v>4</v>
      </c>
      <c r="O121" s="1529" t="n">
        <v>0</v>
      </c>
      <c r="T121" s="1528" t="n">
        <v>164</v>
      </c>
      <c r="U121" s="1528" t="s">
        <v>1130</v>
      </c>
      <c r="V121" s="1515" t="str">
        <f aca="false">MID(E121,LEN(E121),1)</f>
        <v>0</v>
      </c>
      <c r="W121" s="1515" t="s">
        <v>1129</v>
      </c>
    </row>
    <row r="122" s="1515" customFormat="true" ht="14.25" hidden="false" customHeight="false" outlineLevel="0" collapsed="false">
      <c r="B122" s="1515" t="n">
        <v>2025</v>
      </c>
      <c r="C122" s="1529" t="n">
        <v>164</v>
      </c>
      <c r="D122" s="359" t="n">
        <v>0</v>
      </c>
      <c r="E122" s="1524" t="n">
        <f aca="false">CONCATENATE(C122,IF(O122=19,9,IF(O122=6,6,IF(O122=4,4,0))))+0</f>
        <v>1644</v>
      </c>
      <c r="F122" s="1530" t="s">
        <v>1130</v>
      </c>
      <c r="G122" s="1530"/>
      <c r="H122" s="1529" t="n">
        <v>0</v>
      </c>
      <c r="I122" s="1529" t="n">
        <v>36060.73</v>
      </c>
      <c r="J122" s="1529" t="n">
        <v>0</v>
      </c>
      <c r="K122" s="1529" t="n">
        <v>80000</v>
      </c>
      <c r="L122" s="1526" t="n">
        <v>0</v>
      </c>
      <c r="M122" s="1526" t="n">
        <v>1.46978</v>
      </c>
      <c r="N122" s="1531" t="n">
        <v>4</v>
      </c>
      <c r="O122" s="1529" t="n">
        <v>4</v>
      </c>
      <c r="T122" s="1528" t="n">
        <v>164</v>
      </c>
      <c r="U122" s="1528" t="s">
        <v>1131</v>
      </c>
      <c r="V122" s="1515" t="str">
        <f aca="false">MID(E122,LEN(E122),1)</f>
        <v>4</v>
      </c>
      <c r="W122" s="1515" t="s">
        <v>1126</v>
      </c>
    </row>
    <row r="123" s="1515" customFormat="true" ht="14.25" hidden="false" customHeight="false" outlineLevel="0" collapsed="false">
      <c r="B123" s="1515" t="n">
        <v>2025</v>
      </c>
      <c r="C123" s="1529" t="n">
        <v>164</v>
      </c>
      <c r="D123" s="359" t="n">
        <v>0</v>
      </c>
      <c r="E123" s="1524" t="n">
        <f aca="false">CONCATENATE(C123,IF(O123=19,9,IF(O123=6,6,IF(O123=4,4,0))))+0</f>
        <v>1649</v>
      </c>
      <c r="F123" s="1530" t="s">
        <v>1130</v>
      </c>
      <c r="G123" s="1530"/>
      <c r="H123" s="1529" t="n">
        <v>0</v>
      </c>
      <c r="I123" s="1529" t="n">
        <v>36060.73</v>
      </c>
      <c r="J123" s="1529" t="n">
        <v>0</v>
      </c>
      <c r="K123" s="1529" t="n">
        <v>80000</v>
      </c>
      <c r="L123" s="1526" t="n">
        <v>0</v>
      </c>
      <c r="M123" s="1526" t="n">
        <v>1.46978</v>
      </c>
      <c r="N123" s="1531" t="n">
        <v>4</v>
      </c>
      <c r="O123" s="1529" t="n">
        <v>19</v>
      </c>
      <c r="T123" s="1528" t="n">
        <v>164</v>
      </c>
      <c r="U123" s="1528" t="s">
        <v>1132</v>
      </c>
      <c r="V123" s="1515" t="str">
        <f aca="false">MID(E123,LEN(E123),1)</f>
        <v>9</v>
      </c>
      <c r="W123" s="1515" t="s">
        <v>1133</v>
      </c>
    </row>
    <row r="124" s="1515" customFormat="true" ht="14.25" hidden="false" customHeight="false" outlineLevel="0" collapsed="false">
      <c r="B124" s="1515" t="n">
        <v>2025</v>
      </c>
      <c r="C124" s="1529" t="n">
        <v>165</v>
      </c>
      <c r="D124" s="359" t="n">
        <v>0</v>
      </c>
      <c r="E124" s="1524" t="n">
        <f aca="false">CONCATENATE(C124,IF(O124=19,9,IF(O124=6,6,IF(O124=4,4,0))))+0</f>
        <v>1650</v>
      </c>
      <c r="F124" s="1530" t="s">
        <v>1134</v>
      </c>
      <c r="G124" s="1530"/>
      <c r="H124" s="1529" t="n">
        <v>360.61</v>
      </c>
      <c r="I124" s="1529" t="n">
        <v>1352.28</v>
      </c>
      <c r="J124" s="1529" t="n">
        <v>575</v>
      </c>
      <c r="K124" s="1529" t="n">
        <v>7000</v>
      </c>
      <c r="L124" s="1526" t="n">
        <v>0.0147</v>
      </c>
      <c r="M124" s="1526" t="n">
        <v>0.05512</v>
      </c>
      <c r="N124" s="1531" t="n">
        <v>4</v>
      </c>
      <c r="O124" s="1529" t="n">
        <v>0</v>
      </c>
      <c r="T124" s="1528" t="n">
        <v>165</v>
      </c>
      <c r="U124" s="1528" t="s">
        <v>1134</v>
      </c>
      <c r="V124" s="1515" t="str">
        <f aca="false">MID(E124,LEN(E124),1)</f>
        <v>0</v>
      </c>
      <c r="W124" s="1515" t="s">
        <v>1133</v>
      </c>
    </row>
    <row r="125" s="1515" customFormat="true" ht="14.25" hidden="false" customHeight="false" outlineLevel="0" collapsed="false">
      <c r="B125" s="1515" t="n">
        <v>2025</v>
      </c>
      <c r="C125" s="1529" t="n">
        <v>165</v>
      </c>
      <c r="D125" s="359" t="n">
        <v>0</v>
      </c>
      <c r="E125" s="1524" t="n">
        <f aca="false">CONCATENATE(C125,IF(O125=19,9,IF(O125=6,6,IF(O125=4,4,0))))+0</f>
        <v>1654</v>
      </c>
      <c r="F125" s="1530" t="s">
        <v>1134</v>
      </c>
      <c r="G125" s="1530"/>
      <c r="H125" s="1529" t="n">
        <v>0</v>
      </c>
      <c r="I125" s="1529" t="n">
        <v>36060.73</v>
      </c>
      <c r="J125" s="1529" t="n">
        <v>0</v>
      </c>
      <c r="K125" s="1529" t="n">
        <v>80000</v>
      </c>
      <c r="L125" s="1526" t="n">
        <v>0</v>
      </c>
      <c r="M125" s="1526" t="n">
        <v>1.46978</v>
      </c>
      <c r="N125" s="1531" t="n">
        <v>4</v>
      </c>
      <c r="O125" s="1529" t="n">
        <v>4</v>
      </c>
      <c r="T125" s="1528" t="n">
        <v>165</v>
      </c>
      <c r="U125" s="1528" t="s">
        <v>1135</v>
      </c>
      <c r="V125" s="1515" t="str">
        <f aca="false">MID(E125,LEN(E125),1)</f>
        <v>4</v>
      </c>
      <c r="W125" s="1515" t="s">
        <v>1130</v>
      </c>
    </row>
    <row r="126" s="1515" customFormat="true" ht="14.25" hidden="false" customHeight="false" outlineLevel="0" collapsed="false">
      <c r="B126" s="1515" t="n">
        <v>2025</v>
      </c>
      <c r="C126" s="1529" t="n">
        <v>165</v>
      </c>
      <c r="D126" s="359" t="n">
        <v>0</v>
      </c>
      <c r="E126" s="1524" t="n">
        <f aca="false">CONCATENATE(C126,IF(O126=19,9,IF(O126=6,6,IF(O126=4,4,0))))+0</f>
        <v>1659</v>
      </c>
      <c r="F126" s="1530" t="s">
        <v>1134</v>
      </c>
      <c r="G126" s="1530"/>
      <c r="H126" s="1529" t="n">
        <v>0</v>
      </c>
      <c r="I126" s="1529" t="n">
        <v>36060.73</v>
      </c>
      <c r="J126" s="1529" t="n">
        <v>0</v>
      </c>
      <c r="K126" s="1529" t="n">
        <v>80000</v>
      </c>
      <c r="L126" s="1526" t="n">
        <v>0</v>
      </c>
      <c r="M126" s="1526" t="n">
        <v>1.46978</v>
      </c>
      <c r="N126" s="1531" t="n">
        <v>4</v>
      </c>
      <c r="O126" s="1529" t="n">
        <v>19</v>
      </c>
      <c r="T126" s="1528" t="n">
        <v>165</v>
      </c>
      <c r="U126" s="1528" t="s">
        <v>1136</v>
      </c>
      <c r="V126" s="1515" t="str">
        <f aca="false">MID(E126,LEN(E126),1)</f>
        <v>9</v>
      </c>
      <c r="W126" s="1515" t="s">
        <v>1137</v>
      </c>
    </row>
    <row r="127" s="1515" customFormat="true" ht="14.25" hidden="false" customHeight="false" outlineLevel="0" collapsed="false">
      <c r="B127" s="1515" t="n">
        <v>2025</v>
      </c>
      <c r="C127" s="1529" t="n">
        <v>166</v>
      </c>
      <c r="D127" s="359" t="n">
        <v>0</v>
      </c>
      <c r="E127" s="1524" t="n">
        <f aca="false">CONCATENATE(C127,IF(O127=19,9,IF(O127=6,6,IF(O127=4,4,0))))+0</f>
        <v>1660</v>
      </c>
      <c r="F127" s="1530" t="s">
        <v>1138</v>
      </c>
      <c r="G127" s="1530"/>
      <c r="H127" s="1529" t="n">
        <v>360.61</v>
      </c>
      <c r="I127" s="1529" t="n">
        <v>1352.28</v>
      </c>
      <c r="J127" s="1529" t="n">
        <v>575</v>
      </c>
      <c r="K127" s="1529" t="n">
        <v>7200</v>
      </c>
      <c r="L127" s="1526" t="n">
        <v>0.0147</v>
      </c>
      <c r="M127" s="1526" t="n">
        <v>0.05512</v>
      </c>
      <c r="N127" s="1531" t="n">
        <v>4</v>
      </c>
      <c r="O127" s="1529" t="n">
        <v>0</v>
      </c>
      <c r="T127" s="1528" t="n">
        <v>166</v>
      </c>
      <c r="U127" s="1528" t="s">
        <v>1138</v>
      </c>
      <c r="V127" s="1515" t="str">
        <f aca="false">MID(E127,LEN(E127),1)</f>
        <v>0</v>
      </c>
      <c r="W127" s="1515" t="s">
        <v>1137</v>
      </c>
    </row>
    <row r="128" s="1515" customFormat="true" ht="14.25" hidden="false" customHeight="false" outlineLevel="0" collapsed="false">
      <c r="B128" s="1515" t="n">
        <v>2025</v>
      </c>
      <c r="C128" s="1529" t="n">
        <v>166</v>
      </c>
      <c r="D128" s="359" t="n">
        <v>0</v>
      </c>
      <c r="E128" s="1524" t="n">
        <f aca="false">CONCATENATE(C128,IF(O128=19,9,IF(O128=6,6,IF(O128=4,4,0))))+0</f>
        <v>1664</v>
      </c>
      <c r="F128" s="1530" t="s">
        <v>1138</v>
      </c>
      <c r="G128" s="1530"/>
      <c r="H128" s="1529" t="n">
        <v>0</v>
      </c>
      <c r="I128" s="1529" t="n">
        <v>36060.73</v>
      </c>
      <c r="J128" s="1529" t="n">
        <v>0</v>
      </c>
      <c r="K128" s="1529" t="n">
        <v>80000</v>
      </c>
      <c r="L128" s="1526" t="n">
        <v>0</v>
      </c>
      <c r="M128" s="1526" t="n">
        <v>1.46978</v>
      </c>
      <c r="N128" s="1531" t="n">
        <v>4</v>
      </c>
      <c r="O128" s="1529" t="n">
        <v>4</v>
      </c>
      <c r="T128" s="1528" t="n">
        <v>166</v>
      </c>
      <c r="U128" s="1528" t="s">
        <v>1139</v>
      </c>
      <c r="V128" s="1515" t="str">
        <f aca="false">MID(E128,LEN(E128),1)</f>
        <v>4</v>
      </c>
      <c r="W128" s="1515" t="s">
        <v>1134</v>
      </c>
    </row>
    <row r="129" s="1515" customFormat="true" ht="14.25" hidden="false" customHeight="false" outlineLevel="0" collapsed="false">
      <c r="B129" s="1515" t="n">
        <v>2025</v>
      </c>
      <c r="C129" s="1529" t="n">
        <v>166</v>
      </c>
      <c r="D129" s="359" t="n">
        <v>0</v>
      </c>
      <c r="E129" s="1524" t="n">
        <f aca="false">CONCATENATE(C129,IF(O129=19,9,IF(O129=6,6,IF(O129=4,4,0))))+0</f>
        <v>1669</v>
      </c>
      <c r="F129" s="1530" t="s">
        <v>1138</v>
      </c>
      <c r="G129" s="1530"/>
      <c r="H129" s="1529" t="n">
        <v>0</v>
      </c>
      <c r="I129" s="1529" t="n">
        <v>36060.73</v>
      </c>
      <c r="J129" s="1529" t="n">
        <v>0</v>
      </c>
      <c r="K129" s="1529" t="n">
        <v>80000</v>
      </c>
      <c r="L129" s="1526" t="n">
        <v>0</v>
      </c>
      <c r="M129" s="1526" t="n">
        <v>1.46978</v>
      </c>
      <c r="N129" s="1531" t="n">
        <v>4</v>
      </c>
      <c r="O129" s="1529" t="n">
        <v>19</v>
      </c>
      <c r="T129" s="1528" t="n">
        <v>166</v>
      </c>
      <c r="U129" s="1528" t="s">
        <v>1140</v>
      </c>
      <c r="V129" s="1515" t="str">
        <f aca="false">MID(E129,LEN(E129),1)</f>
        <v>9</v>
      </c>
      <c r="W129" s="1515" t="s">
        <v>1141</v>
      </c>
    </row>
    <row r="130" s="1515" customFormat="true" ht="14.25" hidden="false" customHeight="false" outlineLevel="0" collapsed="false">
      <c r="B130" s="1515" t="n">
        <v>2025</v>
      </c>
      <c r="C130" s="1529" t="n">
        <v>167</v>
      </c>
      <c r="D130" s="359" t="n">
        <v>0</v>
      </c>
      <c r="E130" s="1524" t="n">
        <f aca="false">CONCATENATE(C130,IF(O130=19,9,IF(O130=6,6,IF(O130=4,4,0))))+0</f>
        <v>1670</v>
      </c>
      <c r="F130" s="1530" t="s">
        <v>1142</v>
      </c>
      <c r="G130" s="1530"/>
      <c r="H130" s="1529" t="n">
        <v>360.61</v>
      </c>
      <c r="I130" s="1529" t="n">
        <v>1352.28</v>
      </c>
      <c r="J130" s="1529" t="n">
        <v>575</v>
      </c>
      <c r="K130" s="1529" t="n">
        <v>7200</v>
      </c>
      <c r="L130" s="1526" t="n">
        <v>0.0147</v>
      </c>
      <c r="M130" s="1526" t="n">
        <v>0.05512</v>
      </c>
      <c r="N130" s="1531" t="n">
        <v>4</v>
      </c>
      <c r="O130" s="1529" t="n">
        <v>0</v>
      </c>
      <c r="T130" s="1528" t="n">
        <v>167</v>
      </c>
      <c r="U130" s="1528" t="s">
        <v>1142</v>
      </c>
      <c r="V130" s="1515" t="str">
        <f aca="false">MID(E130,LEN(E130),1)</f>
        <v>0</v>
      </c>
      <c r="W130" s="1515" t="s">
        <v>1141</v>
      </c>
    </row>
    <row r="131" s="1515" customFormat="true" ht="14.25" hidden="false" customHeight="false" outlineLevel="0" collapsed="false">
      <c r="B131" s="1515" t="n">
        <v>2025</v>
      </c>
      <c r="C131" s="1529" t="n">
        <v>167</v>
      </c>
      <c r="D131" s="359" t="n">
        <v>0</v>
      </c>
      <c r="E131" s="1524" t="n">
        <f aca="false">CONCATENATE(C131,IF(O131=19,9,IF(O131=6,6,IF(O131=4,4,0))))+0</f>
        <v>1674</v>
      </c>
      <c r="F131" s="1530" t="s">
        <v>1142</v>
      </c>
      <c r="G131" s="1530"/>
      <c r="H131" s="1529" t="n">
        <v>0</v>
      </c>
      <c r="I131" s="1529" t="n">
        <v>36060.73</v>
      </c>
      <c r="J131" s="1529" t="n">
        <v>0</v>
      </c>
      <c r="K131" s="1529" t="n">
        <v>80000</v>
      </c>
      <c r="L131" s="1526" t="n">
        <v>0</v>
      </c>
      <c r="M131" s="1526" t="n">
        <v>1.46978</v>
      </c>
      <c r="N131" s="1531" t="n">
        <v>4</v>
      </c>
      <c r="O131" s="1529" t="n">
        <v>4</v>
      </c>
      <c r="T131" s="1528" t="n">
        <v>167</v>
      </c>
      <c r="U131" s="1528" t="s">
        <v>1143</v>
      </c>
      <c r="V131" s="1515" t="str">
        <f aca="false">MID(E131,LEN(E131),1)</f>
        <v>4</v>
      </c>
      <c r="W131" s="1515" t="s">
        <v>1138</v>
      </c>
    </row>
    <row r="132" s="1515" customFormat="true" ht="14.25" hidden="false" customHeight="false" outlineLevel="0" collapsed="false">
      <c r="B132" s="1515" t="n">
        <v>2025</v>
      </c>
      <c r="C132" s="1529" t="n">
        <v>167</v>
      </c>
      <c r="D132" s="359" t="n">
        <v>0</v>
      </c>
      <c r="E132" s="1524" t="n">
        <f aca="false">CONCATENATE(C132,IF(O132=19,9,IF(O132=6,6,IF(O132=4,4,0))))+0</f>
        <v>1679</v>
      </c>
      <c r="F132" s="1530" t="s">
        <v>1142</v>
      </c>
      <c r="G132" s="1530"/>
      <c r="H132" s="1529" t="n">
        <v>0</v>
      </c>
      <c r="I132" s="1529" t="n">
        <v>36060.73</v>
      </c>
      <c r="J132" s="1529" t="n">
        <v>0</v>
      </c>
      <c r="K132" s="1529" t="n">
        <v>80000</v>
      </c>
      <c r="L132" s="1526" t="n">
        <v>0</v>
      </c>
      <c r="M132" s="1526" t="n">
        <v>1.46978</v>
      </c>
      <c r="N132" s="1531" t="n">
        <v>4</v>
      </c>
      <c r="O132" s="1529" t="n">
        <v>19</v>
      </c>
      <c r="T132" s="1528" t="n">
        <v>167</v>
      </c>
      <c r="U132" s="1528" t="s">
        <v>1144</v>
      </c>
      <c r="V132" s="1515" t="str">
        <f aca="false">MID(E132,LEN(E132),1)</f>
        <v>9</v>
      </c>
      <c r="W132" s="1515" t="s">
        <v>1145</v>
      </c>
    </row>
    <row r="133" s="1515" customFormat="true" ht="14.25" hidden="false" customHeight="false" outlineLevel="0" collapsed="false">
      <c r="B133" s="1515" t="n">
        <v>2025</v>
      </c>
      <c r="C133" s="1529" t="n">
        <v>168</v>
      </c>
      <c r="D133" s="359" t="n">
        <v>0</v>
      </c>
      <c r="E133" s="1524" t="n">
        <f aca="false">CONCATENATE(C133,IF(O133=19,9,IF(O133=6,6,IF(O133=4,4,0))))+0</f>
        <v>1680</v>
      </c>
      <c r="F133" s="1530" t="s">
        <v>1146</v>
      </c>
      <c r="G133" s="1530"/>
      <c r="H133" s="1529" t="n">
        <v>360.61</v>
      </c>
      <c r="I133" s="1529" t="n">
        <v>1352.28</v>
      </c>
      <c r="J133" s="1529" t="n">
        <v>575</v>
      </c>
      <c r="K133" s="1529" t="n">
        <v>5200</v>
      </c>
      <c r="L133" s="1526" t="n">
        <v>0.0147</v>
      </c>
      <c r="M133" s="1526" t="n">
        <v>0.05512</v>
      </c>
      <c r="N133" s="1531" t="n">
        <v>4</v>
      </c>
      <c r="O133" s="1529" t="n">
        <v>0</v>
      </c>
      <c r="T133" s="1528" t="n">
        <v>168</v>
      </c>
      <c r="U133" s="1528" t="s">
        <v>1146</v>
      </c>
      <c r="V133" s="1515" t="str">
        <f aca="false">MID(E133,LEN(E133),1)</f>
        <v>0</v>
      </c>
      <c r="W133" s="1515" t="s">
        <v>1145</v>
      </c>
    </row>
    <row r="134" s="1515" customFormat="true" ht="14.25" hidden="false" customHeight="false" outlineLevel="0" collapsed="false">
      <c r="B134" s="1515" t="n">
        <v>2025</v>
      </c>
      <c r="C134" s="1529" t="n">
        <v>168</v>
      </c>
      <c r="D134" s="359" t="n">
        <v>0</v>
      </c>
      <c r="E134" s="1524" t="n">
        <f aca="false">CONCATENATE(C134,IF(O134=19,9,IF(O134=6,6,IF(O134=4,4,0))))+0</f>
        <v>1684</v>
      </c>
      <c r="F134" s="1530" t="s">
        <v>1146</v>
      </c>
      <c r="G134" s="1530"/>
      <c r="H134" s="1529" t="n">
        <v>0</v>
      </c>
      <c r="I134" s="1529" t="n">
        <v>36060.73</v>
      </c>
      <c r="J134" s="1529" t="n">
        <v>0</v>
      </c>
      <c r="K134" s="1529" t="n">
        <v>80000</v>
      </c>
      <c r="L134" s="1526" t="n">
        <v>0</v>
      </c>
      <c r="M134" s="1526" t="n">
        <v>1.46978</v>
      </c>
      <c r="N134" s="1531" t="n">
        <v>4</v>
      </c>
      <c r="O134" s="1529" t="n">
        <v>4</v>
      </c>
      <c r="T134" s="1528" t="n">
        <v>168</v>
      </c>
      <c r="U134" s="1528" t="s">
        <v>1147</v>
      </c>
      <c r="V134" s="1515" t="str">
        <f aca="false">MID(E134,LEN(E134),1)</f>
        <v>4</v>
      </c>
      <c r="W134" s="1515" t="s">
        <v>1142</v>
      </c>
    </row>
    <row r="135" s="1515" customFormat="true" ht="14.25" hidden="false" customHeight="false" outlineLevel="0" collapsed="false">
      <c r="B135" s="1515" t="n">
        <v>2025</v>
      </c>
      <c r="C135" s="1529" t="n">
        <v>168</v>
      </c>
      <c r="D135" s="359" t="n">
        <v>0</v>
      </c>
      <c r="E135" s="1524" t="n">
        <f aca="false">CONCATENATE(C135,IF(O135=19,9,IF(O135=6,6,IF(O135=4,4,0))))+0</f>
        <v>1689</v>
      </c>
      <c r="F135" s="1530" t="s">
        <v>1146</v>
      </c>
      <c r="G135" s="1530"/>
      <c r="H135" s="1529" t="n">
        <v>0</v>
      </c>
      <c r="I135" s="1529" t="n">
        <v>36060.73</v>
      </c>
      <c r="J135" s="1529" t="n">
        <v>0</v>
      </c>
      <c r="K135" s="1529" t="n">
        <v>80000</v>
      </c>
      <c r="L135" s="1526" t="n">
        <v>0</v>
      </c>
      <c r="M135" s="1526" t="n">
        <v>1.46978</v>
      </c>
      <c r="N135" s="1531" t="n">
        <v>4</v>
      </c>
      <c r="O135" s="1529" t="n">
        <v>19</v>
      </c>
      <c r="T135" s="1528" t="n">
        <v>168</v>
      </c>
      <c r="U135" s="1528" t="s">
        <v>1148</v>
      </c>
      <c r="V135" s="1515" t="str">
        <f aca="false">MID(E135,LEN(E135),1)</f>
        <v>9</v>
      </c>
      <c r="W135" s="1515" t="s">
        <v>1149</v>
      </c>
    </row>
    <row r="136" s="1515" customFormat="true" ht="14.25" hidden="false" customHeight="false" outlineLevel="0" collapsed="false">
      <c r="B136" s="1515" t="n">
        <v>2025</v>
      </c>
      <c r="C136" s="1529" t="n">
        <v>169</v>
      </c>
      <c r="D136" s="359" t="n">
        <v>0</v>
      </c>
      <c r="E136" s="1524" t="n">
        <f aca="false">CONCATENATE(C136,IF(O136=19,9,IF(O136=6,6,IF(O136=4,4,0))))+0</f>
        <v>1690</v>
      </c>
      <c r="F136" s="1530" t="s">
        <v>1150</v>
      </c>
      <c r="G136" s="1530"/>
      <c r="H136" s="1529" t="n">
        <v>360.61</v>
      </c>
      <c r="I136" s="1529" t="n">
        <v>1352.28</v>
      </c>
      <c r="J136" s="1529" t="n">
        <v>575</v>
      </c>
      <c r="K136" s="1529" t="n">
        <v>7200</v>
      </c>
      <c r="L136" s="1526" t="n">
        <v>0.0147</v>
      </c>
      <c r="M136" s="1526" t="n">
        <v>0.05512</v>
      </c>
      <c r="N136" s="1531" t="n">
        <v>4</v>
      </c>
      <c r="O136" s="1529" t="n">
        <v>0</v>
      </c>
      <c r="T136" s="1528" t="n">
        <v>169</v>
      </c>
      <c r="U136" s="1528" t="s">
        <v>1150</v>
      </c>
      <c r="V136" s="1515" t="str">
        <f aca="false">MID(E136,LEN(E136),1)</f>
        <v>0</v>
      </c>
      <c r="W136" s="1515" t="s">
        <v>1149</v>
      </c>
    </row>
    <row r="137" s="1515" customFormat="true" ht="14.25" hidden="false" customHeight="false" outlineLevel="0" collapsed="false">
      <c r="B137" s="1515" t="n">
        <v>2025</v>
      </c>
      <c r="C137" s="1529" t="n">
        <v>169</v>
      </c>
      <c r="D137" s="359" t="n">
        <v>0</v>
      </c>
      <c r="E137" s="1524" t="n">
        <f aca="false">CONCATENATE(C137,IF(O137=19,9,IF(O137=6,6,IF(O137=4,4,0))))+0</f>
        <v>1694</v>
      </c>
      <c r="F137" s="1530" t="s">
        <v>1150</v>
      </c>
      <c r="G137" s="1530"/>
      <c r="H137" s="1529" t="n">
        <v>0</v>
      </c>
      <c r="I137" s="1529" t="n">
        <v>36060.73</v>
      </c>
      <c r="J137" s="1529" t="n">
        <v>0</v>
      </c>
      <c r="K137" s="1529" t="n">
        <v>80000</v>
      </c>
      <c r="L137" s="1526" t="n">
        <v>0</v>
      </c>
      <c r="M137" s="1526" t="n">
        <v>1.46978</v>
      </c>
      <c r="N137" s="1531" t="n">
        <v>4</v>
      </c>
      <c r="O137" s="1529" t="n">
        <v>4</v>
      </c>
      <c r="T137" s="1528" t="n">
        <v>169</v>
      </c>
      <c r="U137" s="1528" t="s">
        <v>1151</v>
      </c>
      <c r="V137" s="1515" t="str">
        <f aca="false">MID(E137,LEN(E137),1)</f>
        <v>4</v>
      </c>
      <c r="W137" s="1515" t="s">
        <v>1146</v>
      </c>
    </row>
    <row r="138" s="1515" customFormat="true" ht="14.25" hidden="false" customHeight="false" outlineLevel="0" collapsed="false">
      <c r="B138" s="1515" t="n">
        <v>2025</v>
      </c>
      <c r="C138" s="1529" t="n">
        <v>169</v>
      </c>
      <c r="D138" s="359" t="n">
        <v>0</v>
      </c>
      <c r="E138" s="1524" t="n">
        <f aca="false">CONCATENATE(C138,IF(O138=19,9,IF(O138=6,6,IF(O138=4,4,0))))+0</f>
        <v>1699</v>
      </c>
      <c r="F138" s="1530" t="s">
        <v>1150</v>
      </c>
      <c r="G138" s="1530"/>
      <c r="H138" s="1529" t="n">
        <v>0</v>
      </c>
      <c r="I138" s="1529" t="n">
        <v>36060.73</v>
      </c>
      <c r="J138" s="1529" t="n">
        <v>0</v>
      </c>
      <c r="K138" s="1529" t="n">
        <v>80000</v>
      </c>
      <c r="L138" s="1526" t="n">
        <v>0</v>
      </c>
      <c r="M138" s="1526" t="n">
        <v>1.46978</v>
      </c>
      <c r="N138" s="1531" t="n">
        <v>4</v>
      </c>
      <c r="O138" s="1529" t="n">
        <v>19</v>
      </c>
      <c r="T138" s="1528" t="n">
        <v>169</v>
      </c>
      <c r="U138" s="1528" t="s">
        <v>1152</v>
      </c>
      <c r="V138" s="1515" t="str">
        <f aca="false">MID(E138,LEN(E138),1)</f>
        <v>9</v>
      </c>
      <c r="W138" s="1515" t="s">
        <v>1153</v>
      </c>
    </row>
    <row r="139" s="1515" customFormat="true" ht="14.25" hidden="false" customHeight="false" outlineLevel="0" collapsed="false">
      <c r="B139" s="1515" t="n">
        <v>2025</v>
      </c>
      <c r="C139" s="1529" t="n">
        <v>171</v>
      </c>
      <c r="D139" s="359" t="n">
        <v>0</v>
      </c>
      <c r="E139" s="1524" t="n">
        <f aca="false">CONCATENATE(C139,IF(O139=19,9,IF(O139=6,6,IF(O139=4,4,0))))+0</f>
        <v>1710</v>
      </c>
      <c r="F139" s="1530" t="s">
        <v>1154</v>
      </c>
      <c r="G139" s="1530"/>
      <c r="H139" s="1529" t="n">
        <v>360.61</v>
      </c>
      <c r="I139" s="1529" t="n">
        <v>1352.28</v>
      </c>
      <c r="J139" s="1529" t="n">
        <v>575</v>
      </c>
      <c r="K139" s="1529" t="n">
        <v>5200</v>
      </c>
      <c r="L139" s="1526" t="n">
        <v>0.0147</v>
      </c>
      <c r="M139" s="1526" t="n">
        <v>0.05512</v>
      </c>
      <c r="N139" s="1531" t="n">
        <v>4</v>
      </c>
      <c r="O139" s="1529" t="n">
        <v>0</v>
      </c>
      <c r="T139" s="1528" t="n">
        <v>171</v>
      </c>
      <c r="U139" s="1528" t="s">
        <v>1154</v>
      </c>
      <c r="V139" s="1515" t="str">
        <f aca="false">MID(E139,LEN(E139),1)</f>
        <v>0</v>
      </c>
      <c r="W139" s="1515" t="s">
        <v>1153</v>
      </c>
    </row>
    <row r="140" s="1515" customFormat="true" ht="14.25" hidden="false" customHeight="false" outlineLevel="0" collapsed="false">
      <c r="B140" s="1515" t="n">
        <v>2025</v>
      </c>
      <c r="C140" s="1529" t="n">
        <v>171</v>
      </c>
      <c r="D140" s="359" t="n">
        <v>0</v>
      </c>
      <c r="E140" s="1524" t="n">
        <f aca="false">CONCATENATE(C140,IF(O140=19,9,IF(O140=6,6,IF(O140=4,4,0))))+0</f>
        <v>1714</v>
      </c>
      <c r="F140" s="1530" t="s">
        <v>1154</v>
      </c>
      <c r="G140" s="1530"/>
      <c r="H140" s="1529" t="n">
        <v>0</v>
      </c>
      <c r="I140" s="1529" t="n">
        <v>36060.73</v>
      </c>
      <c r="J140" s="1529" t="n">
        <v>0</v>
      </c>
      <c r="K140" s="1529" t="n">
        <v>80000</v>
      </c>
      <c r="L140" s="1526" t="n">
        <v>0</v>
      </c>
      <c r="M140" s="1526" t="n">
        <v>1.46978</v>
      </c>
      <c r="N140" s="1531" t="n">
        <v>4</v>
      </c>
      <c r="O140" s="1529" t="n">
        <v>4</v>
      </c>
      <c r="T140" s="1528" t="n">
        <v>171</v>
      </c>
      <c r="U140" s="1528" t="s">
        <v>1155</v>
      </c>
      <c r="V140" s="1515" t="str">
        <f aca="false">MID(E140,LEN(E140),1)</f>
        <v>4</v>
      </c>
      <c r="W140" s="1515" t="s">
        <v>1150</v>
      </c>
    </row>
    <row r="141" s="1515" customFormat="true" ht="14.25" hidden="false" customHeight="false" outlineLevel="0" collapsed="false">
      <c r="B141" s="1515" t="n">
        <v>2025</v>
      </c>
      <c r="C141" s="1529" t="n">
        <v>171</v>
      </c>
      <c r="D141" s="359" t="n">
        <v>0</v>
      </c>
      <c r="E141" s="1524" t="n">
        <f aca="false">CONCATENATE(C141,IF(O141=19,9,IF(O141=6,6,IF(O141=4,4,0))))+0</f>
        <v>1719</v>
      </c>
      <c r="F141" s="1530" t="s">
        <v>1154</v>
      </c>
      <c r="G141" s="1530"/>
      <c r="H141" s="1529" t="n">
        <v>0</v>
      </c>
      <c r="I141" s="1529" t="n">
        <v>36060.73</v>
      </c>
      <c r="J141" s="1529" t="n">
        <v>0</v>
      </c>
      <c r="K141" s="1529" t="n">
        <v>80000</v>
      </c>
      <c r="L141" s="1526" t="n">
        <v>0</v>
      </c>
      <c r="M141" s="1526" t="n">
        <v>1.46978</v>
      </c>
      <c r="N141" s="1531" t="n">
        <v>4</v>
      </c>
      <c r="O141" s="1529" t="n">
        <v>19</v>
      </c>
      <c r="T141" s="1528" t="n">
        <v>171</v>
      </c>
      <c r="U141" s="1528" t="s">
        <v>1156</v>
      </c>
      <c r="V141" s="1515" t="str">
        <f aca="false">MID(E141,LEN(E141),1)</f>
        <v>9</v>
      </c>
      <c r="W141" s="1515" t="s">
        <v>1157</v>
      </c>
    </row>
    <row r="142" s="1515" customFormat="true" ht="14.25" hidden="false" customHeight="false" outlineLevel="0" collapsed="false">
      <c r="B142" s="1515" t="n">
        <v>2025</v>
      </c>
      <c r="C142" s="1529" t="n">
        <v>172</v>
      </c>
      <c r="D142" s="359" t="n">
        <v>0</v>
      </c>
      <c r="E142" s="1524" t="n">
        <f aca="false">CONCATENATE(C142,IF(O142=19,9,IF(O142=6,6,IF(O142=4,4,0))))+0</f>
        <v>1720</v>
      </c>
      <c r="F142" s="1530" t="s">
        <v>1158</v>
      </c>
      <c r="G142" s="1530"/>
      <c r="H142" s="1529" t="n">
        <v>360.61</v>
      </c>
      <c r="I142" s="1529" t="n">
        <v>1352.28</v>
      </c>
      <c r="J142" s="1529" t="n">
        <v>575</v>
      </c>
      <c r="K142" s="1529" t="n">
        <v>5200</v>
      </c>
      <c r="L142" s="1526" t="n">
        <v>0.0147</v>
      </c>
      <c r="M142" s="1526" t="n">
        <v>0.05512</v>
      </c>
      <c r="N142" s="1531" t="n">
        <v>4</v>
      </c>
      <c r="O142" s="1529" t="n">
        <v>0</v>
      </c>
      <c r="T142" s="1528" t="n">
        <v>172</v>
      </c>
      <c r="U142" s="1528" t="s">
        <v>1158</v>
      </c>
      <c r="V142" s="1515" t="str">
        <f aca="false">MID(E142,LEN(E142),1)</f>
        <v>0</v>
      </c>
      <c r="W142" s="1515" t="s">
        <v>1157</v>
      </c>
    </row>
    <row r="143" s="1515" customFormat="true" ht="14.25" hidden="false" customHeight="false" outlineLevel="0" collapsed="false">
      <c r="B143" s="1515" t="n">
        <v>2025</v>
      </c>
      <c r="C143" s="1529" t="n">
        <v>172</v>
      </c>
      <c r="D143" s="359" t="n">
        <v>0</v>
      </c>
      <c r="E143" s="1524" t="n">
        <f aca="false">CONCATENATE(C143,IF(O143=19,9,IF(O143=6,6,IF(O143=4,4,0))))+0</f>
        <v>1724</v>
      </c>
      <c r="F143" s="1530" t="s">
        <v>1158</v>
      </c>
      <c r="G143" s="1530"/>
      <c r="H143" s="1529" t="n">
        <v>0</v>
      </c>
      <c r="I143" s="1529" t="n">
        <v>36060.73</v>
      </c>
      <c r="J143" s="1529" t="n">
        <v>0</v>
      </c>
      <c r="K143" s="1529" t="n">
        <v>80000</v>
      </c>
      <c r="L143" s="1526" t="n">
        <v>0</v>
      </c>
      <c r="M143" s="1526" t="n">
        <v>1.46978</v>
      </c>
      <c r="N143" s="1531" t="n">
        <v>4</v>
      </c>
      <c r="O143" s="1529" t="n">
        <v>4</v>
      </c>
      <c r="T143" s="1528" t="n">
        <v>172</v>
      </c>
      <c r="U143" s="1528" t="s">
        <v>1159</v>
      </c>
      <c r="V143" s="1515" t="str">
        <f aca="false">MID(E143,LEN(E143),1)</f>
        <v>4</v>
      </c>
      <c r="W143" s="1515" t="s">
        <v>1154</v>
      </c>
    </row>
    <row r="144" s="1515" customFormat="true" ht="14.25" hidden="false" customHeight="false" outlineLevel="0" collapsed="false">
      <c r="B144" s="1515" t="n">
        <v>2025</v>
      </c>
      <c r="C144" s="1529" t="n">
        <v>172</v>
      </c>
      <c r="D144" s="359" t="n">
        <v>0</v>
      </c>
      <c r="E144" s="1524" t="n">
        <f aca="false">CONCATENATE(C144,IF(O144=19,9,IF(O144=6,6,IF(O144=4,4,0))))+0</f>
        <v>1729</v>
      </c>
      <c r="F144" s="1530" t="s">
        <v>1158</v>
      </c>
      <c r="G144" s="1530"/>
      <c r="H144" s="1529" t="n">
        <v>0</v>
      </c>
      <c r="I144" s="1529" t="n">
        <v>36060.73</v>
      </c>
      <c r="J144" s="1529" t="n">
        <v>0</v>
      </c>
      <c r="K144" s="1529" t="n">
        <v>80000</v>
      </c>
      <c r="L144" s="1526" t="n">
        <v>0</v>
      </c>
      <c r="M144" s="1526" t="n">
        <v>1.46978</v>
      </c>
      <c r="N144" s="1531" t="n">
        <v>4</v>
      </c>
      <c r="O144" s="1529" t="n">
        <v>19</v>
      </c>
      <c r="T144" s="1528" t="n">
        <v>172</v>
      </c>
      <c r="U144" s="1528" t="s">
        <v>1160</v>
      </c>
      <c r="V144" s="1515" t="str">
        <f aca="false">MID(E144,LEN(E144),1)</f>
        <v>9</v>
      </c>
      <c r="W144" s="1515" t="s">
        <v>1161</v>
      </c>
    </row>
    <row r="145" s="1515" customFormat="true" ht="14.25" hidden="false" customHeight="false" outlineLevel="0" collapsed="false">
      <c r="B145" s="1515" t="n">
        <v>2025</v>
      </c>
      <c r="C145" s="1529" t="n">
        <v>173</v>
      </c>
      <c r="D145" s="359" t="n">
        <v>0</v>
      </c>
      <c r="E145" s="1524" t="n">
        <f aca="false">CONCATENATE(C145,IF(O145=19,9,IF(O145=6,6,IF(O145=4,4,0))))+0</f>
        <v>1730</v>
      </c>
      <c r="F145" s="1530" t="s">
        <v>1162</v>
      </c>
      <c r="G145" s="1530"/>
      <c r="H145" s="1529" t="n">
        <v>360.61</v>
      </c>
      <c r="I145" s="1529" t="n">
        <v>1352.28</v>
      </c>
      <c r="J145" s="1529" t="n">
        <v>575</v>
      </c>
      <c r="K145" s="1529" t="n">
        <v>5200</v>
      </c>
      <c r="L145" s="1526" t="n">
        <v>0.0147</v>
      </c>
      <c r="M145" s="1526" t="n">
        <v>0.05512</v>
      </c>
      <c r="N145" s="1531" t="n">
        <v>4</v>
      </c>
      <c r="O145" s="1529" t="n">
        <v>0</v>
      </c>
      <c r="T145" s="1528" t="n">
        <v>173</v>
      </c>
      <c r="U145" s="1528" t="s">
        <v>1162</v>
      </c>
      <c r="V145" s="1515" t="str">
        <f aca="false">MID(E145,LEN(E145),1)</f>
        <v>0</v>
      </c>
      <c r="W145" s="1515" t="s">
        <v>1161</v>
      </c>
    </row>
    <row r="146" s="1515" customFormat="true" ht="14.25" hidden="false" customHeight="false" outlineLevel="0" collapsed="false">
      <c r="B146" s="1515" t="n">
        <v>2025</v>
      </c>
      <c r="C146" s="1529" t="n">
        <v>173</v>
      </c>
      <c r="D146" s="359" t="n">
        <v>0</v>
      </c>
      <c r="E146" s="1524" t="n">
        <f aca="false">CONCATENATE(C146,IF(O146=19,9,IF(O146=6,6,IF(O146=4,4,0))))+0</f>
        <v>1734</v>
      </c>
      <c r="F146" s="1530" t="s">
        <v>1162</v>
      </c>
      <c r="G146" s="1530"/>
      <c r="H146" s="1529" t="n">
        <v>0</v>
      </c>
      <c r="I146" s="1529" t="n">
        <v>36060.73</v>
      </c>
      <c r="J146" s="1529" t="n">
        <v>0</v>
      </c>
      <c r="K146" s="1529" t="n">
        <v>80000</v>
      </c>
      <c r="L146" s="1526" t="n">
        <v>0</v>
      </c>
      <c r="M146" s="1526" t="n">
        <v>1.46978</v>
      </c>
      <c r="N146" s="1531" t="n">
        <v>4</v>
      </c>
      <c r="O146" s="1529" t="n">
        <v>4</v>
      </c>
      <c r="T146" s="1528" t="n">
        <v>173</v>
      </c>
      <c r="U146" s="1528" t="s">
        <v>1163</v>
      </c>
      <c r="V146" s="1515" t="str">
        <f aca="false">MID(E146,LEN(E146),1)</f>
        <v>4</v>
      </c>
      <c r="W146" s="1515" t="s">
        <v>1158</v>
      </c>
    </row>
    <row r="147" s="1515" customFormat="true" ht="14.25" hidden="false" customHeight="false" outlineLevel="0" collapsed="false">
      <c r="B147" s="1515" t="n">
        <v>2025</v>
      </c>
      <c r="C147" s="1529" t="n">
        <v>173</v>
      </c>
      <c r="D147" s="359" t="n">
        <v>0</v>
      </c>
      <c r="E147" s="1524" t="n">
        <f aca="false">CONCATENATE(C147,IF(O147=19,9,IF(O147=6,6,IF(O147=4,4,0))))+0</f>
        <v>1739</v>
      </c>
      <c r="F147" s="1530" t="s">
        <v>1162</v>
      </c>
      <c r="G147" s="1530"/>
      <c r="H147" s="1529" t="n">
        <v>0</v>
      </c>
      <c r="I147" s="1529" t="n">
        <v>36060.73</v>
      </c>
      <c r="J147" s="1529" t="n">
        <v>0</v>
      </c>
      <c r="K147" s="1529" t="n">
        <v>80000</v>
      </c>
      <c r="L147" s="1526" t="n">
        <v>0</v>
      </c>
      <c r="M147" s="1526" t="n">
        <v>1.46978</v>
      </c>
      <c r="N147" s="1531" t="n">
        <v>4</v>
      </c>
      <c r="O147" s="1529" t="n">
        <v>19</v>
      </c>
      <c r="T147" s="1528" t="n">
        <v>173</v>
      </c>
      <c r="U147" s="1528" t="s">
        <v>1164</v>
      </c>
      <c r="V147" s="1515" t="str">
        <f aca="false">MID(E147,LEN(E147),1)</f>
        <v>9</v>
      </c>
      <c r="W147" s="1515" t="s">
        <v>1165</v>
      </c>
    </row>
    <row r="148" s="1515" customFormat="true" ht="14.25" hidden="false" customHeight="false" outlineLevel="0" collapsed="false">
      <c r="B148" s="1515" t="n">
        <v>2025</v>
      </c>
      <c r="C148" s="1529" t="n">
        <v>174</v>
      </c>
      <c r="D148" s="359" t="n">
        <v>0</v>
      </c>
      <c r="E148" s="1524" t="n">
        <f aca="false">CONCATENATE(C148,IF(O148=19,9,IF(O148=6,6,IF(O148=4,4,0))))+0</f>
        <v>1740</v>
      </c>
      <c r="F148" s="1530" t="s">
        <v>1166</v>
      </c>
      <c r="G148" s="1530"/>
      <c r="H148" s="1529" t="n">
        <v>360.61</v>
      </c>
      <c r="I148" s="1529" t="n">
        <v>1352.28</v>
      </c>
      <c r="J148" s="1529" t="n">
        <v>575</v>
      </c>
      <c r="K148" s="1529" t="n">
        <v>5200</v>
      </c>
      <c r="L148" s="1526" t="n">
        <v>0.0147</v>
      </c>
      <c r="M148" s="1526" t="n">
        <v>0.05512</v>
      </c>
      <c r="N148" s="1531" t="n">
        <v>4</v>
      </c>
      <c r="O148" s="1529" t="n">
        <v>0</v>
      </c>
      <c r="T148" s="1528" t="n">
        <v>174</v>
      </c>
      <c r="U148" s="1528" t="s">
        <v>1166</v>
      </c>
      <c r="V148" s="1515" t="str">
        <f aca="false">MID(E148,LEN(E148),1)</f>
        <v>0</v>
      </c>
      <c r="W148" s="1515" t="s">
        <v>1165</v>
      </c>
    </row>
    <row r="149" s="1515" customFormat="true" ht="14.25" hidden="false" customHeight="false" outlineLevel="0" collapsed="false">
      <c r="B149" s="1515" t="n">
        <v>2025</v>
      </c>
      <c r="C149" s="1529" t="n">
        <v>174</v>
      </c>
      <c r="D149" s="359" t="n">
        <v>0</v>
      </c>
      <c r="E149" s="1524" t="n">
        <f aca="false">CONCATENATE(C149,IF(O149=19,9,IF(O149=6,6,IF(O149=4,4,0))))+0</f>
        <v>1744</v>
      </c>
      <c r="F149" s="1530" t="s">
        <v>1166</v>
      </c>
      <c r="G149" s="1530"/>
      <c r="H149" s="1529" t="n">
        <v>0</v>
      </c>
      <c r="I149" s="1529" t="n">
        <v>36060.73</v>
      </c>
      <c r="J149" s="1529" t="n">
        <v>0</v>
      </c>
      <c r="K149" s="1529" t="n">
        <v>80000</v>
      </c>
      <c r="L149" s="1526" t="n">
        <v>0</v>
      </c>
      <c r="M149" s="1526" t="n">
        <v>1.46978</v>
      </c>
      <c r="N149" s="1531" t="n">
        <v>4</v>
      </c>
      <c r="O149" s="1529" t="n">
        <v>4</v>
      </c>
      <c r="T149" s="1528" t="n">
        <v>174</v>
      </c>
      <c r="U149" s="1528" t="s">
        <v>1167</v>
      </c>
      <c r="V149" s="1515" t="str">
        <f aca="false">MID(E149,LEN(E149),1)</f>
        <v>4</v>
      </c>
      <c r="W149" s="1515" t="s">
        <v>1162</v>
      </c>
    </row>
    <row r="150" s="1515" customFormat="true" ht="14.25" hidden="false" customHeight="false" outlineLevel="0" collapsed="false">
      <c r="B150" s="1515" t="n">
        <v>2025</v>
      </c>
      <c r="C150" s="1529" t="n">
        <v>174</v>
      </c>
      <c r="D150" s="359" t="n">
        <v>0</v>
      </c>
      <c r="E150" s="1524" t="n">
        <f aca="false">CONCATENATE(C150,IF(O150=19,9,IF(O150=6,6,IF(O150=4,4,0))))+0</f>
        <v>1749</v>
      </c>
      <c r="F150" s="1530" t="s">
        <v>1166</v>
      </c>
      <c r="G150" s="1530"/>
      <c r="H150" s="1529" t="n">
        <v>0</v>
      </c>
      <c r="I150" s="1529" t="n">
        <v>36060.73</v>
      </c>
      <c r="J150" s="1529" t="n">
        <v>0</v>
      </c>
      <c r="K150" s="1529" t="n">
        <v>80000</v>
      </c>
      <c r="L150" s="1526" t="n">
        <v>0</v>
      </c>
      <c r="M150" s="1526" t="n">
        <v>1.46978</v>
      </c>
      <c r="N150" s="1531" t="n">
        <v>4</v>
      </c>
      <c r="O150" s="1529" t="n">
        <v>19</v>
      </c>
      <c r="T150" s="1528" t="n">
        <v>174</v>
      </c>
      <c r="U150" s="1528" t="s">
        <v>1168</v>
      </c>
      <c r="V150" s="1515" t="str">
        <f aca="false">MID(E150,LEN(E150),1)</f>
        <v>9</v>
      </c>
      <c r="W150" s="1515" t="s">
        <v>1169</v>
      </c>
    </row>
    <row r="151" s="1515" customFormat="true" ht="14.25" hidden="false" customHeight="false" outlineLevel="0" collapsed="false">
      <c r="B151" s="1515" t="n">
        <v>2025</v>
      </c>
      <c r="C151" s="1529" t="n">
        <v>175</v>
      </c>
      <c r="D151" s="359" t="n">
        <v>0</v>
      </c>
      <c r="E151" s="1524" t="n">
        <f aca="false">CONCATENATE(C151,IF(O151=19,9,IF(O151=6,6,IF(O151=4,4,0))))+0</f>
        <v>1750</v>
      </c>
      <c r="F151" s="1530" t="s">
        <v>1170</v>
      </c>
      <c r="G151" s="1530"/>
      <c r="H151" s="1529" t="n">
        <v>360.61</v>
      </c>
      <c r="I151" s="1529" t="n">
        <v>1352.28</v>
      </c>
      <c r="J151" s="1529" t="n">
        <v>575</v>
      </c>
      <c r="K151" s="1529" t="n">
        <v>5200</v>
      </c>
      <c r="L151" s="1526" t="n">
        <v>0.0147</v>
      </c>
      <c r="M151" s="1526" t="n">
        <v>0.05512</v>
      </c>
      <c r="N151" s="1531" t="n">
        <v>4</v>
      </c>
      <c r="O151" s="1529" t="n">
        <v>0</v>
      </c>
      <c r="T151" s="1528" t="n">
        <v>175</v>
      </c>
      <c r="U151" s="1528" t="s">
        <v>1170</v>
      </c>
      <c r="V151" s="1515" t="str">
        <f aca="false">MID(E151,LEN(E151),1)</f>
        <v>0</v>
      </c>
      <c r="W151" s="1515" t="s">
        <v>1169</v>
      </c>
    </row>
    <row r="152" s="1515" customFormat="true" ht="14.25" hidden="false" customHeight="false" outlineLevel="0" collapsed="false">
      <c r="B152" s="1515" t="n">
        <v>2025</v>
      </c>
      <c r="C152" s="1529" t="n">
        <v>175</v>
      </c>
      <c r="D152" s="359" t="n">
        <v>0</v>
      </c>
      <c r="E152" s="1524" t="n">
        <f aca="false">CONCATENATE(C152,IF(O152=19,9,IF(O152=6,6,IF(O152=4,4,0))))+0</f>
        <v>1754</v>
      </c>
      <c r="F152" s="1530" t="s">
        <v>1170</v>
      </c>
      <c r="G152" s="1530"/>
      <c r="H152" s="1529" t="n">
        <v>0</v>
      </c>
      <c r="I152" s="1529" t="n">
        <v>36060.73</v>
      </c>
      <c r="J152" s="1529" t="n">
        <v>0</v>
      </c>
      <c r="K152" s="1529" t="n">
        <v>80000</v>
      </c>
      <c r="L152" s="1526" t="n">
        <v>0</v>
      </c>
      <c r="M152" s="1526" t="n">
        <v>1.46978</v>
      </c>
      <c r="N152" s="1531" t="n">
        <v>4</v>
      </c>
      <c r="O152" s="1529" t="n">
        <v>4</v>
      </c>
      <c r="T152" s="1528" t="n">
        <v>175</v>
      </c>
      <c r="U152" s="1528" t="s">
        <v>1171</v>
      </c>
      <c r="V152" s="1515" t="str">
        <f aca="false">MID(E152,LEN(E152),1)</f>
        <v>4</v>
      </c>
      <c r="W152" s="1515" t="s">
        <v>1166</v>
      </c>
    </row>
    <row r="153" s="1515" customFormat="true" ht="14.25" hidden="false" customHeight="false" outlineLevel="0" collapsed="false">
      <c r="B153" s="1515" t="n">
        <v>2025</v>
      </c>
      <c r="C153" s="1529" t="n">
        <v>175</v>
      </c>
      <c r="D153" s="359" t="n">
        <v>0</v>
      </c>
      <c r="E153" s="1524" t="n">
        <f aca="false">CONCATENATE(C153,IF(O153=19,9,IF(O153=6,6,IF(O153=4,4,0))))+0</f>
        <v>1759</v>
      </c>
      <c r="F153" s="1530" t="s">
        <v>1170</v>
      </c>
      <c r="G153" s="1530"/>
      <c r="H153" s="1529" t="n">
        <v>0</v>
      </c>
      <c r="I153" s="1529" t="n">
        <v>36060.73</v>
      </c>
      <c r="J153" s="1529" t="n">
        <v>0</v>
      </c>
      <c r="K153" s="1529" t="n">
        <v>80000</v>
      </c>
      <c r="L153" s="1526" t="n">
        <v>0</v>
      </c>
      <c r="M153" s="1526" t="n">
        <v>1.46978</v>
      </c>
      <c r="N153" s="1531" t="n">
        <v>4</v>
      </c>
      <c r="O153" s="1529" t="n">
        <v>19</v>
      </c>
      <c r="T153" s="1528" t="n">
        <v>175</v>
      </c>
      <c r="U153" s="1528" t="s">
        <v>1172</v>
      </c>
      <c r="V153" s="1515" t="str">
        <f aca="false">MID(E153,LEN(E153),1)</f>
        <v>9</v>
      </c>
      <c r="W153" s="1515" t="s">
        <v>1173</v>
      </c>
    </row>
    <row r="154" s="1515" customFormat="true" ht="14.25" hidden="false" customHeight="false" outlineLevel="0" collapsed="false">
      <c r="B154" s="1515" t="n">
        <v>2025</v>
      </c>
      <c r="C154" s="1529" t="n">
        <v>176</v>
      </c>
      <c r="D154" s="359" t="n">
        <v>0</v>
      </c>
      <c r="E154" s="1524" t="n">
        <f aca="false">CONCATENATE(C154,IF(O154=19,9,IF(O154=6,6,IF(O154=4,4,0))))+0</f>
        <v>1760</v>
      </c>
      <c r="F154" s="1530" t="s">
        <v>1174</v>
      </c>
      <c r="G154" s="1530"/>
      <c r="H154" s="1529" t="n">
        <v>360.61</v>
      </c>
      <c r="I154" s="1529" t="n">
        <v>1352.28</v>
      </c>
      <c r="J154" s="1529" t="n">
        <v>575</v>
      </c>
      <c r="K154" s="1529" t="n">
        <v>5200</v>
      </c>
      <c r="L154" s="1526" t="n">
        <v>0.0147</v>
      </c>
      <c r="M154" s="1526" t="n">
        <v>0.05512</v>
      </c>
      <c r="N154" s="1531" t="n">
        <v>4</v>
      </c>
      <c r="O154" s="1529" t="n">
        <v>0</v>
      </c>
      <c r="T154" s="1528" t="n">
        <v>176</v>
      </c>
      <c r="U154" s="1528" t="s">
        <v>1174</v>
      </c>
      <c r="V154" s="1515" t="str">
        <f aca="false">MID(E154,LEN(E154),1)</f>
        <v>0</v>
      </c>
      <c r="W154" s="1515" t="s">
        <v>1173</v>
      </c>
    </row>
    <row r="155" s="1515" customFormat="true" ht="14.25" hidden="false" customHeight="false" outlineLevel="0" collapsed="false">
      <c r="B155" s="1515" t="n">
        <v>2025</v>
      </c>
      <c r="C155" s="1529" t="n">
        <v>176</v>
      </c>
      <c r="D155" s="359" t="n">
        <v>0</v>
      </c>
      <c r="E155" s="1524" t="n">
        <f aca="false">CONCATENATE(C155,IF(O155=19,9,IF(O155=6,6,IF(O155=4,4,0))))+0</f>
        <v>1764</v>
      </c>
      <c r="F155" s="1530" t="s">
        <v>1174</v>
      </c>
      <c r="G155" s="1530"/>
      <c r="H155" s="1529" t="n">
        <v>0</v>
      </c>
      <c r="I155" s="1529" t="n">
        <v>36060.73</v>
      </c>
      <c r="J155" s="1529" t="n">
        <v>0</v>
      </c>
      <c r="K155" s="1529" t="n">
        <v>80000</v>
      </c>
      <c r="L155" s="1526" t="n">
        <v>0</v>
      </c>
      <c r="M155" s="1526" t="n">
        <v>1.46978</v>
      </c>
      <c r="N155" s="1531" t="n">
        <v>4</v>
      </c>
      <c r="O155" s="1529" t="n">
        <v>4</v>
      </c>
      <c r="T155" s="1528" t="n">
        <v>176</v>
      </c>
      <c r="U155" s="1528" t="s">
        <v>1175</v>
      </c>
      <c r="V155" s="1515" t="str">
        <f aca="false">MID(E155,LEN(E155),1)</f>
        <v>4</v>
      </c>
      <c r="W155" s="1515" t="s">
        <v>1170</v>
      </c>
    </row>
    <row r="156" s="1515" customFormat="true" ht="14.25" hidden="false" customHeight="false" outlineLevel="0" collapsed="false">
      <c r="B156" s="1515" t="n">
        <v>2025</v>
      </c>
      <c r="C156" s="1529" t="n">
        <v>176</v>
      </c>
      <c r="D156" s="359" t="n">
        <v>0</v>
      </c>
      <c r="E156" s="1524" t="n">
        <f aca="false">CONCATENATE(C156,IF(O156=19,9,IF(O156=6,6,IF(O156=4,4,0))))+0</f>
        <v>1769</v>
      </c>
      <c r="F156" s="1530" t="s">
        <v>1174</v>
      </c>
      <c r="G156" s="1530"/>
      <c r="H156" s="1529" t="n">
        <v>0</v>
      </c>
      <c r="I156" s="1529" t="n">
        <v>36060.73</v>
      </c>
      <c r="J156" s="1529" t="n">
        <v>0</v>
      </c>
      <c r="K156" s="1529" t="n">
        <v>80000</v>
      </c>
      <c r="L156" s="1526" t="n">
        <v>0</v>
      </c>
      <c r="M156" s="1526" t="n">
        <v>1.46978</v>
      </c>
      <c r="N156" s="1531" t="n">
        <v>4</v>
      </c>
      <c r="O156" s="1529" t="n">
        <v>19</v>
      </c>
      <c r="T156" s="1528" t="n">
        <v>176</v>
      </c>
      <c r="U156" s="1528" t="s">
        <v>1176</v>
      </c>
      <c r="V156" s="1515" t="str">
        <f aca="false">MID(E156,LEN(E156),1)</f>
        <v>9</v>
      </c>
      <c r="W156" s="1515" t="s">
        <v>1177</v>
      </c>
    </row>
    <row r="157" s="1515" customFormat="true" ht="14.25" hidden="false" customHeight="false" outlineLevel="0" collapsed="false">
      <c r="B157" s="1515" t="n">
        <v>2025</v>
      </c>
      <c r="C157" s="1529" t="n">
        <v>177</v>
      </c>
      <c r="D157" s="359" t="n">
        <v>0</v>
      </c>
      <c r="E157" s="1524" t="n">
        <f aca="false">CONCATENATE(C157,IF(O157=19,9,IF(O157=6,6,IF(O157=4,4,0))))+0</f>
        <v>1770</v>
      </c>
      <c r="F157" s="1530" t="s">
        <v>1178</v>
      </c>
      <c r="G157" s="1530"/>
      <c r="H157" s="1529" t="n">
        <v>360.61</v>
      </c>
      <c r="I157" s="1529" t="n">
        <v>1352.28</v>
      </c>
      <c r="J157" s="1529" t="n">
        <v>575</v>
      </c>
      <c r="K157" s="1529" t="n">
        <v>5200</v>
      </c>
      <c r="L157" s="1526" t="n">
        <v>0.0147</v>
      </c>
      <c r="M157" s="1526" t="n">
        <v>0.05512</v>
      </c>
      <c r="N157" s="1531" t="n">
        <v>4</v>
      </c>
      <c r="O157" s="1529" t="n">
        <v>0</v>
      </c>
      <c r="T157" s="1528" t="n">
        <v>177</v>
      </c>
      <c r="U157" s="1528" t="s">
        <v>1178</v>
      </c>
      <c r="V157" s="1515" t="str">
        <f aca="false">MID(E157,LEN(E157),1)</f>
        <v>0</v>
      </c>
      <c r="W157" s="1515" t="s">
        <v>1177</v>
      </c>
    </row>
    <row r="158" s="1515" customFormat="true" ht="14.25" hidden="false" customHeight="false" outlineLevel="0" collapsed="false">
      <c r="B158" s="1515" t="n">
        <v>2025</v>
      </c>
      <c r="C158" s="1529" t="n">
        <v>177</v>
      </c>
      <c r="D158" s="359" t="n">
        <v>0</v>
      </c>
      <c r="E158" s="1524" t="n">
        <f aca="false">CONCATENATE(C158,IF(O158=19,9,IF(O158=6,6,IF(O158=4,4,0))))+0</f>
        <v>1774</v>
      </c>
      <c r="F158" s="1530" t="s">
        <v>1178</v>
      </c>
      <c r="G158" s="1530"/>
      <c r="H158" s="1529" t="n">
        <v>0</v>
      </c>
      <c r="I158" s="1529" t="n">
        <v>36060.73</v>
      </c>
      <c r="J158" s="1529" t="n">
        <v>0</v>
      </c>
      <c r="K158" s="1529" t="n">
        <v>80000</v>
      </c>
      <c r="L158" s="1526" t="n">
        <v>0</v>
      </c>
      <c r="M158" s="1526" t="n">
        <v>1.46978</v>
      </c>
      <c r="N158" s="1531" t="n">
        <v>4</v>
      </c>
      <c r="O158" s="1529" t="n">
        <v>4</v>
      </c>
      <c r="T158" s="1528" t="n">
        <v>177</v>
      </c>
      <c r="U158" s="1528" t="s">
        <v>1179</v>
      </c>
      <c r="V158" s="1515" t="str">
        <f aca="false">MID(E158,LEN(E158),1)</f>
        <v>4</v>
      </c>
      <c r="W158" s="1515" t="s">
        <v>1174</v>
      </c>
    </row>
    <row r="159" s="1515" customFormat="true" ht="14.25" hidden="false" customHeight="false" outlineLevel="0" collapsed="false">
      <c r="B159" s="1515" t="n">
        <v>2025</v>
      </c>
      <c r="C159" s="1529" t="n">
        <v>177</v>
      </c>
      <c r="D159" s="359" t="n">
        <v>0</v>
      </c>
      <c r="E159" s="1524" t="n">
        <f aca="false">CONCATENATE(C159,IF(O159=19,9,IF(O159=6,6,IF(O159=4,4,0))))+0</f>
        <v>1779</v>
      </c>
      <c r="F159" s="1530" t="s">
        <v>1178</v>
      </c>
      <c r="G159" s="1530"/>
      <c r="H159" s="1529" t="n">
        <v>0</v>
      </c>
      <c r="I159" s="1529" t="n">
        <v>36060.73</v>
      </c>
      <c r="J159" s="1529" t="n">
        <v>0</v>
      </c>
      <c r="K159" s="1529" t="n">
        <v>80000</v>
      </c>
      <c r="L159" s="1526" t="n">
        <v>0</v>
      </c>
      <c r="M159" s="1526" t="n">
        <v>1.46978</v>
      </c>
      <c r="N159" s="1531" t="n">
        <v>4</v>
      </c>
      <c r="O159" s="1529" t="n">
        <v>19</v>
      </c>
      <c r="T159" s="1528" t="n">
        <v>177</v>
      </c>
      <c r="U159" s="1528" t="s">
        <v>1180</v>
      </c>
      <c r="V159" s="1515" t="str">
        <f aca="false">MID(E159,LEN(E159),1)</f>
        <v>9</v>
      </c>
      <c r="W159" s="1515" t="s">
        <v>1181</v>
      </c>
    </row>
    <row r="160" s="1515" customFormat="true" ht="14.25" hidden="false" customHeight="false" outlineLevel="0" collapsed="false">
      <c r="B160" s="1515" t="n">
        <v>2025</v>
      </c>
      <c r="C160" s="1529" t="n">
        <v>178</v>
      </c>
      <c r="D160" s="359" t="n">
        <v>0</v>
      </c>
      <c r="E160" s="1524" t="n">
        <f aca="false">CONCATENATE(C160,IF(O160=19,9,IF(O160=6,6,IF(O160=4,4,0))))+0</f>
        <v>1780</v>
      </c>
      <c r="F160" s="1530" t="s">
        <v>1182</v>
      </c>
      <c r="G160" s="1530"/>
      <c r="H160" s="1529" t="n">
        <v>360.61</v>
      </c>
      <c r="I160" s="1529" t="n">
        <v>1352.28</v>
      </c>
      <c r="J160" s="1529" t="n">
        <v>575</v>
      </c>
      <c r="K160" s="1529" t="n">
        <v>5200</v>
      </c>
      <c r="L160" s="1526" t="n">
        <v>0.0147</v>
      </c>
      <c r="M160" s="1526" t="n">
        <v>0.05512</v>
      </c>
      <c r="N160" s="1531" t="n">
        <v>4</v>
      </c>
      <c r="O160" s="1529" t="n">
        <v>0</v>
      </c>
      <c r="T160" s="1528" t="n">
        <v>178</v>
      </c>
      <c r="U160" s="1528" t="s">
        <v>1182</v>
      </c>
      <c r="V160" s="1515" t="str">
        <f aca="false">MID(E160,LEN(E160),1)</f>
        <v>0</v>
      </c>
      <c r="W160" s="1515" t="s">
        <v>1181</v>
      </c>
    </row>
    <row r="161" s="1515" customFormat="true" ht="14.25" hidden="false" customHeight="false" outlineLevel="0" collapsed="false">
      <c r="B161" s="1515" t="n">
        <v>2025</v>
      </c>
      <c r="C161" s="1529" t="n">
        <v>178</v>
      </c>
      <c r="D161" s="359" t="n">
        <v>0</v>
      </c>
      <c r="E161" s="1524" t="n">
        <f aca="false">CONCATENATE(C161,IF(O161=19,9,IF(O161=6,6,IF(O161=4,4,0))))+0</f>
        <v>1784</v>
      </c>
      <c r="F161" s="1530" t="s">
        <v>1182</v>
      </c>
      <c r="G161" s="1530"/>
      <c r="H161" s="1529" t="n">
        <v>0</v>
      </c>
      <c r="I161" s="1529" t="n">
        <v>36060.73</v>
      </c>
      <c r="J161" s="1529" t="n">
        <v>0</v>
      </c>
      <c r="K161" s="1529" t="n">
        <v>80000</v>
      </c>
      <c r="L161" s="1526" t="n">
        <v>0</v>
      </c>
      <c r="M161" s="1526" t="n">
        <v>1.46978</v>
      </c>
      <c r="N161" s="1531" t="n">
        <v>4</v>
      </c>
      <c r="O161" s="1529" t="n">
        <v>4</v>
      </c>
      <c r="T161" s="1528" t="n">
        <v>178</v>
      </c>
      <c r="U161" s="1528" t="s">
        <v>1183</v>
      </c>
      <c r="V161" s="1515" t="str">
        <f aca="false">MID(E161,LEN(E161),1)</f>
        <v>4</v>
      </c>
      <c r="W161" s="1515" t="s">
        <v>1178</v>
      </c>
    </row>
    <row r="162" s="1515" customFormat="true" ht="14.25" hidden="false" customHeight="false" outlineLevel="0" collapsed="false">
      <c r="B162" s="1515" t="n">
        <v>2025</v>
      </c>
      <c r="C162" s="1529" t="n">
        <v>178</v>
      </c>
      <c r="D162" s="359" t="n">
        <v>0</v>
      </c>
      <c r="E162" s="1524" t="n">
        <f aca="false">CONCATENATE(C162,IF(O162=19,9,IF(O162=6,6,IF(O162=4,4,0))))+0</f>
        <v>1789</v>
      </c>
      <c r="F162" s="1530" t="s">
        <v>1182</v>
      </c>
      <c r="G162" s="1530"/>
      <c r="H162" s="1529" t="n">
        <v>0</v>
      </c>
      <c r="I162" s="1529" t="n">
        <v>36060.73</v>
      </c>
      <c r="J162" s="1529" t="n">
        <v>0</v>
      </c>
      <c r="K162" s="1529" t="n">
        <v>80000</v>
      </c>
      <c r="L162" s="1526" t="n">
        <v>0</v>
      </c>
      <c r="M162" s="1526" t="n">
        <v>1.46978</v>
      </c>
      <c r="N162" s="1531" t="n">
        <v>4</v>
      </c>
      <c r="O162" s="1529" t="n">
        <v>19</v>
      </c>
      <c r="T162" s="1528" t="n">
        <v>178</v>
      </c>
      <c r="U162" s="1528" t="s">
        <v>1184</v>
      </c>
      <c r="V162" s="1515" t="str">
        <f aca="false">MID(E162,LEN(E162),1)</f>
        <v>9</v>
      </c>
      <c r="W162" s="1515" t="s">
        <v>1185</v>
      </c>
    </row>
    <row r="163" s="1515" customFormat="true" ht="14.25" hidden="false" customHeight="false" outlineLevel="0" collapsed="false">
      <c r="B163" s="1515" t="n">
        <v>2025</v>
      </c>
      <c r="C163" s="1529" t="n">
        <v>179</v>
      </c>
      <c r="D163" s="359" t="n">
        <v>0</v>
      </c>
      <c r="E163" s="1524" t="n">
        <f aca="false">CONCATENATE(C163,IF(O163=19,9,IF(O163=6,6,IF(O163=4,4,0))))+0</f>
        <v>1790</v>
      </c>
      <c r="F163" s="1530" t="s">
        <v>1186</v>
      </c>
      <c r="G163" s="1530"/>
      <c r="H163" s="1529" t="n">
        <v>360.61</v>
      </c>
      <c r="I163" s="1529" t="n">
        <v>1352.28</v>
      </c>
      <c r="J163" s="1529" t="n">
        <v>575</v>
      </c>
      <c r="K163" s="1529" t="n">
        <v>5200</v>
      </c>
      <c r="L163" s="1526" t="n">
        <v>0.0147</v>
      </c>
      <c r="M163" s="1526" t="n">
        <v>0.05512</v>
      </c>
      <c r="N163" s="1531" t="n">
        <v>4</v>
      </c>
      <c r="O163" s="1529" t="n">
        <v>0</v>
      </c>
      <c r="T163" s="1528" t="n">
        <v>179</v>
      </c>
      <c r="U163" s="1528" t="s">
        <v>1186</v>
      </c>
      <c r="V163" s="1515" t="str">
        <f aca="false">MID(E163,LEN(E163),1)</f>
        <v>0</v>
      </c>
      <c r="W163" s="1515" t="s">
        <v>1185</v>
      </c>
    </row>
    <row r="164" s="1515" customFormat="true" ht="14.25" hidden="false" customHeight="false" outlineLevel="0" collapsed="false">
      <c r="B164" s="1515" t="n">
        <v>2025</v>
      </c>
      <c r="C164" s="1529" t="n">
        <v>179</v>
      </c>
      <c r="D164" s="359" t="n">
        <v>0</v>
      </c>
      <c r="E164" s="1524" t="n">
        <f aca="false">CONCATENATE(C164,IF(O164=19,9,IF(O164=6,6,IF(O164=4,4,0))))+0</f>
        <v>1794</v>
      </c>
      <c r="F164" s="1530" t="s">
        <v>1186</v>
      </c>
      <c r="G164" s="1530"/>
      <c r="H164" s="1529" t="n">
        <v>0</v>
      </c>
      <c r="I164" s="1529" t="n">
        <v>36060.73</v>
      </c>
      <c r="J164" s="1529" t="n">
        <v>0</v>
      </c>
      <c r="K164" s="1529" t="n">
        <v>80000</v>
      </c>
      <c r="L164" s="1526" t="n">
        <v>0</v>
      </c>
      <c r="M164" s="1526" t="n">
        <v>1.46978</v>
      </c>
      <c r="N164" s="1531" t="n">
        <v>4</v>
      </c>
      <c r="O164" s="1529" t="n">
        <v>4</v>
      </c>
      <c r="T164" s="1528" t="n">
        <v>179</v>
      </c>
      <c r="U164" s="1528" t="s">
        <v>1187</v>
      </c>
      <c r="V164" s="1515" t="str">
        <f aca="false">MID(E164,LEN(E164),1)</f>
        <v>4</v>
      </c>
      <c r="W164" s="1515" t="s">
        <v>1182</v>
      </c>
    </row>
    <row r="165" s="1515" customFormat="true" ht="14.25" hidden="false" customHeight="false" outlineLevel="0" collapsed="false">
      <c r="B165" s="1515" t="n">
        <v>2025</v>
      </c>
      <c r="C165" s="1529" t="n">
        <v>179</v>
      </c>
      <c r="D165" s="359" t="n">
        <v>0</v>
      </c>
      <c r="E165" s="1524" t="n">
        <f aca="false">CONCATENATE(C165,IF(O165=19,9,IF(O165=6,6,IF(O165=4,4,0))))+0</f>
        <v>1799</v>
      </c>
      <c r="F165" s="1530" t="s">
        <v>1186</v>
      </c>
      <c r="G165" s="1530"/>
      <c r="H165" s="1529" t="n">
        <v>0</v>
      </c>
      <c r="I165" s="1529" t="n">
        <v>36060.73</v>
      </c>
      <c r="J165" s="1529" t="n">
        <v>0</v>
      </c>
      <c r="K165" s="1529" t="n">
        <v>80000</v>
      </c>
      <c r="L165" s="1526" t="n">
        <v>0</v>
      </c>
      <c r="M165" s="1526" t="n">
        <v>1.46978</v>
      </c>
      <c r="N165" s="1531" t="n">
        <v>4</v>
      </c>
      <c r="O165" s="1529" t="n">
        <v>19</v>
      </c>
      <c r="T165" s="1528" t="n">
        <v>179</v>
      </c>
      <c r="U165" s="1528" t="s">
        <v>1188</v>
      </c>
      <c r="V165" s="1515" t="str">
        <f aca="false">MID(E165,LEN(E165),1)</f>
        <v>9</v>
      </c>
      <c r="W165" s="1515" t="s">
        <v>1189</v>
      </c>
    </row>
    <row r="166" s="1515" customFormat="true" ht="14.25" hidden="false" customHeight="false" outlineLevel="0" collapsed="false">
      <c r="B166" s="1515" t="n">
        <v>2025</v>
      </c>
      <c r="C166" s="1529" t="n">
        <v>181</v>
      </c>
      <c r="D166" s="359" t="n">
        <v>0</v>
      </c>
      <c r="E166" s="1524" t="n">
        <f aca="false">CONCATENATE(C166,IF(O166=19,9,IF(O166=6,6,IF(O166=4,4,0))))+0</f>
        <v>1810</v>
      </c>
      <c r="F166" s="1530" t="s">
        <v>1190</v>
      </c>
      <c r="G166" s="1530"/>
      <c r="H166" s="1529" t="n">
        <v>360.61</v>
      </c>
      <c r="I166" s="1529" t="n">
        <v>1352.28</v>
      </c>
      <c r="J166" s="1529" t="n">
        <v>575</v>
      </c>
      <c r="K166" s="1529" t="n">
        <v>5200</v>
      </c>
      <c r="L166" s="1526" t="n">
        <v>0.0147</v>
      </c>
      <c r="M166" s="1526" t="n">
        <v>0.05512</v>
      </c>
      <c r="N166" s="1531" t="n">
        <v>4</v>
      </c>
      <c r="O166" s="1529" t="n">
        <v>0</v>
      </c>
      <c r="T166" s="1528" t="n">
        <v>181</v>
      </c>
      <c r="U166" s="1528" t="s">
        <v>1190</v>
      </c>
      <c r="V166" s="1515" t="str">
        <f aca="false">MID(E166,LEN(E166),1)</f>
        <v>0</v>
      </c>
      <c r="W166" s="1515" t="s">
        <v>1189</v>
      </c>
    </row>
    <row r="167" s="1515" customFormat="true" ht="14.25" hidden="false" customHeight="false" outlineLevel="0" collapsed="false">
      <c r="B167" s="1515" t="n">
        <v>2025</v>
      </c>
      <c r="C167" s="1529" t="n">
        <v>181</v>
      </c>
      <c r="D167" s="359" t="n">
        <v>0</v>
      </c>
      <c r="E167" s="1524" t="n">
        <f aca="false">CONCATENATE(C167,IF(O167=19,9,IF(O167=6,6,IF(O167=4,4,0))))+0</f>
        <v>1814</v>
      </c>
      <c r="F167" s="1530" t="s">
        <v>1190</v>
      </c>
      <c r="G167" s="1530"/>
      <c r="H167" s="1529" t="n">
        <v>0</v>
      </c>
      <c r="I167" s="1529" t="n">
        <v>36060.73</v>
      </c>
      <c r="J167" s="1529" t="n">
        <v>0</v>
      </c>
      <c r="K167" s="1529" t="n">
        <v>80000</v>
      </c>
      <c r="L167" s="1526" t="n">
        <v>0</v>
      </c>
      <c r="M167" s="1526" t="n">
        <v>1.46978</v>
      </c>
      <c r="N167" s="1531" t="n">
        <v>4</v>
      </c>
      <c r="O167" s="1529" t="n">
        <v>4</v>
      </c>
      <c r="T167" s="1528" t="n">
        <v>181</v>
      </c>
      <c r="U167" s="1528" t="s">
        <v>1191</v>
      </c>
      <c r="V167" s="1515" t="str">
        <f aca="false">MID(E167,LEN(E167),1)</f>
        <v>4</v>
      </c>
      <c r="W167" s="1515" t="s">
        <v>1186</v>
      </c>
    </row>
    <row r="168" s="1515" customFormat="true" ht="14.25" hidden="false" customHeight="false" outlineLevel="0" collapsed="false">
      <c r="B168" s="1515" t="n">
        <v>2025</v>
      </c>
      <c r="C168" s="1529" t="n">
        <v>181</v>
      </c>
      <c r="D168" s="359" t="n">
        <v>0</v>
      </c>
      <c r="E168" s="1524" t="n">
        <f aca="false">CONCATENATE(C168,IF(O168=19,9,IF(O168=6,6,IF(O168=4,4,0))))+0</f>
        <v>1819</v>
      </c>
      <c r="F168" s="1530" t="s">
        <v>1190</v>
      </c>
      <c r="G168" s="1530"/>
      <c r="H168" s="1529" t="n">
        <v>0</v>
      </c>
      <c r="I168" s="1529" t="n">
        <v>36060.73</v>
      </c>
      <c r="J168" s="1529" t="n">
        <v>0</v>
      </c>
      <c r="K168" s="1529" t="n">
        <v>80000</v>
      </c>
      <c r="L168" s="1526" t="n">
        <v>0</v>
      </c>
      <c r="M168" s="1526" t="n">
        <v>1.46978</v>
      </c>
      <c r="N168" s="1531" t="n">
        <v>4</v>
      </c>
      <c r="O168" s="1529" t="n">
        <v>19</v>
      </c>
      <c r="T168" s="1528" t="n">
        <v>181</v>
      </c>
      <c r="U168" s="1528" t="s">
        <v>1192</v>
      </c>
      <c r="V168" s="1515" t="str">
        <f aca="false">MID(E168,LEN(E168),1)</f>
        <v>9</v>
      </c>
      <c r="W168" s="1515" t="s">
        <v>1193</v>
      </c>
    </row>
    <row r="169" s="1515" customFormat="true" ht="14.25" hidden="false" customHeight="false" outlineLevel="0" collapsed="false">
      <c r="B169" s="1515" t="n">
        <v>2025</v>
      </c>
      <c r="C169" s="1529" t="n">
        <v>182</v>
      </c>
      <c r="D169" s="359" t="n">
        <v>0</v>
      </c>
      <c r="E169" s="1524" t="n">
        <f aca="false">CONCATENATE(C169,IF(O169=19,9,IF(O169=6,6,IF(O169=4,4,0))))+0</f>
        <v>1820</v>
      </c>
      <c r="F169" s="1530" t="s">
        <v>1194</v>
      </c>
      <c r="G169" s="1530"/>
      <c r="H169" s="1529" t="n">
        <v>360.61</v>
      </c>
      <c r="I169" s="1529" t="n">
        <v>1352.28</v>
      </c>
      <c r="J169" s="1529" t="n">
        <v>575</v>
      </c>
      <c r="K169" s="1529" t="n">
        <v>5200</v>
      </c>
      <c r="L169" s="1526" t="n">
        <v>0.0147</v>
      </c>
      <c r="M169" s="1526" t="n">
        <v>0.05512</v>
      </c>
      <c r="N169" s="1531" t="n">
        <v>4</v>
      </c>
      <c r="O169" s="1529" t="n">
        <v>0</v>
      </c>
      <c r="T169" s="1528" t="n">
        <v>182</v>
      </c>
      <c r="U169" s="1528" t="s">
        <v>1194</v>
      </c>
      <c r="V169" s="1515" t="str">
        <f aca="false">MID(E169,LEN(E169),1)</f>
        <v>0</v>
      </c>
      <c r="W169" s="1515" t="s">
        <v>1193</v>
      </c>
    </row>
    <row r="170" s="1515" customFormat="true" ht="14.25" hidden="false" customHeight="false" outlineLevel="0" collapsed="false">
      <c r="B170" s="1515" t="n">
        <v>2025</v>
      </c>
      <c r="C170" s="1529" t="n">
        <v>182</v>
      </c>
      <c r="D170" s="359" t="n">
        <v>0</v>
      </c>
      <c r="E170" s="1524" t="n">
        <f aca="false">CONCATENATE(C170,IF(O170=19,9,IF(O170=6,6,IF(O170=4,4,0))))+0</f>
        <v>1824</v>
      </c>
      <c r="F170" s="1530" t="s">
        <v>1194</v>
      </c>
      <c r="G170" s="1530"/>
      <c r="H170" s="1529" t="n">
        <v>0</v>
      </c>
      <c r="I170" s="1529" t="n">
        <v>36060.73</v>
      </c>
      <c r="J170" s="1529" t="n">
        <v>0</v>
      </c>
      <c r="K170" s="1529" t="n">
        <v>80000</v>
      </c>
      <c r="L170" s="1526" t="n">
        <v>0</v>
      </c>
      <c r="M170" s="1526" t="n">
        <v>1.46978</v>
      </c>
      <c r="N170" s="1531" t="n">
        <v>4</v>
      </c>
      <c r="O170" s="1529" t="n">
        <v>4</v>
      </c>
      <c r="T170" s="1528" t="n">
        <v>182</v>
      </c>
      <c r="U170" s="1528" t="s">
        <v>1195</v>
      </c>
      <c r="V170" s="1515" t="str">
        <f aca="false">MID(E170,LEN(E170),1)</f>
        <v>4</v>
      </c>
      <c r="W170" s="1515" t="s">
        <v>1190</v>
      </c>
    </row>
    <row r="171" s="1515" customFormat="true" ht="14.25" hidden="false" customHeight="false" outlineLevel="0" collapsed="false">
      <c r="B171" s="1515" t="n">
        <v>2025</v>
      </c>
      <c r="C171" s="1529" t="n">
        <v>182</v>
      </c>
      <c r="D171" s="359" t="n">
        <v>0</v>
      </c>
      <c r="E171" s="1524" t="n">
        <f aca="false">CONCATENATE(C171,IF(O171=19,9,IF(O171=6,6,IF(O171=4,4,0))))+0</f>
        <v>1829</v>
      </c>
      <c r="F171" s="1530" t="s">
        <v>1194</v>
      </c>
      <c r="G171" s="1530"/>
      <c r="H171" s="1529" t="n">
        <v>0</v>
      </c>
      <c r="I171" s="1529" t="n">
        <v>36060.73</v>
      </c>
      <c r="J171" s="1529" t="n">
        <v>0</v>
      </c>
      <c r="K171" s="1529" t="n">
        <v>80000</v>
      </c>
      <c r="L171" s="1526" t="n">
        <v>0</v>
      </c>
      <c r="M171" s="1526" t="n">
        <v>1.46978</v>
      </c>
      <c r="N171" s="1531" t="n">
        <v>4</v>
      </c>
      <c r="O171" s="1529" t="n">
        <v>19</v>
      </c>
      <c r="T171" s="1528" t="n">
        <v>182</v>
      </c>
      <c r="U171" s="1528" t="s">
        <v>1196</v>
      </c>
      <c r="V171" s="1515" t="str">
        <f aca="false">MID(E171,LEN(E171),1)</f>
        <v>9</v>
      </c>
      <c r="W171" s="1515" t="s">
        <v>1197</v>
      </c>
    </row>
    <row r="172" s="1515" customFormat="true" ht="14.25" hidden="false" customHeight="false" outlineLevel="0" collapsed="false">
      <c r="B172" s="1515" t="n">
        <v>2025</v>
      </c>
      <c r="C172" s="1529" t="n">
        <v>183</v>
      </c>
      <c r="D172" s="359" t="n">
        <v>0</v>
      </c>
      <c r="E172" s="1524" t="n">
        <f aca="false">CONCATENATE(C172,IF(O172=19,9,IF(O172=6,6,IF(O172=4,4,0))))+0</f>
        <v>1830</v>
      </c>
      <c r="F172" s="1530" t="s">
        <v>1198</v>
      </c>
      <c r="G172" s="1530"/>
      <c r="H172" s="1529" t="n">
        <v>360.61</v>
      </c>
      <c r="I172" s="1529" t="n">
        <v>1352.28</v>
      </c>
      <c r="J172" s="1529" t="n">
        <v>575</v>
      </c>
      <c r="K172" s="1529" t="n">
        <v>8500</v>
      </c>
      <c r="L172" s="1526" t="n">
        <v>0.0147</v>
      </c>
      <c r="M172" s="1526" t="n">
        <v>0.05512</v>
      </c>
      <c r="N172" s="1531" t="n">
        <v>4</v>
      </c>
      <c r="O172" s="1529" t="n">
        <v>0</v>
      </c>
      <c r="T172" s="1528" t="n">
        <v>183</v>
      </c>
      <c r="U172" s="1528" t="s">
        <v>1199</v>
      </c>
      <c r="V172" s="1515" t="str">
        <f aca="false">MID(E172,LEN(E172),1)</f>
        <v>0</v>
      </c>
      <c r="W172" s="1515" t="s">
        <v>1197</v>
      </c>
    </row>
    <row r="173" s="1515" customFormat="true" ht="14.25" hidden="false" customHeight="false" outlineLevel="0" collapsed="false">
      <c r="B173" s="1515" t="n">
        <v>2025</v>
      </c>
      <c r="C173" s="1529" t="n">
        <v>183</v>
      </c>
      <c r="D173" s="359" t="n">
        <v>0</v>
      </c>
      <c r="E173" s="1524" t="n">
        <f aca="false">CONCATENATE(C173,IF(O173=19,9,IF(O173=6,6,IF(O173=4,4,0))))+0</f>
        <v>1834</v>
      </c>
      <c r="F173" s="1530" t="s">
        <v>1198</v>
      </c>
      <c r="G173" s="1530"/>
      <c r="H173" s="1529" t="n">
        <v>0</v>
      </c>
      <c r="I173" s="1529" t="n">
        <v>36060.73</v>
      </c>
      <c r="J173" s="1529" t="n">
        <v>0</v>
      </c>
      <c r="K173" s="1529" t="n">
        <v>80000</v>
      </c>
      <c r="L173" s="1526" t="n">
        <v>0</v>
      </c>
      <c r="M173" s="1526" t="n">
        <v>1.46978</v>
      </c>
      <c r="N173" s="1531" t="n">
        <v>4</v>
      </c>
      <c r="O173" s="1529" t="n">
        <v>4</v>
      </c>
      <c r="T173" s="1528" t="n">
        <v>183</v>
      </c>
      <c r="U173" s="1528" t="s">
        <v>1200</v>
      </c>
      <c r="V173" s="1515" t="str">
        <f aca="false">MID(E173,LEN(E173),1)</f>
        <v>4</v>
      </c>
      <c r="W173" s="1515" t="s">
        <v>1194</v>
      </c>
    </row>
    <row r="174" s="1515" customFormat="true" ht="14.25" hidden="false" customHeight="false" outlineLevel="0" collapsed="false">
      <c r="B174" s="1515" t="n">
        <v>2025</v>
      </c>
      <c r="C174" s="1529" t="n">
        <v>183</v>
      </c>
      <c r="D174" s="359" t="n">
        <v>0</v>
      </c>
      <c r="E174" s="1524" t="n">
        <f aca="false">CONCATENATE(C174,IF(O174=19,9,IF(O174=6,6,IF(O174=4,4,0))))+0</f>
        <v>1839</v>
      </c>
      <c r="F174" s="1530" t="s">
        <v>1198</v>
      </c>
      <c r="G174" s="1530"/>
      <c r="H174" s="1529" t="n">
        <v>0</v>
      </c>
      <c r="I174" s="1529" t="n">
        <v>36060.73</v>
      </c>
      <c r="J174" s="1529" t="n">
        <v>0</v>
      </c>
      <c r="K174" s="1529" t="n">
        <v>80000</v>
      </c>
      <c r="L174" s="1526" t="n">
        <v>0</v>
      </c>
      <c r="M174" s="1526" t="n">
        <v>1.46978</v>
      </c>
      <c r="N174" s="1531" t="n">
        <v>4</v>
      </c>
      <c r="O174" s="1529" t="n">
        <v>19</v>
      </c>
      <c r="T174" s="1528" t="n">
        <v>183</v>
      </c>
      <c r="U174" s="1528" t="s">
        <v>1198</v>
      </c>
      <c r="V174" s="1515" t="str">
        <f aca="false">MID(E174,LEN(E174),1)</f>
        <v>9</v>
      </c>
      <c r="W174" s="1515" t="s">
        <v>1201</v>
      </c>
    </row>
    <row r="175" s="1515" customFormat="true" ht="14.25" hidden="false" customHeight="false" outlineLevel="0" collapsed="false">
      <c r="B175" s="1515" t="n">
        <v>2025</v>
      </c>
      <c r="C175" s="1529" t="n">
        <v>184</v>
      </c>
      <c r="D175" s="359" t="n">
        <v>0</v>
      </c>
      <c r="E175" s="1524" t="n">
        <f aca="false">CONCATENATE(C175,IF(O175=19,9,IF(O175=6,6,IF(O175=4,4,0))))+0</f>
        <v>1840</v>
      </c>
      <c r="F175" s="1530" t="s">
        <v>1202</v>
      </c>
      <c r="G175" s="1530"/>
      <c r="H175" s="1529" t="n">
        <v>360.61</v>
      </c>
      <c r="I175" s="1529" t="n">
        <v>1352.28</v>
      </c>
      <c r="J175" s="1529" t="n">
        <v>575</v>
      </c>
      <c r="K175" s="1529" t="n">
        <v>5200</v>
      </c>
      <c r="L175" s="1526" t="n">
        <v>0.0147</v>
      </c>
      <c r="M175" s="1526" t="n">
        <v>0.05512</v>
      </c>
      <c r="N175" s="1531" t="n">
        <v>4</v>
      </c>
      <c r="O175" s="1529" t="n">
        <v>0</v>
      </c>
      <c r="T175" s="1528" t="n">
        <v>184</v>
      </c>
      <c r="U175" s="1528" t="s">
        <v>1202</v>
      </c>
      <c r="V175" s="1515" t="str">
        <f aca="false">MID(E175,LEN(E175),1)</f>
        <v>0</v>
      </c>
      <c r="W175" s="1515" t="s">
        <v>1201</v>
      </c>
    </row>
    <row r="176" s="1515" customFormat="true" ht="14.25" hidden="false" customHeight="false" outlineLevel="0" collapsed="false">
      <c r="B176" s="1515" t="n">
        <v>2025</v>
      </c>
      <c r="C176" s="1529" t="n">
        <v>184</v>
      </c>
      <c r="D176" s="359" t="n">
        <v>0</v>
      </c>
      <c r="E176" s="1524" t="n">
        <f aca="false">CONCATENATE(C176,IF(O176=19,9,IF(O176=6,6,IF(O176=4,4,0))))+0</f>
        <v>1844</v>
      </c>
      <c r="F176" s="1530" t="s">
        <v>1202</v>
      </c>
      <c r="G176" s="1530"/>
      <c r="H176" s="1529" t="n">
        <v>0</v>
      </c>
      <c r="I176" s="1529" t="n">
        <v>36060.73</v>
      </c>
      <c r="J176" s="1529" t="n">
        <v>0</v>
      </c>
      <c r="K176" s="1529" t="n">
        <v>80000</v>
      </c>
      <c r="L176" s="1526" t="n">
        <v>0</v>
      </c>
      <c r="M176" s="1526" t="n">
        <v>1.46978</v>
      </c>
      <c r="N176" s="1531" t="n">
        <v>4</v>
      </c>
      <c r="O176" s="1529" t="n">
        <v>4</v>
      </c>
      <c r="T176" s="1528" t="n">
        <v>184</v>
      </c>
      <c r="U176" s="1528" t="s">
        <v>1203</v>
      </c>
      <c r="V176" s="1515" t="str">
        <f aca="false">MID(E176,LEN(E176),1)</f>
        <v>4</v>
      </c>
      <c r="W176" s="1515" t="s">
        <v>1198</v>
      </c>
    </row>
    <row r="177" s="1515" customFormat="true" ht="14.25" hidden="false" customHeight="false" outlineLevel="0" collapsed="false">
      <c r="B177" s="1515" t="n">
        <v>2025</v>
      </c>
      <c r="C177" s="1529" t="n">
        <v>184</v>
      </c>
      <c r="D177" s="359" t="n">
        <v>0</v>
      </c>
      <c r="E177" s="1524" t="n">
        <f aca="false">CONCATENATE(C177,IF(O177=19,9,IF(O177=6,6,IF(O177=4,4,0))))+0</f>
        <v>1849</v>
      </c>
      <c r="F177" s="1530" t="s">
        <v>1202</v>
      </c>
      <c r="G177" s="1530"/>
      <c r="H177" s="1529" t="n">
        <v>0</v>
      </c>
      <c r="I177" s="1529" t="n">
        <v>36060.73</v>
      </c>
      <c r="J177" s="1529" t="n">
        <v>0</v>
      </c>
      <c r="K177" s="1529" t="n">
        <v>80000</v>
      </c>
      <c r="L177" s="1526" t="n">
        <v>0</v>
      </c>
      <c r="M177" s="1526" t="n">
        <v>1.46978</v>
      </c>
      <c r="N177" s="1531" t="n">
        <v>4</v>
      </c>
      <c r="O177" s="1529" t="n">
        <v>19</v>
      </c>
      <c r="T177" s="1528" t="n">
        <v>184</v>
      </c>
      <c r="U177" s="1528" t="s">
        <v>1204</v>
      </c>
      <c r="V177" s="1515" t="str">
        <f aca="false">MID(E177,LEN(E177),1)</f>
        <v>9</v>
      </c>
      <c r="W177" s="1515" t="s">
        <v>1205</v>
      </c>
    </row>
    <row r="178" s="1515" customFormat="true" ht="14.25" hidden="false" customHeight="false" outlineLevel="0" collapsed="false">
      <c r="B178" s="1515" t="n">
        <v>2025</v>
      </c>
      <c r="C178" s="1529" t="n">
        <v>185</v>
      </c>
      <c r="D178" s="359" t="n">
        <v>0</v>
      </c>
      <c r="E178" s="1524" t="n">
        <f aca="false">CONCATENATE(C178,IF(O178=19,9,IF(O178=6,6,IF(O178=4,4,0))))+0</f>
        <v>1850</v>
      </c>
      <c r="F178" s="1530" t="s">
        <v>1206</v>
      </c>
      <c r="G178" s="1530"/>
      <c r="H178" s="1529" t="n">
        <v>360.61</v>
      </c>
      <c r="I178" s="1529" t="n">
        <v>1352.28</v>
      </c>
      <c r="J178" s="1529" t="n">
        <v>575</v>
      </c>
      <c r="K178" s="1529" t="n">
        <v>5200</v>
      </c>
      <c r="L178" s="1526" t="n">
        <v>0.0147</v>
      </c>
      <c r="M178" s="1526" t="n">
        <v>0.05512</v>
      </c>
      <c r="N178" s="1531" t="n">
        <v>4</v>
      </c>
      <c r="O178" s="1529" t="n">
        <v>0</v>
      </c>
      <c r="T178" s="1528" t="n">
        <v>185</v>
      </c>
      <c r="U178" s="1528" t="s">
        <v>1206</v>
      </c>
      <c r="V178" s="1515" t="str">
        <f aca="false">MID(E178,LEN(E178),1)</f>
        <v>0</v>
      </c>
      <c r="W178" s="1515" t="s">
        <v>1205</v>
      </c>
    </row>
    <row r="179" s="1515" customFormat="true" ht="14.25" hidden="false" customHeight="false" outlineLevel="0" collapsed="false">
      <c r="B179" s="1515" t="n">
        <v>2025</v>
      </c>
      <c r="C179" s="1529" t="n">
        <v>185</v>
      </c>
      <c r="D179" s="359" t="n">
        <v>0</v>
      </c>
      <c r="E179" s="1524" t="n">
        <f aca="false">CONCATENATE(C179,IF(O179=19,9,IF(O179=6,6,IF(O179=4,4,0))))+0</f>
        <v>1854</v>
      </c>
      <c r="F179" s="1530" t="s">
        <v>1206</v>
      </c>
      <c r="G179" s="1530"/>
      <c r="H179" s="1529" t="n">
        <v>0</v>
      </c>
      <c r="I179" s="1529" t="n">
        <v>36060.73</v>
      </c>
      <c r="J179" s="1529" t="n">
        <v>0</v>
      </c>
      <c r="K179" s="1529" t="n">
        <v>80000</v>
      </c>
      <c r="L179" s="1526" t="n">
        <v>0</v>
      </c>
      <c r="M179" s="1526" t="n">
        <v>1.46978</v>
      </c>
      <c r="N179" s="1531" t="n">
        <v>4</v>
      </c>
      <c r="O179" s="1529" t="n">
        <v>4</v>
      </c>
      <c r="T179" s="1528" t="n">
        <v>185</v>
      </c>
      <c r="U179" s="1528" t="s">
        <v>1207</v>
      </c>
      <c r="V179" s="1515" t="str">
        <f aca="false">MID(E179,LEN(E179),1)</f>
        <v>4</v>
      </c>
      <c r="W179" s="1515" t="s">
        <v>1202</v>
      </c>
    </row>
    <row r="180" s="1515" customFormat="true" ht="14.25" hidden="false" customHeight="false" outlineLevel="0" collapsed="false">
      <c r="B180" s="1515" t="n">
        <v>2025</v>
      </c>
      <c r="C180" s="1529" t="n">
        <v>185</v>
      </c>
      <c r="D180" s="359" t="n">
        <v>0</v>
      </c>
      <c r="E180" s="1524" t="n">
        <f aca="false">CONCATENATE(C180,IF(O180=19,9,IF(O180=6,6,IF(O180=4,4,0))))+0</f>
        <v>1859</v>
      </c>
      <c r="F180" s="1530" t="s">
        <v>1206</v>
      </c>
      <c r="G180" s="1530"/>
      <c r="H180" s="1529" t="n">
        <v>0</v>
      </c>
      <c r="I180" s="1529" t="n">
        <v>36060.73</v>
      </c>
      <c r="J180" s="1529" t="n">
        <v>0</v>
      </c>
      <c r="K180" s="1529" t="n">
        <v>80000</v>
      </c>
      <c r="L180" s="1526" t="n">
        <v>0</v>
      </c>
      <c r="M180" s="1526" t="n">
        <v>1.46978</v>
      </c>
      <c r="N180" s="1531" t="n">
        <v>4</v>
      </c>
      <c r="O180" s="1529" t="n">
        <v>19</v>
      </c>
      <c r="T180" s="1528" t="n">
        <v>185</v>
      </c>
      <c r="U180" s="1528" t="s">
        <v>1208</v>
      </c>
      <c r="V180" s="1515" t="str">
        <f aca="false">MID(E180,LEN(E180),1)</f>
        <v>9</v>
      </c>
      <c r="W180" s="1515" t="s">
        <v>1209</v>
      </c>
    </row>
    <row r="181" s="1515" customFormat="true" ht="14.25" hidden="false" customHeight="false" outlineLevel="0" collapsed="false">
      <c r="B181" s="1515" t="n">
        <v>2025</v>
      </c>
      <c r="C181" s="1529" t="n">
        <v>186</v>
      </c>
      <c r="D181" s="359" t="n">
        <v>0</v>
      </c>
      <c r="E181" s="1524" t="n">
        <f aca="false">CONCATENATE(C181,IF(O181=19,9,IF(O181=6,6,IF(O181=4,4,0))))+0</f>
        <v>1860</v>
      </c>
      <c r="F181" s="1530" t="s">
        <v>1210</v>
      </c>
      <c r="G181" s="1530"/>
      <c r="H181" s="1529" t="n">
        <v>360.61</v>
      </c>
      <c r="I181" s="1529" t="n">
        <v>1352.28</v>
      </c>
      <c r="J181" s="1529" t="n">
        <v>575</v>
      </c>
      <c r="K181" s="1529" t="n">
        <v>5200</v>
      </c>
      <c r="L181" s="1526" t="n">
        <v>0.0147</v>
      </c>
      <c r="M181" s="1526" t="n">
        <v>0.05512</v>
      </c>
      <c r="N181" s="1531" t="n">
        <v>4</v>
      </c>
      <c r="O181" s="1529" t="n">
        <v>0</v>
      </c>
      <c r="T181" s="1528" t="n">
        <v>186</v>
      </c>
      <c r="U181" s="1528" t="s">
        <v>1210</v>
      </c>
      <c r="V181" s="1515" t="str">
        <f aca="false">MID(E181,LEN(E181),1)</f>
        <v>0</v>
      </c>
      <c r="W181" s="1515" t="s">
        <v>1209</v>
      </c>
    </row>
    <row r="182" s="1515" customFormat="true" ht="14.25" hidden="false" customHeight="false" outlineLevel="0" collapsed="false">
      <c r="B182" s="1515" t="n">
        <v>2025</v>
      </c>
      <c r="C182" s="1529" t="n">
        <v>186</v>
      </c>
      <c r="D182" s="359" t="n">
        <v>0</v>
      </c>
      <c r="E182" s="1524" t="n">
        <f aca="false">CONCATENATE(C182,IF(O182=19,9,IF(O182=6,6,IF(O182=4,4,0))))+0</f>
        <v>1864</v>
      </c>
      <c r="F182" s="1530" t="s">
        <v>1210</v>
      </c>
      <c r="G182" s="1530"/>
      <c r="H182" s="1529" t="n">
        <v>0</v>
      </c>
      <c r="I182" s="1529" t="n">
        <v>36060.73</v>
      </c>
      <c r="J182" s="1529" t="n">
        <v>0</v>
      </c>
      <c r="K182" s="1529" t="n">
        <v>80000</v>
      </c>
      <c r="L182" s="1526" t="n">
        <v>0</v>
      </c>
      <c r="M182" s="1526" t="n">
        <v>1.46978</v>
      </c>
      <c r="N182" s="1531" t="n">
        <v>4</v>
      </c>
      <c r="O182" s="1529" t="n">
        <v>4</v>
      </c>
      <c r="T182" s="1528" t="n">
        <v>186</v>
      </c>
      <c r="U182" s="1528" t="s">
        <v>1211</v>
      </c>
      <c r="V182" s="1515" t="str">
        <f aca="false">MID(E182,LEN(E182),1)</f>
        <v>4</v>
      </c>
      <c r="W182" s="1515" t="s">
        <v>1206</v>
      </c>
    </row>
    <row r="183" s="1515" customFormat="true" ht="14.25" hidden="false" customHeight="false" outlineLevel="0" collapsed="false">
      <c r="B183" s="1515" t="n">
        <v>2025</v>
      </c>
      <c r="C183" s="1529" t="n">
        <v>186</v>
      </c>
      <c r="D183" s="359" t="n">
        <v>0</v>
      </c>
      <c r="E183" s="1524" t="n">
        <f aca="false">CONCATENATE(C183,IF(O183=19,9,IF(O183=6,6,IF(O183=4,4,0))))+0</f>
        <v>1869</v>
      </c>
      <c r="F183" s="1530" t="s">
        <v>1210</v>
      </c>
      <c r="G183" s="1530"/>
      <c r="H183" s="1529" t="n">
        <v>0</v>
      </c>
      <c r="I183" s="1529" t="n">
        <v>36060.73</v>
      </c>
      <c r="J183" s="1529" t="n">
        <v>0</v>
      </c>
      <c r="K183" s="1529" t="n">
        <v>80000</v>
      </c>
      <c r="L183" s="1526" t="n">
        <v>0</v>
      </c>
      <c r="M183" s="1526" t="n">
        <v>1.46978</v>
      </c>
      <c r="N183" s="1531" t="n">
        <v>4</v>
      </c>
      <c r="O183" s="1529" t="n">
        <v>19</v>
      </c>
      <c r="T183" s="1528" t="n">
        <v>186</v>
      </c>
      <c r="U183" s="1528" t="s">
        <v>1212</v>
      </c>
      <c r="V183" s="1515" t="str">
        <f aca="false">MID(E183,LEN(E183),1)</f>
        <v>9</v>
      </c>
      <c r="W183" s="1515" t="s">
        <v>1213</v>
      </c>
    </row>
    <row r="184" s="1515" customFormat="true" ht="14.25" hidden="false" customHeight="false" outlineLevel="0" collapsed="false">
      <c r="B184" s="1515" t="n">
        <v>2025</v>
      </c>
      <c r="C184" s="1529" t="n">
        <v>187</v>
      </c>
      <c r="D184" s="359" t="n">
        <v>0</v>
      </c>
      <c r="E184" s="1524" t="n">
        <f aca="false">CONCATENATE(C184,IF(O184=19,9,IF(O184=6,6,IF(O184=4,4,0))))+0</f>
        <v>1870</v>
      </c>
      <c r="F184" s="1530" t="s">
        <v>1214</v>
      </c>
      <c r="G184" s="1530"/>
      <c r="H184" s="1529" t="n">
        <v>360.61</v>
      </c>
      <c r="I184" s="1529" t="n">
        <v>1352.28</v>
      </c>
      <c r="J184" s="1529" t="n">
        <v>575</v>
      </c>
      <c r="K184" s="1529" t="n">
        <v>8200</v>
      </c>
      <c r="L184" s="1526" t="n">
        <v>0.0147</v>
      </c>
      <c r="M184" s="1526" t="n">
        <v>0.05512</v>
      </c>
      <c r="N184" s="1531" t="n">
        <v>4</v>
      </c>
      <c r="O184" s="1529" t="n">
        <v>0</v>
      </c>
      <c r="T184" s="1528" t="n">
        <v>187</v>
      </c>
      <c r="U184" s="1528" t="s">
        <v>1214</v>
      </c>
      <c r="V184" s="1515" t="str">
        <f aca="false">MID(E184,LEN(E184),1)</f>
        <v>0</v>
      </c>
      <c r="W184" s="1515" t="s">
        <v>1213</v>
      </c>
    </row>
    <row r="185" s="1515" customFormat="true" ht="14.25" hidden="false" customHeight="false" outlineLevel="0" collapsed="false">
      <c r="B185" s="1515" t="n">
        <v>2025</v>
      </c>
      <c r="C185" s="1529" t="n">
        <v>187</v>
      </c>
      <c r="D185" s="359" t="n">
        <v>0</v>
      </c>
      <c r="E185" s="1524" t="n">
        <f aca="false">CONCATENATE(C185,IF(O185=19,9,IF(O185=6,6,IF(O185=4,4,0))))+0</f>
        <v>1874</v>
      </c>
      <c r="F185" s="1530" t="s">
        <v>1214</v>
      </c>
      <c r="G185" s="1530"/>
      <c r="H185" s="1529" t="n">
        <v>0</v>
      </c>
      <c r="I185" s="1529" t="n">
        <v>36060.73</v>
      </c>
      <c r="J185" s="1529" t="n">
        <v>0</v>
      </c>
      <c r="K185" s="1529" t="n">
        <v>80000</v>
      </c>
      <c r="L185" s="1526" t="n">
        <v>0</v>
      </c>
      <c r="M185" s="1526" t="n">
        <v>1.46978</v>
      </c>
      <c r="N185" s="1531" t="n">
        <v>4</v>
      </c>
      <c r="O185" s="1529" t="n">
        <v>4</v>
      </c>
      <c r="T185" s="1528" t="n">
        <v>187</v>
      </c>
      <c r="U185" s="1528" t="s">
        <v>1215</v>
      </c>
      <c r="V185" s="1515" t="str">
        <f aca="false">MID(E185,LEN(E185),1)</f>
        <v>4</v>
      </c>
      <c r="W185" s="1515" t="s">
        <v>1210</v>
      </c>
    </row>
    <row r="186" s="1515" customFormat="true" ht="14.25" hidden="false" customHeight="false" outlineLevel="0" collapsed="false">
      <c r="B186" s="1515" t="n">
        <v>2025</v>
      </c>
      <c r="C186" s="1529" t="n">
        <v>187</v>
      </c>
      <c r="D186" s="359" t="n">
        <v>0</v>
      </c>
      <c r="E186" s="1524" t="n">
        <f aca="false">CONCATENATE(C186,IF(O186=19,9,IF(O186=6,6,IF(O186=4,4,0))))+0</f>
        <v>1879</v>
      </c>
      <c r="F186" s="1530" t="s">
        <v>1214</v>
      </c>
      <c r="G186" s="1530"/>
      <c r="H186" s="1529" t="n">
        <v>0</v>
      </c>
      <c r="I186" s="1529" t="n">
        <v>36060.73</v>
      </c>
      <c r="J186" s="1529" t="n">
        <v>0</v>
      </c>
      <c r="K186" s="1529" t="n">
        <v>80000</v>
      </c>
      <c r="L186" s="1526" t="n">
        <v>0</v>
      </c>
      <c r="M186" s="1526" t="n">
        <v>1.46978</v>
      </c>
      <c r="N186" s="1531" t="n">
        <v>4</v>
      </c>
      <c r="O186" s="1529" t="n">
        <v>19</v>
      </c>
      <c r="T186" s="1528" t="n">
        <v>187</v>
      </c>
      <c r="U186" s="1528" t="s">
        <v>1216</v>
      </c>
      <c r="V186" s="1515" t="str">
        <f aca="false">MID(E186,LEN(E186),1)</f>
        <v>9</v>
      </c>
      <c r="W186" s="1515" t="s">
        <v>1217</v>
      </c>
    </row>
    <row r="187" s="1515" customFormat="true" ht="14.25" hidden="false" customHeight="false" outlineLevel="0" collapsed="false">
      <c r="B187" s="1515" t="n">
        <v>2025</v>
      </c>
      <c r="C187" s="1529" t="n">
        <v>189</v>
      </c>
      <c r="D187" s="359" t="n">
        <v>0</v>
      </c>
      <c r="E187" s="1524" t="n">
        <f aca="false">CONCATENATE(C187,IF(O187=19,9,IF(O187=6,6,IF(O187=4,4,0))))+0</f>
        <v>1890</v>
      </c>
      <c r="F187" s="1530" t="s">
        <v>1218</v>
      </c>
      <c r="G187" s="1530"/>
      <c r="H187" s="1529" t="n">
        <v>360.61</v>
      </c>
      <c r="I187" s="1529" t="n">
        <v>1352.28</v>
      </c>
      <c r="J187" s="1529" t="n">
        <v>575</v>
      </c>
      <c r="K187" s="1529" t="n">
        <v>7200</v>
      </c>
      <c r="L187" s="1526" t="n">
        <v>0.0147</v>
      </c>
      <c r="M187" s="1526" t="n">
        <v>0.05512</v>
      </c>
      <c r="N187" s="1531" t="n">
        <v>4</v>
      </c>
      <c r="O187" s="1529" t="n">
        <v>0</v>
      </c>
      <c r="T187" s="1528" t="n">
        <v>189</v>
      </c>
      <c r="U187" s="1528" t="s">
        <v>1218</v>
      </c>
      <c r="V187" s="1515" t="str">
        <f aca="false">MID(E187,LEN(E187),1)</f>
        <v>0</v>
      </c>
      <c r="W187" s="1515" t="s">
        <v>1217</v>
      </c>
    </row>
    <row r="188" s="1515" customFormat="true" ht="14.25" hidden="false" customHeight="false" outlineLevel="0" collapsed="false">
      <c r="B188" s="1515" t="n">
        <v>2025</v>
      </c>
      <c r="C188" s="1529" t="n">
        <v>189</v>
      </c>
      <c r="D188" s="359" t="n">
        <v>0</v>
      </c>
      <c r="E188" s="1524" t="n">
        <f aca="false">CONCATENATE(C188,IF(O188=19,9,IF(O188=6,6,IF(O188=4,4,0))))+0</f>
        <v>1894</v>
      </c>
      <c r="F188" s="1530" t="s">
        <v>1218</v>
      </c>
      <c r="G188" s="1530"/>
      <c r="H188" s="1529" t="n">
        <v>0</v>
      </c>
      <c r="I188" s="1529" t="n">
        <v>36060.73</v>
      </c>
      <c r="J188" s="1529" t="n">
        <v>0</v>
      </c>
      <c r="K188" s="1529" t="n">
        <v>80000</v>
      </c>
      <c r="L188" s="1526" t="n">
        <v>0</v>
      </c>
      <c r="M188" s="1526" t="n">
        <v>1.46978</v>
      </c>
      <c r="N188" s="1531" t="n">
        <v>4</v>
      </c>
      <c r="O188" s="1529" t="n">
        <v>4</v>
      </c>
      <c r="T188" s="1528" t="n">
        <v>189</v>
      </c>
      <c r="U188" s="1528" t="s">
        <v>1219</v>
      </c>
      <c r="V188" s="1515" t="str">
        <f aca="false">MID(E188,LEN(E188),1)</f>
        <v>4</v>
      </c>
      <c r="W188" s="1515" t="s">
        <v>1214</v>
      </c>
    </row>
    <row r="189" s="1515" customFormat="true" ht="14.25" hidden="false" customHeight="false" outlineLevel="0" collapsed="false">
      <c r="B189" s="1515" t="n">
        <v>2025</v>
      </c>
      <c r="C189" s="1529" t="n">
        <v>189</v>
      </c>
      <c r="D189" s="359" t="n">
        <v>0</v>
      </c>
      <c r="E189" s="1524" t="n">
        <f aca="false">CONCATENATE(C189,IF(O189=19,9,IF(O189=6,6,IF(O189=4,4,0))))+0</f>
        <v>1899</v>
      </c>
      <c r="F189" s="1530" t="s">
        <v>1218</v>
      </c>
      <c r="G189" s="1530"/>
      <c r="H189" s="1529" t="n">
        <v>0</v>
      </c>
      <c r="I189" s="1529" t="n">
        <v>36060.73</v>
      </c>
      <c r="J189" s="1529" t="n">
        <v>0</v>
      </c>
      <c r="K189" s="1529" t="n">
        <v>80000</v>
      </c>
      <c r="L189" s="1526" t="n">
        <v>0</v>
      </c>
      <c r="M189" s="1526" t="n">
        <v>1.46978</v>
      </c>
      <c r="N189" s="1531" t="n">
        <v>4</v>
      </c>
      <c r="O189" s="1529" t="n">
        <v>19</v>
      </c>
      <c r="T189" s="1528" t="n">
        <v>189</v>
      </c>
      <c r="U189" s="1528" t="s">
        <v>1220</v>
      </c>
      <c r="V189" s="1515" t="str">
        <f aca="false">MID(E189,LEN(E189),1)</f>
        <v>9</v>
      </c>
      <c r="W189" s="1515" t="s">
        <v>1221</v>
      </c>
    </row>
    <row r="190" s="1515" customFormat="true" ht="14.25" hidden="false" customHeight="false" outlineLevel="0" collapsed="false">
      <c r="B190" s="1515" t="n">
        <v>2025</v>
      </c>
      <c r="C190" s="1529" t="n">
        <v>190</v>
      </c>
      <c r="D190" s="359" t="n">
        <v>0</v>
      </c>
      <c r="E190" s="1524" t="n">
        <f aca="false">CONCATENATE(C190,IF(O190=19,9,IF(O190=6,6,IF(O190=4,4,0))))+0</f>
        <v>1900</v>
      </c>
      <c r="F190" s="1530" t="s">
        <v>1222</v>
      </c>
      <c r="G190" s="1530"/>
      <c r="H190" s="1529" t="n">
        <v>360.61</v>
      </c>
      <c r="I190" s="1529" t="n">
        <v>1352.28</v>
      </c>
      <c r="J190" s="1529" t="n">
        <v>575</v>
      </c>
      <c r="K190" s="1529" t="n">
        <v>5200</v>
      </c>
      <c r="L190" s="1526" t="n">
        <v>0.0147</v>
      </c>
      <c r="M190" s="1526" t="n">
        <v>0.05512</v>
      </c>
      <c r="N190" s="1531" t="n">
        <v>4</v>
      </c>
      <c r="O190" s="1529" t="n">
        <v>0</v>
      </c>
      <c r="T190" s="1528" t="n">
        <v>190</v>
      </c>
      <c r="U190" s="1528" t="s">
        <v>1222</v>
      </c>
      <c r="V190" s="1515" t="str">
        <f aca="false">MID(E190,LEN(E190),1)</f>
        <v>0</v>
      </c>
      <c r="W190" s="1515" t="s">
        <v>1221</v>
      </c>
    </row>
    <row r="191" s="1515" customFormat="true" ht="14.25" hidden="false" customHeight="false" outlineLevel="0" collapsed="false">
      <c r="B191" s="1515" t="n">
        <v>2025</v>
      </c>
      <c r="C191" s="1529" t="n">
        <v>190</v>
      </c>
      <c r="D191" s="359" t="n">
        <v>0</v>
      </c>
      <c r="E191" s="1524" t="n">
        <f aca="false">CONCATENATE(C191,IF(O191=19,9,IF(O191=6,6,IF(O191=4,4,0))))+0</f>
        <v>1904</v>
      </c>
      <c r="F191" s="1530" t="s">
        <v>1222</v>
      </c>
      <c r="G191" s="1530"/>
      <c r="H191" s="1529" t="n">
        <v>0</v>
      </c>
      <c r="I191" s="1529" t="n">
        <v>36060.73</v>
      </c>
      <c r="J191" s="1529" t="n">
        <v>0</v>
      </c>
      <c r="K191" s="1529" t="n">
        <v>80000</v>
      </c>
      <c r="L191" s="1526" t="n">
        <v>0</v>
      </c>
      <c r="M191" s="1526" t="n">
        <v>1.46978</v>
      </c>
      <c r="N191" s="1531" t="n">
        <v>4</v>
      </c>
      <c r="O191" s="1529" t="n">
        <v>4</v>
      </c>
      <c r="T191" s="1528" t="n">
        <v>190</v>
      </c>
      <c r="U191" s="1528" t="s">
        <v>1223</v>
      </c>
      <c r="V191" s="1515" t="str">
        <f aca="false">MID(E191,LEN(E191),1)</f>
        <v>4</v>
      </c>
      <c r="W191" s="1515" t="s">
        <v>1218</v>
      </c>
    </row>
    <row r="192" s="1515" customFormat="true" ht="14.25" hidden="false" customHeight="false" outlineLevel="0" collapsed="false">
      <c r="B192" s="1515" t="n">
        <v>2025</v>
      </c>
      <c r="C192" s="1529" t="n">
        <v>190</v>
      </c>
      <c r="D192" s="359" t="n">
        <v>0</v>
      </c>
      <c r="E192" s="1524" t="n">
        <f aca="false">CONCATENATE(C192,IF(O192=19,9,IF(O192=6,6,IF(O192=4,4,0))))+0</f>
        <v>1909</v>
      </c>
      <c r="F192" s="1530" t="s">
        <v>1222</v>
      </c>
      <c r="G192" s="1530"/>
      <c r="H192" s="1529" t="n">
        <v>0</v>
      </c>
      <c r="I192" s="1529" t="n">
        <v>36060.73</v>
      </c>
      <c r="J192" s="1529" t="n">
        <v>0</v>
      </c>
      <c r="K192" s="1529" t="n">
        <v>80000</v>
      </c>
      <c r="L192" s="1526" t="n">
        <v>0</v>
      </c>
      <c r="M192" s="1526" t="n">
        <v>1.46978</v>
      </c>
      <c r="N192" s="1531" t="n">
        <v>4</v>
      </c>
      <c r="O192" s="1529" t="n">
        <v>19</v>
      </c>
      <c r="T192" s="1528" t="n">
        <v>190</v>
      </c>
      <c r="U192" s="1528" t="s">
        <v>1224</v>
      </c>
      <c r="V192" s="1515" t="str">
        <f aca="false">MID(E192,LEN(E192),1)</f>
        <v>9</v>
      </c>
      <c r="W192" s="1515" t="s">
        <v>1225</v>
      </c>
    </row>
    <row r="193" s="1515" customFormat="true" ht="14.25" hidden="false" customHeight="false" outlineLevel="0" collapsed="false">
      <c r="B193" s="1515" t="n">
        <v>2025</v>
      </c>
      <c r="C193" s="1529" t="n">
        <v>191</v>
      </c>
      <c r="D193" s="359" t="n">
        <v>0</v>
      </c>
      <c r="E193" s="1524" t="n">
        <f aca="false">CONCATENATE(C193,IF(O193=19,9,IF(O193=6,6,IF(O193=4,4,0))))+0</f>
        <v>1910</v>
      </c>
      <c r="F193" s="1530" t="s">
        <v>1226</v>
      </c>
      <c r="G193" s="1530"/>
      <c r="H193" s="1529" t="n">
        <v>360.61</v>
      </c>
      <c r="I193" s="1529" t="n">
        <v>1352.28</v>
      </c>
      <c r="J193" s="1529" t="n">
        <v>575</v>
      </c>
      <c r="K193" s="1529" t="n">
        <v>5200</v>
      </c>
      <c r="L193" s="1526" t="n">
        <v>0.0147</v>
      </c>
      <c r="M193" s="1526" t="n">
        <v>0.05512</v>
      </c>
      <c r="N193" s="1531" t="n">
        <v>4</v>
      </c>
      <c r="O193" s="1529" t="n">
        <v>0</v>
      </c>
      <c r="T193" s="1528" t="n">
        <v>191</v>
      </c>
      <c r="U193" s="1528" t="s">
        <v>1226</v>
      </c>
      <c r="V193" s="1515" t="str">
        <f aca="false">MID(E193,LEN(E193),1)</f>
        <v>0</v>
      </c>
      <c r="W193" s="1515" t="s">
        <v>1225</v>
      </c>
    </row>
    <row r="194" s="1515" customFormat="true" ht="14.25" hidden="false" customHeight="false" outlineLevel="0" collapsed="false">
      <c r="B194" s="1515" t="n">
        <v>2025</v>
      </c>
      <c r="C194" s="1529" t="n">
        <v>191</v>
      </c>
      <c r="D194" s="359" t="n">
        <v>0</v>
      </c>
      <c r="E194" s="1524" t="n">
        <f aca="false">CONCATENATE(C194,IF(O194=19,9,IF(O194=6,6,IF(O194=4,4,0))))+0</f>
        <v>1914</v>
      </c>
      <c r="F194" s="1530" t="s">
        <v>1226</v>
      </c>
      <c r="G194" s="1530"/>
      <c r="H194" s="1529" t="n">
        <v>0</v>
      </c>
      <c r="I194" s="1529" t="n">
        <v>36060.73</v>
      </c>
      <c r="J194" s="1529" t="n">
        <v>0</v>
      </c>
      <c r="K194" s="1529" t="n">
        <v>80000</v>
      </c>
      <c r="L194" s="1526" t="n">
        <v>0</v>
      </c>
      <c r="M194" s="1526" t="n">
        <v>1.46978</v>
      </c>
      <c r="N194" s="1531" t="n">
        <v>4</v>
      </c>
      <c r="O194" s="1529" t="n">
        <v>4</v>
      </c>
      <c r="T194" s="1528" t="n">
        <v>191</v>
      </c>
      <c r="U194" s="1528" t="s">
        <v>1227</v>
      </c>
      <c r="V194" s="1515" t="str">
        <f aca="false">MID(E194,LEN(E194),1)</f>
        <v>4</v>
      </c>
      <c r="W194" s="1515" t="s">
        <v>1222</v>
      </c>
    </row>
    <row r="195" s="1515" customFormat="true" ht="14.25" hidden="false" customHeight="false" outlineLevel="0" collapsed="false">
      <c r="B195" s="1515" t="n">
        <v>2025</v>
      </c>
      <c r="C195" s="1529" t="n">
        <v>191</v>
      </c>
      <c r="D195" s="359" t="n">
        <v>0</v>
      </c>
      <c r="E195" s="1524" t="n">
        <f aca="false">CONCATENATE(C195,IF(O195=19,9,IF(O195=6,6,IF(O195=4,4,0))))+0</f>
        <v>1919</v>
      </c>
      <c r="F195" s="1530" t="s">
        <v>1226</v>
      </c>
      <c r="G195" s="1530"/>
      <c r="H195" s="1529" t="n">
        <v>0</v>
      </c>
      <c r="I195" s="1529" t="n">
        <v>36060.73</v>
      </c>
      <c r="J195" s="1529" t="n">
        <v>0</v>
      </c>
      <c r="K195" s="1529" t="n">
        <v>80000</v>
      </c>
      <c r="L195" s="1526" t="n">
        <v>0</v>
      </c>
      <c r="M195" s="1526" t="n">
        <v>1.46978</v>
      </c>
      <c r="N195" s="1531" t="n">
        <v>4</v>
      </c>
      <c r="O195" s="1529" t="n">
        <v>19</v>
      </c>
      <c r="T195" s="1528" t="n">
        <v>191</v>
      </c>
      <c r="U195" s="1528" t="s">
        <v>1228</v>
      </c>
      <c r="V195" s="1515" t="str">
        <f aca="false">MID(E195,LEN(E195),1)</f>
        <v>9</v>
      </c>
      <c r="W195" s="1515" t="s">
        <v>1229</v>
      </c>
    </row>
    <row r="196" s="1515" customFormat="true" ht="14.25" hidden="false" customHeight="false" outlineLevel="0" collapsed="false">
      <c r="B196" s="1515" t="n">
        <v>2025</v>
      </c>
      <c r="C196" s="1529" t="n">
        <v>192</v>
      </c>
      <c r="D196" s="359" t="n">
        <v>0</v>
      </c>
      <c r="E196" s="1524" t="n">
        <f aca="false">CONCATENATE(C196,IF(O196=19,9,IF(O196=6,6,IF(O196=4,4,0))))+0</f>
        <v>1920</v>
      </c>
      <c r="F196" s="1530" t="s">
        <v>1230</v>
      </c>
      <c r="G196" s="1530"/>
      <c r="H196" s="1529" t="n">
        <v>360.61</v>
      </c>
      <c r="I196" s="1529" t="n">
        <v>1352.28</v>
      </c>
      <c r="J196" s="1529" t="n">
        <v>575</v>
      </c>
      <c r="K196" s="1529" t="n">
        <v>5200</v>
      </c>
      <c r="L196" s="1526" t="n">
        <v>0.0147</v>
      </c>
      <c r="M196" s="1526" t="n">
        <v>0.05512</v>
      </c>
      <c r="N196" s="1531" t="n">
        <v>4</v>
      </c>
      <c r="O196" s="1529" t="n">
        <v>0</v>
      </c>
      <c r="T196" s="1528" t="n">
        <v>192</v>
      </c>
      <c r="U196" s="1528" t="s">
        <v>1230</v>
      </c>
      <c r="V196" s="1515" t="str">
        <f aca="false">MID(E196,LEN(E196),1)</f>
        <v>0</v>
      </c>
      <c r="W196" s="1515" t="s">
        <v>1229</v>
      </c>
    </row>
    <row r="197" s="1515" customFormat="true" ht="14.25" hidden="false" customHeight="false" outlineLevel="0" collapsed="false">
      <c r="B197" s="1515" t="n">
        <v>2025</v>
      </c>
      <c r="C197" s="1529" t="n">
        <v>192</v>
      </c>
      <c r="D197" s="359" t="n">
        <v>0</v>
      </c>
      <c r="E197" s="1524" t="n">
        <f aca="false">CONCATENATE(C197,IF(O197=19,9,IF(O197=6,6,IF(O197=4,4,0))))+0</f>
        <v>1924</v>
      </c>
      <c r="F197" s="1530" t="s">
        <v>1230</v>
      </c>
      <c r="G197" s="1530"/>
      <c r="H197" s="1529" t="n">
        <v>0</v>
      </c>
      <c r="I197" s="1529" t="n">
        <v>36060.73</v>
      </c>
      <c r="J197" s="1529" t="n">
        <v>0</v>
      </c>
      <c r="K197" s="1529" t="n">
        <v>80000</v>
      </c>
      <c r="L197" s="1526" t="n">
        <v>0</v>
      </c>
      <c r="M197" s="1526" t="n">
        <v>1.46978</v>
      </c>
      <c r="N197" s="1531" t="n">
        <v>4</v>
      </c>
      <c r="O197" s="1529" t="n">
        <v>4</v>
      </c>
      <c r="T197" s="1528" t="n">
        <v>192</v>
      </c>
      <c r="U197" s="1528" t="s">
        <v>1231</v>
      </c>
      <c r="V197" s="1515" t="str">
        <f aca="false">MID(E197,LEN(E197),1)</f>
        <v>4</v>
      </c>
      <c r="W197" s="1515" t="s">
        <v>1226</v>
      </c>
    </row>
    <row r="198" s="1515" customFormat="true" ht="14.25" hidden="false" customHeight="false" outlineLevel="0" collapsed="false">
      <c r="B198" s="1515" t="n">
        <v>2025</v>
      </c>
      <c r="C198" s="1529" t="n">
        <v>192</v>
      </c>
      <c r="D198" s="359" t="n">
        <v>0</v>
      </c>
      <c r="E198" s="1524" t="n">
        <f aca="false">CONCATENATE(C198,IF(O198=19,9,IF(O198=6,6,IF(O198=4,4,0))))+0</f>
        <v>1929</v>
      </c>
      <c r="F198" s="1530" t="s">
        <v>1230</v>
      </c>
      <c r="G198" s="1530"/>
      <c r="H198" s="1529" t="n">
        <v>0</v>
      </c>
      <c r="I198" s="1529" t="n">
        <v>36060.73</v>
      </c>
      <c r="J198" s="1529" t="n">
        <v>0</v>
      </c>
      <c r="K198" s="1529" t="n">
        <v>80000</v>
      </c>
      <c r="L198" s="1526" t="n">
        <v>0</v>
      </c>
      <c r="M198" s="1526" t="n">
        <v>1.46978</v>
      </c>
      <c r="N198" s="1531" t="n">
        <v>4</v>
      </c>
      <c r="O198" s="1529" t="n">
        <v>19</v>
      </c>
      <c r="T198" s="1528" t="n">
        <v>192</v>
      </c>
      <c r="U198" s="1528" t="s">
        <v>1232</v>
      </c>
      <c r="V198" s="1515" t="str">
        <f aca="false">MID(E198,LEN(E198),1)</f>
        <v>9</v>
      </c>
      <c r="W198" s="1515" t="s">
        <v>1233</v>
      </c>
    </row>
    <row r="199" s="1515" customFormat="true" ht="14.25" hidden="false" customHeight="false" outlineLevel="0" collapsed="false">
      <c r="B199" s="1515" t="n">
        <v>2025</v>
      </c>
      <c r="C199" s="1529" t="n">
        <v>193</v>
      </c>
      <c r="D199" s="359" t="n">
        <v>0</v>
      </c>
      <c r="E199" s="1524" t="n">
        <f aca="false">CONCATENATE(C199,IF(O199=19,9,IF(O199=6,6,IF(O199=4,4,0))))+0</f>
        <v>1930</v>
      </c>
      <c r="F199" s="1530" t="s">
        <v>1234</v>
      </c>
      <c r="G199" s="1530"/>
      <c r="H199" s="1529" t="n">
        <v>360.61</v>
      </c>
      <c r="I199" s="1529" t="n">
        <v>1352.28</v>
      </c>
      <c r="J199" s="1529" t="n">
        <v>575</v>
      </c>
      <c r="K199" s="1529" t="n">
        <v>5200</v>
      </c>
      <c r="L199" s="1526" t="n">
        <v>0.0147</v>
      </c>
      <c r="M199" s="1526" t="n">
        <v>0.05512</v>
      </c>
      <c r="N199" s="1531" t="n">
        <v>4</v>
      </c>
      <c r="O199" s="1529" t="n">
        <v>0</v>
      </c>
      <c r="T199" s="1528" t="n">
        <v>193</v>
      </c>
      <c r="U199" s="1528" t="s">
        <v>1234</v>
      </c>
      <c r="V199" s="1515" t="str">
        <f aca="false">MID(E199,LEN(E199),1)</f>
        <v>0</v>
      </c>
      <c r="W199" s="1515" t="s">
        <v>1233</v>
      </c>
    </row>
    <row r="200" s="1515" customFormat="true" ht="14.25" hidden="false" customHeight="false" outlineLevel="0" collapsed="false">
      <c r="B200" s="1515" t="n">
        <v>2025</v>
      </c>
      <c r="C200" s="1529" t="n">
        <v>193</v>
      </c>
      <c r="D200" s="359" t="n">
        <v>0</v>
      </c>
      <c r="E200" s="1524" t="n">
        <f aca="false">CONCATENATE(C200,IF(O200=19,9,IF(O200=6,6,IF(O200=4,4,0))))+0</f>
        <v>1934</v>
      </c>
      <c r="F200" s="1530" t="s">
        <v>1234</v>
      </c>
      <c r="G200" s="1530"/>
      <c r="H200" s="1529" t="n">
        <v>0</v>
      </c>
      <c r="I200" s="1529" t="n">
        <v>36060.73</v>
      </c>
      <c r="J200" s="1529" t="n">
        <v>0</v>
      </c>
      <c r="K200" s="1529" t="n">
        <v>80000</v>
      </c>
      <c r="L200" s="1526" t="n">
        <v>0</v>
      </c>
      <c r="M200" s="1526" t="n">
        <v>1.46978</v>
      </c>
      <c r="N200" s="1531" t="n">
        <v>4</v>
      </c>
      <c r="O200" s="1529" t="n">
        <v>4</v>
      </c>
      <c r="T200" s="1528" t="n">
        <v>193</v>
      </c>
      <c r="U200" s="1528" t="s">
        <v>1235</v>
      </c>
      <c r="V200" s="1515" t="str">
        <f aca="false">MID(E200,LEN(E200),1)</f>
        <v>4</v>
      </c>
      <c r="W200" s="1515" t="s">
        <v>1230</v>
      </c>
    </row>
    <row r="201" s="1515" customFormat="true" ht="14.25" hidden="false" customHeight="false" outlineLevel="0" collapsed="false">
      <c r="B201" s="1515" t="n">
        <v>2025</v>
      </c>
      <c r="C201" s="1529" t="n">
        <v>193</v>
      </c>
      <c r="D201" s="359" t="n">
        <v>0</v>
      </c>
      <c r="E201" s="1524" t="n">
        <f aca="false">CONCATENATE(C201,IF(O201=19,9,IF(O201=6,6,IF(O201=4,4,0))))+0</f>
        <v>1939</v>
      </c>
      <c r="F201" s="1530" t="s">
        <v>1234</v>
      </c>
      <c r="G201" s="1530"/>
      <c r="H201" s="1529" t="n">
        <v>0</v>
      </c>
      <c r="I201" s="1529" t="n">
        <v>36060.73</v>
      </c>
      <c r="J201" s="1529" t="n">
        <v>0</v>
      </c>
      <c r="K201" s="1529" t="n">
        <v>80000</v>
      </c>
      <c r="L201" s="1526" t="n">
        <v>0</v>
      </c>
      <c r="M201" s="1526" t="n">
        <v>1.46978</v>
      </c>
      <c r="N201" s="1531" t="n">
        <v>4</v>
      </c>
      <c r="O201" s="1529" t="n">
        <v>19</v>
      </c>
      <c r="T201" s="1528" t="n">
        <v>193</v>
      </c>
      <c r="U201" s="1528" t="s">
        <v>1236</v>
      </c>
      <c r="V201" s="1515" t="str">
        <f aca="false">MID(E201,LEN(E201),1)</f>
        <v>9</v>
      </c>
      <c r="W201" s="1515" t="s">
        <v>1237</v>
      </c>
    </row>
    <row r="202" s="1515" customFormat="true" ht="14.25" hidden="false" customHeight="false" outlineLevel="0" collapsed="false">
      <c r="B202" s="1515" t="n">
        <v>2025</v>
      </c>
      <c r="C202" s="1529" t="n">
        <v>194</v>
      </c>
      <c r="D202" s="359" t="n">
        <v>0</v>
      </c>
      <c r="E202" s="1524" t="n">
        <f aca="false">CONCATENATE(C202,IF(O202=19,9,IF(O202=6,6,IF(O202=4,4,0))))+0</f>
        <v>1940</v>
      </c>
      <c r="F202" s="1530" t="s">
        <v>1238</v>
      </c>
      <c r="G202" s="1530"/>
      <c r="H202" s="1529" t="n">
        <v>0</v>
      </c>
      <c r="I202" s="1529" t="n">
        <v>150000</v>
      </c>
      <c r="J202" s="1529" t="n">
        <v>0</v>
      </c>
      <c r="K202" s="1529" t="n">
        <v>306000</v>
      </c>
      <c r="L202" s="1526" t="n">
        <v>0</v>
      </c>
      <c r="M202" s="1526" t="n">
        <v>6.11376</v>
      </c>
      <c r="N202" s="1531" t="n">
        <v>4</v>
      </c>
      <c r="O202" s="1529" t="n">
        <v>0</v>
      </c>
      <c r="T202" s="1528" t="n">
        <v>194</v>
      </c>
      <c r="U202" s="1528" t="s">
        <v>1238</v>
      </c>
      <c r="V202" s="1515" t="str">
        <f aca="false">MID(E202,LEN(E202),1)</f>
        <v>0</v>
      </c>
      <c r="W202" s="1515" t="s">
        <v>1237</v>
      </c>
    </row>
    <row r="203" s="1515" customFormat="true" ht="14.25" hidden="false" customHeight="false" outlineLevel="0" collapsed="false">
      <c r="B203" s="1515" t="n">
        <v>2025</v>
      </c>
      <c r="C203" s="1529" t="n">
        <v>197</v>
      </c>
      <c r="D203" s="359" t="n">
        <v>0</v>
      </c>
      <c r="E203" s="1524" t="n">
        <f aca="false">CONCATENATE(C203,IF(O203=19,9,IF(O203=6,6,IF(O203=4,4,0))))+0</f>
        <v>1970</v>
      </c>
      <c r="F203" s="1530" t="s">
        <v>1239</v>
      </c>
      <c r="G203" s="1530"/>
      <c r="H203" s="1529" t="n">
        <v>360.61</v>
      </c>
      <c r="I203" s="1529" t="n">
        <v>1352.28</v>
      </c>
      <c r="J203" s="1529" t="n">
        <v>575</v>
      </c>
      <c r="K203" s="1529" t="n">
        <v>12000</v>
      </c>
      <c r="L203" s="1526" t="n">
        <v>0.0147</v>
      </c>
      <c r="M203" s="1526" t="n">
        <v>0.05512</v>
      </c>
      <c r="N203" s="1531" t="n">
        <v>4</v>
      </c>
      <c r="O203" s="1529" t="n">
        <v>0</v>
      </c>
      <c r="T203" s="1528" t="n">
        <v>197</v>
      </c>
      <c r="U203" s="1528" t="s">
        <v>1239</v>
      </c>
      <c r="V203" s="1515" t="str">
        <f aca="false">MID(E203,LEN(E203),1)</f>
        <v>0</v>
      </c>
      <c r="W203" s="1515" t="s">
        <v>1234</v>
      </c>
    </row>
    <row r="204" s="1515" customFormat="true" ht="14.25" hidden="false" customHeight="false" outlineLevel="0" collapsed="false">
      <c r="B204" s="1515" t="n">
        <v>2025</v>
      </c>
      <c r="C204" s="1529" t="n">
        <v>197</v>
      </c>
      <c r="D204" s="359" t="n">
        <v>0</v>
      </c>
      <c r="E204" s="1524" t="n">
        <f aca="false">CONCATENATE(C204,IF(O204=19,9,IF(O204=6,6,IF(O204=4,4,0))))+0</f>
        <v>1974</v>
      </c>
      <c r="F204" s="1530" t="s">
        <v>1239</v>
      </c>
      <c r="G204" s="1530"/>
      <c r="H204" s="1529" t="n">
        <v>0</v>
      </c>
      <c r="I204" s="1529" t="n">
        <v>36060.73</v>
      </c>
      <c r="J204" s="1529" t="n">
        <v>0</v>
      </c>
      <c r="K204" s="1529" t="n">
        <v>80000</v>
      </c>
      <c r="L204" s="1526" t="n">
        <v>0</v>
      </c>
      <c r="M204" s="1526" t="n">
        <v>1.46978</v>
      </c>
      <c r="N204" s="1531" t="n">
        <v>4</v>
      </c>
      <c r="O204" s="1529" t="n">
        <v>4</v>
      </c>
      <c r="T204" s="1528" t="n">
        <v>197</v>
      </c>
      <c r="U204" s="1528" t="s">
        <v>1240</v>
      </c>
      <c r="V204" s="1515" t="str">
        <f aca="false">MID(E204,LEN(E204),1)</f>
        <v>4</v>
      </c>
      <c r="W204" s="1515" t="s">
        <v>1241</v>
      </c>
    </row>
    <row r="205" s="1515" customFormat="true" ht="14.25" hidden="false" customHeight="false" outlineLevel="0" collapsed="false">
      <c r="B205" s="1515" t="n">
        <v>2025</v>
      </c>
      <c r="C205" s="1529" t="n">
        <v>197</v>
      </c>
      <c r="D205" s="359" t="n">
        <v>0</v>
      </c>
      <c r="E205" s="1524" t="n">
        <f aca="false">CONCATENATE(C205,IF(O205=19,9,IF(O205=6,6,IF(O205=4,4,0))))+0</f>
        <v>1979</v>
      </c>
      <c r="F205" s="1530" t="s">
        <v>1239</v>
      </c>
      <c r="G205" s="1530"/>
      <c r="H205" s="1529" t="n">
        <v>0</v>
      </c>
      <c r="I205" s="1529" t="n">
        <v>36060.73</v>
      </c>
      <c r="J205" s="1529" t="n">
        <v>0</v>
      </c>
      <c r="K205" s="1529" t="n">
        <v>80000</v>
      </c>
      <c r="L205" s="1526" t="n">
        <v>0</v>
      </c>
      <c r="M205" s="1526" t="n">
        <v>1.46978</v>
      </c>
      <c r="N205" s="1531" t="n">
        <v>4</v>
      </c>
      <c r="O205" s="1529" t="n">
        <v>19</v>
      </c>
      <c r="T205" s="1528" t="n">
        <v>197</v>
      </c>
      <c r="U205" s="1528" t="s">
        <v>1242</v>
      </c>
      <c r="V205" s="1515" t="str">
        <f aca="false">MID(E205,LEN(E205),1)</f>
        <v>9</v>
      </c>
      <c r="W205" s="1515" t="s">
        <v>1241</v>
      </c>
    </row>
    <row r="206" s="1515" customFormat="true" ht="14.25" hidden="false" customHeight="false" outlineLevel="0" collapsed="false">
      <c r="B206" s="1515" t="n">
        <v>2025</v>
      </c>
      <c r="C206" s="1529" t="n">
        <v>200</v>
      </c>
      <c r="D206" s="359" t="n">
        <v>0</v>
      </c>
      <c r="E206" s="1524" t="n">
        <f aca="false">CONCATENATE(C206,IF(O206=19,9,IF(O206=6,6,IF(O206=4,4,0))))+0</f>
        <v>2000</v>
      </c>
      <c r="F206" s="1530" t="s">
        <v>1243</v>
      </c>
      <c r="G206" s="1530"/>
      <c r="H206" s="1529" t="n">
        <v>114.19</v>
      </c>
      <c r="I206" s="1529" t="n">
        <v>240.4</v>
      </c>
      <c r="J206" s="1529" t="n">
        <v>350</v>
      </c>
      <c r="K206" s="1529" t="n">
        <v>1200</v>
      </c>
      <c r="L206" s="1526" t="n">
        <v>0.00465</v>
      </c>
      <c r="M206" s="1526" t="n">
        <v>0.0098</v>
      </c>
      <c r="N206" s="1531" t="n">
        <v>2</v>
      </c>
      <c r="O206" s="1529" t="n">
        <v>0</v>
      </c>
      <c r="T206" s="1528" t="n">
        <v>200</v>
      </c>
      <c r="U206" s="1528" t="s">
        <v>1243</v>
      </c>
      <c r="V206" s="1515" t="str">
        <f aca="false">MID(E206,LEN(E206),1)</f>
        <v>0</v>
      </c>
      <c r="W206" s="1515" t="s">
        <v>1238</v>
      </c>
    </row>
    <row r="207" s="1515" customFormat="true" ht="14.25" hidden="false" customHeight="false" outlineLevel="0" collapsed="false">
      <c r="B207" s="1515" t="n">
        <v>2025</v>
      </c>
      <c r="C207" s="1529" t="n">
        <v>201</v>
      </c>
      <c r="D207" s="359" t="n">
        <v>0</v>
      </c>
      <c r="E207" s="1524" t="n">
        <f aca="false">CONCATENATE(C207,IF(O207=19,9,IF(O207=6,6,IF(O207=4,4,0))))+0</f>
        <v>2010</v>
      </c>
      <c r="F207" s="1530" t="s">
        <v>1244</v>
      </c>
      <c r="G207" s="1530"/>
      <c r="H207" s="1529" t="n">
        <v>480.81</v>
      </c>
      <c r="I207" s="1529" t="n">
        <v>1442.43</v>
      </c>
      <c r="J207" s="1529" t="n">
        <v>1939.72</v>
      </c>
      <c r="K207" s="1529" t="n">
        <v>8500</v>
      </c>
      <c r="L207" s="1526" t="n">
        <v>0.0196</v>
      </c>
      <c r="M207" s="1526" t="n">
        <v>0.05879</v>
      </c>
      <c r="N207" s="1531" t="n">
        <v>2</v>
      </c>
      <c r="O207" s="1529" t="n">
        <v>0</v>
      </c>
      <c r="T207" s="1528" t="n">
        <v>201</v>
      </c>
      <c r="U207" s="1528" t="s">
        <v>1244</v>
      </c>
      <c r="V207" s="1515" t="str">
        <f aca="false">MID(E207,LEN(E207),1)</f>
        <v>0</v>
      </c>
      <c r="W207" s="1515" t="s">
        <v>1239</v>
      </c>
    </row>
    <row r="208" s="1515" customFormat="true" ht="14.25" hidden="false" customHeight="false" outlineLevel="0" collapsed="false">
      <c r="B208" s="1515" t="n">
        <v>2025</v>
      </c>
      <c r="C208" s="1529" t="n">
        <v>202</v>
      </c>
      <c r="D208" s="359" t="n">
        <v>0</v>
      </c>
      <c r="E208" s="1524" t="n">
        <f aca="false">CONCATENATE(C208,IF(O208=19,9,IF(O208=6,6,IF(O208=4,4,0))))+0</f>
        <v>2020</v>
      </c>
      <c r="F208" s="1530" t="s">
        <v>1245</v>
      </c>
      <c r="G208" s="1530"/>
      <c r="H208" s="1529" t="n">
        <v>480.81</v>
      </c>
      <c r="I208" s="1529" t="n">
        <v>1442.43</v>
      </c>
      <c r="J208" s="1529" t="n">
        <v>1939.72</v>
      </c>
      <c r="K208" s="1529" t="n">
        <v>6000</v>
      </c>
      <c r="L208" s="1526" t="n">
        <v>0.0196</v>
      </c>
      <c r="M208" s="1526" t="n">
        <v>0.05879</v>
      </c>
      <c r="N208" s="1531" t="n">
        <v>2</v>
      </c>
      <c r="O208" s="1529" t="n">
        <v>0</v>
      </c>
      <c r="T208" s="1528" t="n">
        <v>202</v>
      </c>
      <c r="U208" s="1528" t="s">
        <v>1245</v>
      </c>
      <c r="V208" s="1515" t="str">
        <f aca="false">MID(E208,LEN(E208),1)</f>
        <v>0</v>
      </c>
      <c r="W208" s="1515" t="s">
        <v>1246</v>
      </c>
    </row>
    <row r="209" s="1515" customFormat="true" ht="14.25" hidden="false" customHeight="false" outlineLevel="0" collapsed="false">
      <c r="B209" s="1515" t="n">
        <v>2025</v>
      </c>
      <c r="C209" s="1529" t="n">
        <v>203</v>
      </c>
      <c r="D209" s="359" t="n">
        <v>0</v>
      </c>
      <c r="E209" s="1524" t="n">
        <f aca="false">CONCATENATE(C209,IF(O209=19,9,IF(O209=6,6,IF(O209=4,4,0))))+0</f>
        <v>2030</v>
      </c>
      <c r="F209" s="1530" t="s">
        <v>1247</v>
      </c>
      <c r="G209" s="1530"/>
      <c r="H209" s="1529" t="n">
        <v>360.61</v>
      </c>
      <c r="I209" s="1529" t="n">
        <v>1352.28</v>
      </c>
      <c r="J209" s="1529" t="n">
        <v>575</v>
      </c>
      <c r="K209" s="1529" t="n">
        <v>5200</v>
      </c>
      <c r="L209" s="1526" t="n">
        <v>0.0147</v>
      </c>
      <c r="M209" s="1526" t="n">
        <v>0.05512</v>
      </c>
      <c r="N209" s="1531" t="n">
        <v>2</v>
      </c>
      <c r="O209" s="1529" t="n">
        <v>0</v>
      </c>
      <c r="T209" s="1528" t="n">
        <v>203</v>
      </c>
      <c r="U209" s="1528" t="s">
        <v>1247</v>
      </c>
      <c r="V209" s="1515" t="str">
        <f aca="false">MID(E209,LEN(E209),1)</f>
        <v>0</v>
      </c>
      <c r="W209" s="1515" t="s">
        <v>1246</v>
      </c>
    </row>
    <row r="210" s="1515" customFormat="true" ht="14.25" hidden="false" customHeight="false" outlineLevel="0" collapsed="false">
      <c r="B210" s="1515" t="n">
        <v>2025</v>
      </c>
      <c r="C210" s="1529" t="n">
        <v>204</v>
      </c>
      <c r="D210" s="359" t="n">
        <v>0</v>
      </c>
      <c r="E210" s="1524" t="n">
        <f aca="false">CONCATENATE(C210,IF(O210=19,9,IF(O210=6,6,IF(O210=4,4,0))))+0</f>
        <v>2040</v>
      </c>
      <c r="F210" s="1530" t="s">
        <v>1248</v>
      </c>
      <c r="G210" s="1530"/>
      <c r="H210" s="1529" t="n">
        <v>480.81</v>
      </c>
      <c r="I210" s="1529" t="n">
        <v>1442.43</v>
      </c>
      <c r="J210" s="1529" t="n">
        <v>1939.72</v>
      </c>
      <c r="K210" s="1529" t="n">
        <v>6000</v>
      </c>
      <c r="L210" s="1526" t="n">
        <v>0.0196</v>
      </c>
      <c r="M210" s="1526" t="n">
        <v>0.05879</v>
      </c>
      <c r="N210" s="1531" t="n">
        <v>2</v>
      </c>
      <c r="O210" s="1529" t="n">
        <v>0</v>
      </c>
      <c r="T210" s="1528" t="n">
        <v>204</v>
      </c>
      <c r="U210" s="1528" t="s">
        <v>1248</v>
      </c>
      <c r="V210" s="1515" t="str">
        <f aca="false">MID(E210,LEN(E210),1)</f>
        <v>0</v>
      </c>
      <c r="W210" s="1515" t="s">
        <v>1243</v>
      </c>
    </row>
    <row r="211" s="1515" customFormat="true" ht="14.25" hidden="false" customHeight="false" outlineLevel="0" collapsed="false">
      <c r="B211" s="1515" t="n">
        <v>2025</v>
      </c>
      <c r="C211" s="1529" t="n">
        <v>205</v>
      </c>
      <c r="D211" s="359" t="n">
        <v>0</v>
      </c>
      <c r="E211" s="1524" t="n">
        <f aca="false">CONCATENATE(C211,IF(O211=19,9,IF(O211=6,6,IF(O211=4,4,0))))+0</f>
        <v>2050</v>
      </c>
      <c r="F211" s="1530" t="s">
        <v>1249</v>
      </c>
      <c r="G211" s="1530"/>
      <c r="H211" s="1529" t="n">
        <v>480.81</v>
      </c>
      <c r="I211" s="1529" t="n">
        <v>1442.43</v>
      </c>
      <c r="J211" s="1529" t="n">
        <v>1939.72</v>
      </c>
      <c r="K211" s="1529" t="n">
        <v>6000</v>
      </c>
      <c r="L211" s="1526" t="n">
        <v>0.0196</v>
      </c>
      <c r="M211" s="1526" t="n">
        <v>0.05879</v>
      </c>
      <c r="N211" s="1531" t="n">
        <v>2</v>
      </c>
      <c r="O211" s="1529" t="n">
        <v>0</v>
      </c>
      <c r="T211" s="1528" t="n">
        <v>205</v>
      </c>
      <c r="U211" s="1528" t="s">
        <v>1249</v>
      </c>
      <c r="V211" s="1515" t="str">
        <f aca="false">MID(E211,LEN(E211),1)</f>
        <v>0</v>
      </c>
      <c r="W211" s="1515" t="s">
        <v>1244</v>
      </c>
    </row>
    <row r="212" s="1515" customFormat="true" ht="14.25" hidden="false" customHeight="false" outlineLevel="0" collapsed="false">
      <c r="B212" s="1515" t="n">
        <v>2025</v>
      </c>
      <c r="C212" s="1529" t="n">
        <v>206</v>
      </c>
      <c r="D212" s="359" t="n">
        <v>0</v>
      </c>
      <c r="E212" s="1524" t="n">
        <f aca="false">CONCATENATE(C212,IF(O212=19,9,IF(O212=6,6,IF(O212=4,4,0))))+0</f>
        <v>2060</v>
      </c>
      <c r="F212" s="1530" t="s">
        <v>1250</v>
      </c>
      <c r="G212" s="1530"/>
      <c r="H212" s="1529" t="n">
        <v>480.81</v>
      </c>
      <c r="I212" s="1529" t="n">
        <v>1442.43</v>
      </c>
      <c r="J212" s="1529" t="n">
        <v>1939.72</v>
      </c>
      <c r="K212" s="1529" t="n">
        <v>6000</v>
      </c>
      <c r="L212" s="1526" t="n">
        <v>0.0196</v>
      </c>
      <c r="M212" s="1526" t="n">
        <v>0.05879</v>
      </c>
      <c r="N212" s="1531" t="n">
        <v>2</v>
      </c>
      <c r="O212" s="1529" t="n">
        <v>0</v>
      </c>
      <c r="T212" s="1528" t="n">
        <v>206</v>
      </c>
      <c r="U212" s="1528" t="s">
        <v>1250</v>
      </c>
      <c r="V212" s="1515" t="str">
        <f aca="false">MID(E212,LEN(E212),1)</f>
        <v>0</v>
      </c>
      <c r="W212" s="1515" t="s">
        <v>1245</v>
      </c>
    </row>
    <row r="213" s="1515" customFormat="true" ht="14.25" hidden="false" customHeight="false" outlineLevel="0" collapsed="false">
      <c r="B213" s="1515" t="n">
        <v>2025</v>
      </c>
      <c r="C213" s="1529" t="n">
        <v>207</v>
      </c>
      <c r="D213" s="359" t="n">
        <v>0</v>
      </c>
      <c r="E213" s="1524" t="n">
        <f aca="false">CONCATENATE(C213,IF(O213=19,9,IF(O213=6,6,IF(O213=4,4,0))))+0</f>
        <v>2070</v>
      </c>
      <c r="F213" s="1530" t="s">
        <v>1251</v>
      </c>
      <c r="G213" s="1530"/>
      <c r="H213" s="1529" t="n">
        <v>480.81</v>
      </c>
      <c r="I213" s="1529" t="n">
        <v>1442.43</v>
      </c>
      <c r="J213" s="1529" t="n">
        <v>1939.72</v>
      </c>
      <c r="K213" s="1529" t="n">
        <v>6000</v>
      </c>
      <c r="L213" s="1526" t="n">
        <v>0.0196</v>
      </c>
      <c r="M213" s="1526" t="n">
        <v>0.05879</v>
      </c>
      <c r="N213" s="1531" t="n">
        <v>2</v>
      </c>
      <c r="O213" s="1529" t="n">
        <v>0</v>
      </c>
      <c r="T213" s="1528" t="n">
        <v>207</v>
      </c>
      <c r="U213" s="1528" t="s">
        <v>1251</v>
      </c>
      <c r="V213" s="1515" t="str">
        <f aca="false">MID(E213,LEN(E213),1)</f>
        <v>0</v>
      </c>
      <c r="W213" s="1515" t="s">
        <v>1247</v>
      </c>
    </row>
    <row r="214" s="1515" customFormat="true" ht="14.25" hidden="false" customHeight="false" outlineLevel="0" collapsed="false">
      <c r="B214" s="1515" t="n">
        <v>2025</v>
      </c>
      <c r="C214" s="1529" t="n">
        <v>208</v>
      </c>
      <c r="D214" s="359" t="n">
        <v>0</v>
      </c>
      <c r="E214" s="1524" t="n">
        <f aca="false">CONCATENATE(C214,IF(O214=19,9,IF(O214=6,6,IF(O214=4,4,0))))+0</f>
        <v>2080</v>
      </c>
      <c r="F214" s="1530" t="s">
        <v>1252</v>
      </c>
      <c r="G214" s="1530"/>
      <c r="H214" s="1529" t="n">
        <v>480.81</v>
      </c>
      <c r="I214" s="1529" t="n">
        <v>1442.43</v>
      </c>
      <c r="J214" s="1529" t="n">
        <v>1939.72</v>
      </c>
      <c r="K214" s="1529" t="n">
        <v>6000</v>
      </c>
      <c r="L214" s="1526" t="n">
        <v>0.0196</v>
      </c>
      <c r="M214" s="1526" t="n">
        <v>0.05879</v>
      </c>
      <c r="N214" s="1531" t="n">
        <v>2</v>
      </c>
      <c r="O214" s="1529" t="n">
        <v>0</v>
      </c>
      <c r="T214" s="1528" t="n">
        <v>208</v>
      </c>
      <c r="U214" s="1528" t="s">
        <v>1252</v>
      </c>
      <c r="V214" s="1515" t="str">
        <f aca="false">MID(E214,LEN(E214),1)</f>
        <v>0</v>
      </c>
      <c r="W214" s="1515" t="s">
        <v>1248</v>
      </c>
    </row>
    <row r="215" s="1515" customFormat="true" ht="14.25" hidden="false" customHeight="false" outlineLevel="0" collapsed="false">
      <c r="B215" s="1515" t="n">
        <v>2025</v>
      </c>
      <c r="C215" s="1529" t="n">
        <v>209</v>
      </c>
      <c r="D215" s="359" t="n">
        <v>0</v>
      </c>
      <c r="E215" s="1524" t="n">
        <f aca="false">CONCATENATE(C215,IF(O215=19,9,IF(O215=6,6,IF(O215=4,4,0))))+0</f>
        <v>2090</v>
      </c>
      <c r="F215" s="1530" t="s">
        <v>1253</v>
      </c>
      <c r="G215" s="1530"/>
      <c r="H215" s="1529" t="n">
        <v>480.81</v>
      </c>
      <c r="I215" s="1529" t="n">
        <v>1442.43</v>
      </c>
      <c r="J215" s="1529" t="n">
        <v>1939.72</v>
      </c>
      <c r="K215" s="1529" t="n">
        <v>6000</v>
      </c>
      <c r="L215" s="1526" t="n">
        <v>0.0196</v>
      </c>
      <c r="M215" s="1526" t="n">
        <v>0.05879</v>
      </c>
      <c r="N215" s="1531" t="n">
        <v>2</v>
      </c>
      <c r="O215" s="1529" t="n">
        <v>0</v>
      </c>
      <c r="T215" s="1528" t="n">
        <v>209</v>
      </c>
      <c r="U215" s="1528" t="s">
        <v>1253</v>
      </c>
      <c r="V215" s="1515" t="str">
        <f aca="false">MID(E215,LEN(E215),1)</f>
        <v>0</v>
      </c>
      <c r="W215" s="1515" t="s">
        <v>1249</v>
      </c>
    </row>
    <row r="216" s="1515" customFormat="true" ht="14.25" hidden="false" customHeight="false" outlineLevel="0" collapsed="false">
      <c r="B216" s="1515" t="n">
        <v>2025</v>
      </c>
      <c r="C216" s="1529" t="n">
        <v>210</v>
      </c>
      <c r="D216" s="359" t="n">
        <v>0</v>
      </c>
      <c r="E216" s="1524" t="n">
        <f aca="false">CONCATENATE(C216,IF(O216=19,9,IF(O216=6,6,IF(O216=4,4,0))))+0</f>
        <v>2100</v>
      </c>
      <c r="F216" s="1530" t="s">
        <v>1254</v>
      </c>
      <c r="G216" s="1530"/>
      <c r="H216" s="1529" t="n">
        <v>480.81</v>
      </c>
      <c r="I216" s="1529" t="n">
        <v>1442.43</v>
      </c>
      <c r="J216" s="1529" t="n">
        <v>1939.72</v>
      </c>
      <c r="K216" s="1529" t="n">
        <v>6000</v>
      </c>
      <c r="L216" s="1526" t="n">
        <v>0.0196</v>
      </c>
      <c r="M216" s="1526" t="n">
        <v>0.05879</v>
      </c>
      <c r="N216" s="1531" t="n">
        <v>2</v>
      </c>
      <c r="O216" s="1529" t="n">
        <v>0</v>
      </c>
      <c r="T216" s="1528" t="n">
        <v>210</v>
      </c>
      <c r="U216" s="1528" t="s">
        <v>1254</v>
      </c>
      <c r="V216" s="1515" t="str">
        <f aca="false">MID(E216,LEN(E216),1)</f>
        <v>0</v>
      </c>
      <c r="W216" s="1515" t="s">
        <v>1250</v>
      </c>
    </row>
    <row r="217" s="1515" customFormat="true" ht="14.25" hidden="false" customHeight="false" outlineLevel="0" collapsed="false">
      <c r="B217" s="1515" t="n">
        <v>2025</v>
      </c>
      <c r="C217" s="1529" t="n">
        <v>211</v>
      </c>
      <c r="D217" s="359" t="n">
        <v>0</v>
      </c>
      <c r="E217" s="1524" t="n">
        <f aca="false">CONCATENATE(C217,IF(O217=19,9,IF(O217=6,6,IF(O217=4,4,0))))+0</f>
        <v>2110</v>
      </c>
      <c r="F217" s="1530" t="s">
        <v>1255</v>
      </c>
      <c r="G217" s="1530"/>
      <c r="H217" s="1529" t="n">
        <v>480.81</v>
      </c>
      <c r="I217" s="1529" t="n">
        <v>1442.43</v>
      </c>
      <c r="J217" s="1529" t="n">
        <v>1939.72</v>
      </c>
      <c r="K217" s="1529" t="n">
        <v>6000</v>
      </c>
      <c r="L217" s="1526" t="n">
        <v>0.0196</v>
      </c>
      <c r="M217" s="1526" t="n">
        <v>0.05879</v>
      </c>
      <c r="N217" s="1531" t="n">
        <v>2</v>
      </c>
      <c r="O217" s="1529" t="n">
        <v>0</v>
      </c>
      <c r="T217" s="1528" t="n">
        <v>211</v>
      </c>
      <c r="U217" s="1528" t="s">
        <v>1255</v>
      </c>
      <c r="V217" s="1515" t="str">
        <f aca="false">MID(E217,LEN(E217),1)</f>
        <v>0</v>
      </c>
      <c r="W217" s="1515" t="s">
        <v>1251</v>
      </c>
    </row>
    <row r="218" s="1515" customFormat="true" ht="14.25" hidden="false" customHeight="false" outlineLevel="0" collapsed="false">
      <c r="B218" s="1515" t="n">
        <v>2025</v>
      </c>
      <c r="C218" s="1529" t="n">
        <v>212</v>
      </c>
      <c r="D218" s="359" t="n">
        <v>0</v>
      </c>
      <c r="E218" s="1524" t="n">
        <f aca="false">CONCATENATE(C218,IF(O218=19,9,IF(O218=6,6,IF(O218=4,4,0))))+0</f>
        <v>2120</v>
      </c>
      <c r="F218" s="1530" t="s">
        <v>1256</v>
      </c>
      <c r="G218" s="1530"/>
      <c r="H218" s="1529" t="n">
        <v>480.81</v>
      </c>
      <c r="I218" s="1529" t="n">
        <v>1442.43</v>
      </c>
      <c r="J218" s="1529" t="n">
        <v>1939.72</v>
      </c>
      <c r="K218" s="1529" t="n">
        <v>6000</v>
      </c>
      <c r="L218" s="1526" t="n">
        <v>0.0196</v>
      </c>
      <c r="M218" s="1526" t="n">
        <v>0.05879</v>
      </c>
      <c r="N218" s="1531" t="n">
        <v>2</v>
      </c>
      <c r="O218" s="1529" t="n">
        <v>0</v>
      </c>
      <c r="T218" s="1528" t="n">
        <v>212</v>
      </c>
      <c r="U218" s="1528" t="s">
        <v>1256</v>
      </c>
      <c r="V218" s="1515" t="str">
        <f aca="false">MID(E218,LEN(E218),1)</f>
        <v>0</v>
      </c>
      <c r="W218" s="1515" t="s">
        <v>1252</v>
      </c>
    </row>
    <row r="219" s="1515" customFormat="true" ht="14.25" hidden="false" customHeight="false" outlineLevel="0" collapsed="false">
      <c r="B219" s="1515" t="n">
        <v>2025</v>
      </c>
      <c r="C219" s="1529" t="n">
        <v>213</v>
      </c>
      <c r="D219" s="359" t="n">
        <v>0</v>
      </c>
      <c r="E219" s="1524" t="n">
        <f aca="false">CONCATENATE(C219,IF(O219=19,9,IF(O219=6,6,IF(O219=4,4,0))))+0</f>
        <v>2130</v>
      </c>
      <c r="F219" s="1530" t="s">
        <v>1257</v>
      </c>
      <c r="G219" s="1530"/>
      <c r="H219" s="1529" t="n">
        <v>480.81</v>
      </c>
      <c r="I219" s="1529" t="n">
        <v>1442.43</v>
      </c>
      <c r="J219" s="1529" t="n">
        <v>939.72</v>
      </c>
      <c r="K219" s="1529" t="n">
        <v>2300</v>
      </c>
      <c r="L219" s="1526" t="n">
        <v>0.0196</v>
      </c>
      <c r="M219" s="1526" t="n">
        <v>0.05879</v>
      </c>
      <c r="N219" s="1531" t="n">
        <v>2</v>
      </c>
      <c r="O219" s="1529" t="n">
        <v>0</v>
      </c>
      <c r="T219" s="1528" t="n">
        <v>213</v>
      </c>
      <c r="U219" s="1528" t="s">
        <v>1257</v>
      </c>
      <c r="V219" s="1515" t="str">
        <f aca="false">MID(E219,LEN(E219),1)</f>
        <v>0</v>
      </c>
      <c r="W219" s="1515" t="s">
        <v>1253</v>
      </c>
    </row>
    <row r="220" s="1515" customFormat="true" ht="14.25" hidden="false" customHeight="false" outlineLevel="0" collapsed="false">
      <c r="B220" s="1515" t="n">
        <v>2025</v>
      </c>
      <c r="C220" s="1529" t="n">
        <v>214</v>
      </c>
      <c r="D220" s="359" t="n">
        <v>0</v>
      </c>
      <c r="E220" s="1524" t="n">
        <f aca="false">CONCATENATE(C220,IF(O220=19,9,IF(O220=6,6,IF(O220=4,4,0))))+0</f>
        <v>2140</v>
      </c>
      <c r="F220" s="1530" t="s">
        <v>1258</v>
      </c>
      <c r="G220" s="1530"/>
      <c r="H220" s="1529" t="n">
        <v>480.81</v>
      </c>
      <c r="I220" s="1529" t="n">
        <v>1442.43</v>
      </c>
      <c r="J220" s="1529" t="n">
        <v>1939.72</v>
      </c>
      <c r="K220" s="1529" t="n">
        <v>6000</v>
      </c>
      <c r="L220" s="1526" t="n">
        <v>0.0196</v>
      </c>
      <c r="M220" s="1526" t="n">
        <v>0.05879</v>
      </c>
      <c r="N220" s="1531" t="n">
        <v>2</v>
      </c>
      <c r="O220" s="1529" t="n">
        <v>0</v>
      </c>
      <c r="T220" s="1528" t="n">
        <v>214</v>
      </c>
      <c r="U220" s="1528" t="s">
        <v>1258</v>
      </c>
      <c r="V220" s="1515" t="str">
        <f aca="false">MID(E220,LEN(E220),1)</f>
        <v>0</v>
      </c>
      <c r="W220" s="1515" t="s">
        <v>1254</v>
      </c>
    </row>
    <row r="221" s="1515" customFormat="true" ht="14.25" hidden="false" customHeight="false" outlineLevel="0" collapsed="false">
      <c r="B221" s="1515" t="n">
        <v>2025</v>
      </c>
      <c r="C221" s="1529" t="n">
        <v>215</v>
      </c>
      <c r="D221" s="359" t="n">
        <v>0</v>
      </c>
      <c r="E221" s="1524" t="n">
        <f aca="false">CONCATENATE(C221,IF(O221=19,9,IF(O221=6,6,IF(O221=4,4,0))))+0</f>
        <v>2150</v>
      </c>
      <c r="F221" s="1530" t="s">
        <v>1259</v>
      </c>
      <c r="G221" s="1530"/>
      <c r="H221" s="1529" t="n">
        <v>360.61</v>
      </c>
      <c r="I221" s="1529" t="n">
        <v>1352.28</v>
      </c>
      <c r="J221" s="1529" t="n">
        <v>575</v>
      </c>
      <c r="K221" s="1529" t="n">
        <v>5200</v>
      </c>
      <c r="L221" s="1526" t="n">
        <v>0.0147</v>
      </c>
      <c r="M221" s="1526" t="n">
        <v>0.05512</v>
      </c>
      <c r="N221" s="1531" t="n">
        <v>2</v>
      </c>
      <c r="O221" s="1529" t="n">
        <v>0</v>
      </c>
      <c r="T221" s="1528" t="n">
        <v>215</v>
      </c>
      <c r="U221" s="1528" t="s">
        <v>1259</v>
      </c>
      <c r="V221" s="1515" t="str">
        <f aca="false">MID(E221,LEN(E221),1)</f>
        <v>0</v>
      </c>
      <c r="W221" s="1515" t="s">
        <v>1255</v>
      </c>
    </row>
    <row r="222" s="1515" customFormat="true" ht="14.25" hidden="false" customHeight="false" outlineLevel="0" collapsed="false">
      <c r="B222" s="1515" t="n">
        <v>2025</v>
      </c>
      <c r="C222" s="1529" t="n">
        <v>215</v>
      </c>
      <c r="D222" s="359" t="n">
        <v>0</v>
      </c>
      <c r="E222" s="1524" t="n">
        <f aca="false">CONCATENATE(C222,IF(O222=19,9,IF(O222=6,6,IF(O222=4,4,0))))+0</f>
        <v>2154</v>
      </c>
      <c r="F222" s="1530" t="s">
        <v>1259</v>
      </c>
      <c r="G222" s="1530"/>
      <c r="H222" s="1529" t="n">
        <v>0</v>
      </c>
      <c r="I222" s="1529" t="n">
        <v>36060.73</v>
      </c>
      <c r="J222" s="1529" t="n">
        <v>0</v>
      </c>
      <c r="K222" s="1529" t="n">
        <v>80000</v>
      </c>
      <c r="L222" s="1526" t="n">
        <v>0</v>
      </c>
      <c r="M222" s="1526" t="n">
        <v>1.46978</v>
      </c>
      <c r="N222" s="1531" t="n">
        <v>2</v>
      </c>
      <c r="O222" s="1529" t="n">
        <v>4</v>
      </c>
      <c r="T222" s="1528" t="n">
        <v>215</v>
      </c>
      <c r="U222" s="1528" t="s">
        <v>1260</v>
      </c>
      <c r="V222" s="1515" t="str">
        <f aca="false">MID(E222,LEN(E222),1)</f>
        <v>4</v>
      </c>
      <c r="W222" s="1515" t="s">
        <v>1256</v>
      </c>
    </row>
    <row r="223" s="1515" customFormat="true" ht="14.25" hidden="false" customHeight="false" outlineLevel="0" collapsed="false">
      <c r="B223" s="1515" t="n">
        <v>2025</v>
      </c>
      <c r="C223" s="1529" t="n">
        <v>215</v>
      </c>
      <c r="D223" s="359" t="n">
        <v>0</v>
      </c>
      <c r="E223" s="1524" t="n">
        <f aca="false">CONCATENATE(C223,IF(O223=19,9,IF(O223=6,6,IF(O223=4,4,0))))+0</f>
        <v>2159</v>
      </c>
      <c r="F223" s="1530" t="s">
        <v>1259</v>
      </c>
      <c r="G223" s="1530"/>
      <c r="H223" s="1529" t="n">
        <v>0</v>
      </c>
      <c r="I223" s="1529" t="n">
        <v>36060.73</v>
      </c>
      <c r="J223" s="1529" t="n">
        <v>0</v>
      </c>
      <c r="K223" s="1529" t="n">
        <v>80000</v>
      </c>
      <c r="L223" s="1526" t="n">
        <v>0</v>
      </c>
      <c r="M223" s="1526" t="n">
        <v>1.46978</v>
      </c>
      <c r="N223" s="1531" t="n">
        <v>2</v>
      </c>
      <c r="O223" s="1529" t="n">
        <v>19</v>
      </c>
      <c r="T223" s="1528" t="n">
        <v>215</v>
      </c>
      <c r="U223" s="1528" t="s">
        <v>1261</v>
      </c>
      <c r="V223" s="1515" t="str">
        <f aca="false">MID(E223,LEN(E223),1)</f>
        <v>9</v>
      </c>
      <c r="W223" s="1515" t="s">
        <v>1257</v>
      </c>
    </row>
    <row r="224" s="1515" customFormat="true" ht="14.25" hidden="false" customHeight="false" outlineLevel="0" collapsed="false">
      <c r="B224" s="1515" t="n">
        <v>2025</v>
      </c>
      <c r="C224" s="1529" t="n">
        <v>216</v>
      </c>
      <c r="D224" s="359" t="n">
        <v>0</v>
      </c>
      <c r="E224" s="1524" t="n">
        <f aca="false">CONCATENATE(C224,IF(O224=19,9,IF(O224=6,6,IF(O224=4,4,0))))+0</f>
        <v>2160</v>
      </c>
      <c r="F224" s="1530" t="s">
        <v>1262</v>
      </c>
      <c r="G224" s="1530"/>
      <c r="H224" s="1529" t="n">
        <v>360.61</v>
      </c>
      <c r="I224" s="1529" t="n">
        <v>1352.28</v>
      </c>
      <c r="J224" s="1529" t="n">
        <v>575</v>
      </c>
      <c r="K224" s="1529" t="n">
        <v>5200</v>
      </c>
      <c r="L224" s="1526" t="n">
        <v>0.0147</v>
      </c>
      <c r="M224" s="1526" t="n">
        <v>0.05512</v>
      </c>
      <c r="N224" s="1531" t="n">
        <v>2</v>
      </c>
      <c r="O224" s="1529" t="n">
        <v>0</v>
      </c>
      <c r="T224" s="1528" t="n">
        <v>216</v>
      </c>
      <c r="U224" s="1528" t="s">
        <v>1262</v>
      </c>
      <c r="V224" s="1515" t="str">
        <f aca="false">MID(E224,LEN(E224),1)</f>
        <v>0</v>
      </c>
      <c r="W224" s="1515" t="s">
        <v>1258</v>
      </c>
    </row>
    <row r="225" s="1515" customFormat="true" ht="14.25" hidden="false" customHeight="false" outlineLevel="0" collapsed="false">
      <c r="B225" s="1515" t="n">
        <v>2025</v>
      </c>
      <c r="C225" s="1529" t="n">
        <v>216</v>
      </c>
      <c r="D225" s="359" t="n">
        <v>0</v>
      </c>
      <c r="E225" s="1524" t="n">
        <f aca="false">CONCATENATE(C225,IF(O225=19,9,IF(O225=6,6,IF(O225=4,4,0))))+0</f>
        <v>2164</v>
      </c>
      <c r="F225" s="1530" t="s">
        <v>1262</v>
      </c>
      <c r="G225" s="1530"/>
      <c r="H225" s="1529" t="n">
        <v>0</v>
      </c>
      <c r="I225" s="1529" t="n">
        <v>36060.73</v>
      </c>
      <c r="J225" s="1529" t="n">
        <v>0</v>
      </c>
      <c r="K225" s="1529" t="n">
        <v>80000</v>
      </c>
      <c r="L225" s="1526" t="n">
        <v>0</v>
      </c>
      <c r="M225" s="1526" t="n">
        <v>1.46978</v>
      </c>
      <c r="N225" s="1531" t="n">
        <v>2</v>
      </c>
      <c r="O225" s="1529" t="n">
        <v>4</v>
      </c>
      <c r="T225" s="1528" t="n">
        <v>216</v>
      </c>
      <c r="U225" s="1528" t="s">
        <v>1263</v>
      </c>
      <c r="V225" s="1515" t="str">
        <f aca="false">MID(E225,LEN(E225),1)</f>
        <v>4</v>
      </c>
      <c r="W225" s="1515" t="s">
        <v>1259</v>
      </c>
    </row>
    <row r="226" s="1515" customFormat="true" ht="14.25" hidden="false" customHeight="false" outlineLevel="0" collapsed="false">
      <c r="B226" s="1515" t="n">
        <v>2025</v>
      </c>
      <c r="C226" s="1529" t="n">
        <v>216</v>
      </c>
      <c r="D226" s="359" t="n">
        <v>0</v>
      </c>
      <c r="E226" s="1524" t="n">
        <f aca="false">CONCATENATE(C226,IF(O226=19,9,IF(O226=6,6,IF(O226=4,4,0))))+0</f>
        <v>2169</v>
      </c>
      <c r="F226" s="1530" t="s">
        <v>1262</v>
      </c>
      <c r="G226" s="1530"/>
      <c r="H226" s="1529" t="n">
        <v>0</v>
      </c>
      <c r="I226" s="1529" t="n">
        <v>36060.73</v>
      </c>
      <c r="J226" s="1529" t="n">
        <v>0</v>
      </c>
      <c r="K226" s="1529" t="n">
        <v>80000</v>
      </c>
      <c r="L226" s="1526" t="n">
        <v>0</v>
      </c>
      <c r="M226" s="1526" t="n">
        <v>1.46978</v>
      </c>
      <c r="N226" s="1531" t="n">
        <v>2</v>
      </c>
      <c r="O226" s="1529" t="n">
        <v>19</v>
      </c>
      <c r="T226" s="1528" t="n">
        <v>216</v>
      </c>
      <c r="U226" s="1528" t="s">
        <v>1264</v>
      </c>
      <c r="V226" s="1515" t="str">
        <f aca="false">MID(E226,LEN(E226),1)</f>
        <v>9</v>
      </c>
      <c r="W226" s="1515" t="s">
        <v>1265</v>
      </c>
    </row>
    <row r="227" s="1515" customFormat="true" ht="14.25" hidden="false" customHeight="false" outlineLevel="0" collapsed="false">
      <c r="B227" s="1515" t="n">
        <v>2025</v>
      </c>
      <c r="C227" s="1529" t="n">
        <v>217</v>
      </c>
      <c r="D227" s="359" t="n">
        <v>0</v>
      </c>
      <c r="E227" s="1524" t="n">
        <f aca="false">CONCATENATE(C227,IF(O227=19,9,IF(O227=6,6,IF(O227=4,4,0))))+0</f>
        <v>2170</v>
      </c>
      <c r="F227" s="1530" t="s">
        <v>1266</v>
      </c>
      <c r="G227" s="1530"/>
      <c r="H227" s="1529" t="n">
        <v>450.76</v>
      </c>
      <c r="I227" s="1529" t="n">
        <v>721.21</v>
      </c>
      <c r="J227" s="1529" t="n">
        <v>1939.72</v>
      </c>
      <c r="K227" s="1529" t="n">
        <v>6000</v>
      </c>
      <c r="L227" s="1526" t="n">
        <v>0.01837</v>
      </c>
      <c r="M227" s="1526" t="n">
        <v>0.0294</v>
      </c>
      <c r="N227" s="1531" t="n">
        <v>2</v>
      </c>
      <c r="O227" s="1529" t="n">
        <v>0</v>
      </c>
      <c r="T227" s="1528" t="n">
        <v>217</v>
      </c>
      <c r="U227" s="1528" t="s">
        <v>1267</v>
      </c>
      <c r="V227" s="1515" t="str">
        <f aca="false">MID(E227,LEN(E227),1)</f>
        <v>0</v>
      </c>
      <c r="W227" s="1515" t="s">
        <v>1265</v>
      </c>
    </row>
    <row r="228" s="1515" customFormat="true" ht="14.25" hidden="false" customHeight="false" outlineLevel="0" collapsed="false">
      <c r="B228" s="1515" t="n">
        <v>2025</v>
      </c>
      <c r="C228" s="1529" t="n">
        <v>217</v>
      </c>
      <c r="D228" s="359" t="n">
        <v>0</v>
      </c>
      <c r="E228" s="1524" t="n">
        <f aca="false">CONCATENATE(C228,IF(O228=19,9,IF(O228=6,6,IF(O228=4,4,0))))+0</f>
        <v>2174</v>
      </c>
      <c r="F228" s="1530" t="s">
        <v>1266</v>
      </c>
      <c r="G228" s="1530"/>
      <c r="H228" s="1529" t="n">
        <v>0</v>
      </c>
      <c r="I228" s="1529" t="n">
        <v>36060.73</v>
      </c>
      <c r="J228" s="1529" t="n">
        <v>0</v>
      </c>
      <c r="K228" s="1529" t="n">
        <v>80000</v>
      </c>
      <c r="L228" s="1526" t="n">
        <v>0</v>
      </c>
      <c r="M228" s="1526" t="n">
        <v>1.46978</v>
      </c>
      <c r="N228" s="1531" t="n">
        <v>2</v>
      </c>
      <c r="O228" s="1529" t="n">
        <v>4</v>
      </c>
      <c r="T228" s="1528" t="n">
        <v>217</v>
      </c>
      <c r="U228" s="1528" t="s">
        <v>1266</v>
      </c>
      <c r="V228" s="1515" t="str">
        <f aca="false">MID(E228,LEN(E228),1)</f>
        <v>4</v>
      </c>
      <c r="W228" s="1515" t="s">
        <v>1262</v>
      </c>
    </row>
    <row r="229" s="1515" customFormat="true" ht="14.25" hidden="false" customHeight="false" outlineLevel="0" collapsed="false">
      <c r="B229" s="1515" t="n">
        <v>2025</v>
      </c>
      <c r="C229" s="1529" t="n">
        <v>217</v>
      </c>
      <c r="D229" s="359" t="n">
        <v>0</v>
      </c>
      <c r="E229" s="1524" t="n">
        <f aca="false">CONCATENATE(C229,IF(O229=19,9,IF(O229=6,6,IF(O229=4,4,0))))+0</f>
        <v>2179</v>
      </c>
      <c r="F229" s="1530" t="s">
        <v>1266</v>
      </c>
      <c r="G229" s="1530"/>
      <c r="H229" s="1529" t="n">
        <v>0</v>
      </c>
      <c r="I229" s="1529" t="n">
        <v>36060.73</v>
      </c>
      <c r="J229" s="1529" t="n">
        <v>0</v>
      </c>
      <c r="K229" s="1529" t="n">
        <v>80000</v>
      </c>
      <c r="L229" s="1526" t="n">
        <v>0</v>
      </c>
      <c r="M229" s="1526" t="n">
        <v>1.46978</v>
      </c>
      <c r="N229" s="1531" t="n">
        <v>2</v>
      </c>
      <c r="O229" s="1529" t="n">
        <v>19</v>
      </c>
      <c r="T229" s="1528" t="n">
        <v>217</v>
      </c>
      <c r="U229" s="1528" t="s">
        <v>1268</v>
      </c>
      <c r="V229" s="1515" t="str">
        <f aca="false">MID(E229,LEN(E229),1)</f>
        <v>9</v>
      </c>
      <c r="W229" s="1515" t="s">
        <v>1269</v>
      </c>
    </row>
    <row r="230" s="1515" customFormat="true" ht="14.25" hidden="false" customHeight="false" outlineLevel="0" collapsed="false">
      <c r="B230" s="1515" t="n">
        <v>2025</v>
      </c>
      <c r="C230" s="1529" t="n">
        <v>218</v>
      </c>
      <c r="D230" s="359" t="n">
        <v>0</v>
      </c>
      <c r="E230" s="1524" t="n">
        <f aca="false">CONCATENATE(C230,IF(O230=19,9,IF(O230=6,6,IF(O230=4,4,0))))+0</f>
        <v>2180</v>
      </c>
      <c r="F230" s="1530" t="s">
        <v>1270</v>
      </c>
      <c r="G230" s="1530"/>
      <c r="H230" s="1529" t="n">
        <v>450.76</v>
      </c>
      <c r="I230" s="1529" t="n">
        <v>721.21</v>
      </c>
      <c r="J230" s="1529" t="n">
        <v>800</v>
      </c>
      <c r="K230" s="1529" t="n">
        <v>5000</v>
      </c>
      <c r="L230" s="1526" t="n">
        <v>0.01837</v>
      </c>
      <c r="M230" s="1526" t="n">
        <v>0.0294</v>
      </c>
      <c r="N230" s="1531" t="n">
        <v>2</v>
      </c>
      <c r="O230" s="1529" t="n">
        <v>0</v>
      </c>
      <c r="T230" s="1528" t="n">
        <v>218</v>
      </c>
      <c r="U230" s="1528" t="s">
        <v>1270</v>
      </c>
      <c r="V230" s="1515" t="str">
        <f aca="false">MID(E230,LEN(E230),1)</f>
        <v>0</v>
      </c>
      <c r="W230" s="1515" t="s">
        <v>1269</v>
      </c>
    </row>
    <row r="231" s="1515" customFormat="true" ht="14.25" hidden="false" customHeight="false" outlineLevel="0" collapsed="false">
      <c r="B231" s="1515" t="n">
        <v>2025</v>
      </c>
      <c r="C231" s="1529" t="n">
        <v>218</v>
      </c>
      <c r="D231" s="359" t="n">
        <v>0</v>
      </c>
      <c r="E231" s="1524" t="n">
        <f aca="false">CONCATENATE(C231,IF(O231=19,9,IF(O231=6,6,IF(O231=4,4,0))))+0</f>
        <v>2184</v>
      </c>
      <c r="F231" s="1530" t="s">
        <v>1270</v>
      </c>
      <c r="G231" s="1530"/>
      <c r="H231" s="1529" t="n">
        <v>0</v>
      </c>
      <c r="I231" s="1529" t="n">
        <v>36060.73</v>
      </c>
      <c r="J231" s="1529" t="n">
        <v>0</v>
      </c>
      <c r="K231" s="1529" t="n">
        <v>80000</v>
      </c>
      <c r="L231" s="1526" t="n">
        <v>0</v>
      </c>
      <c r="M231" s="1526" t="n">
        <v>1.46978</v>
      </c>
      <c r="N231" s="1531" t="n">
        <v>2</v>
      </c>
      <c r="O231" s="1529" t="n">
        <v>4</v>
      </c>
      <c r="T231" s="1528" t="n">
        <v>218</v>
      </c>
      <c r="U231" s="1528" t="s">
        <v>1271</v>
      </c>
      <c r="V231" s="1515" t="str">
        <f aca="false">MID(E231,LEN(E231),1)</f>
        <v>4</v>
      </c>
      <c r="W231" s="1515" t="s">
        <v>1266</v>
      </c>
    </row>
    <row r="232" s="1515" customFormat="true" ht="14.25" hidden="false" customHeight="false" outlineLevel="0" collapsed="false">
      <c r="B232" s="1515" t="n">
        <v>2025</v>
      </c>
      <c r="C232" s="1529" t="n">
        <v>218</v>
      </c>
      <c r="D232" s="359" t="n">
        <v>0</v>
      </c>
      <c r="E232" s="1524" t="n">
        <f aca="false">CONCATENATE(C232,IF(O232=19,9,IF(O232=6,6,IF(O232=4,4,0))))+0</f>
        <v>2189</v>
      </c>
      <c r="F232" s="1530" t="s">
        <v>1270</v>
      </c>
      <c r="G232" s="1530"/>
      <c r="H232" s="1529" t="n">
        <v>0</v>
      </c>
      <c r="I232" s="1529" t="n">
        <v>36060.73</v>
      </c>
      <c r="J232" s="1529" t="n">
        <v>0</v>
      </c>
      <c r="K232" s="1529" t="n">
        <v>80000</v>
      </c>
      <c r="L232" s="1526" t="n">
        <v>0</v>
      </c>
      <c r="M232" s="1526" t="n">
        <v>1.46978</v>
      </c>
      <c r="N232" s="1531" t="n">
        <v>2</v>
      </c>
      <c r="O232" s="1529" t="n">
        <v>19</v>
      </c>
      <c r="T232" s="1528" t="n">
        <v>218</v>
      </c>
      <c r="U232" s="1528" t="s">
        <v>1272</v>
      </c>
      <c r="V232" s="1515" t="str">
        <f aca="false">MID(E232,LEN(E232),1)</f>
        <v>9</v>
      </c>
      <c r="W232" s="1515" t="s">
        <v>1273</v>
      </c>
    </row>
    <row r="233" s="1515" customFormat="true" ht="14.25" hidden="false" customHeight="false" outlineLevel="0" collapsed="false">
      <c r="B233" s="1515" t="n">
        <v>2025</v>
      </c>
      <c r="C233" s="1529" t="n">
        <v>219</v>
      </c>
      <c r="D233" s="359" t="n">
        <v>0</v>
      </c>
      <c r="E233" s="1524" t="n">
        <f aca="false">CONCATENATE(C233,IF(O233=19,9,IF(O233=6,6,IF(O233=4,4,0))))+0</f>
        <v>2190</v>
      </c>
      <c r="F233" s="1530" t="s">
        <v>1274</v>
      </c>
      <c r="G233" s="1530"/>
      <c r="H233" s="1529" t="n">
        <v>360.61</v>
      </c>
      <c r="I233" s="1529" t="n">
        <v>1352.28</v>
      </c>
      <c r="J233" s="1529" t="n">
        <v>575</v>
      </c>
      <c r="K233" s="1529" t="n">
        <v>5200</v>
      </c>
      <c r="L233" s="1526" t="n">
        <v>0.0147</v>
      </c>
      <c r="M233" s="1526" t="n">
        <v>0.05512</v>
      </c>
      <c r="N233" s="1531" t="n">
        <v>2</v>
      </c>
      <c r="O233" s="1529" t="n">
        <v>0</v>
      </c>
      <c r="T233" s="1528" t="n">
        <v>219</v>
      </c>
      <c r="U233" s="1528" t="s">
        <v>1274</v>
      </c>
      <c r="V233" s="1515" t="str">
        <f aca="false">MID(E233,LEN(E233),1)</f>
        <v>0</v>
      </c>
      <c r="W233" s="1515" t="s">
        <v>1273</v>
      </c>
    </row>
    <row r="234" s="1515" customFormat="true" ht="14.25" hidden="false" customHeight="false" outlineLevel="0" collapsed="false">
      <c r="B234" s="1515" t="n">
        <v>2025</v>
      </c>
      <c r="C234" s="1529" t="n">
        <v>219</v>
      </c>
      <c r="D234" s="359" t="n">
        <v>0</v>
      </c>
      <c r="E234" s="1524" t="n">
        <f aca="false">CONCATENATE(C234,IF(O234=19,9,IF(O234=6,6,IF(O234=4,4,0))))+0</f>
        <v>2194</v>
      </c>
      <c r="F234" s="1530" t="s">
        <v>1274</v>
      </c>
      <c r="G234" s="1530"/>
      <c r="H234" s="1529" t="n">
        <v>0</v>
      </c>
      <c r="I234" s="1529" t="n">
        <v>36060.73</v>
      </c>
      <c r="J234" s="1529" t="n">
        <v>0</v>
      </c>
      <c r="K234" s="1529" t="n">
        <v>80000</v>
      </c>
      <c r="L234" s="1526" t="n">
        <v>0</v>
      </c>
      <c r="M234" s="1526" t="n">
        <v>1.46978</v>
      </c>
      <c r="N234" s="1531" t="n">
        <v>2</v>
      </c>
      <c r="O234" s="1529" t="n">
        <v>4</v>
      </c>
      <c r="T234" s="1528" t="n">
        <v>219</v>
      </c>
      <c r="U234" s="1528" t="s">
        <v>1275</v>
      </c>
      <c r="V234" s="1515" t="str">
        <f aca="false">MID(E234,LEN(E234),1)</f>
        <v>4</v>
      </c>
      <c r="W234" s="1515" t="s">
        <v>1270</v>
      </c>
    </row>
    <row r="235" s="1515" customFormat="true" ht="14.25" hidden="false" customHeight="false" outlineLevel="0" collapsed="false">
      <c r="B235" s="1515" t="n">
        <v>2025</v>
      </c>
      <c r="C235" s="1529" t="n">
        <v>219</v>
      </c>
      <c r="D235" s="359" t="n">
        <v>0</v>
      </c>
      <c r="E235" s="1524" t="n">
        <f aca="false">CONCATENATE(C235,IF(O235=19,9,IF(O235=6,6,IF(O235=4,4,0))))+0</f>
        <v>2199</v>
      </c>
      <c r="F235" s="1530" t="s">
        <v>1274</v>
      </c>
      <c r="G235" s="1530"/>
      <c r="H235" s="1529" t="n">
        <v>0</v>
      </c>
      <c r="I235" s="1529" t="n">
        <v>36060.73</v>
      </c>
      <c r="J235" s="1529" t="n">
        <v>0</v>
      </c>
      <c r="K235" s="1529" t="n">
        <v>80000</v>
      </c>
      <c r="L235" s="1526" t="n">
        <v>0</v>
      </c>
      <c r="M235" s="1526" t="n">
        <v>1.46978</v>
      </c>
      <c r="N235" s="1531" t="n">
        <v>2</v>
      </c>
      <c r="O235" s="1529" t="n">
        <v>19</v>
      </c>
      <c r="T235" s="1528" t="n">
        <v>219</v>
      </c>
      <c r="U235" s="1528" t="s">
        <v>1276</v>
      </c>
      <c r="V235" s="1515" t="str">
        <f aca="false">MID(E235,LEN(E235),1)</f>
        <v>9</v>
      </c>
      <c r="W235" s="1515" t="s">
        <v>1277</v>
      </c>
    </row>
    <row r="236" s="1515" customFormat="true" ht="14.25" hidden="false" customHeight="false" outlineLevel="0" collapsed="false">
      <c r="B236" s="1515" t="n">
        <v>2025</v>
      </c>
      <c r="C236" s="1529" t="n">
        <v>220</v>
      </c>
      <c r="D236" s="359" t="n">
        <v>0</v>
      </c>
      <c r="E236" s="1524" t="n">
        <f aca="false">CONCATENATE(C236,IF(O236=19,9,IF(O236=6,6,IF(O236=4,4,0))))+0</f>
        <v>2200</v>
      </c>
      <c r="F236" s="1530" t="s">
        <v>1278</v>
      </c>
      <c r="G236" s="1530"/>
      <c r="H236" s="1529" t="n">
        <v>114.19</v>
      </c>
      <c r="I236" s="1529" t="n">
        <v>240.4</v>
      </c>
      <c r="J236" s="1529" t="n">
        <v>270.46</v>
      </c>
      <c r="K236" s="1529" t="n">
        <v>600</v>
      </c>
      <c r="L236" s="1526" t="n">
        <v>0.00465</v>
      </c>
      <c r="M236" s="1526" t="n">
        <v>0.0098</v>
      </c>
      <c r="N236" s="1531" t="n">
        <v>1</v>
      </c>
      <c r="O236" s="1529" t="n">
        <v>0</v>
      </c>
      <c r="T236" s="1528" t="n">
        <v>220</v>
      </c>
      <c r="U236" s="1528" t="s">
        <v>1278</v>
      </c>
      <c r="V236" s="1515" t="str">
        <f aca="false">MID(E236,LEN(E236),1)</f>
        <v>0</v>
      </c>
      <c r="W236" s="1515" t="s">
        <v>1277</v>
      </c>
    </row>
    <row r="237" s="1515" customFormat="true" ht="14.25" hidden="false" customHeight="false" outlineLevel="0" collapsed="false">
      <c r="B237" s="1515" t="n">
        <v>2025</v>
      </c>
      <c r="C237" s="1529" t="n">
        <v>222</v>
      </c>
      <c r="D237" s="359" t="n">
        <v>0</v>
      </c>
      <c r="E237" s="1524" t="n">
        <f aca="false">CONCATENATE(C237,IF(O237=19,9,IF(O237=6,6,IF(O237=4,4,0))))+0</f>
        <v>2220</v>
      </c>
      <c r="F237" s="1530" t="s">
        <v>1279</v>
      </c>
      <c r="G237" s="1530"/>
      <c r="H237" s="1529" t="n">
        <v>114.19</v>
      </c>
      <c r="I237" s="1529" t="n">
        <v>240.4</v>
      </c>
      <c r="J237" s="1529" t="n">
        <v>700</v>
      </c>
      <c r="K237" s="1529" t="n">
        <v>1800</v>
      </c>
      <c r="L237" s="1526" t="n">
        <v>0.00465</v>
      </c>
      <c r="M237" s="1526" t="n">
        <v>0.0098</v>
      </c>
      <c r="N237" s="1531" t="n">
        <v>1</v>
      </c>
      <c r="O237" s="1529" t="n">
        <v>0</v>
      </c>
      <c r="T237" s="1528" t="n">
        <v>222</v>
      </c>
      <c r="U237" s="1528" t="s">
        <v>1279</v>
      </c>
      <c r="V237" s="1515" t="str">
        <f aca="false">MID(E237,LEN(E237),1)</f>
        <v>0</v>
      </c>
      <c r="W237" s="1515" t="s">
        <v>1274</v>
      </c>
    </row>
    <row r="238" s="1515" customFormat="true" ht="14.25" hidden="false" customHeight="false" outlineLevel="0" collapsed="false">
      <c r="B238" s="1515" t="n">
        <v>2025</v>
      </c>
      <c r="C238" s="1529" t="n">
        <v>223</v>
      </c>
      <c r="D238" s="359" t="n">
        <v>0</v>
      </c>
      <c r="E238" s="1524" t="n">
        <f aca="false">CONCATENATE(C238,IF(O238=19,9,IF(O238=6,6,IF(O238=4,4,0))))+0</f>
        <v>2230</v>
      </c>
      <c r="F238" s="1530" t="s">
        <v>1280</v>
      </c>
      <c r="G238" s="1530"/>
      <c r="H238" s="1529" t="n">
        <v>114.19</v>
      </c>
      <c r="I238" s="1529" t="n">
        <v>240.4</v>
      </c>
      <c r="J238" s="1529" t="n">
        <v>700</v>
      </c>
      <c r="K238" s="1529" t="n">
        <v>1800</v>
      </c>
      <c r="L238" s="1526" t="n">
        <v>0.00465</v>
      </c>
      <c r="M238" s="1526" t="n">
        <v>0.0098</v>
      </c>
      <c r="N238" s="1531" t="n">
        <v>1</v>
      </c>
      <c r="O238" s="1529" t="n">
        <v>0</v>
      </c>
      <c r="T238" s="1528" t="n">
        <v>223</v>
      </c>
      <c r="U238" s="1528" t="s">
        <v>1280</v>
      </c>
      <c r="V238" s="1515" t="str">
        <f aca="false">MID(E238,LEN(E238),1)</f>
        <v>0</v>
      </c>
      <c r="W238" s="1515" t="s">
        <v>1281</v>
      </c>
    </row>
    <row r="239" s="1515" customFormat="true" ht="14.25" hidden="false" customHeight="false" outlineLevel="0" collapsed="false">
      <c r="B239" s="1515" t="n">
        <v>2025</v>
      </c>
      <c r="C239" s="1529" t="n">
        <v>224</v>
      </c>
      <c r="D239" s="359" t="n">
        <v>0</v>
      </c>
      <c r="E239" s="1524" t="n">
        <f aca="false">CONCATENATE(C239,IF(O239=19,9,IF(O239=6,6,IF(O239=4,4,0))))+0</f>
        <v>2240</v>
      </c>
      <c r="F239" s="1530" t="s">
        <v>1282</v>
      </c>
      <c r="G239" s="1530"/>
      <c r="H239" s="1529" t="n">
        <v>114.19</v>
      </c>
      <c r="I239" s="1529" t="n">
        <v>240.4</v>
      </c>
      <c r="J239" s="1529" t="n">
        <v>700</v>
      </c>
      <c r="K239" s="1529" t="n">
        <v>1800</v>
      </c>
      <c r="L239" s="1526" t="n">
        <v>0.00465</v>
      </c>
      <c r="M239" s="1526" t="n">
        <v>0.0098</v>
      </c>
      <c r="N239" s="1531" t="n">
        <v>1</v>
      </c>
      <c r="O239" s="1529" t="n">
        <v>0</v>
      </c>
      <c r="T239" s="1528" t="n">
        <v>224</v>
      </c>
      <c r="U239" s="1528" t="s">
        <v>1282</v>
      </c>
      <c r="V239" s="1515" t="str">
        <f aca="false">MID(E239,LEN(E239),1)</f>
        <v>0</v>
      </c>
      <c r="W239" s="1515" t="s">
        <v>1281</v>
      </c>
    </row>
    <row r="240" s="1515" customFormat="true" ht="14.25" hidden="false" customHeight="false" outlineLevel="0" collapsed="false">
      <c r="B240" s="1515" t="n">
        <v>2025</v>
      </c>
      <c r="C240" s="1529" t="n">
        <v>238</v>
      </c>
      <c r="D240" s="359" t="n">
        <v>0</v>
      </c>
      <c r="E240" s="1524" t="n">
        <f aca="false">CONCATENATE(C240,IF(O240=19,9,IF(O240=6,6,IF(O240=4,4,0))))+0</f>
        <v>2380</v>
      </c>
      <c r="F240" s="1530" t="s">
        <v>1283</v>
      </c>
      <c r="G240" s="1530"/>
      <c r="H240" s="1529" t="n">
        <v>114.19</v>
      </c>
      <c r="I240" s="1529" t="n">
        <v>240.4</v>
      </c>
      <c r="J240" s="1529" t="n">
        <v>186.91</v>
      </c>
      <c r="K240" s="1529" t="n">
        <v>540.36</v>
      </c>
      <c r="L240" s="1526" t="n">
        <v>0.00465</v>
      </c>
      <c r="M240" s="1526" t="n">
        <v>0.0098</v>
      </c>
      <c r="N240" s="1531" t="n">
        <v>1</v>
      </c>
      <c r="O240" s="1529" t="n">
        <v>0</v>
      </c>
      <c r="T240" s="1528" t="n">
        <v>238</v>
      </c>
      <c r="U240" s="1528" t="s">
        <v>1283</v>
      </c>
      <c r="V240" s="1515" t="str">
        <f aca="false">MID(E240,LEN(E240),1)</f>
        <v>0</v>
      </c>
      <c r="W240" s="1515" t="s">
        <v>1278</v>
      </c>
    </row>
    <row r="241" s="1515" customFormat="true" ht="14.25" hidden="false" customHeight="false" outlineLevel="0" collapsed="false">
      <c r="B241" s="1515" t="n">
        <v>2025</v>
      </c>
      <c r="C241" s="1529" t="n">
        <v>239</v>
      </c>
      <c r="D241" s="359" t="n">
        <v>0</v>
      </c>
      <c r="E241" s="1524" t="n">
        <f aca="false">CONCATENATE(C241,IF(O241=19,9,IF(O241=6,6,IF(O241=4,4,0))))+0</f>
        <v>2390</v>
      </c>
      <c r="F241" s="1530" t="s">
        <v>1284</v>
      </c>
      <c r="G241" s="1530"/>
      <c r="H241" s="1529" t="n">
        <v>114.19</v>
      </c>
      <c r="I241" s="1529" t="n">
        <v>240.4</v>
      </c>
      <c r="J241" s="1529" t="n">
        <v>186.91</v>
      </c>
      <c r="K241" s="1529" t="n">
        <v>540.36</v>
      </c>
      <c r="L241" s="1526" t="n">
        <v>0.00465</v>
      </c>
      <c r="M241" s="1526" t="n">
        <v>0.0098</v>
      </c>
      <c r="N241" s="1531" t="n">
        <v>1</v>
      </c>
      <c r="O241" s="1529" t="n">
        <v>0</v>
      </c>
      <c r="T241" s="1528" t="n">
        <v>239</v>
      </c>
      <c r="U241" s="1528" t="s">
        <v>1284</v>
      </c>
      <c r="V241" s="1515" t="str">
        <f aca="false">MID(E241,LEN(E241),1)</f>
        <v>0</v>
      </c>
      <c r="W241" s="1515" t="s">
        <v>1279</v>
      </c>
    </row>
    <row r="242" s="1515" customFormat="true" ht="14.25" hidden="false" customHeight="false" outlineLevel="0" collapsed="false">
      <c r="B242" s="1515" t="n">
        <v>2025</v>
      </c>
      <c r="C242" s="1529" t="n">
        <v>240</v>
      </c>
      <c r="D242" s="359" t="n">
        <v>0</v>
      </c>
      <c r="E242" s="1524" t="n">
        <f aca="false">CONCATENATE(C242,IF(O242=19,9,IF(O242=6,6,IF(O242=4,4,0))))+0</f>
        <v>2400</v>
      </c>
      <c r="F242" s="1530" t="s">
        <v>1285</v>
      </c>
      <c r="G242" s="1530"/>
      <c r="H242" s="1529" t="n">
        <v>114.19</v>
      </c>
      <c r="I242" s="1529" t="n">
        <v>240.4</v>
      </c>
      <c r="J242" s="1529" t="n">
        <v>186.91</v>
      </c>
      <c r="K242" s="1529" t="n">
        <v>540.36</v>
      </c>
      <c r="L242" s="1526" t="n">
        <v>0.00465</v>
      </c>
      <c r="M242" s="1526" t="n">
        <v>0.0098</v>
      </c>
      <c r="N242" s="1531" t="n">
        <v>1</v>
      </c>
      <c r="O242" s="1529" t="n">
        <v>0</v>
      </c>
      <c r="T242" s="1528" t="n">
        <v>240</v>
      </c>
      <c r="U242" s="1528" t="s">
        <v>1285</v>
      </c>
      <c r="V242" s="1515" t="str">
        <f aca="false">MID(E242,LEN(E242),1)</f>
        <v>0</v>
      </c>
      <c r="W242" s="1515" t="s">
        <v>1280</v>
      </c>
    </row>
    <row r="243" s="1515" customFormat="true" ht="14.25" hidden="false" customHeight="false" outlineLevel="0" collapsed="false">
      <c r="B243" s="1515" t="n">
        <v>2025</v>
      </c>
      <c r="C243" s="1529" t="n">
        <v>241</v>
      </c>
      <c r="D243" s="359" t="n">
        <v>0</v>
      </c>
      <c r="E243" s="1524" t="n">
        <f aca="false">CONCATENATE(C243,IF(O243=19,9,IF(O243=6,6,IF(O243=4,4,0))))+0</f>
        <v>2410</v>
      </c>
      <c r="F243" s="1530" t="s">
        <v>1286</v>
      </c>
      <c r="G243" s="1530"/>
      <c r="H243" s="1529" t="n">
        <v>114.19</v>
      </c>
      <c r="I243" s="1529" t="n">
        <v>240.4</v>
      </c>
      <c r="J243" s="1529" t="n">
        <v>400</v>
      </c>
      <c r="K243" s="1529" t="n">
        <v>1000</v>
      </c>
      <c r="L243" s="1526" t="n">
        <v>0.00465</v>
      </c>
      <c r="M243" s="1526" t="n">
        <v>0.0098</v>
      </c>
      <c r="N243" s="1531" t="n">
        <v>1</v>
      </c>
      <c r="O243" s="1529" t="n">
        <v>0</v>
      </c>
      <c r="T243" s="1528" t="n">
        <v>241</v>
      </c>
      <c r="U243" s="1528" t="s">
        <v>1286</v>
      </c>
      <c r="V243" s="1515" t="str">
        <f aca="false">MID(E243,LEN(E243),1)</f>
        <v>0</v>
      </c>
      <c r="W243" s="1515" t="s">
        <v>1282</v>
      </c>
    </row>
    <row r="244" s="1515" customFormat="true" ht="14.25" hidden="false" customHeight="false" outlineLevel="0" collapsed="false">
      <c r="B244" s="1515" t="n">
        <v>2025</v>
      </c>
      <c r="C244" s="1529" t="n">
        <v>242</v>
      </c>
      <c r="D244" s="359" t="n">
        <v>0</v>
      </c>
      <c r="E244" s="1524" t="n">
        <f aca="false">CONCATENATE(C244,IF(O244=19,9,IF(O244=6,6,IF(O244=4,4,0))))+0</f>
        <v>2420</v>
      </c>
      <c r="F244" s="1530" t="s">
        <v>1287</v>
      </c>
      <c r="G244" s="1530"/>
      <c r="H244" s="1529" t="n">
        <v>114.19</v>
      </c>
      <c r="I244" s="1529" t="n">
        <v>240.4</v>
      </c>
      <c r="J244" s="1529" t="n">
        <v>400</v>
      </c>
      <c r="K244" s="1529" t="n">
        <v>1000</v>
      </c>
      <c r="L244" s="1526" t="n">
        <v>0.00465</v>
      </c>
      <c r="M244" s="1526" t="n">
        <v>0.0098</v>
      </c>
      <c r="N244" s="1531" t="n">
        <v>1</v>
      </c>
      <c r="O244" s="1529" t="n">
        <v>0</v>
      </c>
      <c r="T244" s="1528" t="n">
        <v>242</v>
      </c>
      <c r="U244" s="1528" t="s">
        <v>1287</v>
      </c>
    </row>
    <row r="245" s="1515" customFormat="true" ht="14.25" hidden="false" customHeight="false" outlineLevel="0" collapsed="false">
      <c r="B245" s="1515" t="n">
        <v>2025</v>
      </c>
      <c r="C245" s="1529" t="n">
        <v>243</v>
      </c>
      <c r="D245" s="359" t="n">
        <v>0</v>
      </c>
      <c r="E245" s="1524" t="n">
        <f aca="false">CONCATENATE(C245,IF(O245=19,9,IF(O245=6,6,IF(O245=4,4,0))))+0</f>
        <v>2430</v>
      </c>
      <c r="F245" s="1530" t="s">
        <v>1288</v>
      </c>
      <c r="G245" s="1530"/>
      <c r="H245" s="1529" t="n">
        <v>114.19</v>
      </c>
      <c r="I245" s="1529" t="n">
        <v>240.4</v>
      </c>
      <c r="J245" s="1529" t="n">
        <v>400</v>
      </c>
      <c r="K245" s="1529" t="n">
        <v>1000</v>
      </c>
      <c r="L245" s="1526" t="n">
        <v>0.00465</v>
      </c>
      <c r="M245" s="1526" t="n">
        <v>0.0098</v>
      </c>
      <c r="N245" s="1531" t="n">
        <v>1</v>
      </c>
      <c r="O245" s="1529" t="n">
        <v>0</v>
      </c>
      <c r="T245" s="1528" t="n">
        <v>243</v>
      </c>
      <c r="U245" s="1528" t="s">
        <v>1288</v>
      </c>
      <c r="V245" s="1515" t="str">
        <f aca="false">MID(E245,LEN(E245),1)</f>
        <v>0</v>
      </c>
      <c r="W245" s="1515" t="s">
        <v>1283</v>
      </c>
    </row>
    <row r="246" s="1515" customFormat="true" ht="14.25" hidden="false" customHeight="false" outlineLevel="0" collapsed="false">
      <c r="B246" s="1515" t="n">
        <v>2025</v>
      </c>
      <c r="C246" s="1529" t="n">
        <v>244</v>
      </c>
      <c r="D246" s="359" t="n">
        <v>0</v>
      </c>
      <c r="E246" s="1524" t="n">
        <f aca="false">CONCATENATE(C246,IF(O246=19,9,IF(O246=6,6,IF(O246=4,4,0))))+0</f>
        <v>2440</v>
      </c>
      <c r="F246" s="1530" t="s">
        <v>1289</v>
      </c>
      <c r="G246" s="1530"/>
      <c r="H246" s="1529" t="n">
        <v>114.19</v>
      </c>
      <c r="I246" s="1529" t="n">
        <v>240.4</v>
      </c>
      <c r="J246" s="1529" t="n">
        <v>400</v>
      </c>
      <c r="K246" s="1529" t="n">
        <v>1000</v>
      </c>
      <c r="L246" s="1526" t="n">
        <v>0.00465</v>
      </c>
      <c r="M246" s="1526" t="n">
        <v>0.0098</v>
      </c>
      <c r="N246" s="1531" t="n">
        <v>1</v>
      </c>
      <c r="O246" s="1529" t="n">
        <v>0</v>
      </c>
      <c r="T246" s="1528" t="n">
        <v>244</v>
      </c>
      <c r="U246" s="1528" t="s">
        <v>1289</v>
      </c>
      <c r="V246" s="1515" t="str">
        <f aca="false">MID(E246,LEN(E246),1)</f>
        <v>0</v>
      </c>
      <c r="W246" s="1515" t="s">
        <v>1284</v>
      </c>
    </row>
    <row r="247" s="1515" customFormat="true" ht="14.25" hidden="false" customHeight="false" outlineLevel="0" collapsed="false">
      <c r="B247" s="1515" t="n">
        <v>2025</v>
      </c>
      <c r="C247" s="1529" t="n">
        <v>245</v>
      </c>
      <c r="D247" s="359" t="n">
        <v>0</v>
      </c>
      <c r="E247" s="1524" t="n">
        <f aca="false">CONCATENATE(C247,IF(O247=19,9,IF(O247=6,6,IF(O247=4,4,0))))+0</f>
        <v>2450</v>
      </c>
      <c r="F247" s="1530" t="s">
        <v>1290</v>
      </c>
      <c r="G247" s="1530"/>
      <c r="H247" s="1529" t="n">
        <v>114.19</v>
      </c>
      <c r="I247" s="1529" t="n">
        <v>240.4</v>
      </c>
      <c r="J247" s="1529" t="n">
        <v>400</v>
      </c>
      <c r="K247" s="1529" t="n">
        <v>1000</v>
      </c>
      <c r="L247" s="1526" t="n">
        <v>0.00465</v>
      </c>
      <c r="M247" s="1526" t="n">
        <v>0.0098</v>
      </c>
      <c r="N247" s="1531" t="n">
        <v>1</v>
      </c>
      <c r="O247" s="1529" t="n">
        <v>0</v>
      </c>
      <c r="T247" s="1528" t="n">
        <v>245</v>
      </c>
      <c r="U247" s="1528" t="s">
        <v>1290</v>
      </c>
      <c r="V247" s="1515" t="str">
        <f aca="false">MID(E247,LEN(E247),1)</f>
        <v>0</v>
      </c>
      <c r="W247" s="1515" t="s">
        <v>1285</v>
      </c>
    </row>
    <row r="248" s="1515" customFormat="true" ht="14.25" hidden="false" customHeight="false" outlineLevel="0" collapsed="false">
      <c r="B248" s="1515" t="n">
        <v>2025</v>
      </c>
      <c r="C248" s="1529" t="n">
        <v>246</v>
      </c>
      <c r="D248" s="359" t="n">
        <v>0</v>
      </c>
      <c r="E248" s="1524" t="n">
        <f aca="false">CONCATENATE(C248,IF(O248=19,9,IF(O248=6,6,IF(O248=4,4,0))))+0</f>
        <v>2460</v>
      </c>
      <c r="F248" s="1530" t="s">
        <v>1291</v>
      </c>
      <c r="G248" s="1530"/>
      <c r="H248" s="1529" t="n">
        <v>114.19</v>
      </c>
      <c r="I248" s="1529" t="n">
        <v>240.4</v>
      </c>
      <c r="J248" s="1529" t="n">
        <v>400</v>
      </c>
      <c r="K248" s="1529" t="n">
        <v>1000</v>
      </c>
      <c r="L248" s="1526" t="n">
        <v>0.00465</v>
      </c>
      <c r="M248" s="1526" t="n">
        <v>0.0098</v>
      </c>
      <c r="N248" s="1531" t="n">
        <v>1</v>
      </c>
      <c r="O248" s="1529" t="n">
        <v>0</v>
      </c>
      <c r="T248" s="1528" t="n">
        <v>246</v>
      </c>
      <c r="U248" s="1528" t="s">
        <v>1291</v>
      </c>
      <c r="V248" s="1515" t="str">
        <f aca="false">MID(E248,LEN(E248),1)</f>
        <v>0</v>
      </c>
      <c r="W248" s="1515" t="s">
        <v>1286</v>
      </c>
    </row>
    <row r="249" s="1515" customFormat="true" ht="26.85" hidden="false" customHeight="false" outlineLevel="0" collapsed="false">
      <c r="B249" s="1515" t="n">
        <v>2025</v>
      </c>
      <c r="C249" s="1529" t="n">
        <v>247</v>
      </c>
      <c r="D249" s="359" t="n">
        <v>0</v>
      </c>
      <c r="E249" s="1524" t="n">
        <f aca="false">CONCATENATE(C249,IF(O249=19,9,IF(O249=6,6,IF(O249=4,4,0))))+0</f>
        <v>2470</v>
      </c>
      <c r="F249" s="1530" t="s">
        <v>1292</v>
      </c>
      <c r="G249" s="1530"/>
      <c r="H249" s="1529" t="n">
        <v>114.19</v>
      </c>
      <c r="I249" s="1529" t="n">
        <v>270.46</v>
      </c>
      <c r="J249" s="1529" t="n">
        <v>400</v>
      </c>
      <c r="K249" s="1529" t="n">
        <v>1000</v>
      </c>
      <c r="L249" s="1526" t="n">
        <v>0.00465</v>
      </c>
      <c r="M249" s="1526" t="n">
        <v>0.01102</v>
      </c>
      <c r="N249" s="1531" t="n">
        <v>1</v>
      </c>
      <c r="O249" s="1529" t="n">
        <v>0</v>
      </c>
      <c r="T249" s="1528" t="n">
        <v>247</v>
      </c>
      <c r="U249" s="1535" t="s">
        <v>1293</v>
      </c>
      <c r="V249" s="1515" t="str">
        <f aca="false">MID(E249,LEN(E249),1)</f>
        <v>0</v>
      </c>
      <c r="W249" s="1515" t="s">
        <v>1287</v>
      </c>
    </row>
    <row r="250" s="1515" customFormat="true" ht="14.25" hidden="false" customHeight="false" outlineLevel="0" collapsed="false">
      <c r="B250" s="1515" t="n">
        <v>2025</v>
      </c>
      <c r="C250" s="1529" t="n">
        <v>248</v>
      </c>
      <c r="D250" s="359" t="n">
        <v>0</v>
      </c>
      <c r="E250" s="1524" t="n">
        <f aca="false">CONCATENATE(C250,IF(O250=19,9,IF(O250=6,6,IF(O250=4,4,0))))+0</f>
        <v>2480</v>
      </c>
      <c r="F250" s="1530" t="s">
        <v>1294</v>
      </c>
      <c r="G250" s="1530"/>
      <c r="H250" s="1529" t="n">
        <v>450.76</v>
      </c>
      <c r="I250" s="1529" t="n">
        <v>721.21</v>
      </c>
      <c r="J250" s="1529" t="n">
        <v>500</v>
      </c>
      <c r="K250" s="1529" t="n">
        <v>1500</v>
      </c>
      <c r="L250" s="1526" t="n">
        <v>0.01837</v>
      </c>
      <c r="M250" s="1526" t="n">
        <v>0.0294</v>
      </c>
      <c r="N250" s="1531" t="n">
        <v>1</v>
      </c>
      <c r="O250" s="1529" t="n">
        <v>0</v>
      </c>
      <c r="T250" s="1528" t="n">
        <v>248</v>
      </c>
      <c r="U250" s="1528" t="s">
        <v>1294</v>
      </c>
      <c r="V250" s="1515" t="str">
        <f aca="false">MID(E250,LEN(E250),1)</f>
        <v>0</v>
      </c>
      <c r="W250" s="1515" t="s">
        <v>1288</v>
      </c>
    </row>
    <row r="251" s="1515" customFormat="true" ht="14.25" hidden="false" customHeight="false" outlineLevel="0" collapsed="false">
      <c r="B251" s="1515" t="n">
        <v>2025</v>
      </c>
      <c r="C251" s="1529" t="n">
        <v>249</v>
      </c>
      <c r="D251" s="359" t="n">
        <v>0</v>
      </c>
      <c r="E251" s="1524" t="n">
        <f aca="false">CONCATENATE(C251,IF(O251=19,9,IF(O251=6,6,IF(O251=4,4,0))))+0</f>
        <v>2490</v>
      </c>
      <c r="F251" s="1530" t="s">
        <v>1295</v>
      </c>
      <c r="G251" s="1530"/>
      <c r="H251" s="1529" t="n">
        <v>114.19</v>
      </c>
      <c r="I251" s="1529" t="n">
        <v>240.4</v>
      </c>
      <c r="J251" s="1529" t="n">
        <v>500</v>
      </c>
      <c r="K251" s="1529" t="n">
        <v>1500</v>
      </c>
      <c r="L251" s="1526" t="n">
        <v>0.00465</v>
      </c>
      <c r="M251" s="1526" t="n">
        <v>0.0098</v>
      </c>
      <c r="N251" s="1531" t="n">
        <v>1</v>
      </c>
      <c r="O251" s="1529" t="n">
        <v>0</v>
      </c>
      <c r="T251" s="1528" t="n">
        <v>249</v>
      </c>
      <c r="U251" s="1528" t="s">
        <v>1295</v>
      </c>
      <c r="V251" s="1515" t="str">
        <f aca="false">MID(E251,LEN(E251),1)</f>
        <v>0</v>
      </c>
      <c r="W251" s="1515" t="s">
        <v>1289</v>
      </c>
    </row>
    <row r="252" s="1515" customFormat="true" ht="14.25" hidden="false" customHeight="false" outlineLevel="0" collapsed="false">
      <c r="B252" s="1515" t="n">
        <v>2025</v>
      </c>
      <c r="C252" s="1529" t="n">
        <v>250</v>
      </c>
      <c r="D252" s="359" t="n">
        <v>0</v>
      </c>
      <c r="E252" s="1524" t="n">
        <f aca="false">CONCATENATE(C252,IF(O252=19,9,IF(O252=6,6,IF(O252=4,4,0))))+0</f>
        <v>2500</v>
      </c>
      <c r="F252" s="1530" t="s">
        <v>1296</v>
      </c>
      <c r="G252" s="1530"/>
      <c r="H252" s="1529" t="n">
        <v>114.19</v>
      </c>
      <c r="I252" s="1529" t="n">
        <v>240.4</v>
      </c>
      <c r="J252" s="1529" t="n">
        <v>500</v>
      </c>
      <c r="K252" s="1529" t="n">
        <v>1500</v>
      </c>
      <c r="L252" s="1526" t="n">
        <v>0.00465</v>
      </c>
      <c r="M252" s="1526" t="n">
        <v>0.0098</v>
      </c>
      <c r="N252" s="1531" t="n">
        <v>1</v>
      </c>
      <c r="O252" s="1529" t="n">
        <v>0</v>
      </c>
      <c r="T252" s="1528" t="n">
        <v>250</v>
      </c>
      <c r="U252" s="1528" t="s">
        <v>1296</v>
      </c>
      <c r="V252" s="1515" t="str">
        <f aca="false">MID(E252,LEN(E252),1)</f>
        <v>0</v>
      </c>
      <c r="W252" s="1515" t="s">
        <v>1290</v>
      </c>
    </row>
    <row r="253" s="1515" customFormat="true" ht="14.25" hidden="false" customHeight="false" outlineLevel="0" collapsed="false">
      <c r="B253" s="1515" t="n">
        <v>2025</v>
      </c>
      <c r="C253" s="1529" t="n">
        <v>251</v>
      </c>
      <c r="D253" s="359" t="n">
        <v>0</v>
      </c>
      <c r="E253" s="1524" t="n">
        <f aca="false">CONCATENATE(C253,IF(O253=19,9,IF(O253=6,6,IF(O253=4,4,0))))+0</f>
        <v>2510</v>
      </c>
      <c r="F253" s="1530" t="s">
        <v>1297</v>
      </c>
      <c r="G253" s="1530"/>
      <c r="H253" s="1529" t="n">
        <v>114.19</v>
      </c>
      <c r="I253" s="1529" t="n">
        <v>240.4</v>
      </c>
      <c r="J253" s="1529" t="n">
        <v>1000</v>
      </c>
      <c r="K253" s="1529" t="n">
        <v>3800</v>
      </c>
      <c r="L253" s="1526" t="n">
        <v>0.00465</v>
      </c>
      <c r="M253" s="1526" t="n">
        <v>0.0098</v>
      </c>
      <c r="N253" s="1531" t="n">
        <v>5</v>
      </c>
      <c r="O253" s="1529" t="n">
        <v>0</v>
      </c>
      <c r="T253" s="1528" t="n">
        <v>251</v>
      </c>
      <c r="U253" s="1528" t="s">
        <v>1297</v>
      </c>
      <c r="V253" s="1515" t="str">
        <f aca="false">MID(E253,LEN(E253),1)</f>
        <v>0</v>
      </c>
      <c r="W253" s="1515" t="s">
        <v>1291</v>
      </c>
    </row>
    <row r="254" s="1515" customFormat="true" ht="14.25" hidden="false" customHeight="false" outlineLevel="0" collapsed="false">
      <c r="B254" s="1515" t="n">
        <v>2025</v>
      </c>
      <c r="C254" s="1529" t="n">
        <v>252</v>
      </c>
      <c r="D254" s="359" t="n">
        <v>0</v>
      </c>
      <c r="E254" s="1524" t="n">
        <f aca="false">CONCATENATE(C254,IF(O254=19,9,IF(O254=6,6,IF(O254=4,4,0))))+0</f>
        <v>2520</v>
      </c>
      <c r="F254" s="1530" t="s">
        <v>1298</v>
      </c>
      <c r="G254" s="1530"/>
      <c r="H254" s="1529" t="n">
        <v>114.19</v>
      </c>
      <c r="I254" s="1529" t="n">
        <v>240.4</v>
      </c>
      <c r="J254" s="1529" t="n">
        <v>1000</v>
      </c>
      <c r="K254" s="1529" t="n">
        <v>3800</v>
      </c>
      <c r="L254" s="1526" t="n">
        <v>0.00465</v>
      </c>
      <c r="M254" s="1526" t="n">
        <v>0.0098</v>
      </c>
      <c r="N254" s="1531" t="n">
        <v>5</v>
      </c>
      <c r="O254" s="1529" t="n">
        <v>0</v>
      </c>
      <c r="T254" s="1528" t="n">
        <v>252</v>
      </c>
      <c r="U254" s="1528" t="s">
        <v>1298</v>
      </c>
      <c r="V254" s="1515" t="str">
        <f aca="false">MID(E254,LEN(E254),1)</f>
        <v>0</v>
      </c>
      <c r="W254" s="1515" t="s">
        <v>1292</v>
      </c>
    </row>
    <row r="255" s="1515" customFormat="true" ht="14.25" hidden="false" customHeight="false" outlineLevel="0" collapsed="false">
      <c r="B255" s="1515" t="n">
        <v>2025</v>
      </c>
      <c r="C255" s="1529" t="n">
        <v>253</v>
      </c>
      <c r="D255" s="359" t="n">
        <v>0</v>
      </c>
      <c r="E255" s="1524" t="n">
        <f aca="false">CONCATENATE(C255,IF(O255=19,9,IF(O255=6,6,IF(O255=4,4,0))))+0</f>
        <v>2530</v>
      </c>
      <c r="F255" s="1530" t="s">
        <v>1299</v>
      </c>
      <c r="G255" s="1530"/>
      <c r="H255" s="1529" t="n">
        <v>114.19</v>
      </c>
      <c r="I255" s="1529" t="n">
        <v>240.4</v>
      </c>
      <c r="J255" s="1529" t="n">
        <v>1000</v>
      </c>
      <c r="K255" s="1529" t="n">
        <v>3800</v>
      </c>
      <c r="L255" s="1526" t="n">
        <v>0.00465</v>
      </c>
      <c r="M255" s="1526" t="n">
        <v>0.0098</v>
      </c>
      <c r="N255" s="1531" t="n">
        <v>5</v>
      </c>
      <c r="O255" s="1529" t="n">
        <v>0</v>
      </c>
      <c r="T255" s="1528" t="n">
        <v>253</v>
      </c>
      <c r="U255" s="1528" t="s">
        <v>1299</v>
      </c>
      <c r="V255" s="1515" t="str">
        <f aca="false">MID(E255,LEN(E255),1)</f>
        <v>0</v>
      </c>
      <c r="W255" s="1515" t="s">
        <v>1294</v>
      </c>
    </row>
    <row r="256" s="1515" customFormat="true" ht="14.25" hidden="false" customHeight="false" outlineLevel="0" collapsed="false">
      <c r="B256" s="1515" t="n">
        <v>2025</v>
      </c>
      <c r="C256" s="1529" t="n">
        <v>254</v>
      </c>
      <c r="D256" s="359" t="n">
        <v>0</v>
      </c>
      <c r="E256" s="1524" t="n">
        <f aca="false">CONCATENATE(C256,IF(O256=19,9,IF(O256=6,6,IF(O256=4,4,0))))+0</f>
        <v>2540</v>
      </c>
      <c r="F256" s="1530" t="s">
        <v>1300</v>
      </c>
      <c r="G256" s="1530"/>
      <c r="H256" s="1529" t="n">
        <v>114.19</v>
      </c>
      <c r="I256" s="1529" t="n">
        <v>240.4</v>
      </c>
      <c r="J256" s="1529" t="n">
        <v>1000</v>
      </c>
      <c r="K256" s="1529" t="n">
        <v>3800</v>
      </c>
      <c r="L256" s="1526" t="n">
        <v>0.00465</v>
      </c>
      <c r="M256" s="1526" t="n">
        <v>0.0098</v>
      </c>
      <c r="N256" s="1531" t="n">
        <v>5</v>
      </c>
      <c r="O256" s="1529" t="n">
        <v>0</v>
      </c>
      <c r="T256" s="1528" t="n">
        <v>254</v>
      </c>
      <c r="U256" s="1528" t="s">
        <v>1300</v>
      </c>
      <c r="V256" s="1515" t="str">
        <f aca="false">MID(E256,LEN(E256),1)</f>
        <v>0</v>
      </c>
      <c r="W256" s="1515" t="s">
        <v>1295</v>
      </c>
    </row>
    <row r="257" s="1515" customFormat="true" ht="14.25" hidden="false" customHeight="false" outlineLevel="0" collapsed="false">
      <c r="B257" s="1515" t="n">
        <v>2025</v>
      </c>
      <c r="C257" s="1529" t="n">
        <v>256</v>
      </c>
      <c r="D257" s="359" t="n">
        <v>0</v>
      </c>
      <c r="E257" s="1524" t="n">
        <f aca="false">CONCATENATE(C257,IF(O257=19,9,IF(O257=6,6,IF(O257=4,4,0))))+0</f>
        <v>2560</v>
      </c>
      <c r="F257" s="1530" t="s">
        <v>1301</v>
      </c>
      <c r="G257" s="1530"/>
      <c r="H257" s="1529" t="n">
        <v>114.19</v>
      </c>
      <c r="I257" s="1529" t="n">
        <v>240.4</v>
      </c>
      <c r="J257" s="1529" t="n">
        <v>1000</v>
      </c>
      <c r="K257" s="1529" t="n">
        <v>3800</v>
      </c>
      <c r="L257" s="1526" t="n">
        <v>0.00465</v>
      </c>
      <c r="M257" s="1526" t="n">
        <v>0.0098</v>
      </c>
      <c r="N257" s="1531" t="n">
        <v>5</v>
      </c>
      <c r="O257" s="1529" t="n">
        <v>0</v>
      </c>
      <c r="T257" s="1528" t="n">
        <v>256</v>
      </c>
      <c r="U257" s="1528" t="s">
        <v>1301</v>
      </c>
      <c r="V257" s="1515" t="str">
        <f aca="false">MID(E257,LEN(E257),1)</f>
        <v>0</v>
      </c>
      <c r="W257" s="1515" t="s">
        <v>1296</v>
      </c>
    </row>
    <row r="258" s="1515" customFormat="true" ht="14.25" hidden="false" customHeight="false" outlineLevel="0" collapsed="false">
      <c r="B258" s="1515" t="n">
        <v>2025</v>
      </c>
      <c r="C258" s="1529" t="n">
        <v>257</v>
      </c>
      <c r="D258" s="359" t="n">
        <v>0</v>
      </c>
      <c r="E258" s="1524" t="n">
        <f aca="false">CONCATENATE(C258,IF(O258=19,9,IF(O258=6,6,IF(O258=4,4,0))))+0</f>
        <v>2570</v>
      </c>
      <c r="F258" s="1530" t="s">
        <v>1302</v>
      </c>
      <c r="G258" s="1530"/>
      <c r="H258" s="1529" t="n">
        <v>114.19</v>
      </c>
      <c r="I258" s="1529" t="n">
        <v>240.4</v>
      </c>
      <c r="J258" s="1529" t="n">
        <v>1000</v>
      </c>
      <c r="K258" s="1529" t="n">
        <v>3800</v>
      </c>
      <c r="L258" s="1526" t="n">
        <v>0.00465</v>
      </c>
      <c r="M258" s="1526" t="n">
        <v>0.0098</v>
      </c>
      <c r="N258" s="1531" t="n">
        <v>5</v>
      </c>
      <c r="O258" s="1529" t="n">
        <v>0</v>
      </c>
      <c r="T258" s="1528" t="n">
        <v>257</v>
      </c>
      <c r="U258" s="1528" t="s">
        <v>1302</v>
      </c>
      <c r="V258" s="1515" t="str">
        <f aca="false">MID(E258,LEN(E258),1)</f>
        <v>0</v>
      </c>
      <c r="W258" s="1515" t="s">
        <v>1297</v>
      </c>
    </row>
    <row r="259" s="1515" customFormat="true" ht="14.25" hidden="false" customHeight="false" outlineLevel="0" collapsed="false">
      <c r="B259" s="1515" t="n">
        <v>2025</v>
      </c>
      <c r="C259" s="1529" t="n">
        <v>258</v>
      </c>
      <c r="D259" s="359" t="n">
        <v>0</v>
      </c>
      <c r="E259" s="1524" t="n">
        <f aca="false">CONCATENATE(C259,IF(O259=19,9,IF(O259=6,6,IF(O259=4,4,0))))+0</f>
        <v>2580</v>
      </c>
      <c r="F259" s="1530" t="s">
        <v>1303</v>
      </c>
      <c r="G259" s="1530"/>
      <c r="H259" s="1529" t="n">
        <v>114.19</v>
      </c>
      <c r="I259" s="1529" t="n">
        <v>240.4</v>
      </c>
      <c r="J259" s="1529" t="n">
        <v>1000</v>
      </c>
      <c r="K259" s="1529" t="n">
        <v>3800</v>
      </c>
      <c r="L259" s="1526" t="n">
        <v>0.00465</v>
      </c>
      <c r="M259" s="1526" t="n">
        <v>0.0098</v>
      </c>
      <c r="N259" s="1531" t="n">
        <v>5</v>
      </c>
      <c r="O259" s="1529" t="n">
        <v>0</v>
      </c>
      <c r="T259" s="1528" t="n">
        <v>258</v>
      </c>
      <c r="U259" s="1528" t="s">
        <v>1303</v>
      </c>
      <c r="V259" s="1515" t="str">
        <f aca="false">MID(E259,LEN(E259),1)</f>
        <v>0</v>
      </c>
      <c r="W259" s="1515" t="s">
        <v>1298</v>
      </c>
    </row>
    <row r="260" s="1515" customFormat="true" ht="14.25" hidden="false" customHeight="false" outlineLevel="0" collapsed="false">
      <c r="B260" s="1515" t="n">
        <v>2025</v>
      </c>
      <c r="C260" s="1529" t="n">
        <v>259</v>
      </c>
      <c r="D260" s="359" t="n">
        <v>0</v>
      </c>
      <c r="E260" s="1524" t="n">
        <f aca="false">CONCATENATE(C260,IF(O260=19,9,IF(O260=6,6,IF(O260=4,4,0))))+0</f>
        <v>2590</v>
      </c>
      <c r="F260" s="1530" t="s">
        <v>1304</v>
      </c>
      <c r="G260" s="1530"/>
      <c r="H260" s="1529" t="n">
        <v>114.19</v>
      </c>
      <c r="I260" s="1529" t="n">
        <v>240.4</v>
      </c>
      <c r="J260" s="1529" t="n">
        <v>1000</v>
      </c>
      <c r="K260" s="1529" t="n">
        <v>3800</v>
      </c>
      <c r="L260" s="1526" t="n">
        <v>0.00465</v>
      </c>
      <c r="M260" s="1526" t="n">
        <v>0.0098</v>
      </c>
      <c r="N260" s="1531" t="n">
        <v>5</v>
      </c>
      <c r="O260" s="1529" t="n">
        <v>0</v>
      </c>
      <c r="T260" s="1528" t="n">
        <v>259</v>
      </c>
      <c r="U260" s="1528" t="s">
        <v>1304</v>
      </c>
      <c r="V260" s="1515" t="str">
        <f aca="false">MID(E260,LEN(E260),1)</f>
        <v>0</v>
      </c>
      <c r="W260" s="1515" t="s">
        <v>1299</v>
      </c>
    </row>
    <row r="261" s="1515" customFormat="true" ht="14.25" hidden="false" customHeight="false" outlineLevel="0" collapsed="false">
      <c r="B261" s="1515" t="n">
        <v>2025</v>
      </c>
      <c r="C261" s="1529" t="n">
        <v>260</v>
      </c>
      <c r="D261" s="359" t="n">
        <v>0</v>
      </c>
      <c r="E261" s="1524" t="n">
        <f aca="false">CONCATENATE(C261,IF(O261=19,9,IF(O261=6,6,IF(O261=4,4,0))))+0</f>
        <v>2600</v>
      </c>
      <c r="F261" s="1530" t="s">
        <v>1305</v>
      </c>
      <c r="G261" s="1530"/>
      <c r="H261" s="1529" t="n">
        <v>114.19</v>
      </c>
      <c r="I261" s="1529" t="n">
        <v>240.4</v>
      </c>
      <c r="J261" s="1529" t="n">
        <v>1000</v>
      </c>
      <c r="K261" s="1529" t="n">
        <v>3800</v>
      </c>
      <c r="L261" s="1526" t="n">
        <v>0.00465</v>
      </c>
      <c r="M261" s="1526" t="n">
        <v>0.0098</v>
      </c>
      <c r="N261" s="1531" t="n">
        <v>5</v>
      </c>
      <c r="O261" s="1529" t="n">
        <v>0</v>
      </c>
      <c r="T261" s="1528" t="n">
        <v>260</v>
      </c>
      <c r="U261" s="1528" t="s">
        <v>1305</v>
      </c>
      <c r="V261" s="1515" t="str">
        <f aca="false">MID(E261,LEN(E261),1)</f>
        <v>0</v>
      </c>
      <c r="W261" s="1515" t="s">
        <v>1300</v>
      </c>
    </row>
    <row r="262" s="1515" customFormat="true" ht="14.25" hidden="false" customHeight="false" outlineLevel="0" collapsed="false">
      <c r="B262" s="1515" t="n">
        <v>2025</v>
      </c>
      <c r="C262" s="1529" t="n">
        <v>261</v>
      </c>
      <c r="D262" s="359" t="n">
        <v>0</v>
      </c>
      <c r="E262" s="1524" t="n">
        <f aca="false">CONCATENATE(C262,IF(O262=19,9,IF(O262=6,6,IF(O262=4,4,0))))+0</f>
        <v>2610</v>
      </c>
      <c r="F262" s="1530" t="s">
        <v>1306</v>
      </c>
      <c r="G262" s="1530"/>
      <c r="H262" s="1529" t="n">
        <v>114.19</v>
      </c>
      <c r="I262" s="1529" t="n">
        <v>240.4</v>
      </c>
      <c r="J262" s="1529" t="n">
        <v>1000</v>
      </c>
      <c r="K262" s="1529" t="n">
        <v>3800</v>
      </c>
      <c r="L262" s="1526" t="n">
        <v>0.00465</v>
      </c>
      <c r="M262" s="1526" t="n">
        <v>0.0098</v>
      </c>
      <c r="N262" s="1531" t="n">
        <v>5</v>
      </c>
      <c r="O262" s="1529" t="n">
        <v>0</v>
      </c>
      <c r="T262" s="1528" t="n">
        <v>261</v>
      </c>
      <c r="U262" s="1528" t="s">
        <v>1306</v>
      </c>
      <c r="V262" s="1515" t="str">
        <f aca="false">MID(E262,LEN(E262),1)</f>
        <v>0</v>
      </c>
      <c r="W262" s="1515" t="s">
        <v>1301</v>
      </c>
    </row>
    <row r="263" s="1515" customFormat="true" ht="14.25" hidden="false" customHeight="false" outlineLevel="0" collapsed="false">
      <c r="B263" s="1515" t="n">
        <v>2025</v>
      </c>
      <c r="C263" s="1529" t="n">
        <v>262</v>
      </c>
      <c r="D263" s="359" t="n">
        <v>0</v>
      </c>
      <c r="E263" s="1524" t="n">
        <f aca="false">CONCATENATE(C263,IF(O263=19,9,IF(O263=6,6,IF(O263=4,4,0))))+0</f>
        <v>2620</v>
      </c>
      <c r="F263" s="1530" t="s">
        <v>1307</v>
      </c>
      <c r="G263" s="1530"/>
      <c r="H263" s="1529" t="n">
        <v>2000</v>
      </c>
      <c r="I263" s="1529" t="n">
        <v>2500</v>
      </c>
      <c r="J263" s="1529" t="n">
        <v>5431.36</v>
      </c>
      <c r="K263" s="1529" t="n">
        <v>12000</v>
      </c>
      <c r="L263" s="1526" t="n">
        <v>0.08152</v>
      </c>
      <c r="M263" s="1526" t="n">
        <v>0.1019</v>
      </c>
      <c r="N263" s="1531" t="n">
        <v>5</v>
      </c>
      <c r="O263" s="1529" t="n">
        <v>0</v>
      </c>
      <c r="T263" s="1528" t="n">
        <v>262</v>
      </c>
      <c r="U263" s="1528" t="s">
        <v>1307</v>
      </c>
      <c r="V263" s="1515" t="str">
        <f aca="false">MID(E263,LEN(E263),1)</f>
        <v>0</v>
      </c>
      <c r="W263" s="1515" t="s">
        <v>1302</v>
      </c>
    </row>
    <row r="264" s="1515" customFormat="true" ht="14.25" hidden="false" customHeight="false" outlineLevel="0" collapsed="false">
      <c r="B264" s="1515" t="n">
        <v>2025</v>
      </c>
      <c r="C264" s="1529" t="n">
        <v>263</v>
      </c>
      <c r="D264" s="359" t="n">
        <v>0</v>
      </c>
      <c r="E264" s="1524" t="n">
        <f aca="false">CONCATENATE(C264,IF(O264=19,9,IF(O264=6,6,IF(O264=4,4,0))))+0</f>
        <v>2630</v>
      </c>
      <c r="F264" s="1530" t="s">
        <v>1308</v>
      </c>
      <c r="G264" s="1530"/>
      <c r="H264" s="1529" t="n">
        <v>114.19</v>
      </c>
      <c r="I264" s="1529" t="n">
        <v>240.4</v>
      </c>
      <c r="J264" s="1529" t="n">
        <v>1000</v>
      </c>
      <c r="K264" s="1529" t="n">
        <v>3800</v>
      </c>
      <c r="L264" s="1526" t="n">
        <v>0.00465</v>
      </c>
      <c r="M264" s="1526" t="n">
        <v>0.0098</v>
      </c>
      <c r="N264" s="1531" t="n">
        <v>5</v>
      </c>
      <c r="O264" s="1529" t="n">
        <v>0</v>
      </c>
      <c r="T264" s="1528" t="n">
        <v>263</v>
      </c>
      <c r="U264" s="1528" t="s">
        <v>1308</v>
      </c>
      <c r="V264" s="1515" t="str">
        <f aca="false">MID(E264,LEN(E264),1)</f>
        <v>0</v>
      </c>
      <c r="W264" s="1515" t="s">
        <v>1303</v>
      </c>
    </row>
    <row r="265" s="1515" customFormat="true" ht="14.25" hidden="false" customHeight="false" outlineLevel="0" collapsed="false">
      <c r="B265" s="1515" t="n">
        <v>2025</v>
      </c>
      <c r="C265" s="1529" t="n">
        <v>264</v>
      </c>
      <c r="D265" s="359" t="n">
        <v>0</v>
      </c>
      <c r="E265" s="1524" t="n">
        <f aca="false">CONCATENATE(C265,IF(O265=19,9,IF(O265=6,6,IF(O265=4,4,0))))+0</f>
        <v>2640</v>
      </c>
      <c r="F265" s="1530" t="s">
        <v>1309</v>
      </c>
      <c r="G265" s="1530"/>
      <c r="H265" s="1529" t="n">
        <v>114.19</v>
      </c>
      <c r="I265" s="1529" t="n">
        <v>240.4</v>
      </c>
      <c r="J265" s="1529" t="n">
        <v>1000</v>
      </c>
      <c r="K265" s="1529" t="n">
        <v>3800</v>
      </c>
      <c r="L265" s="1526" t="n">
        <v>0.00465</v>
      </c>
      <c r="M265" s="1526" t="n">
        <v>0.0098</v>
      </c>
      <c r="N265" s="1531" t="n">
        <v>5</v>
      </c>
      <c r="O265" s="1529" t="n">
        <v>0</v>
      </c>
      <c r="T265" s="1528" t="n">
        <v>264</v>
      </c>
      <c r="U265" s="1528" t="s">
        <v>1309</v>
      </c>
      <c r="V265" s="1515" t="str">
        <f aca="false">MID(E265,LEN(E265),1)</f>
        <v>0</v>
      </c>
      <c r="W265" s="1515" t="s">
        <v>1304</v>
      </c>
    </row>
    <row r="266" s="1515" customFormat="true" ht="14.25" hidden="false" customHeight="false" outlineLevel="0" collapsed="false">
      <c r="B266" s="1515" t="n">
        <v>2025</v>
      </c>
      <c r="C266" s="1529" t="n">
        <v>265</v>
      </c>
      <c r="D266" s="359" t="n">
        <v>0</v>
      </c>
      <c r="E266" s="1524" t="n">
        <f aca="false">CONCATENATE(C266,IF(O266=19,9,IF(O266=6,6,IF(O266=4,4,0))))+0</f>
        <v>2650</v>
      </c>
      <c r="F266" s="1530" t="s">
        <v>1310</v>
      </c>
      <c r="G266" s="1530"/>
      <c r="H266" s="1529" t="n">
        <v>114.19</v>
      </c>
      <c r="I266" s="1529" t="n">
        <v>240.4</v>
      </c>
      <c r="J266" s="1529" t="n">
        <v>1000</v>
      </c>
      <c r="K266" s="1529" t="n">
        <v>3800</v>
      </c>
      <c r="L266" s="1526" t="n">
        <v>0.00465</v>
      </c>
      <c r="M266" s="1526" t="n">
        <v>0.0098</v>
      </c>
      <c r="N266" s="1531" t="n">
        <v>5</v>
      </c>
      <c r="O266" s="1529" t="n">
        <v>0</v>
      </c>
      <c r="T266" s="1528" t="n">
        <v>265</v>
      </c>
      <c r="U266" s="1528" t="s">
        <v>1310</v>
      </c>
      <c r="V266" s="1515" t="str">
        <f aca="false">MID(E266,LEN(E266),1)</f>
        <v>0</v>
      </c>
      <c r="W266" s="1515" t="s">
        <v>1305</v>
      </c>
    </row>
    <row r="267" s="1515" customFormat="true" ht="14.25" hidden="false" customHeight="false" outlineLevel="0" collapsed="false">
      <c r="B267" s="1515" t="n">
        <v>2025</v>
      </c>
      <c r="C267" s="1529" t="n">
        <v>266</v>
      </c>
      <c r="D267" s="359" t="n">
        <v>0</v>
      </c>
      <c r="E267" s="1524" t="n">
        <f aca="false">CONCATENATE(C267,IF(O267=19,9,IF(O267=6,6,IF(O267=4,4,0))))+0</f>
        <v>2660</v>
      </c>
      <c r="F267" s="1530" t="s">
        <v>1311</v>
      </c>
      <c r="G267" s="1530"/>
      <c r="H267" s="1529" t="n">
        <v>114.19</v>
      </c>
      <c r="I267" s="1529" t="n">
        <v>240.4</v>
      </c>
      <c r="J267" s="1529" t="n">
        <v>1000</v>
      </c>
      <c r="K267" s="1529" t="n">
        <v>3800</v>
      </c>
      <c r="L267" s="1526" t="n">
        <v>0.00465</v>
      </c>
      <c r="M267" s="1526" t="n">
        <v>0.0098</v>
      </c>
      <c r="N267" s="1531" t="n">
        <v>5</v>
      </c>
      <c r="O267" s="1529" t="n">
        <v>0</v>
      </c>
      <c r="T267" s="1528" t="n">
        <v>266</v>
      </c>
      <c r="U267" s="1528" t="s">
        <v>1311</v>
      </c>
      <c r="V267" s="1515" t="str">
        <f aca="false">MID(E267,LEN(E267),1)</f>
        <v>0</v>
      </c>
      <c r="W267" s="1515" t="s">
        <v>1306</v>
      </c>
    </row>
    <row r="268" s="1515" customFormat="true" ht="14.25" hidden="false" customHeight="false" outlineLevel="0" collapsed="false">
      <c r="B268" s="1515" t="n">
        <v>2025</v>
      </c>
      <c r="C268" s="1529" t="n">
        <v>267</v>
      </c>
      <c r="D268" s="359" t="n">
        <v>0</v>
      </c>
      <c r="E268" s="1524" t="n">
        <f aca="false">CONCATENATE(C268,IF(O268=19,9,IF(O268=6,6,IF(O268=4,4,0))))+0</f>
        <v>2670</v>
      </c>
      <c r="F268" s="1530" t="s">
        <v>1312</v>
      </c>
      <c r="G268" s="1530"/>
      <c r="H268" s="1529" t="n">
        <v>114.19</v>
      </c>
      <c r="I268" s="1529" t="n">
        <v>240.4</v>
      </c>
      <c r="J268" s="1529" t="n">
        <v>1000</v>
      </c>
      <c r="K268" s="1529" t="n">
        <v>3800</v>
      </c>
      <c r="L268" s="1526" t="n">
        <v>0.00465</v>
      </c>
      <c r="M268" s="1526" t="n">
        <v>0.0098</v>
      </c>
      <c r="N268" s="1531" t="n">
        <v>5</v>
      </c>
      <c r="O268" s="1529" t="n">
        <v>0</v>
      </c>
      <c r="T268" s="1528" t="n">
        <v>267</v>
      </c>
      <c r="U268" s="1528" t="s">
        <v>1312</v>
      </c>
      <c r="V268" s="1515" t="str">
        <f aca="false">MID(E268,LEN(E268),1)</f>
        <v>0</v>
      </c>
      <c r="W268" s="1515" t="s">
        <v>1307</v>
      </c>
    </row>
    <row r="269" s="1515" customFormat="true" ht="14.25" hidden="false" customHeight="false" outlineLevel="0" collapsed="false">
      <c r="B269" s="1515" t="n">
        <v>2025</v>
      </c>
      <c r="C269" s="1529" t="n">
        <v>268</v>
      </c>
      <c r="D269" s="359" t="n">
        <v>0</v>
      </c>
      <c r="E269" s="1524" t="n">
        <f aca="false">CONCATENATE(C269,IF(O269=19,9,IF(O269=6,6,IF(O269=4,4,0))))+0</f>
        <v>2680</v>
      </c>
      <c r="F269" s="1530" t="s">
        <v>1313</v>
      </c>
      <c r="G269" s="1530"/>
      <c r="H269" s="1529" t="n">
        <v>114.19</v>
      </c>
      <c r="I269" s="1529" t="n">
        <v>240.4</v>
      </c>
      <c r="J269" s="1529" t="n">
        <v>1000</v>
      </c>
      <c r="K269" s="1529" t="n">
        <v>3800</v>
      </c>
      <c r="L269" s="1526" t="n">
        <v>0.00465</v>
      </c>
      <c r="M269" s="1526" t="n">
        <v>0.0098</v>
      </c>
      <c r="N269" s="1531" t="n">
        <v>5</v>
      </c>
      <c r="O269" s="1529" t="n">
        <v>0</v>
      </c>
      <c r="T269" s="1528" t="n">
        <v>268</v>
      </c>
      <c r="U269" s="1528" t="s">
        <v>1313</v>
      </c>
      <c r="V269" s="1515" t="str">
        <f aca="false">MID(E269,LEN(E269),1)</f>
        <v>0</v>
      </c>
      <c r="W269" s="1515" t="s">
        <v>1308</v>
      </c>
    </row>
    <row r="270" s="1515" customFormat="true" ht="14.25" hidden="false" customHeight="false" outlineLevel="0" collapsed="false">
      <c r="B270" s="1515" t="n">
        <v>2025</v>
      </c>
      <c r="C270" s="1529" t="n">
        <v>269</v>
      </c>
      <c r="D270" s="359" t="n">
        <v>0</v>
      </c>
      <c r="E270" s="1524" t="n">
        <f aca="false">CONCATENATE(C270,IF(O270=19,9,IF(O270=6,6,IF(O270=4,4,0))))+0</f>
        <v>2690</v>
      </c>
      <c r="F270" s="1530" t="s">
        <v>1314</v>
      </c>
      <c r="G270" s="1530"/>
      <c r="H270" s="1529" t="n">
        <v>114.19</v>
      </c>
      <c r="I270" s="1529" t="n">
        <v>240.4</v>
      </c>
      <c r="J270" s="1529" t="n">
        <v>1000</v>
      </c>
      <c r="K270" s="1529" t="n">
        <v>3800</v>
      </c>
      <c r="L270" s="1526" t="n">
        <v>0.00465</v>
      </c>
      <c r="M270" s="1526" t="n">
        <v>0.0098</v>
      </c>
      <c r="N270" s="1531" t="n">
        <v>5</v>
      </c>
      <c r="O270" s="1529" t="n">
        <v>0</v>
      </c>
      <c r="T270" s="1528" t="n">
        <v>269</v>
      </c>
      <c r="U270" s="1528" t="s">
        <v>1314</v>
      </c>
      <c r="V270" s="1515" t="str">
        <f aca="false">MID(E270,LEN(E270),1)</f>
        <v>0</v>
      </c>
      <c r="W270" s="1515" t="s">
        <v>1309</v>
      </c>
    </row>
    <row r="271" s="1515" customFormat="true" ht="14.25" hidden="false" customHeight="false" outlineLevel="0" collapsed="false">
      <c r="B271" s="1515" t="n">
        <v>2025</v>
      </c>
      <c r="C271" s="1529" t="n">
        <v>270</v>
      </c>
      <c r="D271" s="359" t="n">
        <v>0</v>
      </c>
      <c r="E271" s="1524" t="n">
        <f aca="false">CONCATENATE(C271,IF(O271=19,9,IF(O271=6,6,IF(O271=4,4,0))))+0</f>
        <v>2700</v>
      </c>
      <c r="F271" s="1530" t="s">
        <v>1315</v>
      </c>
      <c r="G271" s="1530"/>
      <c r="H271" s="1529" t="n">
        <v>114.19</v>
      </c>
      <c r="I271" s="1529" t="n">
        <v>240.4</v>
      </c>
      <c r="J271" s="1529" t="n">
        <v>1000</v>
      </c>
      <c r="K271" s="1529" t="n">
        <v>3800</v>
      </c>
      <c r="L271" s="1526" t="n">
        <v>0.00465</v>
      </c>
      <c r="M271" s="1526" t="n">
        <v>0.0098</v>
      </c>
      <c r="N271" s="1531" t="n">
        <v>5</v>
      </c>
      <c r="O271" s="1529" t="n">
        <v>0</v>
      </c>
      <c r="T271" s="1528" t="n">
        <v>270</v>
      </c>
      <c r="U271" s="1528" t="s">
        <v>1315</v>
      </c>
      <c r="V271" s="1515" t="str">
        <f aca="false">MID(E271,LEN(E271),1)</f>
        <v>0</v>
      </c>
      <c r="W271" s="1515" t="s">
        <v>1310</v>
      </c>
    </row>
    <row r="272" s="1515" customFormat="true" ht="14.25" hidden="false" customHeight="false" outlineLevel="0" collapsed="false">
      <c r="B272" s="1515" t="n">
        <v>2025</v>
      </c>
      <c r="C272" s="1529" t="n">
        <v>271</v>
      </c>
      <c r="D272" s="359" t="n">
        <v>0</v>
      </c>
      <c r="E272" s="1524" t="n">
        <f aca="false">CONCATENATE(C272,IF(O272=19,9,IF(O272=6,6,IF(O272=4,4,0))))+0</f>
        <v>2710</v>
      </c>
      <c r="F272" s="1530" t="s">
        <v>1316</v>
      </c>
      <c r="G272" s="1530"/>
      <c r="H272" s="1529" t="n">
        <v>114.19</v>
      </c>
      <c r="I272" s="1529" t="n">
        <v>240.4</v>
      </c>
      <c r="J272" s="1529" t="n">
        <v>1000</v>
      </c>
      <c r="K272" s="1529" t="n">
        <v>3800</v>
      </c>
      <c r="L272" s="1526" t="n">
        <v>0.00465</v>
      </c>
      <c r="M272" s="1526" t="n">
        <v>0.0098</v>
      </c>
      <c r="N272" s="1531" t="n">
        <v>5</v>
      </c>
      <c r="O272" s="1529" t="n">
        <v>0</v>
      </c>
      <c r="T272" s="1528" t="n">
        <v>271</v>
      </c>
      <c r="U272" s="1528" t="s">
        <v>1316</v>
      </c>
      <c r="V272" s="1515" t="str">
        <f aca="false">MID(E272,LEN(E272),1)</f>
        <v>0</v>
      </c>
      <c r="W272" s="1515" t="s">
        <v>1311</v>
      </c>
    </row>
    <row r="273" s="1515" customFormat="true" ht="14.25" hidden="false" customHeight="false" outlineLevel="0" collapsed="false">
      <c r="B273" s="1515" t="n">
        <v>2025</v>
      </c>
      <c r="C273" s="1529" t="n">
        <v>272</v>
      </c>
      <c r="D273" s="359" t="n">
        <v>0</v>
      </c>
      <c r="E273" s="1524" t="n">
        <f aca="false">CONCATENATE(C273,IF(O273=19,9,IF(O273=6,6,IF(O273=4,4,0))))+0</f>
        <v>2720</v>
      </c>
      <c r="F273" s="1530" t="s">
        <v>1317</v>
      </c>
      <c r="G273" s="1530"/>
      <c r="H273" s="1529" t="n">
        <v>114.19</v>
      </c>
      <c r="I273" s="1529" t="n">
        <v>240.4</v>
      </c>
      <c r="J273" s="1529" t="n">
        <v>1000</v>
      </c>
      <c r="K273" s="1529" t="n">
        <v>3800</v>
      </c>
      <c r="L273" s="1526" t="n">
        <v>0.00465</v>
      </c>
      <c r="M273" s="1526" t="n">
        <v>0.0098</v>
      </c>
      <c r="N273" s="1531" t="n">
        <v>5</v>
      </c>
      <c r="O273" s="1529" t="n">
        <v>0</v>
      </c>
      <c r="T273" s="1528" t="n">
        <v>272</v>
      </c>
      <c r="U273" s="1528" t="s">
        <v>1317</v>
      </c>
      <c r="V273" s="1515" t="str">
        <f aca="false">MID(E273,LEN(E273),1)</f>
        <v>0</v>
      </c>
      <c r="W273" s="1515" t="s">
        <v>1312</v>
      </c>
    </row>
    <row r="274" s="1515" customFormat="true" ht="14.25" hidden="false" customHeight="false" outlineLevel="0" collapsed="false">
      <c r="B274" s="1515" t="n">
        <v>2025</v>
      </c>
      <c r="C274" s="1529" t="n">
        <v>273</v>
      </c>
      <c r="D274" s="359" t="n">
        <v>0</v>
      </c>
      <c r="E274" s="1524" t="n">
        <f aca="false">CONCATENATE(C274,IF(O274=19,9,IF(O274=6,6,IF(O274=4,4,0))))+0</f>
        <v>2730</v>
      </c>
      <c r="F274" s="1530" t="s">
        <v>1318</v>
      </c>
      <c r="G274" s="1530"/>
      <c r="H274" s="1529" t="n">
        <v>114.19</v>
      </c>
      <c r="I274" s="1529" t="n">
        <v>240.4</v>
      </c>
      <c r="J274" s="1529" t="n">
        <v>1000</v>
      </c>
      <c r="K274" s="1529" t="n">
        <v>3800</v>
      </c>
      <c r="L274" s="1526" t="n">
        <v>0.00465</v>
      </c>
      <c r="M274" s="1526" t="n">
        <v>0.0098</v>
      </c>
      <c r="N274" s="1531" t="n">
        <v>5</v>
      </c>
      <c r="O274" s="1529" t="n">
        <v>0</v>
      </c>
      <c r="T274" s="1528" t="n">
        <v>273</v>
      </c>
      <c r="U274" s="1528" t="s">
        <v>1318</v>
      </c>
      <c r="V274" s="1515" t="str">
        <f aca="false">MID(E274,LEN(E274),1)</f>
        <v>0</v>
      </c>
      <c r="W274" s="1515" t="s">
        <v>1313</v>
      </c>
    </row>
    <row r="275" s="1515" customFormat="true" ht="14.25" hidden="false" customHeight="false" outlineLevel="0" collapsed="false">
      <c r="B275" s="1515" t="n">
        <v>2025</v>
      </c>
      <c r="C275" s="1529" t="n">
        <v>274</v>
      </c>
      <c r="D275" s="359" t="n">
        <v>0</v>
      </c>
      <c r="E275" s="1524" t="n">
        <f aca="false">CONCATENATE(C275,IF(O275=19,9,IF(O275=6,6,IF(O275=4,4,0))))+0</f>
        <v>2740</v>
      </c>
      <c r="F275" s="1530" t="s">
        <v>1319</v>
      </c>
      <c r="G275" s="1530"/>
      <c r="H275" s="1529" t="n">
        <v>114.19</v>
      </c>
      <c r="I275" s="1529" t="n">
        <v>240.4</v>
      </c>
      <c r="J275" s="1529" t="n">
        <v>1000</v>
      </c>
      <c r="K275" s="1529" t="n">
        <v>3800</v>
      </c>
      <c r="L275" s="1526" t="n">
        <v>0.00465</v>
      </c>
      <c r="M275" s="1526" t="n">
        <v>0.0098</v>
      </c>
      <c r="N275" s="1531" t="n">
        <v>5</v>
      </c>
      <c r="O275" s="1529" t="n">
        <v>0</v>
      </c>
      <c r="T275" s="1528" t="n">
        <v>274</v>
      </c>
      <c r="U275" s="1528" t="s">
        <v>1319</v>
      </c>
      <c r="V275" s="1515" t="str">
        <f aca="false">MID(E275,LEN(E275),1)</f>
        <v>0</v>
      </c>
      <c r="W275" s="1515" t="s">
        <v>1314</v>
      </c>
    </row>
    <row r="276" s="1515" customFormat="true" ht="14.25" hidden="false" customHeight="false" outlineLevel="0" collapsed="false">
      <c r="B276" s="1515" t="n">
        <v>2025</v>
      </c>
      <c r="C276" s="1529" t="n">
        <v>275</v>
      </c>
      <c r="D276" s="359" t="n">
        <v>0</v>
      </c>
      <c r="E276" s="1524" t="n">
        <f aca="false">CONCATENATE(C276,IF(O276=19,9,IF(O276=6,6,IF(O276=4,4,0))))+0</f>
        <v>2750</v>
      </c>
      <c r="F276" s="1530" t="s">
        <v>1320</v>
      </c>
      <c r="G276" s="1530"/>
      <c r="H276" s="1529" t="n">
        <v>114.19</v>
      </c>
      <c r="I276" s="1529" t="n">
        <v>240.4</v>
      </c>
      <c r="J276" s="1529" t="n">
        <v>1000</v>
      </c>
      <c r="K276" s="1529" t="n">
        <v>3800</v>
      </c>
      <c r="L276" s="1526" t="n">
        <v>0.00465</v>
      </c>
      <c r="M276" s="1526" t="n">
        <v>0.0098</v>
      </c>
      <c r="N276" s="1531" t="n">
        <v>5</v>
      </c>
      <c r="O276" s="1529" t="n">
        <v>0</v>
      </c>
      <c r="T276" s="1528" t="n">
        <v>275</v>
      </c>
      <c r="U276" s="1528" t="s">
        <v>1320</v>
      </c>
      <c r="V276" s="1515" t="str">
        <f aca="false">MID(E276,LEN(E276),1)</f>
        <v>0</v>
      </c>
      <c r="W276" s="1515" t="s">
        <v>1315</v>
      </c>
    </row>
    <row r="277" s="1515" customFormat="true" ht="14.25" hidden="false" customHeight="false" outlineLevel="0" collapsed="false">
      <c r="B277" s="1515" t="n">
        <v>2025</v>
      </c>
      <c r="C277" s="1529" t="n">
        <v>276</v>
      </c>
      <c r="D277" s="359" t="n">
        <v>0</v>
      </c>
      <c r="E277" s="1524" t="n">
        <f aca="false">CONCATENATE(C277,IF(O277=19,9,IF(O277=6,6,IF(O277=4,4,0))))+0</f>
        <v>2760</v>
      </c>
      <c r="F277" s="1530" t="s">
        <v>1321</v>
      </c>
      <c r="G277" s="1530"/>
      <c r="H277" s="1529" t="n">
        <v>114.19</v>
      </c>
      <c r="I277" s="1529" t="n">
        <v>240.4</v>
      </c>
      <c r="J277" s="1529" t="n">
        <v>1000</v>
      </c>
      <c r="K277" s="1529" t="n">
        <v>3800</v>
      </c>
      <c r="L277" s="1526" t="n">
        <v>0.00465</v>
      </c>
      <c r="M277" s="1526" t="n">
        <v>0.0098</v>
      </c>
      <c r="N277" s="1531" t="n">
        <v>5</v>
      </c>
      <c r="O277" s="1529" t="n">
        <v>0</v>
      </c>
      <c r="T277" s="1528" t="n">
        <v>276</v>
      </c>
      <c r="U277" s="1528" t="s">
        <v>1321</v>
      </c>
      <c r="V277" s="1515" t="str">
        <f aca="false">MID(E277,LEN(E277),1)</f>
        <v>0</v>
      </c>
      <c r="W277" s="1515" t="s">
        <v>1316</v>
      </c>
    </row>
    <row r="278" s="1515" customFormat="true" ht="14.25" hidden="false" customHeight="false" outlineLevel="0" collapsed="false">
      <c r="B278" s="1515" t="n">
        <v>2025</v>
      </c>
      <c r="C278" s="1529" t="n">
        <v>277</v>
      </c>
      <c r="D278" s="359" t="n">
        <v>0</v>
      </c>
      <c r="E278" s="1524" t="n">
        <f aca="false">CONCATENATE(C278,IF(O278=19,9,IF(O278=6,6,IF(O278=4,4,0))))+0</f>
        <v>2770</v>
      </c>
      <c r="F278" s="1530" t="s">
        <v>1322</v>
      </c>
      <c r="G278" s="1530"/>
      <c r="H278" s="1529" t="n">
        <v>114.19</v>
      </c>
      <c r="I278" s="1529" t="n">
        <v>240.4</v>
      </c>
      <c r="J278" s="1529" t="n">
        <v>1000</v>
      </c>
      <c r="K278" s="1529" t="n">
        <v>3800</v>
      </c>
      <c r="L278" s="1526" t="n">
        <v>0.00465</v>
      </c>
      <c r="M278" s="1526" t="n">
        <v>0.0098</v>
      </c>
      <c r="N278" s="1531" t="n">
        <v>5</v>
      </c>
      <c r="O278" s="1529" t="n">
        <v>0</v>
      </c>
      <c r="T278" s="1528" t="n">
        <v>277</v>
      </c>
      <c r="U278" s="1528" t="s">
        <v>1322</v>
      </c>
      <c r="V278" s="1515" t="str">
        <f aca="false">MID(E278,LEN(E278),1)</f>
        <v>0</v>
      </c>
      <c r="W278" s="1515" t="s">
        <v>1317</v>
      </c>
    </row>
    <row r="279" s="1515" customFormat="true" ht="14.25" hidden="false" customHeight="false" outlineLevel="0" collapsed="false">
      <c r="B279" s="1515" t="n">
        <v>2025</v>
      </c>
      <c r="C279" s="1529" t="n">
        <v>278</v>
      </c>
      <c r="D279" s="359" t="n">
        <v>0</v>
      </c>
      <c r="E279" s="1524" t="n">
        <f aca="false">CONCATENATE(C279,IF(O279=19,9,IF(O279=6,6,IF(O279=4,4,0))))+0</f>
        <v>2780</v>
      </c>
      <c r="F279" s="1530" t="s">
        <v>1323</v>
      </c>
      <c r="G279" s="1530"/>
      <c r="H279" s="1529" t="n">
        <v>450.76</v>
      </c>
      <c r="I279" s="1529" t="n">
        <v>721.21</v>
      </c>
      <c r="J279" s="1529" t="n">
        <v>1000</v>
      </c>
      <c r="K279" s="1529" t="n">
        <v>3800</v>
      </c>
      <c r="L279" s="1526" t="n">
        <v>0.01837</v>
      </c>
      <c r="M279" s="1526" t="n">
        <v>0.0294</v>
      </c>
      <c r="N279" s="1531" t="n">
        <v>2</v>
      </c>
      <c r="O279" s="1529" t="n">
        <v>0</v>
      </c>
      <c r="T279" s="1528" t="n">
        <v>278</v>
      </c>
      <c r="U279" s="1528" t="s">
        <v>1323</v>
      </c>
      <c r="V279" s="1515" t="str">
        <f aca="false">MID(E279,LEN(E279),1)</f>
        <v>0</v>
      </c>
      <c r="W279" s="1515" t="s">
        <v>1318</v>
      </c>
    </row>
    <row r="280" s="1515" customFormat="true" ht="14.25" hidden="false" customHeight="false" outlineLevel="0" collapsed="false">
      <c r="B280" s="1515" t="n">
        <v>2025</v>
      </c>
      <c r="C280" s="1529" t="n">
        <v>279</v>
      </c>
      <c r="D280" s="359" t="n">
        <v>0</v>
      </c>
      <c r="E280" s="1524" t="n">
        <f aca="false">CONCATENATE(C280,IF(O280=19,9,IF(O280=6,6,IF(O280=4,4,0))))+0</f>
        <v>2790</v>
      </c>
      <c r="F280" s="1530" t="s">
        <v>1324</v>
      </c>
      <c r="G280" s="1530"/>
      <c r="H280" s="1529" t="n">
        <v>901.92</v>
      </c>
      <c r="I280" s="1529" t="n">
        <v>2404.05</v>
      </c>
      <c r="J280" s="1529" t="n">
        <v>947.29</v>
      </c>
      <c r="K280" s="1529" t="n">
        <v>7200</v>
      </c>
      <c r="L280" s="1526" t="n">
        <v>0.03676</v>
      </c>
      <c r="M280" s="1526" t="n">
        <v>0.09799</v>
      </c>
      <c r="N280" s="1531" t="n">
        <v>4</v>
      </c>
      <c r="O280" s="1529" t="n">
        <v>0</v>
      </c>
      <c r="T280" s="1528" t="n">
        <v>279</v>
      </c>
      <c r="U280" s="1528" t="s">
        <v>1324</v>
      </c>
      <c r="V280" s="1515" t="str">
        <f aca="false">MID(E280,LEN(E280),1)</f>
        <v>0</v>
      </c>
      <c r="W280" s="1515" t="s">
        <v>1319</v>
      </c>
    </row>
    <row r="281" s="1515" customFormat="true" ht="14.25" hidden="false" customHeight="false" outlineLevel="0" collapsed="false">
      <c r="B281" s="1515" t="n">
        <v>2025</v>
      </c>
      <c r="C281" s="1529" t="n">
        <v>279</v>
      </c>
      <c r="D281" s="359" t="n">
        <v>0</v>
      </c>
      <c r="E281" s="1524" t="n">
        <f aca="false">CONCATENATE(C281,IF(O281=19,9,IF(O281=6,6,IF(O281=4,4,0))))+0</f>
        <v>2794</v>
      </c>
      <c r="F281" s="1530" t="s">
        <v>1324</v>
      </c>
      <c r="G281" s="1530"/>
      <c r="H281" s="1529" t="n">
        <v>0</v>
      </c>
      <c r="I281" s="1529" t="n">
        <v>36060.73</v>
      </c>
      <c r="J281" s="1529" t="n">
        <v>0</v>
      </c>
      <c r="K281" s="1529" t="n">
        <v>80000</v>
      </c>
      <c r="L281" s="1526" t="n">
        <v>0</v>
      </c>
      <c r="M281" s="1526" t="n">
        <v>1.46978</v>
      </c>
      <c r="N281" s="1531" t="n">
        <v>4</v>
      </c>
      <c r="O281" s="1529" t="n">
        <v>4</v>
      </c>
      <c r="T281" s="1528" t="n">
        <v>279</v>
      </c>
      <c r="U281" s="1528" t="s">
        <v>1325</v>
      </c>
      <c r="V281" s="1515" t="str">
        <f aca="false">MID(E281,LEN(E281),1)</f>
        <v>4</v>
      </c>
      <c r="W281" s="1515" t="s">
        <v>1320</v>
      </c>
    </row>
    <row r="282" s="1515" customFormat="true" ht="14.25" hidden="false" customHeight="false" outlineLevel="0" collapsed="false">
      <c r="B282" s="1515" t="n">
        <v>2025</v>
      </c>
      <c r="C282" s="1529" t="n">
        <v>279</v>
      </c>
      <c r="D282" s="359" t="n">
        <v>0</v>
      </c>
      <c r="E282" s="1524" t="n">
        <f aca="false">CONCATENATE(C282,IF(O282=19,9,IF(O282=6,6,IF(O282=4,4,0))))+0</f>
        <v>2799</v>
      </c>
      <c r="F282" s="1530" t="s">
        <v>1324</v>
      </c>
      <c r="G282" s="1530"/>
      <c r="H282" s="1529" t="n">
        <v>0</v>
      </c>
      <c r="I282" s="1529" t="n">
        <v>36060.73</v>
      </c>
      <c r="J282" s="1529" t="n">
        <v>0</v>
      </c>
      <c r="K282" s="1529" t="n">
        <v>80000</v>
      </c>
      <c r="L282" s="1526" t="n">
        <v>0</v>
      </c>
      <c r="M282" s="1526" t="n">
        <v>1.46978</v>
      </c>
      <c r="N282" s="1531" t="n">
        <v>4</v>
      </c>
      <c r="O282" s="1529" t="n">
        <v>19</v>
      </c>
      <c r="T282" s="1528" t="n">
        <v>279</v>
      </c>
      <c r="U282" s="1528" t="s">
        <v>1326</v>
      </c>
      <c r="V282" s="1515" t="str">
        <f aca="false">MID(E282,LEN(E282),1)</f>
        <v>9</v>
      </c>
      <c r="W282" s="1515" t="s">
        <v>1321</v>
      </c>
    </row>
    <row r="283" s="1515" customFormat="true" ht="14.25" hidden="false" customHeight="false" outlineLevel="0" collapsed="false">
      <c r="B283" s="1515" t="n">
        <v>2025</v>
      </c>
      <c r="C283" s="1529" t="n">
        <v>280</v>
      </c>
      <c r="D283" s="359" t="n">
        <v>0</v>
      </c>
      <c r="E283" s="1524" t="n">
        <f aca="false">CONCATENATE(C283,IF(O283=19,9,IF(O283=6,6,IF(O283=4,4,0))))+0</f>
        <v>2800</v>
      </c>
      <c r="F283" s="1530" t="s">
        <v>1327</v>
      </c>
      <c r="G283" s="1530"/>
      <c r="H283" s="1529" t="n">
        <v>450.76</v>
      </c>
      <c r="I283" s="1529" t="n">
        <v>721.21</v>
      </c>
      <c r="J283" s="1529" t="n">
        <v>2000</v>
      </c>
      <c r="K283" s="1529" t="n">
        <v>6000</v>
      </c>
      <c r="L283" s="1526" t="n">
        <v>0.01837</v>
      </c>
      <c r="M283" s="1526" t="n">
        <v>0.0294</v>
      </c>
      <c r="N283" s="1531" t="n">
        <v>3</v>
      </c>
      <c r="O283" s="1529" t="n">
        <v>0</v>
      </c>
      <c r="T283" s="1528" t="n">
        <v>280</v>
      </c>
      <c r="U283" s="1528" t="s">
        <v>1327</v>
      </c>
      <c r="V283" s="1515" t="str">
        <f aca="false">MID(E283,LEN(E283),1)</f>
        <v>0</v>
      </c>
      <c r="W283" s="1515" t="s">
        <v>1322</v>
      </c>
    </row>
    <row r="284" s="1515" customFormat="true" ht="14.25" hidden="false" customHeight="false" outlineLevel="0" collapsed="false">
      <c r="B284" s="1515" t="n">
        <v>2025</v>
      </c>
      <c r="C284" s="1529" t="n">
        <v>281</v>
      </c>
      <c r="D284" s="359" t="n">
        <v>0</v>
      </c>
      <c r="E284" s="1524" t="n">
        <f aca="false">CONCATENATE(C284,IF(O284=19,9,IF(O284=6,6,IF(O284=4,4,0))))+0</f>
        <v>2810</v>
      </c>
      <c r="F284" s="1530" t="s">
        <v>1328</v>
      </c>
      <c r="G284" s="1530"/>
      <c r="H284" s="1529" t="n">
        <v>114.19</v>
      </c>
      <c r="I284" s="1529" t="n">
        <v>240.4</v>
      </c>
      <c r="J284" s="1529" t="n">
        <v>1000</v>
      </c>
      <c r="K284" s="1529" t="n">
        <v>3800</v>
      </c>
      <c r="L284" s="1526" t="n">
        <v>0.00465</v>
      </c>
      <c r="M284" s="1526" t="n">
        <v>0.0098</v>
      </c>
      <c r="N284" s="1531" t="n">
        <v>5</v>
      </c>
      <c r="O284" s="1529" t="n">
        <v>0</v>
      </c>
      <c r="T284" s="1528" t="n">
        <v>281</v>
      </c>
      <c r="U284" s="1528" t="s">
        <v>1328</v>
      </c>
      <c r="V284" s="1515" t="str">
        <f aca="false">MID(E284,LEN(E284),1)</f>
        <v>0</v>
      </c>
      <c r="W284" s="1515" t="s">
        <v>1323</v>
      </c>
    </row>
    <row r="285" s="1515" customFormat="true" ht="14.25" hidden="false" customHeight="false" outlineLevel="0" collapsed="false">
      <c r="B285" s="1515" t="n">
        <v>2025</v>
      </c>
      <c r="C285" s="1529" t="n">
        <v>282</v>
      </c>
      <c r="D285" s="359" t="n">
        <v>0</v>
      </c>
      <c r="E285" s="1524" t="n">
        <f aca="false">CONCATENATE(C285,IF(O285=19,9,IF(O285=6,6,IF(O285=4,4,0))))+0</f>
        <v>2820</v>
      </c>
      <c r="F285" s="1530" t="s">
        <v>1329</v>
      </c>
      <c r="G285" s="1530"/>
      <c r="H285" s="1529" t="n">
        <v>114.19</v>
      </c>
      <c r="I285" s="1529" t="n">
        <v>240.4</v>
      </c>
      <c r="J285" s="1529" t="n">
        <v>1000</v>
      </c>
      <c r="K285" s="1529" t="n">
        <v>3800</v>
      </c>
      <c r="L285" s="1526" t="n">
        <v>0.00465</v>
      </c>
      <c r="M285" s="1526" t="n">
        <v>0.0098</v>
      </c>
      <c r="N285" s="1531" t="n">
        <v>5</v>
      </c>
      <c r="O285" s="1529" t="n">
        <v>0</v>
      </c>
      <c r="T285" s="1528" t="n">
        <v>282</v>
      </c>
      <c r="U285" s="1528" t="s">
        <v>1329</v>
      </c>
      <c r="V285" s="1515" t="str">
        <f aca="false">MID(E285,LEN(E285),1)</f>
        <v>0</v>
      </c>
      <c r="W285" s="1515" t="s">
        <v>1324</v>
      </c>
    </row>
    <row r="286" s="1515" customFormat="true" ht="14.25" hidden="false" customHeight="false" outlineLevel="0" collapsed="false">
      <c r="B286" s="1515" t="n">
        <v>2025</v>
      </c>
      <c r="C286" s="1529" t="n">
        <v>283</v>
      </c>
      <c r="D286" s="359" t="n">
        <v>0</v>
      </c>
      <c r="E286" s="1524" t="n">
        <f aca="false">CONCATENATE(C286,IF(O286=19,9,IF(O286=6,6,IF(O286=4,4,0))))+0</f>
        <v>2830</v>
      </c>
      <c r="F286" s="1530" t="s">
        <v>1330</v>
      </c>
      <c r="G286" s="1530"/>
      <c r="H286" s="1529" t="n">
        <v>360.61</v>
      </c>
      <c r="I286" s="1529" t="n">
        <v>1352.28</v>
      </c>
      <c r="J286" s="1529" t="n">
        <v>1000</v>
      </c>
      <c r="K286" s="1529" t="n">
        <v>3800</v>
      </c>
      <c r="L286" s="1526" t="n">
        <v>0.0147</v>
      </c>
      <c r="M286" s="1526" t="n">
        <v>0.05512</v>
      </c>
      <c r="N286" s="1531" t="n">
        <v>5</v>
      </c>
      <c r="O286" s="1529" t="n">
        <v>0</v>
      </c>
      <c r="T286" s="1528" t="n">
        <v>283</v>
      </c>
      <c r="U286" s="1528" t="s">
        <v>1330</v>
      </c>
      <c r="V286" s="1515" t="str">
        <f aca="false">MID(E286,LEN(E286),1)</f>
        <v>0</v>
      </c>
      <c r="W286" s="1515" t="s">
        <v>1331</v>
      </c>
    </row>
    <row r="287" s="1515" customFormat="true" ht="14.25" hidden="false" customHeight="false" outlineLevel="0" collapsed="false">
      <c r="B287" s="1515" t="n">
        <v>2025</v>
      </c>
      <c r="C287" s="1529" t="n">
        <v>284</v>
      </c>
      <c r="D287" s="359" t="n">
        <v>0</v>
      </c>
      <c r="E287" s="1524" t="n">
        <f aca="false">CONCATENATE(C287,IF(O287=19,9,IF(O287=6,6,IF(O287=4,4,0))))+0</f>
        <v>2840</v>
      </c>
      <c r="F287" s="1530" t="s">
        <v>1332</v>
      </c>
      <c r="G287" s="1530"/>
      <c r="H287" s="1529" t="n">
        <v>450.76</v>
      </c>
      <c r="I287" s="1529" t="n">
        <v>721.21</v>
      </c>
      <c r="J287" s="1529" t="n">
        <v>1000</v>
      </c>
      <c r="K287" s="1529" t="n">
        <v>3800</v>
      </c>
      <c r="L287" s="1526" t="n">
        <v>0.01837</v>
      </c>
      <c r="M287" s="1526" t="n">
        <v>0.0294</v>
      </c>
      <c r="N287" s="1531" t="n">
        <v>5</v>
      </c>
      <c r="O287" s="1529" t="n">
        <v>0</v>
      </c>
      <c r="T287" s="1528" t="n">
        <v>284</v>
      </c>
      <c r="U287" s="1528" t="s">
        <v>1332</v>
      </c>
      <c r="V287" s="1515" t="str">
        <f aca="false">MID(E287,LEN(E287),1)</f>
        <v>0</v>
      </c>
      <c r="W287" s="1515" t="s">
        <v>1331</v>
      </c>
    </row>
    <row r="288" s="1515" customFormat="true" ht="14.25" hidden="false" customHeight="false" outlineLevel="0" collapsed="false">
      <c r="B288" s="1515" t="n">
        <v>2025</v>
      </c>
      <c r="C288" s="1529" t="n">
        <v>285</v>
      </c>
      <c r="D288" s="359" t="n">
        <v>0</v>
      </c>
      <c r="E288" s="1524" t="n">
        <f aca="false">CONCATENATE(C288,IF(O288=19,9,IF(O288=6,6,IF(O288=4,4,0))))+0</f>
        <v>2850</v>
      </c>
      <c r="F288" s="1530" t="s">
        <v>1333</v>
      </c>
      <c r="G288" s="1530"/>
      <c r="H288" s="1529" t="n">
        <v>114.19</v>
      </c>
      <c r="I288" s="1529" t="n">
        <v>240.4</v>
      </c>
      <c r="J288" s="1529" t="n">
        <v>1000</v>
      </c>
      <c r="K288" s="1529" t="n">
        <v>3800</v>
      </c>
      <c r="L288" s="1526" t="n">
        <v>0.00465</v>
      </c>
      <c r="M288" s="1526" t="n">
        <v>0.0098</v>
      </c>
      <c r="N288" s="1531" t="n">
        <v>5</v>
      </c>
      <c r="O288" s="1529" t="n">
        <v>0</v>
      </c>
      <c r="T288" s="1528" t="n">
        <v>285</v>
      </c>
      <c r="U288" s="1528" t="s">
        <v>1333</v>
      </c>
      <c r="V288" s="1515" t="str">
        <f aca="false">MID(E288,LEN(E288),1)</f>
        <v>0</v>
      </c>
      <c r="W288" s="1515" t="s">
        <v>1327</v>
      </c>
    </row>
    <row r="289" s="1515" customFormat="true" ht="14.25" hidden="false" customHeight="false" outlineLevel="0" collapsed="false">
      <c r="B289" s="1515" t="n">
        <v>2025</v>
      </c>
      <c r="C289" s="1529" t="n">
        <v>286</v>
      </c>
      <c r="D289" s="359" t="n">
        <v>0</v>
      </c>
      <c r="E289" s="1524" t="n">
        <f aca="false">CONCATENATE(C289,IF(O289=19,9,IF(O289=6,6,IF(O289=4,4,0))))+0</f>
        <v>2860</v>
      </c>
      <c r="F289" s="1530" t="s">
        <v>1334</v>
      </c>
      <c r="G289" s="1530"/>
      <c r="H289" s="1529" t="n">
        <v>114.19</v>
      </c>
      <c r="I289" s="1529" t="n">
        <v>240.4</v>
      </c>
      <c r="J289" s="1529" t="n">
        <v>1000</v>
      </c>
      <c r="K289" s="1529" t="n">
        <v>3800</v>
      </c>
      <c r="L289" s="1526" t="n">
        <v>0.00465</v>
      </c>
      <c r="M289" s="1526" t="n">
        <v>0.0098</v>
      </c>
      <c r="N289" s="1531" t="n">
        <v>5</v>
      </c>
      <c r="O289" s="1529" t="n">
        <v>0</v>
      </c>
      <c r="T289" s="1528" t="n">
        <v>286</v>
      </c>
      <c r="U289" s="1528" t="s">
        <v>1334</v>
      </c>
      <c r="V289" s="1515" t="str">
        <f aca="false">MID(E289,LEN(E289),1)</f>
        <v>0</v>
      </c>
      <c r="W289" s="1515" t="s">
        <v>1328</v>
      </c>
    </row>
    <row r="290" s="1515" customFormat="true" ht="14.25" hidden="false" customHeight="false" outlineLevel="0" collapsed="false">
      <c r="B290" s="1515" t="n">
        <v>2025</v>
      </c>
      <c r="C290" s="1529" t="n">
        <v>287</v>
      </c>
      <c r="D290" s="359" t="n">
        <v>0</v>
      </c>
      <c r="E290" s="1524" t="n">
        <f aca="false">CONCATENATE(C290,IF(O290=19,9,IF(O290=6,6,IF(O290=4,4,0))))+0</f>
        <v>2870</v>
      </c>
      <c r="F290" s="1530" t="s">
        <v>1335</v>
      </c>
      <c r="G290" s="1530"/>
      <c r="H290" s="1529" t="n">
        <v>114.19</v>
      </c>
      <c r="I290" s="1529" t="n">
        <v>240.4</v>
      </c>
      <c r="J290" s="1529" t="n">
        <v>1000</v>
      </c>
      <c r="K290" s="1529" t="n">
        <v>3800</v>
      </c>
      <c r="L290" s="1526" t="n">
        <v>0.00465</v>
      </c>
      <c r="M290" s="1526" t="n">
        <v>0.0098</v>
      </c>
      <c r="N290" s="1531" t="n">
        <v>5</v>
      </c>
      <c r="O290" s="1529" t="n">
        <v>0</v>
      </c>
      <c r="T290" s="1528" t="n">
        <v>287</v>
      </c>
      <c r="U290" s="1528" t="s">
        <v>1335</v>
      </c>
      <c r="V290" s="1515" t="str">
        <f aca="false">MID(E290,LEN(E290),1)</f>
        <v>0</v>
      </c>
      <c r="W290" s="1515" t="s">
        <v>1329</v>
      </c>
    </row>
    <row r="291" s="1515" customFormat="true" ht="14.25" hidden="false" customHeight="false" outlineLevel="0" collapsed="false">
      <c r="B291" s="1515" t="n">
        <v>2025</v>
      </c>
      <c r="C291" s="1529" t="n">
        <v>288</v>
      </c>
      <c r="D291" s="359" t="n">
        <v>0</v>
      </c>
      <c r="E291" s="1524" t="n">
        <f aca="false">CONCATENATE(C291,IF(O291=19,9,IF(O291=6,6,IF(O291=4,4,0))))+0</f>
        <v>2880</v>
      </c>
      <c r="F291" s="1530" t="s">
        <v>1336</v>
      </c>
      <c r="G291" s="1530"/>
      <c r="H291" s="1529" t="n">
        <v>114.19</v>
      </c>
      <c r="I291" s="1529" t="n">
        <v>240.4</v>
      </c>
      <c r="J291" s="1529" t="n">
        <v>1000</v>
      </c>
      <c r="K291" s="1529" t="n">
        <v>3800</v>
      </c>
      <c r="L291" s="1526" t="n">
        <v>0.00465</v>
      </c>
      <c r="M291" s="1526" t="n">
        <v>0.0098</v>
      </c>
      <c r="N291" s="1531" t="n">
        <v>5</v>
      </c>
      <c r="O291" s="1529" t="n">
        <v>0</v>
      </c>
      <c r="T291" s="1528" t="n">
        <v>288</v>
      </c>
      <c r="U291" s="1528" t="s">
        <v>1336</v>
      </c>
      <c r="V291" s="1515" t="str">
        <f aca="false">MID(E291,LEN(E291),1)</f>
        <v>0</v>
      </c>
      <c r="W291" s="1515" t="s">
        <v>1330</v>
      </c>
    </row>
    <row r="292" s="1515" customFormat="true" ht="14.25" hidden="false" customHeight="false" outlineLevel="0" collapsed="false">
      <c r="B292" s="1515" t="n">
        <v>2025</v>
      </c>
      <c r="C292" s="1529" t="n">
        <v>289</v>
      </c>
      <c r="D292" s="359" t="n">
        <v>0</v>
      </c>
      <c r="E292" s="1524" t="n">
        <f aca="false">CONCATENATE(C292,IF(O292=19,9,IF(O292=6,6,IF(O292=4,4,0))))+0</f>
        <v>2890</v>
      </c>
      <c r="F292" s="1530" t="s">
        <v>1337</v>
      </c>
      <c r="G292" s="1530"/>
      <c r="H292" s="1529" t="n">
        <v>114.19</v>
      </c>
      <c r="I292" s="1529" t="n">
        <v>240.4</v>
      </c>
      <c r="J292" s="1529" t="n">
        <v>1000</v>
      </c>
      <c r="K292" s="1529" t="n">
        <v>3800</v>
      </c>
      <c r="L292" s="1526" t="n">
        <v>0.00465</v>
      </c>
      <c r="M292" s="1526" t="n">
        <v>0.0098</v>
      </c>
      <c r="N292" s="1531" t="n">
        <v>5</v>
      </c>
      <c r="O292" s="1529" t="n">
        <v>0</v>
      </c>
      <c r="T292" s="1528" t="n">
        <v>289</v>
      </c>
      <c r="U292" s="1528" t="s">
        <v>1337</v>
      </c>
      <c r="V292" s="1515" t="str">
        <f aca="false">MID(E292,LEN(E292),1)</f>
        <v>0</v>
      </c>
      <c r="W292" s="1515" t="s">
        <v>1332</v>
      </c>
    </row>
    <row r="293" s="1515" customFormat="true" ht="14.25" hidden="false" customHeight="false" outlineLevel="0" collapsed="false">
      <c r="B293" s="1515" t="n">
        <v>2025</v>
      </c>
      <c r="C293" s="1529" t="n">
        <v>298</v>
      </c>
      <c r="D293" s="359" t="n">
        <v>0</v>
      </c>
      <c r="E293" s="1524" t="n">
        <f aca="false">CONCATENATE(C293,IF(O293=19,9,IF(O293=6,6,IF(O293=4,4,0))))+0</f>
        <v>2980</v>
      </c>
      <c r="F293" s="1530" t="s">
        <v>1338</v>
      </c>
      <c r="G293" s="1530"/>
      <c r="H293" s="1529" t="n">
        <v>114.19</v>
      </c>
      <c r="I293" s="1529" t="n">
        <v>240.4</v>
      </c>
      <c r="J293" s="1529" t="n">
        <v>400</v>
      </c>
      <c r="K293" s="1529" t="n">
        <v>1000</v>
      </c>
      <c r="L293" s="1526" t="n">
        <v>0.00465</v>
      </c>
      <c r="M293" s="1526" t="n">
        <v>0.0098</v>
      </c>
      <c r="N293" s="1531" t="n">
        <v>1</v>
      </c>
      <c r="O293" s="1529" t="n">
        <v>0</v>
      </c>
      <c r="T293" s="1528" t="n">
        <v>298</v>
      </c>
      <c r="U293" s="1528" t="s">
        <v>1338</v>
      </c>
      <c r="V293" s="1515" t="str">
        <f aca="false">MID(E293,LEN(E293),1)</f>
        <v>0</v>
      </c>
      <c r="W293" s="1515" t="s">
        <v>1333</v>
      </c>
    </row>
    <row r="294" s="1515" customFormat="true" ht="14.25" hidden="false" customHeight="false" outlineLevel="0" collapsed="false">
      <c r="B294" s="1515" t="n">
        <v>2025</v>
      </c>
      <c r="C294" s="1529" t="n">
        <v>299</v>
      </c>
      <c r="D294" s="359" t="n">
        <v>0</v>
      </c>
      <c r="E294" s="1524" t="n">
        <f aca="false">CONCATENATE(C294,IF(O294=19,9,IF(O294=6,6,IF(O294=4,4,0))))+0</f>
        <v>2990</v>
      </c>
      <c r="F294" s="1530" t="s">
        <v>1339</v>
      </c>
      <c r="G294" s="1530"/>
      <c r="H294" s="1529" t="n">
        <v>114.19</v>
      </c>
      <c r="I294" s="1529" t="n">
        <v>240.4</v>
      </c>
      <c r="J294" s="1529" t="n">
        <v>400</v>
      </c>
      <c r="K294" s="1529" t="n">
        <v>1000</v>
      </c>
      <c r="L294" s="1526" t="n">
        <v>0.00465</v>
      </c>
      <c r="M294" s="1526" t="n">
        <v>0.0098</v>
      </c>
      <c r="N294" s="1531" t="n">
        <v>1</v>
      </c>
      <c r="O294" s="1529" t="n">
        <v>0</v>
      </c>
      <c r="T294" s="1528" t="n">
        <v>299</v>
      </c>
      <c r="U294" s="1528" t="s">
        <v>1339</v>
      </c>
      <c r="V294" s="1515" t="str">
        <f aca="false">MID(E294,LEN(E294),1)</f>
        <v>0</v>
      </c>
      <c r="W294" s="1515" t="s">
        <v>1334</v>
      </c>
    </row>
    <row r="295" s="1515" customFormat="true" ht="14.25" hidden="false" customHeight="false" outlineLevel="0" collapsed="false">
      <c r="B295" s="1515" t="n">
        <v>2025</v>
      </c>
      <c r="C295" s="1529" t="n">
        <v>304</v>
      </c>
      <c r="D295" s="359" t="n">
        <v>0</v>
      </c>
      <c r="E295" s="1524" t="n">
        <f aca="false">CONCATENATE(C295,IF(O295=19,9,IF(O295=6,6,IF(O295=4,4,0))))+0</f>
        <v>3040</v>
      </c>
      <c r="F295" s="1530" t="s">
        <v>1340</v>
      </c>
      <c r="G295" s="1530"/>
      <c r="H295" s="1529" t="n">
        <v>300.51</v>
      </c>
      <c r="I295" s="1529" t="n">
        <v>901.52</v>
      </c>
      <c r="J295" s="1529" t="n">
        <v>500</v>
      </c>
      <c r="K295" s="1529" t="n">
        <v>1300</v>
      </c>
      <c r="L295" s="1526" t="n">
        <v>0.01225</v>
      </c>
      <c r="M295" s="1526" t="n">
        <v>0.03674</v>
      </c>
      <c r="N295" s="1531" t="n">
        <v>4</v>
      </c>
      <c r="O295" s="1529" t="n">
        <v>0</v>
      </c>
      <c r="T295" s="1528" t="n">
        <v>304</v>
      </c>
      <c r="U295" s="1528" t="s">
        <v>1340</v>
      </c>
      <c r="V295" s="1515" t="str">
        <f aca="false">MID(E295,LEN(E295),1)</f>
        <v>0</v>
      </c>
      <c r="W295" s="1515" t="s">
        <v>1335</v>
      </c>
    </row>
    <row r="296" s="1515" customFormat="true" ht="14.25" hidden="false" customHeight="false" outlineLevel="0" collapsed="false">
      <c r="B296" s="1515" t="n">
        <v>2025</v>
      </c>
      <c r="C296" s="1529" t="n">
        <v>304</v>
      </c>
      <c r="D296" s="359" t="n">
        <v>0</v>
      </c>
      <c r="E296" s="1524" t="n">
        <f aca="false">CONCATENATE(C296,IF(O296=19,9,IF(O296=6,6,IF(O296=4,4,0))))+0</f>
        <v>3044</v>
      </c>
      <c r="F296" s="1530" t="s">
        <v>1340</v>
      </c>
      <c r="G296" s="1530"/>
      <c r="H296" s="1529" t="n">
        <v>0</v>
      </c>
      <c r="I296" s="1529" t="n">
        <v>36060.73</v>
      </c>
      <c r="J296" s="1529" t="n">
        <v>0</v>
      </c>
      <c r="K296" s="1529" t="n">
        <v>80000</v>
      </c>
      <c r="L296" s="1526" t="n">
        <v>0</v>
      </c>
      <c r="M296" s="1526" t="n">
        <v>1.46978</v>
      </c>
      <c r="N296" s="1531" t="n">
        <v>4</v>
      </c>
      <c r="O296" s="1529" t="n">
        <v>4</v>
      </c>
      <c r="T296" s="1528" t="n">
        <v>304</v>
      </c>
      <c r="U296" s="1528" t="s">
        <v>1341</v>
      </c>
      <c r="V296" s="1515" t="str">
        <f aca="false">MID(E296,LEN(E296),1)</f>
        <v>4</v>
      </c>
      <c r="W296" s="1515" t="s">
        <v>1336</v>
      </c>
    </row>
    <row r="297" s="1515" customFormat="true" ht="14.25" hidden="false" customHeight="false" outlineLevel="0" collapsed="false">
      <c r="B297" s="1515" t="n">
        <v>2025</v>
      </c>
      <c r="C297" s="1529" t="n">
        <v>304</v>
      </c>
      <c r="D297" s="359" t="n">
        <v>0</v>
      </c>
      <c r="E297" s="1524" t="n">
        <f aca="false">CONCATENATE(C297,IF(O297=19,9,IF(O297=6,6,IF(O297=4,4,0))))+0</f>
        <v>3049</v>
      </c>
      <c r="F297" s="1530" t="s">
        <v>1340</v>
      </c>
      <c r="G297" s="1530"/>
      <c r="H297" s="1529" t="n">
        <v>0</v>
      </c>
      <c r="I297" s="1529" t="n">
        <v>36060.73</v>
      </c>
      <c r="J297" s="1529" t="n">
        <v>0</v>
      </c>
      <c r="K297" s="1529" t="n">
        <v>80000</v>
      </c>
      <c r="L297" s="1526" t="n">
        <v>0</v>
      </c>
      <c r="M297" s="1526" t="n">
        <v>1.46978</v>
      </c>
      <c r="N297" s="1531" t="n">
        <v>4</v>
      </c>
      <c r="O297" s="1529" t="n">
        <v>19</v>
      </c>
      <c r="T297" s="1528" t="n">
        <v>304</v>
      </c>
      <c r="U297" s="1528" t="s">
        <v>1342</v>
      </c>
      <c r="V297" s="1515" t="str">
        <f aca="false">MID(E297,LEN(E297),1)</f>
        <v>9</v>
      </c>
      <c r="W297" s="1515" t="s">
        <v>1337</v>
      </c>
    </row>
    <row r="298" s="1515" customFormat="true" ht="14.25" hidden="false" customHeight="false" outlineLevel="0" collapsed="false">
      <c r="B298" s="1515" t="n">
        <v>2025</v>
      </c>
      <c r="C298" s="1529" t="n">
        <v>305</v>
      </c>
      <c r="D298" s="359" t="n">
        <v>0</v>
      </c>
      <c r="E298" s="1524" t="n">
        <f aca="false">CONCATENATE(C298,IF(O298=19,9,IF(O298=6,6,IF(O298=4,4,0))))+0</f>
        <v>3050</v>
      </c>
      <c r="F298" s="1530" t="s">
        <v>1343</v>
      </c>
      <c r="G298" s="1530"/>
      <c r="H298" s="1529" t="n">
        <v>114.19</v>
      </c>
      <c r="I298" s="1529" t="n">
        <v>240.4</v>
      </c>
      <c r="J298" s="1529" t="n">
        <v>400</v>
      </c>
      <c r="K298" s="1529" t="n">
        <v>1000</v>
      </c>
      <c r="L298" s="1526" t="n">
        <v>0.00465</v>
      </c>
      <c r="M298" s="1526" t="n">
        <v>0.0098</v>
      </c>
      <c r="N298" s="1531" t="n">
        <v>1</v>
      </c>
      <c r="O298" s="1529" t="n">
        <v>0</v>
      </c>
      <c r="T298" s="1528" t="n">
        <v>305</v>
      </c>
      <c r="U298" s="1528" t="s">
        <v>1343</v>
      </c>
    </row>
    <row r="299" s="1515" customFormat="true" ht="14.25" hidden="false" customHeight="false" outlineLevel="0" collapsed="false">
      <c r="B299" s="1515" t="n">
        <v>2025</v>
      </c>
      <c r="C299" s="1529" t="n">
        <v>306</v>
      </c>
      <c r="D299" s="359" t="n">
        <v>0</v>
      </c>
      <c r="E299" s="1524" t="n">
        <f aca="false">CONCATENATE(C299,IF(O299=19,9,IF(O299=6,6,IF(O299=4,4,0))))+0</f>
        <v>3060</v>
      </c>
      <c r="F299" s="1530" t="s">
        <v>1344</v>
      </c>
      <c r="G299" s="1530"/>
      <c r="H299" s="1529" t="n">
        <v>114.19</v>
      </c>
      <c r="I299" s="1529" t="n">
        <v>240.4</v>
      </c>
      <c r="J299" s="1529" t="n">
        <v>400</v>
      </c>
      <c r="K299" s="1529" t="n">
        <v>1000</v>
      </c>
      <c r="L299" s="1526" t="n">
        <v>0.00465</v>
      </c>
      <c r="M299" s="1526" t="n">
        <v>0.0098</v>
      </c>
      <c r="N299" s="1531" t="n">
        <v>1</v>
      </c>
      <c r="O299" s="1529" t="n">
        <v>0</v>
      </c>
      <c r="T299" s="1528" t="n">
        <v>306</v>
      </c>
      <c r="U299" s="1528" t="s">
        <v>1344</v>
      </c>
    </row>
    <row r="300" s="1515" customFormat="true" ht="14.25" hidden="false" customHeight="false" outlineLevel="0" collapsed="false">
      <c r="B300" s="1515" t="n">
        <v>2025</v>
      </c>
      <c r="C300" s="1529" t="n">
        <v>307</v>
      </c>
      <c r="D300" s="359" t="n">
        <v>0</v>
      </c>
      <c r="E300" s="1524" t="n">
        <f aca="false">CONCATENATE(C300,IF(O300=19,9,IF(O300=6,6,IF(O300=4,4,0))))+0</f>
        <v>3070</v>
      </c>
      <c r="F300" s="1530" t="s">
        <v>1345</v>
      </c>
      <c r="G300" s="1530"/>
      <c r="H300" s="1529" t="n">
        <v>114.19</v>
      </c>
      <c r="I300" s="1529" t="n">
        <v>240.4</v>
      </c>
      <c r="J300" s="1529" t="n">
        <v>400</v>
      </c>
      <c r="K300" s="1529" t="n">
        <v>1000</v>
      </c>
      <c r="L300" s="1526" t="n">
        <v>0.00465</v>
      </c>
      <c r="M300" s="1526" t="n">
        <v>0.0098</v>
      </c>
      <c r="N300" s="1531" t="n">
        <v>1</v>
      </c>
      <c r="O300" s="1529" t="n">
        <v>0</v>
      </c>
      <c r="T300" s="1528" t="n">
        <v>307</v>
      </c>
      <c r="U300" s="1528" t="s">
        <v>1345</v>
      </c>
      <c r="V300" s="1515" t="str">
        <f aca="false">MID(E300,LEN(E300),1)</f>
        <v>0</v>
      </c>
      <c r="W300" s="1515" t="s">
        <v>1338</v>
      </c>
    </row>
    <row r="301" s="1515" customFormat="true" ht="14.25" hidden="false" customHeight="false" outlineLevel="0" collapsed="false">
      <c r="B301" s="1515" t="n">
        <v>2025</v>
      </c>
      <c r="C301" s="1529" t="n">
        <v>316</v>
      </c>
      <c r="D301" s="359" t="n">
        <v>0</v>
      </c>
      <c r="E301" s="1524" t="n">
        <f aca="false">CONCATENATE(C301,IF(O301=19,9,IF(O301=6,6,IF(O301=4,4,0))))+0</f>
        <v>3160</v>
      </c>
      <c r="F301" s="1530" t="s">
        <v>1346</v>
      </c>
      <c r="G301" s="1530"/>
      <c r="H301" s="1529" t="n">
        <v>480.81</v>
      </c>
      <c r="I301" s="1529" t="n">
        <v>1442.43</v>
      </c>
      <c r="J301" s="1529" t="n">
        <v>1939.8</v>
      </c>
      <c r="K301" s="1529" t="n">
        <v>6000</v>
      </c>
      <c r="L301" s="1526" t="n">
        <v>0.0196</v>
      </c>
      <c r="M301" s="1526" t="n">
        <v>0.05879</v>
      </c>
      <c r="N301" s="1531" t="n">
        <v>5</v>
      </c>
      <c r="O301" s="1529" t="n">
        <v>0</v>
      </c>
      <c r="T301" s="1528" t="n">
        <v>316</v>
      </c>
      <c r="U301" s="1528" t="s">
        <v>1346</v>
      </c>
      <c r="V301" s="1515" t="str">
        <f aca="false">MID(E301,LEN(E301),1)</f>
        <v>0</v>
      </c>
      <c r="W301" s="1515" t="s">
        <v>1339</v>
      </c>
    </row>
    <row r="302" s="1515" customFormat="true" ht="14.25" hidden="false" customHeight="false" outlineLevel="0" collapsed="false">
      <c r="B302" s="1515" t="n">
        <v>2025</v>
      </c>
      <c r="C302" s="1529" t="n">
        <v>317</v>
      </c>
      <c r="D302" s="359" t="n">
        <v>0</v>
      </c>
      <c r="E302" s="1524" t="n">
        <f aca="false">CONCATENATE(C302,IF(O302=19,9,IF(O302=6,6,IF(O302=4,4,0))))+0</f>
        <v>3170</v>
      </c>
      <c r="F302" s="1530" t="s">
        <v>1347</v>
      </c>
      <c r="G302" s="1530"/>
      <c r="H302" s="1529" t="n">
        <v>114.19</v>
      </c>
      <c r="I302" s="1529" t="n">
        <v>240.4</v>
      </c>
      <c r="J302" s="1529" t="n">
        <v>700</v>
      </c>
      <c r="K302" s="1529" t="n">
        <v>1800</v>
      </c>
      <c r="L302" s="1526" t="n">
        <v>0.00465</v>
      </c>
      <c r="M302" s="1526" t="n">
        <v>0.0098</v>
      </c>
      <c r="N302" s="1531" t="n">
        <v>5</v>
      </c>
      <c r="O302" s="1529" t="n">
        <v>0</v>
      </c>
      <c r="T302" s="1528" t="n">
        <v>317</v>
      </c>
      <c r="U302" s="1528" t="s">
        <v>1347</v>
      </c>
      <c r="V302" s="1515" t="str">
        <f aca="false">MID(E302,LEN(E302),1)</f>
        <v>0</v>
      </c>
      <c r="W302" s="1515" t="s">
        <v>1340</v>
      </c>
    </row>
    <row r="303" s="1515" customFormat="true" ht="14.25" hidden="false" customHeight="false" outlineLevel="0" collapsed="false">
      <c r="B303" s="1515" t="n">
        <v>2025</v>
      </c>
      <c r="C303" s="1529" t="n">
        <v>318</v>
      </c>
      <c r="D303" s="359" t="n">
        <v>0</v>
      </c>
      <c r="E303" s="1524" t="n">
        <f aca="false">CONCATENATE(C303,IF(O303=19,9,IF(O303=6,6,IF(O303=4,4,0))))+0</f>
        <v>3180</v>
      </c>
      <c r="F303" s="1530" t="s">
        <v>1348</v>
      </c>
      <c r="G303" s="1530"/>
      <c r="H303" s="1529" t="n">
        <v>114.19</v>
      </c>
      <c r="I303" s="1529" t="n">
        <v>240.4</v>
      </c>
      <c r="J303" s="1529" t="n">
        <v>700</v>
      </c>
      <c r="K303" s="1529" t="n">
        <v>1800</v>
      </c>
      <c r="L303" s="1526" t="n">
        <v>0.00465</v>
      </c>
      <c r="M303" s="1526" t="n">
        <v>0.0098</v>
      </c>
      <c r="N303" s="1531" t="n">
        <v>5</v>
      </c>
      <c r="O303" s="1529" t="n">
        <v>0</v>
      </c>
      <c r="T303" s="1528" t="n">
        <v>318</v>
      </c>
      <c r="U303" s="1528" t="s">
        <v>1348</v>
      </c>
      <c r="V303" s="1515" t="str">
        <f aca="false">MID(E303,LEN(E303),1)</f>
        <v>0</v>
      </c>
      <c r="W303" s="1515" t="s">
        <v>1349</v>
      </c>
    </row>
    <row r="304" s="1515" customFormat="true" ht="14.25" hidden="false" customHeight="false" outlineLevel="0" collapsed="false">
      <c r="B304" s="1515" t="n">
        <v>2025</v>
      </c>
      <c r="C304" s="1529" t="n">
        <v>319</v>
      </c>
      <c r="D304" s="359" t="n">
        <v>0</v>
      </c>
      <c r="E304" s="1524" t="n">
        <f aca="false">CONCATENATE(C304,IF(O304=19,9,IF(O304=6,6,IF(O304=4,4,0))))+0</f>
        <v>3190</v>
      </c>
      <c r="F304" s="1530" t="s">
        <v>1350</v>
      </c>
      <c r="G304" s="1530"/>
      <c r="H304" s="1529" t="n">
        <v>114.19</v>
      </c>
      <c r="I304" s="1529" t="n">
        <v>240.4</v>
      </c>
      <c r="J304" s="1529" t="n">
        <v>700</v>
      </c>
      <c r="K304" s="1529" t="n">
        <v>1800</v>
      </c>
      <c r="L304" s="1526" t="n">
        <v>0.00465</v>
      </c>
      <c r="M304" s="1526" t="n">
        <v>0.0098</v>
      </c>
      <c r="N304" s="1531" t="n">
        <v>5</v>
      </c>
      <c r="O304" s="1529" t="n">
        <v>0</v>
      </c>
      <c r="T304" s="1528" t="n">
        <v>319</v>
      </c>
      <c r="U304" s="1528" t="s">
        <v>1350</v>
      </c>
      <c r="V304" s="1515" t="str">
        <f aca="false">MID(E304,LEN(E304),1)</f>
        <v>0</v>
      </c>
      <c r="W304" s="1515" t="s">
        <v>1349</v>
      </c>
    </row>
    <row r="305" s="1515" customFormat="true" ht="14.25" hidden="false" customHeight="false" outlineLevel="0" collapsed="false">
      <c r="B305" s="1515" t="n">
        <v>2025</v>
      </c>
      <c r="C305" s="1529" t="n">
        <v>320</v>
      </c>
      <c r="D305" s="359" t="n">
        <v>0</v>
      </c>
      <c r="E305" s="1524" t="n">
        <f aca="false">CONCATENATE(C305,IF(O305=19,9,IF(O305=6,6,IF(O305=4,4,0))))+0</f>
        <v>3200</v>
      </c>
      <c r="F305" s="1530" t="s">
        <v>1351</v>
      </c>
      <c r="G305" s="1530"/>
      <c r="H305" s="1529" t="n">
        <v>114.19</v>
      </c>
      <c r="I305" s="1529" t="n">
        <v>240.4</v>
      </c>
      <c r="J305" s="1529" t="n">
        <v>700</v>
      </c>
      <c r="K305" s="1529" t="n">
        <v>1800</v>
      </c>
      <c r="L305" s="1526" t="n">
        <v>0.00465</v>
      </c>
      <c r="M305" s="1526" t="n">
        <v>0.0098</v>
      </c>
      <c r="N305" s="1531" t="n">
        <v>5</v>
      </c>
      <c r="O305" s="1529" t="n">
        <v>0</v>
      </c>
      <c r="T305" s="1528" t="n">
        <v>320</v>
      </c>
      <c r="U305" s="1528" t="s">
        <v>1351</v>
      </c>
      <c r="V305" s="1515" t="str">
        <f aca="false">MID(E305,LEN(E305),1)</f>
        <v>0</v>
      </c>
      <c r="W305" s="1515" t="s">
        <v>1343</v>
      </c>
    </row>
    <row r="306" s="1515" customFormat="true" ht="14.25" hidden="false" customHeight="false" outlineLevel="0" collapsed="false">
      <c r="B306" s="1515" t="n">
        <v>2025</v>
      </c>
      <c r="C306" s="1529" t="n">
        <v>325</v>
      </c>
      <c r="D306" s="359" t="n">
        <v>0</v>
      </c>
      <c r="E306" s="1524" t="n">
        <f aca="false">CONCATENATE(C306,IF(O306=19,9,IF(O306=6,6,IF(O306=4,4,0))))+0</f>
        <v>3250</v>
      </c>
      <c r="F306" s="1530" t="s">
        <v>1352</v>
      </c>
      <c r="G306" s="1530"/>
      <c r="H306" s="1529" t="n">
        <v>114.19</v>
      </c>
      <c r="I306" s="1529" t="n">
        <v>240.4</v>
      </c>
      <c r="J306" s="1529" t="n">
        <v>358.58</v>
      </c>
      <c r="K306" s="1529" t="n">
        <v>1000</v>
      </c>
      <c r="L306" s="1526" t="n">
        <v>0.00465</v>
      </c>
      <c r="M306" s="1526" t="n">
        <v>0.0098</v>
      </c>
      <c r="N306" s="1531" t="n">
        <v>1</v>
      </c>
      <c r="O306" s="1529" t="n">
        <v>0</v>
      </c>
      <c r="T306" s="1528" t="n">
        <v>325</v>
      </c>
      <c r="U306" s="1528" t="s">
        <v>1352</v>
      </c>
      <c r="V306" s="1515" t="str">
        <f aca="false">MID(E306,LEN(E306),1)</f>
        <v>0</v>
      </c>
      <c r="W306" s="1515" t="s">
        <v>1344</v>
      </c>
    </row>
    <row r="307" s="1515" customFormat="true" ht="14.25" hidden="false" customHeight="false" outlineLevel="0" collapsed="false">
      <c r="B307" s="1515" t="n">
        <v>2025</v>
      </c>
      <c r="C307" s="1529" t="n">
        <v>328</v>
      </c>
      <c r="D307" s="359" t="n">
        <v>0</v>
      </c>
      <c r="E307" s="1524" t="n">
        <f aca="false">CONCATENATE(C307,IF(O307=19,9,IF(O307=6,6,IF(O307=4,4,0))))+0</f>
        <v>3280</v>
      </c>
      <c r="F307" s="1530" t="s">
        <v>1353</v>
      </c>
      <c r="G307" s="1530"/>
      <c r="H307" s="1529" t="n">
        <v>114.19</v>
      </c>
      <c r="I307" s="1529" t="n">
        <v>240.4</v>
      </c>
      <c r="J307" s="1529" t="n">
        <v>400</v>
      </c>
      <c r="K307" s="1529" t="n">
        <v>800</v>
      </c>
      <c r="L307" s="1526" t="n">
        <v>0.00465</v>
      </c>
      <c r="M307" s="1526" t="n">
        <v>0.0098</v>
      </c>
      <c r="N307" s="1531" t="n">
        <v>1</v>
      </c>
      <c r="O307" s="1529" t="n">
        <v>0</v>
      </c>
      <c r="T307" s="1528" t="n">
        <v>328</v>
      </c>
      <c r="U307" s="1528" t="s">
        <v>1353</v>
      </c>
      <c r="V307" s="1515" t="str">
        <f aca="false">MID(E307,LEN(E307),1)</f>
        <v>0</v>
      </c>
      <c r="W307" s="1515" t="s">
        <v>1345</v>
      </c>
    </row>
    <row r="308" s="1515" customFormat="true" ht="14.25" hidden="false" customHeight="false" outlineLevel="0" collapsed="false">
      <c r="B308" s="1515" t="n">
        <v>2025</v>
      </c>
      <c r="C308" s="1529" t="n">
        <v>329</v>
      </c>
      <c r="D308" s="359" t="n">
        <v>0</v>
      </c>
      <c r="E308" s="1524" t="n">
        <f aca="false">CONCATENATE(C308,IF(O308=19,9,IF(O308=6,6,IF(O308=4,4,0))))+0</f>
        <v>3290</v>
      </c>
      <c r="F308" s="1530" t="s">
        <v>1354</v>
      </c>
      <c r="G308" s="1530"/>
      <c r="H308" s="1529" t="n">
        <v>114.19</v>
      </c>
      <c r="I308" s="1529" t="n">
        <v>240.4</v>
      </c>
      <c r="J308" s="1529" t="n">
        <v>522.73</v>
      </c>
      <c r="K308" s="1529" t="n">
        <v>1000</v>
      </c>
      <c r="L308" s="1526" t="n">
        <v>0.00465</v>
      </c>
      <c r="M308" s="1526" t="n">
        <v>0.0098</v>
      </c>
      <c r="N308" s="1531" t="n">
        <v>1</v>
      </c>
      <c r="O308" s="1529" t="n">
        <v>0</v>
      </c>
      <c r="T308" s="1528" t="n">
        <v>329</v>
      </c>
      <c r="U308" s="1528" t="s">
        <v>1354</v>
      </c>
    </row>
    <row r="309" s="1515" customFormat="true" ht="14.25" hidden="false" customHeight="false" outlineLevel="0" collapsed="false">
      <c r="B309" s="1515" t="n">
        <v>2025</v>
      </c>
      <c r="C309" s="1529" t="n">
        <v>331</v>
      </c>
      <c r="D309" s="359" t="n">
        <v>0</v>
      </c>
      <c r="E309" s="1524" t="n">
        <f aca="false">CONCATENATE(C309,IF(O309=19,9,IF(O309=6,6,IF(O309=4,4,0))))+0</f>
        <v>3310</v>
      </c>
      <c r="F309" s="1530" t="s">
        <v>1355</v>
      </c>
      <c r="G309" s="1530"/>
      <c r="H309" s="1529" t="n">
        <v>114.19</v>
      </c>
      <c r="I309" s="1529" t="n">
        <v>240.4</v>
      </c>
      <c r="J309" s="1529" t="n">
        <v>522.73</v>
      </c>
      <c r="K309" s="1529" t="n">
        <v>1200</v>
      </c>
      <c r="L309" s="1526" t="n">
        <v>0.00465</v>
      </c>
      <c r="M309" s="1526" t="n">
        <v>0.0098</v>
      </c>
      <c r="N309" s="1531" t="n">
        <v>1</v>
      </c>
      <c r="O309" s="1529" t="n">
        <v>0</v>
      </c>
      <c r="T309" s="1528" t="n">
        <v>331</v>
      </c>
      <c r="U309" s="1528" t="s">
        <v>1355</v>
      </c>
    </row>
    <row r="310" s="1515" customFormat="true" ht="14.25" hidden="false" customHeight="false" outlineLevel="0" collapsed="false">
      <c r="B310" s="1515" t="n">
        <v>2025</v>
      </c>
      <c r="C310" s="1529" t="n">
        <v>332</v>
      </c>
      <c r="D310" s="359" t="n">
        <v>0</v>
      </c>
      <c r="E310" s="1524" t="n">
        <f aca="false">CONCATENATE(C310,IF(O310=19,9,IF(O310=6,6,IF(O310=4,4,0))))+0</f>
        <v>3320</v>
      </c>
      <c r="F310" s="1530" t="s">
        <v>1356</v>
      </c>
      <c r="G310" s="1530"/>
      <c r="H310" s="1529" t="n">
        <v>480.81</v>
      </c>
      <c r="I310" s="1529" t="n">
        <v>1442.43</v>
      </c>
      <c r="J310" s="1529" t="n">
        <v>1939.8</v>
      </c>
      <c r="K310" s="1529" t="n">
        <v>6000</v>
      </c>
      <c r="L310" s="1526" t="n">
        <v>0.0196</v>
      </c>
      <c r="M310" s="1526" t="n">
        <v>0.05879</v>
      </c>
      <c r="N310" s="1531" t="n">
        <v>1</v>
      </c>
      <c r="O310" s="1529" t="n">
        <v>0</v>
      </c>
      <c r="T310" s="1528" t="n">
        <v>332</v>
      </c>
      <c r="U310" s="1528" t="s">
        <v>1356</v>
      </c>
    </row>
    <row r="311" s="1515" customFormat="true" ht="14.25" hidden="false" customHeight="false" outlineLevel="0" collapsed="false">
      <c r="B311" s="1515" t="n">
        <v>2025</v>
      </c>
      <c r="C311" s="1529" t="n">
        <v>336</v>
      </c>
      <c r="D311" s="359" t="n">
        <v>0</v>
      </c>
      <c r="E311" s="1524" t="n">
        <f aca="false">CONCATENATE(C311,IF(O311=19,9,IF(O311=6,6,IF(O311=4,4,0))))+0</f>
        <v>3360</v>
      </c>
      <c r="F311" s="1530" t="s">
        <v>1357</v>
      </c>
      <c r="G311" s="1530"/>
      <c r="H311" s="1529" t="n">
        <v>114.19</v>
      </c>
      <c r="I311" s="1529" t="n">
        <v>240.4</v>
      </c>
      <c r="J311" s="1529" t="n">
        <v>400</v>
      </c>
      <c r="K311" s="1529" t="n">
        <v>1000</v>
      </c>
      <c r="L311" s="1526" t="n">
        <v>0.00465</v>
      </c>
      <c r="M311" s="1526" t="n">
        <v>0.0098</v>
      </c>
      <c r="N311" s="1531" t="n">
        <v>1</v>
      </c>
      <c r="O311" s="1529" t="n">
        <v>0</v>
      </c>
      <c r="T311" s="1528" t="n">
        <v>336</v>
      </c>
      <c r="U311" s="1528" t="s">
        <v>1357</v>
      </c>
    </row>
    <row r="312" s="1515" customFormat="true" ht="14.25" hidden="false" customHeight="false" outlineLevel="0" collapsed="false">
      <c r="B312" s="1515" t="n">
        <v>2025</v>
      </c>
      <c r="C312" s="1529" t="n">
        <v>337</v>
      </c>
      <c r="D312" s="359" t="n">
        <v>0</v>
      </c>
      <c r="E312" s="1524" t="n">
        <f aca="false">CONCATENATE(C312,IF(O312=19,9,IF(O312=6,6,IF(O312=4,4,0))))+0</f>
        <v>3370</v>
      </c>
      <c r="F312" s="1530" t="s">
        <v>1358</v>
      </c>
      <c r="G312" s="1530"/>
      <c r="H312" s="1529" t="n">
        <v>114.19</v>
      </c>
      <c r="I312" s="1529" t="n">
        <v>240.4</v>
      </c>
      <c r="J312" s="1529" t="n">
        <v>400</v>
      </c>
      <c r="K312" s="1529" t="n">
        <v>1000</v>
      </c>
      <c r="L312" s="1526" t="n">
        <v>0.00465</v>
      </c>
      <c r="M312" s="1526" t="n">
        <v>0.0098</v>
      </c>
      <c r="N312" s="1531" t="n">
        <v>1</v>
      </c>
      <c r="O312" s="1529" t="n">
        <v>0</v>
      </c>
      <c r="T312" s="1528" t="n">
        <v>337</v>
      </c>
      <c r="U312" s="1528" t="s">
        <v>1358</v>
      </c>
    </row>
    <row r="313" s="1515" customFormat="true" ht="14.25" hidden="false" customHeight="false" outlineLevel="0" collapsed="false">
      <c r="B313" s="1515" t="n">
        <v>2025</v>
      </c>
      <c r="C313" s="1529" t="n">
        <v>338</v>
      </c>
      <c r="D313" s="359" t="n">
        <v>0</v>
      </c>
      <c r="E313" s="1524" t="n">
        <f aca="false">CONCATENATE(C313,IF(O313=19,9,IF(O313=6,6,IF(O313=4,4,0))))+0</f>
        <v>3380</v>
      </c>
      <c r="F313" s="1530" t="s">
        <v>1359</v>
      </c>
      <c r="G313" s="1530"/>
      <c r="H313" s="1529" t="n">
        <v>114.19</v>
      </c>
      <c r="I313" s="1529" t="n">
        <v>240.4</v>
      </c>
      <c r="J313" s="1529" t="n">
        <v>400</v>
      </c>
      <c r="K313" s="1529" t="n">
        <v>1000</v>
      </c>
      <c r="L313" s="1526" t="n">
        <v>0.00465</v>
      </c>
      <c r="M313" s="1526" t="n">
        <v>0.0098</v>
      </c>
      <c r="N313" s="1531" t="n">
        <v>1</v>
      </c>
      <c r="O313" s="1529" t="n">
        <v>0</v>
      </c>
      <c r="T313" s="1528" t="n">
        <v>338</v>
      </c>
      <c r="U313" s="1528" t="s">
        <v>1359</v>
      </c>
    </row>
    <row r="314" s="1515" customFormat="true" ht="14.25" hidden="false" customHeight="false" outlineLevel="0" collapsed="false">
      <c r="B314" s="1515" t="n">
        <v>2025</v>
      </c>
      <c r="C314" s="1529" t="n">
        <v>339</v>
      </c>
      <c r="D314" s="359" t="n">
        <v>0</v>
      </c>
      <c r="E314" s="1524" t="n">
        <f aca="false">CONCATENATE(C314,IF(O314=19,9,IF(O314=6,6,IF(O314=4,4,0))))+0</f>
        <v>3390</v>
      </c>
      <c r="F314" s="1530" t="s">
        <v>1360</v>
      </c>
      <c r="G314" s="1530"/>
      <c r="H314" s="1529" t="n">
        <v>114.19</v>
      </c>
      <c r="I314" s="1529" t="n">
        <v>240.4</v>
      </c>
      <c r="J314" s="1529" t="n">
        <v>400</v>
      </c>
      <c r="K314" s="1529" t="n">
        <v>1000</v>
      </c>
      <c r="L314" s="1526" t="n">
        <v>0.00465</v>
      </c>
      <c r="M314" s="1526" t="n">
        <v>0.0098</v>
      </c>
      <c r="N314" s="1531" t="n">
        <v>1</v>
      </c>
      <c r="O314" s="1529" t="n">
        <v>0</v>
      </c>
      <c r="T314" s="1528" t="n">
        <v>339</v>
      </c>
      <c r="U314" s="1528" t="s">
        <v>1360</v>
      </c>
    </row>
    <row r="315" s="1515" customFormat="true" ht="14.25" hidden="false" customHeight="false" outlineLevel="0" collapsed="false">
      <c r="B315" s="1515" t="n">
        <v>2025</v>
      </c>
      <c r="C315" s="1529" t="n">
        <v>340</v>
      </c>
      <c r="D315" s="359" t="n">
        <v>0</v>
      </c>
      <c r="E315" s="1524" t="n">
        <f aca="false">CONCATENATE(C315,IF(O315=19,9,IF(O315=6,6,IF(O315=4,4,0))))+0</f>
        <v>3400</v>
      </c>
      <c r="F315" s="1530" t="s">
        <v>1361</v>
      </c>
      <c r="G315" s="1530"/>
      <c r="H315" s="1529" t="n">
        <v>114.19</v>
      </c>
      <c r="I315" s="1529" t="n">
        <v>240.4</v>
      </c>
      <c r="J315" s="1529" t="n">
        <v>400</v>
      </c>
      <c r="K315" s="1529" t="n">
        <v>1000</v>
      </c>
      <c r="L315" s="1526" t="n">
        <v>0.00465</v>
      </c>
      <c r="M315" s="1526" t="n">
        <v>0.0098</v>
      </c>
      <c r="N315" s="1531" t="n">
        <v>1</v>
      </c>
      <c r="O315" s="1529" t="n">
        <v>0</v>
      </c>
      <c r="T315" s="1528" t="n">
        <v>340</v>
      </c>
      <c r="U315" s="1528" t="s">
        <v>1361</v>
      </c>
      <c r="V315" s="1515" t="str">
        <f aca="false">MID(E315,LEN(E315),1)</f>
        <v>0</v>
      </c>
      <c r="W315" s="1515" t="s">
        <v>1346</v>
      </c>
    </row>
    <row r="316" s="1515" customFormat="true" ht="14.25" hidden="false" customHeight="false" outlineLevel="0" collapsed="false">
      <c r="B316" s="1515" t="n">
        <v>2025</v>
      </c>
      <c r="C316" s="1529" t="n">
        <v>341</v>
      </c>
      <c r="D316" s="359" t="n">
        <v>0</v>
      </c>
      <c r="E316" s="1524" t="n">
        <f aca="false">CONCATENATE(C316,IF(O316=19,9,IF(O316=6,6,IF(O316=4,4,0))))+0</f>
        <v>3410</v>
      </c>
      <c r="F316" s="1530" t="s">
        <v>1362</v>
      </c>
      <c r="G316" s="1530"/>
      <c r="H316" s="1529" t="n">
        <v>114.19</v>
      </c>
      <c r="I316" s="1529" t="n">
        <v>240.4</v>
      </c>
      <c r="J316" s="1529" t="n">
        <v>700</v>
      </c>
      <c r="K316" s="1529" t="n">
        <v>1800</v>
      </c>
      <c r="L316" s="1526" t="n">
        <v>0.00465</v>
      </c>
      <c r="M316" s="1526" t="n">
        <v>0.0098</v>
      </c>
      <c r="N316" s="1531" t="n">
        <v>1</v>
      </c>
      <c r="O316" s="1529" t="n">
        <v>0</v>
      </c>
      <c r="T316" s="1528" t="n">
        <v>341</v>
      </c>
      <c r="U316" s="1528" t="s">
        <v>1362</v>
      </c>
      <c r="V316" s="1515" t="str">
        <f aca="false">MID(E316,LEN(E316),1)</f>
        <v>0</v>
      </c>
      <c r="W316" s="1515" t="s">
        <v>1347</v>
      </c>
    </row>
    <row r="317" s="1515" customFormat="true" ht="14.25" hidden="false" customHeight="false" outlineLevel="0" collapsed="false">
      <c r="B317" s="1515" t="n">
        <v>2025</v>
      </c>
      <c r="C317" s="1529" t="n">
        <v>343</v>
      </c>
      <c r="D317" s="359" t="n">
        <v>0</v>
      </c>
      <c r="E317" s="1524" t="n">
        <f aca="false">CONCATENATE(C317,IF(O317=19,9,IF(O317=6,6,IF(O317=4,4,0))))+0</f>
        <v>3430</v>
      </c>
      <c r="F317" s="1530" t="s">
        <v>1363</v>
      </c>
      <c r="G317" s="1530"/>
      <c r="H317" s="1529" t="n">
        <v>480.81</v>
      </c>
      <c r="I317" s="1529" t="n">
        <v>1442.43</v>
      </c>
      <c r="J317" s="1529" t="n">
        <v>1939.8</v>
      </c>
      <c r="K317" s="1529" t="n">
        <v>6000</v>
      </c>
      <c r="L317" s="1526" t="n">
        <v>0.0196</v>
      </c>
      <c r="M317" s="1526" t="n">
        <v>0.05879</v>
      </c>
      <c r="N317" s="1531" t="n">
        <v>2</v>
      </c>
      <c r="O317" s="1529" t="n">
        <v>0</v>
      </c>
      <c r="T317" s="1528" t="n">
        <v>343</v>
      </c>
      <c r="U317" s="1528" t="s">
        <v>1363</v>
      </c>
      <c r="V317" s="1515" t="str">
        <f aca="false">MID(E317,LEN(E317),1)</f>
        <v>0</v>
      </c>
      <c r="W317" s="1515" t="s">
        <v>1348</v>
      </c>
    </row>
    <row r="318" s="1515" customFormat="true" ht="14.25" hidden="false" customHeight="false" outlineLevel="0" collapsed="false">
      <c r="B318" s="1515" t="n">
        <v>2025</v>
      </c>
      <c r="C318" s="1529" t="n">
        <v>344</v>
      </c>
      <c r="D318" s="359" t="n">
        <v>0</v>
      </c>
      <c r="E318" s="1524" t="n">
        <f aca="false">CONCATENATE(C318,IF(O318=19,9,IF(O318=6,6,IF(O318=4,4,0))))+0</f>
        <v>3440</v>
      </c>
      <c r="F318" s="1530" t="s">
        <v>1364</v>
      </c>
      <c r="G318" s="1530"/>
      <c r="H318" s="1529" t="n">
        <v>480.81</v>
      </c>
      <c r="I318" s="1529" t="n">
        <v>1442.43</v>
      </c>
      <c r="J318" s="1529" t="n">
        <v>1939.8</v>
      </c>
      <c r="K318" s="1529" t="n">
        <v>6000</v>
      </c>
      <c r="L318" s="1526" t="n">
        <v>0.0196</v>
      </c>
      <c r="M318" s="1526" t="n">
        <v>0.05879</v>
      </c>
      <c r="N318" s="1531" t="n">
        <v>2</v>
      </c>
      <c r="O318" s="1529" t="n">
        <v>0</v>
      </c>
      <c r="T318" s="1528" t="n">
        <v>344</v>
      </c>
      <c r="U318" s="1528" t="s">
        <v>1364</v>
      </c>
      <c r="V318" s="1515" t="str">
        <f aca="false">MID(E318,LEN(E318),1)</f>
        <v>0</v>
      </c>
      <c r="W318" s="1515" t="s">
        <v>1350</v>
      </c>
    </row>
    <row r="319" s="1515" customFormat="true" ht="14.25" hidden="false" customHeight="false" outlineLevel="0" collapsed="false">
      <c r="B319" s="1515" t="n">
        <v>2025</v>
      </c>
      <c r="C319" s="1529" t="n">
        <v>345</v>
      </c>
      <c r="D319" s="359" t="n">
        <v>0</v>
      </c>
      <c r="E319" s="1524" t="n">
        <f aca="false">CONCATENATE(C319,IF(O319=19,9,IF(O319=6,6,IF(O319=4,4,0))))+0</f>
        <v>3450</v>
      </c>
      <c r="F319" s="1530" t="s">
        <v>1365</v>
      </c>
      <c r="G319" s="1530"/>
      <c r="H319" s="1529" t="n">
        <v>480.81</v>
      </c>
      <c r="I319" s="1529" t="n">
        <v>1442.43</v>
      </c>
      <c r="J319" s="1529" t="n">
        <v>1939.8</v>
      </c>
      <c r="K319" s="1529" t="n">
        <v>6000</v>
      </c>
      <c r="L319" s="1526" t="n">
        <v>0.0196</v>
      </c>
      <c r="M319" s="1526" t="n">
        <v>0.05879</v>
      </c>
      <c r="N319" s="1531" t="n">
        <v>2</v>
      </c>
      <c r="O319" s="1529" t="n">
        <v>0</v>
      </c>
      <c r="T319" s="1528" t="n">
        <v>345</v>
      </c>
      <c r="U319" s="1528" t="s">
        <v>1365</v>
      </c>
      <c r="V319" s="1515" t="str">
        <f aca="false">MID(E319,LEN(E319),1)</f>
        <v>0</v>
      </c>
      <c r="W319" s="1515" t="s">
        <v>1351</v>
      </c>
    </row>
    <row r="320" s="1515" customFormat="true" ht="14.25" hidden="false" customHeight="false" outlineLevel="0" collapsed="false">
      <c r="B320" s="1515" t="n">
        <v>2025</v>
      </c>
      <c r="C320" s="1529" t="n">
        <v>346</v>
      </c>
      <c r="D320" s="359" t="n">
        <v>0</v>
      </c>
      <c r="E320" s="1524" t="n">
        <f aca="false">CONCATENATE(C320,IF(O320=19,9,IF(O320=6,6,IF(O320=4,4,0))))+0</f>
        <v>3460</v>
      </c>
      <c r="F320" s="1530" t="s">
        <v>1366</v>
      </c>
      <c r="G320" s="1530"/>
      <c r="H320" s="1529" t="n">
        <v>480.81</v>
      </c>
      <c r="I320" s="1529" t="n">
        <v>1442.43</v>
      </c>
      <c r="J320" s="1529" t="n">
        <v>1939.8</v>
      </c>
      <c r="K320" s="1529" t="n">
        <v>6000</v>
      </c>
      <c r="L320" s="1526" t="n">
        <v>0.0196</v>
      </c>
      <c r="M320" s="1526" t="n">
        <v>0.05879</v>
      </c>
      <c r="N320" s="1531" t="n">
        <v>2</v>
      </c>
      <c r="O320" s="1529" t="n">
        <v>0</v>
      </c>
      <c r="T320" s="1528" t="n">
        <v>346</v>
      </c>
      <c r="U320" s="1528" t="s">
        <v>1366</v>
      </c>
    </row>
    <row r="321" s="1515" customFormat="true" ht="14.25" hidden="false" customHeight="false" outlineLevel="0" collapsed="false">
      <c r="B321" s="1515" t="n">
        <v>2025</v>
      </c>
      <c r="C321" s="1529" t="n">
        <v>347</v>
      </c>
      <c r="D321" s="359" t="n">
        <v>0</v>
      </c>
      <c r="E321" s="1524" t="n">
        <f aca="false">CONCATENATE(C321,IF(O321=19,9,IF(O321=6,6,IF(O321=4,4,0))))+0</f>
        <v>3470</v>
      </c>
      <c r="F321" s="1530" t="s">
        <v>1367</v>
      </c>
      <c r="G321" s="1530"/>
      <c r="H321" s="1529" t="n">
        <v>480.81</v>
      </c>
      <c r="I321" s="1529" t="n">
        <v>1442.43</v>
      </c>
      <c r="J321" s="1529" t="n">
        <v>1939.8</v>
      </c>
      <c r="K321" s="1529" t="n">
        <v>6000</v>
      </c>
      <c r="L321" s="1526" t="n">
        <v>0.0196</v>
      </c>
      <c r="M321" s="1526" t="n">
        <v>0.05879</v>
      </c>
      <c r="N321" s="1531" t="n">
        <v>2</v>
      </c>
      <c r="O321" s="1529" t="n">
        <v>0</v>
      </c>
      <c r="T321" s="1528" t="n">
        <v>347</v>
      </c>
      <c r="U321" s="1528" t="s">
        <v>1367</v>
      </c>
    </row>
    <row r="322" s="1515" customFormat="true" ht="14.25" hidden="false" customHeight="false" outlineLevel="0" collapsed="false">
      <c r="B322" s="1515" t="n">
        <v>2025</v>
      </c>
      <c r="C322" s="1529" t="n">
        <v>348</v>
      </c>
      <c r="D322" s="359" t="n">
        <v>0</v>
      </c>
      <c r="E322" s="1524" t="n">
        <f aca="false">CONCATENATE(C322,IF(O322=19,9,IF(O322=6,6,IF(O322=4,4,0))))+0</f>
        <v>3480</v>
      </c>
      <c r="F322" s="1530" t="s">
        <v>1368</v>
      </c>
      <c r="G322" s="1530"/>
      <c r="H322" s="1529" t="n">
        <v>480.81</v>
      </c>
      <c r="I322" s="1529" t="n">
        <v>1442.43</v>
      </c>
      <c r="J322" s="1529" t="n">
        <v>1939.8</v>
      </c>
      <c r="K322" s="1529" t="n">
        <v>6000</v>
      </c>
      <c r="L322" s="1526" t="n">
        <v>0.0196</v>
      </c>
      <c r="M322" s="1526" t="n">
        <v>0.05879</v>
      </c>
      <c r="N322" s="1531" t="n">
        <v>3</v>
      </c>
      <c r="O322" s="1529" t="n">
        <v>0</v>
      </c>
      <c r="T322" s="1528" t="n">
        <v>348</v>
      </c>
      <c r="U322" s="1528" t="s">
        <v>1368</v>
      </c>
    </row>
    <row r="323" s="1515" customFormat="true" ht="14.25" hidden="false" customHeight="false" outlineLevel="0" collapsed="false">
      <c r="B323" s="1515" t="n">
        <v>2025</v>
      </c>
      <c r="C323" s="1529" t="n">
        <v>349</v>
      </c>
      <c r="D323" s="359" t="n">
        <v>0</v>
      </c>
      <c r="E323" s="1524" t="n">
        <f aca="false">CONCATENATE(C323,IF(O323=19,9,IF(O323=6,6,IF(O323=4,4,0))))+0</f>
        <v>3490</v>
      </c>
      <c r="F323" s="1530" t="s">
        <v>1369</v>
      </c>
      <c r="G323" s="1530"/>
      <c r="H323" s="1529" t="n">
        <v>480.81</v>
      </c>
      <c r="I323" s="1529" t="n">
        <v>1442.43</v>
      </c>
      <c r="J323" s="1529" t="n">
        <v>1939.8</v>
      </c>
      <c r="K323" s="1529" t="n">
        <v>6000</v>
      </c>
      <c r="L323" s="1526" t="n">
        <v>0.0196</v>
      </c>
      <c r="M323" s="1526" t="n">
        <v>0.05879</v>
      </c>
      <c r="N323" s="1531" t="n">
        <v>3</v>
      </c>
      <c r="O323" s="1529" t="n">
        <v>0</v>
      </c>
      <c r="T323" s="1528" t="n">
        <v>349</v>
      </c>
      <c r="U323" s="1528" t="s">
        <v>1369</v>
      </c>
      <c r="V323" s="1515" t="str">
        <f aca="false">MID(E323,LEN(E323),1)</f>
        <v>0</v>
      </c>
      <c r="W323" s="1515" t="s">
        <v>1352</v>
      </c>
    </row>
    <row r="324" s="1515" customFormat="true" ht="14.25" hidden="false" customHeight="false" outlineLevel="0" collapsed="false">
      <c r="B324" s="1515" t="n">
        <v>2025</v>
      </c>
      <c r="C324" s="1529" t="n">
        <v>351</v>
      </c>
      <c r="D324" s="359" t="n">
        <v>0</v>
      </c>
      <c r="E324" s="1524" t="n">
        <f aca="false">CONCATENATE(C324,IF(O324=19,9,IF(O324=6,6,IF(O324=4,4,0))))+0</f>
        <v>3510</v>
      </c>
      <c r="F324" s="1530" t="s">
        <v>1370</v>
      </c>
      <c r="G324" s="1530"/>
      <c r="H324" s="1529" t="n">
        <v>480.81</v>
      </c>
      <c r="I324" s="1529" t="n">
        <v>1442.43</v>
      </c>
      <c r="J324" s="1529" t="n">
        <v>1939.8</v>
      </c>
      <c r="K324" s="1529" t="n">
        <v>6000</v>
      </c>
      <c r="L324" s="1526" t="n">
        <v>0.0196</v>
      </c>
      <c r="M324" s="1526" t="n">
        <v>0.05879</v>
      </c>
      <c r="N324" s="1531" t="n">
        <v>3</v>
      </c>
      <c r="O324" s="1529" t="n">
        <v>0</v>
      </c>
      <c r="T324" s="1528" t="n">
        <v>351</v>
      </c>
      <c r="U324" s="1528" t="s">
        <v>1370</v>
      </c>
      <c r="V324" s="1515" t="str">
        <f aca="false">MID(E324,LEN(E324),1)</f>
        <v>0</v>
      </c>
      <c r="W324" s="1515" t="s">
        <v>1353</v>
      </c>
    </row>
    <row r="325" s="1515" customFormat="true" ht="14.25" hidden="false" customHeight="false" outlineLevel="0" collapsed="false">
      <c r="B325" s="1515" t="n">
        <v>2025</v>
      </c>
      <c r="C325" s="1529" t="n">
        <v>352</v>
      </c>
      <c r="D325" s="359" t="n">
        <v>0</v>
      </c>
      <c r="E325" s="1524" t="n">
        <f aca="false">CONCATENATE(C325,IF(O325=19,9,IF(O325=6,6,IF(O325=4,4,0))))+0</f>
        <v>3520</v>
      </c>
      <c r="F325" s="1530" t="s">
        <v>1371</v>
      </c>
      <c r="G325" s="1530"/>
      <c r="H325" s="1529" t="n">
        <v>480.81</v>
      </c>
      <c r="I325" s="1529" t="n">
        <v>1442.43</v>
      </c>
      <c r="J325" s="1529" t="n">
        <v>1939.8</v>
      </c>
      <c r="K325" s="1529" t="n">
        <v>6000</v>
      </c>
      <c r="L325" s="1526" t="n">
        <v>0.0196</v>
      </c>
      <c r="M325" s="1526" t="n">
        <v>0.05879</v>
      </c>
      <c r="N325" s="1531" t="n">
        <v>3</v>
      </c>
      <c r="O325" s="1529" t="n">
        <v>0</v>
      </c>
      <c r="T325" s="1528" t="n">
        <v>352</v>
      </c>
      <c r="U325" s="1528" t="s">
        <v>1371</v>
      </c>
      <c r="V325" s="1515" t="str">
        <f aca="false">MID(E325,LEN(E325),1)</f>
        <v>0</v>
      </c>
      <c r="W325" s="1515" t="s">
        <v>1354</v>
      </c>
    </row>
    <row r="326" s="1515" customFormat="true" ht="14.25" hidden="false" customHeight="false" outlineLevel="0" collapsed="false">
      <c r="B326" s="1515" t="n">
        <v>2025</v>
      </c>
      <c r="C326" s="1529" t="n">
        <v>353</v>
      </c>
      <c r="D326" s="359" t="n">
        <v>0</v>
      </c>
      <c r="E326" s="1524" t="n">
        <f aca="false">CONCATENATE(C326,IF(O326=19,9,IF(O326=6,6,IF(O326=4,4,0))))+0</f>
        <v>3530</v>
      </c>
      <c r="F326" s="1530" t="s">
        <v>1372</v>
      </c>
      <c r="G326" s="1530"/>
      <c r="H326" s="1529" t="n">
        <v>480.81</v>
      </c>
      <c r="I326" s="1529" t="n">
        <v>1442.43</v>
      </c>
      <c r="J326" s="1529" t="n">
        <v>2439.65</v>
      </c>
      <c r="K326" s="1529" t="n">
        <v>7000</v>
      </c>
      <c r="L326" s="1526" t="n">
        <v>0.0196</v>
      </c>
      <c r="M326" s="1526" t="n">
        <v>0.05879</v>
      </c>
      <c r="N326" s="1531" t="n">
        <v>3</v>
      </c>
      <c r="O326" s="1529" t="n">
        <v>0</v>
      </c>
      <c r="T326" s="1528" t="n">
        <v>353</v>
      </c>
      <c r="U326" s="1528" t="s">
        <v>1372</v>
      </c>
      <c r="V326" s="1515" t="str">
        <f aca="false">MID(E326,LEN(E326),1)</f>
        <v>0</v>
      </c>
      <c r="W326" s="1515" t="s">
        <v>1355</v>
      </c>
    </row>
    <row r="327" s="1515" customFormat="true" ht="14.25" hidden="false" customHeight="false" outlineLevel="0" collapsed="false">
      <c r="B327" s="1515" t="n">
        <v>2025</v>
      </c>
      <c r="C327" s="1529" t="n">
        <v>354</v>
      </c>
      <c r="D327" s="359" t="n">
        <v>0</v>
      </c>
      <c r="E327" s="1524" t="n">
        <f aca="false">CONCATENATE(C327,IF(O327=19,9,IF(O327=6,6,IF(O327=4,4,0))))+0</f>
        <v>3540</v>
      </c>
      <c r="F327" s="1530" t="s">
        <v>1373</v>
      </c>
      <c r="G327" s="1530"/>
      <c r="H327" s="1529" t="n">
        <v>480.81</v>
      </c>
      <c r="I327" s="1529" t="n">
        <v>1442.43</v>
      </c>
      <c r="J327" s="1529" t="n">
        <v>2439.65</v>
      </c>
      <c r="K327" s="1529" t="n">
        <v>7000</v>
      </c>
      <c r="L327" s="1526" t="n">
        <v>0.0196</v>
      </c>
      <c r="M327" s="1526" t="n">
        <v>0.05879</v>
      </c>
      <c r="N327" s="1531" t="n">
        <v>3</v>
      </c>
      <c r="O327" s="1529" t="n">
        <v>0</v>
      </c>
      <c r="T327" s="1528" t="n">
        <v>354</v>
      </c>
      <c r="U327" s="1528" t="s">
        <v>1373</v>
      </c>
      <c r="V327" s="1515" t="str">
        <f aca="false">MID(E327,LEN(E327),1)</f>
        <v>0</v>
      </c>
      <c r="W327" s="1515" t="s">
        <v>1356</v>
      </c>
    </row>
    <row r="328" s="1515" customFormat="true" ht="14.25" hidden="false" customHeight="false" outlineLevel="0" collapsed="false">
      <c r="B328" s="1515" t="n">
        <v>2025</v>
      </c>
      <c r="C328" s="1529" t="n">
        <v>355</v>
      </c>
      <c r="D328" s="359" t="n">
        <v>0</v>
      </c>
      <c r="E328" s="1524" t="n">
        <f aca="false">CONCATENATE(C328,IF(O328=19,9,IF(O328=6,6,IF(O328=4,4,0))))+0</f>
        <v>3550</v>
      </c>
      <c r="F328" s="1530" t="s">
        <v>1374</v>
      </c>
      <c r="G328" s="1530"/>
      <c r="H328" s="1529" t="n">
        <v>114.19</v>
      </c>
      <c r="I328" s="1529" t="n">
        <v>240.4</v>
      </c>
      <c r="J328" s="1529" t="n">
        <v>1000</v>
      </c>
      <c r="K328" s="1529" t="n">
        <v>3800</v>
      </c>
      <c r="L328" s="1526" t="n">
        <v>0.00465</v>
      </c>
      <c r="M328" s="1526" t="n">
        <v>0.0098</v>
      </c>
      <c r="N328" s="1531" t="n">
        <v>3</v>
      </c>
      <c r="O328" s="1529" t="n">
        <v>0</v>
      </c>
      <c r="T328" s="1528" t="n">
        <v>355</v>
      </c>
      <c r="U328" s="1528" t="s">
        <v>1374</v>
      </c>
    </row>
    <row r="329" s="1515" customFormat="true" ht="14.25" hidden="false" customHeight="false" outlineLevel="0" collapsed="false">
      <c r="B329" s="1515" t="n">
        <v>2025</v>
      </c>
      <c r="C329" s="1529" t="n">
        <v>356</v>
      </c>
      <c r="D329" s="359" t="n">
        <v>0</v>
      </c>
      <c r="E329" s="1524" t="n">
        <f aca="false">CONCATENATE(C329,IF(O329=19,9,IF(O329=6,6,IF(O329=4,4,0))))+0</f>
        <v>3560</v>
      </c>
      <c r="F329" s="1530" t="s">
        <v>1375</v>
      </c>
      <c r="G329" s="1530"/>
      <c r="H329" s="1529" t="n">
        <v>480.81</v>
      </c>
      <c r="I329" s="1529" t="n">
        <v>1442.43</v>
      </c>
      <c r="J329" s="1529" t="n">
        <v>1939.8</v>
      </c>
      <c r="K329" s="1529" t="n">
        <v>6000</v>
      </c>
      <c r="L329" s="1526" t="n">
        <v>0.0196</v>
      </c>
      <c r="M329" s="1526" t="n">
        <v>0.05879</v>
      </c>
      <c r="N329" s="1531" t="n">
        <v>3</v>
      </c>
      <c r="O329" s="1529" t="n">
        <v>0</v>
      </c>
      <c r="T329" s="1528" t="n">
        <v>356</v>
      </c>
      <c r="U329" s="1528" t="s">
        <v>1375</v>
      </c>
      <c r="V329" s="1515" t="str">
        <f aca="false">MID(E329,LEN(E329),1)</f>
        <v>0</v>
      </c>
      <c r="W329" s="1515" t="s">
        <v>1357</v>
      </c>
    </row>
    <row r="330" s="1515" customFormat="true" ht="14.25" hidden="false" customHeight="false" outlineLevel="0" collapsed="false">
      <c r="B330" s="1515" t="n">
        <v>2025</v>
      </c>
      <c r="C330" s="1529" t="n">
        <v>390</v>
      </c>
      <c r="D330" s="359" t="n">
        <v>0</v>
      </c>
      <c r="E330" s="1524" t="n">
        <f aca="false">CONCATENATE(C330,IF(O330=19,9,IF(O330=6,6,IF(O330=4,4,0))))+0</f>
        <v>3900</v>
      </c>
      <c r="F330" s="1530" t="s">
        <v>1376</v>
      </c>
      <c r="G330" s="1530"/>
      <c r="H330" s="1529" t="n">
        <v>114.19</v>
      </c>
      <c r="I330" s="1529" t="n">
        <v>240.4</v>
      </c>
      <c r="J330" s="1529" t="n">
        <v>350</v>
      </c>
      <c r="K330" s="1529" t="n">
        <v>750</v>
      </c>
      <c r="L330" s="1526" t="n">
        <v>0.00465</v>
      </c>
      <c r="M330" s="1526" t="n">
        <v>0.0098</v>
      </c>
      <c r="N330" s="1531" t="n">
        <v>1</v>
      </c>
      <c r="O330" s="1529" t="n">
        <v>0</v>
      </c>
      <c r="T330" s="1528" t="n">
        <v>390</v>
      </c>
      <c r="U330" s="1528" t="s">
        <v>1376</v>
      </c>
      <c r="V330" s="1515" t="str">
        <f aca="false">MID(E330,LEN(E330),1)</f>
        <v>0</v>
      </c>
      <c r="W330" s="1515" t="s">
        <v>1358</v>
      </c>
    </row>
    <row r="331" s="1515" customFormat="true" ht="14.25" hidden="false" customHeight="false" outlineLevel="0" collapsed="false">
      <c r="B331" s="1515" t="n">
        <v>2025</v>
      </c>
      <c r="C331" s="1529" t="n">
        <v>392</v>
      </c>
      <c r="D331" s="359" t="n">
        <v>0</v>
      </c>
      <c r="E331" s="1524" t="n">
        <f aca="false">CONCATENATE(C331,IF(O331=19,9,IF(O331=6,6,IF(O331=4,4,0))))+0</f>
        <v>3920</v>
      </c>
      <c r="F331" s="1530" t="s">
        <v>1377</v>
      </c>
      <c r="G331" s="1530"/>
      <c r="H331" s="1529" t="n">
        <v>114.19</v>
      </c>
      <c r="I331" s="1529" t="n">
        <v>240.4</v>
      </c>
      <c r="J331" s="1529" t="n">
        <v>400</v>
      </c>
      <c r="K331" s="1529" t="n">
        <v>1000</v>
      </c>
      <c r="L331" s="1526" t="n">
        <v>0.00465</v>
      </c>
      <c r="M331" s="1526" t="n">
        <v>0.0098</v>
      </c>
      <c r="N331" s="1531" t="n">
        <v>1</v>
      </c>
      <c r="O331" s="1529" t="n">
        <v>0</v>
      </c>
      <c r="T331" s="1528" t="n">
        <v>392</v>
      </c>
      <c r="U331" s="1528" t="s">
        <v>1377</v>
      </c>
      <c r="V331" s="1515" t="str">
        <f aca="false">MID(E331,LEN(E331),1)</f>
        <v>0</v>
      </c>
      <c r="W331" s="1515" t="s">
        <v>1359</v>
      </c>
    </row>
    <row r="332" s="1515" customFormat="true" ht="14.25" hidden="false" customHeight="false" outlineLevel="0" collapsed="false">
      <c r="B332" s="1515" t="n">
        <v>2025</v>
      </c>
      <c r="C332" s="1529" t="n">
        <v>393</v>
      </c>
      <c r="D332" s="359" t="n">
        <v>0</v>
      </c>
      <c r="E332" s="1524" t="n">
        <f aca="false">CONCATENATE(C332,IF(O332=19,9,IF(O332=6,6,IF(O332=4,4,0))))+0</f>
        <v>3930</v>
      </c>
      <c r="F332" s="1530" t="s">
        <v>1378</v>
      </c>
      <c r="G332" s="1530"/>
      <c r="H332" s="1529" t="n">
        <v>114.19</v>
      </c>
      <c r="I332" s="1529" t="n">
        <v>240.4</v>
      </c>
      <c r="J332" s="1529" t="n">
        <v>365.73</v>
      </c>
      <c r="K332" s="1529" t="n">
        <v>700</v>
      </c>
      <c r="L332" s="1526" t="n">
        <v>0.00465</v>
      </c>
      <c r="M332" s="1526" t="n">
        <v>0.0098</v>
      </c>
      <c r="N332" s="1531" t="n">
        <v>1</v>
      </c>
      <c r="O332" s="1529" t="n">
        <v>0</v>
      </c>
      <c r="T332" s="1528" t="n">
        <v>393</v>
      </c>
      <c r="U332" s="1528" t="s">
        <v>1378</v>
      </c>
      <c r="V332" s="1515" t="str">
        <f aca="false">MID(E332,LEN(E332),1)</f>
        <v>0</v>
      </c>
      <c r="W332" s="1515" t="s">
        <v>1360</v>
      </c>
    </row>
    <row r="333" s="1515" customFormat="true" ht="14.25" hidden="false" customHeight="false" outlineLevel="0" collapsed="false">
      <c r="B333" s="1515" t="n">
        <v>2025</v>
      </c>
      <c r="C333" s="1529" t="n">
        <v>394</v>
      </c>
      <c r="D333" s="359" t="n">
        <v>0</v>
      </c>
      <c r="E333" s="1524" t="n">
        <f aca="false">CONCATENATE(C333,IF(O333=19,9,IF(O333=6,6,IF(O333=4,4,0))))+0</f>
        <v>3940</v>
      </c>
      <c r="F333" s="1530" t="s">
        <v>1379</v>
      </c>
      <c r="G333" s="1530"/>
      <c r="H333" s="1529" t="n">
        <v>114.19</v>
      </c>
      <c r="I333" s="1529" t="n">
        <v>240.4</v>
      </c>
      <c r="J333" s="1529" t="n">
        <v>365.73</v>
      </c>
      <c r="K333" s="1529" t="n">
        <v>700</v>
      </c>
      <c r="L333" s="1526" t="n">
        <v>0.00465</v>
      </c>
      <c r="M333" s="1526" t="n">
        <v>0.0098</v>
      </c>
      <c r="N333" s="1531" t="n">
        <v>1</v>
      </c>
      <c r="O333" s="1529" t="n">
        <v>0</v>
      </c>
      <c r="T333" s="1528" t="n">
        <v>394</v>
      </c>
      <c r="U333" s="1528" t="s">
        <v>1379</v>
      </c>
      <c r="V333" s="1515" t="str">
        <f aca="false">MID(E333,LEN(E333),1)</f>
        <v>0</v>
      </c>
      <c r="W333" s="1515" t="s">
        <v>1361</v>
      </c>
    </row>
    <row r="334" s="1515" customFormat="true" ht="14.25" hidden="false" customHeight="false" outlineLevel="0" collapsed="false">
      <c r="B334" s="1515" t="n">
        <v>2025</v>
      </c>
      <c r="C334" s="1529" t="n">
        <v>395</v>
      </c>
      <c r="D334" s="359" t="n">
        <v>0</v>
      </c>
      <c r="E334" s="1524" t="n">
        <f aca="false">CONCATENATE(C334,IF(O334=19,9,IF(O334=6,6,IF(O334=4,4,0))))+0</f>
        <v>3950</v>
      </c>
      <c r="F334" s="1530" t="s">
        <v>1380</v>
      </c>
      <c r="G334" s="1530"/>
      <c r="H334" s="1529" t="n">
        <v>114.19</v>
      </c>
      <c r="I334" s="1529" t="n">
        <v>240.4</v>
      </c>
      <c r="J334" s="1529" t="n">
        <v>365.73</v>
      </c>
      <c r="K334" s="1529" t="n">
        <v>600</v>
      </c>
      <c r="L334" s="1526" t="n">
        <v>0.00465</v>
      </c>
      <c r="M334" s="1526" t="n">
        <v>0.0098</v>
      </c>
      <c r="N334" s="1531" t="n">
        <v>1</v>
      </c>
      <c r="O334" s="1529" t="n">
        <v>0</v>
      </c>
      <c r="T334" s="1528" t="n">
        <v>395</v>
      </c>
      <c r="U334" s="1528" t="s">
        <v>1380</v>
      </c>
      <c r="V334" s="1515" t="str">
        <f aca="false">MID(E334,LEN(E334),1)</f>
        <v>0</v>
      </c>
      <c r="W334" s="1515" t="s">
        <v>1362</v>
      </c>
    </row>
    <row r="335" s="1515" customFormat="true" ht="14.25" hidden="false" customHeight="false" outlineLevel="0" collapsed="false">
      <c r="B335" s="1515" t="n">
        <v>2025</v>
      </c>
      <c r="C335" s="1529" t="n">
        <v>397</v>
      </c>
      <c r="D335" s="359" t="n">
        <v>0</v>
      </c>
      <c r="E335" s="1524" t="n">
        <f aca="false">CONCATENATE(C335,IF(O335=19,9,IF(O335=6,6,IF(O335=4,4,0))))+0</f>
        <v>3970</v>
      </c>
      <c r="F335" s="1530" t="s">
        <v>1381</v>
      </c>
      <c r="G335" s="1530"/>
      <c r="H335" s="1529" t="n">
        <v>114.19</v>
      </c>
      <c r="I335" s="1529" t="n">
        <v>240.4</v>
      </c>
      <c r="J335" s="1529" t="n">
        <v>350</v>
      </c>
      <c r="K335" s="1529" t="n">
        <v>750</v>
      </c>
      <c r="L335" s="1526" t="n">
        <v>0.00465</v>
      </c>
      <c r="M335" s="1526" t="n">
        <v>0.0098</v>
      </c>
      <c r="N335" s="1531" t="n">
        <v>1</v>
      </c>
      <c r="O335" s="1529" t="n">
        <v>0</v>
      </c>
      <c r="T335" s="1528" t="n">
        <v>397</v>
      </c>
      <c r="U335" s="1528" t="s">
        <v>1381</v>
      </c>
      <c r="V335" s="1515" t="str">
        <f aca="false">MID(E335,LEN(E335),1)</f>
        <v>0</v>
      </c>
      <c r="W335" s="1515" t="s">
        <v>1363</v>
      </c>
    </row>
    <row r="336" s="1515" customFormat="true" ht="14.25" hidden="false" customHeight="false" outlineLevel="0" collapsed="false">
      <c r="B336" s="1515" t="n">
        <v>2025</v>
      </c>
      <c r="C336" s="1529" t="n">
        <v>398</v>
      </c>
      <c r="D336" s="359" t="n">
        <v>0</v>
      </c>
      <c r="E336" s="1524" t="n">
        <f aca="false">CONCATENATE(C336,IF(O336=19,9,IF(O336=6,6,IF(O336=4,4,0))))+0</f>
        <v>3980</v>
      </c>
      <c r="F336" s="1530" t="s">
        <v>1382</v>
      </c>
      <c r="G336" s="1530"/>
      <c r="H336" s="1529" t="n">
        <v>270.46</v>
      </c>
      <c r="I336" s="1529" t="n">
        <v>330.56</v>
      </c>
      <c r="J336" s="1529" t="n">
        <v>270.46</v>
      </c>
      <c r="K336" s="1529" t="n">
        <v>600</v>
      </c>
      <c r="L336" s="1526" t="n">
        <v>0.01102</v>
      </c>
      <c r="M336" s="1526" t="n">
        <v>0.01347</v>
      </c>
      <c r="N336" s="1531" t="n">
        <v>1</v>
      </c>
      <c r="O336" s="1529" t="n">
        <v>0</v>
      </c>
      <c r="T336" s="1528" t="n">
        <v>398</v>
      </c>
      <c r="U336" s="1528" t="s">
        <v>1382</v>
      </c>
      <c r="V336" s="1515" t="str">
        <f aca="false">MID(E336,LEN(E336),1)</f>
        <v>0</v>
      </c>
      <c r="W336" s="1515" t="s">
        <v>1364</v>
      </c>
    </row>
    <row r="337" s="1515" customFormat="true" ht="14.25" hidden="false" customHeight="false" outlineLevel="0" collapsed="false">
      <c r="B337" s="1515" t="n">
        <v>2025</v>
      </c>
      <c r="C337" s="1529" t="n">
        <v>401</v>
      </c>
      <c r="D337" s="359" t="n">
        <v>0</v>
      </c>
      <c r="E337" s="1524" t="n">
        <f aca="false">CONCATENATE(C337,IF(O337=19,9,IF(O337=6,6,IF(O337=4,4,0))))+0</f>
        <v>4010</v>
      </c>
      <c r="F337" s="1530" t="s">
        <v>1383</v>
      </c>
      <c r="G337" s="1530"/>
      <c r="H337" s="1529" t="n">
        <v>360.61</v>
      </c>
      <c r="I337" s="1529" t="n">
        <v>1352.28</v>
      </c>
      <c r="J337" s="1529" t="n">
        <v>575</v>
      </c>
      <c r="K337" s="1529" t="n">
        <v>5200</v>
      </c>
      <c r="L337" s="1526" t="n">
        <v>0.0147</v>
      </c>
      <c r="M337" s="1526" t="n">
        <v>0.05512</v>
      </c>
      <c r="N337" s="1531" t="n">
        <v>1</v>
      </c>
      <c r="O337" s="1529" t="n">
        <v>0</v>
      </c>
      <c r="T337" s="1528" t="n">
        <v>401</v>
      </c>
      <c r="U337" s="1528" t="s">
        <v>1383</v>
      </c>
      <c r="V337" s="1515" t="str">
        <f aca="false">MID(E337,LEN(E337),1)</f>
        <v>0</v>
      </c>
      <c r="W337" s="1515" t="s">
        <v>1365</v>
      </c>
    </row>
    <row r="338" s="1515" customFormat="true" ht="14.25" hidden="false" customHeight="false" outlineLevel="0" collapsed="false">
      <c r="B338" s="1515" t="n">
        <v>2025</v>
      </c>
      <c r="C338" s="1529" t="n">
        <v>417</v>
      </c>
      <c r="D338" s="359" t="n">
        <v>0</v>
      </c>
      <c r="E338" s="1524" t="n">
        <f aca="false">CONCATENATE(C338,IF(O338=19,9,IF(O338=6,6,IF(O338=4,4,0))))+0</f>
        <v>4170</v>
      </c>
      <c r="F338" s="1530" t="s">
        <v>1384</v>
      </c>
      <c r="G338" s="1530"/>
      <c r="H338" s="1529" t="n">
        <v>360.61</v>
      </c>
      <c r="I338" s="1529" t="n">
        <v>1352.28</v>
      </c>
      <c r="J338" s="1529" t="n">
        <v>575</v>
      </c>
      <c r="K338" s="1529" t="n">
        <v>5200</v>
      </c>
      <c r="L338" s="1526" t="n">
        <v>0.0147</v>
      </c>
      <c r="M338" s="1526" t="n">
        <v>0.05512</v>
      </c>
      <c r="N338" s="1531" t="n">
        <v>4</v>
      </c>
      <c r="O338" s="1529" t="n">
        <v>0</v>
      </c>
      <c r="T338" s="1528" t="n">
        <v>417</v>
      </c>
      <c r="U338" s="1528" t="s">
        <v>1384</v>
      </c>
      <c r="V338" s="1515" t="str">
        <f aca="false">MID(E338,LEN(E338),1)</f>
        <v>0</v>
      </c>
      <c r="W338" s="1515" t="s">
        <v>1366</v>
      </c>
    </row>
    <row r="339" s="1515" customFormat="true" ht="14.25" hidden="false" customHeight="false" outlineLevel="0" collapsed="false">
      <c r="B339" s="1515" t="n">
        <v>2025</v>
      </c>
      <c r="C339" s="1529" t="n">
        <v>420</v>
      </c>
      <c r="D339" s="359" t="n">
        <v>0</v>
      </c>
      <c r="E339" s="1524" t="n">
        <f aca="false">CONCATENATE(C339,IF(O339=19,9,IF(O339=6,6,IF(O339=4,4,0))))+0</f>
        <v>4200</v>
      </c>
      <c r="F339" s="1530" t="s">
        <v>1385</v>
      </c>
      <c r="G339" s="1530"/>
      <c r="H339" s="1529" t="n">
        <v>360.61</v>
      </c>
      <c r="I339" s="1529" t="n">
        <v>1352.28</v>
      </c>
      <c r="J339" s="1529" t="n">
        <v>575</v>
      </c>
      <c r="K339" s="1529" t="n">
        <v>5200</v>
      </c>
      <c r="L339" s="1526" t="n">
        <v>0.0147</v>
      </c>
      <c r="M339" s="1526" t="n">
        <v>0.05512</v>
      </c>
      <c r="N339" s="1531" t="n">
        <v>4</v>
      </c>
      <c r="O339" s="1529" t="n">
        <v>0</v>
      </c>
      <c r="T339" s="1528" t="n">
        <v>420</v>
      </c>
      <c r="U339" s="1528" t="s">
        <v>1385</v>
      </c>
      <c r="V339" s="1515" t="str">
        <f aca="false">MID(E339,LEN(E339),1)</f>
        <v>0</v>
      </c>
      <c r="W339" s="1515" t="s">
        <v>1367</v>
      </c>
    </row>
    <row r="340" s="1515" customFormat="true" ht="14.25" hidden="false" customHeight="false" outlineLevel="0" collapsed="false">
      <c r="B340" s="1515" t="n">
        <v>2025</v>
      </c>
      <c r="C340" s="1529" t="n">
        <v>427</v>
      </c>
      <c r="D340" s="359" t="n">
        <v>0</v>
      </c>
      <c r="E340" s="1524" t="n">
        <f aca="false">CONCATENATE(C340,IF(O340=19,9,IF(O340=6,6,IF(O340=4,4,0))))+0</f>
        <v>4270</v>
      </c>
      <c r="F340" s="1530" t="s">
        <v>1386</v>
      </c>
      <c r="G340" s="1530"/>
      <c r="H340" s="1529" t="n">
        <v>114.19</v>
      </c>
      <c r="I340" s="1529" t="n">
        <v>240.4</v>
      </c>
      <c r="J340" s="1529" t="n">
        <v>1000</v>
      </c>
      <c r="K340" s="1529" t="n">
        <v>3800</v>
      </c>
      <c r="L340" s="1526" t="n">
        <v>0.00465</v>
      </c>
      <c r="M340" s="1526" t="n">
        <v>0.0098</v>
      </c>
      <c r="N340" s="1531" t="n">
        <v>4</v>
      </c>
      <c r="O340" s="1529" t="n">
        <v>0</v>
      </c>
      <c r="T340" s="1528" t="n">
        <v>427</v>
      </c>
      <c r="U340" s="1528" t="s">
        <v>1386</v>
      </c>
      <c r="V340" s="1515" t="str">
        <f aca="false">MID(E340,LEN(E340),1)</f>
        <v>0</v>
      </c>
      <c r="W340" s="1515" t="s">
        <v>1368</v>
      </c>
    </row>
    <row r="341" s="1515" customFormat="true" ht="14.25" hidden="false" customHeight="false" outlineLevel="0" collapsed="false">
      <c r="B341" s="1515" t="n">
        <v>2025</v>
      </c>
      <c r="C341" s="1529" t="n">
        <v>428</v>
      </c>
      <c r="D341" s="359" t="n">
        <v>0</v>
      </c>
      <c r="E341" s="1524" t="n">
        <f aca="false">CONCATENATE(C341,IF(O341=19,9,IF(O341=6,6,IF(O341=4,4,0))))+0</f>
        <v>4280</v>
      </c>
      <c r="F341" s="1530" t="s">
        <v>1387</v>
      </c>
      <c r="G341" s="1530"/>
      <c r="H341" s="1529" t="n">
        <v>114.19</v>
      </c>
      <c r="I341" s="1529" t="n">
        <v>240.4</v>
      </c>
      <c r="J341" s="1529" t="n">
        <v>350</v>
      </c>
      <c r="K341" s="1529" t="n">
        <v>750</v>
      </c>
      <c r="L341" s="1526" t="n">
        <v>0.00465</v>
      </c>
      <c r="M341" s="1526" t="n">
        <v>0.0098</v>
      </c>
      <c r="N341" s="1531" t="n">
        <v>4</v>
      </c>
      <c r="O341" s="1529" t="n">
        <v>0</v>
      </c>
      <c r="T341" s="1528" t="n">
        <v>428</v>
      </c>
      <c r="U341" s="1528" t="s">
        <v>1387</v>
      </c>
      <c r="V341" s="1515" t="str">
        <f aca="false">MID(E341,LEN(E341),1)</f>
        <v>0</v>
      </c>
      <c r="W341" s="1515" t="s">
        <v>1369</v>
      </c>
    </row>
    <row r="342" s="1515" customFormat="true" ht="14.25" hidden="false" customHeight="false" outlineLevel="0" collapsed="false">
      <c r="B342" s="1515" t="n">
        <v>2025</v>
      </c>
      <c r="C342" s="1529" t="n">
        <v>445</v>
      </c>
      <c r="D342" s="359" t="n">
        <v>0</v>
      </c>
      <c r="E342" s="1524" t="n">
        <f aca="false">CONCATENATE(C342,IF(O342=19,9,IF(O342=6,6,IF(O342=4,4,0))))+0</f>
        <v>4450</v>
      </c>
      <c r="F342" s="1530" t="s">
        <v>1388</v>
      </c>
      <c r="G342" s="1530"/>
      <c r="H342" s="1529" t="n">
        <v>360.61</v>
      </c>
      <c r="I342" s="1529" t="n">
        <v>1352.28</v>
      </c>
      <c r="J342" s="1529" t="n">
        <v>575</v>
      </c>
      <c r="K342" s="1529" t="n">
        <v>5200</v>
      </c>
      <c r="L342" s="1526" t="n">
        <v>0.0147</v>
      </c>
      <c r="M342" s="1526" t="n">
        <v>0.05512</v>
      </c>
      <c r="N342" s="1531" t="n">
        <v>4</v>
      </c>
      <c r="O342" s="1529" t="n">
        <v>0</v>
      </c>
      <c r="T342" s="1528" t="n">
        <v>445</v>
      </c>
      <c r="U342" s="1528" t="s">
        <v>1388</v>
      </c>
      <c r="V342" s="1515" t="str">
        <f aca="false">MID(E342,LEN(E342),1)</f>
        <v>0</v>
      </c>
      <c r="W342" s="1515" t="s">
        <v>1370</v>
      </c>
    </row>
    <row r="343" s="1515" customFormat="true" ht="14.25" hidden="false" customHeight="false" outlineLevel="0" collapsed="false">
      <c r="B343" s="1515" t="n">
        <v>2025</v>
      </c>
      <c r="C343" s="1529" t="n">
        <v>447</v>
      </c>
      <c r="D343" s="359" t="n">
        <v>0</v>
      </c>
      <c r="E343" s="1524" t="n">
        <f aca="false">CONCATENATE(C343,IF(O343=19,9,IF(O343=6,6,IF(O343=4,4,0))))+0</f>
        <v>4470</v>
      </c>
      <c r="F343" s="1530" t="s">
        <v>1389</v>
      </c>
      <c r="G343" s="1530"/>
      <c r="H343" s="1529" t="n">
        <v>114.19</v>
      </c>
      <c r="I343" s="1529" t="n">
        <v>240.4</v>
      </c>
      <c r="J343" s="1529" t="n">
        <v>400</v>
      </c>
      <c r="K343" s="1529" t="n">
        <v>1000</v>
      </c>
      <c r="L343" s="1526" t="n">
        <v>0.00465</v>
      </c>
      <c r="M343" s="1526" t="n">
        <v>0.0098</v>
      </c>
      <c r="N343" s="1531" t="n">
        <v>1</v>
      </c>
      <c r="O343" s="1529" t="n">
        <v>0</v>
      </c>
      <c r="T343" s="1528" t="n">
        <v>447</v>
      </c>
      <c r="U343" s="1528" t="s">
        <v>1389</v>
      </c>
      <c r="V343" s="1515" t="str">
        <f aca="false">MID(E343,LEN(E343),1)</f>
        <v>0</v>
      </c>
      <c r="W343" s="1515" t="s">
        <v>1371</v>
      </c>
    </row>
    <row r="344" s="1515" customFormat="true" ht="14.25" hidden="false" customHeight="false" outlineLevel="0" collapsed="false">
      <c r="B344" s="1515" t="n">
        <v>2025</v>
      </c>
      <c r="C344" s="1529" t="n">
        <v>448</v>
      </c>
      <c r="D344" s="359" t="n">
        <v>0</v>
      </c>
      <c r="E344" s="1524" t="n">
        <f aca="false">CONCATENATE(C344,IF(O344=19,9,IF(O344=6,6,IF(O344=4,4,0))))+0</f>
        <v>4480</v>
      </c>
      <c r="F344" s="1530" t="s">
        <v>1390</v>
      </c>
      <c r="G344" s="1530"/>
      <c r="H344" s="1529" t="n">
        <v>114.19</v>
      </c>
      <c r="I344" s="1529" t="n">
        <v>240.4</v>
      </c>
      <c r="J344" s="1529" t="n">
        <v>400</v>
      </c>
      <c r="K344" s="1529" t="n">
        <v>1000</v>
      </c>
      <c r="L344" s="1526" t="n">
        <v>0.00465</v>
      </c>
      <c r="M344" s="1526" t="n">
        <v>0.0098</v>
      </c>
      <c r="N344" s="1531" t="n">
        <v>1</v>
      </c>
      <c r="O344" s="1529" t="n">
        <v>0</v>
      </c>
      <c r="T344" s="1528" t="n">
        <v>448</v>
      </c>
      <c r="U344" s="1528" t="s">
        <v>1390</v>
      </c>
      <c r="V344" s="1515" t="str">
        <f aca="false">MID(E344,LEN(E344),1)</f>
        <v>0</v>
      </c>
      <c r="W344" s="1515" t="s">
        <v>1372</v>
      </c>
    </row>
    <row r="345" s="1515" customFormat="true" ht="14.25" hidden="false" customHeight="false" outlineLevel="0" collapsed="false">
      <c r="B345" s="1515" t="n">
        <v>2025</v>
      </c>
      <c r="C345" s="1529" t="n">
        <v>449</v>
      </c>
      <c r="D345" s="359" t="n">
        <v>0</v>
      </c>
      <c r="E345" s="1524" t="n">
        <f aca="false">CONCATENATE(C345,IF(O345=19,9,IF(O345=6,6,IF(O345=4,4,0))))+0</f>
        <v>4490</v>
      </c>
      <c r="F345" s="1530" t="s">
        <v>1391</v>
      </c>
      <c r="G345" s="1530"/>
      <c r="H345" s="1529" t="n">
        <v>114.19</v>
      </c>
      <c r="I345" s="1529" t="n">
        <v>240.4</v>
      </c>
      <c r="J345" s="1529" t="n">
        <v>400</v>
      </c>
      <c r="K345" s="1529" t="n">
        <v>1000</v>
      </c>
      <c r="L345" s="1526" t="n">
        <v>0.00465</v>
      </c>
      <c r="M345" s="1526" t="n">
        <v>0.0098</v>
      </c>
      <c r="N345" s="1531" t="n">
        <v>1</v>
      </c>
      <c r="O345" s="1529" t="n">
        <v>0</v>
      </c>
      <c r="T345" s="1528" t="n">
        <v>449</v>
      </c>
      <c r="U345" s="1528" t="s">
        <v>1391</v>
      </c>
      <c r="V345" s="1515" t="str">
        <f aca="false">MID(E345,LEN(E345),1)</f>
        <v>0</v>
      </c>
      <c r="W345" s="1515" t="s">
        <v>1373</v>
      </c>
    </row>
    <row r="346" s="1515" customFormat="true" ht="14.25" hidden="false" customHeight="false" outlineLevel="0" collapsed="false">
      <c r="B346" s="1515" t="n">
        <v>2025</v>
      </c>
      <c r="C346" s="1529" t="n">
        <v>450</v>
      </c>
      <c r="D346" s="359" t="n">
        <v>0</v>
      </c>
      <c r="E346" s="1524" t="n">
        <f aca="false">CONCATENATE(C346,IF(O346=19,9,IF(O346=6,6,IF(O346=4,4,0))))+0</f>
        <v>4500</v>
      </c>
      <c r="F346" s="1530" t="s">
        <v>1392</v>
      </c>
      <c r="G346" s="1530"/>
      <c r="H346" s="1529" t="n">
        <v>114.19</v>
      </c>
      <c r="I346" s="1529" t="n">
        <v>240.4</v>
      </c>
      <c r="J346" s="1529" t="n">
        <v>400</v>
      </c>
      <c r="K346" s="1529" t="n">
        <v>1000</v>
      </c>
      <c r="L346" s="1526" t="n">
        <v>0.00465</v>
      </c>
      <c r="M346" s="1526" t="n">
        <v>0.0098</v>
      </c>
      <c r="N346" s="1531" t="n">
        <v>1</v>
      </c>
      <c r="O346" s="1529" t="n">
        <v>0</v>
      </c>
      <c r="T346" s="1528" t="n">
        <v>450</v>
      </c>
      <c r="U346" s="1528" t="s">
        <v>1392</v>
      </c>
      <c r="V346" s="1515" t="str">
        <f aca="false">MID(E346,LEN(E346),1)</f>
        <v>0</v>
      </c>
      <c r="W346" s="1515" t="s">
        <v>1374</v>
      </c>
    </row>
    <row r="347" s="1515" customFormat="true" ht="14.25" hidden="false" customHeight="false" outlineLevel="0" collapsed="false">
      <c r="B347" s="1515" t="n">
        <v>2025</v>
      </c>
      <c r="C347" s="1529" t="n">
        <v>451</v>
      </c>
      <c r="D347" s="359" t="n">
        <v>0</v>
      </c>
      <c r="E347" s="1524" t="n">
        <f aca="false">CONCATENATE(C347,IF(O347=19,9,IF(O347=6,6,IF(O347=4,4,0))))+0</f>
        <v>4510</v>
      </c>
      <c r="F347" s="1530" t="s">
        <v>1393</v>
      </c>
      <c r="G347" s="1530"/>
      <c r="H347" s="1529" t="n">
        <v>114.19</v>
      </c>
      <c r="I347" s="1529" t="n">
        <v>240.4</v>
      </c>
      <c r="J347" s="1529" t="n">
        <v>400</v>
      </c>
      <c r="K347" s="1529" t="n">
        <v>1000</v>
      </c>
      <c r="L347" s="1526" t="n">
        <v>0.00465</v>
      </c>
      <c r="M347" s="1526" t="n">
        <v>0.0098</v>
      </c>
      <c r="N347" s="1531" t="n">
        <v>1</v>
      </c>
      <c r="O347" s="1529" t="n">
        <v>0</v>
      </c>
      <c r="T347" s="1528" t="n">
        <v>451</v>
      </c>
      <c r="U347" s="1528" t="s">
        <v>1393</v>
      </c>
      <c r="V347" s="1515" t="str">
        <f aca="false">MID(E347,LEN(E347),1)</f>
        <v>0</v>
      </c>
      <c r="W347" s="1515" t="s">
        <v>1375</v>
      </c>
    </row>
    <row r="348" s="1515" customFormat="true" ht="14.25" hidden="false" customHeight="false" outlineLevel="0" collapsed="false">
      <c r="B348" s="1515" t="n">
        <v>2025</v>
      </c>
      <c r="C348" s="1529" t="n">
        <v>452</v>
      </c>
      <c r="D348" s="359" t="n">
        <v>0</v>
      </c>
      <c r="E348" s="1524" t="n">
        <f aca="false">CONCATENATE(C348,IF(O348=19,9,IF(O348=6,6,IF(O348=4,4,0))))+0</f>
        <v>4520</v>
      </c>
      <c r="F348" s="1530" t="s">
        <v>1394</v>
      </c>
      <c r="G348" s="1530"/>
      <c r="H348" s="1529" t="n">
        <v>114.19</v>
      </c>
      <c r="I348" s="1529" t="n">
        <v>240.4</v>
      </c>
      <c r="J348" s="1529" t="n">
        <v>400</v>
      </c>
      <c r="K348" s="1529" t="n">
        <v>1000</v>
      </c>
      <c r="L348" s="1526" t="n">
        <v>0.00465</v>
      </c>
      <c r="M348" s="1526" t="n">
        <v>0.0098</v>
      </c>
      <c r="N348" s="1531" t="n">
        <v>1</v>
      </c>
      <c r="O348" s="1529" t="n">
        <v>0</v>
      </c>
      <c r="T348" s="1528" t="n">
        <v>452</v>
      </c>
      <c r="U348" s="1528" t="s">
        <v>1394</v>
      </c>
    </row>
    <row r="349" s="1515" customFormat="true" ht="14.25" hidden="false" customHeight="false" outlineLevel="0" collapsed="false">
      <c r="B349" s="1515" t="n">
        <v>2025</v>
      </c>
      <c r="C349" s="1529" t="n">
        <v>453</v>
      </c>
      <c r="D349" s="359" t="n">
        <v>0</v>
      </c>
      <c r="E349" s="1524" t="n">
        <f aca="false">CONCATENATE(C349,IF(O349=19,9,IF(O349=6,6,IF(O349=4,4,0))))+0</f>
        <v>4530</v>
      </c>
      <c r="F349" s="1530" t="s">
        <v>1395</v>
      </c>
      <c r="G349" s="1530"/>
      <c r="H349" s="1529" t="n">
        <v>114.19</v>
      </c>
      <c r="I349" s="1529" t="n">
        <v>240.4</v>
      </c>
      <c r="J349" s="1529" t="n">
        <v>400</v>
      </c>
      <c r="K349" s="1529" t="n">
        <v>1000</v>
      </c>
      <c r="L349" s="1526" t="n">
        <v>0.00465</v>
      </c>
      <c r="M349" s="1526" t="n">
        <v>0.0098</v>
      </c>
      <c r="N349" s="1531" t="n">
        <v>1</v>
      </c>
      <c r="O349" s="1529" t="n">
        <v>0</v>
      </c>
      <c r="T349" s="1528" t="n">
        <v>453</v>
      </c>
      <c r="U349" s="1528" t="s">
        <v>1395</v>
      </c>
    </row>
    <row r="350" s="1515" customFormat="true" ht="14.25" hidden="false" customHeight="false" outlineLevel="0" collapsed="false">
      <c r="B350" s="1515" t="n">
        <v>2025</v>
      </c>
      <c r="C350" s="1529" t="n">
        <v>454</v>
      </c>
      <c r="D350" s="359" t="n">
        <v>0</v>
      </c>
      <c r="E350" s="1524" t="n">
        <f aca="false">CONCATENATE(C350,IF(O350=19,9,IF(O350=6,6,IF(O350=4,4,0))))+0</f>
        <v>4540</v>
      </c>
      <c r="F350" s="1530" t="s">
        <v>1396</v>
      </c>
      <c r="G350" s="1530"/>
      <c r="H350" s="1529" t="n">
        <v>114.19</v>
      </c>
      <c r="I350" s="1529" t="n">
        <v>240.4</v>
      </c>
      <c r="J350" s="1529" t="n">
        <v>400</v>
      </c>
      <c r="K350" s="1529" t="n">
        <v>1000</v>
      </c>
      <c r="L350" s="1526" t="n">
        <v>0.00465</v>
      </c>
      <c r="M350" s="1526" t="n">
        <v>0.0098</v>
      </c>
      <c r="N350" s="1531" t="n">
        <v>1</v>
      </c>
      <c r="O350" s="1529" t="n">
        <v>0</v>
      </c>
      <c r="T350" s="1528" t="n">
        <v>454</v>
      </c>
      <c r="U350" s="1528" t="s">
        <v>1396</v>
      </c>
      <c r="V350" s="1515" t="str">
        <f aca="false">MID(E350,LEN(E350),1)</f>
        <v>0</v>
      </c>
      <c r="W350" s="1515" t="s">
        <v>1376</v>
      </c>
    </row>
    <row r="351" s="1515" customFormat="true" ht="14.25" hidden="false" customHeight="false" outlineLevel="0" collapsed="false">
      <c r="B351" s="1515" t="n">
        <v>2025</v>
      </c>
      <c r="C351" s="1529" t="n">
        <v>455</v>
      </c>
      <c r="D351" s="359" t="n">
        <v>0</v>
      </c>
      <c r="E351" s="1524" t="n">
        <f aca="false">CONCATENATE(C351,IF(O351=19,9,IF(O351=6,6,IF(O351=4,4,0))))+0</f>
        <v>4550</v>
      </c>
      <c r="F351" s="1530" t="s">
        <v>1397</v>
      </c>
      <c r="G351" s="1530"/>
      <c r="H351" s="1529" t="n">
        <v>114.19</v>
      </c>
      <c r="I351" s="1529" t="n">
        <v>240.4</v>
      </c>
      <c r="J351" s="1529" t="n">
        <v>400</v>
      </c>
      <c r="K351" s="1529" t="n">
        <v>1000</v>
      </c>
      <c r="L351" s="1526" t="n">
        <v>0.00465</v>
      </c>
      <c r="M351" s="1526" t="n">
        <v>0.0098</v>
      </c>
      <c r="N351" s="1531" t="n">
        <v>1</v>
      </c>
      <c r="O351" s="1529" t="n">
        <v>0</v>
      </c>
      <c r="T351" s="1528" t="n">
        <v>455</v>
      </c>
      <c r="U351" s="1528" t="s">
        <v>1397</v>
      </c>
      <c r="V351" s="1515" t="str">
        <f aca="false">MID(E351,LEN(E351),1)</f>
        <v>0</v>
      </c>
      <c r="W351" s="1515" t="s">
        <v>1377</v>
      </c>
    </row>
    <row r="352" s="1515" customFormat="true" ht="14.25" hidden="false" customHeight="false" outlineLevel="0" collapsed="false">
      <c r="B352" s="1515" t="n">
        <v>2025</v>
      </c>
      <c r="C352" s="1529" t="n">
        <v>456</v>
      </c>
      <c r="D352" s="359" t="n">
        <v>0</v>
      </c>
      <c r="E352" s="1524" t="n">
        <f aca="false">CONCATENATE(C352,IF(O352=19,9,IF(O352=6,6,IF(O352=4,4,0))))+0</f>
        <v>4560</v>
      </c>
      <c r="F352" s="1530" t="s">
        <v>1398</v>
      </c>
      <c r="G352" s="1530"/>
      <c r="H352" s="1529" t="n">
        <v>114.19</v>
      </c>
      <c r="I352" s="1529" t="n">
        <v>240.4</v>
      </c>
      <c r="J352" s="1529" t="n">
        <v>400</v>
      </c>
      <c r="K352" s="1529" t="n">
        <v>1000</v>
      </c>
      <c r="L352" s="1526" t="n">
        <v>0.00465</v>
      </c>
      <c r="M352" s="1526" t="n">
        <v>0.0098</v>
      </c>
      <c r="N352" s="1531" t="n">
        <v>1</v>
      </c>
      <c r="O352" s="1529" t="n">
        <v>0</v>
      </c>
      <c r="T352" s="1528" t="n">
        <v>456</v>
      </c>
      <c r="U352" s="1528" t="s">
        <v>1398</v>
      </c>
      <c r="V352" s="1515" t="str">
        <f aca="false">MID(E352,LEN(E352),1)</f>
        <v>0</v>
      </c>
      <c r="W352" s="1515" t="s">
        <v>1378</v>
      </c>
    </row>
    <row r="353" s="1515" customFormat="true" ht="14.25" hidden="false" customHeight="false" outlineLevel="0" collapsed="false">
      <c r="B353" s="1515" t="n">
        <v>2025</v>
      </c>
      <c r="C353" s="1529" t="n">
        <v>457</v>
      </c>
      <c r="D353" s="359" t="n">
        <v>0</v>
      </c>
      <c r="E353" s="1524" t="n">
        <f aca="false">CONCATENATE(C353,IF(O353=19,9,IF(O353=6,6,IF(O353=4,4,0))))+0</f>
        <v>4570</v>
      </c>
      <c r="F353" s="1530" t="s">
        <v>1399</v>
      </c>
      <c r="G353" s="1530"/>
      <c r="H353" s="1529" t="n">
        <v>114.19</v>
      </c>
      <c r="I353" s="1529" t="n">
        <v>240.4</v>
      </c>
      <c r="J353" s="1529" t="n">
        <v>400</v>
      </c>
      <c r="K353" s="1529" t="n">
        <v>1000</v>
      </c>
      <c r="L353" s="1526" t="n">
        <v>0.00465</v>
      </c>
      <c r="M353" s="1526" t="n">
        <v>0.0098</v>
      </c>
      <c r="N353" s="1531" t="n">
        <v>1</v>
      </c>
      <c r="O353" s="1529" t="n">
        <v>0</v>
      </c>
      <c r="T353" s="1528" t="n">
        <v>457</v>
      </c>
      <c r="U353" s="1528" t="s">
        <v>1399</v>
      </c>
      <c r="V353" s="1515" t="str">
        <f aca="false">MID(E353,LEN(E353),1)</f>
        <v>0</v>
      </c>
      <c r="W353" s="1515" t="s">
        <v>1379</v>
      </c>
    </row>
    <row r="354" s="1515" customFormat="true" ht="14.25" hidden="false" customHeight="false" outlineLevel="0" collapsed="false">
      <c r="B354" s="1515" t="n">
        <v>2025</v>
      </c>
      <c r="C354" s="1529" t="n">
        <v>460</v>
      </c>
      <c r="D354" s="359" t="n">
        <v>0</v>
      </c>
      <c r="E354" s="1524" t="n">
        <f aca="false">CONCATENATE(C354,IF(O354=19,9,IF(O354=6,6,IF(O354=4,4,0))))+0</f>
        <v>4600</v>
      </c>
      <c r="F354" s="1530" t="s">
        <v>1400</v>
      </c>
      <c r="G354" s="1530"/>
      <c r="H354" s="1529" t="n">
        <v>114.19</v>
      </c>
      <c r="I354" s="1529" t="n">
        <v>240.4</v>
      </c>
      <c r="J354" s="1529" t="n">
        <v>350</v>
      </c>
      <c r="K354" s="1529" t="n">
        <v>750</v>
      </c>
      <c r="L354" s="1526" t="n">
        <v>0.00465</v>
      </c>
      <c r="M354" s="1526" t="n">
        <v>0.0098</v>
      </c>
      <c r="N354" s="1531" t="n">
        <v>1</v>
      </c>
      <c r="O354" s="1529" t="n">
        <v>0</v>
      </c>
      <c r="T354" s="1528" t="n">
        <v>460</v>
      </c>
      <c r="U354" s="1528" t="s">
        <v>1400</v>
      </c>
      <c r="V354" s="1515" t="str">
        <f aca="false">MID(E354,LEN(E354),1)</f>
        <v>0</v>
      </c>
      <c r="W354" s="1515" t="s">
        <v>1380</v>
      </c>
    </row>
    <row r="355" s="1515" customFormat="true" ht="14.25" hidden="false" customHeight="false" outlineLevel="0" collapsed="false">
      <c r="B355" s="1515" t="n">
        <v>2025</v>
      </c>
      <c r="C355" s="1529" t="n">
        <v>461</v>
      </c>
      <c r="D355" s="359" t="n">
        <v>0</v>
      </c>
      <c r="E355" s="1524" t="n">
        <f aca="false">CONCATENATE(C355,IF(O355=19,9,IF(O355=6,6,IF(O355=4,4,0))))+0</f>
        <v>4610</v>
      </c>
      <c r="F355" s="1530" t="s">
        <v>1401</v>
      </c>
      <c r="G355" s="1530"/>
      <c r="H355" s="1529" t="n">
        <v>114.19</v>
      </c>
      <c r="I355" s="1529" t="n">
        <v>270.46</v>
      </c>
      <c r="J355" s="1529" t="n">
        <v>500</v>
      </c>
      <c r="K355" s="1529" t="n">
        <v>1000</v>
      </c>
      <c r="L355" s="1526" t="n">
        <v>0.00465</v>
      </c>
      <c r="M355" s="1526" t="n">
        <v>0.01102</v>
      </c>
      <c r="N355" s="1531" t="n">
        <v>1</v>
      </c>
      <c r="O355" s="1529" t="n">
        <v>0</v>
      </c>
      <c r="T355" s="1528" t="n">
        <v>461</v>
      </c>
      <c r="U355" s="1528" t="s">
        <v>1401</v>
      </c>
      <c r="V355" s="1515" t="str">
        <f aca="false">MID(E355,LEN(E355),1)</f>
        <v>0</v>
      </c>
      <c r="W355" s="1515" t="s">
        <v>1381</v>
      </c>
    </row>
    <row r="356" s="1515" customFormat="true" ht="14.25" hidden="false" customHeight="false" outlineLevel="0" collapsed="false">
      <c r="B356" s="1515" t="n">
        <v>2025</v>
      </c>
      <c r="C356" s="1529" t="n">
        <v>464</v>
      </c>
      <c r="D356" s="359" t="n">
        <v>0</v>
      </c>
      <c r="E356" s="1524" t="n">
        <f aca="false">CONCATENATE(C356,IF(O356=19,9,IF(O356=6,6,IF(O356=4,4,0))))+0</f>
        <v>4640</v>
      </c>
      <c r="F356" s="1530" t="s">
        <v>1402</v>
      </c>
      <c r="G356" s="1530"/>
      <c r="H356" s="1529" t="n">
        <v>360.61</v>
      </c>
      <c r="I356" s="1529" t="n">
        <v>1352.28</v>
      </c>
      <c r="J356" s="1529" t="n">
        <v>575</v>
      </c>
      <c r="K356" s="1529" t="n">
        <v>5200</v>
      </c>
      <c r="L356" s="1526" t="n">
        <v>0.0147</v>
      </c>
      <c r="M356" s="1526" t="n">
        <v>0.05512</v>
      </c>
      <c r="N356" s="1531" t="n">
        <v>4</v>
      </c>
      <c r="O356" s="1529" t="n">
        <v>0</v>
      </c>
      <c r="T356" s="1528" t="n">
        <v>464</v>
      </c>
      <c r="U356" s="1528" t="s">
        <v>1402</v>
      </c>
      <c r="V356" s="1515" t="str">
        <f aca="false">MID(E356,LEN(E356),1)</f>
        <v>0</v>
      </c>
      <c r="W356" s="1515" t="s">
        <v>1382</v>
      </c>
    </row>
    <row r="357" s="1515" customFormat="true" ht="14.25" hidden="false" customHeight="false" outlineLevel="0" collapsed="false">
      <c r="B357" s="1515" t="n">
        <v>2025</v>
      </c>
      <c r="C357" s="1529" t="n">
        <v>465</v>
      </c>
      <c r="D357" s="359" t="n">
        <v>0</v>
      </c>
      <c r="E357" s="1524" t="n">
        <f aca="false">CONCATENATE(C357,IF(O357=19,9,IF(O357=6,6,IF(O357=4,4,0))))+0</f>
        <v>4650</v>
      </c>
      <c r="F357" s="1530" t="s">
        <v>1403</v>
      </c>
      <c r="G357" s="1530"/>
      <c r="H357" s="1529" t="n">
        <v>450.76</v>
      </c>
      <c r="I357" s="1529" t="n">
        <v>1202.02</v>
      </c>
      <c r="J357" s="1529" t="n">
        <v>1739.31</v>
      </c>
      <c r="K357" s="1529" t="n">
        <v>5200</v>
      </c>
      <c r="L357" s="1526" t="n">
        <v>0.01837</v>
      </c>
      <c r="M357" s="1526" t="n">
        <v>0.04899</v>
      </c>
      <c r="N357" s="1531" t="n">
        <v>4</v>
      </c>
      <c r="O357" s="1529" t="n">
        <v>0</v>
      </c>
      <c r="T357" s="1528" t="n">
        <v>465</v>
      </c>
      <c r="U357" s="1528" t="s">
        <v>1403</v>
      </c>
      <c r="V357" s="1515" t="str">
        <f aca="false">MID(E357,LEN(E357),1)</f>
        <v>0</v>
      </c>
      <c r="W357" s="1515" t="s">
        <v>1383</v>
      </c>
    </row>
    <row r="358" s="1515" customFormat="true" ht="14.25" hidden="false" customHeight="false" outlineLevel="0" collapsed="false">
      <c r="B358" s="1515" t="n">
        <v>2025</v>
      </c>
      <c r="C358" s="1529" t="n">
        <v>470</v>
      </c>
      <c r="D358" s="359" t="n">
        <v>0</v>
      </c>
      <c r="E358" s="1524" t="n">
        <f aca="false">CONCATENATE(C358,IF(O358=19,9,IF(O358=6,6,IF(O358=4,4,0))))+0</f>
        <v>4700</v>
      </c>
      <c r="F358" s="1530" t="s">
        <v>1404</v>
      </c>
      <c r="G358" s="1530"/>
      <c r="H358" s="1529" t="n">
        <v>114.19</v>
      </c>
      <c r="I358" s="1529" t="n">
        <v>240.4</v>
      </c>
      <c r="J358" s="1529" t="n">
        <v>350</v>
      </c>
      <c r="K358" s="1529" t="n">
        <v>750</v>
      </c>
      <c r="L358" s="1526" t="n">
        <v>0.00465</v>
      </c>
      <c r="M358" s="1526" t="n">
        <v>0.0098</v>
      </c>
      <c r="N358" s="1531" t="n">
        <v>4</v>
      </c>
      <c r="O358" s="1529" t="n">
        <v>0</v>
      </c>
      <c r="T358" s="1528" t="n">
        <v>470</v>
      </c>
      <c r="U358" s="1528" t="s">
        <v>1404</v>
      </c>
    </row>
    <row r="359" s="1515" customFormat="true" ht="14.25" hidden="false" customHeight="false" outlineLevel="0" collapsed="false">
      <c r="B359" s="1515" t="n">
        <v>2025</v>
      </c>
      <c r="C359" s="1529" t="n">
        <v>478</v>
      </c>
      <c r="D359" s="359" t="n">
        <v>0</v>
      </c>
      <c r="E359" s="1524" t="n">
        <f aca="false">CONCATENATE(C359,IF(O359=19,9,IF(O359=6,6,IF(O359=4,4,0))))+0</f>
        <v>4780</v>
      </c>
      <c r="F359" s="1530" t="s">
        <v>1405</v>
      </c>
      <c r="G359" s="1530"/>
      <c r="H359" s="1529" t="n">
        <v>360.61</v>
      </c>
      <c r="I359" s="1529" t="n">
        <v>1352.28</v>
      </c>
      <c r="J359" s="1529" t="n">
        <v>575</v>
      </c>
      <c r="K359" s="1529" t="n">
        <v>5200</v>
      </c>
      <c r="L359" s="1526" t="n">
        <v>0.0147</v>
      </c>
      <c r="M359" s="1526" t="n">
        <v>0.05512</v>
      </c>
      <c r="N359" s="1531" t="n">
        <v>4</v>
      </c>
      <c r="O359" s="1529" t="n">
        <v>0</v>
      </c>
      <c r="T359" s="1528" t="n">
        <v>478</v>
      </c>
      <c r="U359" s="1528" t="s">
        <v>1405</v>
      </c>
    </row>
    <row r="360" s="1515" customFormat="true" ht="14.25" hidden="false" customHeight="false" outlineLevel="0" collapsed="false">
      <c r="B360" s="1515" t="n">
        <v>2025</v>
      </c>
      <c r="C360" s="1529" t="n">
        <v>483</v>
      </c>
      <c r="D360" s="359" t="n">
        <v>0</v>
      </c>
      <c r="E360" s="1524" t="n">
        <f aca="false">CONCATENATE(C360,IF(O360=19,9,IF(O360=6,6,IF(O360=4,4,0))))+0</f>
        <v>4830</v>
      </c>
      <c r="F360" s="1530" t="s">
        <v>1406</v>
      </c>
      <c r="G360" s="1530"/>
      <c r="H360" s="1529" t="n">
        <v>114.19</v>
      </c>
      <c r="I360" s="1529" t="n">
        <v>240.4</v>
      </c>
      <c r="J360" s="1529" t="n">
        <v>350</v>
      </c>
      <c r="K360" s="1529" t="n">
        <v>750</v>
      </c>
      <c r="L360" s="1526" t="n">
        <v>0.00465</v>
      </c>
      <c r="M360" s="1526" t="n">
        <v>0.0098</v>
      </c>
      <c r="N360" s="1531" t="n">
        <v>1</v>
      </c>
      <c r="O360" s="1529" t="n">
        <v>0</v>
      </c>
      <c r="T360" s="1528" t="n">
        <v>483</v>
      </c>
      <c r="U360" s="1528" t="s">
        <v>1406</v>
      </c>
    </row>
    <row r="361" s="1515" customFormat="true" ht="14.25" hidden="false" customHeight="false" outlineLevel="0" collapsed="false">
      <c r="B361" s="1515" t="n">
        <v>2025</v>
      </c>
      <c r="C361" s="1529" t="n">
        <v>486</v>
      </c>
      <c r="D361" s="359" t="n">
        <v>0</v>
      </c>
      <c r="E361" s="1524" t="n">
        <f aca="false">CONCATENATE(C361,IF(O361=19,9,IF(O361=6,6,IF(O361=4,4,0))))+0</f>
        <v>4860</v>
      </c>
      <c r="F361" s="1530" t="s">
        <v>1407</v>
      </c>
      <c r="G361" s="1530"/>
      <c r="H361" s="1529" t="n">
        <v>114.19</v>
      </c>
      <c r="I361" s="1529" t="n">
        <v>240.4</v>
      </c>
      <c r="J361" s="1529" t="n">
        <v>500</v>
      </c>
      <c r="K361" s="1529" t="n">
        <v>1500</v>
      </c>
      <c r="L361" s="1526" t="n">
        <v>0.00465</v>
      </c>
      <c r="M361" s="1526" t="n">
        <v>0.0098</v>
      </c>
      <c r="N361" s="1531" t="n">
        <v>1</v>
      </c>
      <c r="O361" s="1529" t="n">
        <v>0</v>
      </c>
      <c r="T361" s="1528" t="n">
        <v>486</v>
      </c>
      <c r="U361" s="1528" t="s">
        <v>1407</v>
      </c>
    </row>
    <row r="362" s="1515" customFormat="true" ht="14.25" hidden="false" customHeight="false" outlineLevel="0" collapsed="false">
      <c r="B362" s="1515" t="n">
        <v>2025</v>
      </c>
      <c r="C362" s="1529" t="n">
        <v>496</v>
      </c>
      <c r="D362" s="359" t="n">
        <v>0</v>
      </c>
      <c r="E362" s="1524" t="n">
        <f aca="false">CONCATENATE(C362,IF(O362=19,9,IF(O362=6,6,IF(O362=4,4,0))))+0</f>
        <v>4960</v>
      </c>
      <c r="F362" s="1530" t="s">
        <v>1408</v>
      </c>
      <c r="G362" s="1530"/>
      <c r="H362" s="1529" t="n">
        <v>114.19</v>
      </c>
      <c r="I362" s="1529" t="n">
        <v>240.4</v>
      </c>
      <c r="J362" s="1529" t="n">
        <v>400</v>
      </c>
      <c r="K362" s="1529" t="n">
        <v>1000</v>
      </c>
      <c r="L362" s="1526" t="n">
        <v>0.00465</v>
      </c>
      <c r="M362" s="1526" t="n">
        <v>0.0098</v>
      </c>
      <c r="N362" s="1531" t="n">
        <v>1</v>
      </c>
      <c r="O362" s="1529" t="n">
        <v>0</v>
      </c>
      <c r="T362" s="1528" t="n">
        <v>496</v>
      </c>
      <c r="U362" s="1528" t="s">
        <v>1408</v>
      </c>
    </row>
    <row r="363" s="1515" customFormat="true" ht="14.25" hidden="false" customHeight="false" outlineLevel="0" collapsed="false">
      <c r="B363" s="1515" t="n">
        <v>2025</v>
      </c>
      <c r="C363" s="1529" t="n">
        <v>904</v>
      </c>
      <c r="D363" s="359" t="n">
        <v>0</v>
      </c>
      <c r="E363" s="1524" t="n">
        <f aca="false">CONCATENATE(C363,IF(O363=19,9,IF(O363=6,6,IF(O363=4,4,0))))+0</f>
        <v>9040</v>
      </c>
      <c r="F363" s="1530" t="s">
        <v>1409</v>
      </c>
      <c r="G363" s="1530"/>
      <c r="H363" s="1529" t="n">
        <v>114.19</v>
      </c>
      <c r="I363" s="1529" t="n">
        <v>240.4</v>
      </c>
      <c r="J363" s="1529" t="n">
        <v>700</v>
      </c>
      <c r="K363" s="1529" t="n">
        <v>1800</v>
      </c>
      <c r="L363" s="1526" t="n">
        <v>0.00465</v>
      </c>
      <c r="M363" s="1526" t="n">
        <v>0.0098</v>
      </c>
      <c r="N363" s="1531" t="n">
        <v>1</v>
      </c>
      <c r="O363" s="1529" t="n">
        <v>0</v>
      </c>
      <c r="T363" s="1528" t="n">
        <v>904</v>
      </c>
      <c r="U363" s="1528" t="s">
        <v>1409</v>
      </c>
    </row>
    <row r="364" s="1515" customFormat="true" ht="14.25" hidden="false" customHeight="false" outlineLevel="0" collapsed="false">
      <c r="B364" s="1515" t="n">
        <v>2025</v>
      </c>
      <c r="C364" s="1529" t="n">
        <v>915</v>
      </c>
      <c r="D364" s="359" t="n">
        <v>0</v>
      </c>
      <c r="E364" s="1524" t="n">
        <f aca="false">CONCATENATE(C364,IF(O364=19,9,IF(O364=6,6,IF(O364=4,4,0))))+0</f>
        <v>9150</v>
      </c>
      <c r="F364" s="1530" t="s">
        <v>1410</v>
      </c>
      <c r="G364" s="1530"/>
      <c r="H364" s="1529" t="n">
        <v>480.81</v>
      </c>
      <c r="I364" s="1529" t="n">
        <v>1442.43</v>
      </c>
      <c r="J364" s="1529" t="n">
        <v>1939.8</v>
      </c>
      <c r="K364" s="1529" t="n">
        <v>6000</v>
      </c>
      <c r="L364" s="1526" t="n">
        <v>0.0196</v>
      </c>
      <c r="M364" s="1526" t="n">
        <v>0.05879</v>
      </c>
      <c r="N364" s="1531" t="n">
        <v>2</v>
      </c>
      <c r="O364" s="1529" t="n">
        <v>0</v>
      </c>
      <c r="T364" s="1528" t="n">
        <v>915</v>
      </c>
      <c r="U364" s="1528" t="s">
        <v>1410</v>
      </c>
    </row>
    <row r="365" s="1515" customFormat="true" ht="14.25" hidden="false" customHeight="false" outlineLevel="0" collapsed="false">
      <c r="B365" s="1515" t="n">
        <v>2025</v>
      </c>
      <c r="C365" s="1529" t="n">
        <v>916</v>
      </c>
      <c r="D365" s="359" t="n">
        <v>0</v>
      </c>
      <c r="E365" s="1524" t="n">
        <f aca="false">CONCATENATE(C365,IF(O365=19,9,IF(O365=6,6,IF(O365=4,4,0))))+0</f>
        <v>9160</v>
      </c>
      <c r="F365" s="1530" t="s">
        <v>1411</v>
      </c>
      <c r="G365" s="1530"/>
      <c r="H365" s="1529" t="n">
        <v>360.61</v>
      </c>
      <c r="I365" s="1529" t="n">
        <v>1352.28</v>
      </c>
      <c r="J365" s="1529" t="n">
        <v>575</v>
      </c>
      <c r="K365" s="1529" t="n">
        <v>5200</v>
      </c>
      <c r="L365" s="1526" t="n">
        <v>0.0147</v>
      </c>
      <c r="M365" s="1526" t="n">
        <v>0.05512</v>
      </c>
      <c r="N365" s="1531" t="n">
        <v>4</v>
      </c>
      <c r="O365" s="1529" t="n">
        <v>0</v>
      </c>
      <c r="T365" s="1528" t="n">
        <v>916</v>
      </c>
      <c r="U365" s="1528" t="s">
        <v>1411</v>
      </c>
    </row>
    <row r="366" s="1515" customFormat="true" ht="14.25" hidden="false" customHeight="false" outlineLevel="0" collapsed="false">
      <c r="B366" s="1515" t="n">
        <v>2025</v>
      </c>
      <c r="C366" s="1529" t="n">
        <v>927</v>
      </c>
      <c r="D366" s="359" t="n">
        <v>0</v>
      </c>
      <c r="E366" s="1524" t="n">
        <f aca="false">CONCATENATE(C366,IF(O366=19,9,IF(O366=6,6,IF(O366=4,4,0))))+0</f>
        <v>9270</v>
      </c>
      <c r="F366" s="1530" t="s">
        <v>1412</v>
      </c>
      <c r="G366" s="1530"/>
      <c r="H366" s="1529" t="n">
        <v>360.61</v>
      </c>
      <c r="I366" s="1529" t="n">
        <v>1352.28</v>
      </c>
      <c r="J366" s="1529" t="n">
        <v>575</v>
      </c>
      <c r="K366" s="1529" t="n">
        <v>5200</v>
      </c>
      <c r="L366" s="1526" t="n">
        <v>0.0147</v>
      </c>
      <c r="M366" s="1526" t="n">
        <v>0.05512</v>
      </c>
      <c r="N366" s="1531" t="n">
        <v>4</v>
      </c>
      <c r="O366" s="1529" t="n">
        <v>0</v>
      </c>
      <c r="T366" s="1528" t="n">
        <v>927</v>
      </c>
      <c r="U366" s="1528" t="s">
        <v>1412</v>
      </c>
    </row>
    <row r="367" s="1515" customFormat="true" ht="14.25" hidden="false" customHeight="false" outlineLevel="0" collapsed="false">
      <c r="B367" s="1515" t="n">
        <v>2025</v>
      </c>
      <c r="C367" s="1529" t="n">
        <v>938</v>
      </c>
      <c r="D367" s="359" t="n">
        <v>0</v>
      </c>
      <c r="E367" s="1524" t="n">
        <f aca="false">CONCATENATE(C367,IF(O367=19,9,IF(O367=6,6,IF(O367=4,4,0))))+0</f>
        <v>9380</v>
      </c>
      <c r="F367" s="1530" t="s">
        <v>1413</v>
      </c>
      <c r="G367" s="1530"/>
      <c r="H367" s="1529" t="n">
        <v>360.61</v>
      </c>
      <c r="I367" s="1529" t="n">
        <v>1352.28</v>
      </c>
      <c r="J367" s="1529" t="n">
        <v>575</v>
      </c>
      <c r="K367" s="1529" t="n">
        <v>6000</v>
      </c>
      <c r="L367" s="1526" t="n">
        <v>0.0147</v>
      </c>
      <c r="M367" s="1526" t="n">
        <v>0.05512</v>
      </c>
      <c r="N367" s="1531" t="n">
        <v>4</v>
      </c>
      <c r="O367" s="1529" t="n">
        <v>0</v>
      </c>
      <c r="T367" s="1528" t="n">
        <v>938</v>
      </c>
      <c r="U367" s="1528" t="s">
        <v>1413</v>
      </c>
      <c r="V367" s="1515" t="str">
        <f aca="false">MID(E367,LEN(E367),1)</f>
        <v>0</v>
      </c>
      <c r="W367" s="1515" t="s">
        <v>1384</v>
      </c>
    </row>
    <row r="368" s="1515" customFormat="true" ht="14.25" hidden="false" customHeight="false" outlineLevel="0" collapsed="false">
      <c r="B368" s="1515" t="n">
        <v>2025</v>
      </c>
      <c r="C368" s="1529" t="n">
        <v>939</v>
      </c>
      <c r="D368" s="359" t="n">
        <v>0</v>
      </c>
      <c r="E368" s="1524" t="n">
        <f aca="false">CONCATENATE(C368,IF(O368=19,9,IF(O368=6,6,IF(O368=4,4,0))))+0</f>
        <v>9390</v>
      </c>
      <c r="F368" s="1530" t="s">
        <v>1414</v>
      </c>
      <c r="G368" s="1530"/>
      <c r="H368" s="1529" t="n">
        <v>405.68</v>
      </c>
      <c r="I368" s="1529" t="n">
        <v>649.09</v>
      </c>
      <c r="J368" s="1529" t="n">
        <v>600</v>
      </c>
      <c r="K368" s="1529" t="n">
        <v>1800</v>
      </c>
      <c r="L368" s="1526" t="n">
        <v>0.01653</v>
      </c>
      <c r="M368" s="1526" t="n">
        <v>0.02646</v>
      </c>
      <c r="N368" s="1531" t="n">
        <v>3</v>
      </c>
      <c r="O368" s="1529" t="n">
        <v>0</v>
      </c>
      <c r="T368" s="1528" t="n">
        <v>939</v>
      </c>
      <c r="U368" s="1528" t="s">
        <v>1414</v>
      </c>
    </row>
    <row r="369" s="1515" customFormat="true" ht="14.25" hidden="false" customHeight="false" outlineLevel="0" collapsed="false">
      <c r="B369" s="1515" t="n">
        <v>2025</v>
      </c>
      <c r="C369" s="1529" t="n">
        <v>940</v>
      </c>
      <c r="D369" s="359" t="n">
        <v>0</v>
      </c>
      <c r="E369" s="1524" t="n">
        <f aca="false">CONCATENATE(C369,IF(O369=19,9,IF(O369=6,6,IF(O369=4,4,0))))+0</f>
        <v>9400</v>
      </c>
      <c r="F369" s="1530" t="s">
        <v>1415</v>
      </c>
      <c r="G369" s="1530"/>
      <c r="H369" s="1529" t="n">
        <v>480.81</v>
      </c>
      <c r="I369" s="1529" t="n">
        <v>1442.43</v>
      </c>
      <c r="J369" s="1529" t="n">
        <v>1939.8</v>
      </c>
      <c r="K369" s="1529" t="n">
        <v>6000</v>
      </c>
      <c r="L369" s="1526" t="n">
        <v>0.0196</v>
      </c>
      <c r="M369" s="1526" t="n">
        <v>0.05879</v>
      </c>
      <c r="N369" s="1531" t="n">
        <v>2</v>
      </c>
      <c r="O369" s="1529" t="n">
        <v>0</v>
      </c>
      <c r="T369" s="1528" t="n">
        <v>940</v>
      </c>
      <c r="U369" s="1528" t="s">
        <v>1415</v>
      </c>
    </row>
    <row r="370" s="1515" customFormat="true" ht="14.25" hidden="false" customHeight="false" outlineLevel="0" collapsed="false">
      <c r="B370" s="1515" t="n">
        <v>2025</v>
      </c>
      <c r="C370" s="1529" t="n">
        <v>941</v>
      </c>
      <c r="D370" s="359" t="n">
        <v>0</v>
      </c>
      <c r="E370" s="1524" t="n">
        <f aca="false">CONCATENATE(C370,IF(O370=19,9,IF(O370=6,6,IF(O370=4,4,0))))+0</f>
        <v>9410</v>
      </c>
      <c r="F370" s="1530" t="s">
        <v>1416</v>
      </c>
      <c r="G370" s="1530"/>
      <c r="H370" s="1529" t="n">
        <v>480.81</v>
      </c>
      <c r="I370" s="1529" t="n">
        <v>1442.43</v>
      </c>
      <c r="J370" s="1529" t="n">
        <v>1939.8</v>
      </c>
      <c r="K370" s="1529" t="n">
        <v>6000</v>
      </c>
      <c r="L370" s="1526" t="n">
        <v>0.0196</v>
      </c>
      <c r="M370" s="1526" t="n">
        <v>0.05879</v>
      </c>
      <c r="N370" s="1531" t="n">
        <v>2</v>
      </c>
      <c r="O370" s="1529" t="n">
        <v>0</v>
      </c>
      <c r="T370" s="1528" t="n">
        <v>941</v>
      </c>
      <c r="U370" s="1528" t="s">
        <v>1416</v>
      </c>
      <c r="V370" s="1515" t="str">
        <f aca="false">MID(E370,LEN(E370),1)</f>
        <v>0</v>
      </c>
      <c r="W370" s="1515" t="s">
        <v>1385</v>
      </c>
    </row>
    <row r="371" s="1515" customFormat="true" ht="14.25" hidden="false" customHeight="false" outlineLevel="0" collapsed="false">
      <c r="B371" s="1515" t="n">
        <v>2025</v>
      </c>
      <c r="C371" s="1529" t="n">
        <v>942</v>
      </c>
      <c r="D371" s="359" t="n">
        <v>0</v>
      </c>
      <c r="E371" s="1524" t="n">
        <f aca="false">CONCATENATE(C371,IF(O371=19,9,IF(O371=6,6,IF(O371=4,4,0))))+0</f>
        <v>9420</v>
      </c>
      <c r="F371" s="1530" t="s">
        <v>1417</v>
      </c>
      <c r="G371" s="1530"/>
      <c r="H371" s="1529" t="n">
        <v>480.81</v>
      </c>
      <c r="I371" s="1529" t="n">
        <v>1442.43</v>
      </c>
      <c r="J371" s="1529" t="n">
        <v>1939.8</v>
      </c>
      <c r="K371" s="1529" t="n">
        <v>6000</v>
      </c>
      <c r="L371" s="1526" t="n">
        <v>0.0196</v>
      </c>
      <c r="M371" s="1526" t="n">
        <v>0.05879</v>
      </c>
      <c r="N371" s="1531" t="n">
        <v>2</v>
      </c>
      <c r="O371" s="1529" t="n">
        <v>0</v>
      </c>
      <c r="T371" s="1528" t="n">
        <v>942</v>
      </c>
      <c r="U371" s="1528" t="s">
        <v>1417</v>
      </c>
    </row>
    <row r="372" s="1515" customFormat="true" ht="14.25" hidden="false" customHeight="false" outlineLevel="0" collapsed="false">
      <c r="B372" s="1515" t="n">
        <v>2025</v>
      </c>
      <c r="C372" s="1529" t="n">
        <v>943</v>
      </c>
      <c r="D372" s="359" t="n">
        <v>0</v>
      </c>
      <c r="E372" s="1524" t="n">
        <f aca="false">CONCATENATE(C372,IF(O372=19,9,IF(O372=6,6,IF(O372=4,4,0))))+0</f>
        <v>9430</v>
      </c>
      <c r="F372" s="1530" t="s">
        <v>1418</v>
      </c>
      <c r="G372" s="1530"/>
      <c r="H372" s="1529" t="n">
        <v>480.81</v>
      </c>
      <c r="I372" s="1529" t="n">
        <v>1442.43</v>
      </c>
      <c r="J372" s="1529" t="n">
        <v>1939.8</v>
      </c>
      <c r="K372" s="1529" t="n">
        <v>6000</v>
      </c>
      <c r="L372" s="1526" t="n">
        <v>0.0196</v>
      </c>
      <c r="M372" s="1526" t="n">
        <v>0.05879</v>
      </c>
      <c r="N372" s="1531" t="n">
        <v>2</v>
      </c>
      <c r="O372" s="1529" t="n">
        <v>0</v>
      </c>
      <c r="T372" s="1528" t="n">
        <v>943</v>
      </c>
      <c r="U372" s="1528" t="s">
        <v>1418</v>
      </c>
      <c r="V372" s="1515" t="str">
        <f aca="false">MID(E372,LEN(E372),1)</f>
        <v>0</v>
      </c>
      <c r="W372" s="1515" t="s">
        <v>1386</v>
      </c>
    </row>
    <row r="373" s="1515" customFormat="true" ht="14.25" hidden="false" customHeight="false" outlineLevel="0" collapsed="false">
      <c r="B373" s="1515" t="n">
        <v>2025</v>
      </c>
      <c r="C373" s="1529" t="n">
        <v>945</v>
      </c>
      <c r="D373" s="359" t="n">
        <v>0</v>
      </c>
      <c r="E373" s="1524" t="n">
        <f aca="false">CONCATENATE(C373,IF(O373=19,9,IF(O373=6,6,IF(O373=4,4,0))))+0</f>
        <v>9450</v>
      </c>
      <c r="F373" s="1530" t="s">
        <v>1419</v>
      </c>
      <c r="G373" s="1530"/>
      <c r="H373" s="1529" t="n">
        <v>114.19</v>
      </c>
      <c r="I373" s="1529" t="n">
        <v>240.4</v>
      </c>
      <c r="J373" s="1529" t="n">
        <v>400</v>
      </c>
      <c r="K373" s="1529" t="n">
        <v>1000</v>
      </c>
      <c r="L373" s="1526" t="n">
        <v>0.00465</v>
      </c>
      <c r="M373" s="1526" t="n">
        <v>0.0098</v>
      </c>
      <c r="N373" s="1531" t="n">
        <v>1</v>
      </c>
      <c r="O373" s="1529" t="n">
        <v>0</v>
      </c>
      <c r="T373" s="1528" t="n">
        <v>945</v>
      </c>
      <c r="U373" s="1528" t="s">
        <v>1419</v>
      </c>
      <c r="V373" s="1515" t="str">
        <f aca="false">MID(E373,LEN(E373),1)</f>
        <v>0</v>
      </c>
      <c r="W373" s="1515" t="s">
        <v>1387</v>
      </c>
    </row>
    <row r="374" s="1515" customFormat="true" ht="14.25" hidden="false" customHeight="false" outlineLevel="0" collapsed="false">
      <c r="B374" s="1515" t="n">
        <v>2025</v>
      </c>
      <c r="C374" s="1529" t="n">
        <v>946</v>
      </c>
      <c r="D374" s="359" t="n">
        <v>0</v>
      </c>
      <c r="E374" s="1524" t="n">
        <f aca="false">CONCATENATE(C374,IF(O374=19,9,IF(O374=6,6,IF(O374=4,4,0))))+0</f>
        <v>9460</v>
      </c>
      <c r="F374" s="1530" t="s">
        <v>1420</v>
      </c>
      <c r="G374" s="1530"/>
      <c r="H374" s="1529" t="n">
        <v>114.19</v>
      </c>
      <c r="I374" s="1529" t="n">
        <v>240.4</v>
      </c>
      <c r="J374" s="1529" t="n">
        <v>400</v>
      </c>
      <c r="K374" s="1529" t="n">
        <v>1000</v>
      </c>
      <c r="L374" s="1526" t="n">
        <v>0.00465</v>
      </c>
      <c r="M374" s="1526" t="n">
        <v>0.0098</v>
      </c>
      <c r="N374" s="1531" t="n">
        <v>1</v>
      </c>
      <c r="O374" s="1529" t="n">
        <v>0</v>
      </c>
      <c r="T374" s="1528" t="n">
        <v>946</v>
      </c>
      <c r="U374" s="1528" t="s">
        <v>1420</v>
      </c>
      <c r="V374" s="1515" t="str">
        <f aca="false">MID(E374,LEN(E374),1)</f>
        <v>0</v>
      </c>
      <c r="W374" s="1515" t="s">
        <v>1388</v>
      </c>
    </row>
    <row r="375" s="1515" customFormat="true" ht="14.25" hidden="false" customHeight="false" outlineLevel="0" collapsed="false">
      <c r="B375" s="1515" t="n">
        <v>2025</v>
      </c>
      <c r="C375" s="1529" t="n">
        <v>948</v>
      </c>
      <c r="D375" s="359" t="n">
        <v>0</v>
      </c>
      <c r="E375" s="1524" t="n">
        <f aca="false">CONCATENATE(C375,IF(O375=19,9,IF(O375=6,6,IF(O375=4,4,0))))+0</f>
        <v>9480</v>
      </c>
      <c r="F375" s="1530" t="s">
        <v>1421</v>
      </c>
      <c r="G375" s="1530"/>
      <c r="H375" s="1529" t="n">
        <v>480.81</v>
      </c>
      <c r="I375" s="1529" t="n">
        <v>1442.43</v>
      </c>
      <c r="J375" s="1529" t="n">
        <v>1939.72</v>
      </c>
      <c r="K375" s="1529" t="n">
        <v>6000</v>
      </c>
      <c r="L375" s="1526" t="n">
        <v>0.0196</v>
      </c>
      <c r="M375" s="1526" t="n">
        <v>0.05879</v>
      </c>
      <c r="N375" s="1531" t="n">
        <v>2</v>
      </c>
      <c r="O375" s="1529" t="n">
        <v>0</v>
      </c>
      <c r="T375" s="1528" t="n">
        <v>948</v>
      </c>
      <c r="U375" s="1528" t="s">
        <v>1421</v>
      </c>
      <c r="V375" s="1515" t="str">
        <f aca="false">MID(E375,LEN(E375),1)</f>
        <v>0</v>
      </c>
      <c r="W375" s="1515" t="s">
        <v>1389</v>
      </c>
    </row>
    <row r="376" s="1515" customFormat="true" ht="14.25" hidden="false" customHeight="false" outlineLevel="0" collapsed="false">
      <c r="B376" s="1515" t="n">
        <v>2025</v>
      </c>
      <c r="C376" s="1536" t="n">
        <v>949</v>
      </c>
      <c r="D376" s="359" t="n">
        <v>0</v>
      </c>
      <c r="E376" s="1524" t="n">
        <f aca="false">CONCATENATE(C376,IF(O376=19,9,IF(O376=6,6,IF(O376=4,4,0))))+0</f>
        <v>9490</v>
      </c>
      <c r="F376" s="1537" t="s">
        <v>1422</v>
      </c>
      <c r="G376" s="1537"/>
      <c r="H376" s="1536" t="n">
        <v>480.81</v>
      </c>
      <c r="I376" s="1536" t="n">
        <v>1442.43</v>
      </c>
      <c r="J376" s="1536" t="n">
        <v>1939.72</v>
      </c>
      <c r="K376" s="1536" t="n">
        <v>6000</v>
      </c>
      <c r="L376" s="1538" t="n">
        <v>0.0196</v>
      </c>
      <c r="M376" s="1538" t="n">
        <v>0.05879</v>
      </c>
      <c r="N376" s="1539" t="n">
        <v>2</v>
      </c>
      <c r="O376" s="1536" t="n">
        <v>0</v>
      </c>
      <c r="T376" s="1528" t="n">
        <v>949</v>
      </c>
      <c r="U376" s="1528" t="s">
        <v>1422</v>
      </c>
      <c r="V376" s="1515" t="str">
        <f aca="false">MID(E376,LEN(E376),1)</f>
        <v>0</v>
      </c>
      <c r="W376" s="1515" t="s">
        <v>1390</v>
      </c>
    </row>
    <row r="377" s="1515" customFormat="true" ht="14.25" hidden="false" customHeight="false" outlineLevel="0" collapsed="false">
      <c r="C377" s="1540"/>
      <c r="D377" s="359"/>
      <c r="E377" s="1524"/>
      <c r="F377" s="1540"/>
      <c r="G377" s="872"/>
      <c r="H377" s="1523"/>
      <c r="I377" s="1541"/>
      <c r="J377" s="1470"/>
      <c r="K377" s="1470"/>
      <c r="L377" s="1523"/>
      <c r="M377" s="1523"/>
      <c r="N377" s="1542"/>
      <c r="O377" s="1523"/>
      <c r="V377" s="1515" t="e">
        <f aca="false">MID(E377,LEN(E377),1)</f>
        <v>#VALUE!</v>
      </c>
      <c r="W377" s="1515" t="s">
        <v>1391</v>
      </c>
    </row>
    <row r="378" s="1515" customFormat="true" ht="14.25" hidden="false" customHeight="false" outlineLevel="0" collapsed="false">
      <c r="C378" s="1540"/>
      <c r="D378" s="359"/>
      <c r="E378" s="1524"/>
      <c r="F378" s="1540"/>
      <c r="G378" s="872"/>
      <c r="H378" s="1523"/>
      <c r="I378" s="1541"/>
      <c r="J378" s="1470"/>
      <c r="K378" s="1470"/>
      <c r="L378" s="1523"/>
      <c r="M378" s="1523"/>
      <c r="N378" s="1542"/>
      <c r="O378" s="1523"/>
      <c r="V378" s="1515" t="e">
        <f aca="false">MID(E378,LEN(E378),1)</f>
        <v>#VALUE!</v>
      </c>
      <c r="W378" s="1515" t="s">
        <v>1392</v>
      </c>
    </row>
    <row r="379" s="1515" customFormat="true" ht="14.25" hidden="false" customHeight="false" outlineLevel="0" collapsed="false">
      <c r="C379" s="1540"/>
      <c r="D379" s="359"/>
      <c r="E379" s="1524"/>
      <c r="F379" s="1540"/>
      <c r="G379" s="872"/>
      <c r="H379" s="1523"/>
      <c r="I379" s="1541"/>
      <c r="J379" s="1470"/>
      <c r="K379" s="1470"/>
      <c r="L379" s="1523"/>
      <c r="M379" s="1523"/>
      <c r="N379" s="1542"/>
      <c r="O379" s="1523"/>
      <c r="V379" s="1515" t="e">
        <f aca="false">MID(E379,LEN(E379),1)</f>
        <v>#VALUE!</v>
      </c>
      <c r="W379" s="1515" t="s">
        <v>1393</v>
      </c>
    </row>
    <row r="380" s="1515" customFormat="true" ht="14.25" hidden="false" customHeight="false" outlineLevel="0" collapsed="false">
      <c r="C380" s="1540"/>
      <c r="D380" s="359"/>
      <c r="E380" s="1524"/>
      <c r="F380" s="1540"/>
      <c r="G380" s="872"/>
      <c r="H380" s="1523"/>
      <c r="I380" s="1541"/>
      <c r="J380" s="1470"/>
      <c r="K380" s="1470"/>
      <c r="L380" s="1523"/>
      <c r="M380" s="1523"/>
      <c r="N380" s="1542"/>
      <c r="O380" s="1523"/>
      <c r="V380" s="1515" t="e">
        <f aca="false">MID(E380,LEN(E380),1)</f>
        <v>#VALUE!</v>
      </c>
      <c r="W380" s="1515" t="s">
        <v>1394</v>
      </c>
    </row>
    <row r="381" s="1515" customFormat="true" ht="14.25" hidden="false" customHeight="false" outlineLevel="0" collapsed="false">
      <c r="C381" s="1540"/>
      <c r="D381" s="359"/>
      <c r="E381" s="1524"/>
      <c r="F381" s="1540"/>
      <c r="G381" s="872"/>
      <c r="H381" s="1523"/>
      <c r="I381" s="1541"/>
      <c r="J381" s="1470"/>
      <c r="K381" s="1470"/>
      <c r="L381" s="1523"/>
      <c r="M381" s="1523"/>
      <c r="N381" s="1542"/>
      <c r="O381" s="1523"/>
      <c r="V381" s="1515" t="e">
        <f aca="false">MID(E381,LEN(E381),1)</f>
        <v>#VALUE!</v>
      </c>
      <c r="W381" s="1515" t="s">
        <v>1395</v>
      </c>
    </row>
    <row r="382" s="1515" customFormat="true" ht="14.25" hidden="false" customHeight="false" outlineLevel="0" collapsed="false">
      <c r="C382" s="1540"/>
      <c r="D382" s="359"/>
      <c r="E382" s="1524"/>
      <c r="F382" s="1540"/>
      <c r="G382" s="872"/>
      <c r="H382" s="1523"/>
      <c r="I382" s="1541"/>
      <c r="J382" s="1470"/>
      <c r="K382" s="1470"/>
      <c r="L382" s="1523"/>
      <c r="M382" s="1523"/>
      <c r="N382" s="1542"/>
      <c r="O382" s="1523"/>
      <c r="V382" s="1515" t="e">
        <f aca="false">MID(E382,LEN(E382),1)</f>
        <v>#VALUE!</v>
      </c>
      <c r="W382" s="1515" t="s">
        <v>1396</v>
      </c>
    </row>
    <row r="383" s="1515" customFormat="true" ht="14.25" hidden="false" customHeight="false" outlineLevel="0" collapsed="false">
      <c r="C383" s="1540"/>
      <c r="D383" s="359"/>
      <c r="E383" s="1524"/>
      <c r="F383" s="1540"/>
      <c r="G383" s="872"/>
      <c r="H383" s="1523"/>
      <c r="I383" s="1541"/>
      <c r="J383" s="1470"/>
      <c r="K383" s="1470"/>
      <c r="L383" s="1523"/>
      <c r="M383" s="1523"/>
      <c r="N383" s="1542"/>
      <c r="O383" s="1523"/>
      <c r="V383" s="1515" t="e">
        <f aca="false">MID(E383,LEN(E383),1)</f>
        <v>#VALUE!</v>
      </c>
      <c r="W383" s="1515" t="s">
        <v>1397</v>
      </c>
    </row>
    <row r="384" s="1515" customFormat="true" ht="14.25" hidden="false" customHeight="false" outlineLevel="0" collapsed="false">
      <c r="C384" s="1540"/>
      <c r="D384" s="359"/>
      <c r="E384" s="1524"/>
      <c r="F384" s="1540"/>
      <c r="G384" s="872"/>
      <c r="H384" s="1523"/>
      <c r="I384" s="1541"/>
      <c r="J384" s="1470"/>
      <c r="K384" s="1470"/>
      <c r="L384" s="1523"/>
      <c r="M384" s="1523"/>
      <c r="N384" s="1542"/>
      <c r="O384" s="1523"/>
      <c r="V384" s="1515" t="e">
        <f aca="false">MID(E384,LEN(E384),1)</f>
        <v>#VALUE!</v>
      </c>
      <c r="W384" s="1515" t="s">
        <v>1398</v>
      </c>
    </row>
    <row r="385" s="1515" customFormat="true" ht="14.25" hidden="false" customHeight="false" outlineLevel="0" collapsed="false">
      <c r="C385" s="1540"/>
      <c r="D385" s="359"/>
      <c r="E385" s="1524"/>
      <c r="F385" s="1540"/>
      <c r="G385" s="872"/>
      <c r="H385" s="1523"/>
      <c r="I385" s="1541"/>
      <c r="J385" s="1470"/>
      <c r="K385" s="1470"/>
      <c r="L385" s="1523"/>
      <c r="M385" s="1523"/>
      <c r="N385" s="1542"/>
      <c r="O385" s="1523"/>
      <c r="V385" s="1515" t="e">
        <f aca="false">MID(E385,LEN(E385),1)</f>
        <v>#VALUE!</v>
      </c>
      <c r="W385" s="1515" t="s">
        <v>1399</v>
      </c>
    </row>
    <row r="386" s="1515" customFormat="true" ht="14.25" hidden="false" customHeight="false" outlineLevel="0" collapsed="false">
      <c r="C386" s="1540"/>
      <c r="D386" s="359"/>
      <c r="E386" s="1524"/>
      <c r="F386" s="1540"/>
      <c r="G386" s="872"/>
      <c r="H386" s="1523"/>
      <c r="I386" s="1541"/>
      <c r="J386" s="1470"/>
      <c r="K386" s="1470"/>
      <c r="L386" s="1523"/>
      <c r="M386" s="1523"/>
      <c r="N386" s="1542"/>
      <c r="O386" s="1523"/>
      <c r="V386" s="1515" t="e">
        <f aca="false">MID(E386,LEN(E386),1)</f>
        <v>#VALUE!</v>
      </c>
      <c r="W386" s="1515" t="s">
        <v>1400</v>
      </c>
    </row>
    <row r="387" s="1515" customFormat="true" ht="14.25" hidden="false" customHeight="false" outlineLevel="0" collapsed="false">
      <c r="C387" s="1540"/>
      <c r="D387" s="359"/>
      <c r="E387" s="1524"/>
      <c r="F387" s="1540"/>
      <c r="G387" s="872"/>
      <c r="H387" s="1523"/>
      <c r="I387" s="1541"/>
      <c r="J387" s="1470"/>
      <c r="K387" s="1470"/>
      <c r="L387" s="1523"/>
      <c r="M387" s="1523"/>
      <c r="N387" s="1542"/>
      <c r="O387" s="1523"/>
      <c r="V387" s="1515" t="e">
        <f aca="false">MID(E387,LEN(E387),1)</f>
        <v>#VALUE!</v>
      </c>
      <c r="W387" s="1515" t="s">
        <v>1401</v>
      </c>
    </row>
    <row r="388" s="1515" customFormat="true" ht="14.25" hidden="false" customHeight="false" outlineLevel="0" collapsed="false">
      <c r="C388" s="1540"/>
      <c r="D388" s="359"/>
      <c r="E388" s="1524"/>
      <c r="F388" s="1540"/>
      <c r="G388" s="872"/>
      <c r="H388" s="1523"/>
      <c r="I388" s="1541"/>
      <c r="J388" s="1470"/>
      <c r="K388" s="1470"/>
      <c r="L388" s="1523"/>
      <c r="M388" s="1523"/>
      <c r="N388" s="1542"/>
      <c r="O388" s="1523"/>
      <c r="V388" s="1515" t="e">
        <f aca="false">MID(E388,LEN(E388),1)</f>
        <v>#VALUE!</v>
      </c>
      <c r="W388" s="1515" t="s">
        <v>1402</v>
      </c>
    </row>
    <row r="389" s="1515" customFormat="true" ht="14.25" hidden="false" customHeight="false" outlineLevel="0" collapsed="false">
      <c r="C389" s="1540"/>
      <c r="D389" s="359"/>
      <c r="E389" s="1524"/>
      <c r="F389" s="1540"/>
      <c r="G389" s="872"/>
      <c r="H389" s="1523"/>
      <c r="I389" s="1541"/>
      <c r="J389" s="1470"/>
      <c r="K389" s="1470"/>
      <c r="L389" s="1523"/>
      <c r="M389" s="1523"/>
      <c r="N389" s="1542"/>
      <c r="O389" s="1523"/>
      <c r="V389" s="1515" t="e">
        <f aca="false">MID(E389,LEN(E389),1)</f>
        <v>#VALUE!</v>
      </c>
      <c r="W389" s="1515" t="s">
        <v>1403</v>
      </c>
    </row>
    <row r="390" s="1515" customFormat="true" ht="14.25" hidden="false" customHeight="false" outlineLevel="0" collapsed="false">
      <c r="C390" s="1540"/>
      <c r="D390" s="359"/>
      <c r="E390" s="1524"/>
      <c r="F390" s="1540"/>
      <c r="G390" s="872"/>
      <c r="H390" s="1523"/>
      <c r="I390" s="1541"/>
      <c r="J390" s="1470"/>
      <c r="K390" s="1470"/>
      <c r="L390" s="1523"/>
      <c r="M390" s="1523"/>
      <c r="N390" s="1542"/>
      <c r="O390" s="1523"/>
      <c r="V390" s="1515" t="e">
        <f aca="false">MID(E390,LEN(E390),1)</f>
        <v>#VALUE!</v>
      </c>
      <c r="W390" s="1515" t="s">
        <v>1404</v>
      </c>
    </row>
    <row r="391" s="1515" customFormat="true" ht="14.25" hidden="false" customHeight="false" outlineLevel="0" collapsed="false">
      <c r="C391" s="1540"/>
      <c r="D391" s="359"/>
      <c r="E391" s="1524"/>
      <c r="F391" s="1540"/>
      <c r="G391" s="872"/>
      <c r="H391" s="1523"/>
      <c r="I391" s="1541"/>
      <c r="J391" s="1470"/>
      <c r="K391" s="1470"/>
      <c r="L391" s="1523"/>
      <c r="M391" s="1523"/>
      <c r="N391" s="1542"/>
      <c r="O391" s="1523"/>
      <c r="V391" s="1515" t="e">
        <f aca="false">MID(E391,LEN(E391),1)</f>
        <v>#VALUE!</v>
      </c>
      <c r="W391" s="1515" t="s">
        <v>1405</v>
      </c>
    </row>
    <row r="392" s="1515" customFormat="true" ht="14.25" hidden="false" customHeight="false" outlineLevel="0" collapsed="false">
      <c r="C392" s="1540"/>
      <c r="D392" s="359"/>
      <c r="E392" s="1524"/>
      <c r="F392" s="1540"/>
      <c r="G392" s="872"/>
      <c r="H392" s="1523"/>
      <c r="I392" s="1541"/>
      <c r="J392" s="1470"/>
      <c r="K392" s="1470"/>
      <c r="L392" s="1523"/>
      <c r="M392" s="1523"/>
      <c r="N392" s="1542"/>
      <c r="O392" s="1523"/>
      <c r="V392" s="1515" t="e">
        <f aca="false">MID(E392,LEN(E392),1)</f>
        <v>#VALUE!</v>
      </c>
      <c r="W392" s="1515" t="s">
        <v>1406</v>
      </c>
    </row>
    <row r="393" s="1515" customFormat="true" ht="14.25" hidden="false" customHeight="false" outlineLevel="0" collapsed="false">
      <c r="C393" s="1540"/>
      <c r="D393" s="359"/>
      <c r="E393" s="1524"/>
      <c r="F393" s="1540"/>
      <c r="G393" s="872"/>
      <c r="H393" s="1523"/>
      <c r="I393" s="1541"/>
      <c r="J393" s="1470"/>
      <c r="K393" s="1470"/>
      <c r="L393" s="1523"/>
      <c r="M393" s="1523"/>
      <c r="N393" s="1542"/>
      <c r="O393" s="1523"/>
    </row>
    <row r="394" s="1515" customFormat="true" ht="14.25" hidden="false" customHeight="false" outlineLevel="0" collapsed="false">
      <c r="C394" s="1540"/>
      <c r="D394" s="359"/>
      <c r="E394" s="1524"/>
      <c r="F394" s="1540"/>
      <c r="G394" s="872"/>
      <c r="H394" s="1523"/>
      <c r="I394" s="1541"/>
      <c r="J394" s="1470"/>
      <c r="K394" s="1470"/>
      <c r="L394" s="1523"/>
      <c r="M394" s="1523"/>
      <c r="N394" s="1542"/>
      <c r="O394" s="1523"/>
      <c r="V394" s="1515" t="e">
        <f aca="false">MID(E394,LEN(E394),1)</f>
        <v>#VALUE!</v>
      </c>
      <c r="W394" s="1515" t="s">
        <v>1407</v>
      </c>
    </row>
    <row r="395" s="1515" customFormat="true" ht="14.25" hidden="false" customHeight="false" outlineLevel="0" collapsed="false">
      <c r="C395" s="1540"/>
      <c r="D395" s="359"/>
      <c r="E395" s="1524"/>
      <c r="F395" s="1540"/>
      <c r="G395" s="872"/>
      <c r="H395" s="1523"/>
      <c r="I395" s="1541"/>
      <c r="J395" s="1470"/>
      <c r="K395" s="1470"/>
      <c r="L395" s="1523"/>
      <c r="M395" s="1523"/>
      <c r="N395" s="1542"/>
      <c r="O395" s="1523"/>
      <c r="V395" s="1515" t="e">
        <f aca="false">MID(E395,LEN(E395),1)</f>
        <v>#VALUE!</v>
      </c>
      <c r="W395" s="1515" t="s">
        <v>1408</v>
      </c>
    </row>
    <row r="396" s="1515" customFormat="true" ht="14.25" hidden="false" customHeight="false" outlineLevel="0" collapsed="false">
      <c r="C396" s="1540"/>
      <c r="D396" s="359"/>
      <c r="E396" s="1524"/>
      <c r="F396" s="1540"/>
      <c r="G396" s="872"/>
      <c r="H396" s="1523"/>
      <c r="I396" s="1541"/>
      <c r="J396" s="1470"/>
      <c r="K396" s="1470"/>
      <c r="L396" s="1523"/>
      <c r="M396" s="1523"/>
      <c r="N396" s="1542"/>
      <c r="O396" s="1523"/>
      <c r="V396" s="1515" t="e">
        <f aca="false">MID(E396,LEN(E396),1)</f>
        <v>#VALUE!</v>
      </c>
      <c r="W396" s="1515" t="s">
        <v>1409</v>
      </c>
    </row>
    <row r="397" s="1515" customFormat="true" ht="14.25" hidden="false" customHeight="false" outlineLevel="0" collapsed="false">
      <c r="C397" s="1540"/>
      <c r="D397" s="359"/>
      <c r="E397" s="1524"/>
      <c r="F397" s="1540"/>
      <c r="G397" s="872"/>
      <c r="H397" s="1543"/>
      <c r="I397" s="1544"/>
      <c r="J397" s="1545"/>
      <c r="K397" s="1545"/>
      <c r="L397" s="1543"/>
      <c r="M397" s="1543"/>
      <c r="N397" s="1546"/>
      <c r="O397" s="1543"/>
    </row>
    <row r="398" s="1515" customFormat="true" ht="14.25" hidden="false" customHeight="false" outlineLevel="0" collapsed="false">
      <c r="C398" s="1540"/>
      <c r="D398" s="359"/>
      <c r="E398" s="1524"/>
      <c r="F398" s="1540"/>
      <c r="G398" s="872"/>
      <c r="H398" s="1543"/>
      <c r="I398" s="1544"/>
      <c r="J398" s="1545"/>
      <c r="K398" s="1545"/>
      <c r="L398" s="1543"/>
      <c r="M398" s="1543"/>
      <c r="N398" s="1546"/>
      <c r="O398" s="1543"/>
    </row>
    <row r="399" s="1515" customFormat="true" ht="14.25" hidden="false" customHeight="false" outlineLevel="0" collapsed="false">
      <c r="C399" s="1540"/>
      <c r="D399" s="359"/>
      <c r="E399" s="1524"/>
      <c r="F399" s="1540"/>
      <c r="G399" s="872"/>
      <c r="H399" s="1543"/>
      <c r="I399" s="1544"/>
      <c r="J399" s="1545"/>
      <c r="K399" s="1545"/>
      <c r="L399" s="1543"/>
      <c r="M399" s="1543"/>
      <c r="N399" s="1546"/>
      <c r="O399" s="1543"/>
    </row>
    <row r="400" s="1515" customFormat="true" ht="14.25" hidden="false" customHeight="false" outlineLevel="0" collapsed="false">
      <c r="C400" s="1540"/>
      <c r="D400" s="359"/>
      <c r="E400" s="1524"/>
      <c r="F400" s="1540"/>
      <c r="G400" s="872"/>
      <c r="H400" s="1543"/>
      <c r="I400" s="1544"/>
      <c r="J400" s="1545"/>
      <c r="K400" s="1545"/>
      <c r="L400" s="1543"/>
      <c r="M400" s="1543"/>
      <c r="N400" s="1546"/>
      <c r="O400" s="1543"/>
    </row>
    <row r="401" s="1515" customFormat="true" ht="14.25" hidden="false" customHeight="false" outlineLevel="0" collapsed="false">
      <c r="C401" s="1540"/>
      <c r="D401" s="359"/>
      <c r="E401" s="1524"/>
      <c r="F401" s="1540"/>
      <c r="G401" s="872"/>
      <c r="H401" s="1543"/>
      <c r="I401" s="1544"/>
      <c r="J401" s="1545"/>
      <c r="K401" s="1545"/>
      <c r="L401" s="1543"/>
      <c r="M401" s="1543"/>
      <c r="N401" s="1546"/>
      <c r="O401" s="1543"/>
    </row>
    <row r="402" s="1515" customFormat="true" ht="14.25" hidden="false" customHeight="false" outlineLevel="0" collapsed="false">
      <c r="C402" s="1540"/>
      <c r="D402" s="359"/>
      <c r="E402" s="1524"/>
      <c r="F402" s="1540"/>
      <c r="G402" s="872"/>
      <c r="H402" s="1543"/>
      <c r="I402" s="1544"/>
      <c r="J402" s="1545"/>
      <c r="K402" s="1545"/>
      <c r="L402" s="1543"/>
      <c r="M402" s="1543"/>
      <c r="N402" s="1546"/>
      <c r="O402" s="1543"/>
    </row>
    <row r="403" s="1515" customFormat="true" ht="14.25" hidden="false" customHeight="false" outlineLevel="0" collapsed="false">
      <c r="C403" s="1540"/>
      <c r="D403" s="359"/>
      <c r="E403" s="1524"/>
      <c r="F403" s="1540"/>
      <c r="G403" s="872"/>
      <c r="H403" s="1523"/>
      <c r="I403" s="1541"/>
      <c r="J403" s="1470"/>
      <c r="K403" s="1470"/>
      <c r="L403" s="1523"/>
      <c r="M403" s="1523"/>
      <c r="N403" s="1542"/>
      <c r="O403" s="1523"/>
      <c r="V403" s="1515" t="e">
        <f aca="false">MID(E403,LEN(E403),1)</f>
        <v>#VALUE!</v>
      </c>
      <c r="W403" s="1515" t="s">
        <v>1410</v>
      </c>
    </row>
    <row r="404" s="1515" customFormat="true" ht="14.25" hidden="false" customHeight="false" outlineLevel="0" collapsed="false">
      <c r="C404" s="1540"/>
      <c r="D404" s="359"/>
      <c r="E404" s="1524"/>
      <c r="F404" s="1540"/>
      <c r="G404" s="872"/>
      <c r="H404" s="1523"/>
      <c r="I404" s="1541"/>
      <c r="J404" s="1470"/>
      <c r="K404" s="1470"/>
      <c r="L404" s="1523"/>
      <c r="M404" s="1523"/>
      <c r="N404" s="1542"/>
      <c r="O404" s="1523"/>
      <c r="V404" s="1515" t="e">
        <f aca="false">MID(E404,LEN(E404),1)</f>
        <v>#VALUE!</v>
      </c>
      <c r="W404" s="1515" t="s">
        <v>1411</v>
      </c>
    </row>
    <row r="405" s="1515" customFormat="true" ht="14.25" hidden="false" customHeight="false" outlineLevel="0" collapsed="false">
      <c r="C405" s="1540"/>
      <c r="D405" s="359"/>
      <c r="E405" s="1524"/>
      <c r="F405" s="1540"/>
      <c r="G405" s="872"/>
      <c r="H405" s="1523"/>
      <c r="I405" s="1541"/>
      <c r="J405" s="1470"/>
      <c r="K405" s="1470"/>
      <c r="L405" s="1523"/>
      <c r="M405" s="1523"/>
      <c r="N405" s="1542"/>
      <c r="O405" s="1523"/>
      <c r="V405" s="1515" t="e">
        <f aca="false">MID(E405,LEN(E405),1)</f>
        <v>#VALUE!</v>
      </c>
      <c r="W405" s="1515" t="s">
        <v>1412</v>
      </c>
    </row>
    <row r="406" s="1515" customFormat="true" ht="14.25" hidden="false" customHeight="false" outlineLevel="0" collapsed="false">
      <c r="C406" s="1540"/>
      <c r="D406" s="359"/>
      <c r="E406" s="1524"/>
      <c r="F406" s="1540"/>
      <c r="G406" s="872"/>
      <c r="H406" s="1523"/>
      <c r="I406" s="1541"/>
      <c r="J406" s="1470"/>
      <c r="K406" s="1470"/>
      <c r="L406" s="1523"/>
      <c r="M406" s="1523"/>
      <c r="N406" s="1542"/>
      <c r="O406" s="1523"/>
    </row>
    <row r="407" s="1515" customFormat="true" ht="14.25" hidden="false" customHeight="false" outlineLevel="0" collapsed="false">
      <c r="C407" s="1540"/>
      <c r="D407" s="359"/>
      <c r="E407" s="1524"/>
      <c r="F407" s="1540"/>
      <c r="G407" s="872"/>
      <c r="H407" s="1523"/>
      <c r="I407" s="1541"/>
      <c r="J407" s="1470"/>
      <c r="K407" s="1470"/>
      <c r="L407" s="1523"/>
      <c r="M407" s="1523"/>
      <c r="N407" s="1542"/>
      <c r="O407" s="1523"/>
    </row>
    <row r="408" s="1515" customFormat="true" ht="14.25" hidden="false" customHeight="false" outlineLevel="0" collapsed="false">
      <c r="C408" s="1540"/>
      <c r="D408" s="359"/>
      <c r="E408" s="1524"/>
      <c r="F408" s="1540"/>
      <c r="G408" s="872"/>
      <c r="H408" s="1523"/>
      <c r="I408" s="1541"/>
      <c r="J408" s="1470"/>
      <c r="K408" s="1470"/>
      <c r="L408" s="1523"/>
      <c r="M408" s="1523"/>
      <c r="N408" s="1542"/>
      <c r="O408" s="1523"/>
      <c r="V408" s="1515" t="e">
        <f aca="false">MID(E408,LEN(E408),1)</f>
        <v>#VALUE!</v>
      </c>
      <c r="W408" s="1515" t="s">
        <v>1413</v>
      </c>
    </row>
    <row r="409" s="1515" customFormat="true" ht="14.25" hidden="false" customHeight="false" outlineLevel="0" collapsed="false">
      <c r="C409" s="1540"/>
      <c r="D409" s="359"/>
      <c r="E409" s="1524"/>
      <c r="F409" s="1540"/>
      <c r="G409" s="872"/>
      <c r="H409" s="1523"/>
      <c r="I409" s="1541"/>
      <c r="J409" s="1470"/>
      <c r="K409" s="1470"/>
      <c r="L409" s="1523"/>
      <c r="M409" s="1523"/>
      <c r="N409" s="1542"/>
      <c r="O409" s="1523"/>
      <c r="V409" s="1515" t="e">
        <f aca="false">MID(E409,LEN(E409),1)</f>
        <v>#VALUE!</v>
      </c>
      <c r="W409" s="1515" t="s">
        <v>1414</v>
      </c>
    </row>
    <row r="410" s="1515" customFormat="true" ht="14.25" hidden="false" customHeight="false" outlineLevel="0" collapsed="false">
      <c r="C410" s="1540"/>
      <c r="D410" s="359"/>
      <c r="E410" s="1524"/>
      <c r="F410" s="1540"/>
      <c r="G410" s="872"/>
      <c r="H410" s="1523"/>
      <c r="I410" s="1541"/>
      <c r="J410" s="1470"/>
      <c r="K410" s="1470"/>
      <c r="L410" s="1523"/>
      <c r="M410" s="1523"/>
      <c r="N410" s="1542"/>
      <c r="O410" s="1523"/>
      <c r="V410" s="1515" t="e">
        <f aca="false">MID(E410,LEN(E410),1)</f>
        <v>#VALUE!</v>
      </c>
      <c r="W410" s="1515" t="s">
        <v>1415</v>
      </c>
    </row>
    <row r="411" s="1515" customFormat="true" ht="14.25" hidden="false" customHeight="false" outlineLevel="0" collapsed="false">
      <c r="C411" s="1540"/>
      <c r="D411" s="359"/>
      <c r="E411" s="1524"/>
      <c r="F411" s="1540"/>
      <c r="G411" s="872"/>
      <c r="H411" s="1523"/>
      <c r="I411" s="1541"/>
      <c r="J411" s="1470"/>
      <c r="K411" s="1470"/>
      <c r="L411" s="1523"/>
      <c r="M411" s="1523"/>
      <c r="N411" s="1542"/>
      <c r="O411" s="1523"/>
      <c r="V411" s="1515" t="e">
        <f aca="false">MID(E411,LEN(E411),1)</f>
        <v>#VALUE!</v>
      </c>
      <c r="W411" s="1515" t="s">
        <v>1416</v>
      </c>
    </row>
    <row r="412" s="1515" customFormat="true" ht="14.25" hidden="false" customHeight="false" outlineLevel="0" collapsed="false">
      <c r="C412" s="1540"/>
      <c r="D412" s="359"/>
      <c r="E412" s="1524"/>
      <c r="F412" s="1540"/>
      <c r="G412" s="872"/>
      <c r="H412" s="1523"/>
      <c r="I412" s="1541"/>
      <c r="J412" s="1470"/>
      <c r="K412" s="1470"/>
      <c r="L412" s="1523"/>
      <c r="M412" s="1523"/>
      <c r="N412" s="1542"/>
      <c r="O412" s="1523"/>
      <c r="V412" s="1515" t="e">
        <f aca="false">MID(E412,LEN(E412),1)</f>
        <v>#VALUE!</v>
      </c>
      <c r="W412" s="1515" t="s">
        <v>1417</v>
      </c>
    </row>
    <row r="413" s="1515" customFormat="true" ht="14.25" hidden="false" customHeight="false" outlineLevel="0" collapsed="false">
      <c r="C413" s="1540"/>
      <c r="D413" s="359"/>
      <c r="E413" s="1524"/>
      <c r="F413" s="1540"/>
      <c r="G413" s="872"/>
      <c r="H413" s="1523"/>
      <c r="I413" s="1541"/>
      <c r="J413" s="1470"/>
      <c r="K413" s="1470"/>
      <c r="L413" s="1523"/>
      <c r="M413" s="1523"/>
      <c r="N413" s="1542"/>
      <c r="O413" s="1523"/>
      <c r="V413" s="1515" t="e">
        <f aca="false">MID(E413,LEN(E413),1)</f>
        <v>#VALUE!</v>
      </c>
      <c r="W413" s="1515" t="s">
        <v>1418</v>
      </c>
    </row>
    <row r="414" s="1515" customFormat="true" ht="14.25" hidden="false" customHeight="false" outlineLevel="0" collapsed="false">
      <c r="C414" s="1540"/>
      <c r="D414" s="359"/>
      <c r="E414" s="1524"/>
      <c r="F414" s="1540"/>
      <c r="G414" s="872"/>
      <c r="H414" s="1523"/>
      <c r="I414" s="1541"/>
      <c r="J414" s="1470"/>
      <c r="K414" s="1470"/>
      <c r="L414" s="1523"/>
      <c r="M414" s="1523"/>
      <c r="N414" s="1542"/>
      <c r="O414" s="1523"/>
    </row>
    <row r="415" s="1515" customFormat="true" ht="14.25" hidden="false" customHeight="false" outlineLevel="0" collapsed="false">
      <c r="C415" s="1540"/>
      <c r="D415" s="359"/>
      <c r="E415" s="1524"/>
      <c r="F415" s="1540"/>
      <c r="G415" s="872"/>
      <c r="H415" s="1523"/>
      <c r="I415" s="1541"/>
      <c r="J415" s="1470"/>
      <c r="K415" s="1470"/>
      <c r="L415" s="1523"/>
      <c r="M415" s="1523"/>
      <c r="N415" s="1542"/>
      <c r="O415" s="1523"/>
      <c r="V415" s="1515" t="e">
        <f aca="false">MID(E415,LEN(E415),1)</f>
        <v>#VALUE!</v>
      </c>
      <c r="W415" s="1515" t="s">
        <v>1419</v>
      </c>
    </row>
    <row r="416" s="1515" customFormat="true" ht="14.25" hidden="false" customHeight="false" outlineLevel="0" collapsed="false">
      <c r="C416" s="1540"/>
      <c r="D416" s="359"/>
      <c r="E416" s="1524"/>
      <c r="F416" s="1540"/>
      <c r="G416" s="872"/>
      <c r="H416" s="1523"/>
      <c r="I416" s="1541"/>
      <c r="J416" s="1470"/>
      <c r="K416" s="1470"/>
      <c r="L416" s="1523"/>
      <c r="M416" s="1523"/>
      <c r="N416" s="1542"/>
      <c r="O416" s="1523"/>
      <c r="V416" s="1515" t="e">
        <f aca="false">MID(E416,LEN(E416),1)</f>
        <v>#VALUE!</v>
      </c>
      <c r="W416" s="1515" t="s">
        <v>1420</v>
      </c>
    </row>
    <row r="417" s="1515" customFormat="true" ht="14.25" hidden="false" customHeight="false" outlineLevel="0" collapsed="false">
      <c r="C417" s="1540"/>
      <c r="D417" s="359"/>
      <c r="E417" s="1524"/>
      <c r="F417" s="1540"/>
      <c r="G417" s="872"/>
      <c r="H417" s="1543"/>
      <c r="I417" s="1544"/>
      <c r="J417" s="1545"/>
      <c r="K417" s="1545"/>
      <c r="L417" s="1543"/>
      <c r="M417" s="1543"/>
      <c r="N417" s="1546"/>
      <c r="O417" s="1543"/>
    </row>
    <row r="418" s="1515" customFormat="true" ht="14.25" hidden="false" customHeight="false" outlineLevel="0" collapsed="false">
      <c r="C418" s="1540"/>
      <c r="D418" s="359"/>
      <c r="E418" s="1524"/>
      <c r="F418" s="1540"/>
      <c r="G418" s="872"/>
      <c r="H418" s="1523"/>
      <c r="I418" s="1541"/>
      <c r="J418" s="1470"/>
      <c r="K418" s="1470"/>
      <c r="L418" s="1523"/>
      <c r="M418" s="1523"/>
      <c r="N418" s="1542"/>
      <c r="O418" s="1523"/>
      <c r="V418" s="1515" t="e">
        <f aca="false">MID(E418,LEN(E418),1)</f>
        <v>#VALUE!</v>
      </c>
      <c r="W418" s="1515" t="s">
        <v>1421</v>
      </c>
    </row>
    <row r="419" s="1515" customFormat="true" ht="14.25" hidden="false" customHeight="false" outlineLevel="0" collapsed="false">
      <c r="C419" s="1540"/>
      <c r="D419" s="359"/>
      <c r="E419" s="1524"/>
      <c r="F419" s="1540"/>
      <c r="G419" s="872"/>
      <c r="H419" s="1523"/>
      <c r="I419" s="1541"/>
      <c r="J419" s="1470"/>
      <c r="K419" s="1470"/>
      <c r="L419" s="1523"/>
      <c r="M419" s="1523"/>
      <c r="N419" s="1542"/>
      <c r="O419" s="1523"/>
      <c r="V419" s="1515" t="e">
        <f aca="false">MID(E419,LEN(E419),1)</f>
        <v>#VALUE!</v>
      </c>
      <c r="W419" s="1515" t="s">
        <v>1422</v>
      </c>
    </row>
  </sheetData>
  <sheetProtection sheet="true" password="cc9e" objects="true" scenarios="true"/>
  <autoFilter ref="W1:W420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377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ColWidth="11.8828125" defaultRowHeight="14.25" zeroHeight="false" outlineLevelRow="0" outlineLevelCol="0"/>
  <cols>
    <col collapsed="false" customWidth="true" hidden="false" outlineLevel="0" max="1" min="1" style="2" width="8.88"/>
    <col collapsed="false" customWidth="true" hidden="false" outlineLevel="0" max="3" min="2" style="2" width="4.88"/>
    <col collapsed="false" customWidth="true" hidden="false" outlineLevel="0" max="4" min="4" style="2" width="48.38"/>
    <col collapsed="false" customWidth="true" hidden="false" outlineLevel="0" max="5" min="5" style="2" width="4.88"/>
    <col collapsed="false" customWidth="true" hidden="false" outlineLevel="0" max="6" min="6" style="2" width="8.13"/>
    <col collapsed="false" customWidth="true" hidden="false" outlineLevel="0" max="7" min="7" style="2" width="10.38"/>
    <col collapsed="false" customWidth="true" hidden="false" outlineLevel="0" max="8" min="8" style="2" width="9.25"/>
    <col collapsed="false" customWidth="true" hidden="false" outlineLevel="0" max="9" min="9" style="2" width="8.13"/>
    <col collapsed="false" customWidth="true" hidden="false" outlineLevel="0" max="11" min="10" style="2" width="9.25"/>
    <col collapsed="false" customWidth="true" hidden="false" outlineLevel="0" max="13" min="12" style="2" width="10"/>
    <col collapsed="false" customWidth="true" hidden="false" outlineLevel="0" max="16" min="16" style="2" width="42.38"/>
  </cols>
  <sheetData>
    <row r="1" customFormat="false" ht="14.25" hidden="false" customHeight="false" outlineLevel="0" collapsed="false">
      <c r="A1" s="1528"/>
      <c r="B1" s="1528"/>
      <c r="C1" s="1528"/>
      <c r="D1" s="1528"/>
      <c r="E1" s="1528"/>
      <c r="F1" s="1528"/>
      <c r="G1" s="1528"/>
      <c r="H1" s="1528"/>
      <c r="I1" s="1528"/>
      <c r="J1" s="1528"/>
      <c r="K1" s="1528"/>
      <c r="L1" s="1528"/>
      <c r="M1" s="1547"/>
      <c r="N1" s="1528"/>
      <c r="O1" s="1548"/>
      <c r="P1" s="1528"/>
    </row>
    <row r="2" customFormat="false" ht="14.25" hidden="false" customHeight="false" outlineLevel="0" collapsed="false">
      <c r="A2" s="1528"/>
      <c r="B2" s="1528"/>
      <c r="C2" s="1528"/>
      <c r="D2" s="1528"/>
      <c r="E2" s="1528"/>
      <c r="F2" s="1528"/>
      <c r="G2" s="1528"/>
      <c r="H2" s="1528"/>
      <c r="I2" s="1528"/>
      <c r="J2" s="1528"/>
      <c r="K2" s="1528"/>
      <c r="L2" s="1528"/>
      <c r="M2" s="1549" t="s">
        <v>1423</v>
      </c>
      <c r="N2" s="1522" t="s">
        <v>1424</v>
      </c>
      <c r="O2" s="1550" t="s">
        <v>1425</v>
      </c>
      <c r="P2" s="1528"/>
    </row>
    <row r="3" customFormat="false" ht="14.25" hidden="false" customHeight="false" outlineLevel="0" collapsed="false">
      <c r="A3" s="1528"/>
      <c r="B3" s="1522" t="s">
        <v>474</v>
      </c>
      <c r="C3" s="1522" t="s">
        <v>984</v>
      </c>
      <c r="D3" s="1522"/>
      <c r="E3" s="1522" t="s">
        <v>992</v>
      </c>
      <c r="F3" s="1522" t="s">
        <v>986</v>
      </c>
      <c r="G3" s="1522" t="s">
        <v>987</v>
      </c>
      <c r="H3" s="1522" t="s">
        <v>988</v>
      </c>
      <c r="I3" s="1522" t="s">
        <v>989</v>
      </c>
      <c r="J3" s="1522" t="s">
        <v>990</v>
      </c>
      <c r="K3" s="1522" t="s">
        <v>991</v>
      </c>
      <c r="L3" s="1522"/>
      <c r="M3" s="1549" t="n">
        <v>4</v>
      </c>
      <c r="N3" s="1522" t="n">
        <v>19</v>
      </c>
      <c r="O3" s="1550" t="n">
        <v>6</v>
      </c>
      <c r="P3" s="1522"/>
    </row>
    <row r="4" customFormat="false" ht="14.25" hidden="false" customHeight="false" outlineLevel="0" collapsed="false">
      <c r="A4" s="1528"/>
      <c r="B4" s="1528" t="n">
        <v>1</v>
      </c>
      <c r="C4" s="1528" t="n">
        <v>1</v>
      </c>
      <c r="D4" s="1528" t="s">
        <v>993</v>
      </c>
      <c r="E4" s="1528" t="n">
        <v>0</v>
      </c>
      <c r="F4" s="1528" t="n">
        <v>114.19</v>
      </c>
      <c r="G4" s="1528" t="n">
        <v>240.4</v>
      </c>
      <c r="H4" s="1528" t="n">
        <v>522.73</v>
      </c>
      <c r="I4" s="1528" t="n">
        <v>1000</v>
      </c>
      <c r="J4" s="1528" t="n">
        <v>0.00479</v>
      </c>
      <c r="K4" s="1528" t="n">
        <v>0.01009</v>
      </c>
      <c r="L4" s="1528"/>
      <c r="M4" s="1547" t="str">
        <f aca="false">IF($E4=M$3,M$2,"")</f>
        <v/>
      </c>
      <c r="N4" s="1547" t="str">
        <f aca="false">IF($E4=N$3,N$2,"")</f>
        <v/>
      </c>
      <c r="O4" s="1547" t="str">
        <f aca="false">IF($E4=O$3,O$2,"")</f>
        <v/>
      </c>
      <c r="P4" s="1528" t="str">
        <f aca="false">CONCATENATE(D4,M4,N4,O4)</f>
        <v>TRIGO BLANDO</v>
      </c>
    </row>
    <row r="5" customFormat="false" ht="14.25" hidden="false" customHeight="false" outlineLevel="0" collapsed="false">
      <c r="A5" s="1528"/>
      <c r="B5" s="1528" t="n">
        <v>1</v>
      </c>
      <c r="C5" s="1528" t="n">
        <v>2</v>
      </c>
      <c r="D5" s="1528" t="s">
        <v>994</v>
      </c>
      <c r="E5" s="1528" t="n">
        <v>0</v>
      </c>
      <c r="F5" s="1528" t="n">
        <v>114.19</v>
      </c>
      <c r="G5" s="1528" t="n">
        <v>240.4</v>
      </c>
      <c r="H5" s="1528" t="n">
        <v>365.73</v>
      </c>
      <c r="I5" s="1528" t="n">
        <v>700</v>
      </c>
      <c r="J5" s="1528" t="n">
        <v>0.00479</v>
      </c>
      <c r="K5" s="1528" t="n">
        <v>0.01009</v>
      </c>
      <c r="L5" s="1528"/>
      <c r="M5" s="1547" t="str">
        <f aca="false">IF($E5=M$3,M$2,"")</f>
        <v/>
      </c>
      <c r="N5" s="1547" t="str">
        <f aca="false">IF($E5=N$3,N$2,"")</f>
        <v/>
      </c>
      <c r="O5" s="1547" t="str">
        <f aca="false">IF($E5=O$3,O$2,"")</f>
        <v/>
      </c>
      <c r="P5" s="1528" t="str">
        <f aca="false">CONCATENATE(D5,M5,N5,O5)</f>
        <v>ESPELTA</v>
      </c>
    </row>
    <row r="6" customFormat="false" ht="14.25" hidden="false" customHeight="false" outlineLevel="0" collapsed="false">
      <c r="A6" s="1528"/>
      <c r="B6" s="1528" t="n">
        <v>1</v>
      </c>
      <c r="C6" s="1528" t="n">
        <v>3</v>
      </c>
      <c r="D6" s="1528" t="s">
        <v>995</v>
      </c>
      <c r="E6" s="1528" t="n">
        <v>0</v>
      </c>
      <c r="F6" s="1528" t="n">
        <v>114.19</v>
      </c>
      <c r="G6" s="1528" t="n">
        <v>240.4</v>
      </c>
      <c r="H6" s="1528" t="n">
        <v>358.58</v>
      </c>
      <c r="I6" s="1528" t="n">
        <v>1000</v>
      </c>
      <c r="J6" s="1528" t="n">
        <v>0.00479</v>
      </c>
      <c r="K6" s="1528" t="n">
        <v>0.01009</v>
      </c>
      <c r="L6" s="1528"/>
      <c r="M6" s="1547" t="str">
        <f aca="false">IF($E6=M$3,M$2,"")</f>
        <v/>
      </c>
      <c r="N6" s="1547" t="str">
        <f aca="false">IF($E6=N$3,N$2,"")</f>
        <v/>
      </c>
      <c r="O6" s="1547" t="str">
        <f aca="false">IF($E6=O$3,O$2,"")</f>
        <v/>
      </c>
      <c r="P6" s="1528" t="str">
        <f aca="false">CONCATENATE(D6,M6,N6,O6)</f>
        <v>TRIGO DURO</v>
      </c>
    </row>
    <row r="7" customFormat="false" ht="14.25" hidden="false" customHeight="false" outlineLevel="0" collapsed="false">
      <c r="A7" s="1528"/>
      <c r="B7" s="1528" t="n">
        <v>1</v>
      </c>
      <c r="C7" s="1528" t="n">
        <v>4</v>
      </c>
      <c r="D7" s="1528" t="s">
        <v>996</v>
      </c>
      <c r="E7" s="1528" t="n">
        <v>0</v>
      </c>
      <c r="F7" s="1528" t="n">
        <v>114.19</v>
      </c>
      <c r="G7" s="1528" t="n">
        <v>480.81</v>
      </c>
      <c r="H7" s="1528" t="n">
        <v>951.75</v>
      </c>
      <c r="I7" s="1528" t="n">
        <v>2400</v>
      </c>
      <c r="J7" s="1528" t="n">
        <v>0.00479</v>
      </c>
      <c r="K7" s="1528" t="n">
        <v>0.02017</v>
      </c>
      <c r="L7" s="1528"/>
      <c r="M7" s="1547" t="str">
        <f aca="false">IF($E7=M$3,M$2,"")</f>
        <v/>
      </c>
      <c r="N7" s="1547" t="str">
        <f aca="false">IF($E7=N$3,N$2,"")</f>
        <v/>
      </c>
      <c r="O7" s="1547" t="str">
        <f aca="false">IF($E7=O$3,O$2,"")</f>
        <v/>
      </c>
      <c r="P7" s="1528" t="str">
        <f aca="false">CONCATENATE(D7,M7,N7,O7)</f>
        <v>MAÍZ</v>
      </c>
    </row>
    <row r="8" customFormat="false" ht="14.25" hidden="false" customHeight="false" outlineLevel="0" collapsed="false">
      <c r="A8" s="1528"/>
      <c r="B8" s="1528" t="n">
        <v>1</v>
      </c>
      <c r="C8" s="1528" t="n">
        <v>5</v>
      </c>
      <c r="D8" s="1528" t="s">
        <v>997</v>
      </c>
      <c r="E8" s="1528" t="n">
        <v>0</v>
      </c>
      <c r="F8" s="1528" t="n">
        <v>114.19</v>
      </c>
      <c r="G8" s="1528" t="n">
        <v>240.4</v>
      </c>
      <c r="H8" s="1528" t="n">
        <v>400</v>
      </c>
      <c r="I8" s="1528" t="n">
        <v>800</v>
      </c>
      <c r="J8" s="1528" t="n">
        <v>0.00479</v>
      </c>
      <c r="K8" s="1528" t="n">
        <v>0.01009</v>
      </c>
      <c r="L8" s="1528"/>
      <c r="M8" s="1547" t="str">
        <f aca="false">IF($E8=M$3,M$2,"")</f>
        <v/>
      </c>
      <c r="N8" s="1547" t="str">
        <f aca="false">IF($E8=N$3,N$2,"")</f>
        <v/>
      </c>
      <c r="O8" s="1547" t="str">
        <f aca="false">IF($E8=O$3,O$2,"")</f>
        <v/>
      </c>
      <c r="P8" s="1528" t="str">
        <f aca="false">CONCATENATE(D8,M8,N8,O8)</f>
        <v>CEBADA</v>
      </c>
    </row>
    <row r="9" customFormat="false" ht="14.25" hidden="false" customHeight="false" outlineLevel="0" collapsed="false">
      <c r="A9" s="1528"/>
      <c r="B9" s="1528" t="n">
        <v>1</v>
      </c>
      <c r="C9" s="1528" t="n">
        <v>6</v>
      </c>
      <c r="D9" s="1528" t="s">
        <v>998</v>
      </c>
      <c r="E9" s="1528" t="n">
        <v>0</v>
      </c>
      <c r="F9" s="1528" t="n">
        <v>114.19</v>
      </c>
      <c r="G9" s="1528" t="n">
        <v>240.4</v>
      </c>
      <c r="H9" s="1528" t="n">
        <v>364.22</v>
      </c>
      <c r="I9" s="1528" t="n">
        <v>600</v>
      </c>
      <c r="J9" s="1528" t="n">
        <v>0.00479</v>
      </c>
      <c r="K9" s="1528" t="n">
        <v>0.01009</v>
      </c>
      <c r="L9" s="1528"/>
      <c r="M9" s="1547" t="str">
        <f aca="false">IF($E9=M$3,M$2,"")</f>
        <v/>
      </c>
      <c r="N9" s="1547" t="str">
        <f aca="false">IF($E9=N$3,N$2,"")</f>
        <v/>
      </c>
      <c r="O9" s="1547" t="str">
        <f aca="false">IF($E9=O$3,O$2,"")</f>
        <v/>
      </c>
      <c r="P9" s="1528" t="str">
        <f aca="false">CONCATENATE(D9,M9,N9,O9)</f>
        <v>CENTENO</v>
      </c>
    </row>
    <row r="10" customFormat="false" ht="14.25" hidden="false" customHeight="false" outlineLevel="0" collapsed="false">
      <c r="A10" s="1528"/>
      <c r="B10" s="1528" t="n">
        <v>1</v>
      </c>
      <c r="C10" s="1528" t="n">
        <v>7</v>
      </c>
      <c r="D10" s="1528" t="s">
        <v>999</v>
      </c>
      <c r="E10" s="1528" t="n">
        <v>0</v>
      </c>
      <c r="F10" s="1528" t="n">
        <v>114.19</v>
      </c>
      <c r="G10" s="1528" t="n">
        <v>240.4</v>
      </c>
      <c r="H10" s="1528" t="n">
        <v>400</v>
      </c>
      <c r="I10" s="1528" t="n">
        <v>800</v>
      </c>
      <c r="J10" s="1528" t="n">
        <v>0.00479</v>
      </c>
      <c r="K10" s="1528" t="n">
        <v>0.01009</v>
      </c>
      <c r="L10" s="1528"/>
      <c r="M10" s="1547" t="str">
        <f aca="false">IF($E10=M$3,M$2,"")</f>
        <v/>
      </c>
      <c r="N10" s="1547" t="str">
        <f aca="false">IF($E10=N$3,N$2,"")</f>
        <v/>
      </c>
      <c r="O10" s="1547" t="str">
        <f aca="false">IF($E10=O$3,O$2,"")</f>
        <v/>
      </c>
      <c r="P10" s="1528" t="str">
        <f aca="false">CONCATENATE(D10,M10,N10,O10)</f>
        <v>SORGO</v>
      </c>
    </row>
    <row r="11" customFormat="false" ht="14.25" hidden="false" customHeight="false" outlineLevel="0" collapsed="false">
      <c r="A11" s="1528"/>
      <c r="B11" s="1528" t="n">
        <v>1</v>
      </c>
      <c r="C11" s="1528" t="n">
        <v>8</v>
      </c>
      <c r="D11" s="1528" t="s">
        <v>1000</v>
      </c>
      <c r="E11" s="1528" t="n">
        <v>0</v>
      </c>
      <c r="F11" s="1528" t="n">
        <v>114.19</v>
      </c>
      <c r="G11" s="1528" t="n">
        <v>240.4</v>
      </c>
      <c r="H11" s="1528" t="n">
        <v>294.04</v>
      </c>
      <c r="I11" s="1528" t="n">
        <v>600</v>
      </c>
      <c r="J11" s="1528" t="n">
        <v>0.00479</v>
      </c>
      <c r="K11" s="1528" t="n">
        <v>0.01009</v>
      </c>
      <c r="L11" s="1528"/>
      <c r="M11" s="1547" t="str">
        <f aca="false">IF($E11=M$3,M$2,"")</f>
        <v/>
      </c>
      <c r="N11" s="1547" t="str">
        <f aca="false">IF($E11=N$3,N$2,"")</f>
        <v/>
      </c>
      <c r="O11" s="1547" t="str">
        <f aca="false">IF($E11=O$3,O$2,"")</f>
        <v/>
      </c>
      <c r="P11" s="1528" t="str">
        <f aca="false">CONCATENATE(D11,M11,N11,O11)</f>
        <v>AVENA</v>
      </c>
    </row>
    <row r="12" customFormat="false" ht="14.25" hidden="false" customHeight="false" outlineLevel="0" collapsed="false">
      <c r="A12" s="1528"/>
      <c r="B12" s="1528" t="n">
        <v>1</v>
      </c>
      <c r="C12" s="1528" t="n">
        <v>9</v>
      </c>
      <c r="D12" s="1528" t="s">
        <v>1001</v>
      </c>
      <c r="E12" s="1528" t="n">
        <v>0</v>
      </c>
      <c r="F12" s="1528" t="n">
        <v>114.19</v>
      </c>
      <c r="G12" s="1528" t="n">
        <v>240.4</v>
      </c>
      <c r="H12" s="1528" t="n">
        <v>265.73</v>
      </c>
      <c r="I12" s="1528" t="n">
        <v>500</v>
      </c>
      <c r="J12" s="1528" t="n">
        <v>0.00479</v>
      </c>
      <c r="K12" s="1528" t="n">
        <v>0.01009</v>
      </c>
      <c r="L12" s="1528"/>
      <c r="M12" s="1547" t="str">
        <f aca="false">IF($E12=M$3,M$2,"")</f>
        <v/>
      </c>
      <c r="N12" s="1547" t="str">
        <f aca="false">IF($E12=N$3,N$2,"")</f>
        <v/>
      </c>
      <c r="O12" s="1547" t="str">
        <f aca="false">IF($E12=O$3,O$2,"")</f>
        <v/>
      </c>
      <c r="P12" s="1528" t="str">
        <f aca="false">CONCATENATE(D12,M12,N12,O12)</f>
        <v>ALFORFÓN</v>
      </c>
    </row>
    <row r="13" customFormat="false" ht="14.25" hidden="false" customHeight="false" outlineLevel="0" collapsed="false">
      <c r="A13" s="1528"/>
      <c r="B13" s="1528" t="n">
        <v>1</v>
      </c>
      <c r="C13" s="1528" t="n">
        <v>10</v>
      </c>
      <c r="D13" s="1528" t="s">
        <v>1002</v>
      </c>
      <c r="E13" s="1528" t="n">
        <v>0</v>
      </c>
      <c r="F13" s="1528" t="n">
        <v>114.19</v>
      </c>
      <c r="G13" s="1528" t="n">
        <v>240.4</v>
      </c>
      <c r="H13" s="1528" t="n">
        <v>365.73</v>
      </c>
      <c r="I13" s="1528" t="n">
        <v>600</v>
      </c>
      <c r="J13" s="1528" t="n">
        <v>0.00479</v>
      </c>
      <c r="K13" s="1528" t="n">
        <v>0.01009</v>
      </c>
      <c r="L13" s="1528"/>
      <c r="M13" s="1547" t="str">
        <f aca="false">IF($E13=M$3,M$2,"")</f>
        <v/>
      </c>
      <c r="N13" s="1547" t="str">
        <f aca="false">IF($E13=N$3,N$2,"")</f>
        <v/>
      </c>
      <c r="O13" s="1547" t="str">
        <f aca="false">IF($E13=O$3,O$2,"")</f>
        <v/>
      </c>
      <c r="P13" s="1528" t="str">
        <f aca="false">CONCATENATE(D13,M13,N13,O13)</f>
        <v>MIJO</v>
      </c>
    </row>
    <row r="14" customFormat="false" ht="14.25" hidden="false" customHeight="false" outlineLevel="0" collapsed="false">
      <c r="A14" s="1528"/>
      <c r="B14" s="1528" t="n">
        <v>1</v>
      </c>
      <c r="C14" s="1528" t="n">
        <v>11</v>
      </c>
      <c r="D14" s="1528" t="s">
        <v>1003</v>
      </c>
      <c r="E14" s="1528" t="n">
        <v>0</v>
      </c>
      <c r="F14" s="1528" t="n">
        <v>114.19</v>
      </c>
      <c r="G14" s="1528" t="n">
        <v>240.4</v>
      </c>
      <c r="H14" s="1528" t="n">
        <v>365.73</v>
      </c>
      <c r="I14" s="1528" t="n">
        <v>600</v>
      </c>
      <c r="J14" s="1528" t="n">
        <v>0.00479</v>
      </c>
      <c r="K14" s="1528" t="n">
        <v>0.01009</v>
      </c>
      <c r="L14" s="1528"/>
      <c r="M14" s="1547" t="str">
        <f aca="false">IF($E14=M$3,M$2,"")</f>
        <v/>
      </c>
      <c r="N14" s="1547" t="str">
        <f aca="false">IF($E14=N$3,N$2,"")</f>
        <v/>
      </c>
      <c r="O14" s="1547" t="str">
        <f aca="false">IF($E14=O$3,O$2,"")</f>
        <v/>
      </c>
      <c r="P14" s="1528" t="str">
        <f aca="false">CONCATENATE(D14,M14,N14,O14)</f>
        <v>ALPISTE</v>
      </c>
    </row>
    <row r="15" customFormat="false" ht="14.25" hidden="false" customHeight="false" outlineLevel="0" collapsed="false">
      <c r="A15" s="1528"/>
      <c r="B15" s="1528" t="n">
        <v>1</v>
      </c>
      <c r="C15" s="1528" t="n">
        <v>12</v>
      </c>
      <c r="D15" s="1528" t="s">
        <v>1004</v>
      </c>
      <c r="E15" s="1528" t="n">
        <v>0</v>
      </c>
      <c r="F15" s="1528" t="n">
        <v>114.19</v>
      </c>
      <c r="G15" s="1528" t="n">
        <v>240.4</v>
      </c>
      <c r="H15" s="1528" t="n">
        <v>365.73</v>
      </c>
      <c r="I15" s="1528" t="n">
        <v>600</v>
      </c>
      <c r="J15" s="1528" t="n">
        <v>0.00479</v>
      </c>
      <c r="K15" s="1528" t="n">
        <v>0.01009</v>
      </c>
      <c r="L15" s="1528"/>
      <c r="M15" s="1547" t="str">
        <f aca="false">IF($E15=M$3,M$2,"")</f>
        <v/>
      </c>
      <c r="N15" s="1547" t="str">
        <f aca="false">IF($E15=N$3,N$2,"")</f>
        <v/>
      </c>
      <c r="O15" s="1547" t="str">
        <f aca="false">IF($E15=O$3,O$2,"")</f>
        <v/>
      </c>
      <c r="P15" s="1528" t="str">
        <f aca="false">CONCATENATE(D15,M15,N15,O15)</f>
        <v>TRANQUILLÓN</v>
      </c>
    </row>
    <row r="16" customFormat="false" ht="14.25" hidden="false" customHeight="false" outlineLevel="0" collapsed="false">
      <c r="A16" s="1528"/>
      <c r="B16" s="1528" t="n">
        <v>1</v>
      </c>
      <c r="C16" s="1528" t="n">
        <v>13</v>
      </c>
      <c r="D16" s="1528" t="s">
        <v>1005</v>
      </c>
      <c r="E16" s="1528" t="n">
        <v>0</v>
      </c>
      <c r="F16" s="1528" t="n">
        <v>114.19</v>
      </c>
      <c r="G16" s="1528" t="n">
        <v>240.4</v>
      </c>
      <c r="H16" s="1528" t="n">
        <v>365.73</v>
      </c>
      <c r="I16" s="1528" t="n">
        <v>700</v>
      </c>
      <c r="J16" s="1528" t="n">
        <v>0.00479</v>
      </c>
      <c r="K16" s="1528" t="n">
        <v>0.01009</v>
      </c>
      <c r="L16" s="1528"/>
      <c r="M16" s="1547" t="str">
        <f aca="false">IF($E16=M$3,M$2,"")</f>
        <v/>
      </c>
      <c r="N16" s="1547" t="str">
        <f aca="false">IF($E16=N$3,N$2,"")</f>
        <v/>
      </c>
      <c r="O16" s="1547" t="str">
        <f aca="false">IF($E16=O$3,O$2,"")</f>
        <v/>
      </c>
      <c r="P16" s="1528" t="str">
        <f aca="false">CONCATENATE(D16,M16,N16,O16)</f>
        <v>TRITICALE</v>
      </c>
    </row>
    <row r="17" customFormat="false" ht="14.25" hidden="false" customHeight="false" outlineLevel="0" collapsed="false">
      <c r="A17" s="1528"/>
      <c r="B17" s="1528" t="n">
        <v>1</v>
      </c>
      <c r="C17" s="1528" t="n">
        <v>14</v>
      </c>
      <c r="D17" s="1528" t="s">
        <v>1006</v>
      </c>
      <c r="E17" s="1528" t="n">
        <v>0</v>
      </c>
      <c r="F17" s="1528" t="n">
        <v>114.19</v>
      </c>
      <c r="G17" s="1528" t="n">
        <v>240.4</v>
      </c>
      <c r="H17" s="1528" t="n">
        <v>365.73</v>
      </c>
      <c r="I17" s="1528" t="n">
        <v>700</v>
      </c>
      <c r="J17" s="1528" t="n">
        <v>0.00479</v>
      </c>
      <c r="K17" s="1528" t="n">
        <v>0.01009</v>
      </c>
      <c r="L17" s="1528"/>
      <c r="M17" s="1547" t="str">
        <f aca="false">IF($E17=M$3,M$2,"")</f>
        <v/>
      </c>
      <c r="N17" s="1547" t="str">
        <f aca="false">IF($E17=N$3,N$2,"")</f>
        <v/>
      </c>
      <c r="O17" s="1547" t="str">
        <f aca="false">IF($E17=O$3,O$2,"")</f>
        <v/>
      </c>
      <c r="P17" s="1528" t="str">
        <f aca="false">CONCATENATE(D17,M17,N17,O17)</f>
        <v>TRITORDEUM</v>
      </c>
    </row>
    <row r="18" customFormat="false" ht="14.25" hidden="false" customHeight="false" outlineLevel="0" collapsed="false">
      <c r="A18" s="1528"/>
      <c r="B18" s="1528" t="n">
        <v>1</v>
      </c>
      <c r="C18" s="1528" t="n">
        <v>19</v>
      </c>
      <c r="D18" s="1528" t="s">
        <v>1007</v>
      </c>
      <c r="E18" s="1528" t="n">
        <v>0</v>
      </c>
      <c r="F18" s="1528" t="n">
        <v>114.19</v>
      </c>
      <c r="G18" s="1528" t="n">
        <v>240.4</v>
      </c>
      <c r="H18" s="1528" t="n">
        <v>365.73</v>
      </c>
      <c r="I18" s="1528" t="n">
        <v>600</v>
      </c>
      <c r="J18" s="1528" t="n">
        <v>0.00479</v>
      </c>
      <c r="K18" s="1528" t="n">
        <v>0.01009</v>
      </c>
      <c r="L18" s="1528"/>
      <c r="M18" s="1547" t="str">
        <f aca="false">IF($E18=M$3,M$2,"")</f>
        <v/>
      </c>
      <c r="N18" s="1547" t="str">
        <f aca="false">IF($E18=N$3,N$2,"")</f>
        <v/>
      </c>
      <c r="O18" s="1547" t="str">
        <f aca="false">IF($E18=O$3,O$2,"")</f>
        <v/>
      </c>
      <c r="P18" s="1528" t="str">
        <f aca="false">CONCATENATE(D18,M18,N18,O18)</f>
        <v>TEFF</v>
      </c>
    </row>
    <row r="19" customFormat="false" ht="14.25" hidden="false" customHeight="false" outlineLevel="0" collapsed="false">
      <c r="A19" s="1528"/>
      <c r="B19" s="1528" t="n">
        <v>1</v>
      </c>
      <c r="C19" s="1528" t="n">
        <v>20</v>
      </c>
      <c r="D19" s="1528" t="s">
        <v>1008</v>
      </c>
      <c r="E19" s="1528" t="n">
        <v>0</v>
      </c>
      <c r="F19" s="1528" t="n">
        <v>48.08</v>
      </c>
      <c r="G19" s="1528" t="n">
        <v>150.25</v>
      </c>
      <c r="H19" s="1528" t="n">
        <v>119</v>
      </c>
      <c r="I19" s="1528" t="n">
        <v>256</v>
      </c>
      <c r="J19" s="1528" t="n">
        <v>0.00202</v>
      </c>
      <c r="K19" s="1528" t="n">
        <v>0.0063</v>
      </c>
      <c r="L19" s="1528"/>
      <c r="M19" s="1547" t="str">
        <f aca="false">IF($E19=M$3,M$2,"")</f>
        <v/>
      </c>
      <c r="N19" s="1547" t="str">
        <f aca="false">IF($E19=N$3,N$2,"")</f>
        <v/>
      </c>
      <c r="O19" s="1547" t="str">
        <f aca="false">IF($E19=O$3,O$2,"")</f>
        <v/>
      </c>
      <c r="P19" s="1528" t="str">
        <f aca="false">CONCATENATE(D19,M19,N19,O19)</f>
        <v>BARBECHO TRADICIONAL</v>
      </c>
    </row>
    <row r="20" customFormat="false" ht="14.25" hidden="false" customHeight="false" outlineLevel="0" collapsed="false">
      <c r="A20" s="1528"/>
      <c r="B20" s="1528" t="n">
        <v>1</v>
      </c>
      <c r="C20" s="1528" t="n">
        <v>23</v>
      </c>
      <c r="D20" s="1528" t="s">
        <v>1009</v>
      </c>
      <c r="E20" s="1528" t="n">
        <v>0</v>
      </c>
      <c r="F20" s="1528" t="n">
        <v>48.08</v>
      </c>
      <c r="G20" s="1528" t="n">
        <v>150.25</v>
      </c>
      <c r="H20" s="1528" t="n">
        <v>119</v>
      </c>
      <c r="I20" s="1528" t="n">
        <v>256</v>
      </c>
      <c r="J20" s="1528" t="n">
        <v>0.00202</v>
      </c>
      <c r="K20" s="1528" t="n">
        <v>0.0063</v>
      </c>
      <c r="L20" s="1528"/>
      <c r="M20" s="1547" t="str">
        <f aca="false">IF($E20=M$3,M$2,"")</f>
        <v/>
      </c>
      <c r="N20" s="1547" t="str">
        <f aca="false">IF($E20=N$3,N$2,"")</f>
        <v/>
      </c>
      <c r="O20" s="1547" t="str">
        <f aca="false">IF($E20=O$3,O$2,"")</f>
        <v/>
      </c>
      <c r="P20" s="1528" t="str">
        <f aca="false">CONCATENATE(D20,M20,N20,O20)</f>
        <v>BARBECHO MEDIOAMBIENTAL</v>
      </c>
    </row>
    <row r="21" customFormat="false" ht="14.25" hidden="false" customHeight="false" outlineLevel="0" collapsed="false">
      <c r="A21" s="1528"/>
      <c r="B21" s="1528" t="n">
        <v>1</v>
      </c>
      <c r="C21" s="1528" t="n">
        <v>33</v>
      </c>
      <c r="D21" s="1528" t="s">
        <v>1010</v>
      </c>
      <c r="E21" s="1528" t="n">
        <v>0</v>
      </c>
      <c r="F21" s="1528" t="n">
        <v>114.19</v>
      </c>
      <c r="G21" s="1528" t="n">
        <v>240.4</v>
      </c>
      <c r="H21" s="1528" t="n">
        <v>350</v>
      </c>
      <c r="I21" s="1528" t="n">
        <v>750</v>
      </c>
      <c r="J21" s="1528" t="n">
        <v>0.00479</v>
      </c>
      <c r="K21" s="1528" t="n">
        <v>0.01009</v>
      </c>
      <c r="L21" s="1528"/>
      <c r="M21" s="1547" t="str">
        <f aca="false">IF($E21=M$3,M$2,"")</f>
        <v/>
      </c>
      <c r="N21" s="1547" t="str">
        <f aca="false">IF($E21=N$3,N$2,"")</f>
        <v/>
      </c>
      <c r="O21" s="1547" t="str">
        <f aca="false">IF($E21=O$3,O$2,"")</f>
        <v/>
      </c>
      <c r="P21" s="1528" t="str">
        <f aca="false">CONCATENATE(D21,M21,N21,O21)</f>
        <v>GIRASOL</v>
      </c>
    </row>
    <row r="22" customFormat="false" ht="14.25" hidden="false" customHeight="false" outlineLevel="0" collapsed="false">
      <c r="A22" s="1528"/>
      <c r="B22" s="1528" t="n">
        <v>1</v>
      </c>
      <c r="C22" s="1528" t="n">
        <v>34</v>
      </c>
      <c r="D22" s="1528" t="s">
        <v>1011</v>
      </c>
      <c r="E22" s="1528" t="n">
        <v>0</v>
      </c>
      <c r="F22" s="1528" t="n">
        <v>114.19</v>
      </c>
      <c r="G22" s="1528" t="n">
        <v>240.4</v>
      </c>
      <c r="H22" s="1528" t="n">
        <v>350</v>
      </c>
      <c r="I22" s="1528" t="n">
        <v>850</v>
      </c>
      <c r="J22" s="1528" t="n">
        <v>0.00479</v>
      </c>
      <c r="K22" s="1528" t="n">
        <v>0.01009</v>
      </c>
      <c r="L22" s="1528"/>
      <c r="M22" s="1547" t="str">
        <f aca="false">IF($E22=M$3,M$2,"")</f>
        <v/>
      </c>
      <c r="N22" s="1547" t="str">
        <f aca="false">IF($E22=N$3,N$2,"")</f>
        <v/>
      </c>
      <c r="O22" s="1547" t="str">
        <f aca="false">IF($E22=O$3,O$2,"")</f>
        <v/>
      </c>
      <c r="P22" s="1528" t="str">
        <f aca="false">CONCATENATE(D22,M22,N22,O22)</f>
        <v>SOJA</v>
      </c>
    </row>
    <row r="23" customFormat="false" ht="14.25" hidden="false" customHeight="false" outlineLevel="0" collapsed="false">
      <c r="A23" s="1528"/>
      <c r="B23" s="1528" t="n">
        <v>1</v>
      </c>
      <c r="C23" s="1528" t="n">
        <v>35</v>
      </c>
      <c r="D23" s="1528" t="s">
        <v>1012</v>
      </c>
      <c r="E23" s="1528" t="n">
        <v>0</v>
      </c>
      <c r="F23" s="1528" t="n">
        <v>114.19</v>
      </c>
      <c r="G23" s="1528" t="n">
        <v>240.4</v>
      </c>
      <c r="H23" s="1528" t="n">
        <v>350</v>
      </c>
      <c r="I23" s="1528" t="n">
        <v>750</v>
      </c>
      <c r="J23" s="1528" t="n">
        <v>0.00479</v>
      </c>
      <c r="K23" s="1528" t="n">
        <v>0.01009</v>
      </c>
      <c r="L23" s="1528"/>
      <c r="M23" s="1547" t="str">
        <f aca="false">IF($E23=M$3,M$2,"")</f>
        <v/>
      </c>
      <c r="N23" s="1547" t="str">
        <f aca="false">IF($E23=N$3,N$2,"")</f>
        <v/>
      </c>
      <c r="O23" s="1547" t="str">
        <f aca="false">IF($E23=O$3,O$2,"")</f>
        <v/>
      </c>
      <c r="P23" s="1528" t="str">
        <f aca="false">CONCATENATE(D23,M23,N23,O23)</f>
        <v>COLZA</v>
      </c>
    </row>
    <row r="24" customFormat="false" ht="14.25" hidden="false" customHeight="false" outlineLevel="0" collapsed="false">
      <c r="A24" s="1528"/>
      <c r="B24" s="1528" t="n">
        <v>1</v>
      </c>
      <c r="C24" s="1528" t="n">
        <v>36</v>
      </c>
      <c r="D24" s="1528" t="s">
        <v>1013</v>
      </c>
      <c r="E24" s="1528" t="n">
        <v>0</v>
      </c>
      <c r="F24" s="1528" t="n">
        <v>114.19</v>
      </c>
      <c r="G24" s="1528" t="n">
        <v>240.4</v>
      </c>
      <c r="H24" s="1528" t="n">
        <v>186.91</v>
      </c>
      <c r="I24" s="1528" t="n">
        <v>840.36</v>
      </c>
      <c r="J24" s="1528" t="n">
        <v>0.00479</v>
      </c>
      <c r="K24" s="1528" t="n">
        <v>0.01009</v>
      </c>
      <c r="L24" s="1528"/>
      <c r="M24" s="1547" t="str">
        <f aca="false">IF($E24=M$3,M$2,"")</f>
        <v/>
      </c>
      <c r="N24" s="1547" t="str">
        <f aca="false">IF($E24=N$3,N$2,"")</f>
        <v/>
      </c>
      <c r="O24" s="1547" t="str">
        <f aca="false">IF($E24=O$3,O$2,"")</f>
        <v/>
      </c>
      <c r="P24" s="1528" t="str">
        <f aca="false">CONCATENATE(D24,M24,N24,O24)</f>
        <v>CAMELINA</v>
      </c>
    </row>
    <row r="25" customFormat="false" ht="14.25" hidden="false" customHeight="false" outlineLevel="0" collapsed="false">
      <c r="A25" s="1528"/>
      <c r="B25" s="1528" t="n">
        <v>1</v>
      </c>
      <c r="C25" s="1528" t="n">
        <v>40</v>
      </c>
      <c r="D25" s="1528" t="s">
        <v>1014</v>
      </c>
      <c r="E25" s="1528" t="n">
        <v>0</v>
      </c>
      <c r="F25" s="1528" t="n">
        <v>114.19</v>
      </c>
      <c r="G25" s="1528" t="n">
        <v>240.4</v>
      </c>
      <c r="H25" s="1528" t="n">
        <v>300</v>
      </c>
      <c r="I25" s="1528" t="n">
        <v>700</v>
      </c>
      <c r="J25" s="1528" t="n">
        <v>0.00479</v>
      </c>
      <c r="K25" s="1528" t="n">
        <v>0.01009</v>
      </c>
      <c r="L25" s="1528"/>
      <c r="M25" s="1547" t="str">
        <f aca="false">IF($E25=M$3,M$2,"")</f>
        <v/>
      </c>
      <c r="N25" s="1547" t="str">
        <f aca="false">IF($E25=N$3,N$2,"")</f>
        <v/>
      </c>
      <c r="O25" s="1547" t="str">
        <f aca="false">IF($E25=O$3,O$2,"")</f>
        <v/>
      </c>
      <c r="P25" s="1528" t="str">
        <f aca="false">CONCATENATE(D25,M25,N25,O25)</f>
        <v>GUISANTE</v>
      </c>
    </row>
    <row r="26" customFormat="false" ht="14.25" hidden="false" customHeight="false" outlineLevel="0" collapsed="false">
      <c r="A26" s="1528"/>
      <c r="B26" s="1528" t="n">
        <v>1</v>
      </c>
      <c r="C26" s="1528" t="n">
        <v>41</v>
      </c>
      <c r="D26" s="1528" t="s">
        <v>1015</v>
      </c>
      <c r="E26" s="1528" t="n">
        <v>0</v>
      </c>
      <c r="F26" s="1528" t="n">
        <v>114.19</v>
      </c>
      <c r="G26" s="1528" t="n">
        <v>240.4</v>
      </c>
      <c r="H26" s="1528" t="n">
        <v>350</v>
      </c>
      <c r="I26" s="1528" t="n">
        <v>750</v>
      </c>
      <c r="J26" s="1528" t="n">
        <v>0.00479</v>
      </c>
      <c r="K26" s="1528" t="n">
        <v>0.01009</v>
      </c>
      <c r="L26" s="1528"/>
      <c r="M26" s="1547" t="str">
        <f aca="false">IF($E26=M$3,M$2,"")</f>
        <v/>
      </c>
      <c r="N26" s="1547" t="str">
        <f aca="false">IF($E26=N$3,N$2,"")</f>
        <v/>
      </c>
      <c r="O26" s="1547" t="str">
        <f aca="false">IF($E26=O$3,O$2,"")</f>
        <v/>
      </c>
      <c r="P26" s="1528" t="str">
        <f aca="false">CONCATENATE(D26,M26,N26,O26)</f>
        <v>HABA</v>
      </c>
    </row>
    <row r="27" customFormat="false" ht="14.25" hidden="false" customHeight="false" outlineLevel="0" collapsed="false">
      <c r="A27" s="1528"/>
      <c r="B27" s="1528" t="n">
        <v>1</v>
      </c>
      <c r="C27" s="1528" t="n">
        <v>43</v>
      </c>
      <c r="D27" s="1528" t="s">
        <v>1016</v>
      </c>
      <c r="E27" s="1528" t="n">
        <v>0</v>
      </c>
      <c r="F27" s="1528" t="n">
        <v>114.19</v>
      </c>
      <c r="G27" s="1528" t="n">
        <v>240.4</v>
      </c>
      <c r="H27" s="1528" t="n">
        <v>350</v>
      </c>
      <c r="I27" s="1528" t="n">
        <v>750</v>
      </c>
      <c r="J27" s="1528" t="n">
        <v>0.00479</v>
      </c>
      <c r="K27" s="1528" t="n">
        <v>0.01009</v>
      </c>
      <c r="L27" s="1528"/>
      <c r="M27" s="1547" t="str">
        <f aca="false">IF($E27=M$3,M$2,"")</f>
        <v/>
      </c>
      <c r="N27" s="1547" t="str">
        <f aca="false">IF($E27=N$3,N$2,"")</f>
        <v/>
      </c>
      <c r="O27" s="1547" t="str">
        <f aca="false">IF($E27=O$3,O$2,"")</f>
        <v/>
      </c>
      <c r="P27" s="1528" t="str">
        <f aca="false">CONCATENATE(D27,M27,N27,O27)</f>
        <v>ALTRAMUZ BLANCO</v>
      </c>
    </row>
    <row r="28" customFormat="false" ht="14.25" hidden="false" customHeight="false" outlineLevel="0" collapsed="false">
      <c r="A28" s="1528"/>
      <c r="B28" s="1528" t="n">
        <v>1</v>
      </c>
      <c r="C28" s="1528" t="n">
        <v>49</v>
      </c>
      <c r="D28" s="1528" t="s">
        <v>1017</v>
      </c>
      <c r="E28" s="1528" t="n">
        <v>0</v>
      </c>
      <c r="F28" s="1528" t="n">
        <v>114.19</v>
      </c>
      <c r="G28" s="1528" t="n">
        <v>240.4</v>
      </c>
      <c r="H28" s="1528" t="n">
        <v>350</v>
      </c>
      <c r="I28" s="1528" t="n">
        <v>750</v>
      </c>
      <c r="J28" s="1528" t="n">
        <v>0.00479</v>
      </c>
      <c r="K28" s="1528" t="n">
        <v>0.01009</v>
      </c>
      <c r="L28" s="1528"/>
      <c r="M28" s="1547" t="str">
        <f aca="false">IF($E28=M$3,M$2,"")</f>
        <v/>
      </c>
      <c r="N28" s="1547" t="str">
        <f aca="false">IF($E28=N$3,N$2,"")</f>
        <v/>
      </c>
      <c r="O28" s="1547" t="str">
        <f aca="false">IF($E28=O$3,O$2,"")</f>
        <v/>
      </c>
      <c r="P28" s="1528" t="str">
        <f aca="false">CONCATENATE(D28,M28,N28,O28)</f>
        <v>ALUBIA</v>
      </c>
    </row>
    <row r="29" customFormat="false" ht="14.25" hidden="false" customHeight="false" outlineLevel="0" collapsed="false">
      <c r="A29" s="1528"/>
      <c r="B29" s="1528" t="n">
        <v>1</v>
      </c>
      <c r="C29" s="1528" t="n">
        <v>50</v>
      </c>
      <c r="D29" s="1528" t="s">
        <v>1018</v>
      </c>
      <c r="E29" s="1528" t="n">
        <v>0</v>
      </c>
      <c r="F29" s="1528" t="n">
        <v>114.19</v>
      </c>
      <c r="G29" s="1528" t="n">
        <v>240.4</v>
      </c>
      <c r="H29" s="1528" t="n">
        <v>350</v>
      </c>
      <c r="I29" s="1528" t="n">
        <v>1000</v>
      </c>
      <c r="J29" s="1528" t="n">
        <v>0.00479</v>
      </c>
      <c r="K29" s="1528" t="n">
        <v>0.01009</v>
      </c>
      <c r="L29" s="1528"/>
      <c r="M29" s="1547" t="str">
        <f aca="false">IF($E29=M$3,M$2,"")</f>
        <v/>
      </c>
      <c r="N29" s="1547" t="str">
        <f aca="false">IF($E29=N$3,N$2,"")</f>
        <v/>
      </c>
      <c r="O29" s="1547" t="str">
        <f aca="false">IF($E29=O$3,O$2,"")</f>
        <v/>
      </c>
      <c r="P29" s="1528" t="str">
        <f aca="false">CONCATENATE(D29,M29,N29,O29)</f>
        <v>GARBANZO</v>
      </c>
    </row>
    <row r="30" customFormat="false" ht="14.25" hidden="false" customHeight="false" outlineLevel="0" collapsed="false">
      <c r="A30" s="1528"/>
      <c r="B30" s="1528" t="n">
        <v>1</v>
      </c>
      <c r="C30" s="1528" t="n">
        <v>51</v>
      </c>
      <c r="D30" s="1528" t="s">
        <v>1019</v>
      </c>
      <c r="E30" s="1528" t="n">
        <v>0</v>
      </c>
      <c r="F30" s="1528" t="n">
        <v>114.19</v>
      </c>
      <c r="G30" s="1528" t="n">
        <v>240.4</v>
      </c>
      <c r="H30" s="1528" t="n">
        <v>350</v>
      </c>
      <c r="I30" s="1528" t="n">
        <v>750</v>
      </c>
      <c r="J30" s="1528" t="n">
        <v>0.00479</v>
      </c>
      <c r="K30" s="1528" t="n">
        <v>0.01009</v>
      </c>
      <c r="L30" s="1528"/>
      <c r="M30" s="1547" t="str">
        <f aca="false">IF($E30=M$3,M$2,"")</f>
        <v/>
      </c>
      <c r="N30" s="1547" t="str">
        <f aca="false">IF($E30=N$3,N$2,"")</f>
        <v/>
      </c>
      <c r="O30" s="1547" t="str">
        <f aca="false">IF($E30=O$3,O$2,"")</f>
        <v/>
      </c>
      <c r="P30" s="1528" t="str">
        <f aca="false">CONCATENATE(D30,M30,N30,O30)</f>
        <v>LENTEJA</v>
      </c>
    </row>
    <row r="31" customFormat="false" ht="14.25" hidden="false" customHeight="false" outlineLevel="0" collapsed="false">
      <c r="A31" s="1528"/>
      <c r="B31" s="1528" t="n">
        <v>1</v>
      </c>
      <c r="C31" s="1528" t="n">
        <v>52</v>
      </c>
      <c r="D31" s="1528" t="s">
        <v>1020</v>
      </c>
      <c r="E31" s="1528" t="n">
        <v>0</v>
      </c>
      <c r="F31" s="1528" t="n">
        <v>114.19</v>
      </c>
      <c r="G31" s="1528" t="n">
        <v>240.4</v>
      </c>
      <c r="H31" s="1528" t="n">
        <v>350</v>
      </c>
      <c r="I31" s="1528" t="n">
        <v>750</v>
      </c>
      <c r="J31" s="1528" t="n">
        <v>0.00479</v>
      </c>
      <c r="K31" s="1528" t="n">
        <v>0.01009</v>
      </c>
      <c r="L31" s="1528"/>
      <c r="M31" s="1547" t="str">
        <f aca="false">IF($E31=M$3,M$2,"")</f>
        <v/>
      </c>
      <c r="N31" s="1547" t="str">
        <f aca="false">IF($E31=N$3,N$2,"")</f>
        <v/>
      </c>
      <c r="O31" s="1547" t="str">
        <f aca="false">IF($E31=O$3,O$2,"")</f>
        <v/>
      </c>
      <c r="P31" s="1528" t="str">
        <f aca="false">CONCATENATE(D31,M31,N31,O31)</f>
        <v>VEZA</v>
      </c>
    </row>
    <row r="32" customFormat="false" ht="14.25" hidden="false" customHeight="false" outlineLevel="0" collapsed="false">
      <c r="A32" s="1528"/>
      <c r="B32" s="1528" t="n">
        <v>1</v>
      </c>
      <c r="C32" s="1528" t="n">
        <v>53</v>
      </c>
      <c r="D32" s="1528" t="s">
        <v>1021</v>
      </c>
      <c r="E32" s="1528" t="n">
        <v>0</v>
      </c>
      <c r="F32" s="1528" t="n">
        <v>114.19</v>
      </c>
      <c r="G32" s="1528" t="n">
        <v>240.4</v>
      </c>
      <c r="H32" s="1528" t="n">
        <v>350</v>
      </c>
      <c r="I32" s="1528" t="n">
        <v>750</v>
      </c>
      <c r="J32" s="1528" t="n">
        <v>0.00479</v>
      </c>
      <c r="K32" s="1528" t="n">
        <v>0.01009</v>
      </c>
      <c r="L32" s="1528"/>
      <c r="M32" s="1547" t="str">
        <f aca="false">IF($E32=M$3,M$2,"")</f>
        <v/>
      </c>
      <c r="N32" s="1547" t="str">
        <f aca="false">IF($E32=N$3,N$2,"")</f>
        <v/>
      </c>
      <c r="O32" s="1547" t="str">
        <f aca="false">IF($E32=O$3,O$2,"")</f>
        <v/>
      </c>
      <c r="P32" s="1528" t="str">
        <f aca="false">CONCATENATE(D32,M32,N32,O32)</f>
        <v>YEROS</v>
      </c>
    </row>
    <row r="33" customFormat="false" ht="14.25" hidden="false" customHeight="false" outlineLevel="0" collapsed="false">
      <c r="A33" s="1528"/>
      <c r="B33" s="1528" t="n">
        <v>1</v>
      </c>
      <c r="C33" s="1528" t="n">
        <v>60</v>
      </c>
      <c r="D33" s="1528" t="s">
        <v>1022</v>
      </c>
      <c r="E33" s="1528" t="n">
        <v>0</v>
      </c>
      <c r="F33" s="1528" t="n">
        <v>114.19</v>
      </c>
      <c r="G33" s="1528" t="n">
        <v>480.81</v>
      </c>
      <c r="H33" s="1528" t="n">
        <v>800</v>
      </c>
      <c r="I33" s="1528" t="n">
        <v>2000</v>
      </c>
      <c r="J33" s="1528" t="n">
        <v>0.00479</v>
      </c>
      <c r="K33" s="1528" t="n">
        <v>0.02017</v>
      </c>
      <c r="L33" s="1528"/>
      <c r="M33" s="1547" t="str">
        <f aca="false">IF($E33=M$3,M$2,"")</f>
        <v/>
      </c>
      <c r="N33" s="1547" t="str">
        <f aca="false">IF($E33=N$3,N$2,"")</f>
        <v/>
      </c>
      <c r="O33" s="1547" t="str">
        <f aca="false">IF($E33=O$3,O$2,"")</f>
        <v/>
      </c>
      <c r="P33" s="1528" t="str">
        <f aca="false">CONCATENATE(D33,M33,N33,O33)</f>
        <v>ALFALFA</v>
      </c>
    </row>
    <row r="34" customFormat="false" ht="14.25" hidden="false" customHeight="false" outlineLevel="0" collapsed="false">
      <c r="A34" s="1528"/>
      <c r="B34" s="1528" t="n">
        <v>1</v>
      </c>
      <c r="C34" s="1528" t="n">
        <v>61</v>
      </c>
      <c r="D34" s="1528" t="s">
        <v>1023</v>
      </c>
      <c r="E34" s="1528" t="n">
        <v>0</v>
      </c>
      <c r="F34" s="1528" t="n">
        <v>114.19</v>
      </c>
      <c r="G34" s="1528" t="n">
        <v>240.4</v>
      </c>
      <c r="H34" s="1528" t="n">
        <v>700</v>
      </c>
      <c r="I34" s="1528" t="n">
        <v>1800</v>
      </c>
      <c r="J34" s="1528" t="n">
        <v>0.00479</v>
      </c>
      <c r="K34" s="1528" t="n">
        <v>0.01009</v>
      </c>
      <c r="L34" s="1528"/>
      <c r="M34" s="1547" t="str">
        <f aca="false">IF($E34=M$3,M$2,"")</f>
        <v/>
      </c>
      <c r="N34" s="1547" t="str">
        <f aca="false">IF($E34=N$3,N$2,"")</f>
        <v/>
      </c>
      <c r="O34" s="1547" t="str">
        <f aca="false">IF($E34=O$3,O$2,"")</f>
        <v/>
      </c>
      <c r="P34" s="1528" t="str">
        <f aca="false">CONCATENATE(D34,M34,N34,O34)</f>
        <v>ALHOLVA</v>
      </c>
    </row>
    <row r="35" customFormat="false" ht="14.25" hidden="false" customHeight="false" outlineLevel="0" collapsed="false">
      <c r="A35" s="1528"/>
      <c r="B35" s="1528" t="n">
        <v>1</v>
      </c>
      <c r="C35" s="1528" t="n">
        <v>67</v>
      </c>
      <c r="D35" s="1528" t="s">
        <v>1024</v>
      </c>
      <c r="E35" s="1528" t="n">
        <v>0</v>
      </c>
      <c r="F35" s="1528" t="n">
        <v>114.19</v>
      </c>
      <c r="G35" s="1528" t="n">
        <v>240.4</v>
      </c>
      <c r="H35" s="1528" t="n">
        <v>700</v>
      </c>
      <c r="I35" s="1528" t="n">
        <v>1800</v>
      </c>
      <c r="J35" s="1528" t="n">
        <v>0.00479</v>
      </c>
      <c r="K35" s="1528" t="n">
        <v>0.01009</v>
      </c>
      <c r="L35" s="1528"/>
      <c r="M35" s="1547" t="str">
        <f aca="false">IF($E35=M$3,M$2,"")</f>
        <v/>
      </c>
      <c r="N35" s="1547" t="str">
        <f aca="false">IF($E35=N$3,N$2,"")</f>
        <v/>
      </c>
      <c r="O35" s="1547" t="str">
        <f aca="false">IF($E35=O$3,O$2,"")</f>
        <v/>
      </c>
      <c r="P35" s="1528" t="str">
        <f aca="false">CONCATENATE(D35,M35,N35,O35)</f>
        <v>ESPARCETA</v>
      </c>
    </row>
    <row r="36" customFormat="false" ht="14.25" hidden="false" customHeight="false" outlineLevel="0" collapsed="false">
      <c r="A36" s="1528"/>
      <c r="B36" s="1528" t="n">
        <v>1</v>
      </c>
      <c r="C36" s="1528" t="n">
        <v>68</v>
      </c>
      <c r="D36" s="1528" t="s">
        <v>1026</v>
      </c>
      <c r="E36" s="1528" t="n">
        <v>0</v>
      </c>
      <c r="F36" s="1528" t="n">
        <v>114.19</v>
      </c>
      <c r="G36" s="1528" t="n">
        <v>270.46</v>
      </c>
      <c r="H36" s="1528" t="n">
        <v>450</v>
      </c>
      <c r="I36" s="1528" t="n">
        <v>1000</v>
      </c>
      <c r="J36" s="1528" t="n">
        <v>0.00479</v>
      </c>
      <c r="K36" s="1528" t="n">
        <v>0.01135</v>
      </c>
      <c r="L36" s="1528"/>
      <c r="M36" s="1547" t="str">
        <f aca="false">IF($E36=M$3,M$2,"")</f>
        <v/>
      </c>
      <c r="N36" s="1547" t="str">
        <f aca="false">IF($E36=N$3,N$2,"")</f>
        <v/>
      </c>
      <c r="O36" s="1547" t="str">
        <f aca="false">IF($E36=O$3,O$2,"")</f>
        <v/>
      </c>
      <c r="P36" s="1528" t="str">
        <f aca="false">CONCATENATE(D36,M36,N36,O36)</f>
        <v>FESTUCA</v>
      </c>
    </row>
    <row r="37" customFormat="false" ht="14.25" hidden="false" customHeight="false" outlineLevel="0" collapsed="false">
      <c r="A37" s="1528"/>
      <c r="B37" s="1528" t="n">
        <v>1</v>
      </c>
      <c r="C37" s="1528" t="n">
        <v>69</v>
      </c>
      <c r="D37" s="1528" t="s">
        <v>1028</v>
      </c>
      <c r="E37" s="1528" t="n">
        <v>0</v>
      </c>
      <c r="F37" s="1528" t="n">
        <v>114.19</v>
      </c>
      <c r="G37" s="1528" t="n">
        <v>270.46</v>
      </c>
      <c r="H37" s="1528" t="n">
        <v>700</v>
      </c>
      <c r="I37" s="1528" t="n">
        <v>2000</v>
      </c>
      <c r="J37" s="1528" t="n">
        <v>0.00479</v>
      </c>
      <c r="K37" s="1528" t="n">
        <v>0.01135</v>
      </c>
      <c r="L37" s="1528"/>
      <c r="M37" s="1547" t="str">
        <f aca="false">IF($E37=M$3,M$2,"")</f>
        <v/>
      </c>
      <c r="N37" s="1547" t="str">
        <f aca="false">IF($E37=N$3,N$2,"")</f>
        <v/>
      </c>
      <c r="O37" s="1547" t="str">
        <f aca="false">IF($E37=O$3,O$2,"")</f>
        <v/>
      </c>
      <c r="P37" s="1528" t="str">
        <f aca="false">CONCATENATE(D37,M37,N37,O37)</f>
        <v>RAYGRASS PERENNE</v>
      </c>
    </row>
    <row r="38" customFormat="false" ht="14.25" hidden="false" customHeight="false" outlineLevel="0" collapsed="false">
      <c r="A38" s="1528"/>
      <c r="B38" s="1528" t="n">
        <v>1</v>
      </c>
      <c r="C38" s="1528" t="n">
        <v>70</v>
      </c>
      <c r="D38" s="1528" t="s">
        <v>1029</v>
      </c>
      <c r="E38" s="1528" t="n">
        <v>0</v>
      </c>
      <c r="F38" s="1528" t="n">
        <v>114.19</v>
      </c>
      <c r="G38" s="1528" t="n">
        <v>270.46</v>
      </c>
      <c r="H38" s="1528" t="n">
        <v>769.21</v>
      </c>
      <c r="I38" s="1528" t="n">
        <v>2400</v>
      </c>
      <c r="J38" s="1528" t="n">
        <v>0.00479</v>
      </c>
      <c r="K38" s="1528" t="n">
        <v>0.01135</v>
      </c>
      <c r="L38" s="1528"/>
      <c r="M38" s="1547" t="str">
        <f aca="false">IF($E38=M$3,M$2,"")</f>
        <v/>
      </c>
      <c r="N38" s="1547" t="str">
        <f aca="false">IF($E38=N$3,N$2,"")</f>
        <v/>
      </c>
      <c r="O38" s="1547" t="str">
        <f aca="false">IF($E38=O$3,O$2,"")</f>
        <v/>
      </c>
      <c r="P38" s="1528" t="str">
        <f aca="false">CONCATENATE(D38,M38,N38,O38)</f>
        <v>AGROSTIS</v>
      </c>
    </row>
    <row r="39" customFormat="false" ht="14.25" hidden="false" customHeight="false" outlineLevel="0" collapsed="false">
      <c r="A39" s="1528"/>
      <c r="B39" s="1528" t="n">
        <v>1</v>
      </c>
      <c r="C39" s="1528" t="n">
        <v>71</v>
      </c>
      <c r="D39" s="1528" t="s">
        <v>1030</v>
      </c>
      <c r="E39" s="1528" t="n">
        <v>0</v>
      </c>
      <c r="F39" s="1528" t="n">
        <v>114.19</v>
      </c>
      <c r="G39" s="1528" t="n">
        <v>240.4</v>
      </c>
      <c r="H39" s="1528" t="n">
        <v>700</v>
      </c>
      <c r="I39" s="1528" t="n">
        <v>1800</v>
      </c>
      <c r="J39" s="1528" t="n">
        <v>0.00479</v>
      </c>
      <c r="K39" s="1528" t="n">
        <v>0.01009</v>
      </c>
      <c r="L39" s="1528"/>
      <c r="M39" s="1547" t="str">
        <f aca="false">IF($E39=M$3,M$2,"")</f>
        <v/>
      </c>
      <c r="N39" s="1547" t="str">
        <f aca="false">IF($E39=N$3,N$2,"")</f>
        <v/>
      </c>
      <c r="O39" s="1547" t="str">
        <f aca="false">IF($E39=O$3,O$2,"")</f>
        <v/>
      </c>
      <c r="P39" s="1528" t="str">
        <f aca="false">CONCATENATE(D39,M39,N39,O39)</f>
        <v>ARRHENATHERUM</v>
      </c>
    </row>
    <row r="40" customFormat="false" ht="14.25" hidden="false" customHeight="false" outlineLevel="0" collapsed="false">
      <c r="A40" s="1528"/>
      <c r="B40" s="1528" t="n">
        <v>1</v>
      </c>
      <c r="C40" s="1528" t="n">
        <v>72</v>
      </c>
      <c r="D40" s="1528" t="s">
        <v>1031</v>
      </c>
      <c r="E40" s="1528" t="n">
        <v>0</v>
      </c>
      <c r="F40" s="1528" t="n">
        <v>114.19</v>
      </c>
      <c r="G40" s="1528" t="n">
        <v>270.46</v>
      </c>
      <c r="H40" s="1528" t="n">
        <v>700</v>
      </c>
      <c r="I40" s="1528" t="n">
        <v>1800</v>
      </c>
      <c r="J40" s="1528" t="n">
        <v>0.00479</v>
      </c>
      <c r="K40" s="1528" t="n">
        <v>0.01135</v>
      </c>
      <c r="L40" s="1528"/>
      <c r="M40" s="1547" t="str">
        <f aca="false">IF($E40=M$3,M$2,"")</f>
        <v/>
      </c>
      <c r="N40" s="1547" t="str">
        <f aca="false">IF($E40=N$3,N$2,"")</f>
        <v/>
      </c>
      <c r="O40" s="1547" t="str">
        <f aca="false">IF($E40=O$3,O$2,"")</f>
        <v/>
      </c>
      <c r="P40" s="1528" t="str">
        <f aca="false">CONCATENATE(D40,M40,N40,O40)</f>
        <v>DACTILO</v>
      </c>
    </row>
    <row r="41" customFormat="false" ht="14.25" hidden="false" customHeight="false" outlineLevel="0" collapsed="false">
      <c r="A41" s="1528"/>
      <c r="B41" s="1528" t="n">
        <v>1</v>
      </c>
      <c r="C41" s="1528" t="n">
        <v>73</v>
      </c>
      <c r="D41" s="1528" t="s">
        <v>1032</v>
      </c>
      <c r="E41" s="1528" t="n">
        <v>0</v>
      </c>
      <c r="F41" s="1528" t="n">
        <v>114.19</v>
      </c>
      <c r="G41" s="1528" t="n">
        <v>240.4</v>
      </c>
      <c r="H41" s="1528" t="n">
        <v>700</v>
      </c>
      <c r="I41" s="1528" t="n">
        <v>1800</v>
      </c>
      <c r="J41" s="1528" t="n">
        <v>0.00479</v>
      </c>
      <c r="K41" s="1528" t="n">
        <v>0.01009</v>
      </c>
      <c r="L41" s="1528"/>
      <c r="M41" s="1547" t="str">
        <f aca="false">IF($E41=M$3,M$2,"")</f>
        <v/>
      </c>
      <c r="N41" s="1547" t="str">
        <f aca="false">IF($E41=N$3,N$2,"")</f>
        <v/>
      </c>
      <c r="O41" s="1547" t="str">
        <f aca="false">IF($E41=O$3,O$2,"")</f>
        <v/>
      </c>
      <c r="P41" s="1528" t="str">
        <f aca="false">CONCATENATE(D41,M41,N41,O41)</f>
        <v>FLEO</v>
      </c>
    </row>
    <row r="42" customFormat="false" ht="14.25" hidden="false" customHeight="false" outlineLevel="0" collapsed="false">
      <c r="A42" s="1528"/>
      <c r="B42" s="1528" t="n">
        <v>1</v>
      </c>
      <c r="C42" s="1528" t="n">
        <v>74</v>
      </c>
      <c r="D42" s="1528" t="s">
        <v>1033</v>
      </c>
      <c r="E42" s="1528" t="n">
        <v>0</v>
      </c>
      <c r="F42" s="1528" t="n">
        <v>114.19</v>
      </c>
      <c r="G42" s="1528" t="n">
        <v>270.46</v>
      </c>
      <c r="H42" s="1528" t="n">
        <v>700</v>
      </c>
      <c r="I42" s="1528" t="n">
        <v>1800</v>
      </c>
      <c r="J42" s="1528" t="n">
        <v>0.00479</v>
      </c>
      <c r="K42" s="1528" t="n">
        <v>0.01135</v>
      </c>
      <c r="L42" s="1528"/>
      <c r="M42" s="1547" t="str">
        <f aca="false">IF($E42=M$3,M$2,"")</f>
        <v/>
      </c>
      <c r="N42" s="1547" t="str">
        <f aca="false">IF($E42=N$3,N$2,"")</f>
        <v/>
      </c>
      <c r="O42" s="1547" t="str">
        <f aca="false">IF($E42=O$3,O$2,"")</f>
        <v/>
      </c>
      <c r="P42" s="1528" t="str">
        <f aca="false">CONCATENATE(D42,M42,N42,O42)</f>
        <v>POA</v>
      </c>
    </row>
    <row r="43" customFormat="false" ht="14.25" hidden="false" customHeight="false" outlineLevel="0" collapsed="false">
      <c r="A43" s="1528"/>
      <c r="B43" s="1528" t="n">
        <v>1</v>
      </c>
      <c r="C43" s="1528" t="n">
        <v>76</v>
      </c>
      <c r="D43" s="1528" t="s">
        <v>1034</v>
      </c>
      <c r="E43" s="1528" t="n">
        <v>0</v>
      </c>
      <c r="F43" s="1528" t="n">
        <v>114.19</v>
      </c>
      <c r="G43" s="1528" t="n">
        <v>240.4</v>
      </c>
      <c r="H43" s="1528" t="n">
        <v>700</v>
      </c>
      <c r="I43" s="1528" t="n">
        <v>1800</v>
      </c>
      <c r="J43" s="1528" t="n">
        <v>0.00479</v>
      </c>
      <c r="K43" s="1528" t="n">
        <v>0.01009</v>
      </c>
      <c r="L43" s="1528"/>
      <c r="M43" s="1547" t="str">
        <f aca="false">IF($E43=M$3,M$2,"")</f>
        <v/>
      </c>
      <c r="N43" s="1547" t="str">
        <f aca="false">IF($E43=N$3,N$2,"")</f>
        <v/>
      </c>
      <c r="O43" s="1547" t="str">
        <f aca="false">IF($E43=O$3,O$2,"")</f>
        <v/>
      </c>
      <c r="P43" s="1528" t="str">
        <f aca="false">CONCATENATE(D43,M43,N43,O43)</f>
        <v>ZULLA</v>
      </c>
    </row>
    <row r="44" customFormat="false" ht="14.25" hidden="false" customHeight="false" outlineLevel="0" collapsed="false">
      <c r="A44" s="1528"/>
      <c r="B44" s="1528" t="n">
        <v>1</v>
      </c>
      <c r="C44" s="1528" t="n">
        <v>77</v>
      </c>
      <c r="D44" s="1528" t="s">
        <v>1035</v>
      </c>
      <c r="E44" s="1528" t="n">
        <v>0</v>
      </c>
      <c r="F44" s="1528" t="n">
        <v>114.19</v>
      </c>
      <c r="G44" s="1528" t="n">
        <v>270.46</v>
      </c>
      <c r="H44" s="1528" t="n">
        <v>500</v>
      </c>
      <c r="I44" s="1528" t="n">
        <v>1000</v>
      </c>
      <c r="J44" s="1528" t="n">
        <v>0.00479</v>
      </c>
      <c r="K44" s="1528" t="n">
        <v>0.01135</v>
      </c>
      <c r="L44" s="1528"/>
      <c r="M44" s="1547" t="str">
        <f aca="false">IF($E44=M$3,M$2,"")</f>
        <v/>
      </c>
      <c r="N44" s="1547" t="str">
        <f aca="false">IF($E44=N$3,N$2,"")</f>
        <v/>
      </c>
      <c r="O44" s="1547" t="str">
        <f aca="false">IF($E44=O$3,O$2,"")</f>
        <v/>
      </c>
      <c r="P44" s="1528" t="str">
        <f aca="false">CONCATENATE(D44,M44,N44,O44)</f>
        <v>TRÉBOL</v>
      </c>
    </row>
    <row r="45" customFormat="false" ht="14.25" hidden="false" customHeight="false" outlineLevel="0" collapsed="false">
      <c r="A45" s="1528"/>
      <c r="B45" s="1528" t="n">
        <v>1</v>
      </c>
      <c r="C45" s="1528" t="n">
        <v>78</v>
      </c>
      <c r="D45" s="1528" t="s">
        <v>1036</v>
      </c>
      <c r="E45" s="1528" t="n">
        <v>0</v>
      </c>
      <c r="F45" s="1528" t="n">
        <v>114.19</v>
      </c>
      <c r="G45" s="1528" t="n">
        <v>270.46</v>
      </c>
      <c r="H45" s="1528" t="n">
        <v>500</v>
      </c>
      <c r="I45" s="1528" t="n">
        <v>1000</v>
      </c>
      <c r="J45" s="1528" t="n">
        <v>0.00479</v>
      </c>
      <c r="K45" s="1528" t="n">
        <v>0.01135</v>
      </c>
      <c r="L45" s="1528"/>
      <c r="M45" s="1547" t="str">
        <f aca="false">IF($E45=M$3,M$2,"")</f>
        <v/>
      </c>
      <c r="N45" s="1547" t="str">
        <f aca="false">IF($E45=N$3,N$2,"")</f>
        <v/>
      </c>
      <c r="O45" s="1547" t="str">
        <f aca="false">IF($E45=O$3,O$2,"")</f>
        <v/>
      </c>
      <c r="P45" s="1528" t="str">
        <f aca="false">CONCATENATE(D45,M45,N45,O45)</f>
        <v>RAYGRASS ANUAL</v>
      </c>
    </row>
    <row r="46" customFormat="false" ht="14.25" hidden="false" customHeight="false" outlineLevel="0" collapsed="false">
      <c r="A46" s="1528"/>
      <c r="B46" s="1528" t="n">
        <v>1</v>
      </c>
      <c r="C46" s="1528" t="n">
        <v>80</v>
      </c>
      <c r="D46" s="1528" t="s">
        <v>1037</v>
      </c>
      <c r="E46" s="1528" t="n">
        <v>0</v>
      </c>
      <c r="F46" s="1528" t="n">
        <v>0</v>
      </c>
      <c r="G46" s="1528" t="n">
        <v>450.76</v>
      </c>
      <c r="H46" s="1528" t="n">
        <v>0</v>
      </c>
      <c r="I46" s="1528" t="n">
        <v>1500</v>
      </c>
      <c r="J46" s="1528" t="n">
        <v>0</v>
      </c>
      <c r="K46" s="1528" t="n">
        <v>0.01891</v>
      </c>
      <c r="L46" s="1528"/>
      <c r="M46" s="1547" t="str">
        <f aca="false">IF($E46=M$3,M$2,"")</f>
        <v/>
      </c>
      <c r="N46" s="1547" t="str">
        <f aca="false">IF($E46=N$3,N$2,"")</f>
        <v/>
      </c>
      <c r="O46" s="1547" t="str">
        <f aca="false">IF($E46=O$3,O$2,"")</f>
        <v/>
      </c>
      <c r="P46" s="1528" t="str">
        <f aca="false">CONCATENATE(D46,M46,N46,O46)</f>
        <v>ARROZ</v>
      </c>
    </row>
    <row r="47" customFormat="false" ht="14.25" hidden="false" customHeight="false" outlineLevel="0" collapsed="false">
      <c r="A47" s="1528"/>
      <c r="B47" s="1528" t="n">
        <v>1</v>
      </c>
      <c r="C47" s="1528" t="n">
        <v>82</v>
      </c>
      <c r="D47" s="1528" t="s">
        <v>1038</v>
      </c>
      <c r="E47" s="1528" t="n">
        <v>0</v>
      </c>
      <c r="F47" s="1528" t="n">
        <v>300.51</v>
      </c>
      <c r="G47" s="1528" t="n">
        <v>901.52</v>
      </c>
      <c r="H47" s="1528" t="n">
        <v>500</v>
      </c>
      <c r="I47" s="1528" t="n">
        <v>1300</v>
      </c>
      <c r="J47" s="1528" t="n">
        <v>0.01261</v>
      </c>
      <c r="K47" s="1528" t="n">
        <v>0.03782</v>
      </c>
      <c r="L47" s="1528"/>
      <c r="M47" s="1547" t="str">
        <f aca="false">IF($E47=M$3,M$2,"")</f>
        <v/>
      </c>
      <c r="N47" s="1547" t="str">
        <f aca="false">IF($E47=N$3,N$2,"")</f>
        <v/>
      </c>
      <c r="O47" s="1547" t="str">
        <f aca="false">IF($E47=O$3,O$2,"")</f>
        <v/>
      </c>
      <c r="P47" s="1528" t="str">
        <f aca="false">CONCATENATE(D47,M47,N47,O47)</f>
        <v>REMOLACHA</v>
      </c>
    </row>
    <row r="48" customFormat="false" ht="14.25" hidden="false" customHeight="false" outlineLevel="0" collapsed="false">
      <c r="A48" s="1528"/>
      <c r="B48" s="1528" t="n">
        <v>1</v>
      </c>
      <c r="C48" s="1528" t="n">
        <v>84</v>
      </c>
      <c r="D48" s="1528" t="s">
        <v>1039</v>
      </c>
      <c r="E48" s="1528" t="n">
        <v>0</v>
      </c>
      <c r="F48" s="1528" t="n">
        <v>114.19</v>
      </c>
      <c r="G48" s="1528" t="n">
        <v>240.4</v>
      </c>
      <c r="H48" s="1528" t="n">
        <v>186.91</v>
      </c>
      <c r="I48" s="1528" t="n">
        <v>540.36</v>
      </c>
      <c r="J48" s="1528" t="n">
        <v>0.00479</v>
      </c>
      <c r="K48" s="1528" t="n">
        <v>0.01009</v>
      </c>
      <c r="L48" s="1528"/>
      <c r="M48" s="1547" t="str">
        <f aca="false">IF($E48=M$3,M$2,"")</f>
        <v/>
      </c>
      <c r="N48" s="1547" t="str">
        <f aca="false">IF($E48=N$3,N$2,"")</f>
        <v/>
      </c>
      <c r="O48" s="1547" t="str">
        <f aca="false">IF($E48=O$3,O$2,"")</f>
        <v/>
      </c>
      <c r="P48" s="1528" t="str">
        <f aca="false">CONCATENATE(D48,M48,N48,O48)</f>
        <v>LÚPULO</v>
      </c>
    </row>
    <row r="49" customFormat="false" ht="14.25" hidden="false" customHeight="false" outlineLevel="0" collapsed="false">
      <c r="A49" s="1528"/>
      <c r="B49" s="1528" t="n">
        <v>1</v>
      </c>
      <c r="C49" s="1528" t="n">
        <v>85</v>
      </c>
      <c r="D49" s="1528" t="s">
        <v>1040</v>
      </c>
      <c r="E49" s="1528" t="n">
        <v>0</v>
      </c>
      <c r="F49" s="1528" t="n">
        <v>114.19</v>
      </c>
      <c r="G49" s="1528" t="n">
        <v>240.4</v>
      </c>
      <c r="H49" s="1528" t="n">
        <v>186.91</v>
      </c>
      <c r="I49" s="1528" t="n">
        <v>540.36</v>
      </c>
      <c r="J49" s="1528" t="n">
        <v>0.00479</v>
      </c>
      <c r="K49" s="1528" t="n">
        <v>0.01009</v>
      </c>
      <c r="L49" s="1528"/>
      <c r="M49" s="1547" t="str">
        <f aca="false">IF($E49=M$3,M$2,"")</f>
        <v/>
      </c>
      <c r="N49" s="1547" t="str">
        <f aca="false">IF($E49=N$3,N$2,"")</f>
        <v/>
      </c>
      <c r="O49" s="1547" t="str">
        <f aca="false">IF($E49=O$3,O$2,"")</f>
        <v/>
      </c>
      <c r="P49" s="1528" t="str">
        <f aca="false">CONCATENATE(D49,M49,N49,O49)</f>
        <v>LINO</v>
      </c>
    </row>
    <row r="50" customFormat="false" ht="14.25" hidden="false" customHeight="false" outlineLevel="0" collapsed="false">
      <c r="A50" s="1528"/>
      <c r="B50" s="1528" t="n">
        <v>1</v>
      </c>
      <c r="C50" s="1528" t="n">
        <v>86</v>
      </c>
      <c r="D50" s="1528" t="s">
        <v>1041</v>
      </c>
      <c r="E50" s="1528" t="n">
        <v>0</v>
      </c>
      <c r="F50" s="1528" t="n">
        <v>114.19</v>
      </c>
      <c r="G50" s="1528" t="n">
        <v>240.4</v>
      </c>
      <c r="H50" s="1528" t="n">
        <v>186.91</v>
      </c>
      <c r="I50" s="1528" t="n">
        <v>540.36</v>
      </c>
      <c r="J50" s="1528" t="n">
        <v>0.00479</v>
      </c>
      <c r="K50" s="1528" t="n">
        <v>0.01009</v>
      </c>
      <c r="L50" s="1528"/>
      <c r="M50" s="1547" t="str">
        <f aca="false">IF($E50=M$3,M$2,"")</f>
        <v/>
      </c>
      <c r="N50" s="1547" t="str">
        <f aca="false">IF($E50=N$3,N$2,"")</f>
        <v/>
      </c>
      <c r="O50" s="1547" t="str">
        <f aca="false">IF($E50=O$3,O$2,"")</f>
        <v/>
      </c>
      <c r="P50" s="1528" t="str">
        <f aca="false">CONCATENATE(D50,M50,N50,O50)</f>
        <v>CÁÑAMO</v>
      </c>
    </row>
    <row r="51" customFormat="false" ht="14.25" hidden="false" customHeight="false" outlineLevel="0" collapsed="false">
      <c r="A51" s="1528"/>
      <c r="B51" s="1528" t="n">
        <v>1</v>
      </c>
      <c r="C51" s="1528" t="n">
        <v>87</v>
      </c>
      <c r="D51" s="1528" t="s">
        <v>1042</v>
      </c>
      <c r="E51" s="1528" t="n">
        <v>0</v>
      </c>
      <c r="F51" s="1528" t="n">
        <v>114.19</v>
      </c>
      <c r="G51" s="1528" t="n">
        <v>240.4</v>
      </c>
      <c r="H51" s="1528" t="n">
        <v>186.91</v>
      </c>
      <c r="I51" s="1528" t="n">
        <v>540.36</v>
      </c>
      <c r="J51" s="1528" t="n">
        <v>0.00479</v>
      </c>
      <c r="K51" s="1528" t="n">
        <v>0.01009</v>
      </c>
      <c r="L51" s="1528"/>
      <c r="M51" s="1547" t="str">
        <f aca="false">IF($E51=M$3,M$2,"")</f>
        <v/>
      </c>
      <c r="N51" s="1547" t="str">
        <f aca="false">IF($E51=N$3,N$2,"")</f>
        <v/>
      </c>
      <c r="O51" s="1547" t="str">
        <f aca="false">IF($E51=O$3,O$2,"")</f>
        <v/>
      </c>
      <c r="P51" s="1528" t="str">
        <f aca="false">CONCATENATE(D51,M51,N51,O51)</f>
        <v>CACAHUETE</v>
      </c>
    </row>
    <row r="52" customFormat="false" ht="14.25" hidden="false" customHeight="false" outlineLevel="0" collapsed="false">
      <c r="A52" s="1528"/>
      <c r="B52" s="1528" t="n">
        <v>1</v>
      </c>
      <c r="C52" s="1528" t="n">
        <v>88</v>
      </c>
      <c r="D52" s="1528" t="s">
        <v>1043</v>
      </c>
      <c r="E52" s="1528" t="n">
        <v>0</v>
      </c>
      <c r="F52" s="1528" t="n">
        <v>114.19</v>
      </c>
      <c r="G52" s="1528" t="n">
        <v>240.4</v>
      </c>
      <c r="H52" s="1528" t="n">
        <v>186.91</v>
      </c>
      <c r="I52" s="1528" t="n">
        <v>540.36</v>
      </c>
      <c r="J52" s="1528" t="n">
        <v>0.00479</v>
      </c>
      <c r="K52" s="1528" t="n">
        <v>0.01009</v>
      </c>
      <c r="L52" s="1528"/>
      <c r="M52" s="1547" t="str">
        <f aca="false">IF($E52=M$3,M$2,"")</f>
        <v/>
      </c>
      <c r="N52" s="1547" t="str">
        <f aca="false">IF($E52=N$3,N$2,"")</f>
        <v/>
      </c>
      <c r="O52" s="1547" t="str">
        <f aca="false">IF($E52=O$3,O$2,"")</f>
        <v/>
      </c>
      <c r="P52" s="1528" t="str">
        <f aca="false">CONCATENATE(D52,M52,N52,O52)</f>
        <v>CÁRTAMO</v>
      </c>
    </row>
    <row r="53" customFormat="false" ht="14.25" hidden="false" customHeight="false" outlineLevel="0" collapsed="false">
      <c r="A53" s="1528"/>
      <c r="B53" s="1528" t="n">
        <v>1</v>
      </c>
      <c r="C53" s="1528" t="n">
        <v>90</v>
      </c>
      <c r="D53" s="1528" t="s">
        <v>1044</v>
      </c>
      <c r="E53" s="1528" t="n">
        <v>0</v>
      </c>
      <c r="F53" s="1528" t="n">
        <v>114.19</v>
      </c>
      <c r="G53" s="1528" t="n">
        <v>240.4</v>
      </c>
      <c r="H53" s="1528" t="n">
        <v>186.91</v>
      </c>
      <c r="I53" s="1528" t="n">
        <v>540.36</v>
      </c>
      <c r="J53" s="1528" t="n">
        <v>0.00479</v>
      </c>
      <c r="K53" s="1528" t="n">
        <v>0.01009</v>
      </c>
      <c r="L53" s="1528"/>
      <c r="M53" s="1547" t="str">
        <f aca="false">IF($E53=M$3,M$2,"")</f>
        <v/>
      </c>
      <c r="N53" s="1547" t="str">
        <f aca="false">IF($E53=N$3,N$2,"")</f>
        <v/>
      </c>
      <c r="O53" s="1547" t="str">
        <f aca="false">IF($E53=O$3,O$2,"")</f>
        <v/>
      </c>
      <c r="P53" s="1528" t="str">
        <f aca="false">CONCATENATE(D53,M53,N53,O53)</f>
        <v>REGALIZ</v>
      </c>
    </row>
    <row r="54" customFormat="false" ht="14.25" hidden="false" customHeight="false" outlineLevel="0" collapsed="false">
      <c r="A54" s="1528"/>
      <c r="B54" s="1528" t="n">
        <v>1</v>
      </c>
      <c r="C54" s="1528" t="n">
        <v>92</v>
      </c>
      <c r="D54" s="1528" t="s">
        <v>1045</v>
      </c>
      <c r="E54" s="1528" t="n">
        <v>0</v>
      </c>
      <c r="F54" s="1528" t="n">
        <v>0</v>
      </c>
      <c r="G54" s="1528" t="n">
        <v>1352.28</v>
      </c>
      <c r="H54" s="1528" t="n">
        <v>0</v>
      </c>
      <c r="I54" s="1528" t="n">
        <v>5200</v>
      </c>
      <c r="J54" s="1528" t="n">
        <v>0</v>
      </c>
      <c r="K54" s="1528" t="n">
        <v>0.05674</v>
      </c>
      <c r="L54" s="1528"/>
      <c r="M54" s="1547" t="str">
        <f aca="false">IF($E54=M$3,M$2,"")</f>
        <v/>
      </c>
      <c r="N54" s="1547" t="str">
        <f aca="false">IF($E54=N$3,N$2,"")</f>
        <v/>
      </c>
      <c r="O54" s="1547" t="str">
        <f aca="false">IF($E54=O$3,O$2,"")</f>
        <v/>
      </c>
      <c r="P54" s="1528" t="str">
        <f aca="false">CONCATENATE(D54,M54,N54,O54)</f>
        <v>ROMANESCU</v>
      </c>
    </row>
    <row r="55" customFormat="false" ht="14.25" hidden="false" customHeight="false" outlineLevel="0" collapsed="false">
      <c r="A55" s="1528"/>
      <c r="B55" s="1528" t="n">
        <v>5</v>
      </c>
      <c r="C55" s="1528" t="n">
        <v>96</v>
      </c>
      <c r="D55" s="1535" t="s">
        <v>1047</v>
      </c>
      <c r="E55" s="1528" t="n">
        <v>0</v>
      </c>
      <c r="F55" s="1528" t="n">
        <v>114.19</v>
      </c>
      <c r="G55" s="1528" t="n">
        <v>240.4</v>
      </c>
      <c r="H55" s="1528" t="n">
        <v>1000</v>
      </c>
      <c r="I55" s="1528" t="n">
        <v>3800</v>
      </c>
      <c r="J55" s="1528" t="n">
        <v>0.00479</v>
      </c>
      <c r="K55" s="1528" t="n">
        <v>0.01009</v>
      </c>
      <c r="L55" s="1528"/>
      <c r="M55" s="1547" t="str">
        <f aca="false">IF($E55=M$3,M$2,"")</f>
        <v/>
      </c>
      <c r="N55" s="1547" t="str">
        <f aca="false">IF($E55=N$3,N$2,"")</f>
        <v/>
      </c>
      <c r="O55" s="1547" t="str">
        <f aca="false">IF($E55=O$3,O$2,"")</f>
        <v/>
      </c>
      <c r="P55" s="1528" t="str">
        <f aca="false">CONCATENATE(D55,M55,N55,O55)</f>
        <v>AROMÁTICAS HERBACEAS </v>
      </c>
    </row>
    <row r="56" customFormat="false" ht="14.25" hidden="false" customHeight="false" outlineLevel="0" collapsed="false">
      <c r="A56" s="1528"/>
      <c r="B56" s="1528" t="n">
        <v>4</v>
      </c>
      <c r="C56" s="1528" t="n">
        <v>99</v>
      </c>
      <c r="D56" s="1528" t="s">
        <v>1048</v>
      </c>
      <c r="E56" s="1528" t="n">
        <v>0</v>
      </c>
      <c r="F56" s="1528" t="n">
        <v>450.76</v>
      </c>
      <c r="G56" s="1528" t="n">
        <v>1202.02</v>
      </c>
      <c r="H56" s="1528" t="n">
        <v>1739.31</v>
      </c>
      <c r="I56" s="1528" t="n">
        <v>7000</v>
      </c>
      <c r="J56" s="1528" t="n">
        <v>0.01891</v>
      </c>
      <c r="K56" s="1528" t="n">
        <v>0.05043</v>
      </c>
      <c r="L56" s="1528"/>
      <c r="M56" s="1547" t="str">
        <f aca="false">IF($E56=M$3,M$2,"")</f>
        <v/>
      </c>
      <c r="N56" s="1547" t="str">
        <f aca="false">IF($E56=N$3,N$2,"")</f>
        <v/>
      </c>
      <c r="O56" s="1547" t="str">
        <f aca="false">IF($E56=O$3,O$2,"")</f>
        <v/>
      </c>
      <c r="P56" s="1528" t="str">
        <f aca="false">CONCATENATE(D56,M56,N56,O56)</f>
        <v>PATATA</v>
      </c>
    </row>
    <row r="57" customFormat="false" ht="14.25" hidden="false" customHeight="false" outlineLevel="0" collapsed="false">
      <c r="A57" s="1528"/>
      <c r="B57" s="1528" t="n">
        <v>3</v>
      </c>
      <c r="C57" s="1528" t="n">
        <v>101</v>
      </c>
      <c r="D57" s="1528" t="s">
        <v>1049</v>
      </c>
      <c r="E57" s="1528" t="n">
        <v>0</v>
      </c>
      <c r="F57" s="1528" t="n">
        <v>405.68</v>
      </c>
      <c r="G57" s="1528" t="n">
        <v>649.09</v>
      </c>
      <c r="H57" s="1528" t="n">
        <v>600</v>
      </c>
      <c r="I57" s="1528" t="n">
        <v>1800</v>
      </c>
      <c r="J57" s="1528" t="n">
        <v>0.01702</v>
      </c>
      <c r="K57" s="1528" t="n">
        <v>0.02723</v>
      </c>
      <c r="L57" s="1528"/>
      <c r="M57" s="1547" t="str">
        <f aca="false">IF($E57=M$3,M$2,"")</f>
        <v/>
      </c>
      <c r="N57" s="1547" t="str">
        <f aca="false">IF($E57=N$3,N$2,"")</f>
        <v/>
      </c>
      <c r="O57" s="1547" t="str">
        <f aca="false">IF($E57=O$3,O$2,"")</f>
        <v/>
      </c>
      <c r="P57" s="1528" t="str">
        <f aca="false">CONCATENATE(D57,M57,N57,O57)</f>
        <v>OLIVO</v>
      </c>
    </row>
    <row r="58" customFormat="false" ht="14.25" hidden="false" customHeight="false" outlineLevel="0" collapsed="false">
      <c r="A58" s="1528"/>
      <c r="B58" s="1528" t="n">
        <v>3</v>
      </c>
      <c r="C58" s="1528" t="n">
        <v>102</v>
      </c>
      <c r="D58" s="1528" t="s">
        <v>1050</v>
      </c>
      <c r="E58" s="1528" t="n">
        <v>0</v>
      </c>
      <c r="F58" s="1528" t="n">
        <v>450.76</v>
      </c>
      <c r="G58" s="1528" t="n">
        <v>721.21</v>
      </c>
      <c r="H58" s="1528" t="n">
        <v>800</v>
      </c>
      <c r="I58" s="1528" t="n">
        <v>1800</v>
      </c>
      <c r="J58" s="1528" t="n">
        <v>0.01891</v>
      </c>
      <c r="K58" s="1528" t="n">
        <v>0.03026</v>
      </c>
      <c r="L58" s="1528"/>
      <c r="M58" s="1547" t="str">
        <f aca="false">IF($E58=M$3,M$2,"")</f>
        <v/>
      </c>
      <c r="N58" s="1547" t="str">
        <f aca="false">IF($E58=N$3,N$2,"")</f>
        <v/>
      </c>
      <c r="O58" s="1547" t="str">
        <f aca="false">IF($E58=O$3,O$2,"")</f>
        <v/>
      </c>
      <c r="P58" s="1528" t="str">
        <f aca="false">CONCATENATE(D58,M58,N58,O58)</f>
        <v>VIÑA</v>
      </c>
    </row>
    <row r="59" customFormat="false" ht="14.25" hidden="false" customHeight="false" outlineLevel="0" collapsed="false">
      <c r="A59" s="1528"/>
      <c r="B59" s="1528" t="n">
        <v>3</v>
      </c>
      <c r="C59" s="1528" t="n">
        <v>104</v>
      </c>
      <c r="D59" s="1528" t="s">
        <v>1051</v>
      </c>
      <c r="E59" s="1528" t="n">
        <v>0</v>
      </c>
      <c r="F59" s="1528" t="n">
        <v>405.68</v>
      </c>
      <c r="G59" s="1528" t="n">
        <v>1352.28</v>
      </c>
      <c r="H59" s="1528" t="n">
        <v>678.7</v>
      </c>
      <c r="I59" s="1528" t="n">
        <v>5000</v>
      </c>
      <c r="J59" s="1528" t="n">
        <v>0.01702</v>
      </c>
      <c r="K59" s="1528" t="n">
        <v>0.05674</v>
      </c>
      <c r="L59" s="1528"/>
      <c r="M59" s="1547" t="str">
        <f aca="false">IF($E59=M$3,M$2,"")</f>
        <v/>
      </c>
      <c r="N59" s="1547" t="str">
        <f aca="false">IF($E59=N$3,N$2,"")</f>
        <v/>
      </c>
      <c r="O59" s="1547" t="str">
        <f aca="false">IF($E59=O$3,O$2,"")</f>
        <v/>
      </c>
      <c r="P59" s="1528" t="str">
        <f aca="false">CONCATENATE(D59,M59,N59,O59)</f>
        <v>ALMENDRO</v>
      </c>
    </row>
    <row r="60" customFormat="false" ht="14.25" hidden="false" customHeight="false" outlineLevel="0" collapsed="false">
      <c r="A60" s="1528"/>
      <c r="B60" s="1528" t="n">
        <v>2</v>
      </c>
      <c r="C60" s="1528" t="n">
        <v>105</v>
      </c>
      <c r="D60" s="1528" t="s">
        <v>1052</v>
      </c>
      <c r="E60" s="1528" t="n">
        <v>0</v>
      </c>
      <c r="F60" s="1528" t="n">
        <v>480.81</v>
      </c>
      <c r="G60" s="1528" t="n">
        <v>1442.43</v>
      </c>
      <c r="H60" s="1528" t="n">
        <v>1939.8</v>
      </c>
      <c r="I60" s="1528" t="n">
        <v>9500</v>
      </c>
      <c r="J60" s="1528" t="n">
        <v>0.02017</v>
      </c>
      <c r="K60" s="1528" t="n">
        <v>0.06052</v>
      </c>
      <c r="L60" s="1528"/>
      <c r="M60" s="1547" t="str">
        <f aca="false">IF($E60=M$3,M$2,"")</f>
        <v/>
      </c>
      <c r="N60" s="1547" t="str">
        <f aca="false">IF($E60=N$3,N$2,"")</f>
        <v/>
      </c>
      <c r="O60" s="1547" t="str">
        <f aca="false">IF($E60=O$3,O$2,"")</f>
        <v/>
      </c>
      <c r="P60" s="1528" t="str">
        <f aca="false">CONCATENATE(D60,M60,N60,O60)</f>
        <v>MELOCOTONERO</v>
      </c>
    </row>
    <row r="61" customFormat="false" ht="14.25" hidden="false" customHeight="false" outlineLevel="0" collapsed="false">
      <c r="A61" s="1528"/>
      <c r="B61" s="1528" t="n">
        <v>2</v>
      </c>
      <c r="C61" s="1528" t="n">
        <v>106</v>
      </c>
      <c r="D61" s="1528" t="s">
        <v>1053</v>
      </c>
      <c r="E61" s="1528" t="n">
        <v>0</v>
      </c>
      <c r="F61" s="1528" t="n">
        <v>480.81</v>
      </c>
      <c r="G61" s="1528" t="n">
        <v>1442.43</v>
      </c>
      <c r="H61" s="1528" t="n">
        <v>1939.72</v>
      </c>
      <c r="I61" s="1528" t="n">
        <v>9500</v>
      </c>
      <c r="J61" s="1528" t="n">
        <v>0.02017</v>
      </c>
      <c r="K61" s="1528" t="n">
        <v>0.06052</v>
      </c>
      <c r="L61" s="1528"/>
      <c r="M61" s="1547" t="str">
        <f aca="false">IF($E61=M$3,M$2,"")</f>
        <v/>
      </c>
      <c r="N61" s="1547" t="str">
        <f aca="false">IF($E61=N$3,N$2,"")</f>
        <v/>
      </c>
      <c r="O61" s="1547" t="str">
        <f aca="false">IF($E61=O$3,O$2,"")</f>
        <v/>
      </c>
      <c r="P61" s="1528" t="str">
        <f aca="false">CONCATENATE(D61,M61,N61,O61)</f>
        <v>NECTARINO</v>
      </c>
    </row>
    <row r="62" customFormat="false" ht="14.25" hidden="false" customHeight="false" outlineLevel="0" collapsed="false">
      <c r="A62" s="1528"/>
      <c r="B62" s="1528" t="n">
        <v>2</v>
      </c>
      <c r="C62" s="1528" t="n">
        <v>107</v>
      </c>
      <c r="D62" s="1528" t="s">
        <v>1054</v>
      </c>
      <c r="E62" s="1528" t="n">
        <v>0</v>
      </c>
      <c r="F62" s="1528" t="n">
        <v>480.81</v>
      </c>
      <c r="G62" s="1528" t="n">
        <v>1442.43</v>
      </c>
      <c r="H62" s="1528" t="n">
        <v>3000</v>
      </c>
      <c r="I62" s="1528" t="n">
        <v>8000</v>
      </c>
      <c r="J62" s="1528" t="n">
        <v>0.02017</v>
      </c>
      <c r="K62" s="1528" t="n">
        <v>0.06052</v>
      </c>
      <c r="L62" s="1528"/>
      <c r="M62" s="1547" t="str">
        <f aca="false">IF($E62=M$3,M$2,"")</f>
        <v/>
      </c>
      <c r="N62" s="1547" t="str">
        <f aca="false">IF($E62=N$3,N$2,"")</f>
        <v/>
      </c>
      <c r="O62" s="1547" t="str">
        <f aca="false">IF($E62=O$3,O$2,"")</f>
        <v/>
      </c>
      <c r="P62" s="1528" t="str">
        <f aca="false">CONCATENATE(D62,M62,N62,O62)</f>
        <v>ALBARICOQUERO</v>
      </c>
    </row>
    <row r="63" customFormat="false" ht="14.25" hidden="false" customHeight="false" outlineLevel="0" collapsed="false">
      <c r="A63" s="1528"/>
      <c r="B63" s="1528" t="n">
        <v>2</v>
      </c>
      <c r="C63" s="1528" t="n">
        <v>108</v>
      </c>
      <c r="D63" s="1528" t="s">
        <v>1055</v>
      </c>
      <c r="E63" s="1528" t="n">
        <v>0</v>
      </c>
      <c r="F63" s="1528" t="n">
        <v>480.81</v>
      </c>
      <c r="G63" s="1528" t="n">
        <v>1442.43</v>
      </c>
      <c r="H63" s="1528" t="n">
        <v>1939.72</v>
      </c>
      <c r="I63" s="1528" t="n">
        <v>8500</v>
      </c>
      <c r="J63" s="1528" t="n">
        <v>0.02017</v>
      </c>
      <c r="K63" s="1528" t="n">
        <v>0.06052</v>
      </c>
      <c r="L63" s="1528"/>
      <c r="M63" s="1547" t="str">
        <f aca="false">IF($E63=M$3,M$2,"")</f>
        <v/>
      </c>
      <c r="N63" s="1547" t="str">
        <f aca="false">IF($E63=N$3,N$2,"")</f>
        <v/>
      </c>
      <c r="O63" s="1547" t="str">
        <f aca="false">IF($E63=O$3,O$2,"")</f>
        <v/>
      </c>
      <c r="P63" s="1528" t="str">
        <f aca="false">CONCATENATE(D63,M63,N63,O63)</f>
        <v>PERAL</v>
      </c>
    </row>
    <row r="64" customFormat="false" ht="14.25" hidden="false" customHeight="false" outlineLevel="0" collapsed="false">
      <c r="A64" s="1528"/>
      <c r="B64" s="1528" t="n">
        <v>2</v>
      </c>
      <c r="C64" s="1528" t="n">
        <v>109</v>
      </c>
      <c r="D64" s="1528" t="s">
        <v>1056</v>
      </c>
      <c r="E64" s="1528" t="n">
        <v>0</v>
      </c>
      <c r="F64" s="1528" t="n">
        <v>480.81</v>
      </c>
      <c r="G64" s="1528" t="n">
        <v>1442.43</v>
      </c>
      <c r="H64" s="1528" t="n">
        <v>1939.8</v>
      </c>
      <c r="I64" s="1528" t="n">
        <v>8000</v>
      </c>
      <c r="J64" s="1528" t="n">
        <v>0.02017</v>
      </c>
      <c r="K64" s="1528" t="n">
        <v>0.06052</v>
      </c>
      <c r="L64" s="1528"/>
      <c r="M64" s="1547" t="str">
        <f aca="false">IF($E64=M$3,M$2,"")</f>
        <v/>
      </c>
      <c r="N64" s="1547" t="str">
        <f aca="false">IF($E64=N$3,N$2,"")</f>
        <v/>
      </c>
      <c r="O64" s="1547" t="str">
        <f aca="false">IF($E64=O$3,O$2,"")</f>
        <v/>
      </c>
      <c r="P64" s="1528" t="str">
        <f aca="false">CONCATENATE(D64,M64,N64,O64)</f>
        <v>MANZANO</v>
      </c>
    </row>
    <row r="65" customFormat="false" ht="14.25" hidden="false" customHeight="false" outlineLevel="0" collapsed="false">
      <c r="A65" s="1528"/>
      <c r="B65" s="1528" t="n">
        <v>2</v>
      </c>
      <c r="C65" s="1528" t="n">
        <v>110</v>
      </c>
      <c r="D65" s="1528" t="s">
        <v>1057</v>
      </c>
      <c r="E65" s="1528" t="n">
        <v>0</v>
      </c>
      <c r="F65" s="1528" t="n">
        <v>480.81</v>
      </c>
      <c r="G65" s="1528" t="n">
        <v>1442.43</v>
      </c>
      <c r="H65" s="1528" t="n">
        <v>2439.65</v>
      </c>
      <c r="I65" s="1528" t="n">
        <v>7000</v>
      </c>
      <c r="J65" s="1528" t="n">
        <v>0.02017</v>
      </c>
      <c r="K65" s="1528" t="n">
        <v>0.06052</v>
      </c>
      <c r="L65" s="1528"/>
      <c r="M65" s="1547" t="str">
        <f aca="false">IF($E65=M$3,M$2,"")</f>
        <v/>
      </c>
      <c r="N65" s="1547" t="str">
        <f aca="false">IF($E65=N$3,N$2,"")</f>
        <v/>
      </c>
      <c r="O65" s="1547" t="str">
        <f aca="false">IF($E65=O$3,O$2,"")</f>
        <v/>
      </c>
      <c r="P65" s="1528" t="str">
        <f aca="false">CONCATENATE(D65,M65,N65,O65)</f>
        <v>CEREZO</v>
      </c>
    </row>
    <row r="66" customFormat="false" ht="14.25" hidden="false" customHeight="false" outlineLevel="0" collapsed="false">
      <c r="A66" s="1528"/>
      <c r="B66" s="1528" t="n">
        <v>2</v>
      </c>
      <c r="C66" s="1528" t="n">
        <v>111</v>
      </c>
      <c r="D66" s="1528" t="s">
        <v>1058</v>
      </c>
      <c r="E66" s="1528" t="n">
        <v>0</v>
      </c>
      <c r="F66" s="1528" t="n">
        <v>480.81</v>
      </c>
      <c r="G66" s="1528" t="n">
        <v>1442.43</v>
      </c>
      <c r="H66" s="1528" t="n">
        <v>2151.03</v>
      </c>
      <c r="I66" s="1528" t="n">
        <v>7000</v>
      </c>
      <c r="J66" s="1528" t="n">
        <v>0.02017</v>
      </c>
      <c r="K66" s="1528" t="n">
        <v>0.06052</v>
      </c>
      <c r="L66" s="1528"/>
      <c r="M66" s="1547" t="str">
        <f aca="false">IF($E66=M$3,M$2,"")</f>
        <v/>
      </c>
      <c r="N66" s="1547" t="str">
        <f aca="false">IF($E66=N$3,N$2,"")</f>
        <v/>
      </c>
      <c r="O66" s="1547" t="str">
        <f aca="false">IF($E66=O$3,O$2,"")</f>
        <v/>
      </c>
      <c r="P66" s="1528" t="str">
        <f aca="false">CONCATENATE(D66,M66,N66,O66)</f>
        <v>CIRUELO</v>
      </c>
    </row>
    <row r="67" customFormat="false" ht="14.25" hidden="false" customHeight="false" outlineLevel="0" collapsed="false">
      <c r="A67" s="1528"/>
      <c r="B67" s="1528" t="n">
        <v>3</v>
      </c>
      <c r="C67" s="1528" t="n">
        <v>112</v>
      </c>
      <c r="D67" s="1528" t="s">
        <v>1060</v>
      </c>
      <c r="E67" s="1528" t="n">
        <v>6</v>
      </c>
      <c r="F67" s="1528" t="n">
        <v>450.76</v>
      </c>
      <c r="G67" s="1528" t="n">
        <v>721.21</v>
      </c>
      <c r="H67" s="1528" t="n">
        <v>1000</v>
      </c>
      <c r="I67" s="1528" t="n">
        <v>5500</v>
      </c>
      <c r="J67" s="1528" t="n">
        <v>0.01891</v>
      </c>
      <c r="K67" s="1528" t="n">
        <v>0.03026</v>
      </c>
      <c r="L67" s="1528"/>
      <c r="M67" s="1547" t="str">
        <f aca="false">IF($E67=M$3,M$2,"")</f>
        <v/>
      </c>
      <c r="N67" s="1547" t="str">
        <f aca="false">IF($E67=N$3,N$2,"")</f>
        <v/>
      </c>
      <c r="O67" s="1547" t="str">
        <f aca="false">IF($E67=O$3,O$2,"")</f>
        <v> micorrizado.</v>
      </c>
      <c r="P67" s="1528" t="str">
        <f aca="false">CONCATENATE(D67,M67,N67,O67)</f>
        <v>NOGAL micorrizado. micorrizado.</v>
      </c>
    </row>
    <row r="68" customFormat="false" ht="14.25" hidden="false" customHeight="false" outlineLevel="0" collapsed="false">
      <c r="A68" s="1528"/>
      <c r="B68" s="1528" t="n">
        <v>2</v>
      </c>
      <c r="C68" s="1528" t="n">
        <v>113</v>
      </c>
      <c r="D68" s="1528" t="s">
        <v>1061</v>
      </c>
      <c r="E68" s="1528" t="n">
        <v>0</v>
      </c>
      <c r="F68" s="1528" t="n">
        <v>480.81</v>
      </c>
      <c r="G68" s="1528" t="n">
        <v>1442.43</v>
      </c>
      <c r="H68" s="1528" t="n">
        <v>2151.03</v>
      </c>
      <c r="I68" s="1528" t="n">
        <v>7000</v>
      </c>
      <c r="J68" s="1528" t="n">
        <v>0.02017</v>
      </c>
      <c r="K68" s="1528" t="n">
        <v>0.06052</v>
      </c>
      <c r="L68" s="1528"/>
      <c r="M68" s="1547" t="str">
        <f aca="false">IF($E68=M$3,M$2,"")</f>
        <v/>
      </c>
      <c r="N68" s="1547" t="str">
        <f aca="false">IF($E68=N$3,N$2,"")</f>
        <v/>
      </c>
      <c r="O68" s="1547" t="str">
        <f aca="false">IF($E68=O$3,O$2,"")</f>
        <v/>
      </c>
      <c r="P68" s="1528" t="str">
        <f aca="false">CONCATENATE(D68,M68,N68,O68)</f>
        <v>OTROS FRUTALES</v>
      </c>
    </row>
    <row r="69" customFormat="false" ht="14.25" hidden="false" customHeight="false" outlineLevel="0" collapsed="false">
      <c r="A69" s="1528"/>
      <c r="B69" s="1528" t="n">
        <v>3</v>
      </c>
      <c r="C69" s="1528" t="n">
        <v>117</v>
      </c>
      <c r="D69" s="1528" t="s">
        <v>1062</v>
      </c>
      <c r="E69" s="1528" t="n">
        <v>0</v>
      </c>
      <c r="F69" s="1528" t="n">
        <v>450.76</v>
      </c>
      <c r="G69" s="1528" t="n">
        <v>721.71</v>
      </c>
      <c r="H69" s="1528" t="n">
        <v>500</v>
      </c>
      <c r="I69" s="1528" t="n">
        <v>1500</v>
      </c>
      <c r="J69" s="1528" t="n">
        <v>0.01891</v>
      </c>
      <c r="K69" s="1528" t="n">
        <v>0.03028</v>
      </c>
      <c r="L69" s="1528"/>
      <c r="M69" s="1547" t="str">
        <f aca="false">IF($E69=M$3,M$2,"")</f>
        <v/>
      </c>
      <c r="N69" s="1547" t="str">
        <f aca="false">IF($E69=N$3,N$2,"")</f>
        <v/>
      </c>
      <c r="O69" s="1547" t="str">
        <f aca="false">IF($E69=O$3,O$2,"")</f>
        <v/>
      </c>
      <c r="P69" s="1528" t="str">
        <f aca="false">CONCATENATE(D69,M69,N69,O69)</f>
        <v>CASTAÑO</v>
      </c>
    </row>
    <row r="70" customFormat="false" ht="14.25" hidden="false" customHeight="false" outlineLevel="0" collapsed="false">
      <c r="A70" s="1528"/>
      <c r="B70" s="1528" t="n">
        <v>5</v>
      </c>
      <c r="C70" s="1528" t="n">
        <v>118</v>
      </c>
      <c r="D70" s="1535" t="s">
        <v>1064</v>
      </c>
      <c r="E70" s="1528" t="n">
        <v>0</v>
      </c>
      <c r="F70" s="1528" t="n">
        <v>114.19</v>
      </c>
      <c r="G70" s="1528" t="n">
        <v>240.4</v>
      </c>
      <c r="H70" s="1528" t="n">
        <v>1000</v>
      </c>
      <c r="I70" s="1528" t="n">
        <v>3800</v>
      </c>
      <c r="J70" s="1528" t="n">
        <v>0.00479</v>
      </c>
      <c r="K70" s="1528" t="n">
        <v>0.01009</v>
      </c>
      <c r="L70" s="1528"/>
      <c r="M70" s="1547" t="str">
        <f aca="false">IF($E70=M$3,M$2,"")</f>
        <v/>
      </c>
      <c r="N70" s="1547" t="str">
        <f aca="false">IF($E70=N$3,N$2,"")</f>
        <v/>
      </c>
      <c r="O70" s="1547" t="str">
        <f aca="false">IF($E70=O$3,O$2,"")</f>
        <v/>
      </c>
      <c r="P70" s="1528" t="str">
        <f aca="false">CONCATENATE(D70,M70,N70,O70)</f>
        <v>AROMÁTICAS LEÑOSAS</v>
      </c>
    </row>
    <row r="71" customFormat="false" ht="14.25" hidden="false" customHeight="false" outlineLevel="0" collapsed="false">
      <c r="A71" s="1528"/>
      <c r="B71" s="1528" t="n">
        <v>3</v>
      </c>
      <c r="C71" s="1528" t="n">
        <v>120</v>
      </c>
      <c r="D71" s="1528" t="s">
        <v>1065</v>
      </c>
      <c r="E71" s="1528" t="n">
        <v>0</v>
      </c>
      <c r="F71" s="1528" t="n">
        <v>450.76</v>
      </c>
      <c r="G71" s="1528" t="n">
        <v>721.21</v>
      </c>
      <c r="H71" s="1528" t="n">
        <v>500</v>
      </c>
      <c r="I71" s="1528" t="n">
        <v>1500</v>
      </c>
      <c r="J71" s="1528" t="n">
        <v>0.01891</v>
      </c>
      <c r="K71" s="1528" t="n">
        <v>0.03026</v>
      </c>
      <c r="L71" s="1528"/>
      <c r="M71" s="1547" t="str">
        <f aca="false">IF($E71=M$3,M$2,"")</f>
        <v/>
      </c>
      <c r="N71" s="1547" t="str">
        <f aca="false">IF($E71=N$3,N$2,"")</f>
        <v/>
      </c>
      <c r="O71" s="1547" t="str">
        <f aca="false">IF($E71=O$3,O$2,"")</f>
        <v/>
      </c>
      <c r="P71" s="1528" t="str">
        <f aca="false">CONCATENATE(D71,M71,N71,O71)</f>
        <v>VIÑA - OLIVAR</v>
      </c>
    </row>
    <row r="72" customFormat="false" ht="14.25" hidden="false" customHeight="false" outlineLevel="0" collapsed="false">
      <c r="A72" s="1528"/>
      <c r="B72" s="1528" t="n">
        <v>4</v>
      </c>
      <c r="C72" s="1528" t="n">
        <v>121</v>
      </c>
      <c r="D72" s="1528" t="s">
        <v>1066</v>
      </c>
      <c r="E72" s="1528" t="n">
        <v>0</v>
      </c>
      <c r="F72" s="1528" t="n">
        <v>450.76</v>
      </c>
      <c r="G72" s="1528" t="n">
        <v>1202.02</v>
      </c>
      <c r="H72" s="1528" t="n">
        <v>1739.31</v>
      </c>
      <c r="I72" s="1528" t="n">
        <v>5200</v>
      </c>
      <c r="J72" s="1528" t="n">
        <v>0.01891</v>
      </c>
      <c r="K72" s="1528" t="n">
        <v>0.05043</v>
      </c>
      <c r="L72" s="1528"/>
      <c r="M72" s="1547" t="str">
        <f aca="false">IF($E72=M$3,M$2,"")</f>
        <v/>
      </c>
      <c r="N72" s="1547" t="str">
        <f aca="false">IF($E72=N$3,N$2,"")</f>
        <v/>
      </c>
      <c r="O72" s="1547" t="str">
        <f aca="false">IF($E72=O$3,O$2,"")</f>
        <v/>
      </c>
      <c r="P72" s="1528" t="str">
        <f aca="false">CONCATENATE(D72,M72,N72,O72)</f>
        <v>BONIATO</v>
      </c>
    </row>
    <row r="73" customFormat="false" ht="14.25" hidden="false" customHeight="false" outlineLevel="0" collapsed="false">
      <c r="A73" s="1528"/>
      <c r="B73" s="1528" t="n">
        <v>4</v>
      </c>
      <c r="C73" s="1528" t="n">
        <v>121</v>
      </c>
      <c r="D73" s="1528" t="s">
        <v>1067</v>
      </c>
      <c r="E73" s="1528" t="n">
        <v>4</v>
      </c>
      <c r="F73" s="1528" t="n">
        <v>0</v>
      </c>
      <c r="G73" s="1528" t="n">
        <v>36060.73</v>
      </c>
      <c r="H73" s="1528" t="n">
        <v>0</v>
      </c>
      <c r="I73" s="1528" t="n">
        <v>80000</v>
      </c>
      <c r="J73" s="1528" t="n">
        <v>0</v>
      </c>
      <c r="K73" s="1528" t="n">
        <v>1.51294</v>
      </c>
      <c r="L73" s="1528"/>
      <c r="M73" s="1547" t="str">
        <f aca="false">IF($E73=M$3,M$2,"")</f>
        <v> en Invernadero</v>
      </c>
      <c r="N73" s="1547" t="str">
        <f aca="false">IF($E73=N$3,N$2,"")</f>
        <v/>
      </c>
      <c r="O73" s="1547" t="str">
        <f aca="false">IF($E73=O$3,O$2,"")</f>
        <v/>
      </c>
      <c r="P73" s="1528" t="str">
        <f aca="false">CONCATENATE(D73,M73,N73,O73)</f>
        <v>BONIATO en Invernadero en Invernadero</v>
      </c>
    </row>
    <row r="74" customFormat="false" ht="14.25" hidden="false" customHeight="false" outlineLevel="0" collapsed="false">
      <c r="A74" s="1528"/>
      <c r="B74" s="1528" t="n">
        <v>4</v>
      </c>
      <c r="C74" s="1528" t="n">
        <v>121</v>
      </c>
      <c r="D74" s="1528" t="s">
        <v>1068</v>
      </c>
      <c r="E74" s="1528" t="n">
        <v>19</v>
      </c>
      <c r="F74" s="1528" t="n">
        <v>0</v>
      </c>
      <c r="G74" s="1528" t="n">
        <v>36060.73</v>
      </c>
      <c r="H74" s="1528" t="n">
        <v>0</v>
      </c>
      <c r="I74" s="1528" t="n">
        <v>80000</v>
      </c>
      <c r="J74" s="1528" t="n">
        <v>0</v>
      </c>
      <c r="K74" s="1528" t="n">
        <v>1.51294</v>
      </c>
      <c r="L74" s="1528"/>
      <c r="M74" s="1547" t="str">
        <f aca="false">IF($E74=M$3,M$2,"")</f>
        <v/>
      </c>
      <c r="N74" s="1547" t="str">
        <f aca="false">IF($E74=N$3,N$2,"")</f>
        <v> en invernadero enarenado</v>
      </c>
      <c r="O74" s="1547" t="str">
        <f aca="false">IF($E74=O$3,O$2,"")</f>
        <v/>
      </c>
      <c r="P74" s="1528" t="str">
        <f aca="false">CONCATENATE(D74,M74,N74,O74)</f>
        <v>BONIATO en invernadero enarenado en invernadero enarenado</v>
      </c>
    </row>
    <row r="75" customFormat="false" ht="14.25" hidden="false" customHeight="false" outlineLevel="0" collapsed="false">
      <c r="A75" s="1528"/>
      <c r="B75" s="1528" t="n">
        <v>1</v>
      </c>
      <c r="C75" s="1528" t="n">
        <v>122</v>
      </c>
      <c r="D75" s="1528" t="s">
        <v>1069</v>
      </c>
      <c r="E75" s="1528" t="n">
        <v>0</v>
      </c>
      <c r="F75" s="1528" t="n">
        <v>450.76</v>
      </c>
      <c r="G75" s="1528" t="n">
        <v>721.21</v>
      </c>
      <c r="H75" s="1528" t="n">
        <v>500</v>
      </c>
      <c r="I75" s="1528" t="n">
        <v>1500</v>
      </c>
      <c r="J75" s="1528" t="n">
        <v>0.01891</v>
      </c>
      <c r="K75" s="1528" t="n">
        <v>0.03026</v>
      </c>
      <c r="L75" s="1528"/>
      <c r="M75" s="1547" t="str">
        <f aca="false">IF($E75=M$3,M$2,"")</f>
        <v/>
      </c>
      <c r="N75" s="1547" t="str">
        <f aca="false">IF($E75=N$3,N$2,"")</f>
        <v/>
      </c>
      <c r="O75" s="1547" t="str">
        <f aca="false">IF($E75=O$3,O$2,"")</f>
        <v/>
      </c>
      <c r="P75" s="1528" t="str">
        <f aca="false">CONCATENATE(D75,M75,N75,O75)</f>
        <v>ALGARROBO</v>
      </c>
    </row>
    <row r="76" customFormat="false" ht="14.25" hidden="false" customHeight="false" outlineLevel="0" collapsed="false">
      <c r="A76" s="1528"/>
      <c r="B76" s="1528" t="n">
        <v>3</v>
      </c>
      <c r="C76" s="1528" t="n">
        <v>123</v>
      </c>
      <c r="D76" s="1528" t="s">
        <v>1071</v>
      </c>
      <c r="E76" s="1528" t="n">
        <v>6</v>
      </c>
      <c r="F76" s="1528" t="n">
        <v>450.76</v>
      </c>
      <c r="G76" s="1528" t="n">
        <v>721.21</v>
      </c>
      <c r="H76" s="1528" t="n">
        <v>500</v>
      </c>
      <c r="I76" s="1528" t="n">
        <v>1500</v>
      </c>
      <c r="J76" s="1528" t="n">
        <v>0.01891</v>
      </c>
      <c r="K76" s="1528" t="n">
        <v>0.03026</v>
      </c>
      <c r="L76" s="1528"/>
      <c r="M76" s="1547" t="str">
        <f aca="false">IF($E76=M$3,M$2,"")</f>
        <v/>
      </c>
      <c r="N76" s="1547" t="str">
        <f aca="false">IF($E76=N$3,N$2,"")</f>
        <v/>
      </c>
      <c r="O76" s="1547" t="str">
        <f aca="false">IF($E76=O$3,O$2,"")</f>
        <v> micorrizado.</v>
      </c>
      <c r="P76" s="1528" t="str">
        <f aca="false">CONCATENATE(D76,M76,N76,O76)</f>
        <v>AVELLANO micorrizado. micorrizado.</v>
      </c>
    </row>
    <row r="77" customFormat="false" ht="14.25" hidden="false" customHeight="false" outlineLevel="0" collapsed="false">
      <c r="A77" s="1528"/>
      <c r="B77" s="1528" t="n">
        <v>3</v>
      </c>
      <c r="C77" s="1528" t="n">
        <v>124</v>
      </c>
      <c r="D77" s="1528" t="s">
        <v>1072</v>
      </c>
      <c r="E77" s="1528" t="n">
        <v>0</v>
      </c>
      <c r="F77" s="1528" t="n">
        <v>450.76</v>
      </c>
      <c r="G77" s="1528" t="n">
        <v>721.21</v>
      </c>
      <c r="H77" s="1528" t="n">
        <v>500</v>
      </c>
      <c r="I77" s="1528" t="n">
        <v>1500</v>
      </c>
      <c r="J77" s="1528" t="n">
        <v>0.01891</v>
      </c>
      <c r="K77" s="1528" t="n">
        <v>0.03026</v>
      </c>
      <c r="L77" s="1528"/>
      <c r="M77" s="1547" t="str">
        <f aca="false">IF($E77=M$3,M$2,"")</f>
        <v/>
      </c>
      <c r="N77" s="1547" t="str">
        <f aca="false">IF($E77=N$3,N$2,"")</f>
        <v/>
      </c>
      <c r="O77" s="1547" t="str">
        <f aca="false">IF($E77=O$3,O$2,"")</f>
        <v/>
      </c>
      <c r="P77" s="1528" t="str">
        <f aca="false">CONCATENATE(D77,M77,N77,O77)</f>
        <v>PISTACHO</v>
      </c>
    </row>
    <row r="78" customFormat="false" ht="14.25" hidden="false" customHeight="false" outlineLevel="0" collapsed="false">
      <c r="A78" s="1528"/>
      <c r="B78" s="1528" t="n">
        <v>3</v>
      </c>
      <c r="C78" s="1528" t="n">
        <v>125</v>
      </c>
      <c r="D78" s="1528" t="s">
        <v>1074</v>
      </c>
      <c r="E78" s="1528" t="n">
        <v>0</v>
      </c>
      <c r="F78" s="1528" t="n">
        <v>450.76</v>
      </c>
      <c r="G78" s="1528" t="n">
        <v>721.21</v>
      </c>
      <c r="H78" s="1528" t="n">
        <v>500</v>
      </c>
      <c r="I78" s="1528" t="n">
        <v>1500</v>
      </c>
      <c r="J78" s="1528" t="n">
        <v>0.01891</v>
      </c>
      <c r="K78" s="1528" t="n">
        <v>0.03026</v>
      </c>
      <c r="L78" s="1528"/>
      <c r="M78" s="1547" t="str">
        <f aca="false">IF($E78=M$3,M$2,"")</f>
        <v/>
      </c>
      <c r="N78" s="1547" t="str">
        <f aca="false">IF($E78=N$3,N$2,"")</f>
        <v/>
      </c>
      <c r="O78" s="1547" t="str">
        <f aca="false">IF($E78=O$3,O$2,"")</f>
        <v/>
      </c>
      <c r="P78" s="1528" t="str">
        <f aca="false">CONCATENATE(D78,M78,N78,O78)</f>
        <v>FRUTOS DE CÁSCARA</v>
      </c>
    </row>
    <row r="79" customFormat="false" ht="14.25" hidden="false" customHeight="false" outlineLevel="0" collapsed="false">
      <c r="A79" s="1528"/>
      <c r="B79" s="1528" t="n">
        <v>1</v>
      </c>
      <c r="C79" s="1528" t="n">
        <v>138</v>
      </c>
      <c r="D79" s="1528" t="s">
        <v>1075</v>
      </c>
      <c r="E79" s="1528" t="n">
        <v>0</v>
      </c>
      <c r="F79" s="1528" t="n">
        <v>0</v>
      </c>
      <c r="G79" s="1528" t="n">
        <v>240.4</v>
      </c>
      <c r="H79" s="1528" t="n">
        <v>0</v>
      </c>
      <c r="I79" s="1528" t="n">
        <v>5200</v>
      </c>
      <c r="J79" s="1528" t="n">
        <v>0</v>
      </c>
      <c r="K79" s="1528" t="n">
        <v>0.01009</v>
      </c>
      <c r="L79" s="1528"/>
      <c r="M79" s="1547" t="str">
        <f aca="false">IF($E79=M$3,M$2,"")</f>
        <v/>
      </c>
      <c r="N79" s="1547" t="str">
        <f aca="false">IF($E79=N$3,N$2,"")</f>
        <v/>
      </c>
      <c r="O79" s="1547" t="str">
        <f aca="false">IF($E79=O$3,O$2,"")</f>
        <v/>
      </c>
      <c r="P79" s="1528" t="str">
        <f aca="false">CONCATENATE(D79,M79,N79,O79)</f>
        <v>ADORMIDERA</v>
      </c>
    </row>
    <row r="80" customFormat="false" ht="14.25" hidden="false" customHeight="false" outlineLevel="0" collapsed="false">
      <c r="A80" s="1528"/>
      <c r="B80" s="1528" t="n">
        <v>1</v>
      </c>
      <c r="C80" s="1528" t="n">
        <v>139</v>
      </c>
      <c r="D80" s="1528" t="s">
        <v>1076</v>
      </c>
      <c r="E80" s="1528" t="n">
        <v>0</v>
      </c>
      <c r="F80" s="1528" t="n">
        <v>0</v>
      </c>
      <c r="G80" s="1528" t="n">
        <v>240.4</v>
      </c>
      <c r="H80" s="1528" t="n">
        <v>0</v>
      </c>
      <c r="I80" s="1528" t="n">
        <v>5200</v>
      </c>
      <c r="J80" s="1528" t="n">
        <v>0</v>
      </c>
      <c r="K80" s="1528" t="n">
        <v>0.01009</v>
      </c>
      <c r="L80" s="1528"/>
      <c r="M80" s="1547" t="str">
        <f aca="false">IF($E80=M$3,M$2,"")</f>
        <v/>
      </c>
      <c r="N80" s="1547" t="str">
        <f aca="false">IF($E80=N$3,N$2,"")</f>
        <v/>
      </c>
      <c r="O80" s="1547" t="str">
        <f aca="false">IF($E80=O$3,O$2,"")</f>
        <v/>
      </c>
      <c r="P80" s="1528" t="str">
        <f aca="false">CONCATENATE(D80,M80,N80,O80)</f>
        <v>HIERBA CINTA</v>
      </c>
    </row>
    <row r="81" customFormat="false" ht="14.25" hidden="false" customHeight="false" outlineLevel="0" collapsed="false">
      <c r="A81" s="1528"/>
      <c r="B81" s="1528" t="n">
        <v>1</v>
      </c>
      <c r="C81" s="1528" t="n">
        <v>140</v>
      </c>
      <c r="D81" s="1528" t="s">
        <v>1077</v>
      </c>
      <c r="E81" s="1528" t="n">
        <v>0</v>
      </c>
      <c r="F81" s="1528" t="n">
        <v>0</v>
      </c>
      <c r="G81" s="1528" t="n">
        <v>240.4</v>
      </c>
      <c r="H81" s="1528" t="n">
        <v>0</v>
      </c>
      <c r="I81" s="1528" t="n">
        <v>5200</v>
      </c>
      <c r="J81" s="1528" t="n">
        <v>0</v>
      </c>
      <c r="K81" s="1528" t="n">
        <v>0.01009</v>
      </c>
      <c r="L81" s="1528"/>
      <c r="M81" s="1547" t="str">
        <f aca="false">IF($E81=M$3,M$2,"")</f>
        <v/>
      </c>
      <c r="N81" s="1547" t="str">
        <f aca="false">IF($E81=N$3,N$2,"")</f>
        <v/>
      </c>
      <c r="O81" s="1547" t="str">
        <f aca="false">IF($E81=O$3,O$2,"")</f>
        <v/>
      </c>
      <c r="P81" s="1528" t="str">
        <f aca="false">CONCATENATE(D81,M81,N81,O81)</f>
        <v>ABACA ALIAS MANILA</v>
      </c>
    </row>
    <row r="82" customFormat="false" ht="14.25" hidden="false" customHeight="false" outlineLevel="0" collapsed="false">
      <c r="A82" s="1528"/>
      <c r="B82" s="1528" t="n">
        <v>1</v>
      </c>
      <c r="C82" s="1528" t="n">
        <v>141</v>
      </c>
      <c r="D82" s="1528" t="s">
        <v>1078</v>
      </c>
      <c r="E82" s="1528" t="n">
        <v>0</v>
      </c>
      <c r="F82" s="1528" t="n">
        <v>0</v>
      </c>
      <c r="G82" s="1528" t="n">
        <v>240.4</v>
      </c>
      <c r="H82" s="1528" t="n">
        <v>0</v>
      </c>
      <c r="I82" s="1528" t="n">
        <v>5200</v>
      </c>
      <c r="J82" s="1528" t="n">
        <v>0</v>
      </c>
      <c r="K82" s="1528" t="n">
        <v>0.01009</v>
      </c>
      <c r="L82" s="1528"/>
      <c r="M82" s="1547" t="str">
        <f aca="false">IF($E82=M$3,M$2,"")</f>
        <v/>
      </c>
      <c r="N82" s="1547" t="str">
        <f aca="false">IF($E82=N$3,N$2,"")</f>
        <v/>
      </c>
      <c r="O82" s="1547" t="str">
        <f aca="false">IF($E82=O$3,O$2,"")</f>
        <v/>
      </c>
      <c r="P82" s="1528" t="str">
        <f aca="false">CONCATENATE(D82,M82,N82,O82)</f>
        <v>KENAF</v>
      </c>
    </row>
    <row r="83" customFormat="false" ht="14.25" hidden="false" customHeight="false" outlineLevel="0" collapsed="false">
      <c r="A83" s="1528"/>
      <c r="B83" s="1528" t="n">
        <v>1</v>
      </c>
      <c r="C83" s="1528" t="n">
        <v>142</v>
      </c>
      <c r="D83" s="1528" t="s">
        <v>1079</v>
      </c>
      <c r="E83" s="1528" t="n">
        <v>0</v>
      </c>
      <c r="F83" s="1528" t="n">
        <v>0</v>
      </c>
      <c r="G83" s="1528" t="n">
        <v>240.4</v>
      </c>
      <c r="H83" s="1528" t="n">
        <v>0</v>
      </c>
      <c r="I83" s="1528" t="n">
        <v>5200</v>
      </c>
      <c r="J83" s="1528" t="n">
        <v>0</v>
      </c>
      <c r="K83" s="1528" t="n">
        <v>0.01009</v>
      </c>
      <c r="L83" s="1528"/>
      <c r="M83" s="1547" t="str">
        <f aca="false">IF($E83=M$3,M$2,"")</f>
        <v/>
      </c>
      <c r="N83" s="1547" t="str">
        <f aca="false">IF($E83=N$3,N$2,"")</f>
        <v/>
      </c>
      <c r="O83" s="1547" t="str">
        <f aca="false">IF($E83=O$3,O$2,"")</f>
        <v/>
      </c>
      <c r="P83" s="1528" t="str">
        <f aca="false">CONCATENATE(D83,M83,N83,O83)</f>
        <v>YUTE</v>
      </c>
    </row>
    <row r="84" customFormat="false" ht="14.25" hidden="false" customHeight="false" outlineLevel="0" collapsed="false">
      <c r="A84" s="1528"/>
      <c r="B84" s="1528" t="n">
        <v>1</v>
      </c>
      <c r="C84" s="1528" t="n">
        <v>143</v>
      </c>
      <c r="D84" s="1528" t="s">
        <v>1080</v>
      </c>
      <c r="E84" s="1528" t="n">
        <v>0</v>
      </c>
      <c r="F84" s="1528" t="n">
        <v>0</v>
      </c>
      <c r="G84" s="1528" t="n">
        <v>240.4</v>
      </c>
      <c r="H84" s="1528" t="n">
        <v>0</v>
      </c>
      <c r="I84" s="1528" t="n">
        <v>5200</v>
      </c>
      <c r="J84" s="1528" t="n">
        <v>0</v>
      </c>
      <c r="K84" s="1528" t="n">
        <v>0.01009</v>
      </c>
      <c r="L84" s="1528"/>
      <c r="M84" s="1547" t="str">
        <f aca="false">IF($E84=M$3,M$2,"")</f>
        <v/>
      </c>
      <c r="N84" s="1547" t="str">
        <f aca="false">IF($E84=N$3,N$2,"")</f>
        <v/>
      </c>
      <c r="O84" s="1547" t="str">
        <f aca="false">IF($E84=O$3,O$2,"")</f>
        <v/>
      </c>
      <c r="P84" s="1528" t="str">
        <f aca="false">CONCATENATE(D84,M84,N84,O84)</f>
        <v>SISAL</v>
      </c>
    </row>
    <row r="85" customFormat="false" ht="14.25" hidden="false" customHeight="false" outlineLevel="0" collapsed="false">
      <c r="A85" s="1528"/>
      <c r="B85" s="1528" t="n">
        <v>3</v>
      </c>
      <c r="C85" s="1528" t="n">
        <v>147</v>
      </c>
      <c r="D85" s="1528" t="s">
        <v>1082</v>
      </c>
      <c r="E85" s="1528" t="n">
        <v>6</v>
      </c>
      <c r="F85" s="1528" t="n">
        <v>450.76</v>
      </c>
      <c r="G85" s="1528" t="n">
        <v>721.21</v>
      </c>
      <c r="H85" s="1528" t="n">
        <v>2000</v>
      </c>
      <c r="I85" s="1528" t="n">
        <v>6000</v>
      </c>
      <c r="J85" s="1528" t="n">
        <v>0.01891</v>
      </c>
      <c r="K85" s="1528" t="n">
        <v>0.03026</v>
      </c>
      <c r="L85" s="1528"/>
      <c r="M85" s="1547" t="str">
        <f aca="false">IF($E85=M$3,M$2,"")</f>
        <v/>
      </c>
      <c r="N85" s="1547" t="str">
        <f aca="false">IF($E85=N$3,N$2,"")</f>
        <v/>
      </c>
      <c r="O85" s="1547" t="str">
        <f aca="false">IF($E85=O$3,O$2,"")</f>
        <v> micorrizado.</v>
      </c>
      <c r="P85" s="1528" t="str">
        <f aca="false">CONCATENATE(D85,M85,N85,O85)</f>
        <v>ENCINA micorrizado. micorrizado.</v>
      </c>
    </row>
    <row r="86" customFormat="false" ht="14.25" hidden="false" customHeight="false" outlineLevel="0" collapsed="false">
      <c r="A86" s="1528"/>
      <c r="B86" s="1528" t="n">
        <v>4</v>
      </c>
      <c r="C86" s="1528" t="n">
        <v>151</v>
      </c>
      <c r="D86" s="1528" t="s">
        <v>1083</v>
      </c>
      <c r="E86" s="1528" t="n">
        <v>0</v>
      </c>
      <c r="F86" s="1528" t="n">
        <v>360.61</v>
      </c>
      <c r="G86" s="1528" t="n">
        <v>1352.28</v>
      </c>
      <c r="H86" s="1528" t="n">
        <v>575</v>
      </c>
      <c r="I86" s="1528" t="n">
        <v>8500</v>
      </c>
      <c r="J86" s="1528" t="n">
        <v>0.01513</v>
      </c>
      <c r="K86" s="1528" t="n">
        <v>0.05674</v>
      </c>
      <c r="L86" s="1528"/>
      <c r="M86" s="1547" t="str">
        <f aca="false">IF($E86=M$3,M$2,"")</f>
        <v/>
      </c>
      <c r="N86" s="1547" t="str">
        <f aca="false">IF($E86=N$3,N$2,"")</f>
        <v/>
      </c>
      <c r="O86" s="1547" t="str">
        <f aca="false">IF($E86=O$3,O$2,"")</f>
        <v/>
      </c>
      <c r="P86" s="1528" t="str">
        <f aca="false">CONCATENATE(D86,M86,N86,O86)</f>
        <v>PUERRO</v>
      </c>
    </row>
    <row r="87" customFormat="false" ht="14.25" hidden="false" customHeight="false" outlineLevel="0" collapsed="false">
      <c r="A87" s="1528"/>
      <c r="B87" s="1528" t="n">
        <v>4</v>
      </c>
      <c r="C87" s="1528" t="n">
        <v>151</v>
      </c>
      <c r="D87" s="1528" t="s">
        <v>1084</v>
      </c>
      <c r="E87" s="1528" t="n">
        <v>4</v>
      </c>
      <c r="F87" s="1528" t="n">
        <v>0</v>
      </c>
      <c r="G87" s="1528" t="n">
        <v>36060.73</v>
      </c>
      <c r="H87" s="1528" t="n">
        <v>0</v>
      </c>
      <c r="I87" s="1528" t="n">
        <v>80000</v>
      </c>
      <c r="J87" s="1528" t="n">
        <v>0</v>
      </c>
      <c r="K87" s="1528" t="n">
        <v>1.51294</v>
      </c>
      <c r="L87" s="1528"/>
      <c r="M87" s="1547" t="str">
        <f aca="false">IF($E87=M$3,M$2,"")</f>
        <v> en Invernadero</v>
      </c>
      <c r="N87" s="1547" t="str">
        <f aca="false">IF($E87=N$3,N$2,"")</f>
        <v/>
      </c>
      <c r="O87" s="1547" t="str">
        <f aca="false">IF($E87=O$3,O$2,"")</f>
        <v/>
      </c>
      <c r="P87" s="1528" t="str">
        <f aca="false">CONCATENATE(D87,M87,N87,O87)</f>
        <v>PUERRO en Invernadero en Invernadero</v>
      </c>
    </row>
    <row r="88" customFormat="false" ht="14.25" hidden="false" customHeight="false" outlineLevel="0" collapsed="false">
      <c r="A88" s="1528"/>
      <c r="B88" s="1528" t="n">
        <v>4</v>
      </c>
      <c r="C88" s="1528" t="n">
        <v>151</v>
      </c>
      <c r="D88" s="1528" t="s">
        <v>1085</v>
      </c>
      <c r="E88" s="1528" t="n">
        <v>19</v>
      </c>
      <c r="F88" s="1528" t="n">
        <v>0</v>
      </c>
      <c r="G88" s="1528" t="n">
        <v>36060.73</v>
      </c>
      <c r="H88" s="1528" t="n">
        <v>0</v>
      </c>
      <c r="I88" s="1528" t="n">
        <v>80000</v>
      </c>
      <c r="J88" s="1528" t="n">
        <v>0</v>
      </c>
      <c r="K88" s="1528" t="n">
        <v>1.51294</v>
      </c>
      <c r="L88" s="1528"/>
      <c r="M88" s="1547" t="str">
        <f aca="false">IF($E88=M$3,M$2,"")</f>
        <v/>
      </c>
      <c r="N88" s="1547" t="str">
        <f aca="false">IF($E88=N$3,N$2,"")</f>
        <v> en invernadero enarenado</v>
      </c>
      <c r="O88" s="1547" t="str">
        <f aca="false">IF($E88=O$3,O$2,"")</f>
        <v/>
      </c>
      <c r="P88" s="1528" t="str">
        <f aca="false">CONCATENATE(D88,M88,N88,O88)</f>
        <v>PUERRO en invernadero enarenado en invernadero enarenado</v>
      </c>
    </row>
    <row r="89" customFormat="false" ht="14.25" hidden="false" customHeight="false" outlineLevel="0" collapsed="false">
      <c r="A89" s="1528"/>
      <c r="B89" s="1528" t="n">
        <v>4</v>
      </c>
      <c r="C89" s="1528" t="n">
        <v>152</v>
      </c>
      <c r="D89" s="1528" t="s">
        <v>1086</v>
      </c>
      <c r="E89" s="1528" t="n">
        <v>0</v>
      </c>
      <c r="F89" s="1528" t="n">
        <v>360.61</v>
      </c>
      <c r="G89" s="1528" t="n">
        <v>1352.2</v>
      </c>
      <c r="H89" s="1528" t="n">
        <v>575</v>
      </c>
      <c r="I89" s="1528" t="n">
        <v>8000</v>
      </c>
      <c r="J89" s="1528" t="n">
        <v>0.01513</v>
      </c>
      <c r="K89" s="1528" t="n">
        <v>0.05673</v>
      </c>
      <c r="L89" s="1528"/>
      <c r="M89" s="1547" t="str">
        <f aca="false">IF($E89=M$3,M$2,"")</f>
        <v/>
      </c>
      <c r="N89" s="1547" t="str">
        <f aca="false">IF($E89=N$3,N$2,"")</f>
        <v/>
      </c>
      <c r="O89" s="1547" t="str">
        <f aca="false">IF($E89=O$3,O$2,"")</f>
        <v/>
      </c>
      <c r="P89" s="1528" t="str">
        <f aca="false">CONCATENATE(D89,M89,N89,O89)</f>
        <v>PIMIENTO</v>
      </c>
    </row>
    <row r="90" customFormat="false" ht="14.25" hidden="false" customHeight="false" outlineLevel="0" collapsed="false">
      <c r="A90" s="1528"/>
      <c r="B90" s="1528" t="n">
        <v>4</v>
      </c>
      <c r="C90" s="1528" t="n">
        <v>152</v>
      </c>
      <c r="D90" s="1528" t="s">
        <v>1087</v>
      </c>
      <c r="E90" s="1528" t="n">
        <v>4</v>
      </c>
      <c r="F90" s="1528" t="n">
        <v>0</v>
      </c>
      <c r="G90" s="1528" t="n">
        <v>36060.73</v>
      </c>
      <c r="H90" s="1528" t="n">
        <v>0</v>
      </c>
      <c r="I90" s="1528" t="n">
        <v>80000</v>
      </c>
      <c r="J90" s="1528" t="n">
        <v>0</v>
      </c>
      <c r="K90" s="1528" t="n">
        <v>1.51294</v>
      </c>
      <c r="L90" s="1528"/>
      <c r="M90" s="1547" t="str">
        <f aca="false">IF($E90=M$3,M$2,"")</f>
        <v> en Invernadero</v>
      </c>
      <c r="N90" s="1547" t="str">
        <f aca="false">IF($E90=N$3,N$2,"")</f>
        <v/>
      </c>
      <c r="O90" s="1547" t="str">
        <f aca="false">IF($E90=O$3,O$2,"")</f>
        <v/>
      </c>
      <c r="P90" s="1528" t="str">
        <f aca="false">CONCATENATE(D90,M90,N90,O90)</f>
        <v>PIMIENTO en Invernadero en Invernadero</v>
      </c>
    </row>
    <row r="91" customFormat="false" ht="14.25" hidden="false" customHeight="false" outlineLevel="0" collapsed="false">
      <c r="A91" s="1528"/>
      <c r="B91" s="1528" t="n">
        <v>4</v>
      </c>
      <c r="C91" s="1528" t="n">
        <v>152</v>
      </c>
      <c r="D91" s="1528" t="s">
        <v>1088</v>
      </c>
      <c r="E91" s="1528" t="n">
        <v>19</v>
      </c>
      <c r="F91" s="1528" t="n">
        <v>0</v>
      </c>
      <c r="G91" s="1528" t="n">
        <v>36060.73</v>
      </c>
      <c r="H91" s="1528" t="n">
        <v>0</v>
      </c>
      <c r="I91" s="1528" t="n">
        <v>80000</v>
      </c>
      <c r="J91" s="1528" t="n">
        <v>0</v>
      </c>
      <c r="K91" s="1528" t="n">
        <v>1.51294</v>
      </c>
      <c r="L91" s="1528"/>
      <c r="M91" s="1547" t="str">
        <f aca="false">IF($E91=M$3,M$2,"")</f>
        <v/>
      </c>
      <c r="N91" s="1547" t="str">
        <f aca="false">IF($E91=N$3,N$2,"")</f>
        <v> en invernadero enarenado</v>
      </c>
      <c r="O91" s="1547" t="str">
        <f aca="false">IF($E91=O$3,O$2,"")</f>
        <v/>
      </c>
      <c r="P91" s="1528" t="str">
        <f aca="false">CONCATENATE(D91,M91,N91,O91)</f>
        <v>PIMIENTO en invernadero enarenado en invernadero enarenado</v>
      </c>
    </row>
    <row r="92" customFormat="false" ht="14.25" hidden="false" customHeight="false" outlineLevel="0" collapsed="false">
      <c r="A92" s="1528"/>
      <c r="B92" s="1528" t="n">
        <v>4</v>
      </c>
      <c r="C92" s="1528" t="n">
        <v>153</v>
      </c>
      <c r="D92" s="1528" t="s">
        <v>1090</v>
      </c>
      <c r="E92" s="1528" t="n">
        <v>0</v>
      </c>
      <c r="F92" s="1528" t="n">
        <v>360.61</v>
      </c>
      <c r="G92" s="1528" t="n">
        <v>1352.28</v>
      </c>
      <c r="H92" s="1528" t="n">
        <v>575</v>
      </c>
      <c r="I92" s="1528" t="n">
        <v>5200</v>
      </c>
      <c r="J92" s="1528" t="n">
        <v>0.01513</v>
      </c>
      <c r="K92" s="1528" t="n">
        <v>0.05674</v>
      </c>
      <c r="L92" s="1528"/>
      <c r="M92" s="1547" t="str">
        <f aca="false">IF($E92=M$3,M$2,"")</f>
        <v/>
      </c>
      <c r="N92" s="1547" t="str">
        <f aca="false">IF($E92=N$3,N$2,"")</f>
        <v/>
      </c>
      <c r="O92" s="1547" t="str">
        <f aca="false">IF($E92=O$3,O$2,"")</f>
        <v/>
      </c>
      <c r="P92" s="1528" t="str">
        <f aca="false">CONCATENATE(D92,M92,N92,O92)</f>
        <v>MELÓN</v>
      </c>
    </row>
    <row r="93" customFormat="false" ht="14.25" hidden="false" customHeight="false" outlineLevel="0" collapsed="false">
      <c r="A93" s="1528"/>
      <c r="B93" s="1528" t="n">
        <v>4</v>
      </c>
      <c r="C93" s="1528" t="n">
        <v>153</v>
      </c>
      <c r="D93" s="1528" t="s">
        <v>1091</v>
      </c>
      <c r="E93" s="1528" t="n">
        <v>4</v>
      </c>
      <c r="F93" s="1528" t="n">
        <v>0</v>
      </c>
      <c r="G93" s="1528" t="n">
        <v>36060.73</v>
      </c>
      <c r="H93" s="1528" t="n">
        <v>0</v>
      </c>
      <c r="I93" s="1528" t="n">
        <v>80000</v>
      </c>
      <c r="J93" s="1528" t="n">
        <v>0</v>
      </c>
      <c r="K93" s="1528" t="n">
        <v>1.51294</v>
      </c>
      <c r="L93" s="1528"/>
      <c r="M93" s="1547" t="str">
        <f aca="false">IF($E93=M$3,M$2,"")</f>
        <v> en Invernadero</v>
      </c>
      <c r="N93" s="1547" t="str">
        <f aca="false">IF($E93=N$3,N$2,"")</f>
        <v/>
      </c>
      <c r="O93" s="1547" t="str">
        <f aca="false">IF($E93=O$3,O$2,"")</f>
        <v/>
      </c>
      <c r="P93" s="1528" t="str">
        <f aca="false">CONCATENATE(D93,M93,N93,O93)</f>
        <v>MELÓN en Invernadero en Invernadero</v>
      </c>
    </row>
    <row r="94" customFormat="false" ht="14.25" hidden="false" customHeight="false" outlineLevel="0" collapsed="false">
      <c r="A94" s="1528"/>
      <c r="B94" s="1528" t="n">
        <v>4</v>
      </c>
      <c r="C94" s="1528" t="n">
        <v>153</v>
      </c>
      <c r="D94" s="1528" t="s">
        <v>1092</v>
      </c>
      <c r="E94" s="1528" t="n">
        <v>19</v>
      </c>
      <c r="F94" s="1528" t="n">
        <v>0</v>
      </c>
      <c r="G94" s="1528" t="n">
        <v>36060.73</v>
      </c>
      <c r="H94" s="1528" t="n">
        <v>0</v>
      </c>
      <c r="I94" s="1528" t="n">
        <v>80000</v>
      </c>
      <c r="J94" s="1528" t="n">
        <v>0</v>
      </c>
      <c r="K94" s="1528" t="n">
        <v>1.51294</v>
      </c>
      <c r="L94" s="1528"/>
      <c r="M94" s="1547" t="str">
        <f aca="false">IF($E94=M$3,M$2,"")</f>
        <v/>
      </c>
      <c r="N94" s="1547" t="str">
        <f aca="false">IF($E94=N$3,N$2,"")</f>
        <v> en invernadero enarenado</v>
      </c>
      <c r="O94" s="1547" t="str">
        <f aca="false">IF($E94=O$3,O$2,"")</f>
        <v/>
      </c>
      <c r="P94" s="1528" t="str">
        <f aca="false">CONCATENATE(D94,M94,N94,O94)</f>
        <v>MELÓN en invernadero enarenado en invernadero enarenado</v>
      </c>
    </row>
    <row r="95" customFormat="false" ht="14.25" hidden="false" customHeight="false" outlineLevel="0" collapsed="false">
      <c r="A95" s="1528"/>
      <c r="B95" s="1528" t="n">
        <v>4</v>
      </c>
      <c r="C95" s="1528" t="n">
        <v>154</v>
      </c>
      <c r="D95" s="1528" t="s">
        <v>1094</v>
      </c>
      <c r="E95" s="1528" t="n">
        <v>0</v>
      </c>
      <c r="F95" s="1528" t="n">
        <v>360.61</v>
      </c>
      <c r="G95" s="1528" t="n">
        <v>1352.28</v>
      </c>
      <c r="H95" s="1528" t="n">
        <v>575</v>
      </c>
      <c r="I95" s="1528" t="n">
        <v>5200</v>
      </c>
      <c r="J95" s="1528" t="n">
        <v>0.01513</v>
      </c>
      <c r="K95" s="1528" t="n">
        <v>0.05674</v>
      </c>
      <c r="L95" s="1528"/>
      <c r="M95" s="1547" t="str">
        <f aca="false">IF($E95=M$3,M$2,"")</f>
        <v/>
      </c>
      <c r="N95" s="1547" t="str">
        <f aca="false">IF($E95=N$3,N$2,"")</f>
        <v/>
      </c>
      <c r="O95" s="1547" t="str">
        <f aca="false">IF($E95=O$3,O$2,"")</f>
        <v/>
      </c>
      <c r="P95" s="1528" t="str">
        <f aca="false">CONCATENATE(D95,M95,N95,O95)</f>
        <v>BRÓCOLI</v>
      </c>
    </row>
    <row r="96" customFormat="false" ht="14.25" hidden="false" customHeight="false" outlineLevel="0" collapsed="false">
      <c r="A96" s="1528"/>
      <c r="B96" s="1528" t="n">
        <v>4</v>
      </c>
      <c r="C96" s="1528" t="n">
        <v>154</v>
      </c>
      <c r="D96" s="1528" t="s">
        <v>1095</v>
      </c>
      <c r="E96" s="1528" t="n">
        <v>4</v>
      </c>
      <c r="F96" s="1528" t="n">
        <v>0</v>
      </c>
      <c r="G96" s="1528" t="n">
        <v>36060.73</v>
      </c>
      <c r="H96" s="1528" t="n">
        <v>0</v>
      </c>
      <c r="I96" s="1528" t="n">
        <v>80000</v>
      </c>
      <c r="J96" s="1528" t="n">
        <v>0</v>
      </c>
      <c r="K96" s="1528" t="n">
        <v>1.51294</v>
      </c>
      <c r="L96" s="1528"/>
      <c r="M96" s="1547" t="str">
        <f aca="false">IF($E96=M$3,M$2,"")</f>
        <v> en Invernadero</v>
      </c>
      <c r="N96" s="1547" t="str">
        <f aca="false">IF($E96=N$3,N$2,"")</f>
        <v/>
      </c>
      <c r="O96" s="1547" t="str">
        <f aca="false">IF($E96=O$3,O$2,"")</f>
        <v/>
      </c>
      <c r="P96" s="1528" t="str">
        <f aca="false">CONCATENATE(D96,M96,N96,O96)</f>
        <v>BRÓCOLI en Invernadero en Invernadero</v>
      </c>
    </row>
    <row r="97" customFormat="false" ht="14.25" hidden="false" customHeight="false" outlineLevel="0" collapsed="false">
      <c r="A97" s="1528"/>
      <c r="B97" s="1528" t="n">
        <v>4</v>
      </c>
      <c r="C97" s="1528" t="n">
        <v>154</v>
      </c>
      <c r="D97" s="1528" t="s">
        <v>1096</v>
      </c>
      <c r="E97" s="1528" t="n">
        <v>19</v>
      </c>
      <c r="F97" s="1528" t="n">
        <v>0</v>
      </c>
      <c r="G97" s="1528" t="n">
        <v>36060.73</v>
      </c>
      <c r="H97" s="1528" t="n">
        <v>0</v>
      </c>
      <c r="I97" s="1528" t="n">
        <v>80000</v>
      </c>
      <c r="J97" s="1528" t="n">
        <v>0</v>
      </c>
      <c r="K97" s="1528" t="n">
        <v>1.51294</v>
      </c>
      <c r="L97" s="1528"/>
      <c r="M97" s="1547" t="str">
        <f aca="false">IF($E97=M$3,M$2,"")</f>
        <v/>
      </c>
      <c r="N97" s="1547" t="str">
        <f aca="false">IF($E97=N$3,N$2,"")</f>
        <v> en invernadero enarenado</v>
      </c>
      <c r="O97" s="1547" t="str">
        <f aca="false">IF($E97=O$3,O$2,"")</f>
        <v/>
      </c>
      <c r="P97" s="1528" t="str">
        <f aca="false">CONCATENATE(D97,M97,N97,O97)</f>
        <v>BRÓCOLI en invernadero enarenado en invernadero enarenado</v>
      </c>
    </row>
    <row r="98" customFormat="false" ht="14.25" hidden="false" customHeight="false" outlineLevel="0" collapsed="false">
      <c r="A98" s="1528"/>
      <c r="B98" s="1528" t="n">
        <v>4</v>
      </c>
      <c r="C98" s="1528" t="n">
        <v>155</v>
      </c>
      <c r="D98" s="1528" t="s">
        <v>1098</v>
      </c>
      <c r="E98" s="1528" t="n">
        <v>0</v>
      </c>
      <c r="F98" s="1528" t="n">
        <v>360.61</v>
      </c>
      <c r="G98" s="1528" t="n">
        <v>1352.28</v>
      </c>
      <c r="H98" s="1528" t="n">
        <v>575</v>
      </c>
      <c r="I98" s="1528" t="n">
        <v>7000</v>
      </c>
      <c r="J98" s="1528" t="n">
        <v>0.01513</v>
      </c>
      <c r="K98" s="1528" t="n">
        <v>0.05674</v>
      </c>
      <c r="L98" s="1528"/>
      <c r="M98" s="1547" t="str">
        <f aca="false">IF($E98=M$3,M$2,"")</f>
        <v/>
      </c>
      <c r="N98" s="1547" t="str">
        <f aca="false">IF($E98=N$3,N$2,"")</f>
        <v/>
      </c>
      <c r="O98" s="1547" t="str">
        <f aca="false">IF($E98=O$3,O$2,"")</f>
        <v/>
      </c>
      <c r="P98" s="1528" t="str">
        <f aca="false">CONCATENATE(D98,M98,N98,O98)</f>
        <v>LECHUGA</v>
      </c>
    </row>
    <row r="99" customFormat="false" ht="14.25" hidden="false" customHeight="false" outlineLevel="0" collapsed="false">
      <c r="A99" s="1528"/>
      <c r="B99" s="1528" t="n">
        <v>4</v>
      </c>
      <c r="C99" s="1528" t="n">
        <v>155</v>
      </c>
      <c r="D99" s="1528" t="s">
        <v>1099</v>
      </c>
      <c r="E99" s="1528" t="n">
        <v>4</v>
      </c>
      <c r="F99" s="1528" t="n">
        <v>0</v>
      </c>
      <c r="G99" s="1528" t="n">
        <v>36060.73</v>
      </c>
      <c r="H99" s="1528" t="n">
        <v>0</v>
      </c>
      <c r="I99" s="1528" t="n">
        <v>80000</v>
      </c>
      <c r="J99" s="1528" t="n">
        <v>0</v>
      </c>
      <c r="K99" s="1528" t="n">
        <v>1.51294</v>
      </c>
      <c r="L99" s="1528"/>
      <c r="M99" s="1547" t="str">
        <f aca="false">IF($E99=M$3,M$2,"")</f>
        <v> en Invernadero</v>
      </c>
      <c r="N99" s="1547" t="str">
        <f aca="false">IF($E99=N$3,N$2,"")</f>
        <v/>
      </c>
      <c r="O99" s="1547" t="str">
        <f aca="false">IF($E99=O$3,O$2,"")</f>
        <v/>
      </c>
      <c r="P99" s="1528" t="str">
        <f aca="false">CONCATENATE(D99,M99,N99,O99)</f>
        <v>LECHUGA en Invernadero en Invernadero</v>
      </c>
    </row>
    <row r="100" customFormat="false" ht="14.25" hidden="false" customHeight="false" outlineLevel="0" collapsed="false">
      <c r="A100" s="1528"/>
      <c r="B100" s="1528" t="n">
        <v>4</v>
      </c>
      <c r="C100" s="1528" t="n">
        <v>155</v>
      </c>
      <c r="D100" s="1528" t="s">
        <v>1100</v>
      </c>
      <c r="E100" s="1528" t="n">
        <v>19</v>
      </c>
      <c r="F100" s="1528" t="n">
        <v>0</v>
      </c>
      <c r="G100" s="1528" t="n">
        <v>36060.73</v>
      </c>
      <c r="H100" s="1528" t="n">
        <v>0</v>
      </c>
      <c r="I100" s="1528" t="n">
        <v>80000</v>
      </c>
      <c r="J100" s="1528" t="n">
        <v>0</v>
      </c>
      <c r="K100" s="1528" t="n">
        <v>1.51294</v>
      </c>
      <c r="L100" s="1528"/>
      <c r="M100" s="1547" t="str">
        <f aca="false">IF($E100=M$3,M$2,"")</f>
        <v/>
      </c>
      <c r="N100" s="1547" t="str">
        <f aca="false">IF($E100=N$3,N$2,"")</f>
        <v> en invernadero enarenado</v>
      </c>
      <c r="O100" s="1547" t="str">
        <f aca="false">IF($E100=O$3,O$2,"")</f>
        <v/>
      </c>
      <c r="P100" s="1528" t="str">
        <f aca="false">CONCATENATE(D100,M100,N100,O100)</f>
        <v>LECHUGA en invernadero enarenado en invernadero enarenado</v>
      </c>
    </row>
    <row r="101" customFormat="false" ht="14.25" hidden="false" customHeight="false" outlineLevel="0" collapsed="false">
      <c r="A101" s="1528"/>
      <c r="B101" s="1528" t="n">
        <v>4</v>
      </c>
      <c r="C101" s="1528" t="n">
        <v>156</v>
      </c>
      <c r="D101" s="1528" t="s">
        <v>1102</v>
      </c>
      <c r="E101" s="1528" t="n">
        <v>0</v>
      </c>
      <c r="F101" s="1528" t="n">
        <v>360.61</v>
      </c>
      <c r="G101" s="1528" t="n">
        <v>1352.28</v>
      </c>
      <c r="H101" s="1528" t="n">
        <v>575</v>
      </c>
      <c r="I101" s="1528" t="n">
        <v>8500</v>
      </c>
      <c r="J101" s="1528" t="n">
        <v>0.01513</v>
      </c>
      <c r="K101" s="1528" t="n">
        <v>0.05674</v>
      </c>
      <c r="L101" s="1528"/>
      <c r="M101" s="1547" t="str">
        <f aca="false">IF($E101=M$3,M$2,"")</f>
        <v/>
      </c>
      <c r="N101" s="1547" t="str">
        <f aca="false">IF($E101=N$3,N$2,"")</f>
        <v/>
      </c>
      <c r="O101" s="1547" t="str">
        <f aca="false">IF($E101=O$3,O$2,"")</f>
        <v/>
      </c>
      <c r="P101" s="1528" t="str">
        <f aca="false">CONCATENATE(D101,M101,N101,O101)</f>
        <v>SANDÍA</v>
      </c>
    </row>
    <row r="102" customFormat="false" ht="14.25" hidden="false" customHeight="false" outlineLevel="0" collapsed="false">
      <c r="A102" s="1528"/>
      <c r="B102" s="1528" t="n">
        <v>4</v>
      </c>
      <c r="C102" s="1528" t="n">
        <v>156</v>
      </c>
      <c r="D102" s="1528" t="s">
        <v>1103</v>
      </c>
      <c r="E102" s="1528" t="n">
        <v>4</v>
      </c>
      <c r="F102" s="1528" t="n">
        <v>0</v>
      </c>
      <c r="G102" s="1528" t="n">
        <v>36060.73</v>
      </c>
      <c r="H102" s="1528" t="n">
        <v>0</v>
      </c>
      <c r="I102" s="1528" t="n">
        <v>80000</v>
      </c>
      <c r="J102" s="1528" t="n">
        <v>0</v>
      </c>
      <c r="K102" s="1528" t="n">
        <v>1.51294</v>
      </c>
      <c r="L102" s="1528"/>
      <c r="M102" s="1547" t="str">
        <f aca="false">IF($E102=M$3,M$2,"")</f>
        <v> en Invernadero</v>
      </c>
      <c r="N102" s="1547" t="str">
        <f aca="false">IF($E102=N$3,N$2,"")</f>
        <v/>
      </c>
      <c r="O102" s="1547" t="str">
        <f aca="false">IF($E102=O$3,O$2,"")</f>
        <v/>
      </c>
      <c r="P102" s="1528" t="str">
        <f aca="false">CONCATENATE(D102,M102,N102,O102)</f>
        <v>SANDÍA en Invernadero en Invernadero</v>
      </c>
    </row>
    <row r="103" customFormat="false" ht="14.25" hidden="false" customHeight="false" outlineLevel="0" collapsed="false">
      <c r="A103" s="1528"/>
      <c r="B103" s="1528" t="n">
        <v>4</v>
      </c>
      <c r="C103" s="1528" t="n">
        <v>156</v>
      </c>
      <c r="D103" s="1528" t="s">
        <v>1104</v>
      </c>
      <c r="E103" s="1528" t="n">
        <v>19</v>
      </c>
      <c r="F103" s="1528" t="n">
        <v>0</v>
      </c>
      <c r="G103" s="1528" t="n">
        <v>36060.73</v>
      </c>
      <c r="H103" s="1528" t="n">
        <v>0</v>
      </c>
      <c r="I103" s="1528" t="n">
        <v>80000</v>
      </c>
      <c r="J103" s="1528" t="n">
        <v>0</v>
      </c>
      <c r="K103" s="1528" t="n">
        <v>1.51294</v>
      </c>
      <c r="L103" s="1528"/>
      <c r="M103" s="1547" t="str">
        <f aca="false">IF($E103=M$3,M$2,"")</f>
        <v/>
      </c>
      <c r="N103" s="1547" t="str">
        <f aca="false">IF($E103=N$3,N$2,"")</f>
        <v> en invernadero enarenado</v>
      </c>
      <c r="O103" s="1547" t="str">
        <f aca="false">IF($E103=O$3,O$2,"")</f>
        <v/>
      </c>
      <c r="P103" s="1528" t="str">
        <f aca="false">CONCATENATE(D103,M103,N103,O103)</f>
        <v>SANDÍA en invernadero enarenado en invernadero enarenado</v>
      </c>
    </row>
    <row r="104" customFormat="false" ht="14.25" hidden="false" customHeight="false" outlineLevel="0" collapsed="false">
      <c r="A104" s="1528"/>
      <c r="B104" s="1528" t="n">
        <v>4</v>
      </c>
      <c r="C104" s="1528" t="n">
        <v>157</v>
      </c>
      <c r="D104" s="1528" t="s">
        <v>1106</v>
      </c>
      <c r="E104" s="1528" t="n">
        <v>0</v>
      </c>
      <c r="F104" s="1528" t="n">
        <v>360.61</v>
      </c>
      <c r="G104" s="1528" t="n">
        <v>1352.28</v>
      </c>
      <c r="H104" s="1528" t="n">
        <v>575</v>
      </c>
      <c r="I104" s="1528" t="n">
        <v>8500</v>
      </c>
      <c r="J104" s="1528" t="n">
        <v>0.01513</v>
      </c>
      <c r="K104" s="1528" t="n">
        <v>0.05674</v>
      </c>
      <c r="L104" s="1528"/>
      <c r="M104" s="1547" t="str">
        <f aca="false">IF($E104=M$3,M$2,"")</f>
        <v/>
      </c>
      <c r="N104" s="1547" t="str">
        <f aca="false">IF($E104=N$3,N$2,"")</f>
        <v/>
      </c>
      <c r="O104" s="1547" t="str">
        <f aca="false">IF($E104=O$3,O$2,"")</f>
        <v/>
      </c>
      <c r="P104" s="1528" t="str">
        <f aca="false">CONCATENATE(D104,M104,N104,O104)</f>
        <v>CEBOLLA</v>
      </c>
    </row>
    <row r="105" customFormat="false" ht="14.25" hidden="false" customHeight="false" outlineLevel="0" collapsed="false">
      <c r="A105" s="1528"/>
      <c r="B105" s="1528" t="n">
        <v>4</v>
      </c>
      <c r="C105" s="1528" t="n">
        <v>157</v>
      </c>
      <c r="D105" s="1528" t="s">
        <v>1107</v>
      </c>
      <c r="E105" s="1528" t="n">
        <v>4</v>
      </c>
      <c r="F105" s="1528" t="n">
        <v>0</v>
      </c>
      <c r="G105" s="1528" t="n">
        <v>36060.73</v>
      </c>
      <c r="H105" s="1528" t="n">
        <v>0</v>
      </c>
      <c r="I105" s="1528" t="n">
        <v>80000</v>
      </c>
      <c r="J105" s="1528" t="n">
        <v>0</v>
      </c>
      <c r="K105" s="1528" t="n">
        <v>1.51294</v>
      </c>
      <c r="L105" s="1528"/>
      <c r="M105" s="1547" t="str">
        <f aca="false">IF($E105=M$3,M$2,"")</f>
        <v> en Invernadero</v>
      </c>
      <c r="N105" s="1547" t="str">
        <f aca="false">IF($E105=N$3,N$2,"")</f>
        <v/>
      </c>
      <c r="O105" s="1547" t="str">
        <f aca="false">IF($E105=O$3,O$2,"")</f>
        <v/>
      </c>
      <c r="P105" s="1528" t="str">
        <f aca="false">CONCATENATE(D105,M105,N105,O105)</f>
        <v>CEBOLLA en Invernadero en Invernadero</v>
      </c>
    </row>
    <row r="106" customFormat="false" ht="14.25" hidden="false" customHeight="false" outlineLevel="0" collapsed="false">
      <c r="A106" s="1528"/>
      <c r="B106" s="1528" t="n">
        <v>4</v>
      </c>
      <c r="C106" s="1528" t="n">
        <v>157</v>
      </c>
      <c r="D106" s="1528" t="s">
        <v>1108</v>
      </c>
      <c r="E106" s="1528" t="n">
        <v>19</v>
      </c>
      <c r="F106" s="1528" t="n">
        <v>0</v>
      </c>
      <c r="G106" s="1528" t="n">
        <v>36060.73</v>
      </c>
      <c r="H106" s="1528" t="n">
        <v>0</v>
      </c>
      <c r="I106" s="1528" t="n">
        <v>80000</v>
      </c>
      <c r="J106" s="1528" t="n">
        <v>0</v>
      </c>
      <c r="K106" s="1528" t="n">
        <v>1.51294</v>
      </c>
      <c r="L106" s="1528"/>
      <c r="M106" s="1547" t="str">
        <f aca="false">IF($E106=M$3,M$2,"")</f>
        <v/>
      </c>
      <c r="N106" s="1547" t="str">
        <f aca="false">IF($E106=N$3,N$2,"")</f>
        <v> en invernadero enarenado</v>
      </c>
      <c r="O106" s="1547" t="str">
        <f aca="false">IF($E106=O$3,O$2,"")</f>
        <v/>
      </c>
      <c r="P106" s="1528" t="str">
        <f aca="false">CONCATENATE(D106,M106,N106,O106)</f>
        <v>CEBOLLA en invernadero enarenado en invernadero enarenado</v>
      </c>
    </row>
    <row r="107" customFormat="false" ht="14.25" hidden="false" customHeight="false" outlineLevel="0" collapsed="false">
      <c r="A107" s="1528"/>
      <c r="B107" s="1528" t="n">
        <v>4</v>
      </c>
      <c r="C107" s="1528" t="n">
        <v>158</v>
      </c>
      <c r="D107" s="1528" t="s">
        <v>1110</v>
      </c>
      <c r="E107" s="1528" t="n">
        <v>0</v>
      </c>
      <c r="F107" s="1528" t="n">
        <v>360.61</v>
      </c>
      <c r="G107" s="1528" t="n">
        <v>1352.28</v>
      </c>
      <c r="H107" s="1528" t="n">
        <v>575</v>
      </c>
      <c r="I107" s="1528" t="n">
        <v>5200</v>
      </c>
      <c r="J107" s="1528" t="n">
        <v>0.01513</v>
      </c>
      <c r="K107" s="1528" t="n">
        <v>0.05674</v>
      </c>
      <c r="L107" s="1528"/>
      <c r="M107" s="1547" t="str">
        <f aca="false">IF($E107=M$3,M$2,"")</f>
        <v/>
      </c>
      <c r="N107" s="1547" t="str">
        <f aca="false">IF($E107=N$3,N$2,"")</f>
        <v/>
      </c>
      <c r="O107" s="1547" t="str">
        <f aca="false">IF($E107=O$3,O$2,"")</f>
        <v/>
      </c>
      <c r="P107" s="1528" t="str">
        <f aca="false">CONCATENATE(D107,M107,N107,O107)</f>
        <v>APIO</v>
      </c>
    </row>
    <row r="108" customFormat="false" ht="14.25" hidden="false" customHeight="false" outlineLevel="0" collapsed="false">
      <c r="A108" s="1528"/>
      <c r="B108" s="1528" t="n">
        <v>4</v>
      </c>
      <c r="C108" s="1528" t="n">
        <v>158</v>
      </c>
      <c r="D108" s="1528" t="s">
        <v>1111</v>
      </c>
      <c r="E108" s="1528" t="n">
        <v>4</v>
      </c>
      <c r="F108" s="1528" t="n">
        <v>0</v>
      </c>
      <c r="G108" s="1528" t="n">
        <v>36060.73</v>
      </c>
      <c r="H108" s="1528" t="n">
        <v>0</v>
      </c>
      <c r="I108" s="1528" t="n">
        <v>80000</v>
      </c>
      <c r="J108" s="1528" t="n">
        <v>0</v>
      </c>
      <c r="K108" s="1528" t="n">
        <v>1.51294</v>
      </c>
      <c r="L108" s="1528"/>
      <c r="M108" s="1547" t="str">
        <f aca="false">IF($E108=M$3,M$2,"")</f>
        <v> en Invernadero</v>
      </c>
      <c r="N108" s="1547" t="str">
        <f aca="false">IF($E108=N$3,N$2,"")</f>
        <v/>
      </c>
      <c r="O108" s="1547" t="str">
        <f aca="false">IF($E108=O$3,O$2,"")</f>
        <v/>
      </c>
      <c r="P108" s="1528" t="str">
        <f aca="false">CONCATENATE(D108,M108,N108,O108)</f>
        <v>APIO en Invernadero en Invernadero</v>
      </c>
    </row>
    <row r="109" customFormat="false" ht="14.25" hidden="false" customHeight="false" outlineLevel="0" collapsed="false">
      <c r="A109" s="1528"/>
      <c r="B109" s="1528" t="n">
        <v>4</v>
      </c>
      <c r="C109" s="1528" t="n">
        <v>158</v>
      </c>
      <c r="D109" s="1528" t="s">
        <v>1112</v>
      </c>
      <c r="E109" s="1528" t="n">
        <v>19</v>
      </c>
      <c r="F109" s="1528" t="n">
        <v>0</v>
      </c>
      <c r="G109" s="1528" t="n">
        <v>36060.73</v>
      </c>
      <c r="H109" s="1528" t="n">
        <v>0</v>
      </c>
      <c r="I109" s="1528" t="n">
        <v>80000</v>
      </c>
      <c r="J109" s="1528" t="n">
        <v>0</v>
      </c>
      <c r="K109" s="1528" t="n">
        <v>1.51294</v>
      </c>
      <c r="L109" s="1528"/>
      <c r="M109" s="1547" t="str">
        <f aca="false">IF($E109=M$3,M$2,"")</f>
        <v/>
      </c>
      <c r="N109" s="1547" t="str">
        <f aca="false">IF($E109=N$3,N$2,"")</f>
        <v> en invernadero enarenado</v>
      </c>
      <c r="O109" s="1547" t="str">
        <f aca="false">IF($E109=O$3,O$2,"")</f>
        <v/>
      </c>
      <c r="P109" s="1528" t="str">
        <f aca="false">CONCATENATE(D109,M109,N109,O109)</f>
        <v>APIO en invernadero enarenado en invernadero enarenado</v>
      </c>
    </row>
    <row r="110" customFormat="false" ht="14.25" hidden="false" customHeight="false" outlineLevel="0" collapsed="false">
      <c r="A110" s="1528"/>
      <c r="B110" s="1528" t="n">
        <v>4</v>
      </c>
      <c r="C110" s="1528" t="n">
        <v>159</v>
      </c>
      <c r="D110" s="1528" t="s">
        <v>1114</v>
      </c>
      <c r="E110" s="1528" t="n">
        <v>0</v>
      </c>
      <c r="F110" s="1528" t="n">
        <v>360.61</v>
      </c>
      <c r="G110" s="1528" t="n">
        <v>1352.28</v>
      </c>
      <c r="H110" s="1528" t="n">
        <v>575</v>
      </c>
      <c r="I110" s="1528" t="n">
        <v>5200</v>
      </c>
      <c r="J110" s="1528" t="n">
        <v>0.01513</v>
      </c>
      <c r="K110" s="1528" t="n">
        <v>0.05674</v>
      </c>
      <c r="L110" s="1528"/>
      <c r="M110" s="1547" t="str">
        <f aca="false">IF($E110=M$3,M$2,"")</f>
        <v/>
      </c>
      <c r="N110" s="1547" t="str">
        <f aca="false">IF($E110=N$3,N$2,"")</f>
        <v/>
      </c>
      <c r="O110" s="1547" t="str">
        <f aca="false">IF($E110=O$3,O$2,"")</f>
        <v/>
      </c>
      <c r="P110" s="1528" t="str">
        <f aca="false">CONCATENATE(D110,M110,N110,O110)</f>
        <v>COLIRRÁBANO</v>
      </c>
    </row>
    <row r="111" customFormat="false" ht="14.25" hidden="false" customHeight="false" outlineLevel="0" collapsed="false">
      <c r="A111" s="1528"/>
      <c r="B111" s="1528" t="n">
        <v>4</v>
      </c>
      <c r="C111" s="1528" t="n">
        <v>159</v>
      </c>
      <c r="D111" s="1528" t="s">
        <v>1115</v>
      </c>
      <c r="E111" s="1528" t="n">
        <v>4</v>
      </c>
      <c r="F111" s="1528" t="n">
        <v>0</v>
      </c>
      <c r="G111" s="1528" t="n">
        <v>36060.73</v>
      </c>
      <c r="H111" s="1528" t="n">
        <v>0</v>
      </c>
      <c r="I111" s="1528" t="n">
        <v>80000</v>
      </c>
      <c r="J111" s="1528" t="n">
        <v>0</v>
      </c>
      <c r="K111" s="1528" t="n">
        <v>1.51294</v>
      </c>
      <c r="L111" s="1528"/>
      <c r="M111" s="1547" t="str">
        <f aca="false">IF($E111=M$3,M$2,"")</f>
        <v> en Invernadero</v>
      </c>
      <c r="N111" s="1547" t="str">
        <f aca="false">IF($E111=N$3,N$2,"")</f>
        <v/>
      </c>
      <c r="O111" s="1547" t="str">
        <f aca="false">IF($E111=O$3,O$2,"")</f>
        <v/>
      </c>
      <c r="P111" s="1528" t="str">
        <f aca="false">CONCATENATE(D111,M111,N111,O111)</f>
        <v>COLIRRÁBANO en Invernadero en Invernadero</v>
      </c>
    </row>
    <row r="112" customFormat="false" ht="14.25" hidden="false" customHeight="false" outlineLevel="0" collapsed="false">
      <c r="A112" s="1528"/>
      <c r="B112" s="1528" t="n">
        <v>4</v>
      </c>
      <c r="C112" s="1528" t="n">
        <v>159</v>
      </c>
      <c r="D112" s="1528" t="s">
        <v>1116</v>
      </c>
      <c r="E112" s="1528" t="n">
        <v>19</v>
      </c>
      <c r="F112" s="1528" t="n">
        <v>0</v>
      </c>
      <c r="G112" s="1528" t="n">
        <v>36060.73</v>
      </c>
      <c r="H112" s="1528" t="n">
        <v>0</v>
      </c>
      <c r="I112" s="1528" t="n">
        <v>80000</v>
      </c>
      <c r="J112" s="1528" t="n">
        <v>0</v>
      </c>
      <c r="K112" s="1528" t="n">
        <v>1.51294</v>
      </c>
      <c r="L112" s="1528"/>
      <c r="M112" s="1547" t="str">
        <f aca="false">IF($E112=M$3,M$2,"")</f>
        <v/>
      </c>
      <c r="N112" s="1547" t="str">
        <f aca="false">IF($E112=N$3,N$2,"")</f>
        <v> en invernadero enarenado</v>
      </c>
      <c r="O112" s="1547" t="str">
        <f aca="false">IF($E112=O$3,O$2,"")</f>
        <v/>
      </c>
      <c r="P112" s="1528" t="str">
        <f aca="false">CONCATENATE(D112,M112,N112,O112)</f>
        <v>COLIRRÁBANO en invernadero enarenado en invernadero enarenado</v>
      </c>
    </row>
    <row r="113" customFormat="false" ht="14.25" hidden="false" customHeight="false" outlineLevel="0" collapsed="false">
      <c r="A113" s="1528"/>
      <c r="B113" s="1528" t="n">
        <v>4</v>
      </c>
      <c r="C113" s="1528" t="n">
        <v>160</v>
      </c>
      <c r="D113" s="1528" t="s">
        <v>1118</v>
      </c>
      <c r="E113" s="1528" t="n">
        <v>0</v>
      </c>
      <c r="F113" s="1528" t="n">
        <v>360.61</v>
      </c>
      <c r="G113" s="1528" t="n">
        <v>1352.28</v>
      </c>
      <c r="H113" s="1528" t="n">
        <v>575</v>
      </c>
      <c r="I113" s="1528" t="n">
        <v>5200</v>
      </c>
      <c r="J113" s="1528" t="n">
        <v>0.01513</v>
      </c>
      <c r="K113" s="1528" t="n">
        <v>0.05674</v>
      </c>
      <c r="L113" s="1528"/>
      <c r="M113" s="1547" t="str">
        <f aca="false">IF($E113=M$3,M$2,"")</f>
        <v/>
      </c>
      <c r="N113" s="1547" t="str">
        <f aca="false">IF($E113=N$3,N$2,"")</f>
        <v/>
      </c>
      <c r="O113" s="1547" t="str">
        <f aca="false">IF($E113=O$3,O$2,"")</f>
        <v/>
      </c>
      <c r="P113" s="1528" t="str">
        <f aca="false">CONCATENATE(D113,M113,N113,O113)</f>
        <v>COLIFLOR</v>
      </c>
    </row>
    <row r="114" customFormat="false" ht="14.25" hidden="false" customHeight="false" outlineLevel="0" collapsed="false">
      <c r="A114" s="1528"/>
      <c r="B114" s="1528" t="n">
        <v>4</v>
      </c>
      <c r="C114" s="1528" t="n">
        <v>160</v>
      </c>
      <c r="D114" s="1528" t="s">
        <v>1119</v>
      </c>
      <c r="E114" s="1528" t="n">
        <v>4</v>
      </c>
      <c r="F114" s="1528" t="n">
        <v>0</v>
      </c>
      <c r="G114" s="1528" t="n">
        <v>36060.73</v>
      </c>
      <c r="H114" s="1528" t="n">
        <v>0</v>
      </c>
      <c r="I114" s="1528" t="n">
        <v>80000</v>
      </c>
      <c r="J114" s="1528" t="n">
        <v>0</v>
      </c>
      <c r="K114" s="1528" t="n">
        <v>1.51294</v>
      </c>
      <c r="L114" s="1528"/>
      <c r="M114" s="1547" t="str">
        <f aca="false">IF($E114=M$3,M$2,"")</f>
        <v> en Invernadero</v>
      </c>
      <c r="N114" s="1547" t="str">
        <f aca="false">IF($E114=N$3,N$2,"")</f>
        <v/>
      </c>
      <c r="O114" s="1547" t="str">
        <f aca="false">IF($E114=O$3,O$2,"")</f>
        <v/>
      </c>
      <c r="P114" s="1528" t="str">
        <f aca="false">CONCATENATE(D114,M114,N114,O114)</f>
        <v>COLIFLOR en Invernadero en Invernadero</v>
      </c>
    </row>
    <row r="115" customFormat="false" ht="14.25" hidden="false" customHeight="false" outlineLevel="0" collapsed="false">
      <c r="A115" s="1528"/>
      <c r="B115" s="1528" t="n">
        <v>4</v>
      </c>
      <c r="C115" s="1528" t="n">
        <v>160</v>
      </c>
      <c r="D115" s="1528" t="s">
        <v>1120</v>
      </c>
      <c r="E115" s="1528" t="n">
        <v>19</v>
      </c>
      <c r="F115" s="1528" t="n">
        <v>0</v>
      </c>
      <c r="G115" s="1528" t="n">
        <v>36060.73</v>
      </c>
      <c r="H115" s="1528" t="n">
        <v>0</v>
      </c>
      <c r="I115" s="1528" t="n">
        <v>80000</v>
      </c>
      <c r="J115" s="1528" t="n">
        <v>0</v>
      </c>
      <c r="K115" s="1528" t="n">
        <v>1.51294</v>
      </c>
      <c r="L115" s="1528"/>
      <c r="M115" s="1547" t="str">
        <f aca="false">IF($E115=M$3,M$2,"")</f>
        <v/>
      </c>
      <c r="N115" s="1547" t="str">
        <f aca="false">IF($E115=N$3,N$2,"")</f>
        <v> en invernadero enarenado</v>
      </c>
      <c r="O115" s="1547" t="str">
        <f aca="false">IF($E115=O$3,O$2,"")</f>
        <v/>
      </c>
      <c r="P115" s="1528" t="str">
        <f aca="false">CONCATENATE(D115,M115,N115,O115)</f>
        <v>COLIFLOR en invernadero enarenado en invernadero enarenado</v>
      </c>
    </row>
    <row r="116" customFormat="false" ht="14.25" hidden="false" customHeight="false" outlineLevel="0" collapsed="false">
      <c r="A116" s="1528"/>
      <c r="B116" s="1528" t="n">
        <v>4</v>
      </c>
      <c r="C116" s="1528" t="n">
        <v>162</v>
      </c>
      <c r="D116" s="1528" t="s">
        <v>1122</v>
      </c>
      <c r="E116" s="1528" t="n">
        <v>0</v>
      </c>
      <c r="F116" s="1528" t="n">
        <v>360.61</v>
      </c>
      <c r="G116" s="1528" t="n">
        <v>1352.28</v>
      </c>
      <c r="H116" s="1528" t="n">
        <v>575</v>
      </c>
      <c r="I116" s="1528" t="n">
        <v>7200</v>
      </c>
      <c r="J116" s="1528" t="n">
        <v>0.01513</v>
      </c>
      <c r="K116" s="1528" t="n">
        <v>0.05674</v>
      </c>
      <c r="L116" s="1528"/>
      <c r="M116" s="1547" t="str">
        <f aca="false">IF($E116=M$3,M$2,"")</f>
        <v/>
      </c>
      <c r="N116" s="1547" t="str">
        <f aca="false">IF($E116=N$3,N$2,"")</f>
        <v/>
      </c>
      <c r="O116" s="1547" t="str">
        <f aca="false">IF($E116=O$3,O$2,"")</f>
        <v/>
      </c>
      <c r="P116" s="1528" t="str">
        <f aca="false">CONCATENATE(D116,M116,N116,O116)</f>
        <v>BERENJENA</v>
      </c>
    </row>
    <row r="117" customFormat="false" ht="14.25" hidden="false" customHeight="false" outlineLevel="0" collapsed="false">
      <c r="A117" s="1528"/>
      <c r="B117" s="1528" t="n">
        <v>4</v>
      </c>
      <c r="C117" s="1528" t="n">
        <v>162</v>
      </c>
      <c r="D117" s="1528" t="s">
        <v>1123</v>
      </c>
      <c r="E117" s="1528" t="n">
        <v>4</v>
      </c>
      <c r="F117" s="1528" t="n">
        <v>0</v>
      </c>
      <c r="G117" s="1528" t="n">
        <v>36060.73</v>
      </c>
      <c r="H117" s="1528" t="n">
        <v>0</v>
      </c>
      <c r="I117" s="1528" t="n">
        <v>80000</v>
      </c>
      <c r="J117" s="1528" t="n">
        <v>0</v>
      </c>
      <c r="K117" s="1528" t="n">
        <v>1.51294</v>
      </c>
      <c r="L117" s="1528"/>
      <c r="M117" s="1547" t="str">
        <f aca="false">IF($E117=M$3,M$2,"")</f>
        <v> en Invernadero</v>
      </c>
      <c r="N117" s="1547" t="str">
        <f aca="false">IF($E117=N$3,N$2,"")</f>
        <v/>
      </c>
      <c r="O117" s="1547" t="str">
        <f aca="false">IF($E117=O$3,O$2,"")</f>
        <v/>
      </c>
      <c r="P117" s="1528" t="str">
        <f aca="false">CONCATENATE(D117,M117,N117,O117)</f>
        <v>BERENJENA en Invernadero en Invernadero</v>
      </c>
    </row>
    <row r="118" customFormat="false" ht="14.25" hidden="false" customHeight="false" outlineLevel="0" collapsed="false">
      <c r="A118" s="1528"/>
      <c r="B118" s="1528" t="n">
        <v>4</v>
      </c>
      <c r="C118" s="1528" t="n">
        <v>162</v>
      </c>
      <c r="D118" s="1528" t="s">
        <v>1124</v>
      </c>
      <c r="E118" s="1528" t="n">
        <v>19</v>
      </c>
      <c r="F118" s="1528" t="n">
        <v>0</v>
      </c>
      <c r="G118" s="1528" t="n">
        <v>36060.73</v>
      </c>
      <c r="H118" s="1528" t="n">
        <v>0</v>
      </c>
      <c r="I118" s="1528" t="n">
        <v>80000</v>
      </c>
      <c r="J118" s="1528" t="n">
        <v>0</v>
      </c>
      <c r="K118" s="1528" t="n">
        <v>1.51294</v>
      </c>
      <c r="L118" s="1528"/>
      <c r="M118" s="1547" t="str">
        <f aca="false">IF($E118=M$3,M$2,"")</f>
        <v/>
      </c>
      <c r="N118" s="1547" t="str">
        <f aca="false">IF($E118=N$3,N$2,"")</f>
        <v> en invernadero enarenado</v>
      </c>
      <c r="O118" s="1547" t="str">
        <f aca="false">IF($E118=O$3,O$2,"")</f>
        <v/>
      </c>
      <c r="P118" s="1528" t="str">
        <f aca="false">CONCATENATE(D118,M118,N118,O118)</f>
        <v>BERENJENA en invernadero enarenado en invernadero enarenado</v>
      </c>
    </row>
    <row r="119" customFormat="false" ht="14.25" hidden="false" customHeight="false" outlineLevel="0" collapsed="false">
      <c r="A119" s="1528"/>
      <c r="B119" s="1528" t="n">
        <v>4</v>
      </c>
      <c r="C119" s="1528" t="n">
        <v>163</v>
      </c>
      <c r="D119" s="1528" t="s">
        <v>1126</v>
      </c>
      <c r="E119" s="1528" t="n">
        <v>0</v>
      </c>
      <c r="F119" s="1528" t="n">
        <v>360.61</v>
      </c>
      <c r="G119" s="1528" t="n">
        <v>1352.28</v>
      </c>
      <c r="H119" s="1528" t="n">
        <v>575</v>
      </c>
      <c r="I119" s="1528" t="n">
        <v>8200</v>
      </c>
      <c r="J119" s="1528" t="n">
        <v>0.01513</v>
      </c>
      <c r="K119" s="1528" t="n">
        <v>0.05674</v>
      </c>
      <c r="L119" s="1528"/>
      <c r="M119" s="1547" t="str">
        <f aca="false">IF($E119=M$3,M$2,"")</f>
        <v/>
      </c>
      <c r="N119" s="1547" t="str">
        <f aca="false">IF($E119=N$3,N$2,"")</f>
        <v/>
      </c>
      <c r="O119" s="1547" t="str">
        <f aca="false">IF($E119=O$3,O$2,"")</f>
        <v/>
      </c>
      <c r="P119" s="1528" t="str">
        <f aca="false">CONCATENATE(D119,M119,N119,O119)</f>
        <v>CALABACÍN</v>
      </c>
    </row>
    <row r="120" customFormat="false" ht="14.25" hidden="false" customHeight="false" outlineLevel="0" collapsed="false">
      <c r="A120" s="1528"/>
      <c r="B120" s="1528" t="n">
        <v>4</v>
      </c>
      <c r="C120" s="1528" t="n">
        <v>163</v>
      </c>
      <c r="D120" s="1528" t="s">
        <v>1127</v>
      </c>
      <c r="E120" s="1528" t="n">
        <v>4</v>
      </c>
      <c r="F120" s="1528" t="n">
        <v>0</v>
      </c>
      <c r="G120" s="1528" t="n">
        <v>36060.73</v>
      </c>
      <c r="H120" s="1528" t="n">
        <v>0</v>
      </c>
      <c r="I120" s="1528" t="n">
        <v>80000</v>
      </c>
      <c r="J120" s="1528" t="n">
        <v>0</v>
      </c>
      <c r="K120" s="1528" t="n">
        <v>1.51294</v>
      </c>
      <c r="L120" s="1528"/>
      <c r="M120" s="1547" t="str">
        <f aca="false">IF($E120=M$3,M$2,"")</f>
        <v> en Invernadero</v>
      </c>
      <c r="N120" s="1547" t="str">
        <f aca="false">IF($E120=N$3,N$2,"")</f>
        <v/>
      </c>
      <c r="O120" s="1547" t="str">
        <f aca="false">IF($E120=O$3,O$2,"")</f>
        <v/>
      </c>
      <c r="P120" s="1528" t="str">
        <f aca="false">CONCATENATE(D120,M120,N120,O120)</f>
        <v>CALABACÍN en Invernadero en Invernadero</v>
      </c>
    </row>
    <row r="121" customFormat="false" ht="14.25" hidden="false" customHeight="false" outlineLevel="0" collapsed="false">
      <c r="A121" s="1528"/>
      <c r="B121" s="1528" t="n">
        <v>4</v>
      </c>
      <c r="C121" s="1528" t="n">
        <v>163</v>
      </c>
      <c r="D121" s="1528" t="s">
        <v>1128</v>
      </c>
      <c r="E121" s="1528" t="n">
        <v>19</v>
      </c>
      <c r="F121" s="1528" t="n">
        <v>0</v>
      </c>
      <c r="G121" s="1528" t="n">
        <v>36060.73</v>
      </c>
      <c r="H121" s="1528" t="n">
        <v>0</v>
      </c>
      <c r="I121" s="1528" t="n">
        <v>80000</v>
      </c>
      <c r="J121" s="1528" t="n">
        <v>0</v>
      </c>
      <c r="K121" s="1528" t="n">
        <v>1.51294</v>
      </c>
      <c r="L121" s="1528"/>
      <c r="M121" s="1547" t="str">
        <f aca="false">IF($E121=M$3,M$2,"")</f>
        <v/>
      </c>
      <c r="N121" s="1547" t="str">
        <f aca="false">IF($E121=N$3,N$2,"")</f>
        <v> en invernadero enarenado</v>
      </c>
      <c r="O121" s="1547" t="str">
        <f aca="false">IF($E121=O$3,O$2,"")</f>
        <v/>
      </c>
      <c r="P121" s="1528" t="str">
        <f aca="false">CONCATENATE(D121,M121,N121,O121)</f>
        <v>CALABACÍN en invernadero enarenado en invernadero enarenado</v>
      </c>
    </row>
    <row r="122" customFormat="false" ht="14.25" hidden="false" customHeight="false" outlineLevel="0" collapsed="false">
      <c r="A122" s="1528"/>
      <c r="B122" s="1528" t="n">
        <v>4</v>
      </c>
      <c r="C122" s="1528" t="n">
        <v>164</v>
      </c>
      <c r="D122" s="1528" t="s">
        <v>1130</v>
      </c>
      <c r="E122" s="1528" t="n">
        <v>0</v>
      </c>
      <c r="F122" s="1528" t="n">
        <v>360.61</v>
      </c>
      <c r="G122" s="1528" t="n">
        <v>1352.28</v>
      </c>
      <c r="H122" s="1528" t="n">
        <v>575</v>
      </c>
      <c r="I122" s="1528" t="n">
        <v>10500</v>
      </c>
      <c r="J122" s="1528" t="n">
        <v>0.01513</v>
      </c>
      <c r="K122" s="1528" t="n">
        <v>0.05674</v>
      </c>
      <c r="L122" s="1528"/>
      <c r="M122" s="1547" t="str">
        <f aca="false">IF($E122=M$3,M$2,"")</f>
        <v/>
      </c>
      <c r="N122" s="1547" t="str">
        <f aca="false">IF($E122=N$3,N$2,"")</f>
        <v/>
      </c>
      <c r="O122" s="1547" t="str">
        <f aca="false">IF($E122=O$3,O$2,"")</f>
        <v/>
      </c>
      <c r="P122" s="1528" t="str">
        <f aca="false">CONCATENATE(D122,M122,N122,O122)</f>
        <v>ALCACHOFA</v>
      </c>
    </row>
    <row r="123" customFormat="false" ht="14.25" hidden="false" customHeight="false" outlineLevel="0" collapsed="false">
      <c r="A123" s="1528"/>
      <c r="B123" s="1528" t="n">
        <v>4</v>
      </c>
      <c r="C123" s="1528" t="n">
        <v>164</v>
      </c>
      <c r="D123" s="1528" t="s">
        <v>1131</v>
      </c>
      <c r="E123" s="1528" t="n">
        <v>4</v>
      </c>
      <c r="F123" s="1528" t="n">
        <v>0</v>
      </c>
      <c r="G123" s="1528" t="n">
        <v>36060.73</v>
      </c>
      <c r="H123" s="1528" t="n">
        <v>0</v>
      </c>
      <c r="I123" s="1528" t="n">
        <v>80000</v>
      </c>
      <c r="J123" s="1528" t="n">
        <v>0</v>
      </c>
      <c r="K123" s="1528" t="n">
        <v>1.51294</v>
      </c>
      <c r="L123" s="1528"/>
      <c r="M123" s="1547" t="str">
        <f aca="false">IF($E123=M$3,M$2,"")</f>
        <v> en Invernadero</v>
      </c>
      <c r="N123" s="1547" t="str">
        <f aca="false">IF($E123=N$3,N$2,"")</f>
        <v/>
      </c>
      <c r="O123" s="1547" t="str">
        <f aca="false">IF($E123=O$3,O$2,"")</f>
        <v/>
      </c>
      <c r="P123" s="1528" t="str">
        <f aca="false">CONCATENATE(D123,M123,N123,O123)</f>
        <v>ALCACHOFA en Invernadero en Invernadero</v>
      </c>
    </row>
    <row r="124" customFormat="false" ht="14.25" hidden="false" customHeight="false" outlineLevel="0" collapsed="false">
      <c r="A124" s="1528"/>
      <c r="B124" s="1528" t="n">
        <v>4</v>
      </c>
      <c r="C124" s="1528" t="n">
        <v>164</v>
      </c>
      <c r="D124" s="1528" t="s">
        <v>1132</v>
      </c>
      <c r="E124" s="1528" t="n">
        <v>19</v>
      </c>
      <c r="F124" s="1528" t="n">
        <v>0</v>
      </c>
      <c r="G124" s="1528" t="n">
        <v>36060.73</v>
      </c>
      <c r="H124" s="1528" t="n">
        <v>0</v>
      </c>
      <c r="I124" s="1528" t="n">
        <v>80000</v>
      </c>
      <c r="J124" s="1528" t="n">
        <v>0</v>
      </c>
      <c r="K124" s="1528" t="n">
        <v>1.51294</v>
      </c>
      <c r="L124" s="1528"/>
      <c r="M124" s="1547" t="str">
        <f aca="false">IF($E124=M$3,M$2,"")</f>
        <v/>
      </c>
      <c r="N124" s="1547" t="str">
        <f aca="false">IF($E124=N$3,N$2,"")</f>
        <v> en invernadero enarenado</v>
      </c>
      <c r="O124" s="1547" t="str">
        <f aca="false">IF($E124=O$3,O$2,"")</f>
        <v/>
      </c>
      <c r="P124" s="1528" t="str">
        <f aca="false">CONCATENATE(D124,M124,N124,O124)</f>
        <v>ALCACHOFA en invernadero enarenado en invernadero enarenado</v>
      </c>
    </row>
    <row r="125" customFormat="false" ht="14.25" hidden="false" customHeight="false" outlineLevel="0" collapsed="false">
      <c r="A125" s="1528"/>
      <c r="B125" s="1528" t="n">
        <v>4</v>
      </c>
      <c r="C125" s="1528" t="n">
        <v>165</v>
      </c>
      <c r="D125" s="1528" t="s">
        <v>1134</v>
      </c>
      <c r="E125" s="1528" t="n">
        <v>0</v>
      </c>
      <c r="F125" s="1528" t="n">
        <v>360.61</v>
      </c>
      <c r="G125" s="1528" t="n">
        <v>1352.28</v>
      </c>
      <c r="H125" s="1528" t="n">
        <v>575</v>
      </c>
      <c r="I125" s="1528" t="n">
        <v>7000</v>
      </c>
      <c r="J125" s="1528" t="n">
        <v>0.01513</v>
      </c>
      <c r="K125" s="1528" t="n">
        <v>0.05674</v>
      </c>
      <c r="L125" s="1528"/>
      <c r="M125" s="1547" t="str">
        <f aca="false">IF($E125=M$3,M$2,"")</f>
        <v/>
      </c>
      <c r="N125" s="1547" t="str">
        <f aca="false">IF($E125=N$3,N$2,"")</f>
        <v/>
      </c>
      <c r="O125" s="1547" t="str">
        <f aca="false">IF($E125=O$3,O$2,"")</f>
        <v/>
      </c>
      <c r="P125" s="1528" t="str">
        <f aca="false">CONCATENATE(D125,M125,N125,O125)</f>
        <v>PEPINO</v>
      </c>
    </row>
    <row r="126" customFormat="false" ht="14.25" hidden="false" customHeight="false" outlineLevel="0" collapsed="false">
      <c r="A126" s="1528"/>
      <c r="B126" s="1528" t="n">
        <v>4</v>
      </c>
      <c r="C126" s="1528" t="n">
        <v>165</v>
      </c>
      <c r="D126" s="1528" t="s">
        <v>1135</v>
      </c>
      <c r="E126" s="1528" t="n">
        <v>4</v>
      </c>
      <c r="F126" s="1528" t="n">
        <v>0</v>
      </c>
      <c r="G126" s="1528" t="n">
        <v>36060.73</v>
      </c>
      <c r="H126" s="1528" t="n">
        <v>0</v>
      </c>
      <c r="I126" s="1528" t="n">
        <v>80000</v>
      </c>
      <c r="J126" s="1528" t="n">
        <v>0</v>
      </c>
      <c r="K126" s="1528" t="n">
        <v>1.51294</v>
      </c>
      <c r="L126" s="1528"/>
      <c r="M126" s="1547" t="str">
        <f aca="false">IF($E126=M$3,M$2,"")</f>
        <v> en Invernadero</v>
      </c>
      <c r="N126" s="1547" t="str">
        <f aca="false">IF($E126=N$3,N$2,"")</f>
        <v/>
      </c>
      <c r="O126" s="1547" t="str">
        <f aca="false">IF($E126=O$3,O$2,"")</f>
        <v/>
      </c>
      <c r="P126" s="1528" t="str">
        <f aca="false">CONCATENATE(D126,M126,N126,O126)</f>
        <v>PEPINO en Invernadero en Invernadero</v>
      </c>
    </row>
    <row r="127" customFormat="false" ht="14.25" hidden="false" customHeight="false" outlineLevel="0" collapsed="false">
      <c r="A127" s="1528"/>
      <c r="B127" s="1528" t="n">
        <v>4</v>
      </c>
      <c r="C127" s="1528" t="n">
        <v>165</v>
      </c>
      <c r="D127" s="1528" t="s">
        <v>1136</v>
      </c>
      <c r="E127" s="1528" t="n">
        <v>19</v>
      </c>
      <c r="F127" s="1528" t="n">
        <v>0</v>
      </c>
      <c r="G127" s="1528" t="n">
        <v>36060.73</v>
      </c>
      <c r="H127" s="1528" t="n">
        <v>0</v>
      </c>
      <c r="I127" s="1528" t="n">
        <v>80000</v>
      </c>
      <c r="J127" s="1528" t="n">
        <v>0</v>
      </c>
      <c r="K127" s="1528" t="n">
        <v>1.51294</v>
      </c>
      <c r="L127" s="1528"/>
      <c r="M127" s="1547" t="str">
        <f aca="false">IF($E127=M$3,M$2,"")</f>
        <v/>
      </c>
      <c r="N127" s="1547" t="str">
        <f aca="false">IF($E127=N$3,N$2,"")</f>
        <v> en invernadero enarenado</v>
      </c>
      <c r="O127" s="1547" t="str">
        <f aca="false">IF($E127=O$3,O$2,"")</f>
        <v/>
      </c>
      <c r="P127" s="1528" t="str">
        <f aca="false">CONCATENATE(D127,M127,N127,O127)</f>
        <v>PEPINO en invernadero enarenado en invernadero enarenado</v>
      </c>
    </row>
    <row r="128" customFormat="false" ht="14.25" hidden="false" customHeight="false" outlineLevel="0" collapsed="false">
      <c r="A128" s="1528"/>
      <c r="B128" s="1528" t="n">
        <v>4</v>
      </c>
      <c r="C128" s="1528" t="n">
        <v>166</v>
      </c>
      <c r="D128" s="1528" t="s">
        <v>1138</v>
      </c>
      <c r="E128" s="1528" t="n">
        <v>0</v>
      </c>
      <c r="F128" s="1528" t="n">
        <v>360.61</v>
      </c>
      <c r="G128" s="1528" t="n">
        <v>1352.28</v>
      </c>
      <c r="H128" s="1528" t="n">
        <v>575</v>
      </c>
      <c r="I128" s="1528" t="n">
        <v>7200</v>
      </c>
      <c r="J128" s="1528" t="n">
        <v>0.01513</v>
      </c>
      <c r="K128" s="1528" t="n">
        <v>0.05674</v>
      </c>
      <c r="L128" s="1528"/>
      <c r="M128" s="1547" t="str">
        <f aca="false">IF($E128=M$3,M$2,"")</f>
        <v/>
      </c>
      <c r="N128" s="1547" t="str">
        <f aca="false">IF($E128=N$3,N$2,"")</f>
        <v/>
      </c>
      <c r="O128" s="1547" t="str">
        <f aca="false">IF($E128=O$3,O$2,"")</f>
        <v/>
      </c>
      <c r="P128" s="1528" t="str">
        <f aca="false">CONCATENATE(D128,M128,N128,O128)</f>
        <v>ACELGA</v>
      </c>
    </row>
    <row r="129" customFormat="false" ht="14.25" hidden="false" customHeight="false" outlineLevel="0" collapsed="false">
      <c r="A129" s="1528"/>
      <c r="B129" s="1528" t="n">
        <v>4</v>
      </c>
      <c r="C129" s="1528" t="n">
        <v>166</v>
      </c>
      <c r="D129" s="1528" t="s">
        <v>1139</v>
      </c>
      <c r="E129" s="1528" t="n">
        <v>4</v>
      </c>
      <c r="F129" s="1528" t="n">
        <v>0</v>
      </c>
      <c r="G129" s="1528" t="n">
        <v>36060.73</v>
      </c>
      <c r="H129" s="1528" t="n">
        <v>0</v>
      </c>
      <c r="I129" s="1528" t="n">
        <v>80000</v>
      </c>
      <c r="J129" s="1528" t="n">
        <v>0</v>
      </c>
      <c r="K129" s="1528" t="n">
        <v>1.51294</v>
      </c>
      <c r="L129" s="1528"/>
      <c r="M129" s="1547" t="str">
        <f aca="false">IF($E129=M$3,M$2,"")</f>
        <v> en Invernadero</v>
      </c>
      <c r="N129" s="1547" t="str">
        <f aca="false">IF($E129=N$3,N$2,"")</f>
        <v/>
      </c>
      <c r="O129" s="1547" t="str">
        <f aca="false">IF($E129=O$3,O$2,"")</f>
        <v/>
      </c>
      <c r="P129" s="1528" t="str">
        <f aca="false">CONCATENATE(D129,M129,N129,O129)</f>
        <v>ACELGA en Invernadero en Invernadero</v>
      </c>
    </row>
    <row r="130" customFormat="false" ht="14.25" hidden="false" customHeight="false" outlineLevel="0" collapsed="false">
      <c r="A130" s="1528"/>
      <c r="B130" s="1528" t="n">
        <v>4</v>
      </c>
      <c r="C130" s="1528" t="n">
        <v>166</v>
      </c>
      <c r="D130" s="1528" t="s">
        <v>1140</v>
      </c>
      <c r="E130" s="1528" t="n">
        <v>19</v>
      </c>
      <c r="F130" s="1528" t="n">
        <v>0</v>
      </c>
      <c r="G130" s="1528" t="n">
        <v>36060.73</v>
      </c>
      <c r="H130" s="1528" t="n">
        <v>0</v>
      </c>
      <c r="I130" s="1528" t="n">
        <v>80000</v>
      </c>
      <c r="J130" s="1528" t="n">
        <v>0</v>
      </c>
      <c r="K130" s="1528" t="n">
        <v>1.51294</v>
      </c>
      <c r="L130" s="1528"/>
      <c r="M130" s="1547" t="str">
        <f aca="false">IF($E130=M$3,M$2,"")</f>
        <v/>
      </c>
      <c r="N130" s="1547" t="str">
        <f aca="false">IF($E130=N$3,N$2,"")</f>
        <v> en invernadero enarenado</v>
      </c>
      <c r="O130" s="1547" t="str">
        <f aca="false">IF($E130=O$3,O$2,"")</f>
        <v/>
      </c>
      <c r="P130" s="1528" t="str">
        <f aca="false">CONCATENATE(D130,M130,N130,O130)</f>
        <v>ACELGA en invernadero enarenado en invernadero enarenado</v>
      </c>
    </row>
    <row r="131" customFormat="false" ht="14.25" hidden="false" customHeight="false" outlineLevel="0" collapsed="false">
      <c r="A131" s="1528"/>
      <c r="B131" s="1528" t="n">
        <v>4</v>
      </c>
      <c r="C131" s="1528" t="n">
        <v>167</v>
      </c>
      <c r="D131" s="1528" t="s">
        <v>1142</v>
      </c>
      <c r="E131" s="1528" t="n">
        <v>0</v>
      </c>
      <c r="F131" s="1528" t="n">
        <v>360.61</v>
      </c>
      <c r="G131" s="1528" t="n">
        <v>1352.28</v>
      </c>
      <c r="H131" s="1528" t="n">
        <v>575</v>
      </c>
      <c r="I131" s="1528" t="n">
        <v>7200</v>
      </c>
      <c r="J131" s="1528" t="n">
        <v>0.01513</v>
      </c>
      <c r="K131" s="1528" t="n">
        <v>0.05674</v>
      </c>
      <c r="L131" s="1528"/>
      <c r="M131" s="1547" t="str">
        <f aca="false">IF($E131=M$3,M$2,"")</f>
        <v/>
      </c>
      <c r="N131" s="1547" t="str">
        <f aca="false">IF($E131=N$3,N$2,"")</f>
        <v/>
      </c>
      <c r="O131" s="1547" t="str">
        <f aca="false">IF($E131=O$3,O$2,"")</f>
        <v/>
      </c>
      <c r="P131" s="1528" t="str">
        <f aca="false">CONCATENATE(D131,M131,N131,O131)</f>
        <v>CEBOLLETA</v>
      </c>
    </row>
    <row r="132" customFormat="false" ht="14.25" hidden="false" customHeight="false" outlineLevel="0" collapsed="false">
      <c r="A132" s="1528"/>
      <c r="B132" s="1528" t="n">
        <v>4</v>
      </c>
      <c r="C132" s="1528" t="n">
        <v>167</v>
      </c>
      <c r="D132" s="1528" t="s">
        <v>1143</v>
      </c>
      <c r="E132" s="1528" t="n">
        <v>4</v>
      </c>
      <c r="F132" s="1528" t="n">
        <v>0</v>
      </c>
      <c r="G132" s="1528" t="n">
        <v>36060.73</v>
      </c>
      <c r="H132" s="1528" t="n">
        <v>0</v>
      </c>
      <c r="I132" s="1528" t="n">
        <v>80000</v>
      </c>
      <c r="J132" s="1528" t="n">
        <v>0</v>
      </c>
      <c r="K132" s="1528" t="n">
        <v>1.51294</v>
      </c>
      <c r="L132" s="1528"/>
      <c r="M132" s="1547" t="str">
        <f aca="false">IF($E132=M$3,M$2,"")</f>
        <v> en Invernadero</v>
      </c>
      <c r="N132" s="1547" t="str">
        <f aca="false">IF($E132=N$3,N$2,"")</f>
        <v/>
      </c>
      <c r="O132" s="1547" t="str">
        <f aca="false">IF($E132=O$3,O$2,"")</f>
        <v/>
      </c>
      <c r="P132" s="1528" t="str">
        <f aca="false">CONCATENATE(D132,M132,N132,O132)</f>
        <v>CEBOLLETA en Invernadero en Invernadero</v>
      </c>
    </row>
    <row r="133" customFormat="false" ht="14.25" hidden="false" customHeight="false" outlineLevel="0" collapsed="false">
      <c r="A133" s="1528"/>
      <c r="B133" s="1528" t="n">
        <v>4</v>
      </c>
      <c r="C133" s="1528" t="n">
        <v>167</v>
      </c>
      <c r="D133" s="1528" t="s">
        <v>1144</v>
      </c>
      <c r="E133" s="1528" t="n">
        <v>19</v>
      </c>
      <c r="F133" s="1528" t="n">
        <v>0</v>
      </c>
      <c r="G133" s="1528" t="n">
        <v>36060.73</v>
      </c>
      <c r="H133" s="1528" t="n">
        <v>0</v>
      </c>
      <c r="I133" s="1528" t="n">
        <v>80000</v>
      </c>
      <c r="J133" s="1528" t="n">
        <v>0</v>
      </c>
      <c r="K133" s="1528" t="n">
        <v>1.51294</v>
      </c>
      <c r="L133" s="1528"/>
      <c r="M133" s="1547" t="str">
        <f aca="false">IF($E133=M$3,M$2,"")</f>
        <v/>
      </c>
      <c r="N133" s="1547" t="str">
        <f aca="false">IF($E133=N$3,N$2,"")</f>
        <v> en invernadero enarenado</v>
      </c>
      <c r="O133" s="1547" t="str">
        <f aca="false">IF($E133=O$3,O$2,"")</f>
        <v/>
      </c>
      <c r="P133" s="1528" t="str">
        <f aca="false">CONCATENATE(D133,M133,N133,O133)</f>
        <v>CEBOLLETA en invernadero enarenado en invernadero enarenado</v>
      </c>
    </row>
    <row r="134" customFormat="false" ht="14.25" hidden="false" customHeight="false" outlineLevel="0" collapsed="false">
      <c r="A134" s="1528"/>
      <c r="B134" s="1528" t="n">
        <v>4</v>
      </c>
      <c r="C134" s="1528" t="n">
        <v>168</v>
      </c>
      <c r="D134" s="1528" t="s">
        <v>1146</v>
      </c>
      <c r="E134" s="1528" t="n">
        <v>0</v>
      </c>
      <c r="F134" s="1528" t="n">
        <v>360.61</v>
      </c>
      <c r="G134" s="1528" t="n">
        <v>1352.28</v>
      </c>
      <c r="H134" s="1528" t="n">
        <v>575</v>
      </c>
      <c r="I134" s="1528" t="n">
        <v>5200</v>
      </c>
      <c r="J134" s="1528" t="n">
        <v>0.01513</v>
      </c>
      <c r="K134" s="1528" t="n">
        <v>0.05674</v>
      </c>
      <c r="L134" s="1528"/>
      <c r="M134" s="1547" t="str">
        <f aca="false">IF($E134=M$3,M$2,"")</f>
        <v/>
      </c>
      <c r="N134" s="1547" t="str">
        <f aca="false">IF($E134=N$3,N$2,"")</f>
        <v/>
      </c>
      <c r="O134" s="1547" t="str">
        <f aca="false">IF($E134=O$3,O$2,"")</f>
        <v/>
      </c>
      <c r="P134" s="1528" t="str">
        <f aca="false">CONCATENATE(D134,M134,N134,O134)</f>
        <v>CHALOTA</v>
      </c>
    </row>
    <row r="135" customFormat="false" ht="14.25" hidden="false" customHeight="false" outlineLevel="0" collapsed="false">
      <c r="A135" s="1528"/>
      <c r="B135" s="1528" t="n">
        <v>4</v>
      </c>
      <c r="C135" s="1528" t="n">
        <v>168</v>
      </c>
      <c r="D135" s="1528" t="s">
        <v>1147</v>
      </c>
      <c r="E135" s="1528" t="n">
        <v>4</v>
      </c>
      <c r="F135" s="1528" t="n">
        <v>0</v>
      </c>
      <c r="G135" s="1528" t="n">
        <v>36060.73</v>
      </c>
      <c r="H135" s="1528" t="n">
        <v>0</v>
      </c>
      <c r="I135" s="1528" t="n">
        <v>80000</v>
      </c>
      <c r="J135" s="1528" t="n">
        <v>0</v>
      </c>
      <c r="K135" s="1528" t="n">
        <v>1.51294</v>
      </c>
      <c r="L135" s="1528"/>
      <c r="M135" s="1547" t="str">
        <f aca="false">IF($E135=M$3,M$2,"")</f>
        <v> en Invernadero</v>
      </c>
      <c r="N135" s="1547" t="str">
        <f aca="false">IF($E135=N$3,N$2,"")</f>
        <v/>
      </c>
      <c r="O135" s="1547" t="str">
        <f aca="false">IF($E135=O$3,O$2,"")</f>
        <v/>
      </c>
      <c r="P135" s="1528" t="str">
        <f aca="false">CONCATENATE(D135,M135,N135,O135)</f>
        <v>CHALOTA en Invernadero en Invernadero</v>
      </c>
    </row>
    <row r="136" customFormat="false" ht="14.25" hidden="false" customHeight="false" outlineLevel="0" collapsed="false">
      <c r="A136" s="1528"/>
      <c r="B136" s="1528" t="n">
        <v>4</v>
      </c>
      <c r="C136" s="1528" t="n">
        <v>168</v>
      </c>
      <c r="D136" s="1528" t="s">
        <v>1148</v>
      </c>
      <c r="E136" s="1528" t="n">
        <v>19</v>
      </c>
      <c r="F136" s="1528" t="n">
        <v>0</v>
      </c>
      <c r="G136" s="1528" t="n">
        <v>36060.73</v>
      </c>
      <c r="H136" s="1528" t="n">
        <v>0</v>
      </c>
      <c r="I136" s="1528" t="n">
        <v>80000</v>
      </c>
      <c r="J136" s="1528" t="n">
        <v>0</v>
      </c>
      <c r="K136" s="1528" t="n">
        <v>1.51294</v>
      </c>
      <c r="L136" s="1528"/>
      <c r="M136" s="1547" t="str">
        <f aca="false">IF($E136=M$3,M$2,"")</f>
        <v/>
      </c>
      <c r="N136" s="1547" t="str">
        <f aca="false">IF($E136=N$3,N$2,"")</f>
        <v> en invernadero enarenado</v>
      </c>
      <c r="O136" s="1547" t="str">
        <f aca="false">IF($E136=O$3,O$2,"")</f>
        <v/>
      </c>
      <c r="P136" s="1528" t="str">
        <f aca="false">CONCATENATE(D136,M136,N136,O136)</f>
        <v>CHALOTA en invernadero enarenado en invernadero enarenado</v>
      </c>
    </row>
    <row r="137" customFormat="false" ht="14.25" hidden="false" customHeight="false" outlineLevel="0" collapsed="false">
      <c r="A137" s="1528"/>
      <c r="B137" s="1528" t="n">
        <v>4</v>
      </c>
      <c r="C137" s="1528" t="n">
        <v>169</v>
      </c>
      <c r="D137" s="1528" t="s">
        <v>1150</v>
      </c>
      <c r="E137" s="1528" t="n">
        <v>0</v>
      </c>
      <c r="F137" s="1528" t="n">
        <v>360.61</v>
      </c>
      <c r="G137" s="1528" t="n">
        <v>1352.28</v>
      </c>
      <c r="H137" s="1528" t="n">
        <v>575</v>
      </c>
      <c r="I137" s="1528" t="n">
        <v>7200</v>
      </c>
      <c r="J137" s="1528" t="n">
        <v>0.01513</v>
      </c>
      <c r="K137" s="1528" t="n">
        <v>0.05674</v>
      </c>
      <c r="L137" s="1528"/>
      <c r="M137" s="1547" t="str">
        <f aca="false">IF($E137=M$3,M$2,"")</f>
        <v/>
      </c>
      <c r="N137" s="1547" t="str">
        <f aca="false">IF($E137=N$3,N$2,"")</f>
        <v/>
      </c>
      <c r="O137" s="1547" t="str">
        <f aca="false">IF($E137=O$3,O$2,"")</f>
        <v/>
      </c>
      <c r="P137" s="1528" t="str">
        <f aca="false">CONCATENATE(D137,M137,N137,O137)</f>
        <v>AJO</v>
      </c>
    </row>
    <row r="138" customFormat="false" ht="14.25" hidden="false" customHeight="false" outlineLevel="0" collapsed="false">
      <c r="A138" s="1528"/>
      <c r="B138" s="1528" t="n">
        <v>4</v>
      </c>
      <c r="C138" s="1528" t="n">
        <v>169</v>
      </c>
      <c r="D138" s="1528" t="s">
        <v>1151</v>
      </c>
      <c r="E138" s="1528" t="n">
        <v>4</v>
      </c>
      <c r="F138" s="1528" t="n">
        <v>0</v>
      </c>
      <c r="G138" s="1528" t="n">
        <v>36060.73</v>
      </c>
      <c r="H138" s="1528" t="n">
        <v>0</v>
      </c>
      <c r="I138" s="1528" t="n">
        <v>80000</v>
      </c>
      <c r="J138" s="1528" t="n">
        <v>0</v>
      </c>
      <c r="K138" s="1528" t="n">
        <v>1.51294</v>
      </c>
      <c r="L138" s="1528"/>
      <c r="M138" s="1547" t="str">
        <f aca="false">IF($E138=M$3,M$2,"")</f>
        <v> en Invernadero</v>
      </c>
      <c r="N138" s="1547" t="str">
        <f aca="false">IF($E138=N$3,N$2,"")</f>
        <v/>
      </c>
      <c r="O138" s="1547" t="str">
        <f aca="false">IF($E138=O$3,O$2,"")</f>
        <v/>
      </c>
      <c r="P138" s="1528" t="str">
        <f aca="false">CONCATENATE(D138,M138,N138,O138)</f>
        <v>AJO en Invernadero en Invernadero</v>
      </c>
    </row>
    <row r="139" customFormat="false" ht="14.25" hidden="false" customHeight="false" outlineLevel="0" collapsed="false">
      <c r="A139" s="1528"/>
      <c r="B139" s="1528" t="n">
        <v>4</v>
      </c>
      <c r="C139" s="1528" t="n">
        <v>169</v>
      </c>
      <c r="D139" s="1528" t="s">
        <v>1152</v>
      </c>
      <c r="E139" s="1528" t="n">
        <v>19</v>
      </c>
      <c r="F139" s="1528" t="n">
        <v>0</v>
      </c>
      <c r="G139" s="1528" t="n">
        <v>36060.73</v>
      </c>
      <c r="H139" s="1528" t="n">
        <v>0</v>
      </c>
      <c r="I139" s="1528" t="n">
        <v>80000</v>
      </c>
      <c r="J139" s="1528" t="n">
        <v>0</v>
      </c>
      <c r="K139" s="1528" t="n">
        <v>1.51294</v>
      </c>
      <c r="L139" s="1528"/>
      <c r="M139" s="1547" t="str">
        <f aca="false">IF($E139=M$3,M$2,"")</f>
        <v/>
      </c>
      <c r="N139" s="1547" t="str">
        <f aca="false">IF($E139=N$3,N$2,"")</f>
        <v> en invernadero enarenado</v>
      </c>
      <c r="O139" s="1547" t="str">
        <f aca="false">IF($E139=O$3,O$2,"")</f>
        <v/>
      </c>
      <c r="P139" s="1528" t="str">
        <f aca="false">CONCATENATE(D139,M139,N139,O139)</f>
        <v>AJO en invernadero enarenado en invernadero enarenado</v>
      </c>
    </row>
    <row r="140" customFormat="false" ht="14.25" hidden="false" customHeight="false" outlineLevel="0" collapsed="false">
      <c r="A140" s="1528"/>
      <c r="B140" s="1528" t="n">
        <v>4</v>
      </c>
      <c r="C140" s="1528" t="n">
        <v>171</v>
      </c>
      <c r="D140" s="1528" t="s">
        <v>1154</v>
      </c>
      <c r="E140" s="1528" t="n">
        <v>0</v>
      </c>
      <c r="F140" s="1528" t="n">
        <v>360.61</v>
      </c>
      <c r="G140" s="1528" t="n">
        <v>1352.28</v>
      </c>
      <c r="H140" s="1528" t="n">
        <v>575</v>
      </c>
      <c r="I140" s="1528" t="n">
        <v>5200</v>
      </c>
      <c r="J140" s="1528" t="n">
        <v>0.01513</v>
      </c>
      <c r="K140" s="1528" t="n">
        <v>0.05674</v>
      </c>
      <c r="L140" s="1528"/>
      <c r="M140" s="1547" t="str">
        <f aca="false">IF($E140=M$3,M$2,"")</f>
        <v/>
      </c>
      <c r="N140" s="1547" t="str">
        <f aca="false">IF($E140=N$3,N$2,"")</f>
        <v/>
      </c>
      <c r="O140" s="1547" t="str">
        <f aca="false">IF($E140=O$3,O$2,"")</f>
        <v/>
      </c>
      <c r="P140" s="1528" t="str">
        <f aca="false">CONCATENATE(D140,M140,N140,O140)</f>
        <v>CHIRIVÍA</v>
      </c>
    </row>
    <row r="141" customFormat="false" ht="14.25" hidden="false" customHeight="false" outlineLevel="0" collapsed="false">
      <c r="A141" s="1528"/>
      <c r="B141" s="1528" t="n">
        <v>4</v>
      </c>
      <c r="C141" s="1528" t="n">
        <v>171</v>
      </c>
      <c r="D141" s="1528" t="s">
        <v>1155</v>
      </c>
      <c r="E141" s="1528" t="n">
        <v>4</v>
      </c>
      <c r="F141" s="1528" t="n">
        <v>0</v>
      </c>
      <c r="G141" s="1528" t="n">
        <v>36060.73</v>
      </c>
      <c r="H141" s="1528" t="n">
        <v>0</v>
      </c>
      <c r="I141" s="1528" t="n">
        <v>80000</v>
      </c>
      <c r="J141" s="1528" t="n">
        <v>0</v>
      </c>
      <c r="K141" s="1528" t="n">
        <v>1.51294</v>
      </c>
      <c r="L141" s="1528"/>
      <c r="M141" s="1547" t="str">
        <f aca="false">IF($E141=M$3,M$2,"")</f>
        <v> en Invernadero</v>
      </c>
      <c r="N141" s="1547" t="str">
        <f aca="false">IF($E141=N$3,N$2,"")</f>
        <v/>
      </c>
      <c r="O141" s="1547" t="str">
        <f aca="false">IF($E141=O$3,O$2,"")</f>
        <v/>
      </c>
      <c r="P141" s="1528" t="str">
        <f aca="false">CONCATENATE(D141,M141,N141,O141)</f>
        <v>CHIRIVÍA en Invernadero en Invernadero</v>
      </c>
    </row>
    <row r="142" customFormat="false" ht="14.25" hidden="false" customHeight="false" outlineLevel="0" collapsed="false">
      <c r="A142" s="1528"/>
      <c r="B142" s="1528" t="n">
        <v>4</v>
      </c>
      <c r="C142" s="1528" t="n">
        <v>171</v>
      </c>
      <c r="D142" s="1528" t="s">
        <v>1156</v>
      </c>
      <c r="E142" s="1528" t="n">
        <v>19</v>
      </c>
      <c r="F142" s="1528" t="n">
        <v>0</v>
      </c>
      <c r="G142" s="1528" t="n">
        <v>36060.73</v>
      </c>
      <c r="H142" s="1528" t="n">
        <v>0</v>
      </c>
      <c r="I142" s="1528" t="n">
        <v>80000</v>
      </c>
      <c r="J142" s="1528" t="n">
        <v>0</v>
      </c>
      <c r="K142" s="1528" t="n">
        <v>1.51294</v>
      </c>
      <c r="L142" s="1528"/>
      <c r="M142" s="1547" t="str">
        <f aca="false">IF($E142=M$3,M$2,"")</f>
        <v/>
      </c>
      <c r="N142" s="1547" t="str">
        <f aca="false">IF($E142=N$3,N$2,"")</f>
        <v> en invernadero enarenado</v>
      </c>
      <c r="O142" s="1547" t="str">
        <f aca="false">IF($E142=O$3,O$2,"")</f>
        <v/>
      </c>
      <c r="P142" s="1528" t="str">
        <f aca="false">CONCATENATE(D142,M142,N142,O142)</f>
        <v>CHIRIVÍA en invernadero enarenado en invernadero enarenado</v>
      </c>
    </row>
    <row r="143" customFormat="false" ht="14.25" hidden="false" customHeight="false" outlineLevel="0" collapsed="false">
      <c r="A143" s="1528"/>
      <c r="B143" s="1528" t="n">
        <v>4</v>
      </c>
      <c r="C143" s="1528" t="n">
        <v>172</v>
      </c>
      <c r="D143" s="1528" t="s">
        <v>1158</v>
      </c>
      <c r="E143" s="1528" t="n">
        <v>0</v>
      </c>
      <c r="F143" s="1528" t="n">
        <v>360.61</v>
      </c>
      <c r="G143" s="1528" t="n">
        <v>1352.28</v>
      </c>
      <c r="H143" s="1528" t="n">
        <v>575</v>
      </c>
      <c r="I143" s="1528" t="n">
        <v>5200</v>
      </c>
      <c r="J143" s="1528" t="n">
        <v>0.01513</v>
      </c>
      <c r="K143" s="1528" t="n">
        <v>0.05674</v>
      </c>
      <c r="L143" s="1528"/>
      <c r="M143" s="1547" t="str">
        <f aca="false">IF($E143=M$3,M$2,"")</f>
        <v/>
      </c>
      <c r="N143" s="1547" t="str">
        <f aca="false">IF($E143=N$3,N$2,"")</f>
        <v/>
      </c>
      <c r="O143" s="1547" t="str">
        <f aca="false">IF($E143=O$3,O$2,"")</f>
        <v/>
      </c>
      <c r="P143" s="1528" t="str">
        <f aca="false">CONCATENATE(D143,M143,N143,O143)</f>
        <v>REPOLLO</v>
      </c>
    </row>
    <row r="144" customFormat="false" ht="14.25" hidden="false" customHeight="false" outlineLevel="0" collapsed="false">
      <c r="A144" s="1528"/>
      <c r="B144" s="1528" t="n">
        <v>4</v>
      </c>
      <c r="C144" s="1528" t="n">
        <v>172</v>
      </c>
      <c r="D144" s="1528" t="s">
        <v>1159</v>
      </c>
      <c r="E144" s="1528" t="n">
        <v>4</v>
      </c>
      <c r="F144" s="1528" t="n">
        <v>0</v>
      </c>
      <c r="G144" s="1528" t="n">
        <v>36060.73</v>
      </c>
      <c r="H144" s="1528" t="n">
        <v>0</v>
      </c>
      <c r="I144" s="1528" t="n">
        <v>80000</v>
      </c>
      <c r="J144" s="1528" t="n">
        <v>0</v>
      </c>
      <c r="K144" s="1528" t="n">
        <v>1.51294</v>
      </c>
      <c r="L144" s="1528"/>
      <c r="M144" s="1547" t="str">
        <f aca="false">IF($E144=M$3,M$2,"")</f>
        <v> en Invernadero</v>
      </c>
      <c r="N144" s="1547" t="str">
        <f aca="false">IF($E144=N$3,N$2,"")</f>
        <v/>
      </c>
      <c r="O144" s="1547" t="str">
        <f aca="false">IF($E144=O$3,O$2,"")</f>
        <v/>
      </c>
      <c r="P144" s="1528" t="str">
        <f aca="false">CONCATENATE(D144,M144,N144,O144)</f>
        <v>REPOLLO en Invernadero en Invernadero</v>
      </c>
    </row>
    <row r="145" customFormat="false" ht="14.25" hidden="false" customHeight="false" outlineLevel="0" collapsed="false">
      <c r="A145" s="1528"/>
      <c r="B145" s="1528" t="n">
        <v>4</v>
      </c>
      <c r="C145" s="1528" t="n">
        <v>172</v>
      </c>
      <c r="D145" s="1528" t="s">
        <v>1160</v>
      </c>
      <c r="E145" s="1528" t="n">
        <v>19</v>
      </c>
      <c r="F145" s="1528" t="n">
        <v>0</v>
      </c>
      <c r="G145" s="1528" t="n">
        <v>36060.73</v>
      </c>
      <c r="H145" s="1528" t="n">
        <v>0</v>
      </c>
      <c r="I145" s="1528" t="n">
        <v>80000</v>
      </c>
      <c r="J145" s="1528" t="n">
        <v>0</v>
      </c>
      <c r="K145" s="1528" t="n">
        <v>1.51294</v>
      </c>
      <c r="L145" s="1528"/>
      <c r="M145" s="1547" t="str">
        <f aca="false">IF($E145=M$3,M$2,"")</f>
        <v/>
      </c>
      <c r="N145" s="1547" t="str">
        <f aca="false">IF($E145=N$3,N$2,"")</f>
        <v> en invernadero enarenado</v>
      </c>
      <c r="O145" s="1547" t="str">
        <f aca="false">IF($E145=O$3,O$2,"")</f>
        <v/>
      </c>
      <c r="P145" s="1528" t="str">
        <f aca="false">CONCATENATE(D145,M145,N145,O145)</f>
        <v>REPOLLO en invernadero enarenado en invernadero enarenado</v>
      </c>
    </row>
    <row r="146" customFormat="false" ht="14.25" hidden="false" customHeight="false" outlineLevel="0" collapsed="false">
      <c r="A146" s="1528"/>
      <c r="B146" s="1528" t="n">
        <v>4</v>
      </c>
      <c r="C146" s="1528" t="n">
        <v>173</v>
      </c>
      <c r="D146" s="1528" t="s">
        <v>1162</v>
      </c>
      <c r="E146" s="1528" t="n">
        <v>0</v>
      </c>
      <c r="F146" s="1528" t="n">
        <v>360.61</v>
      </c>
      <c r="G146" s="1528" t="n">
        <v>1352.28</v>
      </c>
      <c r="H146" s="1528" t="n">
        <v>575</v>
      </c>
      <c r="I146" s="1528" t="n">
        <v>5200</v>
      </c>
      <c r="J146" s="1528" t="n">
        <v>0.01513</v>
      </c>
      <c r="K146" s="1528" t="n">
        <v>0.05674</v>
      </c>
      <c r="L146" s="1528"/>
      <c r="M146" s="1547" t="str">
        <f aca="false">IF($E146=M$3,M$2,"")</f>
        <v/>
      </c>
      <c r="N146" s="1547" t="str">
        <f aca="false">IF($E146=N$3,N$2,"")</f>
        <v/>
      </c>
      <c r="O146" s="1547" t="str">
        <f aca="false">IF($E146=O$3,O$2,"")</f>
        <v/>
      </c>
      <c r="P146" s="1528" t="str">
        <f aca="false">CONCATENATE(D146,M146,N146,O146)</f>
        <v>COL ROJA O LOMBARDA</v>
      </c>
    </row>
    <row r="147" customFormat="false" ht="14.25" hidden="false" customHeight="false" outlineLevel="0" collapsed="false">
      <c r="A147" s="1528"/>
      <c r="B147" s="1528" t="n">
        <v>4</v>
      </c>
      <c r="C147" s="1528" t="n">
        <v>173</v>
      </c>
      <c r="D147" s="1528" t="s">
        <v>1163</v>
      </c>
      <c r="E147" s="1528" t="n">
        <v>4</v>
      </c>
      <c r="F147" s="1528" t="n">
        <v>0</v>
      </c>
      <c r="G147" s="1528" t="n">
        <v>36060.73</v>
      </c>
      <c r="H147" s="1528" t="n">
        <v>0</v>
      </c>
      <c r="I147" s="1528" t="n">
        <v>80000</v>
      </c>
      <c r="J147" s="1528" t="n">
        <v>0</v>
      </c>
      <c r="K147" s="1528" t="n">
        <v>1.51294</v>
      </c>
      <c r="L147" s="1528"/>
      <c r="M147" s="1547" t="str">
        <f aca="false">IF($E147=M$3,M$2,"")</f>
        <v> en Invernadero</v>
      </c>
      <c r="N147" s="1547" t="str">
        <f aca="false">IF($E147=N$3,N$2,"")</f>
        <v/>
      </c>
      <c r="O147" s="1547" t="str">
        <f aca="false">IF($E147=O$3,O$2,"")</f>
        <v/>
      </c>
      <c r="P147" s="1528" t="str">
        <f aca="false">CONCATENATE(D147,M147,N147,O147)</f>
        <v>COL ROJA O LOMBARDA en Invernadero en Invernadero</v>
      </c>
    </row>
    <row r="148" customFormat="false" ht="14.25" hidden="false" customHeight="false" outlineLevel="0" collapsed="false">
      <c r="A148" s="1528"/>
      <c r="B148" s="1528" t="n">
        <v>4</v>
      </c>
      <c r="C148" s="1528" t="n">
        <v>173</v>
      </c>
      <c r="D148" s="1528" t="s">
        <v>1164</v>
      </c>
      <c r="E148" s="1528" t="n">
        <v>19</v>
      </c>
      <c r="F148" s="1528" t="n">
        <v>0</v>
      </c>
      <c r="G148" s="1528" t="n">
        <v>36060.73</v>
      </c>
      <c r="H148" s="1528" t="n">
        <v>0</v>
      </c>
      <c r="I148" s="1528" t="n">
        <v>80000</v>
      </c>
      <c r="J148" s="1528" t="n">
        <v>0</v>
      </c>
      <c r="K148" s="1528" t="n">
        <v>1.51294</v>
      </c>
      <c r="L148" s="1528"/>
      <c r="M148" s="1547" t="str">
        <f aca="false">IF($E148=M$3,M$2,"")</f>
        <v/>
      </c>
      <c r="N148" s="1547" t="str">
        <f aca="false">IF($E148=N$3,N$2,"")</f>
        <v> en invernadero enarenado</v>
      </c>
      <c r="O148" s="1547" t="str">
        <f aca="false">IF($E148=O$3,O$2,"")</f>
        <v/>
      </c>
      <c r="P148" s="1528" t="str">
        <f aca="false">CONCATENATE(D148,M148,N148,O148)</f>
        <v>COL ROJA O LOMBARDA en invernadero enarenado en invernadero enarenado</v>
      </c>
    </row>
    <row r="149" customFormat="false" ht="14.25" hidden="false" customHeight="false" outlineLevel="0" collapsed="false">
      <c r="A149" s="1528"/>
      <c r="B149" s="1528" t="n">
        <v>4</v>
      </c>
      <c r="C149" s="1528" t="n">
        <v>174</v>
      </c>
      <c r="D149" s="1528" t="s">
        <v>1166</v>
      </c>
      <c r="E149" s="1528" t="n">
        <v>0</v>
      </c>
      <c r="F149" s="1528" t="n">
        <v>360.61</v>
      </c>
      <c r="G149" s="1528" t="n">
        <v>1352.28</v>
      </c>
      <c r="H149" s="1528" t="n">
        <v>575</v>
      </c>
      <c r="I149" s="1528" t="n">
        <v>5200</v>
      </c>
      <c r="J149" s="1528" t="n">
        <v>0.01513</v>
      </c>
      <c r="K149" s="1528" t="n">
        <v>0.05674</v>
      </c>
      <c r="L149" s="1528"/>
      <c r="M149" s="1547" t="str">
        <f aca="false">IF($E149=M$3,M$2,"")</f>
        <v/>
      </c>
      <c r="N149" s="1547" t="str">
        <f aca="false">IF($E149=N$3,N$2,"")</f>
        <v/>
      </c>
      <c r="O149" s="1547" t="str">
        <f aca="false">IF($E149=O$3,O$2,"")</f>
        <v/>
      </c>
      <c r="P149" s="1528" t="str">
        <f aca="false">CONCATENATE(D149,M149,N149,O149)</f>
        <v>COL MILÁN</v>
      </c>
    </row>
    <row r="150" customFormat="false" ht="14.25" hidden="false" customHeight="false" outlineLevel="0" collapsed="false">
      <c r="A150" s="1528"/>
      <c r="B150" s="1528" t="n">
        <v>4</v>
      </c>
      <c r="C150" s="1528" t="n">
        <v>174</v>
      </c>
      <c r="D150" s="1528" t="s">
        <v>1167</v>
      </c>
      <c r="E150" s="1528" t="n">
        <v>4</v>
      </c>
      <c r="F150" s="1528" t="n">
        <v>0</v>
      </c>
      <c r="G150" s="1528" t="n">
        <v>36060.73</v>
      </c>
      <c r="H150" s="1528" t="n">
        <v>0</v>
      </c>
      <c r="I150" s="1528" t="n">
        <v>80000</v>
      </c>
      <c r="J150" s="1528" t="n">
        <v>0</v>
      </c>
      <c r="K150" s="1528" t="n">
        <v>1.51294</v>
      </c>
      <c r="L150" s="1528"/>
      <c r="M150" s="1547" t="str">
        <f aca="false">IF($E150=M$3,M$2,"")</f>
        <v> en Invernadero</v>
      </c>
      <c r="N150" s="1547" t="str">
        <f aca="false">IF($E150=N$3,N$2,"")</f>
        <v/>
      </c>
      <c r="O150" s="1547" t="str">
        <f aca="false">IF($E150=O$3,O$2,"")</f>
        <v/>
      </c>
      <c r="P150" s="1528" t="str">
        <f aca="false">CONCATENATE(D150,M150,N150,O150)</f>
        <v>COL MILÁN en Invernadero en Invernadero</v>
      </c>
    </row>
    <row r="151" customFormat="false" ht="14.25" hidden="false" customHeight="false" outlineLevel="0" collapsed="false">
      <c r="A151" s="1528"/>
      <c r="B151" s="1528" t="n">
        <v>4</v>
      </c>
      <c r="C151" s="1528" t="n">
        <v>174</v>
      </c>
      <c r="D151" s="1528" t="s">
        <v>1168</v>
      </c>
      <c r="E151" s="1528" t="n">
        <v>19</v>
      </c>
      <c r="F151" s="1528" t="n">
        <v>0</v>
      </c>
      <c r="G151" s="1528" t="n">
        <v>36060.73</v>
      </c>
      <c r="H151" s="1528" t="n">
        <v>0</v>
      </c>
      <c r="I151" s="1528" t="n">
        <v>80000</v>
      </c>
      <c r="J151" s="1528" t="n">
        <v>0</v>
      </c>
      <c r="K151" s="1528" t="n">
        <v>1.51294</v>
      </c>
      <c r="L151" s="1528"/>
      <c r="M151" s="1547" t="str">
        <f aca="false">IF($E151=M$3,M$2,"")</f>
        <v/>
      </c>
      <c r="N151" s="1547" t="str">
        <f aca="false">IF($E151=N$3,N$2,"")</f>
        <v> en invernadero enarenado</v>
      </c>
      <c r="O151" s="1547" t="str">
        <f aca="false">IF($E151=O$3,O$2,"")</f>
        <v/>
      </c>
      <c r="P151" s="1528" t="str">
        <f aca="false">CONCATENATE(D151,M151,N151,O151)</f>
        <v>COL MILÁN en invernadero enarenado en invernadero enarenado</v>
      </c>
    </row>
    <row r="152" customFormat="false" ht="14.25" hidden="false" customHeight="false" outlineLevel="0" collapsed="false">
      <c r="A152" s="1528"/>
      <c r="B152" s="1528" t="n">
        <v>4</v>
      </c>
      <c r="C152" s="1528" t="n">
        <v>175</v>
      </c>
      <c r="D152" s="1528" t="s">
        <v>1170</v>
      </c>
      <c r="E152" s="1528" t="n">
        <v>0</v>
      </c>
      <c r="F152" s="1528" t="n">
        <v>360.61</v>
      </c>
      <c r="G152" s="1528" t="n">
        <v>1352.28</v>
      </c>
      <c r="H152" s="1528" t="n">
        <v>575</v>
      </c>
      <c r="I152" s="1528" t="n">
        <v>5200</v>
      </c>
      <c r="J152" s="1528" t="n">
        <v>0.01513</v>
      </c>
      <c r="K152" s="1528" t="n">
        <v>0.05674</v>
      </c>
      <c r="L152" s="1528"/>
      <c r="M152" s="1547" t="str">
        <f aca="false">IF($E152=M$3,M$2,"")</f>
        <v/>
      </c>
      <c r="N152" s="1547" t="str">
        <f aca="false">IF($E152=N$3,N$2,"")</f>
        <v/>
      </c>
      <c r="O152" s="1547" t="str">
        <f aca="false">IF($E152=O$3,O$2,"")</f>
        <v/>
      </c>
      <c r="P152" s="1528" t="str">
        <f aca="false">CONCATENATE(D152,M152,N152,O152)</f>
        <v>BERZA</v>
      </c>
    </row>
    <row r="153" customFormat="false" ht="14.25" hidden="false" customHeight="false" outlineLevel="0" collapsed="false">
      <c r="A153" s="1528"/>
      <c r="B153" s="1528" t="n">
        <v>4</v>
      </c>
      <c r="C153" s="1528" t="n">
        <v>175</v>
      </c>
      <c r="D153" s="1528" t="s">
        <v>1171</v>
      </c>
      <c r="E153" s="1528" t="n">
        <v>4</v>
      </c>
      <c r="F153" s="1528" t="n">
        <v>0</v>
      </c>
      <c r="G153" s="1528" t="n">
        <v>36060.73</v>
      </c>
      <c r="H153" s="1528" t="n">
        <v>0</v>
      </c>
      <c r="I153" s="1528" t="n">
        <v>80000</v>
      </c>
      <c r="J153" s="1528" t="n">
        <v>0</v>
      </c>
      <c r="K153" s="1528" t="n">
        <v>1.51294</v>
      </c>
      <c r="L153" s="1528"/>
      <c r="M153" s="1547" t="str">
        <f aca="false">IF($E153=M$3,M$2,"")</f>
        <v> en Invernadero</v>
      </c>
      <c r="N153" s="1547" t="str">
        <f aca="false">IF($E153=N$3,N$2,"")</f>
        <v/>
      </c>
      <c r="O153" s="1547" t="str">
        <f aca="false">IF($E153=O$3,O$2,"")</f>
        <v/>
      </c>
      <c r="P153" s="1528" t="str">
        <f aca="false">CONCATENATE(D153,M153,N153,O153)</f>
        <v>BERZA en Invernadero en Invernadero</v>
      </c>
    </row>
    <row r="154" customFormat="false" ht="14.25" hidden="false" customHeight="false" outlineLevel="0" collapsed="false">
      <c r="A154" s="1528"/>
      <c r="B154" s="1528" t="n">
        <v>4</v>
      </c>
      <c r="C154" s="1528" t="n">
        <v>175</v>
      </c>
      <c r="D154" s="1528" t="s">
        <v>1172</v>
      </c>
      <c r="E154" s="1528" t="n">
        <v>19</v>
      </c>
      <c r="F154" s="1528" t="n">
        <v>0</v>
      </c>
      <c r="G154" s="1528" t="n">
        <v>36060.73</v>
      </c>
      <c r="H154" s="1528" t="n">
        <v>0</v>
      </c>
      <c r="I154" s="1528" t="n">
        <v>80000</v>
      </c>
      <c r="J154" s="1528" t="n">
        <v>0</v>
      </c>
      <c r="K154" s="1528" t="n">
        <v>1.51294</v>
      </c>
      <c r="L154" s="1528"/>
      <c r="M154" s="1547" t="str">
        <f aca="false">IF($E154=M$3,M$2,"")</f>
        <v/>
      </c>
      <c r="N154" s="1547" t="str">
        <f aca="false">IF($E154=N$3,N$2,"")</f>
        <v> en invernadero enarenado</v>
      </c>
      <c r="O154" s="1547" t="str">
        <f aca="false">IF($E154=O$3,O$2,"")</f>
        <v/>
      </c>
      <c r="P154" s="1528" t="str">
        <f aca="false">CONCATENATE(D154,M154,N154,O154)</f>
        <v>BERZA en invernadero enarenado en invernadero enarenado</v>
      </c>
    </row>
    <row r="155" customFormat="false" ht="14.25" hidden="false" customHeight="false" outlineLevel="0" collapsed="false">
      <c r="A155" s="1528"/>
      <c r="B155" s="1528" t="n">
        <v>4</v>
      </c>
      <c r="C155" s="1528" t="n">
        <v>176</v>
      </c>
      <c r="D155" s="1528" t="s">
        <v>1174</v>
      </c>
      <c r="E155" s="1528" t="n">
        <v>0</v>
      </c>
      <c r="F155" s="1528" t="n">
        <v>360.61</v>
      </c>
      <c r="G155" s="1528" t="n">
        <v>1352.28</v>
      </c>
      <c r="H155" s="1528" t="n">
        <v>575</v>
      </c>
      <c r="I155" s="1528" t="n">
        <v>5200</v>
      </c>
      <c r="J155" s="1528" t="n">
        <v>0.01513</v>
      </c>
      <c r="K155" s="1528" t="n">
        <v>0.05674</v>
      </c>
      <c r="L155" s="1528"/>
      <c r="M155" s="1547" t="str">
        <f aca="false">IF($E155=M$3,M$2,"")</f>
        <v/>
      </c>
      <c r="N155" s="1547" t="str">
        <f aca="false">IF($E155=N$3,N$2,"")</f>
        <v/>
      </c>
      <c r="O155" s="1547" t="str">
        <f aca="false">IF($E155=O$3,O$2,"")</f>
        <v/>
      </c>
      <c r="P155" s="1528" t="str">
        <f aca="false">CONCATENATE(D155,M155,N155,O155)</f>
        <v>COL DE BRUSELAS</v>
      </c>
    </row>
    <row r="156" customFormat="false" ht="14.25" hidden="false" customHeight="false" outlineLevel="0" collapsed="false">
      <c r="A156" s="1528"/>
      <c r="B156" s="1528" t="n">
        <v>4</v>
      </c>
      <c r="C156" s="1528" t="n">
        <v>176</v>
      </c>
      <c r="D156" s="1528" t="s">
        <v>1175</v>
      </c>
      <c r="E156" s="1528" t="n">
        <v>4</v>
      </c>
      <c r="F156" s="1528" t="n">
        <v>0</v>
      </c>
      <c r="G156" s="1528" t="n">
        <v>36060.73</v>
      </c>
      <c r="H156" s="1528" t="n">
        <v>0</v>
      </c>
      <c r="I156" s="1528" t="n">
        <v>80000</v>
      </c>
      <c r="J156" s="1528" t="n">
        <v>0</v>
      </c>
      <c r="K156" s="1528" t="n">
        <v>1.51294</v>
      </c>
      <c r="L156" s="1528"/>
      <c r="M156" s="1547" t="str">
        <f aca="false">IF($E156=M$3,M$2,"")</f>
        <v> en Invernadero</v>
      </c>
      <c r="N156" s="1547" t="str">
        <f aca="false">IF($E156=N$3,N$2,"")</f>
        <v/>
      </c>
      <c r="O156" s="1547" t="str">
        <f aca="false">IF($E156=O$3,O$2,"")</f>
        <v/>
      </c>
      <c r="P156" s="1528" t="str">
        <f aca="false">CONCATENATE(D156,M156,N156,O156)</f>
        <v>COL DE BRUSELAS en Invernadero en Invernadero</v>
      </c>
    </row>
    <row r="157" customFormat="false" ht="14.25" hidden="false" customHeight="false" outlineLevel="0" collapsed="false">
      <c r="A157" s="1528"/>
      <c r="B157" s="1528" t="n">
        <v>4</v>
      </c>
      <c r="C157" s="1528" t="n">
        <v>176</v>
      </c>
      <c r="D157" s="1528" t="s">
        <v>1176</v>
      </c>
      <c r="E157" s="1528" t="n">
        <v>19</v>
      </c>
      <c r="F157" s="1528" t="n">
        <v>0</v>
      </c>
      <c r="G157" s="1528" t="n">
        <v>36060.73</v>
      </c>
      <c r="H157" s="1528" t="n">
        <v>0</v>
      </c>
      <c r="I157" s="1528" t="n">
        <v>80000</v>
      </c>
      <c r="J157" s="1528" t="n">
        <v>0</v>
      </c>
      <c r="K157" s="1528" t="n">
        <v>1.51294</v>
      </c>
      <c r="L157" s="1528"/>
      <c r="M157" s="1547" t="str">
        <f aca="false">IF($E157=M$3,M$2,"")</f>
        <v/>
      </c>
      <c r="N157" s="1547" t="str">
        <f aca="false">IF($E157=N$3,N$2,"")</f>
        <v> en invernadero enarenado</v>
      </c>
      <c r="O157" s="1547" t="str">
        <f aca="false">IF($E157=O$3,O$2,"")</f>
        <v/>
      </c>
      <c r="P157" s="1528" t="str">
        <f aca="false">CONCATENATE(D157,M157,N157,O157)</f>
        <v>COL DE BRUSELAS en invernadero enarenado en invernadero enarenado</v>
      </c>
    </row>
    <row r="158" customFormat="false" ht="14.25" hidden="false" customHeight="false" outlineLevel="0" collapsed="false">
      <c r="A158" s="1528"/>
      <c r="B158" s="1528" t="n">
        <v>4</v>
      </c>
      <c r="C158" s="1528" t="n">
        <v>177</v>
      </c>
      <c r="D158" s="1528" t="s">
        <v>1178</v>
      </c>
      <c r="E158" s="1528" t="n">
        <v>0</v>
      </c>
      <c r="F158" s="1528" t="n">
        <v>360.61</v>
      </c>
      <c r="G158" s="1528" t="n">
        <v>1352.28</v>
      </c>
      <c r="H158" s="1528" t="n">
        <v>575</v>
      </c>
      <c r="I158" s="1528" t="n">
        <v>5200</v>
      </c>
      <c r="J158" s="1528" t="n">
        <v>0.01513</v>
      </c>
      <c r="K158" s="1528" t="n">
        <v>0.05674</v>
      </c>
      <c r="L158" s="1528"/>
      <c r="M158" s="1547" t="str">
        <f aca="false">IF($E158=M$3,M$2,"")</f>
        <v/>
      </c>
      <c r="N158" s="1547" t="str">
        <f aca="false">IF($E158=N$3,N$2,"")</f>
        <v/>
      </c>
      <c r="O158" s="1547" t="str">
        <f aca="false">IF($E158=O$3,O$2,"")</f>
        <v/>
      </c>
      <c r="P158" s="1528" t="str">
        <f aca="false">CONCATENATE(D158,M158,N158,O158)</f>
        <v>ENDIVIA</v>
      </c>
    </row>
    <row r="159" customFormat="false" ht="14.25" hidden="false" customHeight="false" outlineLevel="0" collapsed="false">
      <c r="A159" s="1528"/>
      <c r="B159" s="1528" t="n">
        <v>4</v>
      </c>
      <c r="C159" s="1528" t="n">
        <v>177</v>
      </c>
      <c r="D159" s="1528" t="s">
        <v>1179</v>
      </c>
      <c r="E159" s="1528" t="n">
        <v>4</v>
      </c>
      <c r="F159" s="1528" t="n">
        <v>0</v>
      </c>
      <c r="G159" s="1528" t="n">
        <v>36060.73</v>
      </c>
      <c r="H159" s="1528" t="n">
        <v>0</v>
      </c>
      <c r="I159" s="1528" t="n">
        <v>80000</v>
      </c>
      <c r="J159" s="1528" t="n">
        <v>0</v>
      </c>
      <c r="K159" s="1528" t="n">
        <v>1.51294</v>
      </c>
      <c r="L159" s="1528"/>
      <c r="M159" s="1547" t="str">
        <f aca="false">IF($E159=M$3,M$2,"")</f>
        <v> en Invernadero</v>
      </c>
      <c r="N159" s="1547" t="str">
        <f aca="false">IF($E159=N$3,N$2,"")</f>
        <v/>
      </c>
      <c r="O159" s="1547" t="str">
        <f aca="false">IF($E159=O$3,O$2,"")</f>
        <v/>
      </c>
      <c r="P159" s="1528" t="str">
        <f aca="false">CONCATENATE(D159,M159,N159,O159)</f>
        <v>ENDIVIA en Invernadero en Invernadero</v>
      </c>
    </row>
    <row r="160" customFormat="false" ht="14.25" hidden="false" customHeight="false" outlineLevel="0" collapsed="false">
      <c r="A160" s="1528"/>
      <c r="B160" s="1528" t="n">
        <v>4</v>
      </c>
      <c r="C160" s="1528" t="n">
        <v>177</v>
      </c>
      <c r="D160" s="1528" t="s">
        <v>1180</v>
      </c>
      <c r="E160" s="1528" t="n">
        <v>19</v>
      </c>
      <c r="F160" s="1528" t="n">
        <v>0</v>
      </c>
      <c r="G160" s="1528" t="n">
        <v>36060.73</v>
      </c>
      <c r="H160" s="1528" t="n">
        <v>0</v>
      </c>
      <c r="I160" s="1528" t="n">
        <v>80000</v>
      </c>
      <c r="J160" s="1528" t="n">
        <v>0</v>
      </c>
      <c r="K160" s="1528" t="n">
        <v>1.51294</v>
      </c>
      <c r="L160" s="1528"/>
      <c r="M160" s="1547" t="str">
        <f aca="false">IF($E160=M$3,M$2,"")</f>
        <v/>
      </c>
      <c r="N160" s="1547" t="str">
        <f aca="false">IF($E160=N$3,N$2,"")</f>
        <v> en invernadero enarenado</v>
      </c>
      <c r="O160" s="1547" t="str">
        <f aca="false">IF($E160=O$3,O$2,"")</f>
        <v/>
      </c>
      <c r="P160" s="1528" t="str">
        <f aca="false">CONCATENATE(D160,M160,N160,O160)</f>
        <v>ENDIVIA en invernadero enarenado en invernadero enarenado</v>
      </c>
    </row>
    <row r="161" customFormat="false" ht="14.25" hidden="false" customHeight="false" outlineLevel="0" collapsed="false">
      <c r="A161" s="1528"/>
      <c r="B161" s="1528" t="n">
        <v>4</v>
      </c>
      <c r="C161" s="1528" t="n">
        <v>178</v>
      </c>
      <c r="D161" s="1528" t="s">
        <v>1182</v>
      </c>
      <c r="E161" s="1528" t="n">
        <v>0</v>
      </c>
      <c r="F161" s="1528" t="n">
        <v>360.61</v>
      </c>
      <c r="G161" s="1528" t="n">
        <v>1352.28</v>
      </c>
      <c r="H161" s="1528" t="n">
        <v>575</v>
      </c>
      <c r="I161" s="1528" t="n">
        <v>5200</v>
      </c>
      <c r="J161" s="1528" t="n">
        <v>0.01513</v>
      </c>
      <c r="K161" s="1528" t="n">
        <v>0.05674</v>
      </c>
      <c r="L161" s="1528"/>
      <c r="M161" s="1547" t="str">
        <f aca="false">IF($E161=M$3,M$2,"")</f>
        <v/>
      </c>
      <c r="N161" s="1547" t="str">
        <f aca="false">IF($E161=N$3,N$2,"")</f>
        <v/>
      </c>
      <c r="O161" s="1547" t="str">
        <f aca="false">IF($E161=O$3,O$2,"")</f>
        <v/>
      </c>
      <c r="P161" s="1528" t="str">
        <f aca="false">CONCATENATE(D161,M161,N161,O161)</f>
        <v>ZANAHORIA</v>
      </c>
    </row>
    <row r="162" customFormat="false" ht="14.25" hidden="false" customHeight="false" outlineLevel="0" collapsed="false">
      <c r="A162" s="1528"/>
      <c r="B162" s="1528" t="n">
        <v>4</v>
      </c>
      <c r="C162" s="1528" t="n">
        <v>178</v>
      </c>
      <c r="D162" s="1528" t="s">
        <v>1183</v>
      </c>
      <c r="E162" s="1528" t="n">
        <v>4</v>
      </c>
      <c r="F162" s="1528" t="n">
        <v>0</v>
      </c>
      <c r="G162" s="1528" t="n">
        <v>36060.73</v>
      </c>
      <c r="H162" s="1528" t="n">
        <v>0</v>
      </c>
      <c r="I162" s="1528" t="n">
        <v>80000</v>
      </c>
      <c r="J162" s="1528" t="n">
        <v>0</v>
      </c>
      <c r="K162" s="1528" t="n">
        <v>1.51294</v>
      </c>
      <c r="L162" s="1528"/>
      <c r="M162" s="1547" t="str">
        <f aca="false">IF($E162=M$3,M$2,"")</f>
        <v> en Invernadero</v>
      </c>
      <c r="N162" s="1547" t="str">
        <f aca="false">IF($E162=N$3,N$2,"")</f>
        <v/>
      </c>
      <c r="O162" s="1547" t="str">
        <f aca="false">IF($E162=O$3,O$2,"")</f>
        <v/>
      </c>
      <c r="P162" s="1528" t="str">
        <f aca="false">CONCATENATE(D162,M162,N162,O162)</f>
        <v>ZANAHORIA en Invernadero en Invernadero</v>
      </c>
    </row>
    <row r="163" customFormat="false" ht="14.25" hidden="false" customHeight="false" outlineLevel="0" collapsed="false">
      <c r="A163" s="1528"/>
      <c r="B163" s="1528" t="n">
        <v>4</v>
      </c>
      <c r="C163" s="1528" t="n">
        <v>178</v>
      </c>
      <c r="D163" s="1528" t="s">
        <v>1184</v>
      </c>
      <c r="E163" s="1528" t="n">
        <v>19</v>
      </c>
      <c r="F163" s="1528" t="n">
        <v>0</v>
      </c>
      <c r="G163" s="1528" t="n">
        <v>36060.73</v>
      </c>
      <c r="H163" s="1528" t="n">
        <v>0</v>
      </c>
      <c r="I163" s="1528" t="n">
        <v>80000</v>
      </c>
      <c r="J163" s="1528" t="n">
        <v>0</v>
      </c>
      <c r="K163" s="1528" t="n">
        <v>1.51294</v>
      </c>
      <c r="L163" s="1528"/>
      <c r="M163" s="1547" t="str">
        <f aca="false">IF($E163=M$3,M$2,"")</f>
        <v/>
      </c>
      <c r="N163" s="1547" t="str">
        <f aca="false">IF($E163=N$3,N$2,"")</f>
        <v> en invernadero enarenado</v>
      </c>
      <c r="O163" s="1547" t="str">
        <f aca="false">IF($E163=O$3,O$2,"")</f>
        <v/>
      </c>
      <c r="P163" s="1528" t="str">
        <f aca="false">CONCATENATE(D163,M163,N163,O163)</f>
        <v>ZANAHORIA en invernadero enarenado en invernadero enarenado</v>
      </c>
    </row>
    <row r="164" customFormat="false" ht="14.25" hidden="false" customHeight="false" outlineLevel="0" collapsed="false">
      <c r="A164" s="1528"/>
      <c r="B164" s="1528" t="n">
        <v>4</v>
      </c>
      <c r="C164" s="1528" t="n">
        <v>179</v>
      </c>
      <c r="D164" s="1528" t="s">
        <v>1186</v>
      </c>
      <c r="E164" s="1528" t="n">
        <v>0</v>
      </c>
      <c r="F164" s="1528" t="n">
        <v>360.61</v>
      </c>
      <c r="G164" s="1528" t="n">
        <v>1352.28</v>
      </c>
      <c r="H164" s="1528" t="n">
        <v>575</v>
      </c>
      <c r="I164" s="1528" t="n">
        <v>5200</v>
      </c>
      <c r="J164" s="1528" t="n">
        <v>0.01513</v>
      </c>
      <c r="K164" s="1528" t="n">
        <v>0.05674</v>
      </c>
      <c r="L164" s="1528"/>
      <c r="M164" s="1547" t="str">
        <f aca="false">IF($E164=M$3,M$2,"")</f>
        <v/>
      </c>
      <c r="N164" s="1547" t="str">
        <f aca="false">IF($E164=N$3,N$2,"")</f>
        <v/>
      </c>
      <c r="O164" s="1547" t="str">
        <f aca="false">IF($E164=O$3,O$2,"")</f>
        <v/>
      </c>
      <c r="P164" s="1528" t="str">
        <f aca="false">CONCATENATE(D164,M164,N164,O164)</f>
        <v>NABO</v>
      </c>
    </row>
    <row r="165" customFormat="false" ht="14.25" hidden="false" customHeight="false" outlineLevel="0" collapsed="false">
      <c r="A165" s="1528"/>
      <c r="B165" s="1528" t="n">
        <v>4</v>
      </c>
      <c r="C165" s="1528" t="n">
        <v>179</v>
      </c>
      <c r="D165" s="1528" t="s">
        <v>1187</v>
      </c>
      <c r="E165" s="1528" t="n">
        <v>4</v>
      </c>
      <c r="F165" s="1528" t="n">
        <v>0</v>
      </c>
      <c r="G165" s="1528" t="n">
        <v>36060.73</v>
      </c>
      <c r="H165" s="1528" t="n">
        <v>0</v>
      </c>
      <c r="I165" s="1528" t="n">
        <v>80000</v>
      </c>
      <c r="J165" s="1528" t="n">
        <v>0</v>
      </c>
      <c r="K165" s="1528" t="n">
        <v>1.51294</v>
      </c>
      <c r="L165" s="1528"/>
      <c r="M165" s="1547" t="str">
        <f aca="false">IF($E165=M$3,M$2,"")</f>
        <v> en Invernadero</v>
      </c>
      <c r="N165" s="1547" t="str">
        <f aca="false">IF($E165=N$3,N$2,"")</f>
        <v/>
      </c>
      <c r="O165" s="1547" t="str">
        <f aca="false">IF($E165=O$3,O$2,"")</f>
        <v/>
      </c>
      <c r="P165" s="1528" t="str">
        <f aca="false">CONCATENATE(D165,M165,N165,O165)</f>
        <v>NABO en Invernadero en Invernadero</v>
      </c>
    </row>
    <row r="166" customFormat="false" ht="14.25" hidden="false" customHeight="false" outlineLevel="0" collapsed="false">
      <c r="A166" s="1528"/>
      <c r="B166" s="1528" t="n">
        <v>4</v>
      </c>
      <c r="C166" s="1528" t="n">
        <v>179</v>
      </c>
      <c r="D166" s="1528" t="s">
        <v>1188</v>
      </c>
      <c r="E166" s="1528" t="n">
        <v>19</v>
      </c>
      <c r="F166" s="1528" t="n">
        <v>0</v>
      </c>
      <c r="G166" s="1528" t="n">
        <v>36060.73</v>
      </c>
      <c r="H166" s="1528" t="n">
        <v>0</v>
      </c>
      <c r="I166" s="1528" t="n">
        <v>80000</v>
      </c>
      <c r="J166" s="1528" t="n">
        <v>0</v>
      </c>
      <c r="K166" s="1528" t="n">
        <v>1.51294</v>
      </c>
      <c r="L166" s="1528"/>
      <c r="M166" s="1547" t="str">
        <f aca="false">IF($E166=M$3,M$2,"")</f>
        <v/>
      </c>
      <c r="N166" s="1547" t="str">
        <f aca="false">IF($E166=N$3,N$2,"")</f>
        <v> en invernadero enarenado</v>
      </c>
      <c r="O166" s="1547" t="str">
        <f aca="false">IF($E166=O$3,O$2,"")</f>
        <v/>
      </c>
      <c r="P166" s="1528" t="str">
        <f aca="false">CONCATENATE(D166,M166,N166,O166)</f>
        <v>NABO en invernadero enarenado en invernadero enarenado</v>
      </c>
    </row>
    <row r="167" customFormat="false" ht="14.25" hidden="false" customHeight="false" outlineLevel="0" collapsed="false">
      <c r="A167" s="1528"/>
      <c r="B167" s="1528" t="n">
        <v>4</v>
      </c>
      <c r="C167" s="1528" t="n">
        <v>181</v>
      </c>
      <c r="D167" s="1528" t="s">
        <v>1190</v>
      </c>
      <c r="E167" s="1528" t="n">
        <v>0</v>
      </c>
      <c r="F167" s="1528" t="n">
        <v>360.61</v>
      </c>
      <c r="G167" s="1528" t="n">
        <v>1352.28</v>
      </c>
      <c r="H167" s="1528" t="n">
        <v>575</v>
      </c>
      <c r="I167" s="1528" t="n">
        <v>5200</v>
      </c>
      <c r="J167" s="1528" t="n">
        <v>0.01513</v>
      </c>
      <c r="K167" s="1528" t="n">
        <v>0.05674</v>
      </c>
      <c r="L167" s="1528"/>
      <c r="M167" s="1547" t="str">
        <f aca="false">IF($E167=M$3,M$2,"")</f>
        <v/>
      </c>
      <c r="N167" s="1547" t="str">
        <f aca="false">IF($E167=N$3,N$2,"")</f>
        <v/>
      </c>
      <c r="O167" s="1547" t="str">
        <f aca="false">IF($E167=O$3,O$2,"")</f>
        <v/>
      </c>
      <c r="P167" s="1528" t="str">
        <f aca="false">CONCATENATE(D167,M167,N167,O167)</f>
        <v>ACHICORIA</v>
      </c>
    </row>
    <row r="168" customFormat="false" ht="14.25" hidden="false" customHeight="false" outlineLevel="0" collapsed="false">
      <c r="A168" s="1528"/>
      <c r="B168" s="1528" t="n">
        <v>4</v>
      </c>
      <c r="C168" s="1528" t="n">
        <v>181</v>
      </c>
      <c r="D168" s="1528" t="s">
        <v>1191</v>
      </c>
      <c r="E168" s="1528" t="n">
        <v>4</v>
      </c>
      <c r="F168" s="1528" t="n">
        <v>0</v>
      </c>
      <c r="G168" s="1528" t="n">
        <v>36060.73</v>
      </c>
      <c r="H168" s="1528" t="n">
        <v>0</v>
      </c>
      <c r="I168" s="1528" t="n">
        <v>80000</v>
      </c>
      <c r="J168" s="1528" t="n">
        <v>0</v>
      </c>
      <c r="K168" s="1528" t="n">
        <v>1.51294</v>
      </c>
      <c r="L168" s="1528"/>
      <c r="M168" s="1547" t="str">
        <f aca="false">IF($E168=M$3,M$2,"")</f>
        <v> en Invernadero</v>
      </c>
      <c r="N168" s="1547" t="str">
        <f aca="false">IF($E168=N$3,N$2,"")</f>
        <v/>
      </c>
      <c r="O168" s="1547" t="str">
        <f aca="false">IF($E168=O$3,O$2,"")</f>
        <v/>
      </c>
      <c r="P168" s="1528" t="str">
        <f aca="false">CONCATENATE(D168,M168,N168,O168)</f>
        <v>ACHICORIA en Invernadero en Invernadero</v>
      </c>
    </row>
    <row r="169" customFormat="false" ht="14.25" hidden="false" customHeight="false" outlineLevel="0" collapsed="false">
      <c r="A169" s="1528"/>
      <c r="B169" s="1528" t="n">
        <v>4</v>
      </c>
      <c r="C169" s="1528" t="n">
        <v>181</v>
      </c>
      <c r="D169" s="1528" t="s">
        <v>1192</v>
      </c>
      <c r="E169" s="1528" t="n">
        <v>19</v>
      </c>
      <c r="F169" s="1528" t="n">
        <v>0</v>
      </c>
      <c r="G169" s="1528" t="n">
        <v>36060.73</v>
      </c>
      <c r="H169" s="1528" t="n">
        <v>0</v>
      </c>
      <c r="I169" s="1528" t="n">
        <v>80000</v>
      </c>
      <c r="J169" s="1528" t="n">
        <v>0</v>
      </c>
      <c r="K169" s="1528" t="n">
        <v>1.51294</v>
      </c>
      <c r="L169" s="1528"/>
      <c r="M169" s="1547" t="str">
        <f aca="false">IF($E169=M$3,M$2,"")</f>
        <v/>
      </c>
      <c r="N169" s="1547" t="str">
        <f aca="false">IF($E169=N$3,N$2,"")</f>
        <v> en invernadero enarenado</v>
      </c>
      <c r="O169" s="1547" t="str">
        <f aca="false">IF($E169=O$3,O$2,"")</f>
        <v/>
      </c>
      <c r="P169" s="1528" t="str">
        <f aca="false">CONCATENATE(D169,M169,N169,O169)</f>
        <v>ACHICORIA en invernadero enarenado en invernadero enarenado</v>
      </c>
    </row>
    <row r="170" customFormat="false" ht="14.25" hidden="false" customHeight="false" outlineLevel="0" collapsed="false">
      <c r="A170" s="1528"/>
      <c r="B170" s="1528" t="n">
        <v>4</v>
      </c>
      <c r="C170" s="1528" t="n">
        <v>182</v>
      </c>
      <c r="D170" s="1528" t="s">
        <v>1194</v>
      </c>
      <c r="E170" s="1528" t="n">
        <v>0</v>
      </c>
      <c r="F170" s="1528" t="n">
        <v>360.61</v>
      </c>
      <c r="G170" s="1528" t="n">
        <v>1352.28</v>
      </c>
      <c r="H170" s="1528" t="n">
        <v>575</v>
      </c>
      <c r="I170" s="1528" t="n">
        <v>5200</v>
      </c>
      <c r="J170" s="1528" t="n">
        <v>0.01513</v>
      </c>
      <c r="K170" s="1528" t="n">
        <v>0.05674</v>
      </c>
      <c r="L170" s="1528"/>
      <c r="M170" s="1547" t="str">
        <f aca="false">IF($E170=M$3,M$2,"")</f>
        <v/>
      </c>
      <c r="N170" s="1547" t="str">
        <f aca="false">IF($E170=N$3,N$2,"")</f>
        <v/>
      </c>
      <c r="O170" s="1547" t="str">
        <f aca="false">IF($E170=O$3,O$2,"")</f>
        <v/>
      </c>
      <c r="P170" s="1528" t="str">
        <f aca="false">CONCATENATE(D170,M170,N170,O170)</f>
        <v>GUINDILLA</v>
      </c>
    </row>
    <row r="171" customFormat="false" ht="14.25" hidden="false" customHeight="false" outlineLevel="0" collapsed="false">
      <c r="A171" s="1528"/>
      <c r="B171" s="1528" t="n">
        <v>4</v>
      </c>
      <c r="C171" s="1528" t="n">
        <v>182</v>
      </c>
      <c r="D171" s="1528" t="s">
        <v>1195</v>
      </c>
      <c r="E171" s="1528" t="n">
        <v>4</v>
      </c>
      <c r="F171" s="1528" t="n">
        <v>0</v>
      </c>
      <c r="G171" s="1528" t="n">
        <v>36060.73</v>
      </c>
      <c r="H171" s="1528" t="n">
        <v>0</v>
      </c>
      <c r="I171" s="1528" t="n">
        <v>80000</v>
      </c>
      <c r="J171" s="1528" t="n">
        <v>0</v>
      </c>
      <c r="K171" s="1528" t="n">
        <v>1.51294</v>
      </c>
      <c r="L171" s="1528"/>
      <c r="M171" s="1547" t="str">
        <f aca="false">IF($E171=M$3,M$2,"")</f>
        <v> en Invernadero</v>
      </c>
      <c r="N171" s="1547" t="str">
        <f aca="false">IF($E171=N$3,N$2,"")</f>
        <v/>
      </c>
      <c r="O171" s="1547" t="str">
        <f aca="false">IF($E171=O$3,O$2,"")</f>
        <v/>
      </c>
      <c r="P171" s="1528" t="str">
        <f aca="false">CONCATENATE(D171,M171,N171,O171)</f>
        <v>GUINDILLA en Invernadero en Invernadero</v>
      </c>
    </row>
    <row r="172" customFormat="false" ht="14.25" hidden="false" customHeight="false" outlineLevel="0" collapsed="false">
      <c r="A172" s="1528"/>
      <c r="B172" s="1528" t="n">
        <v>4</v>
      </c>
      <c r="C172" s="1528" t="n">
        <v>182</v>
      </c>
      <c r="D172" s="1528" t="s">
        <v>1196</v>
      </c>
      <c r="E172" s="1528" t="n">
        <v>19</v>
      </c>
      <c r="F172" s="1528" t="n">
        <v>0</v>
      </c>
      <c r="G172" s="1528" t="n">
        <v>36060.73</v>
      </c>
      <c r="H172" s="1528" t="n">
        <v>0</v>
      </c>
      <c r="I172" s="1528" t="n">
        <v>80000</v>
      </c>
      <c r="J172" s="1528" t="n">
        <v>0</v>
      </c>
      <c r="K172" s="1528" t="n">
        <v>1.51294</v>
      </c>
      <c r="L172" s="1528"/>
      <c r="M172" s="1547" t="str">
        <f aca="false">IF($E172=M$3,M$2,"")</f>
        <v/>
      </c>
      <c r="N172" s="1547" t="str">
        <f aca="false">IF($E172=N$3,N$2,"")</f>
        <v> en invernadero enarenado</v>
      </c>
      <c r="O172" s="1547" t="str">
        <f aca="false">IF($E172=O$3,O$2,"")</f>
        <v/>
      </c>
      <c r="P172" s="1528" t="str">
        <f aca="false">CONCATENATE(D172,M172,N172,O172)</f>
        <v>GUINDILLA en invernadero enarenado en invernadero enarenado</v>
      </c>
    </row>
    <row r="173" customFormat="false" ht="14.25" hidden="false" customHeight="false" outlineLevel="0" collapsed="false">
      <c r="A173" s="1528"/>
      <c r="B173" s="1528" t="n">
        <v>4</v>
      </c>
      <c r="C173" s="1528" t="n">
        <v>183</v>
      </c>
      <c r="D173" s="1528" t="s">
        <v>1199</v>
      </c>
      <c r="E173" s="1528" t="n">
        <v>4</v>
      </c>
      <c r="F173" s="1528" t="n">
        <v>0</v>
      </c>
      <c r="G173" s="1528" t="n">
        <v>36060.73</v>
      </c>
      <c r="H173" s="1528" t="n">
        <v>0</v>
      </c>
      <c r="I173" s="1528" t="n">
        <v>80000</v>
      </c>
      <c r="J173" s="1528" t="n">
        <v>0</v>
      </c>
      <c r="K173" s="1528" t="n">
        <v>1.51294</v>
      </c>
      <c r="L173" s="1528"/>
      <c r="M173" s="1547" t="str">
        <f aca="false">IF($E173=M$3,M$2,"")</f>
        <v> en Invernadero</v>
      </c>
      <c r="N173" s="1547" t="str">
        <f aca="false">IF($E173=N$3,N$2,"")</f>
        <v/>
      </c>
      <c r="O173" s="1547" t="str">
        <f aca="false">IF($E173=O$3,O$2,"")</f>
        <v/>
      </c>
      <c r="P173" s="1528" t="str">
        <f aca="false">CONCATENATE(D173,M173,N173,O173)</f>
        <v>ESPINACA en Invernadero en Invernadero</v>
      </c>
    </row>
    <row r="174" customFormat="false" ht="14.25" hidden="false" customHeight="false" outlineLevel="0" collapsed="false">
      <c r="A174" s="1528"/>
      <c r="B174" s="1528" t="n">
        <v>4</v>
      </c>
      <c r="C174" s="1528" t="n">
        <v>183</v>
      </c>
      <c r="D174" s="1528" t="s">
        <v>1200</v>
      </c>
      <c r="E174" s="1528" t="n">
        <v>19</v>
      </c>
      <c r="F174" s="1528" t="n">
        <v>0</v>
      </c>
      <c r="G174" s="1528" t="n">
        <v>36060.73</v>
      </c>
      <c r="H174" s="1528" t="n">
        <v>0</v>
      </c>
      <c r="I174" s="1528" t="n">
        <v>80000</v>
      </c>
      <c r="J174" s="1528" t="n">
        <v>0</v>
      </c>
      <c r="K174" s="1528" t="n">
        <v>1.51294</v>
      </c>
      <c r="L174" s="1528"/>
      <c r="M174" s="1547" t="str">
        <f aca="false">IF($E174=M$3,M$2,"")</f>
        <v/>
      </c>
      <c r="N174" s="1547" t="str">
        <f aca="false">IF($E174=N$3,N$2,"")</f>
        <v> en invernadero enarenado</v>
      </c>
      <c r="O174" s="1547" t="str">
        <f aca="false">IF($E174=O$3,O$2,"")</f>
        <v/>
      </c>
      <c r="P174" s="1528" t="str">
        <f aca="false">CONCATENATE(D174,M174,N174,O174)</f>
        <v>ESPINACA en invernadero enarenado en invernadero enarenado</v>
      </c>
    </row>
    <row r="175" customFormat="false" ht="14.25" hidden="false" customHeight="false" outlineLevel="0" collapsed="false">
      <c r="A175" s="1528"/>
      <c r="B175" s="1528" t="n">
        <v>4</v>
      </c>
      <c r="C175" s="1528" t="n">
        <v>183</v>
      </c>
      <c r="D175" s="1528" t="s">
        <v>1198</v>
      </c>
      <c r="E175" s="1528" t="n">
        <v>0</v>
      </c>
      <c r="F175" s="1528" t="n">
        <v>360.61</v>
      </c>
      <c r="G175" s="1528" t="n">
        <v>1352.28</v>
      </c>
      <c r="H175" s="1528" t="n">
        <v>575</v>
      </c>
      <c r="I175" s="1528" t="n">
        <v>8500</v>
      </c>
      <c r="J175" s="1528" t="n">
        <v>0.01513</v>
      </c>
      <c r="K175" s="1528" t="n">
        <v>0.05674</v>
      </c>
      <c r="L175" s="1528"/>
      <c r="M175" s="1547" t="str">
        <f aca="false">IF($E175=M$3,M$2,"")</f>
        <v/>
      </c>
      <c r="N175" s="1547" t="str">
        <f aca="false">IF($E175=N$3,N$2,"")</f>
        <v/>
      </c>
      <c r="O175" s="1547" t="str">
        <f aca="false">IF($E175=O$3,O$2,"")</f>
        <v/>
      </c>
      <c r="P175" s="1528" t="str">
        <f aca="false">CONCATENATE(D175,M175,N175,O175)</f>
        <v>ESPINACA</v>
      </c>
    </row>
    <row r="176" customFormat="false" ht="14.25" hidden="false" customHeight="false" outlineLevel="0" collapsed="false">
      <c r="A176" s="1528"/>
      <c r="B176" s="1528" t="n">
        <v>4</v>
      </c>
      <c r="C176" s="1528" t="n">
        <v>184</v>
      </c>
      <c r="D176" s="1528" t="s">
        <v>1202</v>
      </c>
      <c r="E176" s="1528" t="n">
        <v>0</v>
      </c>
      <c r="F176" s="1528" t="n">
        <v>360.61</v>
      </c>
      <c r="G176" s="1528" t="n">
        <v>1352.28</v>
      </c>
      <c r="H176" s="1528" t="n">
        <v>575</v>
      </c>
      <c r="I176" s="1528" t="n">
        <v>5200</v>
      </c>
      <c r="J176" s="1528" t="n">
        <v>0.01513</v>
      </c>
      <c r="K176" s="1528" t="n">
        <v>0.05674</v>
      </c>
      <c r="L176" s="1528"/>
      <c r="M176" s="1547" t="str">
        <f aca="false">IF($E176=M$3,M$2,"")</f>
        <v/>
      </c>
      <c r="N176" s="1547" t="str">
        <f aca="false">IF($E176=N$3,N$2,"")</f>
        <v/>
      </c>
      <c r="O176" s="1547" t="str">
        <f aca="false">IF($E176=O$3,O$2,"")</f>
        <v/>
      </c>
      <c r="P176" s="1528" t="str">
        <f aca="false">CONCATENATE(D176,M176,N176,O176)</f>
        <v>CARDO</v>
      </c>
    </row>
    <row r="177" customFormat="false" ht="14.25" hidden="false" customHeight="false" outlineLevel="0" collapsed="false">
      <c r="A177" s="1528"/>
      <c r="B177" s="1528" t="n">
        <v>4</v>
      </c>
      <c r="C177" s="1528" t="n">
        <v>184</v>
      </c>
      <c r="D177" s="1528" t="s">
        <v>1203</v>
      </c>
      <c r="E177" s="1528" t="n">
        <v>4</v>
      </c>
      <c r="F177" s="1528" t="n">
        <v>0</v>
      </c>
      <c r="G177" s="1528" t="n">
        <v>36060.73</v>
      </c>
      <c r="H177" s="1528" t="n">
        <v>0</v>
      </c>
      <c r="I177" s="1528" t="n">
        <v>80000</v>
      </c>
      <c r="J177" s="1528" t="n">
        <v>0</v>
      </c>
      <c r="K177" s="1528" t="n">
        <v>1.51294</v>
      </c>
      <c r="L177" s="1528"/>
      <c r="M177" s="1547" t="str">
        <f aca="false">IF($E177=M$3,M$2,"")</f>
        <v> en Invernadero</v>
      </c>
      <c r="N177" s="1547" t="str">
        <f aca="false">IF($E177=N$3,N$2,"")</f>
        <v/>
      </c>
      <c r="O177" s="1547" t="str">
        <f aca="false">IF($E177=O$3,O$2,"")</f>
        <v/>
      </c>
      <c r="P177" s="1528" t="str">
        <f aca="false">CONCATENATE(D177,M177,N177,O177)</f>
        <v>CARDO en Invernadero en Invernadero</v>
      </c>
    </row>
    <row r="178" customFormat="false" ht="14.25" hidden="false" customHeight="false" outlineLevel="0" collapsed="false">
      <c r="A178" s="1528"/>
      <c r="B178" s="1528" t="n">
        <v>4</v>
      </c>
      <c r="C178" s="1528" t="n">
        <v>184</v>
      </c>
      <c r="D178" s="1528" t="s">
        <v>1204</v>
      </c>
      <c r="E178" s="1528" t="n">
        <v>19</v>
      </c>
      <c r="F178" s="1528" t="n">
        <v>0</v>
      </c>
      <c r="G178" s="1528" t="n">
        <v>36060.73</v>
      </c>
      <c r="H178" s="1528" t="n">
        <v>0</v>
      </c>
      <c r="I178" s="1528" t="n">
        <v>80000</v>
      </c>
      <c r="J178" s="1528" t="n">
        <v>0</v>
      </c>
      <c r="K178" s="1528" t="n">
        <v>1.51294</v>
      </c>
      <c r="L178" s="1528"/>
      <c r="M178" s="1547" t="str">
        <f aca="false">IF($E178=M$3,M$2,"")</f>
        <v/>
      </c>
      <c r="N178" s="1547" t="str">
        <f aca="false">IF($E178=N$3,N$2,"")</f>
        <v> en invernadero enarenado</v>
      </c>
      <c r="O178" s="1547" t="str">
        <f aca="false">IF($E178=O$3,O$2,"")</f>
        <v/>
      </c>
      <c r="P178" s="1528" t="str">
        <f aca="false">CONCATENATE(D178,M178,N178,O178)</f>
        <v>CARDO en invernadero enarenado en invernadero enarenado</v>
      </c>
    </row>
    <row r="179" customFormat="false" ht="14.25" hidden="false" customHeight="false" outlineLevel="0" collapsed="false">
      <c r="A179" s="1528"/>
      <c r="B179" s="1528" t="n">
        <v>4</v>
      </c>
      <c r="C179" s="1528" t="n">
        <v>185</v>
      </c>
      <c r="D179" s="1528" t="s">
        <v>1206</v>
      </c>
      <c r="E179" s="1528" t="n">
        <v>0</v>
      </c>
      <c r="F179" s="1528" t="n">
        <v>360.61</v>
      </c>
      <c r="G179" s="1528" t="n">
        <v>1352.28</v>
      </c>
      <c r="H179" s="1528" t="n">
        <v>575</v>
      </c>
      <c r="I179" s="1528" t="n">
        <v>5200</v>
      </c>
      <c r="J179" s="1528" t="n">
        <v>0.01513</v>
      </c>
      <c r="K179" s="1528" t="n">
        <v>0.05674</v>
      </c>
      <c r="L179" s="1528"/>
      <c r="M179" s="1547" t="str">
        <f aca="false">IF($E179=M$3,M$2,"")</f>
        <v/>
      </c>
      <c r="N179" s="1547" t="str">
        <f aca="false">IF($E179=N$3,N$2,"")</f>
        <v/>
      </c>
      <c r="O179" s="1547" t="str">
        <f aca="false">IF($E179=O$3,O$2,"")</f>
        <v/>
      </c>
      <c r="P179" s="1528" t="str">
        <f aca="false">CONCATENATE(D179,M179,N179,O179)</f>
        <v>CALABAZA</v>
      </c>
    </row>
    <row r="180" customFormat="false" ht="14.25" hidden="false" customHeight="false" outlineLevel="0" collapsed="false">
      <c r="A180" s="1528"/>
      <c r="B180" s="1528" t="n">
        <v>4</v>
      </c>
      <c r="C180" s="1528" t="n">
        <v>185</v>
      </c>
      <c r="D180" s="1528" t="s">
        <v>1207</v>
      </c>
      <c r="E180" s="1528" t="n">
        <v>4</v>
      </c>
      <c r="F180" s="1528" t="n">
        <v>0</v>
      </c>
      <c r="G180" s="1528" t="n">
        <v>36060.73</v>
      </c>
      <c r="H180" s="1528" t="n">
        <v>0</v>
      </c>
      <c r="I180" s="1528" t="n">
        <v>80000</v>
      </c>
      <c r="J180" s="1528" t="n">
        <v>0</v>
      </c>
      <c r="K180" s="1528" t="n">
        <v>1.51294</v>
      </c>
      <c r="L180" s="1528"/>
      <c r="M180" s="1547" t="str">
        <f aca="false">IF($E180=M$3,M$2,"")</f>
        <v> en Invernadero</v>
      </c>
      <c r="N180" s="1547" t="str">
        <f aca="false">IF($E180=N$3,N$2,"")</f>
        <v/>
      </c>
      <c r="O180" s="1547" t="str">
        <f aca="false">IF($E180=O$3,O$2,"")</f>
        <v/>
      </c>
      <c r="P180" s="1528" t="str">
        <f aca="false">CONCATENATE(D180,M180,N180,O180)</f>
        <v>CALABAZA en Invernadero en Invernadero</v>
      </c>
    </row>
    <row r="181" customFormat="false" ht="14.25" hidden="false" customHeight="false" outlineLevel="0" collapsed="false">
      <c r="A181" s="1528"/>
      <c r="B181" s="1528" t="n">
        <v>4</v>
      </c>
      <c r="C181" s="1528" t="n">
        <v>185</v>
      </c>
      <c r="D181" s="1528" t="s">
        <v>1208</v>
      </c>
      <c r="E181" s="1528" t="n">
        <v>19</v>
      </c>
      <c r="F181" s="1528" t="n">
        <v>0</v>
      </c>
      <c r="G181" s="1528" t="n">
        <v>36060.73</v>
      </c>
      <c r="H181" s="1528" t="n">
        <v>0</v>
      </c>
      <c r="I181" s="1528" t="n">
        <v>80000</v>
      </c>
      <c r="J181" s="1528" t="n">
        <v>0</v>
      </c>
      <c r="K181" s="1528" t="n">
        <v>1.51294</v>
      </c>
      <c r="L181" s="1528"/>
      <c r="M181" s="1547" t="str">
        <f aca="false">IF($E181=M$3,M$2,"")</f>
        <v/>
      </c>
      <c r="N181" s="1547" t="str">
        <f aca="false">IF($E181=N$3,N$2,"")</f>
        <v> en invernadero enarenado</v>
      </c>
      <c r="O181" s="1547" t="str">
        <f aca="false">IF($E181=O$3,O$2,"")</f>
        <v/>
      </c>
      <c r="P181" s="1528" t="str">
        <f aca="false">CONCATENATE(D181,M181,N181,O181)</f>
        <v>CALABAZA en invernadero enarenado en invernadero enarenado</v>
      </c>
    </row>
    <row r="182" customFormat="false" ht="14.25" hidden="false" customHeight="false" outlineLevel="0" collapsed="false">
      <c r="A182" s="1528"/>
      <c r="B182" s="1528" t="n">
        <v>4</v>
      </c>
      <c r="C182" s="1528" t="n">
        <v>186</v>
      </c>
      <c r="D182" s="1528" t="s">
        <v>1210</v>
      </c>
      <c r="E182" s="1528" t="n">
        <v>0</v>
      </c>
      <c r="F182" s="1528" t="n">
        <v>360.61</v>
      </c>
      <c r="G182" s="1528" t="n">
        <v>1352.28</v>
      </c>
      <c r="H182" s="1528" t="n">
        <v>575</v>
      </c>
      <c r="I182" s="1528" t="n">
        <v>5200</v>
      </c>
      <c r="J182" s="1528" t="n">
        <v>0.01513</v>
      </c>
      <c r="K182" s="1528" t="n">
        <v>0.05674</v>
      </c>
      <c r="L182" s="1528"/>
      <c r="M182" s="1547" t="str">
        <f aca="false">IF($E182=M$3,M$2,"")</f>
        <v/>
      </c>
      <c r="N182" s="1547" t="str">
        <f aca="false">IF($E182=N$3,N$2,"")</f>
        <v/>
      </c>
      <c r="O182" s="1547" t="str">
        <f aca="false">IF($E182=O$3,O$2,"")</f>
        <v/>
      </c>
      <c r="P182" s="1528" t="str">
        <f aca="false">CONCATENATE(D182,M182,N182,O182)</f>
        <v>CALABAZA DEL PEREGRINO</v>
      </c>
    </row>
    <row r="183" customFormat="false" ht="14.25" hidden="false" customHeight="false" outlineLevel="0" collapsed="false">
      <c r="A183" s="1528"/>
      <c r="B183" s="1528" t="n">
        <v>4</v>
      </c>
      <c r="C183" s="1528" t="n">
        <v>186</v>
      </c>
      <c r="D183" s="1528" t="s">
        <v>1211</v>
      </c>
      <c r="E183" s="1528" t="n">
        <v>4</v>
      </c>
      <c r="F183" s="1528" t="n">
        <v>0</v>
      </c>
      <c r="G183" s="1528" t="n">
        <v>36060.73</v>
      </c>
      <c r="H183" s="1528" t="n">
        <v>0</v>
      </c>
      <c r="I183" s="1528" t="n">
        <v>80000</v>
      </c>
      <c r="J183" s="1528" t="n">
        <v>0</v>
      </c>
      <c r="K183" s="1528" t="n">
        <v>1.51294</v>
      </c>
      <c r="L183" s="1528"/>
      <c r="M183" s="1547" t="str">
        <f aca="false">IF($E183=M$3,M$2,"")</f>
        <v> en Invernadero</v>
      </c>
      <c r="N183" s="1547" t="str">
        <f aca="false">IF($E183=N$3,N$2,"")</f>
        <v/>
      </c>
      <c r="O183" s="1547" t="str">
        <f aca="false">IF($E183=O$3,O$2,"")</f>
        <v/>
      </c>
      <c r="P183" s="1528" t="str">
        <f aca="false">CONCATENATE(D183,M183,N183,O183)</f>
        <v>CALABAZA DEL PEREGRINO en Invernadero en Invernadero</v>
      </c>
    </row>
    <row r="184" customFormat="false" ht="14.25" hidden="false" customHeight="false" outlineLevel="0" collapsed="false">
      <c r="A184" s="1528"/>
      <c r="B184" s="1528" t="n">
        <v>4</v>
      </c>
      <c r="C184" s="1528" t="n">
        <v>186</v>
      </c>
      <c r="D184" s="1528" t="s">
        <v>1212</v>
      </c>
      <c r="E184" s="1528" t="n">
        <v>19</v>
      </c>
      <c r="F184" s="1528" t="n">
        <v>0</v>
      </c>
      <c r="G184" s="1528" t="n">
        <v>36060.73</v>
      </c>
      <c r="H184" s="1528" t="n">
        <v>0</v>
      </c>
      <c r="I184" s="1528" t="n">
        <v>80000</v>
      </c>
      <c r="J184" s="1528" t="n">
        <v>0</v>
      </c>
      <c r="K184" s="1528" t="n">
        <v>1.51294</v>
      </c>
      <c r="L184" s="1528"/>
      <c r="M184" s="1547" t="str">
        <f aca="false">IF($E184=M$3,M$2,"")</f>
        <v/>
      </c>
      <c r="N184" s="1547" t="str">
        <f aca="false">IF($E184=N$3,N$2,"")</f>
        <v> en invernadero enarenado</v>
      </c>
      <c r="O184" s="1547" t="str">
        <f aca="false">IF($E184=O$3,O$2,"")</f>
        <v/>
      </c>
      <c r="P184" s="1528" t="str">
        <f aca="false">CONCATENATE(D184,M184,N184,O184)</f>
        <v>CALABAZA DEL PEREGRINO en invernadero enarenado en invernadero enarenado</v>
      </c>
    </row>
    <row r="185" customFormat="false" ht="14.25" hidden="false" customHeight="false" outlineLevel="0" collapsed="false">
      <c r="A185" s="1528"/>
      <c r="B185" s="1528" t="n">
        <v>4</v>
      </c>
      <c r="C185" s="1528" t="n">
        <v>187</v>
      </c>
      <c r="D185" s="1528" t="s">
        <v>1214</v>
      </c>
      <c r="E185" s="1528" t="n">
        <v>0</v>
      </c>
      <c r="F185" s="1528" t="n">
        <v>360.61</v>
      </c>
      <c r="G185" s="1528" t="n">
        <v>1352.28</v>
      </c>
      <c r="H185" s="1528" t="n">
        <v>575</v>
      </c>
      <c r="I185" s="1528" t="n">
        <v>8200</v>
      </c>
      <c r="J185" s="1528" t="n">
        <v>0.01513</v>
      </c>
      <c r="K185" s="1528" t="n">
        <v>0.05674</v>
      </c>
      <c r="L185" s="1528"/>
      <c r="M185" s="1547" t="str">
        <f aca="false">IF($E185=M$3,M$2,"")</f>
        <v/>
      </c>
      <c r="N185" s="1547" t="str">
        <f aca="false">IF($E185=N$3,N$2,"")</f>
        <v/>
      </c>
      <c r="O185" s="1547" t="str">
        <f aca="false">IF($E185=O$3,O$2,"")</f>
        <v/>
      </c>
      <c r="P185" s="1528" t="str">
        <f aca="false">CONCATENATE(D185,M185,N185,O185)</f>
        <v>BORRAJA</v>
      </c>
    </row>
    <row r="186" customFormat="false" ht="14.25" hidden="false" customHeight="false" outlineLevel="0" collapsed="false">
      <c r="A186" s="1528"/>
      <c r="B186" s="1528" t="n">
        <v>4</v>
      </c>
      <c r="C186" s="1528" t="n">
        <v>187</v>
      </c>
      <c r="D186" s="1528" t="s">
        <v>1215</v>
      </c>
      <c r="E186" s="1528" t="n">
        <v>4</v>
      </c>
      <c r="F186" s="1528" t="n">
        <v>0</v>
      </c>
      <c r="G186" s="1528" t="n">
        <v>36060.73</v>
      </c>
      <c r="H186" s="1528" t="n">
        <v>0</v>
      </c>
      <c r="I186" s="1528" t="n">
        <v>80000</v>
      </c>
      <c r="J186" s="1528" t="n">
        <v>0</v>
      </c>
      <c r="K186" s="1528" t="n">
        <v>1.51294</v>
      </c>
      <c r="L186" s="1528"/>
      <c r="M186" s="1547" t="str">
        <f aca="false">IF($E186=M$3,M$2,"")</f>
        <v> en Invernadero</v>
      </c>
      <c r="N186" s="1547" t="str">
        <f aca="false">IF($E186=N$3,N$2,"")</f>
        <v/>
      </c>
      <c r="O186" s="1547" t="str">
        <f aca="false">IF($E186=O$3,O$2,"")</f>
        <v/>
      </c>
      <c r="P186" s="1528" t="str">
        <f aca="false">CONCATENATE(D186,M186,N186,O186)</f>
        <v>BORRAJA en Invernadero en Invernadero</v>
      </c>
    </row>
    <row r="187" customFormat="false" ht="14.25" hidden="false" customHeight="false" outlineLevel="0" collapsed="false">
      <c r="A187" s="1528"/>
      <c r="B187" s="1528" t="n">
        <v>4</v>
      </c>
      <c r="C187" s="1528" t="n">
        <v>187</v>
      </c>
      <c r="D187" s="1528" t="s">
        <v>1216</v>
      </c>
      <c r="E187" s="1528" t="n">
        <v>19</v>
      </c>
      <c r="F187" s="1528" t="n">
        <v>0</v>
      </c>
      <c r="G187" s="1528" t="n">
        <v>36060.73</v>
      </c>
      <c r="H187" s="1528" t="n">
        <v>0</v>
      </c>
      <c r="I187" s="1528" t="n">
        <v>80000</v>
      </c>
      <c r="J187" s="1528" t="n">
        <v>0</v>
      </c>
      <c r="K187" s="1528" t="n">
        <v>1.51294</v>
      </c>
      <c r="L187" s="1528"/>
      <c r="M187" s="1547" t="str">
        <f aca="false">IF($E187=M$3,M$2,"")</f>
        <v/>
      </c>
      <c r="N187" s="1547" t="str">
        <f aca="false">IF($E187=N$3,N$2,"")</f>
        <v> en invernadero enarenado</v>
      </c>
      <c r="O187" s="1547" t="str">
        <f aca="false">IF($E187=O$3,O$2,"")</f>
        <v/>
      </c>
      <c r="P187" s="1528" t="str">
        <f aca="false">CONCATENATE(D187,M187,N187,O187)</f>
        <v>BORRAJA en invernadero enarenado en invernadero enarenado</v>
      </c>
    </row>
    <row r="188" customFormat="false" ht="14.25" hidden="false" customHeight="false" outlineLevel="0" collapsed="false">
      <c r="A188" s="1528"/>
      <c r="B188" s="1528" t="n">
        <v>4</v>
      </c>
      <c r="C188" s="1528" t="n">
        <v>189</v>
      </c>
      <c r="D188" s="1528" t="s">
        <v>1218</v>
      </c>
      <c r="E188" s="1528" t="n">
        <v>0</v>
      </c>
      <c r="F188" s="1528" t="n">
        <v>360.61</v>
      </c>
      <c r="G188" s="1528" t="n">
        <v>1352.28</v>
      </c>
      <c r="H188" s="1528" t="n">
        <v>575</v>
      </c>
      <c r="I188" s="1528" t="n">
        <v>7200</v>
      </c>
      <c r="J188" s="1528" t="n">
        <v>0.01513</v>
      </c>
      <c r="K188" s="1528" t="n">
        <v>0.05674</v>
      </c>
      <c r="L188" s="1528"/>
      <c r="M188" s="1547" t="str">
        <f aca="false">IF($E188=M$3,M$2,"")</f>
        <v/>
      </c>
      <c r="N188" s="1547" t="str">
        <f aca="false">IF($E188=N$3,N$2,"")</f>
        <v/>
      </c>
      <c r="O188" s="1547" t="str">
        <f aca="false">IF($E188=O$3,O$2,"")</f>
        <v/>
      </c>
      <c r="P188" s="1528" t="str">
        <f aca="false">CONCATENATE(D188,M188,N188,O188)</f>
        <v>ESCAROLA</v>
      </c>
    </row>
    <row r="189" customFormat="false" ht="14.25" hidden="false" customHeight="false" outlineLevel="0" collapsed="false">
      <c r="A189" s="1528"/>
      <c r="B189" s="1528" t="n">
        <v>4</v>
      </c>
      <c r="C189" s="1528" t="n">
        <v>189</v>
      </c>
      <c r="D189" s="1528" t="s">
        <v>1219</v>
      </c>
      <c r="E189" s="1528" t="n">
        <v>4</v>
      </c>
      <c r="F189" s="1528" t="n">
        <v>0</v>
      </c>
      <c r="G189" s="1528" t="n">
        <v>36060.73</v>
      </c>
      <c r="H189" s="1528" t="n">
        <v>0</v>
      </c>
      <c r="I189" s="1528" t="n">
        <v>80000</v>
      </c>
      <c r="J189" s="1528" t="n">
        <v>0</v>
      </c>
      <c r="K189" s="1528" t="n">
        <v>1.51294</v>
      </c>
      <c r="L189" s="1528"/>
      <c r="M189" s="1547" t="str">
        <f aca="false">IF($E189=M$3,M$2,"")</f>
        <v> en Invernadero</v>
      </c>
      <c r="N189" s="1547" t="str">
        <f aca="false">IF($E189=N$3,N$2,"")</f>
        <v/>
      </c>
      <c r="O189" s="1547" t="str">
        <f aca="false">IF($E189=O$3,O$2,"")</f>
        <v/>
      </c>
      <c r="P189" s="1528" t="str">
        <f aca="false">CONCATENATE(D189,M189,N189,O189)</f>
        <v>ESCAROLA en Invernadero en Invernadero</v>
      </c>
    </row>
    <row r="190" customFormat="false" ht="14.25" hidden="false" customHeight="false" outlineLevel="0" collapsed="false">
      <c r="A190" s="1528"/>
      <c r="B190" s="1528" t="n">
        <v>4</v>
      </c>
      <c r="C190" s="1528" t="n">
        <v>189</v>
      </c>
      <c r="D190" s="1528" t="s">
        <v>1220</v>
      </c>
      <c r="E190" s="1528" t="n">
        <v>19</v>
      </c>
      <c r="F190" s="1528" t="n">
        <v>0</v>
      </c>
      <c r="G190" s="1528" t="n">
        <v>36060.73</v>
      </c>
      <c r="H190" s="1528" t="n">
        <v>0</v>
      </c>
      <c r="I190" s="1528" t="n">
        <v>80000</v>
      </c>
      <c r="J190" s="1528" t="n">
        <v>0</v>
      </c>
      <c r="K190" s="1528" t="n">
        <v>1.51294</v>
      </c>
      <c r="L190" s="1528"/>
      <c r="M190" s="1547" t="str">
        <f aca="false">IF($E190=M$3,M$2,"")</f>
        <v/>
      </c>
      <c r="N190" s="1547" t="str">
        <f aca="false">IF($E190=N$3,N$2,"")</f>
        <v> en invernadero enarenado</v>
      </c>
      <c r="O190" s="1547" t="str">
        <f aca="false">IF($E190=O$3,O$2,"")</f>
        <v/>
      </c>
      <c r="P190" s="1528" t="str">
        <f aca="false">CONCATENATE(D190,M190,N190,O190)</f>
        <v>ESCAROLA en invernadero enarenado en invernadero enarenado</v>
      </c>
    </row>
    <row r="191" customFormat="false" ht="14.25" hidden="false" customHeight="false" outlineLevel="0" collapsed="false">
      <c r="A191" s="1528"/>
      <c r="B191" s="1528" t="n">
        <v>4</v>
      </c>
      <c r="C191" s="1528" t="n">
        <v>190</v>
      </c>
      <c r="D191" s="1528" t="s">
        <v>1222</v>
      </c>
      <c r="E191" s="1528" t="n">
        <v>0</v>
      </c>
      <c r="F191" s="1528" t="n">
        <v>360.61</v>
      </c>
      <c r="G191" s="1528" t="n">
        <v>1352.28</v>
      </c>
      <c r="H191" s="1528" t="n">
        <v>575</v>
      </c>
      <c r="I191" s="1528" t="n">
        <v>5200</v>
      </c>
      <c r="J191" s="1528" t="n">
        <v>0.01513</v>
      </c>
      <c r="K191" s="1528" t="n">
        <v>0.05674</v>
      </c>
      <c r="L191" s="1528"/>
      <c r="M191" s="1547" t="str">
        <f aca="false">IF($E191=M$3,M$2,"")</f>
        <v/>
      </c>
      <c r="N191" s="1547" t="str">
        <f aca="false">IF($E191=N$3,N$2,"")</f>
        <v/>
      </c>
      <c r="O191" s="1547" t="str">
        <f aca="false">IF($E191=O$3,O$2,"")</f>
        <v/>
      </c>
      <c r="P191" s="1528" t="str">
        <f aca="false">CONCATENATE(D191,M191,N191,O191)</f>
        <v>RÁBANO</v>
      </c>
    </row>
    <row r="192" customFormat="false" ht="14.25" hidden="false" customHeight="false" outlineLevel="0" collapsed="false">
      <c r="A192" s="1528"/>
      <c r="B192" s="1528" t="n">
        <v>4</v>
      </c>
      <c r="C192" s="1528" t="n">
        <v>190</v>
      </c>
      <c r="D192" s="1528" t="s">
        <v>1223</v>
      </c>
      <c r="E192" s="1528" t="n">
        <v>4</v>
      </c>
      <c r="F192" s="1528" t="n">
        <v>0</v>
      </c>
      <c r="G192" s="1528" t="n">
        <v>36060.73</v>
      </c>
      <c r="H192" s="1528" t="n">
        <v>0</v>
      </c>
      <c r="I192" s="1528" t="n">
        <v>80000</v>
      </c>
      <c r="J192" s="1528" t="n">
        <v>0</v>
      </c>
      <c r="K192" s="1528" t="n">
        <v>1.51294</v>
      </c>
      <c r="L192" s="1528"/>
      <c r="M192" s="1547" t="str">
        <f aca="false">IF($E192=M$3,M$2,"")</f>
        <v> en Invernadero</v>
      </c>
      <c r="N192" s="1547" t="str">
        <f aca="false">IF($E192=N$3,N$2,"")</f>
        <v/>
      </c>
      <c r="O192" s="1547" t="str">
        <f aca="false">IF($E192=O$3,O$2,"")</f>
        <v/>
      </c>
      <c r="P192" s="1528" t="str">
        <f aca="false">CONCATENATE(D192,M192,N192,O192)</f>
        <v>RÁBANO en Invernadero en Invernadero</v>
      </c>
    </row>
    <row r="193" customFormat="false" ht="14.25" hidden="false" customHeight="false" outlineLevel="0" collapsed="false">
      <c r="A193" s="1528"/>
      <c r="B193" s="1528" t="n">
        <v>4</v>
      </c>
      <c r="C193" s="1528" t="n">
        <v>190</v>
      </c>
      <c r="D193" s="1528" t="s">
        <v>1224</v>
      </c>
      <c r="E193" s="1528" t="n">
        <v>19</v>
      </c>
      <c r="F193" s="1528" t="n">
        <v>0</v>
      </c>
      <c r="G193" s="1528" t="n">
        <v>36060.73</v>
      </c>
      <c r="H193" s="1528" t="n">
        <v>0</v>
      </c>
      <c r="I193" s="1528" t="n">
        <v>80000</v>
      </c>
      <c r="J193" s="1528" t="n">
        <v>0</v>
      </c>
      <c r="K193" s="1528" t="n">
        <v>1.51294</v>
      </c>
      <c r="L193" s="1528"/>
      <c r="M193" s="1547" t="str">
        <f aca="false">IF($E193=M$3,M$2,"")</f>
        <v/>
      </c>
      <c r="N193" s="1547" t="str">
        <f aca="false">IF($E193=N$3,N$2,"")</f>
        <v> en invernadero enarenado</v>
      </c>
      <c r="O193" s="1547" t="str">
        <f aca="false">IF($E193=O$3,O$2,"")</f>
        <v/>
      </c>
      <c r="P193" s="1528" t="str">
        <f aca="false">CONCATENATE(D193,M193,N193,O193)</f>
        <v>RÁBANO en invernadero enarenado en invernadero enarenado</v>
      </c>
    </row>
    <row r="194" customFormat="false" ht="14.25" hidden="false" customHeight="false" outlineLevel="0" collapsed="false">
      <c r="A194" s="1528"/>
      <c r="B194" s="1528" t="n">
        <v>4</v>
      </c>
      <c r="C194" s="1528" t="n">
        <v>191</v>
      </c>
      <c r="D194" s="1528" t="s">
        <v>1226</v>
      </c>
      <c r="E194" s="1528" t="n">
        <v>0</v>
      </c>
      <c r="F194" s="1528" t="n">
        <v>360.61</v>
      </c>
      <c r="G194" s="1528" t="n">
        <v>1352.28</v>
      </c>
      <c r="H194" s="1528" t="n">
        <v>575</v>
      </c>
      <c r="I194" s="1528" t="n">
        <v>5200</v>
      </c>
      <c r="J194" s="1528" t="n">
        <v>0.01513</v>
      </c>
      <c r="K194" s="1528" t="n">
        <v>0.05674</v>
      </c>
      <c r="L194" s="1528"/>
      <c r="M194" s="1547" t="str">
        <f aca="false">IF($E194=M$3,M$2,"")</f>
        <v/>
      </c>
      <c r="N194" s="1547" t="str">
        <f aca="false">IF($E194=N$3,N$2,"")</f>
        <v/>
      </c>
      <c r="O194" s="1547" t="str">
        <f aca="false">IF($E194=O$3,O$2,"")</f>
        <v/>
      </c>
      <c r="P194" s="1528" t="str">
        <f aca="false">CONCATENATE(D194,M194,N194,O194)</f>
        <v>BERRO DE AGUA</v>
      </c>
    </row>
    <row r="195" customFormat="false" ht="14.25" hidden="false" customHeight="false" outlineLevel="0" collapsed="false">
      <c r="A195" s="1528"/>
      <c r="B195" s="1528" t="n">
        <v>4</v>
      </c>
      <c r="C195" s="1528" t="n">
        <v>191</v>
      </c>
      <c r="D195" s="1528" t="s">
        <v>1227</v>
      </c>
      <c r="E195" s="1528" t="n">
        <v>4</v>
      </c>
      <c r="F195" s="1528" t="n">
        <v>0</v>
      </c>
      <c r="G195" s="1528" t="n">
        <v>36060.73</v>
      </c>
      <c r="H195" s="1528" t="n">
        <v>0</v>
      </c>
      <c r="I195" s="1528" t="n">
        <v>80000</v>
      </c>
      <c r="J195" s="1528" t="n">
        <v>0</v>
      </c>
      <c r="K195" s="1528" t="n">
        <v>1.51294</v>
      </c>
      <c r="L195" s="1528"/>
      <c r="M195" s="1547" t="str">
        <f aca="false">IF($E195=M$3,M$2,"")</f>
        <v> en Invernadero</v>
      </c>
      <c r="N195" s="1547" t="str">
        <f aca="false">IF($E195=N$3,N$2,"")</f>
        <v/>
      </c>
      <c r="O195" s="1547" t="str">
        <f aca="false">IF($E195=O$3,O$2,"")</f>
        <v/>
      </c>
      <c r="P195" s="1528" t="str">
        <f aca="false">CONCATENATE(D195,M195,N195,O195)</f>
        <v>BERRO DE AGUA en Invernadero en Invernadero</v>
      </c>
    </row>
    <row r="196" customFormat="false" ht="14.25" hidden="false" customHeight="false" outlineLevel="0" collapsed="false">
      <c r="A196" s="1528"/>
      <c r="B196" s="1528" t="n">
        <v>4</v>
      </c>
      <c r="C196" s="1528" t="n">
        <v>191</v>
      </c>
      <c r="D196" s="1528" t="s">
        <v>1228</v>
      </c>
      <c r="E196" s="1528" t="n">
        <v>19</v>
      </c>
      <c r="F196" s="1528" t="n">
        <v>0</v>
      </c>
      <c r="G196" s="1528" t="n">
        <v>36060.73</v>
      </c>
      <c r="H196" s="1528" t="n">
        <v>0</v>
      </c>
      <c r="I196" s="1528" t="n">
        <v>80000</v>
      </c>
      <c r="J196" s="1528" t="n">
        <v>0</v>
      </c>
      <c r="K196" s="1528" t="n">
        <v>1.51294</v>
      </c>
      <c r="L196" s="1528"/>
      <c r="M196" s="1547" t="str">
        <f aca="false">IF($E196=M$3,M$2,"")</f>
        <v/>
      </c>
      <c r="N196" s="1547" t="str">
        <f aca="false">IF($E196=N$3,N$2,"")</f>
        <v> en invernadero enarenado</v>
      </c>
      <c r="O196" s="1547" t="str">
        <f aca="false">IF($E196=O$3,O$2,"")</f>
        <v/>
      </c>
      <c r="P196" s="1528" t="str">
        <f aca="false">CONCATENATE(D196,M196,N196,O196)</f>
        <v>BERRO DE AGUA en invernadero enarenado en invernadero enarenado</v>
      </c>
    </row>
    <row r="197" customFormat="false" ht="14.25" hidden="false" customHeight="false" outlineLevel="0" collapsed="false">
      <c r="A197" s="1528"/>
      <c r="B197" s="1528" t="n">
        <v>4</v>
      </c>
      <c r="C197" s="1528" t="n">
        <v>192</v>
      </c>
      <c r="D197" s="1528" t="s">
        <v>1230</v>
      </c>
      <c r="E197" s="1528" t="n">
        <v>0</v>
      </c>
      <c r="F197" s="1528" t="n">
        <v>360.61</v>
      </c>
      <c r="G197" s="1528" t="n">
        <v>1352.28</v>
      </c>
      <c r="H197" s="1528" t="n">
        <v>575</v>
      </c>
      <c r="I197" s="1528" t="n">
        <v>5200</v>
      </c>
      <c r="J197" s="1528" t="n">
        <v>0.01513</v>
      </c>
      <c r="K197" s="1528" t="n">
        <v>0.05674</v>
      </c>
      <c r="L197" s="1528"/>
      <c r="M197" s="1547" t="str">
        <f aca="false">IF($E197=M$3,M$2,"")</f>
        <v/>
      </c>
      <c r="N197" s="1547" t="str">
        <f aca="false">IF($E197=N$3,N$2,"")</f>
        <v/>
      </c>
      <c r="O197" s="1547" t="str">
        <f aca="false">IF($E197=O$3,O$2,"")</f>
        <v/>
      </c>
      <c r="P197" s="1528" t="str">
        <f aca="false">CONCATENATE(D197,M197,N197,O197)</f>
        <v>FRAMBUESA</v>
      </c>
    </row>
    <row r="198" customFormat="false" ht="14.25" hidden="false" customHeight="false" outlineLevel="0" collapsed="false">
      <c r="A198" s="1528"/>
      <c r="B198" s="1528" t="n">
        <v>4</v>
      </c>
      <c r="C198" s="1528" t="n">
        <v>192</v>
      </c>
      <c r="D198" s="1528" t="s">
        <v>1231</v>
      </c>
      <c r="E198" s="1528" t="n">
        <v>4</v>
      </c>
      <c r="F198" s="1528" t="n">
        <v>0</v>
      </c>
      <c r="G198" s="1528" t="n">
        <v>36060.73</v>
      </c>
      <c r="H198" s="1528" t="n">
        <v>0</v>
      </c>
      <c r="I198" s="1528" t="n">
        <v>80000</v>
      </c>
      <c r="J198" s="1528" t="n">
        <v>0</v>
      </c>
      <c r="K198" s="1528" t="n">
        <v>1.51294</v>
      </c>
      <c r="L198" s="1528"/>
      <c r="M198" s="1547" t="str">
        <f aca="false">IF($E198=M$3,M$2,"")</f>
        <v> en Invernadero</v>
      </c>
      <c r="N198" s="1547" t="str">
        <f aca="false">IF($E198=N$3,N$2,"")</f>
        <v/>
      </c>
      <c r="O198" s="1547" t="str">
        <f aca="false">IF($E198=O$3,O$2,"")</f>
        <v/>
      </c>
      <c r="P198" s="1528" t="str">
        <f aca="false">CONCATENATE(D198,M198,N198,O198)</f>
        <v>FRAMBUESA en Invernadero en Invernadero</v>
      </c>
    </row>
    <row r="199" customFormat="false" ht="14.25" hidden="false" customHeight="false" outlineLevel="0" collapsed="false">
      <c r="A199" s="1528"/>
      <c r="B199" s="1528" t="n">
        <v>4</v>
      </c>
      <c r="C199" s="1528" t="n">
        <v>192</v>
      </c>
      <c r="D199" s="1528" t="s">
        <v>1232</v>
      </c>
      <c r="E199" s="1528" t="n">
        <v>19</v>
      </c>
      <c r="F199" s="1528" t="n">
        <v>0</v>
      </c>
      <c r="G199" s="1528" t="n">
        <v>36060.73</v>
      </c>
      <c r="H199" s="1528" t="n">
        <v>0</v>
      </c>
      <c r="I199" s="1528" t="n">
        <v>80000</v>
      </c>
      <c r="J199" s="1528" t="n">
        <v>0</v>
      </c>
      <c r="K199" s="1528" t="n">
        <v>1.51294</v>
      </c>
      <c r="L199" s="1528"/>
      <c r="M199" s="1547" t="str">
        <f aca="false">IF($E199=M$3,M$2,"")</f>
        <v/>
      </c>
      <c r="N199" s="1547" t="str">
        <f aca="false">IF($E199=N$3,N$2,"")</f>
        <v> en invernadero enarenado</v>
      </c>
      <c r="O199" s="1547" t="str">
        <f aca="false">IF($E199=O$3,O$2,"")</f>
        <v/>
      </c>
      <c r="P199" s="1528" t="str">
        <f aca="false">CONCATENATE(D199,M199,N199,O199)</f>
        <v>FRAMBUESA en invernadero enarenado en invernadero enarenado</v>
      </c>
    </row>
    <row r="200" customFormat="false" ht="14.25" hidden="false" customHeight="false" outlineLevel="0" collapsed="false">
      <c r="A200" s="1528"/>
      <c r="B200" s="1528" t="n">
        <v>4</v>
      </c>
      <c r="C200" s="1528" t="n">
        <v>193</v>
      </c>
      <c r="D200" s="1528" t="s">
        <v>1234</v>
      </c>
      <c r="E200" s="1528" t="n">
        <v>0</v>
      </c>
      <c r="F200" s="1528" t="n">
        <v>360.61</v>
      </c>
      <c r="G200" s="1528" t="n">
        <v>1352.28</v>
      </c>
      <c r="H200" s="1528" t="n">
        <v>575</v>
      </c>
      <c r="I200" s="1528" t="n">
        <v>5200</v>
      </c>
      <c r="J200" s="1528" t="n">
        <v>0.01513</v>
      </c>
      <c r="K200" s="1528" t="n">
        <v>0.05674</v>
      </c>
      <c r="L200" s="1528"/>
      <c r="M200" s="1547" t="str">
        <f aca="false">IF($E200=M$3,M$2,"")</f>
        <v/>
      </c>
      <c r="N200" s="1547" t="str">
        <f aca="false">IF($E200=N$3,N$2,"")</f>
        <v/>
      </c>
      <c r="O200" s="1547" t="str">
        <f aca="false">IF($E200=O$3,O$2,"")</f>
        <v/>
      </c>
      <c r="P200" s="1528" t="str">
        <f aca="false">CONCATENATE(D200,M200,N200,O200)</f>
        <v>HUERTA</v>
      </c>
    </row>
    <row r="201" customFormat="false" ht="14.25" hidden="false" customHeight="false" outlineLevel="0" collapsed="false">
      <c r="A201" s="1528"/>
      <c r="B201" s="1528" t="n">
        <v>4</v>
      </c>
      <c r="C201" s="1528" t="n">
        <v>193</v>
      </c>
      <c r="D201" s="1528" t="s">
        <v>1235</v>
      </c>
      <c r="E201" s="1528" t="n">
        <v>4</v>
      </c>
      <c r="F201" s="1528" t="n">
        <v>0</v>
      </c>
      <c r="G201" s="1528" t="n">
        <v>36060.73</v>
      </c>
      <c r="H201" s="1528" t="n">
        <v>0</v>
      </c>
      <c r="I201" s="1528" t="n">
        <v>80000</v>
      </c>
      <c r="J201" s="1528" t="n">
        <v>0</v>
      </c>
      <c r="K201" s="1528" t="n">
        <v>1.51294</v>
      </c>
      <c r="L201" s="1528"/>
      <c r="M201" s="1547" t="str">
        <f aca="false">IF($E201=M$3,M$2,"")</f>
        <v> en Invernadero</v>
      </c>
      <c r="N201" s="1547" t="str">
        <f aca="false">IF($E201=N$3,N$2,"")</f>
        <v/>
      </c>
      <c r="O201" s="1547" t="str">
        <f aca="false">IF($E201=O$3,O$2,"")</f>
        <v/>
      </c>
      <c r="P201" s="1528" t="str">
        <f aca="false">CONCATENATE(D201,M201,N201,O201)</f>
        <v>HUERTA en Invernadero en Invernadero</v>
      </c>
    </row>
    <row r="202" customFormat="false" ht="14.25" hidden="false" customHeight="false" outlineLevel="0" collapsed="false">
      <c r="A202" s="1528"/>
      <c r="B202" s="1528" t="n">
        <v>4</v>
      </c>
      <c r="C202" s="1528" t="n">
        <v>193</v>
      </c>
      <c r="D202" s="1528" t="s">
        <v>1236</v>
      </c>
      <c r="E202" s="1528" t="n">
        <v>19</v>
      </c>
      <c r="F202" s="1528" t="n">
        <v>0</v>
      </c>
      <c r="G202" s="1528" t="n">
        <v>36060.73</v>
      </c>
      <c r="H202" s="1528" t="n">
        <v>0</v>
      </c>
      <c r="I202" s="1528" t="n">
        <v>80000</v>
      </c>
      <c r="J202" s="1528" t="n">
        <v>0</v>
      </c>
      <c r="K202" s="1528" t="n">
        <v>1.51294</v>
      </c>
      <c r="L202" s="1528"/>
      <c r="M202" s="1547" t="str">
        <f aca="false">IF($E202=M$3,M$2,"")</f>
        <v/>
      </c>
      <c r="N202" s="1547" t="str">
        <f aca="false">IF($E202=N$3,N$2,"")</f>
        <v> en invernadero enarenado</v>
      </c>
      <c r="O202" s="1547" t="str">
        <f aca="false">IF($E202=O$3,O$2,"")</f>
        <v/>
      </c>
      <c r="P202" s="1528" t="str">
        <f aca="false">CONCATENATE(D202,M202,N202,O202)</f>
        <v>HUERTA en invernadero enarenado en invernadero enarenado</v>
      </c>
    </row>
    <row r="203" customFormat="false" ht="14.25" hidden="false" customHeight="false" outlineLevel="0" collapsed="false">
      <c r="A203" s="1528"/>
      <c r="B203" s="1528" t="n">
        <v>4</v>
      </c>
      <c r="C203" s="1528" t="n">
        <v>194</v>
      </c>
      <c r="D203" s="1528" t="s">
        <v>1238</v>
      </c>
      <c r="E203" s="1528" t="n">
        <v>0</v>
      </c>
      <c r="F203" s="1528" t="n">
        <v>0</v>
      </c>
      <c r="G203" s="1528" t="n">
        <v>150000</v>
      </c>
      <c r="H203" s="1528" t="n">
        <v>0</v>
      </c>
      <c r="I203" s="1528" t="n">
        <v>306000</v>
      </c>
      <c r="J203" s="1528" t="n">
        <v>0</v>
      </c>
      <c r="K203" s="1528" t="n">
        <v>6.29332</v>
      </c>
      <c r="L203" s="1528"/>
      <c r="M203" s="1547" t="str">
        <f aca="false">IF($E203=M$3,M$2,"")</f>
        <v/>
      </c>
      <c r="N203" s="1547" t="str">
        <f aca="false">IF($E203=N$3,N$2,"")</f>
        <v/>
      </c>
      <c r="O203" s="1547" t="str">
        <f aca="false">IF($E203=O$3,O$2,"")</f>
        <v/>
      </c>
      <c r="P203" s="1528" t="str">
        <f aca="false">CONCATENATE(D203,M203,N203,O203)</f>
        <v>CHAMPIÑÓN</v>
      </c>
    </row>
    <row r="204" customFormat="false" ht="14.25" hidden="false" customHeight="false" outlineLevel="0" collapsed="false">
      <c r="A204" s="1528"/>
      <c r="B204" s="1528" t="n">
        <v>4</v>
      </c>
      <c r="C204" s="1528" t="n">
        <v>197</v>
      </c>
      <c r="D204" s="1528" t="s">
        <v>1239</v>
      </c>
      <c r="E204" s="1528" t="n">
        <v>0</v>
      </c>
      <c r="F204" s="1528" t="n">
        <v>360.61</v>
      </c>
      <c r="G204" s="1528" t="n">
        <v>1352.28</v>
      </c>
      <c r="H204" s="1528" t="n">
        <v>575</v>
      </c>
      <c r="I204" s="1528" t="n">
        <v>12000</v>
      </c>
      <c r="J204" s="1528" t="n">
        <v>0.01513</v>
      </c>
      <c r="K204" s="1528" t="n">
        <v>0.05674</v>
      </c>
      <c r="L204" s="1528"/>
      <c r="M204" s="1547" t="str">
        <f aca="false">IF($E204=M$3,M$2,"")</f>
        <v/>
      </c>
      <c r="N204" s="1547" t="str">
        <f aca="false">IF($E204=N$3,N$2,"")</f>
        <v/>
      </c>
      <c r="O204" s="1547" t="str">
        <f aca="false">IF($E204=O$3,O$2,"")</f>
        <v/>
      </c>
      <c r="P204" s="1528" t="str">
        <f aca="false">CONCATENATE(D204,M204,N204,O204)</f>
        <v>TOMATE</v>
      </c>
    </row>
    <row r="205" customFormat="false" ht="14.25" hidden="false" customHeight="false" outlineLevel="0" collapsed="false">
      <c r="A205" s="1528"/>
      <c r="B205" s="1528" t="n">
        <v>4</v>
      </c>
      <c r="C205" s="1528" t="n">
        <v>197</v>
      </c>
      <c r="D205" s="1528" t="s">
        <v>1240</v>
      </c>
      <c r="E205" s="1528" t="n">
        <v>4</v>
      </c>
      <c r="F205" s="1528" t="n">
        <v>0</v>
      </c>
      <c r="G205" s="1528" t="n">
        <v>36060.73</v>
      </c>
      <c r="H205" s="1528" t="n">
        <v>0</v>
      </c>
      <c r="I205" s="1528" t="n">
        <v>80000</v>
      </c>
      <c r="J205" s="1528" t="n">
        <v>0</v>
      </c>
      <c r="K205" s="1528" t="n">
        <v>1.51294</v>
      </c>
      <c r="L205" s="1528"/>
      <c r="M205" s="1547" t="str">
        <f aca="false">IF($E205=M$3,M$2,"")</f>
        <v> en Invernadero</v>
      </c>
      <c r="N205" s="1547" t="str">
        <f aca="false">IF($E205=N$3,N$2,"")</f>
        <v/>
      </c>
      <c r="O205" s="1547" t="str">
        <f aca="false">IF($E205=O$3,O$2,"")</f>
        <v/>
      </c>
      <c r="P205" s="1528" t="str">
        <f aca="false">CONCATENATE(D205,M205,N205,O205)</f>
        <v>TOMATE en Invernadero en Invernadero</v>
      </c>
    </row>
    <row r="206" customFormat="false" ht="14.25" hidden="false" customHeight="false" outlineLevel="0" collapsed="false">
      <c r="A206" s="1528"/>
      <c r="B206" s="1528" t="n">
        <v>4</v>
      </c>
      <c r="C206" s="1528" t="n">
        <v>197</v>
      </c>
      <c r="D206" s="1528" t="s">
        <v>1242</v>
      </c>
      <c r="E206" s="1528" t="n">
        <v>19</v>
      </c>
      <c r="F206" s="1528" t="n">
        <v>0</v>
      </c>
      <c r="G206" s="1528" t="n">
        <v>36060.73</v>
      </c>
      <c r="H206" s="1528" t="n">
        <v>0</v>
      </c>
      <c r="I206" s="1528" t="n">
        <v>80000</v>
      </c>
      <c r="J206" s="1528" t="n">
        <v>0</v>
      </c>
      <c r="K206" s="1528" t="n">
        <v>1.51294</v>
      </c>
      <c r="L206" s="1528"/>
      <c r="M206" s="1547" t="str">
        <f aca="false">IF($E206=M$3,M$2,"")</f>
        <v/>
      </c>
      <c r="N206" s="1547" t="str">
        <f aca="false">IF($E206=N$3,N$2,"")</f>
        <v> en invernadero enarenado</v>
      </c>
      <c r="O206" s="1547" t="str">
        <f aca="false">IF($E206=O$3,O$2,"")</f>
        <v/>
      </c>
      <c r="P206" s="1528" t="str">
        <f aca="false">CONCATENATE(D206,M206,N206,O206)</f>
        <v>TOMATE en invernadero enarenado en invernadero enarenado</v>
      </c>
    </row>
    <row r="207" customFormat="false" ht="14.25" hidden="false" customHeight="false" outlineLevel="0" collapsed="false">
      <c r="A207" s="1528"/>
      <c r="B207" s="1528" t="n">
        <v>2</v>
      </c>
      <c r="C207" s="1528" t="n">
        <v>200</v>
      </c>
      <c r="D207" s="1528" t="s">
        <v>1243</v>
      </c>
      <c r="E207" s="1528" t="n">
        <v>0</v>
      </c>
      <c r="F207" s="1528" t="n">
        <v>114.19</v>
      </c>
      <c r="G207" s="1528" t="n">
        <v>240.4</v>
      </c>
      <c r="H207" s="1528" t="n">
        <v>350</v>
      </c>
      <c r="I207" s="1528" t="n">
        <v>1200</v>
      </c>
      <c r="J207" s="1528" t="n">
        <v>0.00479</v>
      </c>
      <c r="K207" s="1528" t="n">
        <v>0.01009</v>
      </c>
      <c r="L207" s="1528"/>
      <c r="M207" s="1547" t="str">
        <f aca="false">IF($E207=M$3,M$2,"")</f>
        <v/>
      </c>
      <c r="N207" s="1547" t="str">
        <f aca="false">IF($E207=N$3,N$2,"")</f>
        <v/>
      </c>
      <c r="O207" s="1547" t="str">
        <f aca="false">IF($E207=O$3,O$2,"")</f>
        <v/>
      </c>
      <c r="P207" s="1528" t="str">
        <f aca="false">CONCATENATE(D207,M207,N207,O207)</f>
        <v>PAULONIA</v>
      </c>
    </row>
    <row r="208" customFormat="false" ht="14.25" hidden="false" customHeight="false" outlineLevel="0" collapsed="false">
      <c r="A208" s="1528"/>
      <c r="B208" s="1528" t="n">
        <v>2</v>
      </c>
      <c r="C208" s="1528" t="n">
        <v>201</v>
      </c>
      <c r="D208" s="1528" t="s">
        <v>1244</v>
      </c>
      <c r="E208" s="1528" t="n">
        <v>0</v>
      </c>
      <c r="F208" s="1528" t="n">
        <v>480.81</v>
      </c>
      <c r="G208" s="1528" t="n">
        <v>1442.43</v>
      </c>
      <c r="H208" s="1528" t="n">
        <v>1939.72</v>
      </c>
      <c r="I208" s="1528" t="n">
        <v>8500</v>
      </c>
      <c r="J208" s="1528" t="n">
        <v>0.02017</v>
      </c>
      <c r="K208" s="1528" t="n">
        <v>0.06052</v>
      </c>
      <c r="L208" s="1528"/>
      <c r="M208" s="1547" t="str">
        <f aca="false">IF($E208=M$3,M$2,"")</f>
        <v/>
      </c>
      <c r="N208" s="1547" t="str">
        <f aca="false">IF($E208=N$3,N$2,"")</f>
        <v/>
      </c>
      <c r="O208" s="1547" t="str">
        <f aca="false">IF($E208=O$3,O$2,"")</f>
        <v/>
      </c>
      <c r="P208" s="1528" t="str">
        <f aca="false">CONCATENATE(D208,M208,N208,O208)</f>
        <v>PLATERINA</v>
      </c>
    </row>
    <row r="209" customFormat="false" ht="14.25" hidden="false" customHeight="false" outlineLevel="0" collapsed="false">
      <c r="A209" s="1528"/>
      <c r="B209" s="1528" t="n">
        <v>2</v>
      </c>
      <c r="C209" s="1528" t="n">
        <v>202</v>
      </c>
      <c r="D209" s="1528" t="s">
        <v>1245</v>
      </c>
      <c r="E209" s="1528" t="n">
        <v>0</v>
      </c>
      <c r="F209" s="1528" t="n">
        <v>480.81</v>
      </c>
      <c r="G209" s="1528" t="n">
        <v>1442.43</v>
      </c>
      <c r="H209" s="1528" t="n">
        <v>1939.72</v>
      </c>
      <c r="I209" s="1528" t="n">
        <v>6000</v>
      </c>
      <c r="J209" s="1528" t="n">
        <v>0.02017</v>
      </c>
      <c r="K209" s="1528" t="n">
        <v>0.06052</v>
      </c>
      <c r="L209" s="1528"/>
      <c r="M209" s="1547" t="str">
        <f aca="false">IF($E209=M$3,M$2,"")</f>
        <v/>
      </c>
      <c r="N209" s="1547" t="str">
        <f aca="false">IF($E209=N$3,N$2,"")</f>
        <v/>
      </c>
      <c r="O209" s="1547" t="str">
        <f aca="false">IF($E209=O$3,O$2,"")</f>
        <v/>
      </c>
      <c r="P209" s="1528" t="str">
        <f aca="false">CONCATENATE(D209,M209,N209,O209)</f>
        <v>PARAGUAYO</v>
      </c>
    </row>
    <row r="210" customFormat="false" ht="14.25" hidden="false" customHeight="false" outlineLevel="0" collapsed="false">
      <c r="A210" s="1528"/>
      <c r="B210" s="1528" t="n">
        <v>2</v>
      </c>
      <c r="C210" s="1528" t="n">
        <v>203</v>
      </c>
      <c r="D210" s="1528" t="s">
        <v>1247</v>
      </c>
      <c r="E210" s="1528" t="n">
        <v>0</v>
      </c>
      <c r="F210" s="1528" t="n">
        <v>360.61</v>
      </c>
      <c r="G210" s="1528" t="n">
        <v>1352.28</v>
      </c>
      <c r="H210" s="1528" t="n">
        <v>575</v>
      </c>
      <c r="I210" s="1528" t="n">
        <v>5200</v>
      </c>
      <c r="J210" s="1528" t="n">
        <v>0.01513</v>
      </c>
      <c r="K210" s="1528" t="n">
        <v>0.05674</v>
      </c>
      <c r="L210" s="1528"/>
      <c r="M210" s="1547" t="str">
        <f aca="false">IF($E210=M$3,M$2,"")</f>
        <v/>
      </c>
      <c r="N210" s="1547" t="str">
        <f aca="false">IF($E210=N$3,N$2,"")</f>
        <v/>
      </c>
      <c r="O210" s="1547" t="str">
        <f aca="false">IF($E210=O$3,O$2,"")</f>
        <v/>
      </c>
      <c r="P210" s="1528" t="str">
        <f aca="false">CONCATENATE(D210,M210,N210,O210)</f>
        <v>ENDRINO o ARAÑÓN</v>
      </c>
    </row>
    <row r="211" customFormat="false" ht="14.25" hidden="false" customHeight="false" outlineLevel="0" collapsed="false">
      <c r="A211" s="1528"/>
      <c r="B211" s="1528" t="n">
        <v>2</v>
      </c>
      <c r="C211" s="1528" t="n">
        <v>204</v>
      </c>
      <c r="D211" s="1528" t="s">
        <v>1248</v>
      </c>
      <c r="E211" s="1528" t="n">
        <v>0</v>
      </c>
      <c r="F211" s="1528" t="n">
        <v>480.81</v>
      </c>
      <c r="G211" s="1528" t="n">
        <v>1442.43</v>
      </c>
      <c r="H211" s="1528" t="n">
        <v>1939.72</v>
      </c>
      <c r="I211" s="1528" t="n">
        <v>6000</v>
      </c>
      <c r="J211" s="1528" t="n">
        <v>0.02017</v>
      </c>
      <c r="K211" s="1528" t="n">
        <v>0.06052</v>
      </c>
      <c r="L211" s="1528"/>
      <c r="M211" s="1547" t="str">
        <f aca="false">IF($E211=M$3,M$2,"")</f>
        <v/>
      </c>
      <c r="N211" s="1547" t="str">
        <f aca="false">IF($E211=N$3,N$2,"")</f>
        <v/>
      </c>
      <c r="O211" s="1547" t="str">
        <f aca="false">IF($E211=O$3,O$2,"")</f>
        <v/>
      </c>
      <c r="P211" s="1528" t="str">
        <f aca="false">CONCATENATE(D211,M211,N211,O211)</f>
        <v>CLEMENTINA</v>
      </c>
    </row>
    <row r="212" customFormat="false" ht="14.25" hidden="false" customHeight="false" outlineLevel="0" collapsed="false">
      <c r="A212" s="1528"/>
      <c r="B212" s="1528" t="n">
        <v>2</v>
      </c>
      <c r="C212" s="1528" t="n">
        <v>205</v>
      </c>
      <c r="D212" s="1528" t="s">
        <v>1249</v>
      </c>
      <c r="E212" s="1528" t="n">
        <v>0</v>
      </c>
      <c r="F212" s="1528" t="n">
        <v>480.81</v>
      </c>
      <c r="G212" s="1528" t="n">
        <v>1442.43</v>
      </c>
      <c r="H212" s="1528" t="n">
        <v>1939.72</v>
      </c>
      <c r="I212" s="1528" t="n">
        <v>6000</v>
      </c>
      <c r="J212" s="1528" t="n">
        <v>0.02017</v>
      </c>
      <c r="K212" s="1528" t="n">
        <v>0.06052</v>
      </c>
      <c r="L212" s="1528"/>
      <c r="M212" s="1547" t="str">
        <f aca="false">IF($E212=M$3,M$2,"")</f>
        <v/>
      </c>
      <c r="N212" s="1547" t="str">
        <f aca="false">IF($E212=N$3,N$2,"")</f>
        <v/>
      </c>
      <c r="O212" s="1547" t="str">
        <f aca="false">IF($E212=O$3,O$2,"")</f>
        <v/>
      </c>
      <c r="P212" s="1528" t="str">
        <f aca="false">CONCATENATE(D212,M212,N212,O212)</f>
        <v>SATSUMA</v>
      </c>
    </row>
    <row r="213" customFormat="false" ht="14.25" hidden="false" customHeight="false" outlineLevel="0" collapsed="false">
      <c r="A213" s="1528"/>
      <c r="B213" s="1528" t="n">
        <v>2</v>
      </c>
      <c r="C213" s="1528" t="n">
        <v>206</v>
      </c>
      <c r="D213" s="1528" t="s">
        <v>1250</v>
      </c>
      <c r="E213" s="1528" t="n">
        <v>0</v>
      </c>
      <c r="F213" s="1528" t="n">
        <v>480.81</v>
      </c>
      <c r="G213" s="1528" t="n">
        <v>1442.43</v>
      </c>
      <c r="H213" s="1528" t="n">
        <v>1939.72</v>
      </c>
      <c r="I213" s="1528" t="n">
        <v>6000</v>
      </c>
      <c r="J213" s="1528" t="n">
        <v>0.02017</v>
      </c>
      <c r="K213" s="1528" t="n">
        <v>0.06052</v>
      </c>
      <c r="L213" s="1528"/>
      <c r="M213" s="1547" t="str">
        <f aca="false">IF($E213=M$3,M$2,"")</f>
        <v/>
      </c>
      <c r="N213" s="1547" t="str">
        <f aca="false">IF($E213=N$3,N$2,"")</f>
        <v/>
      </c>
      <c r="O213" s="1547" t="str">
        <f aca="false">IF($E213=O$3,O$2,"")</f>
        <v/>
      </c>
      <c r="P213" s="1528" t="str">
        <f aca="false">CONCATENATE(D213,M213,N213,O213)</f>
        <v>NARANJO</v>
      </c>
    </row>
    <row r="214" customFormat="false" ht="14.25" hidden="false" customHeight="false" outlineLevel="0" collapsed="false">
      <c r="A214" s="1528"/>
      <c r="B214" s="1528" t="n">
        <v>2</v>
      </c>
      <c r="C214" s="1528" t="n">
        <v>207</v>
      </c>
      <c r="D214" s="1528" t="s">
        <v>1251</v>
      </c>
      <c r="E214" s="1528" t="n">
        <v>0</v>
      </c>
      <c r="F214" s="1528" t="n">
        <v>480.81</v>
      </c>
      <c r="G214" s="1528" t="n">
        <v>1442.43</v>
      </c>
      <c r="H214" s="1528" t="n">
        <v>1939.72</v>
      </c>
      <c r="I214" s="1528" t="n">
        <v>6000</v>
      </c>
      <c r="J214" s="1528" t="n">
        <v>0.02017</v>
      </c>
      <c r="K214" s="1528" t="n">
        <v>0.06052</v>
      </c>
      <c r="L214" s="1528"/>
      <c r="M214" s="1547" t="str">
        <f aca="false">IF($E214=M$3,M$2,"")</f>
        <v/>
      </c>
      <c r="N214" s="1547" t="str">
        <f aca="false">IF($E214=N$3,N$2,"")</f>
        <v/>
      </c>
      <c r="O214" s="1547" t="str">
        <f aca="false">IF($E214=O$3,O$2,"")</f>
        <v/>
      </c>
      <c r="P214" s="1528" t="str">
        <f aca="false">CONCATENATE(D214,M214,N214,O214)</f>
        <v>LIMONERO</v>
      </c>
    </row>
    <row r="215" customFormat="false" ht="14.25" hidden="false" customHeight="false" outlineLevel="0" collapsed="false">
      <c r="A215" s="1528"/>
      <c r="B215" s="1528" t="n">
        <v>2</v>
      </c>
      <c r="C215" s="1528" t="n">
        <v>208</v>
      </c>
      <c r="D215" s="1528" t="s">
        <v>1252</v>
      </c>
      <c r="E215" s="1528" t="n">
        <v>0</v>
      </c>
      <c r="F215" s="1528" t="n">
        <v>480.81</v>
      </c>
      <c r="G215" s="1528" t="n">
        <v>1442.43</v>
      </c>
      <c r="H215" s="1528" t="n">
        <v>1939.72</v>
      </c>
      <c r="I215" s="1528" t="n">
        <v>6000</v>
      </c>
      <c r="J215" s="1528" t="n">
        <v>0.02017</v>
      </c>
      <c r="K215" s="1528" t="n">
        <v>0.06052</v>
      </c>
      <c r="L215" s="1528"/>
      <c r="M215" s="1547" t="str">
        <f aca="false">IF($E215=M$3,M$2,"")</f>
        <v/>
      </c>
      <c r="N215" s="1547" t="str">
        <f aca="false">IF($E215=N$3,N$2,"")</f>
        <v/>
      </c>
      <c r="O215" s="1547" t="str">
        <f aca="false">IF($E215=O$3,O$2,"")</f>
        <v/>
      </c>
      <c r="P215" s="1528" t="str">
        <f aca="false">CONCATENATE(D215,M215,N215,O215)</f>
        <v>POMELO O TORONJA</v>
      </c>
    </row>
    <row r="216" customFormat="false" ht="14.25" hidden="false" customHeight="false" outlineLevel="0" collapsed="false">
      <c r="A216" s="1528"/>
      <c r="B216" s="1528" t="n">
        <v>2</v>
      </c>
      <c r="C216" s="1528" t="n">
        <v>209</v>
      </c>
      <c r="D216" s="1528" t="s">
        <v>1253</v>
      </c>
      <c r="E216" s="1528" t="n">
        <v>0</v>
      </c>
      <c r="F216" s="1528" t="n">
        <v>480.81</v>
      </c>
      <c r="G216" s="1528" t="n">
        <v>1442.43</v>
      </c>
      <c r="H216" s="1528" t="n">
        <v>1939.72</v>
      </c>
      <c r="I216" s="1528" t="n">
        <v>6000</v>
      </c>
      <c r="J216" s="1528" t="n">
        <v>0.02017</v>
      </c>
      <c r="K216" s="1528" t="n">
        <v>0.06052</v>
      </c>
      <c r="L216" s="1528"/>
      <c r="M216" s="1547" t="str">
        <f aca="false">IF($E216=M$3,M$2,"")</f>
        <v/>
      </c>
      <c r="N216" s="1547" t="str">
        <f aca="false">IF($E216=N$3,N$2,"")</f>
        <v/>
      </c>
      <c r="O216" s="1547" t="str">
        <f aca="false">IF($E216=O$3,O$2,"")</f>
        <v/>
      </c>
      <c r="P216" s="1528" t="str">
        <f aca="false">CONCATENATE(D216,M216,N216,O216)</f>
        <v>MANDARINO</v>
      </c>
    </row>
    <row r="217" customFormat="false" ht="14.25" hidden="false" customHeight="false" outlineLevel="0" collapsed="false">
      <c r="A217" s="1528"/>
      <c r="B217" s="1528" t="n">
        <v>2</v>
      </c>
      <c r="C217" s="1528" t="n">
        <v>210</v>
      </c>
      <c r="D217" s="1528" t="s">
        <v>1254</v>
      </c>
      <c r="E217" s="1528" t="n">
        <v>0</v>
      </c>
      <c r="F217" s="1528" t="n">
        <v>480.81</v>
      </c>
      <c r="G217" s="1528" t="n">
        <v>1442.43</v>
      </c>
      <c r="H217" s="1528" t="n">
        <v>1939.72</v>
      </c>
      <c r="I217" s="1528" t="n">
        <v>6000</v>
      </c>
      <c r="J217" s="1528" t="n">
        <v>0.02017</v>
      </c>
      <c r="K217" s="1528" t="n">
        <v>0.06052</v>
      </c>
      <c r="L217" s="1528"/>
      <c r="M217" s="1547" t="str">
        <f aca="false">IF($E217=M$3,M$2,"")</f>
        <v/>
      </c>
      <c r="N217" s="1547" t="str">
        <f aca="false">IF($E217=N$3,N$2,"")</f>
        <v/>
      </c>
      <c r="O217" s="1547" t="str">
        <f aca="false">IF($E217=O$3,O$2,"")</f>
        <v/>
      </c>
      <c r="P217" s="1528" t="str">
        <f aca="false">CONCATENATE(D217,M217,N217,O217)</f>
        <v>MANDARINO HÍBRIDO</v>
      </c>
    </row>
    <row r="218" customFormat="false" ht="14.25" hidden="false" customHeight="false" outlineLevel="0" collapsed="false">
      <c r="A218" s="1528"/>
      <c r="B218" s="1528" t="n">
        <v>2</v>
      </c>
      <c r="C218" s="1528" t="n">
        <v>211</v>
      </c>
      <c r="D218" s="1528" t="s">
        <v>1255</v>
      </c>
      <c r="E218" s="1528" t="n">
        <v>0</v>
      </c>
      <c r="F218" s="1528" t="n">
        <v>480.81</v>
      </c>
      <c r="G218" s="1528" t="n">
        <v>1442.43</v>
      </c>
      <c r="H218" s="1528" t="n">
        <v>1939.72</v>
      </c>
      <c r="I218" s="1528" t="n">
        <v>6000</v>
      </c>
      <c r="J218" s="1528" t="n">
        <v>0.02017</v>
      </c>
      <c r="K218" s="1528" t="n">
        <v>0.06052</v>
      </c>
      <c r="L218" s="1528"/>
      <c r="M218" s="1547" t="str">
        <f aca="false">IF($E218=M$3,M$2,"")</f>
        <v/>
      </c>
      <c r="N218" s="1547" t="str">
        <f aca="false">IF($E218=N$3,N$2,"")</f>
        <v/>
      </c>
      <c r="O218" s="1547" t="str">
        <f aca="false">IF($E218=O$3,O$2,"")</f>
        <v/>
      </c>
      <c r="P218" s="1528" t="str">
        <f aca="false">CONCATENATE(D218,M218,N218,O218)</f>
        <v>MEMBRILLO</v>
      </c>
    </row>
    <row r="219" customFormat="false" ht="14.25" hidden="false" customHeight="false" outlineLevel="0" collapsed="false">
      <c r="A219" s="1528"/>
      <c r="B219" s="1528" t="n">
        <v>2</v>
      </c>
      <c r="C219" s="1528" t="n">
        <v>212</v>
      </c>
      <c r="D219" s="1528" t="s">
        <v>1256</v>
      </c>
      <c r="E219" s="1528" t="n">
        <v>0</v>
      </c>
      <c r="F219" s="1528" t="n">
        <v>480.81</v>
      </c>
      <c r="G219" s="1528" t="n">
        <v>1442.43</v>
      </c>
      <c r="H219" s="1528" t="n">
        <v>1939.72</v>
      </c>
      <c r="I219" s="1528" t="n">
        <v>6000</v>
      </c>
      <c r="J219" s="1528" t="n">
        <v>0.02017</v>
      </c>
      <c r="K219" s="1528" t="n">
        <v>0.06052</v>
      </c>
      <c r="L219" s="1528"/>
      <c r="M219" s="1547" t="str">
        <f aca="false">IF($E219=M$3,M$2,"")</f>
        <v/>
      </c>
      <c r="N219" s="1547" t="str">
        <f aca="false">IF($E219=N$3,N$2,"")</f>
        <v/>
      </c>
      <c r="O219" s="1547" t="str">
        <f aca="false">IF($E219=O$3,O$2,"")</f>
        <v/>
      </c>
      <c r="P219" s="1528" t="str">
        <f aca="false">CONCATENATE(D219,M219,N219,O219)</f>
        <v>KIWI</v>
      </c>
    </row>
    <row r="220" customFormat="false" ht="14.25" hidden="false" customHeight="false" outlineLevel="0" collapsed="false">
      <c r="A220" s="1528"/>
      <c r="B220" s="1528" t="n">
        <v>2</v>
      </c>
      <c r="C220" s="1528" t="n">
        <v>213</v>
      </c>
      <c r="D220" s="1528" t="s">
        <v>1257</v>
      </c>
      <c r="E220" s="1528" t="n">
        <v>0</v>
      </c>
      <c r="F220" s="1528" t="n">
        <v>480.81</v>
      </c>
      <c r="G220" s="1528" t="n">
        <v>1442.43</v>
      </c>
      <c r="H220" s="1528" t="n">
        <v>939.72</v>
      </c>
      <c r="I220" s="1528" t="n">
        <v>2300</v>
      </c>
      <c r="J220" s="1528" t="n">
        <v>0.02017</v>
      </c>
      <c r="K220" s="1528" t="n">
        <v>0.06052</v>
      </c>
      <c r="L220" s="1528"/>
      <c r="M220" s="1547" t="str">
        <f aca="false">IF($E220=M$3,M$2,"")</f>
        <v/>
      </c>
      <c r="N220" s="1547" t="str">
        <f aca="false">IF($E220=N$3,N$2,"")</f>
        <v/>
      </c>
      <c r="O220" s="1547" t="str">
        <f aca="false">IF($E220=O$3,O$2,"")</f>
        <v/>
      </c>
      <c r="P220" s="1528" t="str">
        <f aca="false">CONCATENATE(D220,M220,N220,O220)</f>
        <v>CAQUI o PALOSANTO</v>
      </c>
    </row>
    <row r="221" customFormat="false" ht="14.25" hidden="false" customHeight="false" outlineLevel="0" collapsed="false">
      <c r="A221" s="1528"/>
      <c r="B221" s="1528" t="n">
        <v>2</v>
      </c>
      <c r="C221" s="1528" t="n">
        <v>214</v>
      </c>
      <c r="D221" s="1528" t="s">
        <v>1258</v>
      </c>
      <c r="E221" s="1528" t="n">
        <v>0</v>
      </c>
      <c r="F221" s="1528" t="n">
        <v>480.81</v>
      </c>
      <c r="G221" s="1528" t="n">
        <v>1442.43</v>
      </c>
      <c r="H221" s="1528" t="n">
        <v>1939.72</v>
      </c>
      <c r="I221" s="1528" t="n">
        <v>6000</v>
      </c>
      <c r="J221" s="1528" t="n">
        <v>0.02017</v>
      </c>
      <c r="K221" s="1528" t="n">
        <v>0.06052</v>
      </c>
      <c r="L221" s="1528"/>
      <c r="M221" s="1547" t="str">
        <f aca="false">IF($E221=M$3,M$2,"")</f>
        <v/>
      </c>
      <c r="N221" s="1547" t="str">
        <f aca="false">IF($E221=N$3,N$2,"")</f>
        <v/>
      </c>
      <c r="O221" s="1547" t="str">
        <f aca="false">IF($E221=O$3,O$2,"")</f>
        <v/>
      </c>
      <c r="P221" s="1528" t="str">
        <f aca="false">CONCATENATE(D221,M221,N221,O221)</f>
        <v>NÍSPERO</v>
      </c>
    </row>
    <row r="222" customFormat="false" ht="14.25" hidden="false" customHeight="false" outlineLevel="0" collapsed="false">
      <c r="A222" s="1528"/>
      <c r="B222" s="1528" t="n">
        <v>2</v>
      </c>
      <c r="C222" s="1528" t="n">
        <v>215</v>
      </c>
      <c r="D222" s="1528" t="s">
        <v>1259</v>
      </c>
      <c r="E222" s="1528" t="n">
        <v>0</v>
      </c>
      <c r="F222" s="1528" t="n">
        <v>360.61</v>
      </c>
      <c r="G222" s="1528" t="n">
        <v>1352.28</v>
      </c>
      <c r="H222" s="1528" t="n">
        <v>575</v>
      </c>
      <c r="I222" s="1528" t="n">
        <v>5200</v>
      </c>
      <c r="J222" s="1528" t="n">
        <v>0.01513</v>
      </c>
      <c r="K222" s="1528" t="n">
        <v>0.05674</v>
      </c>
      <c r="L222" s="1528"/>
      <c r="M222" s="1547" t="str">
        <f aca="false">IF($E222=M$3,M$2,"")</f>
        <v/>
      </c>
      <c r="N222" s="1547" t="str">
        <f aca="false">IF($E222=N$3,N$2,"")</f>
        <v/>
      </c>
      <c r="O222" s="1547" t="str">
        <f aca="false">IF($E222=O$3,O$2,"")</f>
        <v/>
      </c>
      <c r="P222" s="1528" t="str">
        <f aca="false">CONCATENATE(D222,M222,N222,O222)</f>
        <v>GROSELLERO</v>
      </c>
    </row>
    <row r="223" customFormat="false" ht="14.25" hidden="false" customHeight="false" outlineLevel="0" collapsed="false">
      <c r="A223" s="1528"/>
      <c r="B223" s="1528" t="n">
        <v>2</v>
      </c>
      <c r="C223" s="1528" t="n">
        <v>215</v>
      </c>
      <c r="D223" s="1528" t="s">
        <v>1260</v>
      </c>
      <c r="E223" s="1528" t="n">
        <v>4</v>
      </c>
      <c r="F223" s="1528" t="n">
        <v>0</v>
      </c>
      <c r="G223" s="1528" t="n">
        <v>36060.73</v>
      </c>
      <c r="H223" s="1528" t="n">
        <v>0</v>
      </c>
      <c r="I223" s="1528" t="n">
        <v>80000</v>
      </c>
      <c r="J223" s="1528" t="n">
        <v>0</v>
      </c>
      <c r="K223" s="1528" t="n">
        <v>1.51294</v>
      </c>
      <c r="L223" s="1528"/>
      <c r="M223" s="1547" t="str">
        <f aca="false">IF($E223=M$3,M$2,"")</f>
        <v> en Invernadero</v>
      </c>
      <c r="N223" s="1547" t="str">
        <f aca="false">IF($E223=N$3,N$2,"")</f>
        <v/>
      </c>
      <c r="O223" s="1547" t="str">
        <f aca="false">IF($E223=O$3,O$2,"")</f>
        <v/>
      </c>
      <c r="P223" s="1528" t="str">
        <f aca="false">CONCATENATE(D223,M223,N223,O223)</f>
        <v>GROSELLERO en Invernadero en Invernadero</v>
      </c>
    </row>
    <row r="224" customFormat="false" ht="14.25" hidden="false" customHeight="false" outlineLevel="0" collapsed="false">
      <c r="A224" s="1528"/>
      <c r="B224" s="1528" t="n">
        <v>2</v>
      </c>
      <c r="C224" s="1528" t="n">
        <v>215</v>
      </c>
      <c r="D224" s="1528" t="s">
        <v>1261</v>
      </c>
      <c r="E224" s="1528" t="n">
        <v>19</v>
      </c>
      <c r="F224" s="1528" t="n">
        <v>0</v>
      </c>
      <c r="G224" s="1528" t="n">
        <v>36060.73</v>
      </c>
      <c r="H224" s="1528" t="n">
        <v>0</v>
      </c>
      <c r="I224" s="1528" t="n">
        <v>80000</v>
      </c>
      <c r="J224" s="1528" t="n">
        <v>0</v>
      </c>
      <c r="K224" s="1528" t="n">
        <v>1.51294</v>
      </c>
      <c r="L224" s="1528"/>
      <c r="M224" s="1547" t="str">
        <f aca="false">IF($E224=M$3,M$2,"")</f>
        <v/>
      </c>
      <c r="N224" s="1547" t="str">
        <f aca="false">IF($E224=N$3,N$2,"")</f>
        <v> en invernadero enarenado</v>
      </c>
      <c r="O224" s="1547" t="str">
        <f aca="false">IF($E224=O$3,O$2,"")</f>
        <v/>
      </c>
      <c r="P224" s="1528" t="str">
        <f aca="false">CONCATENATE(D224,M224,N224,O224)</f>
        <v>GROSELLERO en invernadero enarenado en invernadero enarenado</v>
      </c>
    </row>
    <row r="225" customFormat="false" ht="14.25" hidden="false" customHeight="false" outlineLevel="0" collapsed="false">
      <c r="A225" s="1528"/>
      <c r="B225" s="1528" t="n">
        <v>2</v>
      </c>
      <c r="C225" s="1528" t="n">
        <v>216</v>
      </c>
      <c r="D225" s="1528" t="s">
        <v>1262</v>
      </c>
      <c r="E225" s="1528" t="n">
        <v>0</v>
      </c>
      <c r="F225" s="1528" t="n">
        <v>360.61</v>
      </c>
      <c r="G225" s="1528" t="n">
        <v>1352.28</v>
      </c>
      <c r="H225" s="1528" t="n">
        <v>575</v>
      </c>
      <c r="I225" s="1528" t="n">
        <v>5200</v>
      </c>
      <c r="J225" s="1528" t="n">
        <v>0.01513</v>
      </c>
      <c r="K225" s="1528" t="n">
        <v>0.05674</v>
      </c>
      <c r="L225" s="1528"/>
      <c r="M225" s="1547" t="str">
        <f aca="false">IF($E225=M$3,M$2,"")</f>
        <v/>
      </c>
      <c r="N225" s="1547" t="str">
        <f aca="false">IF($E225=N$3,N$2,"")</f>
        <v/>
      </c>
      <c r="O225" s="1547" t="str">
        <f aca="false">IF($E225=O$3,O$2,"")</f>
        <v/>
      </c>
      <c r="P225" s="1528" t="str">
        <f aca="false">CONCATENATE(D225,M225,N225,O225)</f>
        <v>ARÁNDANO</v>
      </c>
    </row>
    <row r="226" customFormat="false" ht="14.25" hidden="false" customHeight="false" outlineLevel="0" collapsed="false">
      <c r="A226" s="1528"/>
      <c r="B226" s="1528" t="n">
        <v>2</v>
      </c>
      <c r="C226" s="1528" t="n">
        <v>216</v>
      </c>
      <c r="D226" s="1528" t="s">
        <v>1263</v>
      </c>
      <c r="E226" s="1528" t="n">
        <v>4</v>
      </c>
      <c r="F226" s="1528" t="n">
        <v>0</v>
      </c>
      <c r="G226" s="1528" t="n">
        <v>36060.73</v>
      </c>
      <c r="H226" s="1528" t="n">
        <v>0</v>
      </c>
      <c r="I226" s="1528" t="n">
        <v>80000</v>
      </c>
      <c r="J226" s="1528" t="n">
        <v>0</v>
      </c>
      <c r="K226" s="1528" t="n">
        <v>1.51294</v>
      </c>
      <c r="L226" s="1528"/>
      <c r="M226" s="1547" t="str">
        <f aca="false">IF($E226=M$3,M$2,"")</f>
        <v> en Invernadero</v>
      </c>
      <c r="N226" s="1547" t="str">
        <f aca="false">IF($E226=N$3,N$2,"")</f>
        <v/>
      </c>
      <c r="O226" s="1547" t="str">
        <f aca="false">IF($E226=O$3,O$2,"")</f>
        <v/>
      </c>
      <c r="P226" s="1528" t="str">
        <f aca="false">CONCATENATE(D226,M226,N226,O226)</f>
        <v>ARÁNDANO en Invernadero en Invernadero</v>
      </c>
    </row>
    <row r="227" customFormat="false" ht="14.25" hidden="false" customHeight="false" outlineLevel="0" collapsed="false">
      <c r="A227" s="1528"/>
      <c r="B227" s="1528" t="n">
        <v>2</v>
      </c>
      <c r="C227" s="1528" t="n">
        <v>216</v>
      </c>
      <c r="D227" s="1528" t="s">
        <v>1264</v>
      </c>
      <c r="E227" s="1528" t="n">
        <v>19</v>
      </c>
      <c r="F227" s="1528" t="n">
        <v>0</v>
      </c>
      <c r="G227" s="1528" t="n">
        <v>36060.73</v>
      </c>
      <c r="H227" s="1528" t="n">
        <v>0</v>
      </c>
      <c r="I227" s="1528" t="n">
        <v>80000</v>
      </c>
      <c r="J227" s="1528" t="n">
        <v>0</v>
      </c>
      <c r="K227" s="1528" t="n">
        <v>1.51294</v>
      </c>
      <c r="L227" s="1528"/>
      <c r="M227" s="1547" t="str">
        <f aca="false">IF($E227=M$3,M$2,"")</f>
        <v/>
      </c>
      <c r="N227" s="1547" t="str">
        <f aca="false">IF($E227=N$3,N$2,"")</f>
        <v> en invernadero enarenado</v>
      </c>
      <c r="O227" s="1547" t="str">
        <f aca="false">IF($E227=O$3,O$2,"")</f>
        <v/>
      </c>
      <c r="P227" s="1528" t="str">
        <f aca="false">CONCATENATE(D227,M227,N227,O227)</f>
        <v>ARÁNDANO en invernadero enarenado en invernadero enarenado</v>
      </c>
    </row>
    <row r="228" customFormat="false" ht="14.25" hidden="false" customHeight="false" outlineLevel="0" collapsed="false">
      <c r="A228" s="1528"/>
      <c r="B228" s="1528" t="n">
        <v>2</v>
      </c>
      <c r="C228" s="1528" t="n">
        <v>217</v>
      </c>
      <c r="D228" s="1528" t="s">
        <v>1267</v>
      </c>
      <c r="E228" s="1528" t="n">
        <v>19</v>
      </c>
      <c r="F228" s="1528" t="n">
        <v>0</v>
      </c>
      <c r="G228" s="1528" t="n">
        <v>36060.73</v>
      </c>
      <c r="H228" s="1528" t="n">
        <v>0</v>
      </c>
      <c r="I228" s="1528" t="n">
        <v>80000</v>
      </c>
      <c r="J228" s="1528" t="n">
        <v>0</v>
      </c>
      <c r="K228" s="1528" t="n">
        <v>1.51294</v>
      </c>
      <c r="L228" s="1528"/>
      <c r="M228" s="1547" t="str">
        <f aca="false">IF($E228=M$3,M$2,"")</f>
        <v/>
      </c>
      <c r="N228" s="1547" t="str">
        <f aca="false">IF($E228=N$3,N$2,"")</f>
        <v> en invernadero enarenado</v>
      </c>
      <c r="O228" s="1547" t="str">
        <f aca="false">IF($E228=O$3,O$2,"")</f>
        <v/>
      </c>
      <c r="P228" s="1528" t="str">
        <f aca="false">CONCATENATE(D228,M228,N228,O228)</f>
        <v>GRANADO en invernadero enarenado en invernadero enarenado</v>
      </c>
    </row>
    <row r="229" customFormat="false" ht="14.25" hidden="false" customHeight="false" outlineLevel="0" collapsed="false">
      <c r="A229" s="1528"/>
      <c r="B229" s="1528" t="n">
        <v>2</v>
      </c>
      <c r="C229" s="1528" t="n">
        <v>217</v>
      </c>
      <c r="D229" s="1528" t="s">
        <v>1266</v>
      </c>
      <c r="E229" s="1528" t="n">
        <v>0</v>
      </c>
      <c r="F229" s="1528" t="n">
        <v>450.76</v>
      </c>
      <c r="G229" s="1528" t="n">
        <v>721.21</v>
      </c>
      <c r="H229" s="1528" t="n">
        <v>1939.72</v>
      </c>
      <c r="I229" s="1528" t="n">
        <v>6000</v>
      </c>
      <c r="J229" s="1528" t="n">
        <v>0.01891</v>
      </c>
      <c r="K229" s="1528" t="n">
        <v>0.03026</v>
      </c>
      <c r="L229" s="1528"/>
      <c r="M229" s="1547" t="str">
        <f aca="false">IF($E229=M$3,M$2,"")</f>
        <v/>
      </c>
      <c r="N229" s="1547" t="str">
        <f aca="false">IF($E229=N$3,N$2,"")</f>
        <v/>
      </c>
      <c r="O229" s="1547" t="str">
        <f aca="false">IF($E229=O$3,O$2,"")</f>
        <v/>
      </c>
      <c r="P229" s="1528" t="str">
        <f aca="false">CONCATENATE(D229,M229,N229,O229)</f>
        <v>GRANADO</v>
      </c>
    </row>
    <row r="230" customFormat="false" ht="14.25" hidden="false" customHeight="false" outlineLevel="0" collapsed="false">
      <c r="A230" s="1528"/>
      <c r="B230" s="1528" t="n">
        <v>2</v>
      </c>
      <c r="C230" s="1528" t="n">
        <v>217</v>
      </c>
      <c r="D230" s="1528" t="s">
        <v>1268</v>
      </c>
      <c r="E230" s="1528" t="n">
        <v>4</v>
      </c>
      <c r="F230" s="1528" t="n">
        <v>0</v>
      </c>
      <c r="G230" s="1528" t="n">
        <v>36060.73</v>
      </c>
      <c r="H230" s="1528" t="n">
        <v>0</v>
      </c>
      <c r="I230" s="1528" t="n">
        <v>80000</v>
      </c>
      <c r="J230" s="1528" t="n">
        <v>0</v>
      </c>
      <c r="K230" s="1528" t="n">
        <v>1.51294</v>
      </c>
      <c r="L230" s="1528"/>
      <c r="M230" s="1547" t="str">
        <f aca="false">IF($E230=M$3,M$2,"")</f>
        <v> en Invernadero</v>
      </c>
      <c r="N230" s="1547" t="str">
        <f aca="false">IF($E230=N$3,N$2,"")</f>
        <v/>
      </c>
      <c r="O230" s="1547" t="str">
        <f aca="false">IF($E230=O$3,O$2,"")</f>
        <v/>
      </c>
      <c r="P230" s="1528" t="str">
        <f aca="false">CONCATENATE(D230,M230,N230,O230)</f>
        <v>GRANADO en Invernadero en Invernadero</v>
      </c>
    </row>
    <row r="231" customFormat="false" ht="14.25" hidden="false" customHeight="false" outlineLevel="0" collapsed="false">
      <c r="A231" s="1528"/>
      <c r="B231" s="1528" t="n">
        <v>2</v>
      </c>
      <c r="C231" s="1528" t="n">
        <v>218</v>
      </c>
      <c r="D231" s="1528" t="s">
        <v>1270</v>
      </c>
      <c r="E231" s="1528" t="n">
        <v>0</v>
      </c>
      <c r="F231" s="1528" t="n">
        <v>450.76</v>
      </c>
      <c r="G231" s="1528" t="n">
        <v>721.21</v>
      </c>
      <c r="H231" s="1528" t="n">
        <v>800</v>
      </c>
      <c r="I231" s="1528" t="n">
        <v>5000</v>
      </c>
      <c r="J231" s="1528" t="n">
        <v>0.01891</v>
      </c>
      <c r="K231" s="1528" t="n">
        <v>0.03026</v>
      </c>
      <c r="L231" s="1528"/>
      <c r="M231" s="1547" t="str">
        <f aca="false">IF($E231=M$3,M$2,"")</f>
        <v/>
      </c>
      <c r="N231" s="1547" t="str">
        <f aca="false">IF($E231=N$3,N$2,"")</f>
        <v/>
      </c>
      <c r="O231" s="1547" t="str">
        <f aca="false">IF($E231=O$3,O$2,"")</f>
        <v/>
      </c>
      <c r="P231" s="1528" t="str">
        <f aca="false">CONCATENATE(D231,M231,N231,O231)</f>
        <v>HIGUERA</v>
      </c>
    </row>
    <row r="232" customFormat="false" ht="14.25" hidden="false" customHeight="false" outlineLevel="0" collapsed="false">
      <c r="A232" s="1528"/>
      <c r="B232" s="1528" t="n">
        <v>2</v>
      </c>
      <c r="C232" s="1528" t="n">
        <v>218</v>
      </c>
      <c r="D232" s="1528" t="s">
        <v>1271</v>
      </c>
      <c r="E232" s="1528" t="n">
        <v>4</v>
      </c>
      <c r="F232" s="1528" t="n">
        <v>0</v>
      </c>
      <c r="G232" s="1528" t="n">
        <v>36060.73</v>
      </c>
      <c r="H232" s="1528" t="n">
        <v>0</v>
      </c>
      <c r="I232" s="1528" t="n">
        <v>80000</v>
      </c>
      <c r="J232" s="1528" t="n">
        <v>0</v>
      </c>
      <c r="K232" s="1528" t="n">
        <v>1.51294</v>
      </c>
      <c r="L232" s="1528"/>
      <c r="M232" s="1547" t="str">
        <f aca="false">IF($E232=M$3,M$2,"")</f>
        <v> en Invernadero</v>
      </c>
      <c r="N232" s="1547" t="str">
        <f aca="false">IF($E232=N$3,N$2,"")</f>
        <v/>
      </c>
      <c r="O232" s="1547" t="str">
        <f aca="false">IF($E232=O$3,O$2,"")</f>
        <v/>
      </c>
      <c r="P232" s="1528" t="str">
        <f aca="false">CONCATENATE(D232,M232,N232,O232)</f>
        <v>HIGUERA en Invernadero en Invernadero</v>
      </c>
    </row>
    <row r="233" customFormat="false" ht="14.25" hidden="false" customHeight="false" outlineLevel="0" collapsed="false">
      <c r="A233" s="1528"/>
      <c r="B233" s="1528" t="n">
        <v>2</v>
      </c>
      <c r="C233" s="1528" t="n">
        <v>218</v>
      </c>
      <c r="D233" s="1528" t="s">
        <v>1272</v>
      </c>
      <c r="E233" s="1528" t="n">
        <v>19</v>
      </c>
      <c r="F233" s="1528" t="n">
        <v>0</v>
      </c>
      <c r="G233" s="1528" t="n">
        <v>36060.73</v>
      </c>
      <c r="H233" s="1528" t="n">
        <v>0</v>
      </c>
      <c r="I233" s="1528" t="n">
        <v>80000</v>
      </c>
      <c r="J233" s="1528" t="n">
        <v>0</v>
      </c>
      <c r="K233" s="1528" t="n">
        <v>1.51294</v>
      </c>
      <c r="L233" s="1528"/>
      <c r="M233" s="1547" t="str">
        <f aca="false">IF($E233=M$3,M$2,"")</f>
        <v/>
      </c>
      <c r="N233" s="1547" t="str">
        <f aca="false">IF($E233=N$3,N$2,"")</f>
        <v> en invernadero enarenado</v>
      </c>
      <c r="O233" s="1547" t="str">
        <f aca="false">IF($E233=O$3,O$2,"")</f>
        <v/>
      </c>
      <c r="P233" s="1528" t="str">
        <f aca="false">CONCATENATE(D233,M233,N233,O233)</f>
        <v>HIGUERA en invernadero enarenado en invernadero enarenado</v>
      </c>
    </row>
    <row r="234" customFormat="false" ht="14.25" hidden="false" customHeight="false" outlineLevel="0" collapsed="false">
      <c r="A234" s="1528"/>
      <c r="B234" s="1528" t="n">
        <v>2</v>
      </c>
      <c r="C234" s="1528" t="n">
        <v>219</v>
      </c>
      <c r="D234" s="1528" t="s">
        <v>1274</v>
      </c>
      <c r="E234" s="1528" t="n">
        <v>0</v>
      </c>
      <c r="F234" s="1528" t="n">
        <v>360.61</v>
      </c>
      <c r="G234" s="1528" t="n">
        <v>1352.28</v>
      </c>
      <c r="H234" s="1528" t="n">
        <v>575</v>
      </c>
      <c r="I234" s="1528" t="n">
        <v>5200</v>
      </c>
      <c r="J234" s="1528" t="n">
        <v>0.01513</v>
      </c>
      <c r="K234" s="1528" t="n">
        <v>0.05674</v>
      </c>
      <c r="L234" s="1528"/>
      <c r="M234" s="1547" t="str">
        <f aca="false">IF($E234=M$3,M$2,"")</f>
        <v/>
      </c>
      <c r="N234" s="1547" t="str">
        <f aca="false">IF($E234=N$3,N$2,"")</f>
        <v/>
      </c>
      <c r="O234" s="1547" t="str">
        <f aca="false">IF($E234=O$3,O$2,"")</f>
        <v/>
      </c>
      <c r="P234" s="1528" t="str">
        <f aca="false">CONCATENATE(D234,M234,N234,O234)</f>
        <v>FRESA</v>
      </c>
    </row>
    <row r="235" customFormat="false" ht="14.25" hidden="false" customHeight="false" outlineLevel="0" collapsed="false">
      <c r="A235" s="1528"/>
      <c r="B235" s="1528" t="n">
        <v>2</v>
      </c>
      <c r="C235" s="1528" t="n">
        <v>219</v>
      </c>
      <c r="D235" s="1528" t="s">
        <v>1275</v>
      </c>
      <c r="E235" s="1528" t="n">
        <v>4</v>
      </c>
      <c r="F235" s="1528" t="n">
        <v>0</v>
      </c>
      <c r="G235" s="1528" t="n">
        <v>36060.73</v>
      </c>
      <c r="H235" s="1528" t="n">
        <v>0</v>
      </c>
      <c r="I235" s="1528" t="n">
        <v>80000</v>
      </c>
      <c r="J235" s="1528" t="n">
        <v>0</v>
      </c>
      <c r="K235" s="1528" t="n">
        <v>1.51294</v>
      </c>
      <c r="L235" s="1528"/>
      <c r="M235" s="1547" t="str">
        <f aca="false">IF($E235=M$3,M$2,"")</f>
        <v> en Invernadero</v>
      </c>
      <c r="N235" s="1547" t="str">
        <f aca="false">IF($E235=N$3,N$2,"")</f>
        <v/>
      </c>
      <c r="O235" s="1547" t="str">
        <f aca="false">IF($E235=O$3,O$2,"")</f>
        <v/>
      </c>
      <c r="P235" s="1528" t="str">
        <f aca="false">CONCATENATE(D235,M235,N235,O235)</f>
        <v>FRESA en Invernadero en Invernadero</v>
      </c>
    </row>
    <row r="236" customFormat="false" ht="14.25" hidden="false" customHeight="false" outlineLevel="0" collapsed="false">
      <c r="A236" s="1528"/>
      <c r="B236" s="1528" t="n">
        <v>2</v>
      </c>
      <c r="C236" s="1528" t="n">
        <v>219</v>
      </c>
      <c r="D236" s="1528" t="s">
        <v>1276</v>
      </c>
      <c r="E236" s="1528" t="n">
        <v>19</v>
      </c>
      <c r="F236" s="1528" t="n">
        <v>0</v>
      </c>
      <c r="G236" s="1528" t="n">
        <v>36060.73</v>
      </c>
      <c r="H236" s="1528" t="n">
        <v>0</v>
      </c>
      <c r="I236" s="1528" t="n">
        <v>80000</v>
      </c>
      <c r="J236" s="1528" t="n">
        <v>0</v>
      </c>
      <c r="K236" s="1528" t="n">
        <v>1.51294</v>
      </c>
      <c r="L236" s="1528"/>
      <c r="M236" s="1547" t="str">
        <f aca="false">IF($E236=M$3,M$2,"")</f>
        <v/>
      </c>
      <c r="N236" s="1547" t="str">
        <f aca="false">IF($E236=N$3,N$2,"")</f>
        <v> en invernadero enarenado</v>
      </c>
      <c r="O236" s="1547" t="str">
        <f aca="false">IF($E236=O$3,O$2,"")</f>
        <v/>
      </c>
      <c r="P236" s="1528" t="str">
        <f aca="false">CONCATENATE(D236,M236,N236,O236)</f>
        <v>FRESA en invernadero enarenado en invernadero enarenado</v>
      </c>
    </row>
    <row r="237" customFormat="false" ht="14.25" hidden="false" customHeight="false" outlineLevel="0" collapsed="false">
      <c r="A237" s="1528"/>
      <c r="B237" s="1528" t="n">
        <v>1</v>
      </c>
      <c r="C237" s="1528" t="n">
        <v>220</v>
      </c>
      <c r="D237" s="1528" t="s">
        <v>1278</v>
      </c>
      <c r="E237" s="1528" t="n">
        <v>0</v>
      </c>
      <c r="F237" s="1528" t="n">
        <v>114.19</v>
      </c>
      <c r="G237" s="1528" t="n">
        <v>240.4</v>
      </c>
      <c r="H237" s="1528" t="n">
        <v>270.46</v>
      </c>
      <c r="I237" s="1528" t="n">
        <v>600</v>
      </c>
      <c r="J237" s="1528" t="n">
        <v>0.00479</v>
      </c>
      <c r="K237" s="1528" t="n">
        <v>0.01009</v>
      </c>
      <c r="L237" s="1528"/>
      <c r="M237" s="1547" t="str">
        <f aca="false">IF($E237=M$3,M$2,"")</f>
        <v/>
      </c>
      <c r="N237" s="1547" t="str">
        <f aca="false">IF($E237=N$3,N$2,"")</f>
        <v/>
      </c>
      <c r="O237" s="1547" t="str">
        <f aca="false">IF($E237=O$3,O$2,"")</f>
        <v/>
      </c>
      <c r="P237" s="1528" t="str">
        <f aca="false">CONCATENATE(D237,M237,N237,O237)</f>
        <v>CAÑA DE AZÚCAR</v>
      </c>
    </row>
    <row r="238" customFormat="false" ht="14.25" hidden="false" customHeight="false" outlineLevel="0" collapsed="false">
      <c r="A238" s="1528"/>
      <c r="B238" s="1528" t="n">
        <v>1</v>
      </c>
      <c r="C238" s="1528" t="n">
        <v>222</v>
      </c>
      <c r="D238" s="1528" t="s">
        <v>1279</v>
      </c>
      <c r="E238" s="1528" t="n">
        <v>0</v>
      </c>
      <c r="F238" s="1528" t="n">
        <v>114.19</v>
      </c>
      <c r="G238" s="1528" t="n">
        <v>240.4</v>
      </c>
      <c r="H238" s="1528" t="n">
        <v>700</v>
      </c>
      <c r="I238" s="1528" t="n">
        <v>1800</v>
      </c>
      <c r="J238" s="1528" t="n">
        <v>0.00479</v>
      </c>
      <c r="K238" s="1528" t="n">
        <v>0.01009</v>
      </c>
      <c r="L238" s="1528"/>
      <c r="M238" s="1547" t="str">
        <f aca="false">IF($E238=M$3,M$2,"")</f>
        <v/>
      </c>
      <c r="N238" s="1547" t="str">
        <f aca="false">IF($E238=N$3,N$2,"")</f>
        <v/>
      </c>
      <c r="O238" s="1547" t="str">
        <f aca="false">IF($E238=O$3,O$2,"")</f>
        <v/>
      </c>
      <c r="P238" s="1528" t="str">
        <f aca="false">CONCATENATE(D238,M238,N238,O238)</f>
        <v>QUINOA</v>
      </c>
    </row>
    <row r="239" customFormat="false" ht="14.25" hidden="false" customHeight="false" outlineLevel="0" collapsed="false">
      <c r="A239" s="1528"/>
      <c r="B239" s="1528" t="n">
        <v>1</v>
      </c>
      <c r="C239" s="1528" t="n">
        <v>223</v>
      </c>
      <c r="D239" s="1528" t="s">
        <v>1280</v>
      </c>
      <c r="E239" s="1528" t="n">
        <v>0</v>
      </c>
      <c r="F239" s="1528" t="n">
        <v>114.19</v>
      </c>
      <c r="G239" s="1528" t="n">
        <v>240.4</v>
      </c>
      <c r="H239" s="1528" t="n">
        <v>700</v>
      </c>
      <c r="I239" s="1528" t="n">
        <v>1800</v>
      </c>
      <c r="J239" s="1528" t="n">
        <v>0.00479</v>
      </c>
      <c r="K239" s="1528" t="n">
        <v>0.01009</v>
      </c>
      <c r="L239" s="1528"/>
      <c r="M239" s="1547" t="str">
        <f aca="false">IF($E239=M$3,M$2,"")</f>
        <v/>
      </c>
      <c r="N239" s="1547" t="str">
        <f aca="false">IF($E239=N$3,N$2,"")</f>
        <v/>
      </c>
      <c r="O239" s="1547" t="str">
        <f aca="false">IF($E239=O$3,O$2,"")</f>
        <v/>
      </c>
      <c r="P239" s="1528" t="str">
        <f aca="false">CONCATENATE(D239,M239,N239,O239)</f>
        <v>MISCANTHUS</v>
      </c>
    </row>
    <row r="240" customFormat="false" ht="14.25" hidden="false" customHeight="false" outlineLevel="0" collapsed="false">
      <c r="A240" s="1528"/>
      <c r="B240" s="1528" t="n">
        <v>1</v>
      </c>
      <c r="C240" s="1528" t="n">
        <v>224</v>
      </c>
      <c r="D240" s="1528" t="s">
        <v>1282</v>
      </c>
      <c r="E240" s="1528" t="n">
        <v>0</v>
      </c>
      <c r="F240" s="1528" t="n">
        <v>114.19</v>
      </c>
      <c r="G240" s="1528" t="n">
        <v>240.4</v>
      </c>
      <c r="H240" s="1528" t="n">
        <v>700</v>
      </c>
      <c r="I240" s="1528" t="n">
        <v>1800</v>
      </c>
      <c r="J240" s="1528" t="n">
        <v>0.00479</v>
      </c>
      <c r="K240" s="1528" t="n">
        <v>0.01009</v>
      </c>
      <c r="L240" s="1528"/>
      <c r="M240" s="1547" t="str">
        <f aca="false">IF($E240=M$3,M$2,"")</f>
        <v/>
      </c>
      <c r="N240" s="1547" t="str">
        <f aca="false">IF($E240=N$3,N$2,"")</f>
        <v/>
      </c>
      <c r="O240" s="1547" t="str">
        <f aca="false">IF($E240=O$3,O$2,"")</f>
        <v/>
      </c>
      <c r="P240" s="1528" t="str">
        <f aca="false">CONCATENATE(D240,M240,N240,O240)</f>
        <v>HUAXYACAC</v>
      </c>
    </row>
    <row r="241" customFormat="false" ht="14.25" hidden="false" customHeight="false" outlineLevel="0" collapsed="false">
      <c r="A241" s="1528"/>
      <c r="B241" s="1528" t="n">
        <v>1</v>
      </c>
      <c r="C241" s="1528" t="n">
        <v>238</v>
      </c>
      <c r="D241" s="1528" t="s">
        <v>1283</v>
      </c>
      <c r="E241" s="1528" t="n">
        <v>0</v>
      </c>
      <c r="F241" s="1528" t="n">
        <v>114.19</v>
      </c>
      <c r="G241" s="1528" t="n">
        <v>240.4</v>
      </c>
      <c r="H241" s="1528" t="n">
        <v>186.91</v>
      </c>
      <c r="I241" s="1528" t="n">
        <v>540.36</v>
      </c>
      <c r="J241" s="1528" t="n">
        <v>0.00479</v>
      </c>
      <c r="K241" s="1528" t="n">
        <v>0.01009</v>
      </c>
      <c r="L241" s="1528"/>
      <c r="M241" s="1547" t="str">
        <f aca="false">IF($E241=M$3,M$2,"")</f>
        <v/>
      </c>
      <c r="N241" s="1547" t="str">
        <f aca="false">IF($E241=N$3,N$2,"")</f>
        <v/>
      </c>
      <c r="O241" s="1547" t="str">
        <f aca="false">IF($E241=O$3,O$2,"")</f>
        <v/>
      </c>
      <c r="P241" s="1528" t="str">
        <f aca="false">CONCATENATE(D241,M241,N241,O241)</f>
        <v>ALTRAMUZ AMARILLO</v>
      </c>
    </row>
    <row r="242" customFormat="false" ht="14.25" hidden="false" customHeight="false" outlineLevel="0" collapsed="false">
      <c r="A242" s="1528"/>
      <c r="B242" s="1528" t="n">
        <v>1</v>
      </c>
      <c r="C242" s="1528" t="n">
        <v>239</v>
      </c>
      <c r="D242" s="1528" t="s">
        <v>1284</v>
      </c>
      <c r="E242" s="1528" t="n">
        <v>0</v>
      </c>
      <c r="F242" s="1528" t="n">
        <v>114.19</v>
      </c>
      <c r="G242" s="1528" t="n">
        <v>240.4</v>
      </c>
      <c r="H242" s="1528" t="n">
        <v>186.91</v>
      </c>
      <c r="I242" s="1528" t="n">
        <v>540.36</v>
      </c>
      <c r="J242" s="1528" t="n">
        <v>0.00479</v>
      </c>
      <c r="K242" s="1528" t="n">
        <v>0.01009</v>
      </c>
      <c r="L242" s="1528"/>
      <c r="M242" s="1547" t="str">
        <f aca="false">IF($E242=M$3,M$2,"")</f>
        <v/>
      </c>
      <c r="N242" s="1547" t="str">
        <f aca="false">IF($E242=N$3,N$2,"")</f>
        <v/>
      </c>
      <c r="O242" s="1547" t="str">
        <f aca="false">IF($E242=O$3,O$2,"")</f>
        <v/>
      </c>
      <c r="P242" s="1528" t="str">
        <f aca="false">CONCATENATE(D242,M242,N242,O242)</f>
        <v>ALMORTA</v>
      </c>
    </row>
    <row r="243" customFormat="false" ht="14.25" hidden="false" customHeight="false" outlineLevel="0" collapsed="false">
      <c r="A243" s="1528"/>
      <c r="B243" s="1528" t="n">
        <v>1</v>
      </c>
      <c r="C243" s="1528" t="n">
        <v>240</v>
      </c>
      <c r="D243" s="1528" t="s">
        <v>1285</v>
      </c>
      <c r="E243" s="1528" t="n">
        <v>0</v>
      </c>
      <c r="F243" s="1528" t="n">
        <v>114.19</v>
      </c>
      <c r="G243" s="1528" t="n">
        <v>240.4</v>
      </c>
      <c r="H243" s="1528" t="n">
        <v>186.91</v>
      </c>
      <c r="I243" s="1528" t="n">
        <v>540.36</v>
      </c>
      <c r="J243" s="1528" t="n">
        <v>0.00479</v>
      </c>
      <c r="K243" s="1528" t="n">
        <v>0.01009</v>
      </c>
      <c r="L243" s="1528"/>
      <c r="M243" s="1547" t="str">
        <f aca="false">IF($E243=M$3,M$2,"")</f>
        <v/>
      </c>
      <c r="N243" s="1547" t="str">
        <f aca="false">IF($E243=N$3,N$2,"")</f>
        <v/>
      </c>
      <c r="O243" s="1547" t="str">
        <f aca="false">IF($E243=O$3,O$2,"")</f>
        <v/>
      </c>
      <c r="P243" s="1528" t="str">
        <f aca="false">CONCATENATE(D243,M243,N243,O243)</f>
        <v>TITARROS</v>
      </c>
    </row>
    <row r="244" customFormat="false" ht="14.25" hidden="false" customHeight="false" outlineLevel="0" collapsed="false">
      <c r="A244" s="1528"/>
      <c r="B244" s="1528" t="n">
        <v>1</v>
      </c>
      <c r="C244" s="1528" t="n">
        <v>241</v>
      </c>
      <c r="D244" s="1528" t="s">
        <v>1286</v>
      </c>
      <c r="E244" s="1528" t="n">
        <v>0</v>
      </c>
      <c r="F244" s="1528" t="n">
        <v>114.19</v>
      </c>
      <c r="G244" s="1528" t="n">
        <v>240.4</v>
      </c>
      <c r="H244" s="1528" t="n">
        <v>400</v>
      </c>
      <c r="I244" s="1528" t="n">
        <v>1000</v>
      </c>
      <c r="J244" s="1528" t="n">
        <v>0.00479</v>
      </c>
      <c r="K244" s="1528" t="n">
        <v>0.01009</v>
      </c>
      <c r="L244" s="1528"/>
      <c r="M244" s="1547" t="str">
        <f aca="false">IF($E244=M$3,M$2,"")</f>
        <v/>
      </c>
      <c r="N244" s="1547" t="str">
        <f aca="false">IF($E244=N$3,N$2,"")</f>
        <v/>
      </c>
      <c r="O244" s="1547" t="str">
        <f aca="false">IF($E244=O$3,O$2,"")</f>
        <v/>
      </c>
      <c r="P244" s="1528" t="str">
        <f aca="false">CONCATENATE(D244,M244,N244,O244)</f>
        <v>MEZCLA AVENA-VEZA</v>
      </c>
    </row>
    <row r="245" customFormat="false" ht="14.25" hidden="false" customHeight="false" outlineLevel="0" collapsed="false">
      <c r="A245" s="1528"/>
      <c r="B245" s="1528" t="n">
        <v>1</v>
      </c>
      <c r="C245" s="1528" t="n">
        <v>242</v>
      </c>
      <c r="D245" s="1528" t="s">
        <v>1287</v>
      </c>
      <c r="E245" s="1528" t="n">
        <v>0</v>
      </c>
      <c r="F245" s="1528" t="n">
        <v>114.19</v>
      </c>
      <c r="G245" s="1528" t="n">
        <v>240.4</v>
      </c>
      <c r="H245" s="1528" t="n">
        <v>400</v>
      </c>
      <c r="I245" s="1528" t="n">
        <v>1000</v>
      </c>
      <c r="J245" s="1528" t="n">
        <v>0.00479</v>
      </c>
      <c r="K245" s="1528" t="n">
        <v>0.01009</v>
      </c>
      <c r="L245" s="1528"/>
      <c r="M245" s="1547" t="str">
        <f aca="false">IF($E245=M$3,M$2,"")</f>
        <v/>
      </c>
      <c r="N245" s="1547" t="str">
        <f aca="false">IF($E245=N$3,N$2,"")</f>
        <v/>
      </c>
      <c r="O245" s="1547" t="str">
        <f aca="false">IF($E245=O$3,O$2,"")</f>
        <v/>
      </c>
      <c r="P245" s="1528" t="str">
        <f aca="false">CONCATENATE(D245,M245,N245,O245)</f>
        <v>MEZCLA TRITICALE-VEZA</v>
      </c>
    </row>
    <row r="246" customFormat="false" ht="14.25" hidden="false" customHeight="false" outlineLevel="0" collapsed="false">
      <c r="A246" s="1528"/>
      <c r="B246" s="1528" t="n">
        <v>1</v>
      </c>
      <c r="C246" s="1528" t="n">
        <v>243</v>
      </c>
      <c r="D246" s="1528" t="s">
        <v>1288</v>
      </c>
      <c r="E246" s="1528" t="n">
        <v>0</v>
      </c>
      <c r="F246" s="1528" t="n">
        <v>114.19</v>
      </c>
      <c r="G246" s="1528" t="n">
        <v>240.4</v>
      </c>
      <c r="H246" s="1528" t="n">
        <v>400</v>
      </c>
      <c r="I246" s="1528" t="n">
        <v>1000</v>
      </c>
      <c r="J246" s="1528" t="n">
        <v>0.00479</v>
      </c>
      <c r="K246" s="1528" t="n">
        <v>0.01009</v>
      </c>
      <c r="L246" s="1528"/>
      <c r="M246" s="1547" t="str">
        <f aca="false">IF($E246=M$3,M$2,"")</f>
        <v/>
      </c>
      <c r="N246" s="1547" t="str">
        <f aca="false">IF($E246=N$3,N$2,"")</f>
        <v/>
      </c>
      <c r="O246" s="1547" t="str">
        <f aca="false">IF($E246=O$3,O$2,"")</f>
        <v/>
      </c>
      <c r="P246" s="1528" t="str">
        <f aca="false">CONCATENATE(D246,M246,N246,O246)</f>
        <v>MEZCLA TRIGO-VEZA</v>
      </c>
    </row>
    <row r="247" customFormat="false" ht="14.25" hidden="false" customHeight="false" outlineLevel="0" collapsed="false">
      <c r="A247" s="1528"/>
      <c r="B247" s="1528" t="n">
        <v>1</v>
      </c>
      <c r="C247" s="1528" t="n">
        <v>244</v>
      </c>
      <c r="D247" s="1528" t="s">
        <v>1289</v>
      </c>
      <c r="E247" s="1528" t="n">
        <v>0</v>
      </c>
      <c r="F247" s="1528" t="n">
        <v>114.19</v>
      </c>
      <c r="G247" s="1528" t="n">
        <v>240.4</v>
      </c>
      <c r="H247" s="1528" t="n">
        <v>400</v>
      </c>
      <c r="I247" s="1528" t="n">
        <v>1000</v>
      </c>
      <c r="J247" s="1528" t="n">
        <v>0.00479</v>
      </c>
      <c r="K247" s="1528" t="n">
        <v>0.01009</v>
      </c>
      <c r="L247" s="1528"/>
      <c r="M247" s="1547" t="str">
        <f aca="false">IF($E247=M$3,M$2,"")</f>
        <v/>
      </c>
      <c r="N247" s="1547" t="str">
        <f aca="false">IF($E247=N$3,N$2,"")</f>
        <v/>
      </c>
      <c r="O247" s="1547" t="str">
        <f aca="false">IF($E247=O$3,O$2,"")</f>
        <v/>
      </c>
      <c r="P247" s="1528" t="str">
        <f aca="false">CONCATENATE(D247,M247,N247,O247)</f>
        <v>MEZCLA CEBADA-VEZA</v>
      </c>
    </row>
    <row r="248" customFormat="false" ht="14.25" hidden="false" customHeight="false" outlineLevel="0" collapsed="false">
      <c r="A248" s="1528"/>
      <c r="B248" s="1528" t="n">
        <v>1</v>
      </c>
      <c r="C248" s="1528" t="n">
        <v>245</v>
      </c>
      <c r="D248" s="1528" t="s">
        <v>1290</v>
      </c>
      <c r="E248" s="1528" t="n">
        <v>0</v>
      </c>
      <c r="F248" s="1528" t="n">
        <v>114.19</v>
      </c>
      <c r="G248" s="1528" t="n">
        <v>240.4</v>
      </c>
      <c r="H248" s="1528" t="n">
        <v>400</v>
      </c>
      <c r="I248" s="1528" t="n">
        <v>1000</v>
      </c>
      <c r="J248" s="1528" t="n">
        <v>0.00479</v>
      </c>
      <c r="K248" s="1528" t="n">
        <v>0.01009</v>
      </c>
      <c r="L248" s="1528"/>
      <c r="M248" s="1547" t="str">
        <f aca="false">IF($E248=M$3,M$2,"")</f>
        <v/>
      </c>
      <c r="N248" s="1547" t="str">
        <f aca="false">IF($E248=N$3,N$2,"")</f>
        <v/>
      </c>
      <c r="O248" s="1547" t="str">
        <f aca="false">IF($E248=O$3,O$2,"")</f>
        <v/>
      </c>
      <c r="P248" s="1528" t="str">
        <f aca="false">CONCATENATE(D248,M248,N248,O248)</f>
        <v>MEZCLA AVENA-ZULLA</v>
      </c>
    </row>
    <row r="249" customFormat="false" ht="14.25" hidden="false" customHeight="false" outlineLevel="0" collapsed="false">
      <c r="A249" s="1528"/>
      <c r="B249" s="1528" t="n">
        <v>1</v>
      </c>
      <c r="C249" s="1528" t="n">
        <v>246</v>
      </c>
      <c r="D249" s="1528" t="s">
        <v>1291</v>
      </c>
      <c r="E249" s="1528" t="n">
        <v>0</v>
      </c>
      <c r="F249" s="1528" t="n">
        <v>114.19</v>
      </c>
      <c r="G249" s="1528" t="n">
        <v>240.4</v>
      </c>
      <c r="H249" s="1528" t="n">
        <v>400</v>
      </c>
      <c r="I249" s="1528" t="n">
        <v>1000</v>
      </c>
      <c r="J249" s="1528" t="n">
        <v>0.00479</v>
      </c>
      <c r="K249" s="1528" t="n">
        <v>0.01009</v>
      </c>
      <c r="L249" s="1528"/>
      <c r="M249" s="1547" t="str">
        <f aca="false">IF($E249=M$3,M$2,"")</f>
        <v/>
      </c>
      <c r="N249" s="1547" t="str">
        <f aca="false">IF($E249=N$3,N$2,"")</f>
        <v/>
      </c>
      <c r="O249" s="1547" t="str">
        <f aca="false">IF($E249=O$3,O$2,"")</f>
        <v/>
      </c>
      <c r="P249" s="1528" t="str">
        <f aca="false">CONCATENATE(D249,M249,N249,O249)</f>
        <v>MEZCLA CEBADA-ZULLA</v>
      </c>
    </row>
    <row r="250" customFormat="false" ht="26.85" hidden="false" customHeight="false" outlineLevel="0" collapsed="false">
      <c r="A250" s="1528"/>
      <c r="B250" s="1528" t="n">
        <v>1</v>
      </c>
      <c r="C250" s="1528" t="n">
        <v>247</v>
      </c>
      <c r="D250" s="1535" t="s">
        <v>1293</v>
      </c>
      <c r="E250" s="1528" t="n">
        <v>0</v>
      </c>
      <c r="F250" s="1528" t="n">
        <v>114.19</v>
      </c>
      <c r="G250" s="1528" t="n">
        <v>270.46</v>
      </c>
      <c r="H250" s="1528" t="n">
        <v>400</v>
      </c>
      <c r="I250" s="1528" t="n">
        <v>1000</v>
      </c>
      <c r="J250" s="1528" t="n">
        <v>0.00479</v>
      </c>
      <c r="K250" s="1528" t="n">
        <v>0.01135</v>
      </c>
      <c r="L250" s="1528"/>
      <c r="M250" s="1547" t="str">
        <f aca="false">IF($E250=M$3,M$2,"")</f>
        <v/>
      </c>
      <c r="N250" s="1547" t="str">
        <f aca="false">IF($E250=N$3,N$2,"")</f>
        <v/>
      </c>
      <c r="O250" s="1547" t="str">
        <f aca="false">IF($E250=O$3,O$2,"")</f>
        <v/>
      </c>
      <c r="P250" s="1535" t="str">
        <f aca="false">CONCATENATE(D250,M250,N250,O250)</f>
        <v>CULTIVOS MIXTOS DE
ESPECIES PRATENSES</v>
      </c>
    </row>
    <row r="251" customFormat="false" ht="14.25" hidden="false" customHeight="false" outlineLevel="0" collapsed="false">
      <c r="A251" s="1528"/>
      <c r="B251" s="1528" t="n">
        <v>1</v>
      </c>
      <c r="C251" s="1528" t="n">
        <v>248</v>
      </c>
      <c r="D251" s="1528" t="s">
        <v>1294</v>
      </c>
      <c r="E251" s="1528" t="n">
        <v>0</v>
      </c>
      <c r="F251" s="1528" t="n">
        <v>450.76</v>
      </c>
      <c r="G251" s="1528" t="n">
        <v>721.21</v>
      </c>
      <c r="H251" s="1528" t="n">
        <v>500</v>
      </c>
      <c r="I251" s="1528" t="n">
        <v>1500</v>
      </c>
      <c r="J251" s="1528" t="n">
        <v>0.01891</v>
      </c>
      <c r="K251" s="1528" t="n">
        <v>0.03026</v>
      </c>
      <c r="L251" s="1528"/>
      <c r="M251" s="1547" t="str">
        <f aca="false">IF($E251=M$3,M$2,"")</f>
        <v/>
      </c>
      <c r="N251" s="1547" t="str">
        <f aca="false">IF($E251=N$3,N$2,"")</f>
        <v/>
      </c>
      <c r="O251" s="1547" t="str">
        <f aca="false">IF($E251=O$3,O$2,"")</f>
        <v/>
      </c>
      <c r="P251" s="1528" t="str">
        <f aca="false">CONCATENATE(D251,M251,N251,O251)</f>
        <v>ALGARROBA</v>
      </c>
    </row>
    <row r="252" customFormat="false" ht="14.25" hidden="false" customHeight="false" outlineLevel="0" collapsed="false">
      <c r="A252" s="1528"/>
      <c r="B252" s="1528" t="n">
        <v>1</v>
      </c>
      <c r="C252" s="1528" t="n">
        <v>249</v>
      </c>
      <c r="D252" s="1528" t="s">
        <v>1295</v>
      </c>
      <c r="E252" s="1528" t="n">
        <v>0</v>
      </c>
      <c r="F252" s="1528" t="n">
        <v>114.19</v>
      </c>
      <c r="G252" s="1528" t="n">
        <v>240.4</v>
      </c>
      <c r="H252" s="1528" t="n">
        <v>500</v>
      </c>
      <c r="I252" s="1528" t="n">
        <v>1500</v>
      </c>
      <c r="J252" s="1528" t="n">
        <v>0.00479</v>
      </c>
      <c r="K252" s="1528" t="n">
        <v>0.01009</v>
      </c>
      <c r="L252" s="1528"/>
      <c r="M252" s="1547" t="str">
        <f aca="false">IF($E252=M$3,M$2,"")</f>
        <v/>
      </c>
      <c r="N252" s="1547" t="str">
        <f aca="false">IF($E252=N$3,N$2,"")</f>
        <v/>
      </c>
      <c r="O252" s="1547" t="str">
        <f aca="false">IF($E252=O$3,O$2,"")</f>
        <v/>
      </c>
      <c r="P252" s="1528" t="str">
        <f aca="false">CONCATENATE(D252,M252,N252,O252)</f>
        <v>ALVERJA</v>
      </c>
    </row>
    <row r="253" customFormat="false" ht="14.25" hidden="false" customHeight="false" outlineLevel="0" collapsed="false">
      <c r="A253" s="1528"/>
      <c r="B253" s="1528" t="n">
        <v>1</v>
      </c>
      <c r="C253" s="1528" t="n">
        <v>250</v>
      </c>
      <c r="D253" s="1528" t="s">
        <v>1296</v>
      </c>
      <c r="E253" s="1528" t="n">
        <v>0</v>
      </c>
      <c r="F253" s="1528" t="n">
        <v>114.19</v>
      </c>
      <c r="G253" s="1528" t="n">
        <v>240.4</v>
      </c>
      <c r="H253" s="1528" t="n">
        <v>500</v>
      </c>
      <c r="I253" s="1528" t="n">
        <v>1500</v>
      </c>
      <c r="J253" s="1528" t="n">
        <v>0.00479</v>
      </c>
      <c r="K253" s="1528" t="n">
        <v>0.01009</v>
      </c>
      <c r="L253" s="1528"/>
      <c r="M253" s="1547" t="str">
        <f aca="false">IF($E253=M$3,M$2,"")</f>
        <v/>
      </c>
      <c r="N253" s="1547" t="str">
        <f aca="false">IF($E253=N$3,N$2,"")</f>
        <v/>
      </c>
      <c r="O253" s="1547" t="str">
        <f aca="false">IF($E253=O$3,O$2,"")</f>
        <v/>
      </c>
      <c r="P253" s="1528" t="str">
        <f aca="false">CONCATENATE(D253,M253,N253,O253)</f>
        <v>ALBERJÓN</v>
      </c>
    </row>
    <row r="254" customFormat="false" ht="14.25" hidden="false" customHeight="false" outlineLevel="0" collapsed="false">
      <c r="A254" s="1528"/>
      <c r="B254" s="1528" t="n">
        <v>5</v>
      </c>
      <c r="C254" s="1528" t="n">
        <v>251</v>
      </c>
      <c r="D254" s="1528" t="s">
        <v>1297</v>
      </c>
      <c r="E254" s="1528" t="n">
        <v>0</v>
      </c>
      <c r="F254" s="1528" t="n">
        <v>114.19</v>
      </c>
      <c r="G254" s="1528" t="n">
        <v>240.4</v>
      </c>
      <c r="H254" s="1528" t="n">
        <v>1000</v>
      </c>
      <c r="I254" s="1528" t="n">
        <v>3800</v>
      </c>
      <c r="J254" s="1528" t="n">
        <v>0.00479</v>
      </c>
      <c r="K254" s="1528" t="n">
        <v>0.01009</v>
      </c>
      <c r="L254" s="1528"/>
      <c r="M254" s="1547" t="str">
        <f aca="false">IF($E254=M$3,M$2,"")</f>
        <v/>
      </c>
      <c r="N254" s="1547" t="str">
        <f aca="false">IF($E254=N$3,N$2,"")</f>
        <v/>
      </c>
      <c r="O254" s="1547" t="str">
        <f aca="false">IF($E254=O$3,O$2,"")</f>
        <v/>
      </c>
      <c r="P254" s="1528" t="str">
        <f aca="false">CONCATENATE(D254,M254,N254,O254)</f>
        <v>AJEDREA</v>
      </c>
    </row>
    <row r="255" customFormat="false" ht="14.25" hidden="false" customHeight="false" outlineLevel="0" collapsed="false">
      <c r="A255" s="1528"/>
      <c r="B255" s="1528" t="n">
        <v>5</v>
      </c>
      <c r="C255" s="1528" t="n">
        <v>252</v>
      </c>
      <c r="D255" s="1528" t="s">
        <v>1298</v>
      </c>
      <c r="E255" s="1528" t="n">
        <v>0</v>
      </c>
      <c r="F255" s="1528" t="n">
        <v>114.19</v>
      </c>
      <c r="G255" s="1528" t="n">
        <v>240.4</v>
      </c>
      <c r="H255" s="1528" t="n">
        <v>1000</v>
      </c>
      <c r="I255" s="1528" t="n">
        <v>3800</v>
      </c>
      <c r="J255" s="1528" t="n">
        <v>0.00479</v>
      </c>
      <c r="K255" s="1528" t="n">
        <v>0.01009</v>
      </c>
      <c r="L255" s="1528"/>
      <c r="M255" s="1547" t="str">
        <f aca="false">IF($E255=M$3,M$2,"")</f>
        <v/>
      </c>
      <c r="N255" s="1547" t="str">
        <f aca="false">IF($E255=N$3,N$2,"")</f>
        <v/>
      </c>
      <c r="O255" s="1547" t="str">
        <f aca="false">IF($E255=O$3,O$2,"")</f>
        <v/>
      </c>
      <c r="P255" s="1528" t="str">
        <f aca="false">CONCATENATE(D255,M255,N255,O255)</f>
        <v>CILANTRO</v>
      </c>
    </row>
    <row r="256" customFormat="false" ht="14.25" hidden="false" customHeight="false" outlineLevel="0" collapsed="false">
      <c r="A256" s="1528"/>
      <c r="B256" s="1528" t="n">
        <v>5</v>
      </c>
      <c r="C256" s="1528" t="n">
        <v>253</v>
      </c>
      <c r="D256" s="1528" t="s">
        <v>1299</v>
      </c>
      <c r="E256" s="1528" t="n">
        <v>0</v>
      </c>
      <c r="F256" s="1528" t="n">
        <v>114.19</v>
      </c>
      <c r="G256" s="1528" t="n">
        <v>240.4</v>
      </c>
      <c r="H256" s="1528" t="n">
        <v>1000</v>
      </c>
      <c r="I256" s="1528" t="n">
        <v>3800</v>
      </c>
      <c r="J256" s="1528" t="n">
        <v>0.00479</v>
      </c>
      <c r="K256" s="1528" t="n">
        <v>0.01009</v>
      </c>
      <c r="L256" s="1528"/>
      <c r="M256" s="1547" t="str">
        <f aca="false">IF($E256=M$3,M$2,"")</f>
        <v/>
      </c>
      <c r="N256" s="1547" t="str">
        <f aca="false">IF($E256=N$3,N$2,"")</f>
        <v/>
      </c>
      <c r="O256" s="1547" t="str">
        <f aca="false">IF($E256=O$3,O$2,"")</f>
        <v/>
      </c>
      <c r="P256" s="1528" t="str">
        <f aca="false">CONCATENATE(D256,M256,N256,O256)</f>
        <v>ANÍS DULCE</v>
      </c>
    </row>
    <row r="257" customFormat="false" ht="14.25" hidden="false" customHeight="false" outlineLevel="0" collapsed="false">
      <c r="A257" s="1528"/>
      <c r="B257" s="1528" t="n">
        <v>5</v>
      </c>
      <c r="C257" s="1528" t="n">
        <v>254</v>
      </c>
      <c r="D257" s="1528" t="s">
        <v>1300</v>
      </c>
      <c r="E257" s="1528" t="n">
        <v>0</v>
      </c>
      <c r="F257" s="1528" t="n">
        <v>114.19</v>
      </c>
      <c r="G257" s="1528" t="n">
        <v>240.4</v>
      </c>
      <c r="H257" s="1528" t="n">
        <v>1000</v>
      </c>
      <c r="I257" s="1528" t="n">
        <v>3800</v>
      </c>
      <c r="J257" s="1528" t="n">
        <v>0.00479</v>
      </c>
      <c r="K257" s="1528" t="n">
        <v>0.01009</v>
      </c>
      <c r="L257" s="1528"/>
      <c r="M257" s="1547" t="str">
        <f aca="false">IF($E257=M$3,M$2,"")</f>
        <v/>
      </c>
      <c r="N257" s="1547" t="str">
        <f aca="false">IF($E257=N$3,N$2,"")</f>
        <v/>
      </c>
      <c r="O257" s="1547" t="str">
        <f aca="false">IF($E257=O$3,O$2,"")</f>
        <v/>
      </c>
      <c r="P257" s="1528" t="str">
        <f aca="false">CONCATENATE(D257,M257,N257,O257)</f>
        <v>ENELDO</v>
      </c>
    </row>
    <row r="258" customFormat="false" ht="14.25" hidden="false" customHeight="false" outlineLevel="0" collapsed="false">
      <c r="A258" s="1528"/>
      <c r="B258" s="1528" t="n">
        <v>5</v>
      </c>
      <c r="C258" s="1528" t="n">
        <v>256</v>
      </c>
      <c r="D258" s="1528" t="s">
        <v>1301</v>
      </c>
      <c r="E258" s="1528" t="n">
        <v>0</v>
      </c>
      <c r="F258" s="1528" t="n">
        <v>114.19</v>
      </c>
      <c r="G258" s="1528" t="n">
        <v>240.4</v>
      </c>
      <c r="H258" s="1528" t="n">
        <v>1000</v>
      </c>
      <c r="I258" s="1528" t="n">
        <v>3800</v>
      </c>
      <c r="J258" s="1528" t="n">
        <v>0.00479</v>
      </c>
      <c r="K258" s="1528" t="n">
        <v>0.01009</v>
      </c>
      <c r="L258" s="1528"/>
      <c r="M258" s="1547" t="str">
        <f aca="false">IF($E258=M$3,M$2,"")</f>
        <v/>
      </c>
      <c r="N258" s="1547" t="str">
        <f aca="false">IF($E258=N$3,N$2,"")</f>
        <v/>
      </c>
      <c r="O258" s="1547" t="str">
        <f aca="false">IF($E258=O$3,O$2,"")</f>
        <v/>
      </c>
      <c r="P258" s="1528" t="str">
        <f aca="false">CONCATENATE(D258,M258,N258,O258)</f>
        <v>VALERIANA</v>
      </c>
    </row>
    <row r="259" customFormat="false" ht="14.25" hidden="false" customHeight="false" outlineLevel="0" collapsed="false">
      <c r="A259" s="1528"/>
      <c r="B259" s="1528" t="n">
        <v>5</v>
      </c>
      <c r="C259" s="1528" t="n">
        <v>257</v>
      </c>
      <c r="D259" s="1528" t="s">
        <v>1302</v>
      </c>
      <c r="E259" s="1528" t="n">
        <v>0</v>
      </c>
      <c r="F259" s="1528" t="n">
        <v>114.19</v>
      </c>
      <c r="G259" s="1528" t="n">
        <v>240.4</v>
      </c>
      <c r="H259" s="1528" t="n">
        <v>1000</v>
      </c>
      <c r="I259" s="1528" t="n">
        <v>3800</v>
      </c>
      <c r="J259" s="1528" t="n">
        <v>0.00479</v>
      </c>
      <c r="K259" s="1528" t="n">
        <v>0.01009</v>
      </c>
      <c r="L259" s="1528"/>
      <c r="M259" s="1547" t="str">
        <f aca="false">IF($E259=M$3,M$2,"")</f>
        <v/>
      </c>
      <c r="N259" s="1547" t="str">
        <f aca="false">IF($E259=N$3,N$2,"")</f>
        <v/>
      </c>
      <c r="O259" s="1547" t="str">
        <f aca="false">IF($E259=O$3,O$2,"")</f>
        <v/>
      </c>
      <c r="P259" s="1528" t="str">
        <f aca="false">CONCATENATE(D259,M259,N259,O259)</f>
        <v>ARTEMISA</v>
      </c>
    </row>
    <row r="260" customFormat="false" ht="14.25" hidden="false" customHeight="false" outlineLevel="0" collapsed="false">
      <c r="A260" s="1528"/>
      <c r="B260" s="1528" t="n">
        <v>5</v>
      </c>
      <c r="C260" s="1528" t="n">
        <v>258</v>
      </c>
      <c r="D260" s="1528" t="s">
        <v>1303</v>
      </c>
      <c r="E260" s="1528" t="n">
        <v>0</v>
      </c>
      <c r="F260" s="1528" t="n">
        <v>114.19</v>
      </c>
      <c r="G260" s="1528" t="n">
        <v>240.4</v>
      </c>
      <c r="H260" s="1528" t="n">
        <v>1000</v>
      </c>
      <c r="I260" s="1528" t="n">
        <v>3800</v>
      </c>
      <c r="J260" s="1528" t="n">
        <v>0.00479</v>
      </c>
      <c r="K260" s="1528" t="n">
        <v>0.01009</v>
      </c>
      <c r="L260" s="1528"/>
      <c r="M260" s="1547" t="str">
        <f aca="false">IF($E260=M$3,M$2,"")</f>
        <v/>
      </c>
      <c r="N260" s="1547" t="str">
        <f aca="false">IF($E260=N$3,N$2,"")</f>
        <v/>
      </c>
      <c r="O260" s="1547" t="str">
        <f aca="false">IF($E260=O$3,O$2,"")</f>
        <v/>
      </c>
      <c r="P260" s="1528" t="str">
        <f aca="false">CONCATENATE(D260,M260,N260,O260)</f>
        <v>GENCIANA</v>
      </c>
    </row>
    <row r="261" customFormat="false" ht="14.25" hidden="false" customHeight="false" outlineLevel="0" collapsed="false">
      <c r="A261" s="1528"/>
      <c r="B261" s="1528" t="n">
        <v>5</v>
      </c>
      <c r="C261" s="1528" t="n">
        <v>259</v>
      </c>
      <c r="D261" s="1528" t="s">
        <v>1304</v>
      </c>
      <c r="E261" s="1528" t="n">
        <v>0</v>
      </c>
      <c r="F261" s="1528" t="n">
        <v>114.19</v>
      </c>
      <c r="G261" s="1528" t="n">
        <v>240.4</v>
      </c>
      <c r="H261" s="1528" t="n">
        <v>1000</v>
      </c>
      <c r="I261" s="1528" t="n">
        <v>3800</v>
      </c>
      <c r="J261" s="1528" t="n">
        <v>0.00479</v>
      </c>
      <c r="K261" s="1528" t="n">
        <v>0.01009</v>
      </c>
      <c r="L261" s="1528"/>
      <c r="M261" s="1547" t="str">
        <f aca="false">IF($E261=M$3,M$2,"")</f>
        <v/>
      </c>
      <c r="N261" s="1547" t="str">
        <f aca="false">IF($E261=N$3,N$2,"")</f>
        <v/>
      </c>
      <c r="O261" s="1547" t="str">
        <f aca="false">IF($E261=O$3,O$2,"")</f>
        <v/>
      </c>
      <c r="P261" s="1528" t="str">
        <f aca="false">CONCATENATE(D261,M261,N261,O261)</f>
        <v>HISOPO</v>
      </c>
    </row>
    <row r="262" customFormat="false" ht="14.25" hidden="false" customHeight="false" outlineLevel="0" collapsed="false">
      <c r="A262" s="1528"/>
      <c r="B262" s="1528" t="n">
        <v>5</v>
      </c>
      <c r="C262" s="1528" t="n">
        <v>260</v>
      </c>
      <c r="D262" s="1528" t="s">
        <v>1305</v>
      </c>
      <c r="E262" s="1528" t="n">
        <v>0</v>
      </c>
      <c r="F262" s="1528" t="n">
        <v>114.19</v>
      </c>
      <c r="G262" s="1528" t="n">
        <v>240.4</v>
      </c>
      <c r="H262" s="1528" t="n">
        <v>1000</v>
      </c>
      <c r="I262" s="1528" t="n">
        <v>3800</v>
      </c>
      <c r="J262" s="1528" t="n">
        <v>0.00479</v>
      </c>
      <c r="K262" s="1528" t="n">
        <v>0.01009</v>
      </c>
      <c r="L262" s="1528"/>
      <c r="M262" s="1547" t="str">
        <f aca="false">IF($E262=M$3,M$2,"")</f>
        <v/>
      </c>
      <c r="N262" s="1547" t="str">
        <f aca="false">IF($E262=N$3,N$2,"")</f>
        <v/>
      </c>
      <c r="O262" s="1547" t="str">
        <f aca="false">IF($E262=O$3,O$2,"")</f>
        <v/>
      </c>
      <c r="P262" s="1528" t="str">
        <f aca="false">CONCATENATE(D262,M262,N262,O262)</f>
        <v>HINOJO</v>
      </c>
    </row>
    <row r="263" customFormat="false" ht="14.25" hidden="false" customHeight="false" outlineLevel="0" collapsed="false">
      <c r="A263" s="1528"/>
      <c r="B263" s="1528" t="n">
        <v>5</v>
      </c>
      <c r="C263" s="1528" t="n">
        <v>261</v>
      </c>
      <c r="D263" s="1528" t="s">
        <v>1306</v>
      </c>
      <c r="E263" s="1528" t="n">
        <v>0</v>
      </c>
      <c r="F263" s="1528" t="n">
        <v>114.19</v>
      </c>
      <c r="G263" s="1528" t="n">
        <v>240.4</v>
      </c>
      <c r="H263" s="1528" t="n">
        <v>1000</v>
      </c>
      <c r="I263" s="1528" t="n">
        <v>3800</v>
      </c>
      <c r="J263" s="1528" t="n">
        <v>0.00479</v>
      </c>
      <c r="K263" s="1528" t="n">
        <v>0.01009</v>
      </c>
      <c r="L263" s="1528"/>
      <c r="M263" s="1547" t="str">
        <f aca="false">IF($E263=M$3,M$2,"")</f>
        <v/>
      </c>
      <c r="N263" s="1547" t="str">
        <f aca="false">IF($E263=N$3,N$2,"")</f>
        <v/>
      </c>
      <c r="O263" s="1547" t="str">
        <f aca="false">IF($E263=O$3,O$2,"")</f>
        <v/>
      </c>
      <c r="P263" s="1528" t="str">
        <f aca="false">CONCATENATE(D263,M263,N263,O263)</f>
        <v>PEREJIL</v>
      </c>
    </row>
    <row r="264" customFormat="false" ht="14.25" hidden="false" customHeight="false" outlineLevel="0" collapsed="false">
      <c r="A264" s="1528"/>
      <c r="B264" s="1528" t="n">
        <v>5</v>
      </c>
      <c r="C264" s="1528" t="n">
        <v>262</v>
      </c>
      <c r="D264" s="1528" t="s">
        <v>1307</v>
      </c>
      <c r="E264" s="1528" t="n">
        <v>0</v>
      </c>
      <c r="F264" s="1528" t="n">
        <v>2000</v>
      </c>
      <c r="G264" s="1528" t="n">
        <v>2500</v>
      </c>
      <c r="H264" s="1528" t="n">
        <v>5431.36</v>
      </c>
      <c r="I264" s="1528" t="n">
        <v>12000</v>
      </c>
      <c r="J264" s="1528" t="n">
        <v>0.08391</v>
      </c>
      <c r="K264" s="1528" t="n">
        <v>0.10489</v>
      </c>
      <c r="L264" s="1528"/>
      <c r="M264" s="1547" t="str">
        <f aca="false">IF($E264=M$3,M$2,"")</f>
        <v/>
      </c>
      <c r="N264" s="1547" t="str">
        <f aca="false">IF($E264=N$3,N$2,"")</f>
        <v/>
      </c>
      <c r="O264" s="1547" t="str">
        <f aca="false">IF($E264=O$3,O$2,"")</f>
        <v/>
      </c>
      <c r="P264" s="1528" t="str">
        <f aca="false">CONCATENATE(D264,M264,N264,O264)</f>
        <v>AZAFRÁN</v>
      </c>
    </row>
    <row r="265" customFormat="false" ht="14.25" hidden="false" customHeight="false" outlineLevel="0" collapsed="false">
      <c r="A265" s="1528"/>
      <c r="B265" s="1528" t="n">
        <v>5</v>
      </c>
      <c r="C265" s="1528" t="n">
        <v>263</v>
      </c>
      <c r="D265" s="1528" t="s">
        <v>1308</v>
      </c>
      <c r="E265" s="1528" t="n">
        <v>0</v>
      </c>
      <c r="F265" s="1528" t="n">
        <v>114.19</v>
      </c>
      <c r="G265" s="1528" t="n">
        <v>240.4</v>
      </c>
      <c r="H265" s="1528" t="n">
        <v>1000</v>
      </c>
      <c r="I265" s="1528" t="n">
        <v>3800</v>
      </c>
      <c r="J265" s="1528" t="n">
        <v>0.00479</v>
      </c>
      <c r="K265" s="1528" t="n">
        <v>0.01009</v>
      </c>
      <c r="L265" s="1528"/>
      <c r="M265" s="1547" t="str">
        <f aca="false">IF($E265=M$3,M$2,"")</f>
        <v/>
      </c>
      <c r="N265" s="1547" t="str">
        <f aca="false">IF($E265=N$3,N$2,"")</f>
        <v/>
      </c>
      <c r="O265" s="1547" t="str">
        <f aca="false">IF($E265=O$3,O$2,"")</f>
        <v/>
      </c>
      <c r="P265" s="1528" t="str">
        <f aca="false">CONCATENATE(D265,M265,N265,O265)</f>
        <v>TOMILLO</v>
      </c>
    </row>
    <row r="266" customFormat="false" ht="14.25" hidden="false" customHeight="false" outlineLevel="0" collapsed="false">
      <c r="A266" s="1528"/>
      <c r="B266" s="1528" t="n">
        <v>5</v>
      </c>
      <c r="C266" s="1528" t="n">
        <v>264</v>
      </c>
      <c r="D266" s="1528" t="s">
        <v>1309</v>
      </c>
      <c r="E266" s="1528" t="n">
        <v>0</v>
      </c>
      <c r="F266" s="1528" t="n">
        <v>114.19</v>
      </c>
      <c r="G266" s="1528" t="n">
        <v>240.4</v>
      </c>
      <c r="H266" s="1528" t="n">
        <v>1000</v>
      </c>
      <c r="I266" s="1528" t="n">
        <v>3800</v>
      </c>
      <c r="J266" s="1528" t="n">
        <v>0.00479</v>
      </c>
      <c r="K266" s="1528" t="n">
        <v>0.01009</v>
      </c>
      <c r="L266" s="1528"/>
      <c r="M266" s="1547" t="str">
        <f aca="false">IF($E266=M$3,M$2,"")</f>
        <v/>
      </c>
      <c r="N266" s="1547" t="str">
        <f aca="false">IF($E266=N$3,N$2,"")</f>
        <v/>
      </c>
      <c r="O266" s="1547" t="str">
        <f aca="false">IF($E266=O$3,O$2,"")</f>
        <v/>
      </c>
      <c r="P266" s="1528" t="str">
        <f aca="false">CONCATENATE(D266,M266,N266,O266)</f>
        <v>ALBAHACA</v>
      </c>
    </row>
    <row r="267" customFormat="false" ht="14.25" hidden="false" customHeight="false" outlineLevel="0" collapsed="false">
      <c r="A267" s="1528"/>
      <c r="B267" s="1528" t="n">
        <v>5</v>
      </c>
      <c r="C267" s="1528" t="n">
        <v>265</v>
      </c>
      <c r="D267" s="1528" t="s">
        <v>1310</v>
      </c>
      <c r="E267" s="1528" t="n">
        <v>0</v>
      </c>
      <c r="F267" s="1528" t="n">
        <v>114.19</v>
      </c>
      <c r="G267" s="1528" t="n">
        <v>240.4</v>
      </c>
      <c r="H267" s="1528" t="n">
        <v>1000</v>
      </c>
      <c r="I267" s="1528" t="n">
        <v>3800</v>
      </c>
      <c r="J267" s="1528" t="n">
        <v>0.00479</v>
      </c>
      <c r="K267" s="1528" t="n">
        <v>0.01009</v>
      </c>
      <c r="L267" s="1528"/>
      <c r="M267" s="1547" t="str">
        <f aca="false">IF($E267=M$3,M$2,"")</f>
        <v/>
      </c>
      <c r="N267" s="1547" t="str">
        <f aca="false">IF($E267=N$3,N$2,"")</f>
        <v/>
      </c>
      <c r="O267" s="1547" t="str">
        <f aca="false">IF($E267=O$3,O$2,"")</f>
        <v/>
      </c>
      <c r="P267" s="1528" t="str">
        <f aca="false">CONCATENATE(D267,M267,N267,O267)</f>
        <v>MELISA O TORONJIL</v>
      </c>
    </row>
    <row r="268" customFormat="false" ht="14.25" hidden="false" customHeight="false" outlineLevel="0" collapsed="false">
      <c r="A268" s="1528"/>
      <c r="B268" s="1528" t="n">
        <v>5</v>
      </c>
      <c r="C268" s="1528" t="n">
        <v>266</v>
      </c>
      <c r="D268" s="1528" t="s">
        <v>1311</v>
      </c>
      <c r="E268" s="1528" t="n">
        <v>0</v>
      </c>
      <c r="F268" s="1528" t="n">
        <v>114.19</v>
      </c>
      <c r="G268" s="1528" t="n">
        <v>240.4</v>
      </c>
      <c r="H268" s="1528" t="n">
        <v>1000</v>
      </c>
      <c r="I268" s="1528" t="n">
        <v>3800</v>
      </c>
      <c r="J268" s="1528" t="n">
        <v>0.00479</v>
      </c>
      <c r="K268" s="1528" t="n">
        <v>0.01009</v>
      </c>
      <c r="L268" s="1528"/>
      <c r="M268" s="1547" t="str">
        <f aca="false">IF($E268=M$3,M$2,"")</f>
        <v/>
      </c>
      <c r="N268" s="1547" t="str">
        <f aca="false">IF($E268=N$3,N$2,"")</f>
        <v/>
      </c>
      <c r="O268" s="1547" t="str">
        <f aca="false">IF($E268=O$3,O$2,"")</f>
        <v/>
      </c>
      <c r="P268" s="1528" t="str">
        <f aca="false">CONCATENATE(D268,M268,N268,O268)</f>
        <v>MENTA</v>
      </c>
    </row>
    <row r="269" customFormat="false" ht="14.25" hidden="false" customHeight="false" outlineLevel="0" collapsed="false">
      <c r="A269" s="1528"/>
      <c r="B269" s="1528" t="n">
        <v>5</v>
      </c>
      <c r="C269" s="1528" t="n">
        <v>267</v>
      </c>
      <c r="D269" s="1528" t="s">
        <v>1312</v>
      </c>
      <c r="E269" s="1528" t="n">
        <v>0</v>
      </c>
      <c r="F269" s="1528" t="n">
        <v>114.19</v>
      </c>
      <c r="G269" s="1528" t="n">
        <v>240.4</v>
      </c>
      <c r="H269" s="1528" t="n">
        <v>1000</v>
      </c>
      <c r="I269" s="1528" t="n">
        <v>3800</v>
      </c>
      <c r="J269" s="1528" t="n">
        <v>0.00479</v>
      </c>
      <c r="K269" s="1528" t="n">
        <v>0.01009</v>
      </c>
      <c r="L269" s="1528"/>
      <c r="M269" s="1547" t="str">
        <f aca="false">IF($E269=M$3,M$2,"")</f>
        <v/>
      </c>
      <c r="N269" s="1547" t="str">
        <f aca="false">IF($E269=N$3,N$2,"")</f>
        <v/>
      </c>
      <c r="O269" s="1547" t="str">
        <f aca="false">IF($E269=O$3,O$2,"")</f>
        <v/>
      </c>
      <c r="P269" s="1528" t="str">
        <f aca="false">CONCATENATE(D269,M269,N269,O269)</f>
        <v>ORÉGANO</v>
      </c>
    </row>
    <row r="270" customFormat="false" ht="14.25" hidden="false" customHeight="false" outlineLevel="0" collapsed="false">
      <c r="A270" s="1528"/>
      <c r="B270" s="1528" t="n">
        <v>5</v>
      </c>
      <c r="C270" s="1528" t="n">
        <v>268</v>
      </c>
      <c r="D270" s="1528" t="s">
        <v>1313</v>
      </c>
      <c r="E270" s="1528" t="n">
        <v>0</v>
      </c>
      <c r="F270" s="1528" t="n">
        <v>114.19</v>
      </c>
      <c r="G270" s="1528" t="n">
        <v>240.4</v>
      </c>
      <c r="H270" s="1528" t="n">
        <v>1000</v>
      </c>
      <c r="I270" s="1528" t="n">
        <v>3800</v>
      </c>
      <c r="J270" s="1528" t="n">
        <v>0.00479</v>
      </c>
      <c r="K270" s="1528" t="n">
        <v>0.01009</v>
      </c>
      <c r="L270" s="1528"/>
      <c r="M270" s="1547" t="str">
        <f aca="false">IF($E270=M$3,M$2,"")</f>
        <v/>
      </c>
      <c r="N270" s="1547" t="str">
        <f aca="false">IF($E270=N$3,N$2,"")</f>
        <v/>
      </c>
      <c r="O270" s="1547" t="str">
        <f aca="false">IF($E270=O$3,O$2,"")</f>
        <v/>
      </c>
      <c r="P270" s="1528" t="str">
        <f aca="false">CONCATENATE(D270,M270,N270,O270)</f>
        <v>SALVIA</v>
      </c>
    </row>
    <row r="271" customFormat="false" ht="14.25" hidden="false" customHeight="false" outlineLevel="0" collapsed="false">
      <c r="A271" s="1528"/>
      <c r="B271" s="1528" t="n">
        <v>5</v>
      </c>
      <c r="C271" s="1528" t="n">
        <v>269</v>
      </c>
      <c r="D271" s="1528" t="s">
        <v>1314</v>
      </c>
      <c r="E271" s="1528" t="n">
        <v>0</v>
      </c>
      <c r="F271" s="1528" t="n">
        <v>114.19</v>
      </c>
      <c r="G271" s="1528" t="n">
        <v>240.4</v>
      </c>
      <c r="H271" s="1528" t="n">
        <v>1000</v>
      </c>
      <c r="I271" s="1528" t="n">
        <v>3800</v>
      </c>
      <c r="J271" s="1528" t="n">
        <v>0.00479</v>
      </c>
      <c r="K271" s="1528" t="n">
        <v>0.01009</v>
      </c>
      <c r="L271" s="1528"/>
      <c r="M271" s="1547" t="str">
        <f aca="false">IF($E271=M$3,M$2,"")</f>
        <v/>
      </c>
      <c r="N271" s="1547" t="str">
        <f aca="false">IF($E271=N$3,N$2,"")</f>
        <v/>
      </c>
      <c r="O271" s="1547" t="str">
        <f aca="false">IF($E271=O$3,O$2,"")</f>
        <v/>
      </c>
      <c r="P271" s="1528" t="str">
        <f aca="false">CONCATENATE(D271,M271,N271,O271)</f>
        <v>PERIFOLLO</v>
      </c>
    </row>
    <row r="272" customFormat="false" ht="14.25" hidden="false" customHeight="false" outlineLevel="0" collapsed="false">
      <c r="A272" s="1528"/>
      <c r="B272" s="1528" t="n">
        <v>5</v>
      </c>
      <c r="C272" s="1528" t="n">
        <v>270</v>
      </c>
      <c r="D272" s="1528" t="s">
        <v>1315</v>
      </c>
      <c r="E272" s="1528" t="n">
        <v>0</v>
      </c>
      <c r="F272" s="1528" t="n">
        <v>114.19</v>
      </c>
      <c r="G272" s="1528" t="n">
        <v>240.4</v>
      </c>
      <c r="H272" s="1528" t="n">
        <v>1000</v>
      </c>
      <c r="I272" s="1528" t="n">
        <v>3800</v>
      </c>
      <c r="J272" s="1528" t="n">
        <v>0.00479</v>
      </c>
      <c r="K272" s="1528" t="n">
        <v>0.01009</v>
      </c>
      <c r="L272" s="1528"/>
      <c r="M272" s="1547" t="str">
        <f aca="false">IF($E272=M$3,M$2,"")</f>
        <v/>
      </c>
      <c r="N272" s="1547" t="str">
        <f aca="false">IF($E272=N$3,N$2,"")</f>
        <v/>
      </c>
      <c r="O272" s="1547" t="str">
        <f aca="false">IF($E272=O$3,O$2,"")</f>
        <v/>
      </c>
      <c r="P272" s="1528" t="str">
        <f aca="false">CONCATENATE(D272,M272,N272,O272)</f>
        <v>ESTRAGÓN</v>
      </c>
    </row>
    <row r="273" customFormat="false" ht="14.25" hidden="false" customHeight="false" outlineLevel="0" collapsed="false">
      <c r="A273" s="1528"/>
      <c r="B273" s="1528" t="n">
        <v>5</v>
      </c>
      <c r="C273" s="1528" t="n">
        <v>271</v>
      </c>
      <c r="D273" s="1528" t="s">
        <v>1316</v>
      </c>
      <c r="E273" s="1528" t="n">
        <v>0</v>
      </c>
      <c r="F273" s="1528" t="n">
        <v>114.19</v>
      </c>
      <c r="G273" s="1528" t="n">
        <v>240.4</v>
      </c>
      <c r="H273" s="1528" t="n">
        <v>1000</v>
      </c>
      <c r="I273" s="1528" t="n">
        <v>3800</v>
      </c>
      <c r="J273" s="1528" t="n">
        <v>0.00479</v>
      </c>
      <c r="K273" s="1528" t="n">
        <v>0.01009</v>
      </c>
      <c r="L273" s="1528"/>
      <c r="M273" s="1547" t="str">
        <f aca="false">IF($E273=M$3,M$2,"")</f>
        <v/>
      </c>
      <c r="N273" s="1547" t="str">
        <f aca="false">IF($E273=N$3,N$2,"")</f>
        <v/>
      </c>
      <c r="O273" s="1547" t="str">
        <f aca="false">IF($E273=O$3,O$2,"")</f>
        <v/>
      </c>
      <c r="P273" s="1528" t="str">
        <f aca="false">CONCATENATE(D273,M273,N273,O273)</f>
        <v>MEJORANA</v>
      </c>
    </row>
    <row r="274" customFormat="false" ht="14.25" hidden="false" customHeight="false" outlineLevel="0" collapsed="false">
      <c r="A274" s="1528"/>
      <c r="B274" s="1528" t="n">
        <v>5</v>
      </c>
      <c r="C274" s="1528" t="n">
        <v>272</v>
      </c>
      <c r="D274" s="1528" t="s">
        <v>1317</v>
      </c>
      <c r="E274" s="1528" t="n">
        <v>0</v>
      </c>
      <c r="F274" s="1528" t="n">
        <v>114.19</v>
      </c>
      <c r="G274" s="1528" t="n">
        <v>240.4</v>
      </c>
      <c r="H274" s="1528" t="n">
        <v>1000</v>
      </c>
      <c r="I274" s="1528" t="n">
        <v>3800</v>
      </c>
      <c r="J274" s="1528" t="n">
        <v>0.00479</v>
      </c>
      <c r="K274" s="1528" t="n">
        <v>0.01009</v>
      </c>
      <c r="L274" s="1528"/>
      <c r="M274" s="1547" t="str">
        <f aca="false">IF($E274=M$3,M$2,"")</f>
        <v/>
      </c>
      <c r="N274" s="1547" t="str">
        <f aca="false">IF($E274=N$3,N$2,"")</f>
        <v/>
      </c>
      <c r="O274" s="1547" t="str">
        <f aca="false">IF($E274=O$3,O$2,"")</f>
        <v/>
      </c>
      <c r="P274" s="1528" t="str">
        <f aca="false">CONCATENATE(D274,M274,N274,O274)</f>
        <v>CALÉNDULA</v>
      </c>
    </row>
    <row r="275" customFormat="false" ht="14.25" hidden="false" customHeight="false" outlineLevel="0" collapsed="false">
      <c r="A275" s="1528"/>
      <c r="B275" s="1528" t="n">
        <v>5</v>
      </c>
      <c r="C275" s="1528" t="n">
        <v>273</v>
      </c>
      <c r="D275" s="1528" t="s">
        <v>1318</v>
      </c>
      <c r="E275" s="1528" t="n">
        <v>0</v>
      </c>
      <c r="F275" s="1528" t="n">
        <v>114.19</v>
      </c>
      <c r="G275" s="1528" t="n">
        <v>240.4</v>
      </c>
      <c r="H275" s="1528" t="n">
        <v>1000</v>
      </c>
      <c r="I275" s="1528" t="n">
        <v>3800</v>
      </c>
      <c r="J275" s="1528" t="n">
        <v>0.00479</v>
      </c>
      <c r="K275" s="1528" t="n">
        <v>0.01009</v>
      </c>
      <c r="L275" s="1528"/>
      <c r="M275" s="1547" t="str">
        <f aca="false">IF($E275=M$3,M$2,"")</f>
        <v/>
      </c>
      <c r="N275" s="1547" t="str">
        <f aca="false">IF($E275=N$3,N$2,"")</f>
        <v/>
      </c>
      <c r="O275" s="1547" t="str">
        <f aca="false">IF($E275=O$3,O$2,"")</f>
        <v/>
      </c>
      <c r="P275" s="1528" t="str">
        <f aca="false">CONCATENATE(D275,M275,N275,O275)</f>
        <v>COMINO</v>
      </c>
    </row>
    <row r="276" customFormat="false" ht="14.25" hidden="false" customHeight="false" outlineLevel="0" collapsed="false">
      <c r="A276" s="1528"/>
      <c r="B276" s="1528" t="n">
        <v>5</v>
      </c>
      <c r="C276" s="1528" t="n">
        <v>274</v>
      </c>
      <c r="D276" s="1528" t="s">
        <v>1319</v>
      </c>
      <c r="E276" s="1528" t="n">
        <v>0</v>
      </c>
      <c r="F276" s="1528" t="n">
        <v>114.19</v>
      </c>
      <c r="G276" s="1528" t="n">
        <v>240.4</v>
      </c>
      <c r="H276" s="1528" t="n">
        <v>1000</v>
      </c>
      <c r="I276" s="1528" t="n">
        <v>3800</v>
      </c>
      <c r="J276" s="1528" t="n">
        <v>0.00479</v>
      </c>
      <c r="K276" s="1528" t="n">
        <v>0.01009</v>
      </c>
      <c r="L276" s="1528"/>
      <c r="M276" s="1547" t="str">
        <f aca="false">IF($E276=M$3,M$2,"")</f>
        <v/>
      </c>
      <c r="N276" s="1547" t="str">
        <f aca="false">IF($E276=N$3,N$2,"")</f>
        <v/>
      </c>
      <c r="O276" s="1547" t="str">
        <f aca="false">IF($E276=O$3,O$2,"")</f>
        <v/>
      </c>
      <c r="P276" s="1528" t="str">
        <f aca="false">CONCATENATE(D276,M276,N276,O276)</f>
        <v>ESTEVIA</v>
      </c>
    </row>
    <row r="277" customFormat="false" ht="14.25" hidden="false" customHeight="false" outlineLevel="0" collapsed="false">
      <c r="A277" s="1528"/>
      <c r="B277" s="1528" t="n">
        <v>5</v>
      </c>
      <c r="C277" s="1528" t="n">
        <v>275</v>
      </c>
      <c r="D277" s="1528" t="s">
        <v>1320</v>
      </c>
      <c r="E277" s="1528" t="n">
        <v>0</v>
      </c>
      <c r="F277" s="1528" t="n">
        <v>114.19</v>
      </c>
      <c r="G277" s="1528" t="n">
        <v>240.4</v>
      </c>
      <c r="H277" s="1528" t="n">
        <v>1000</v>
      </c>
      <c r="I277" s="1528" t="n">
        <v>3800</v>
      </c>
      <c r="J277" s="1528" t="n">
        <v>0.00479</v>
      </c>
      <c r="K277" s="1528" t="n">
        <v>0.01009</v>
      </c>
      <c r="L277" s="1528"/>
      <c r="M277" s="1547" t="str">
        <f aca="false">IF($E277=M$3,M$2,"")</f>
        <v/>
      </c>
      <c r="N277" s="1547" t="str">
        <f aca="false">IF($E277=N$3,N$2,"")</f>
        <v/>
      </c>
      <c r="O277" s="1547" t="str">
        <f aca="false">IF($E277=O$3,O$2,"")</f>
        <v/>
      </c>
      <c r="P277" s="1528" t="str">
        <f aca="false">CONCATENATE(D277,M277,N277,O277)</f>
        <v>HIPÉRICO</v>
      </c>
    </row>
    <row r="278" customFormat="false" ht="14.25" hidden="false" customHeight="false" outlineLevel="0" collapsed="false">
      <c r="A278" s="1528"/>
      <c r="B278" s="1528" t="n">
        <v>5</v>
      </c>
      <c r="C278" s="1528" t="n">
        <v>276</v>
      </c>
      <c r="D278" s="1528" t="s">
        <v>1321</v>
      </c>
      <c r="E278" s="1528" t="n">
        <v>0</v>
      </c>
      <c r="F278" s="1528" t="n">
        <v>114.19</v>
      </c>
      <c r="G278" s="1528" t="n">
        <v>240.4</v>
      </c>
      <c r="H278" s="1528" t="n">
        <v>1000</v>
      </c>
      <c r="I278" s="1528" t="n">
        <v>3800</v>
      </c>
      <c r="J278" s="1528" t="n">
        <v>0.00479</v>
      </c>
      <c r="K278" s="1528" t="n">
        <v>0.01009</v>
      </c>
      <c r="L278" s="1528"/>
      <c r="M278" s="1547" t="str">
        <f aca="false">IF($E278=M$3,M$2,"")</f>
        <v/>
      </c>
      <c r="N278" s="1547" t="str">
        <f aca="false">IF($E278=N$3,N$2,"")</f>
        <v/>
      </c>
      <c r="O278" s="1547" t="str">
        <f aca="false">IF($E278=O$3,O$2,"")</f>
        <v/>
      </c>
      <c r="P278" s="1528" t="str">
        <f aca="false">CONCATENATE(D278,M278,N278,O278)</f>
        <v>HIERBABUENA</v>
      </c>
    </row>
    <row r="279" customFormat="false" ht="14.25" hidden="false" customHeight="false" outlineLevel="0" collapsed="false">
      <c r="A279" s="1528"/>
      <c r="B279" s="1528" t="n">
        <v>5</v>
      </c>
      <c r="C279" s="1528" t="n">
        <v>277</v>
      </c>
      <c r="D279" s="1528" t="s">
        <v>1322</v>
      </c>
      <c r="E279" s="1528" t="n">
        <v>0</v>
      </c>
      <c r="F279" s="1528" t="n">
        <v>114.19</v>
      </c>
      <c r="G279" s="1528" t="n">
        <v>240.4</v>
      </c>
      <c r="H279" s="1528" t="n">
        <v>1000</v>
      </c>
      <c r="I279" s="1528" t="n">
        <v>3800</v>
      </c>
      <c r="J279" s="1528" t="n">
        <v>0.00479</v>
      </c>
      <c r="K279" s="1528" t="n">
        <v>0.01009</v>
      </c>
      <c r="L279" s="1528"/>
      <c r="M279" s="1547" t="str">
        <f aca="false">IF($E279=M$3,M$2,"")</f>
        <v/>
      </c>
      <c r="N279" s="1547" t="str">
        <f aca="false">IF($E279=N$3,N$2,"")</f>
        <v/>
      </c>
      <c r="O279" s="1547" t="str">
        <f aca="false">IF($E279=O$3,O$2,"")</f>
        <v/>
      </c>
      <c r="P279" s="1528" t="str">
        <f aca="false">CONCATENATE(D279,M279,N279,O279)</f>
        <v>VERBENA</v>
      </c>
    </row>
    <row r="280" customFormat="false" ht="14.25" hidden="false" customHeight="false" outlineLevel="0" collapsed="false">
      <c r="A280" s="1528"/>
      <c r="B280" s="1528" t="n">
        <v>2</v>
      </c>
      <c r="C280" s="1528" t="n">
        <v>278</v>
      </c>
      <c r="D280" s="1528" t="s">
        <v>1323</v>
      </c>
      <c r="E280" s="1528" t="n">
        <v>0</v>
      </c>
      <c r="F280" s="1528" t="n">
        <v>450.76</v>
      </c>
      <c r="G280" s="1528" t="n">
        <v>721.21</v>
      </c>
      <c r="H280" s="1528" t="n">
        <v>1000</v>
      </c>
      <c r="I280" s="1528" t="n">
        <v>3800</v>
      </c>
      <c r="J280" s="1528" t="n">
        <v>0.01891</v>
      </c>
      <c r="K280" s="1528" t="n">
        <v>0.03026</v>
      </c>
      <c r="L280" s="1528"/>
      <c r="M280" s="1547" t="str">
        <f aca="false">IF($E280=M$3,M$2,"")</f>
        <v/>
      </c>
      <c r="N280" s="1547" t="str">
        <f aca="false">IF($E280=N$3,N$2,"")</f>
        <v/>
      </c>
      <c r="O280" s="1547" t="str">
        <f aca="false">IF($E280=O$3,O$2,"")</f>
        <v/>
      </c>
      <c r="P280" s="1528" t="str">
        <f aca="false">CONCATENATE(D280,M280,N280,O280)</f>
        <v>FRUTOS DEL BOSQUE</v>
      </c>
    </row>
    <row r="281" customFormat="false" ht="14.25" hidden="false" customHeight="false" outlineLevel="0" collapsed="false">
      <c r="A281" s="1528"/>
      <c r="B281" s="1528" t="n">
        <v>4</v>
      </c>
      <c r="C281" s="1528" t="n">
        <v>279</v>
      </c>
      <c r="D281" s="1528" t="s">
        <v>1324</v>
      </c>
      <c r="E281" s="1528" t="n">
        <v>0</v>
      </c>
      <c r="F281" s="1528" t="n">
        <v>901.92</v>
      </c>
      <c r="G281" s="1528" t="n">
        <v>2404.05</v>
      </c>
      <c r="H281" s="1528" t="n">
        <v>947.29</v>
      </c>
      <c r="I281" s="1528" t="n">
        <v>7200</v>
      </c>
      <c r="J281" s="1528" t="n">
        <v>0.03784</v>
      </c>
      <c r="K281" s="1528" t="n">
        <v>0.10086</v>
      </c>
      <c r="L281" s="1528"/>
      <c r="M281" s="1547" t="str">
        <f aca="false">IF($E281=M$3,M$2,"")</f>
        <v/>
      </c>
      <c r="N281" s="1547" t="str">
        <f aca="false">IF($E281=N$3,N$2,"")</f>
        <v/>
      </c>
      <c r="O281" s="1547" t="str">
        <f aca="false">IF($E281=O$3,O$2,"")</f>
        <v/>
      </c>
      <c r="P281" s="1528" t="str">
        <f aca="false">CONCATENATE(D281,M281,N281,O281)</f>
        <v>ESPÁRRAGO</v>
      </c>
    </row>
    <row r="282" customFormat="false" ht="14.25" hidden="false" customHeight="false" outlineLevel="0" collapsed="false">
      <c r="A282" s="1528"/>
      <c r="B282" s="1528" t="n">
        <v>4</v>
      </c>
      <c r="C282" s="1528" t="n">
        <v>279</v>
      </c>
      <c r="D282" s="1528" t="s">
        <v>1325</v>
      </c>
      <c r="E282" s="1528" t="n">
        <v>4</v>
      </c>
      <c r="F282" s="1528" t="n">
        <v>0</v>
      </c>
      <c r="G282" s="1528" t="n">
        <v>36060.73</v>
      </c>
      <c r="H282" s="1528" t="n">
        <v>0</v>
      </c>
      <c r="I282" s="1528" t="n">
        <v>80000</v>
      </c>
      <c r="J282" s="1528" t="n">
        <v>0</v>
      </c>
      <c r="K282" s="1528" t="n">
        <v>1.51294</v>
      </c>
      <c r="L282" s="1528"/>
      <c r="M282" s="1547" t="str">
        <f aca="false">IF($E282=M$3,M$2,"")</f>
        <v> en Invernadero</v>
      </c>
      <c r="N282" s="1547" t="str">
        <f aca="false">IF($E282=N$3,N$2,"")</f>
        <v/>
      </c>
      <c r="O282" s="1547" t="str">
        <f aca="false">IF($E282=O$3,O$2,"")</f>
        <v/>
      </c>
      <c r="P282" s="1528" t="str">
        <f aca="false">CONCATENATE(D282,M282,N282,O282)</f>
        <v>ESPÁRRAGO en Invernadero en Invernadero</v>
      </c>
    </row>
    <row r="283" customFormat="false" ht="14.25" hidden="false" customHeight="false" outlineLevel="0" collapsed="false">
      <c r="A283" s="1528"/>
      <c r="B283" s="1528" t="n">
        <v>4</v>
      </c>
      <c r="C283" s="1528" t="n">
        <v>279</v>
      </c>
      <c r="D283" s="1528" t="s">
        <v>1326</v>
      </c>
      <c r="E283" s="1528" t="n">
        <v>19</v>
      </c>
      <c r="F283" s="1528" t="n">
        <v>0</v>
      </c>
      <c r="G283" s="1528" t="n">
        <v>36060.73</v>
      </c>
      <c r="H283" s="1528" t="n">
        <v>0</v>
      </c>
      <c r="I283" s="1528" t="n">
        <v>80000</v>
      </c>
      <c r="J283" s="1528" t="n">
        <v>0</v>
      </c>
      <c r="K283" s="1528" t="n">
        <v>1.51294</v>
      </c>
      <c r="L283" s="1528"/>
      <c r="M283" s="1547" t="str">
        <f aca="false">IF($E283=M$3,M$2,"")</f>
        <v/>
      </c>
      <c r="N283" s="1547" t="str">
        <f aca="false">IF($E283=N$3,N$2,"")</f>
        <v> en invernadero enarenado</v>
      </c>
      <c r="O283" s="1547" t="str">
        <f aca="false">IF($E283=O$3,O$2,"")</f>
        <v/>
      </c>
      <c r="P283" s="1528" t="str">
        <f aca="false">CONCATENATE(D283,M283,N283,O283)</f>
        <v>ESPÁRRAGO en invernadero enarenado en invernadero enarenado</v>
      </c>
    </row>
    <row r="284" customFormat="false" ht="14.25" hidden="false" customHeight="false" outlineLevel="0" collapsed="false">
      <c r="A284" s="1528"/>
      <c r="B284" s="1528" t="n">
        <v>3</v>
      </c>
      <c r="C284" s="1528" t="n">
        <v>280</v>
      </c>
      <c r="D284" s="1528" t="s">
        <v>1327</v>
      </c>
      <c r="E284" s="1528" t="n">
        <v>0</v>
      </c>
      <c r="F284" s="1528" t="n">
        <v>450.76</v>
      </c>
      <c r="G284" s="1528" t="n">
        <v>721.21</v>
      </c>
      <c r="H284" s="1528" t="n">
        <v>2000</v>
      </c>
      <c r="I284" s="1528" t="n">
        <v>6000</v>
      </c>
      <c r="J284" s="1528" t="n">
        <v>0.01891</v>
      </c>
      <c r="K284" s="1528" t="n">
        <v>0.03026</v>
      </c>
      <c r="L284" s="1528"/>
      <c r="M284" s="1547" t="str">
        <f aca="false">IF($E284=M$3,M$2,"")</f>
        <v/>
      </c>
      <c r="N284" s="1547" t="str">
        <f aca="false">IF($E284=N$3,N$2,"")</f>
        <v/>
      </c>
      <c r="O284" s="1547" t="str">
        <f aca="false">IF($E284=O$3,O$2,"")</f>
        <v/>
      </c>
      <c r="P284" s="1528" t="str">
        <f aca="false">CONCATENATE(D284,M284,N284,O284)</f>
        <v>TRUFA</v>
      </c>
    </row>
    <row r="285" customFormat="false" ht="14.25" hidden="false" customHeight="false" outlineLevel="0" collapsed="false">
      <c r="A285" s="1528"/>
      <c r="B285" s="1528" t="n">
        <v>5</v>
      </c>
      <c r="C285" s="1528" t="n">
        <v>281</v>
      </c>
      <c r="D285" s="1528" t="s">
        <v>1328</v>
      </c>
      <c r="E285" s="1528" t="n">
        <v>0</v>
      </c>
      <c r="F285" s="1528" t="n">
        <v>114.19</v>
      </c>
      <c r="G285" s="1528" t="n">
        <v>240.4</v>
      </c>
      <c r="H285" s="1528" t="n">
        <v>1000</v>
      </c>
      <c r="I285" s="1528" t="n">
        <v>3800</v>
      </c>
      <c r="J285" s="1528" t="n">
        <v>0.00479</v>
      </c>
      <c r="K285" s="1528" t="n">
        <v>0.01009</v>
      </c>
      <c r="L285" s="1528"/>
      <c r="M285" s="1547" t="str">
        <f aca="false">IF($E285=M$3,M$2,"")</f>
        <v/>
      </c>
      <c r="N285" s="1547" t="str">
        <f aca="false">IF($E285=N$3,N$2,"")</f>
        <v/>
      </c>
      <c r="O285" s="1547" t="str">
        <f aca="false">IF($E285=O$3,O$2,"")</f>
        <v/>
      </c>
      <c r="P285" s="1528" t="str">
        <f aca="false">CONCATENATE(D285,M285,N285,O285)</f>
        <v>LAVANDA</v>
      </c>
    </row>
    <row r="286" customFormat="false" ht="14.25" hidden="false" customHeight="false" outlineLevel="0" collapsed="false">
      <c r="A286" s="1528"/>
      <c r="B286" s="1528" t="n">
        <v>5</v>
      </c>
      <c r="C286" s="1528" t="n">
        <v>282</v>
      </c>
      <c r="D286" s="1528" t="s">
        <v>1329</v>
      </c>
      <c r="E286" s="1528" t="n">
        <v>0</v>
      </c>
      <c r="F286" s="1528" t="n">
        <v>114.19</v>
      </c>
      <c r="G286" s="1528" t="n">
        <v>240.4</v>
      </c>
      <c r="H286" s="1528" t="n">
        <v>1000</v>
      </c>
      <c r="I286" s="1528" t="n">
        <v>3800</v>
      </c>
      <c r="J286" s="1528" t="n">
        <v>0.00479</v>
      </c>
      <c r="K286" s="1528" t="n">
        <v>0.01009</v>
      </c>
      <c r="L286" s="1528"/>
      <c r="M286" s="1547" t="str">
        <f aca="false">IF($E286=M$3,M$2,"")</f>
        <v/>
      </c>
      <c r="N286" s="1547" t="str">
        <f aca="false">IF($E286=N$3,N$2,"")</f>
        <v/>
      </c>
      <c r="O286" s="1547" t="str">
        <f aca="false">IF($E286=O$3,O$2,"")</f>
        <v/>
      </c>
      <c r="P286" s="1528" t="str">
        <f aca="false">CONCATENATE(D286,M286,N286,O286)</f>
        <v>LAVANDÍN</v>
      </c>
    </row>
    <row r="287" customFormat="false" ht="14.25" hidden="false" customHeight="false" outlineLevel="0" collapsed="false">
      <c r="A287" s="1528"/>
      <c r="B287" s="1528" t="n">
        <v>5</v>
      </c>
      <c r="C287" s="1528" t="n">
        <v>283</v>
      </c>
      <c r="D287" s="1528" t="s">
        <v>1330</v>
      </c>
      <c r="E287" s="1528" t="n">
        <v>0</v>
      </c>
      <c r="F287" s="1528" t="n">
        <v>360.61</v>
      </c>
      <c r="G287" s="1528" t="n">
        <v>1352.28</v>
      </c>
      <c r="H287" s="1528" t="n">
        <v>1000</v>
      </c>
      <c r="I287" s="1528" t="n">
        <v>3800</v>
      </c>
      <c r="J287" s="1528" t="n">
        <v>0.01513</v>
      </c>
      <c r="K287" s="1528" t="n">
        <v>0.05674</v>
      </c>
      <c r="L287" s="1528"/>
      <c r="M287" s="1547" t="str">
        <f aca="false">IF($E287=M$3,M$2,"")</f>
        <v/>
      </c>
      <c r="N287" s="1547" t="str">
        <f aca="false">IF($E287=N$3,N$2,"")</f>
        <v/>
      </c>
      <c r="O287" s="1547" t="str">
        <f aca="false">IF($E287=O$3,O$2,"")</f>
        <v/>
      </c>
      <c r="P287" s="1528" t="str">
        <f aca="false">CONCATENATE(D287,M287,N287,O287)</f>
        <v>ALCAPARRA</v>
      </c>
    </row>
    <row r="288" customFormat="false" ht="14.25" hidden="false" customHeight="false" outlineLevel="0" collapsed="false">
      <c r="A288" s="1528"/>
      <c r="B288" s="1528" t="n">
        <v>5</v>
      </c>
      <c r="C288" s="1528" t="n">
        <v>284</v>
      </c>
      <c r="D288" s="1528" t="s">
        <v>1332</v>
      </c>
      <c r="E288" s="1528" t="n">
        <v>0</v>
      </c>
      <c r="F288" s="1528" t="n">
        <v>450.76</v>
      </c>
      <c r="G288" s="1528" t="n">
        <v>721.21</v>
      </c>
      <c r="H288" s="1528" t="n">
        <v>1000</v>
      </c>
      <c r="I288" s="1528" t="n">
        <v>3800</v>
      </c>
      <c r="J288" s="1528" t="n">
        <v>0.01891</v>
      </c>
      <c r="K288" s="1528" t="n">
        <v>0.03026</v>
      </c>
      <c r="L288" s="1528"/>
      <c r="M288" s="1547" t="str">
        <f aca="false">IF($E288=M$3,M$2,"")</f>
        <v/>
      </c>
      <c r="N288" s="1547" t="str">
        <f aca="false">IF($E288=N$3,N$2,"")</f>
        <v/>
      </c>
      <c r="O288" s="1547" t="str">
        <f aca="false">IF($E288=O$3,O$2,"")</f>
        <v/>
      </c>
      <c r="P288" s="1528" t="str">
        <f aca="false">CONCATENATE(D288,M288,N288,O288)</f>
        <v>AJENJO</v>
      </c>
    </row>
    <row r="289" customFormat="false" ht="14.25" hidden="false" customHeight="false" outlineLevel="0" collapsed="false">
      <c r="A289" s="1528"/>
      <c r="B289" s="1528" t="n">
        <v>5</v>
      </c>
      <c r="C289" s="1528" t="n">
        <v>285</v>
      </c>
      <c r="D289" s="1528" t="s">
        <v>1333</v>
      </c>
      <c r="E289" s="1528" t="n">
        <v>0</v>
      </c>
      <c r="F289" s="1528" t="n">
        <v>114.19</v>
      </c>
      <c r="G289" s="1528" t="n">
        <v>240.4</v>
      </c>
      <c r="H289" s="1528" t="n">
        <v>1000</v>
      </c>
      <c r="I289" s="1528" t="n">
        <v>3800</v>
      </c>
      <c r="J289" s="1528" t="n">
        <v>0.00479</v>
      </c>
      <c r="K289" s="1528" t="n">
        <v>0.01009</v>
      </c>
      <c r="L289" s="1528"/>
      <c r="M289" s="1547" t="str">
        <f aca="false">IF($E289=M$3,M$2,"")</f>
        <v/>
      </c>
      <c r="N289" s="1547" t="str">
        <f aca="false">IF($E289=N$3,N$2,"")</f>
        <v/>
      </c>
      <c r="O289" s="1547" t="str">
        <f aca="false">IF($E289=O$3,O$2,"")</f>
        <v/>
      </c>
      <c r="P289" s="1528" t="str">
        <f aca="false">CONCATENATE(D289,M289,N289,O289)</f>
        <v>ESPLIEGO</v>
      </c>
    </row>
    <row r="290" customFormat="false" ht="14.25" hidden="false" customHeight="false" outlineLevel="0" collapsed="false">
      <c r="A290" s="1528"/>
      <c r="B290" s="1528" t="n">
        <v>5</v>
      </c>
      <c r="C290" s="1528" t="n">
        <v>286</v>
      </c>
      <c r="D290" s="1528" t="s">
        <v>1334</v>
      </c>
      <c r="E290" s="1528" t="n">
        <v>0</v>
      </c>
      <c r="F290" s="1528" t="n">
        <v>114.19</v>
      </c>
      <c r="G290" s="1528" t="n">
        <v>240.4</v>
      </c>
      <c r="H290" s="1528" t="n">
        <v>1000</v>
      </c>
      <c r="I290" s="1528" t="n">
        <v>3800</v>
      </c>
      <c r="J290" s="1528" t="n">
        <v>0.00479</v>
      </c>
      <c r="K290" s="1528" t="n">
        <v>0.01009</v>
      </c>
      <c r="L290" s="1528"/>
      <c r="M290" s="1547" t="str">
        <f aca="false">IF($E290=M$3,M$2,"")</f>
        <v/>
      </c>
      <c r="N290" s="1547" t="str">
        <f aca="false">IF($E290=N$3,N$2,"")</f>
        <v/>
      </c>
      <c r="O290" s="1547" t="str">
        <f aca="false">IF($E290=O$3,O$2,"")</f>
        <v/>
      </c>
      <c r="P290" s="1528" t="str">
        <f aca="false">CONCATENATE(D290,M290,N290,O290)</f>
        <v>HELICRISO</v>
      </c>
    </row>
    <row r="291" customFormat="false" ht="14.25" hidden="false" customHeight="false" outlineLevel="0" collapsed="false">
      <c r="A291" s="1528"/>
      <c r="B291" s="1528" t="n">
        <v>5</v>
      </c>
      <c r="C291" s="1528" t="n">
        <v>287</v>
      </c>
      <c r="D291" s="1528" t="s">
        <v>1335</v>
      </c>
      <c r="E291" s="1528" t="n">
        <v>0</v>
      </c>
      <c r="F291" s="1528" t="n">
        <v>114.19</v>
      </c>
      <c r="G291" s="1528" t="n">
        <v>240.4</v>
      </c>
      <c r="H291" s="1528" t="n">
        <v>1000</v>
      </c>
      <c r="I291" s="1528" t="n">
        <v>3800</v>
      </c>
      <c r="J291" s="1528" t="n">
        <v>0.00479</v>
      </c>
      <c r="K291" s="1528" t="n">
        <v>0.01009</v>
      </c>
      <c r="L291" s="1528"/>
      <c r="M291" s="1547" t="str">
        <f aca="false">IF($E291=M$3,M$2,"")</f>
        <v/>
      </c>
      <c r="N291" s="1547" t="str">
        <f aca="false">IF($E291=N$3,N$2,"")</f>
        <v/>
      </c>
      <c r="O291" s="1547" t="str">
        <f aca="false">IF($E291=O$3,O$2,"")</f>
        <v/>
      </c>
      <c r="P291" s="1528" t="str">
        <f aca="false">CONCATENATE(D291,M291,N291,O291)</f>
        <v>HIERBALUISA</v>
      </c>
    </row>
    <row r="292" customFormat="false" ht="14.25" hidden="false" customHeight="false" outlineLevel="0" collapsed="false">
      <c r="A292" s="1528"/>
      <c r="B292" s="1528" t="n">
        <v>5</v>
      </c>
      <c r="C292" s="1528" t="n">
        <v>288</v>
      </c>
      <c r="D292" s="1528" t="s">
        <v>1336</v>
      </c>
      <c r="E292" s="1528" t="n">
        <v>0</v>
      </c>
      <c r="F292" s="1528" t="n">
        <v>114.19</v>
      </c>
      <c r="G292" s="1528" t="n">
        <v>240.4</v>
      </c>
      <c r="H292" s="1528" t="n">
        <v>1000</v>
      </c>
      <c r="I292" s="1528" t="n">
        <v>3800</v>
      </c>
      <c r="J292" s="1528" t="n">
        <v>0.00479</v>
      </c>
      <c r="K292" s="1528" t="n">
        <v>0.01009</v>
      </c>
      <c r="L292" s="1528"/>
      <c r="M292" s="1547" t="str">
        <f aca="false">IF($E292=M$3,M$2,"")</f>
        <v/>
      </c>
      <c r="N292" s="1547" t="str">
        <f aca="false">IF($E292=N$3,N$2,"")</f>
        <v/>
      </c>
      <c r="O292" s="1547" t="str">
        <f aca="false">IF($E292=O$3,O$2,"")</f>
        <v/>
      </c>
      <c r="P292" s="1528" t="str">
        <f aca="false">CONCATENATE(D292,M292,N292,O292)</f>
        <v>ROMERO</v>
      </c>
    </row>
    <row r="293" customFormat="false" ht="14.25" hidden="false" customHeight="false" outlineLevel="0" collapsed="false">
      <c r="A293" s="1528"/>
      <c r="B293" s="1528" t="n">
        <v>5</v>
      </c>
      <c r="C293" s="1528" t="n">
        <v>289</v>
      </c>
      <c r="D293" s="1528" t="s">
        <v>1337</v>
      </c>
      <c r="E293" s="1528" t="n">
        <v>0</v>
      </c>
      <c r="F293" s="1528" t="n">
        <v>114.19</v>
      </c>
      <c r="G293" s="1528" t="n">
        <v>240.4</v>
      </c>
      <c r="H293" s="1528" t="n">
        <v>1000</v>
      </c>
      <c r="I293" s="1528" t="n">
        <v>3800</v>
      </c>
      <c r="J293" s="1528" t="n">
        <v>0.00479</v>
      </c>
      <c r="K293" s="1528" t="n">
        <v>0.01009</v>
      </c>
      <c r="L293" s="1528"/>
      <c r="M293" s="1547" t="str">
        <f aca="false">IF($E293=M$3,M$2,"")</f>
        <v/>
      </c>
      <c r="N293" s="1547" t="str">
        <f aca="false">IF($E293=N$3,N$2,"")</f>
        <v/>
      </c>
      <c r="O293" s="1547" t="str">
        <f aca="false">IF($E293=O$3,O$2,"")</f>
        <v/>
      </c>
      <c r="P293" s="1528" t="str">
        <f aca="false">CONCATENATE(D293,M293,N293,O293)</f>
        <v>SANTOLINA</v>
      </c>
    </row>
    <row r="294" customFormat="false" ht="14.25" hidden="false" customHeight="false" outlineLevel="0" collapsed="false">
      <c r="A294" s="1528"/>
      <c r="B294" s="1528" t="n">
        <v>1</v>
      </c>
      <c r="C294" s="1528" t="n">
        <v>298</v>
      </c>
      <c r="D294" s="1528" t="s">
        <v>1338</v>
      </c>
      <c r="E294" s="1528" t="n">
        <v>0</v>
      </c>
      <c r="F294" s="1528" t="n">
        <v>114.19</v>
      </c>
      <c r="G294" s="1528" t="n">
        <v>240.4</v>
      </c>
      <c r="H294" s="1528" t="n">
        <v>400</v>
      </c>
      <c r="I294" s="1528" t="n">
        <v>1000</v>
      </c>
      <c r="J294" s="1528" t="n">
        <v>0.00479</v>
      </c>
      <c r="K294" s="1528" t="n">
        <v>0.01009</v>
      </c>
      <c r="L294" s="1528"/>
      <c r="M294" s="1547" t="str">
        <f aca="false">IF($E294=M$3,M$2,"")</f>
        <v/>
      </c>
      <c r="N294" s="1547" t="str">
        <f aca="false">IF($E294=N$3,N$2,"")</f>
        <v/>
      </c>
      <c r="O294" s="1547" t="str">
        <f aca="false">IF($E294=O$3,O$2,"")</f>
        <v/>
      </c>
      <c r="P294" s="1528" t="str">
        <f aca="false">CONCATENATE(D294,M294,N294,O294)</f>
        <v>MEZCLA CEBADA-GUISANTE</v>
      </c>
    </row>
    <row r="295" customFormat="false" ht="14.25" hidden="false" customHeight="false" outlineLevel="0" collapsed="false">
      <c r="A295" s="1528"/>
      <c r="B295" s="1528" t="n">
        <v>1</v>
      </c>
      <c r="C295" s="1528" t="n">
        <v>299</v>
      </c>
      <c r="D295" s="1528" t="s">
        <v>1339</v>
      </c>
      <c r="E295" s="1528" t="n">
        <v>0</v>
      </c>
      <c r="F295" s="1528" t="n">
        <v>114.19</v>
      </c>
      <c r="G295" s="1528" t="n">
        <v>240.4</v>
      </c>
      <c r="H295" s="1528" t="n">
        <v>400</v>
      </c>
      <c r="I295" s="1528" t="n">
        <v>1000</v>
      </c>
      <c r="J295" s="1528" t="n">
        <v>0.00479</v>
      </c>
      <c r="K295" s="1528" t="n">
        <v>0.01009</v>
      </c>
      <c r="L295" s="1528"/>
      <c r="M295" s="1547" t="str">
        <f aca="false">IF($E295=M$3,M$2,"")</f>
        <v/>
      </c>
      <c r="N295" s="1547" t="str">
        <f aca="false">IF($E295=N$3,N$2,"")</f>
        <v/>
      </c>
      <c r="O295" s="1547" t="str">
        <f aca="false">IF($E295=O$3,O$2,"")</f>
        <v/>
      </c>
      <c r="P295" s="1528" t="str">
        <f aca="false">CONCATENATE(D295,M295,N295,O295)</f>
        <v>MEZCLA AVENA-GUISANTE</v>
      </c>
    </row>
    <row r="296" customFormat="false" ht="14.25" hidden="false" customHeight="false" outlineLevel="0" collapsed="false">
      <c r="A296" s="1528"/>
      <c r="B296" s="1528" t="n">
        <v>4</v>
      </c>
      <c r="C296" s="1528" t="n">
        <v>304</v>
      </c>
      <c r="D296" s="1528" t="s">
        <v>1340</v>
      </c>
      <c r="E296" s="1528" t="n">
        <v>0</v>
      </c>
      <c r="F296" s="1528" t="n">
        <v>300.51</v>
      </c>
      <c r="G296" s="1528" t="n">
        <v>901.52</v>
      </c>
      <c r="H296" s="1528" t="n">
        <v>500</v>
      </c>
      <c r="I296" s="1528" t="n">
        <v>1300</v>
      </c>
      <c r="J296" s="1528" t="n">
        <v>0.01261</v>
      </c>
      <c r="K296" s="1528" t="n">
        <v>0.03782</v>
      </c>
      <c r="L296" s="1528"/>
      <c r="M296" s="1547" t="str">
        <f aca="false">IF($E296=M$3,M$2,"")</f>
        <v/>
      </c>
      <c r="N296" s="1547" t="str">
        <f aca="false">IF($E296=N$3,N$2,"")</f>
        <v/>
      </c>
      <c r="O296" s="1547" t="str">
        <f aca="false">IF($E296=O$3,O$2,"")</f>
        <v/>
      </c>
      <c r="P296" s="1528" t="str">
        <f aca="false">CONCATENATE(D296,M296,N296,O296)</f>
        <v>COL CHINA</v>
      </c>
    </row>
    <row r="297" customFormat="false" ht="14.25" hidden="false" customHeight="false" outlineLevel="0" collapsed="false">
      <c r="A297" s="1528"/>
      <c r="B297" s="1528" t="n">
        <v>4</v>
      </c>
      <c r="C297" s="1528" t="n">
        <v>304</v>
      </c>
      <c r="D297" s="1528" t="s">
        <v>1341</v>
      </c>
      <c r="E297" s="1528" t="n">
        <v>4</v>
      </c>
      <c r="F297" s="1528" t="n">
        <v>0</v>
      </c>
      <c r="G297" s="1528" t="n">
        <v>36060.73</v>
      </c>
      <c r="H297" s="1528" t="n">
        <v>0</v>
      </c>
      <c r="I297" s="1528" t="n">
        <v>80000</v>
      </c>
      <c r="J297" s="1528" t="n">
        <v>0</v>
      </c>
      <c r="K297" s="1528" t="n">
        <v>1.51294</v>
      </c>
      <c r="L297" s="1528"/>
      <c r="M297" s="1547" t="str">
        <f aca="false">IF($E297=M$3,M$2,"")</f>
        <v> en Invernadero</v>
      </c>
      <c r="N297" s="1547" t="str">
        <f aca="false">IF($E297=N$3,N$2,"")</f>
        <v/>
      </c>
      <c r="O297" s="1547" t="str">
        <f aca="false">IF($E297=O$3,O$2,"")</f>
        <v/>
      </c>
      <c r="P297" s="1528" t="str">
        <f aca="false">CONCATENATE(D297,M297,N297,O297)</f>
        <v>COL CHINA en Invernadero en Invernadero</v>
      </c>
    </row>
    <row r="298" customFormat="false" ht="14.25" hidden="false" customHeight="false" outlineLevel="0" collapsed="false">
      <c r="A298" s="1528"/>
      <c r="B298" s="1528" t="n">
        <v>4</v>
      </c>
      <c r="C298" s="1528" t="n">
        <v>304</v>
      </c>
      <c r="D298" s="1528" t="s">
        <v>1342</v>
      </c>
      <c r="E298" s="1528" t="n">
        <v>19</v>
      </c>
      <c r="F298" s="1528" t="n">
        <v>0</v>
      </c>
      <c r="G298" s="1528" t="n">
        <v>36060.73</v>
      </c>
      <c r="H298" s="1528" t="n">
        <v>0</v>
      </c>
      <c r="I298" s="1528" t="n">
        <v>80000</v>
      </c>
      <c r="J298" s="1528" t="n">
        <v>0</v>
      </c>
      <c r="K298" s="1528" t="n">
        <v>1.51294</v>
      </c>
      <c r="L298" s="1528"/>
      <c r="M298" s="1547" t="str">
        <f aca="false">IF($E298=M$3,M$2,"")</f>
        <v/>
      </c>
      <c r="N298" s="1547" t="str">
        <f aca="false">IF($E298=N$3,N$2,"")</f>
        <v> en invernadero enarenado</v>
      </c>
      <c r="O298" s="1547" t="str">
        <f aca="false">IF($E298=O$3,O$2,"")</f>
        <v/>
      </c>
      <c r="P298" s="1528" t="str">
        <f aca="false">CONCATENATE(D298,M298,N298,O298)</f>
        <v>COL CHINA en invernadero enarenado en invernadero enarenado</v>
      </c>
    </row>
    <row r="299" customFormat="false" ht="14.25" hidden="false" customHeight="false" outlineLevel="0" collapsed="false">
      <c r="A299" s="1528"/>
      <c r="B299" s="1528" t="n">
        <v>1</v>
      </c>
      <c r="C299" s="1528" t="n">
        <v>305</v>
      </c>
      <c r="D299" s="1528" t="s">
        <v>1343</v>
      </c>
      <c r="E299" s="1528" t="n">
        <v>0</v>
      </c>
      <c r="F299" s="1528" t="n">
        <v>114.19</v>
      </c>
      <c r="G299" s="1528" t="n">
        <v>240.4</v>
      </c>
      <c r="H299" s="1528" t="n">
        <v>400</v>
      </c>
      <c r="I299" s="1528" t="n">
        <v>1000</v>
      </c>
      <c r="J299" s="1528" t="n">
        <v>0.00479</v>
      </c>
      <c r="K299" s="1528" t="n">
        <v>0.01009</v>
      </c>
      <c r="L299" s="1528"/>
      <c r="M299" s="1547" t="str">
        <f aca="false">IF($E299=M$3,M$2,"")</f>
        <v/>
      </c>
      <c r="N299" s="1547" t="str">
        <f aca="false">IF($E299=N$3,N$2,"")</f>
        <v/>
      </c>
      <c r="O299" s="1547" t="str">
        <f aca="false">IF($E299=O$3,O$2,"")</f>
        <v/>
      </c>
      <c r="P299" s="1528" t="str">
        <f aca="false">CONCATENATE(D299,M299,N299,O299)</f>
        <v>MEZCLA AVENA-TRIGO</v>
      </c>
    </row>
    <row r="300" customFormat="false" ht="14.25" hidden="false" customHeight="false" outlineLevel="0" collapsed="false">
      <c r="A300" s="1528"/>
      <c r="B300" s="1528" t="n">
        <v>1</v>
      </c>
      <c r="C300" s="1528" t="n">
        <v>306</v>
      </c>
      <c r="D300" s="1528" t="s">
        <v>1344</v>
      </c>
      <c r="E300" s="1528" t="n">
        <v>0</v>
      </c>
      <c r="F300" s="1528" t="n">
        <v>114.19</v>
      </c>
      <c r="G300" s="1528" t="n">
        <v>240.4</v>
      </c>
      <c r="H300" s="1528" t="n">
        <v>400</v>
      </c>
      <c r="I300" s="1528" t="n">
        <v>1000</v>
      </c>
      <c r="J300" s="1528" t="n">
        <v>0.00479</v>
      </c>
      <c r="K300" s="1528" t="n">
        <v>0.01009</v>
      </c>
      <c r="L300" s="1528"/>
      <c r="M300" s="1547" t="str">
        <f aca="false">IF($E300=M$3,M$2,"")</f>
        <v/>
      </c>
      <c r="N300" s="1547" t="str">
        <f aca="false">IF($E300=N$3,N$2,"")</f>
        <v/>
      </c>
      <c r="O300" s="1547" t="str">
        <f aca="false">IF($E300=O$3,O$2,"")</f>
        <v/>
      </c>
      <c r="P300" s="1528" t="str">
        <f aca="false">CONCATENATE(D300,M300,N300,O300)</f>
        <v>MEZCLA AVENA-CEBADA</v>
      </c>
    </row>
    <row r="301" customFormat="false" ht="14.25" hidden="false" customHeight="false" outlineLevel="0" collapsed="false">
      <c r="A301" s="1528"/>
      <c r="B301" s="1528" t="n">
        <v>1</v>
      </c>
      <c r="C301" s="1528" t="n">
        <v>307</v>
      </c>
      <c r="D301" s="1528" t="s">
        <v>1345</v>
      </c>
      <c r="E301" s="1528" t="n">
        <v>0</v>
      </c>
      <c r="F301" s="1528" t="n">
        <v>114.19</v>
      </c>
      <c r="G301" s="1528" t="n">
        <v>240.4</v>
      </c>
      <c r="H301" s="1528" t="n">
        <v>400</v>
      </c>
      <c r="I301" s="1528" t="n">
        <v>1000</v>
      </c>
      <c r="J301" s="1528" t="n">
        <v>0.00479</v>
      </c>
      <c r="K301" s="1528" t="n">
        <v>0.01009</v>
      </c>
      <c r="L301" s="1528"/>
      <c r="M301" s="1547" t="str">
        <f aca="false">IF($E301=M$3,M$2,"")</f>
        <v/>
      </c>
      <c r="N301" s="1547" t="str">
        <f aca="false">IF($E301=N$3,N$2,"")</f>
        <v/>
      </c>
      <c r="O301" s="1547" t="str">
        <f aca="false">IF($E301=O$3,O$2,"")</f>
        <v/>
      </c>
      <c r="P301" s="1528" t="str">
        <f aca="false">CONCATENATE(D301,M301,N301,O301)</f>
        <v>MEZCLA AVENA-TRITICALE</v>
      </c>
    </row>
    <row r="302" customFormat="false" ht="14.25" hidden="false" customHeight="false" outlineLevel="0" collapsed="false">
      <c r="A302" s="1528"/>
      <c r="B302" s="1528" t="n">
        <v>5</v>
      </c>
      <c r="C302" s="1528" t="n">
        <v>316</v>
      </c>
      <c r="D302" s="1528" t="s">
        <v>1346</v>
      </c>
      <c r="E302" s="1528" t="n">
        <v>0</v>
      </c>
      <c r="F302" s="1528" t="n">
        <v>480.81</v>
      </c>
      <c r="G302" s="1528" t="n">
        <v>1442.43</v>
      </c>
      <c r="H302" s="1528" t="n">
        <v>1939.8</v>
      </c>
      <c r="I302" s="1528" t="n">
        <v>6000</v>
      </c>
      <c r="J302" s="1528" t="n">
        <v>0.02017</v>
      </c>
      <c r="K302" s="1528" t="n">
        <v>0.06052</v>
      </c>
      <c r="L302" s="1528"/>
      <c r="M302" s="1547" t="str">
        <f aca="false">IF($E302=M$3,M$2,"")</f>
        <v/>
      </c>
      <c r="N302" s="1547" t="str">
        <f aca="false">IF($E302=N$3,N$2,"")</f>
        <v/>
      </c>
      <c r="O302" s="1547" t="str">
        <f aca="false">IF($E302=O$3,O$2,"")</f>
        <v/>
      </c>
      <c r="P302" s="1528" t="str">
        <f aca="false">CONCATENATE(D302,M302,N302,O302)</f>
        <v>MALVAVISCO</v>
      </c>
    </row>
    <row r="303" customFormat="false" ht="14.25" hidden="false" customHeight="false" outlineLevel="0" collapsed="false">
      <c r="A303" s="1528"/>
      <c r="B303" s="1528" t="n">
        <v>5</v>
      </c>
      <c r="C303" s="1528" t="n">
        <v>317</v>
      </c>
      <c r="D303" s="1528" t="s">
        <v>1347</v>
      </c>
      <c r="E303" s="1528" t="n">
        <v>0</v>
      </c>
      <c r="F303" s="1528" t="n">
        <v>114.19</v>
      </c>
      <c r="G303" s="1528" t="n">
        <v>240.4</v>
      </c>
      <c r="H303" s="1528" t="n">
        <v>700</v>
      </c>
      <c r="I303" s="1528" t="n">
        <v>1800</v>
      </c>
      <c r="J303" s="1528" t="n">
        <v>0.00479</v>
      </c>
      <c r="K303" s="1528" t="n">
        <v>0.01009</v>
      </c>
      <c r="L303" s="1528"/>
      <c r="M303" s="1547" t="str">
        <f aca="false">IF($E303=M$3,M$2,"")</f>
        <v/>
      </c>
      <c r="N303" s="1547" t="str">
        <f aca="false">IF($E303=N$3,N$2,"")</f>
        <v/>
      </c>
      <c r="O303" s="1547" t="str">
        <f aca="false">IF($E303=O$3,O$2,"")</f>
        <v/>
      </c>
      <c r="P303" s="1528" t="str">
        <f aca="false">CONCATENATE(D303,M303,N303,O303)</f>
        <v>MANZANILLA AMARGA</v>
      </c>
    </row>
    <row r="304" customFormat="false" ht="14.25" hidden="false" customHeight="false" outlineLevel="0" collapsed="false">
      <c r="A304" s="1528"/>
      <c r="B304" s="1528" t="n">
        <v>5</v>
      </c>
      <c r="C304" s="1528" t="n">
        <v>318</v>
      </c>
      <c r="D304" s="1528" t="s">
        <v>1348</v>
      </c>
      <c r="E304" s="1528" t="n">
        <v>0</v>
      </c>
      <c r="F304" s="1528" t="n">
        <v>114.19</v>
      </c>
      <c r="G304" s="1528" t="n">
        <v>240.4</v>
      </c>
      <c r="H304" s="1528" t="n">
        <v>700</v>
      </c>
      <c r="I304" s="1528" t="n">
        <v>1800</v>
      </c>
      <c r="J304" s="1528" t="n">
        <v>0.00479</v>
      </c>
      <c r="K304" s="1528" t="n">
        <v>0.01009</v>
      </c>
      <c r="L304" s="1528"/>
      <c r="M304" s="1547" t="str">
        <f aca="false">IF($E304=M$3,M$2,"")</f>
        <v/>
      </c>
      <c r="N304" s="1547" t="str">
        <f aca="false">IF($E304=N$3,N$2,"")</f>
        <v/>
      </c>
      <c r="O304" s="1547" t="str">
        <f aca="false">IF($E304=O$3,O$2,"")</f>
        <v/>
      </c>
      <c r="P304" s="1528" t="str">
        <f aca="false">CONCATENATE(D304,M304,N304,O304)</f>
        <v>MANZANILLA DULCE</v>
      </c>
    </row>
    <row r="305" customFormat="false" ht="14.25" hidden="false" customHeight="false" outlineLevel="0" collapsed="false">
      <c r="A305" s="1528"/>
      <c r="B305" s="1528" t="n">
        <v>5</v>
      </c>
      <c r="C305" s="1528" t="n">
        <v>319</v>
      </c>
      <c r="D305" s="1528" t="s">
        <v>1350</v>
      </c>
      <c r="E305" s="1528" t="n">
        <v>0</v>
      </c>
      <c r="F305" s="1528" t="n">
        <v>114.19</v>
      </c>
      <c r="G305" s="1528" t="n">
        <v>240.4</v>
      </c>
      <c r="H305" s="1528" t="n">
        <v>700</v>
      </c>
      <c r="I305" s="1528" t="n">
        <v>1800</v>
      </c>
      <c r="J305" s="1528" t="n">
        <v>0.00479</v>
      </c>
      <c r="K305" s="1528" t="n">
        <v>0.01009</v>
      </c>
      <c r="L305" s="1528"/>
      <c r="M305" s="1547" t="str">
        <f aca="false">IF($E305=M$3,M$2,"")</f>
        <v/>
      </c>
      <c r="N305" s="1547" t="str">
        <f aca="false">IF($E305=N$3,N$2,"")</f>
        <v/>
      </c>
      <c r="O305" s="1547" t="str">
        <f aca="false">IF($E305=O$3,O$2,"")</f>
        <v/>
      </c>
      <c r="P305" s="1528" t="str">
        <f aca="false">CONCATENATE(D305,M305,N305,O305)</f>
        <v>MILENRAMA</v>
      </c>
    </row>
    <row r="306" customFormat="false" ht="14.25" hidden="false" customHeight="false" outlineLevel="0" collapsed="false">
      <c r="A306" s="1528"/>
      <c r="B306" s="1528" t="n">
        <v>5</v>
      </c>
      <c r="C306" s="1528" t="n">
        <v>320</v>
      </c>
      <c r="D306" s="1528" t="s">
        <v>1351</v>
      </c>
      <c r="E306" s="1528" t="n">
        <v>0</v>
      </c>
      <c r="F306" s="1528" t="n">
        <v>114.19</v>
      </c>
      <c r="G306" s="1528" t="n">
        <v>240.4</v>
      </c>
      <c r="H306" s="1528" t="n">
        <v>700</v>
      </c>
      <c r="I306" s="1528" t="n">
        <v>1800</v>
      </c>
      <c r="J306" s="1528" t="n">
        <v>0.00479</v>
      </c>
      <c r="K306" s="1528" t="n">
        <v>0.01009</v>
      </c>
      <c r="L306" s="1528"/>
      <c r="M306" s="1547" t="str">
        <f aca="false">IF($E306=M$3,M$2,"")</f>
        <v/>
      </c>
      <c r="N306" s="1547" t="str">
        <f aca="false">IF($E306=N$3,N$2,"")</f>
        <v/>
      </c>
      <c r="O306" s="1547" t="str">
        <f aca="false">IF($E306=O$3,O$2,"")</f>
        <v/>
      </c>
      <c r="P306" s="1528" t="str">
        <f aca="false">CONCATENATE(D306,M306,N306,O306)</f>
        <v>POLEO</v>
      </c>
    </row>
    <row r="307" customFormat="false" ht="14.25" hidden="false" customHeight="false" outlineLevel="0" collapsed="false">
      <c r="A307" s="1528"/>
      <c r="B307" s="1528" t="n">
        <v>1</v>
      </c>
      <c r="C307" s="1528" t="n">
        <v>325</v>
      </c>
      <c r="D307" s="1528" t="s">
        <v>1352</v>
      </c>
      <c r="E307" s="1528" t="n">
        <v>0</v>
      </c>
      <c r="F307" s="1528" t="n">
        <v>114.19</v>
      </c>
      <c r="G307" s="1528" t="n">
        <v>240.4</v>
      </c>
      <c r="H307" s="1528" t="n">
        <v>358.58</v>
      </c>
      <c r="I307" s="1528" t="n">
        <v>1000</v>
      </c>
      <c r="J307" s="1528" t="n">
        <v>0.00479</v>
      </c>
      <c r="K307" s="1528" t="n">
        <v>0.01009</v>
      </c>
      <c r="L307" s="1528"/>
      <c r="M307" s="1547" t="str">
        <f aca="false">IF($E307=M$3,M$2,"")</f>
        <v/>
      </c>
      <c r="N307" s="1547" t="str">
        <f aca="false">IF($E307=N$3,N$2,"")</f>
        <v/>
      </c>
      <c r="O307" s="1547" t="str">
        <f aca="false">IF($E307=O$3,O$2,"")</f>
        <v/>
      </c>
      <c r="P307" s="1528" t="str">
        <f aca="false">CONCATENATE(D307,M307,N307,O307)</f>
        <v>TRIGO KHORASAN</v>
      </c>
    </row>
    <row r="308" customFormat="false" ht="14.25" hidden="false" customHeight="false" outlineLevel="0" collapsed="false">
      <c r="A308" s="1528"/>
      <c r="B308" s="1528" t="n">
        <v>1</v>
      </c>
      <c r="C308" s="1528" t="n">
        <v>328</v>
      </c>
      <c r="D308" s="1528" t="s">
        <v>1353</v>
      </c>
      <c r="E308" s="1528" t="n">
        <v>0</v>
      </c>
      <c r="F308" s="1528" t="n">
        <v>114.19</v>
      </c>
      <c r="G308" s="1528" t="n">
        <v>240.4</v>
      </c>
      <c r="H308" s="1528" t="n">
        <v>400</v>
      </c>
      <c r="I308" s="1528" t="n">
        <v>800</v>
      </c>
      <c r="J308" s="1528" t="n">
        <v>0.00479</v>
      </c>
      <c r="K308" s="1528" t="n">
        <v>0.01009</v>
      </c>
      <c r="L308" s="1528"/>
      <c r="M308" s="1547" t="str">
        <f aca="false">IF($E308=M$3,M$2,"")</f>
        <v/>
      </c>
      <c r="N308" s="1547" t="str">
        <f aca="false">IF($E308=N$3,N$2,"")</f>
        <v/>
      </c>
      <c r="O308" s="1547" t="str">
        <f aca="false">IF($E308=O$3,O$2,"")</f>
        <v/>
      </c>
      <c r="P308" s="1528" t="str">
        <f aca="false">CONCATENATE(D308,M308,N308,O308)</f>
        <v>PASTO DEL SUDÁN</v>
      </c>
    </row>
    <row r="309" customFormat="false" ht="14.25" hidden="false" customHeight="false" outlineLevel="0" collapsed="false">
      <c r="A309" s="1528"/>
      <c r="B309" s="1528" t="n">
        <v>1</v>
      </c>
      <c r="C309" s="1528" t="n">
        <v>329</v>
      </c>
      <c r="D309" s="1528" t="s">
        <v>1354</v>
      </c>
      <c r="E309" s="1528" t="n">
        <v>0</v>
      </c>
      <c r="F309" s="1528" t="n">
        <v>114.19</v>
      </c>
      <c r="G309" s="1528" t="n">
        <v>240.4</v>
      </c>
      <c r="H309" s="1528" t="n">
        <v>522.73</v>
      </c>
      <c r="I309" s="1528" t="n">
        <v>1000</v>
      </c>
      <c r="J309" s="1528" t="n">
        <v>0.00479</v>
      </c>
      <c r="K309" s="1528" t="n">
        <v>0.01009</v>
      </c>
      <c r="L309" s="1528"/>
      <c r="M309" s="1547" t="str">
        <f aca="false">IF($E309=M$3,M$2,"")</f>
        <v/>
      </c>
      <c r="N309" s="1547" t="str">
        <f aca="false">IF($E309=N$3,N$2,"")</f>
        <v/>
      </c>
      <c r="O309" s="1547" t="str">
        <f aca="false">IF($E309=O$3,O$2,"")</f>
        <v/>
      </c>
      <c r="P309" s="1528" t="str">
        <f aca="false">CONCATENATE(D309,M309,N309,O309)</f>
        <v>AMARANTO</v>
      </c>
    </row>
    <row r="310" customFormat="false" ht="14.25" hidden="false" customHeight="false" outlineLevel="0" collapsed="false">
      <c r="A310" s="1528"/>
      <c r="B310" s="1528" t="n">
        <v>1</v>
      </c>
      <c r="C310" s="1528" t="n">
        <v>331</v>
      </c>
      <c r="D310" s="1528" t="s">
        <v>1355</v>
      </c>
      <c r="E310" s="1528" t="n">
        <v>0</v>
      </c>
      <c r="F310" s="1528" t="n">
        <v>114.19</v>
      </c>
      <c r="G310" s="1528" t="n">
        <v>240.4</v>
      </c>
      <c r="H310" s="1528" t="n">
        <v>522.73</v>
      </c>
      <c r="I310" s="1528" t="n">
        <v>1200</v>
      </c>
      <c r="J310" s="1528" t="n">
        <v>0.00479</v>
      </c>
      <c r="K310" s="1528" t="n">
        <v>0.01009</v>
      </c>
      <c r="L310" s="1528"/>
      <c r="M310" s="1547" t="str">
        <f aca="false">IF($E310=M$3,M$2,"")</f>
        <v/>
      </c>
      <c r="N310" s="1547" t="str">
        <f aca="false">IF($E310=N$3,N$2,"")</f>
        <v/>
      </c>
      <c r="O310" s="1547" t="str">
        <f aca="false">IF($E310=O$3,O$2,"")</f>
        <v/>
      </c>
      <c r="P310" s="1528" t="str">
        <f aca="false">CONCATENATE(D310,M310,N310,O310)</f>
        <v>MORINGA</v>
      </c>
    </row>
    <row r="311" customFormat="false" ht="14.25" hidden="false" customHeight="false" outlineLevel="0" collapsed="false">
      <c r="A311" s="1528"/>
      <c r="B311" s="1528" t="n">
        <v>1</v>
      </c>
      <c r="C311" s="1528" t="n">
        <v>332</v>
      </c>
      <c r="D311" s="1528" t="s">
        <v>1356</v>
      </c>
      <c r="E311" s="1528" t="n">
        <v>0</v>
      </c>
      <c r="F311" s="1528" t="n">
        <v>480.81</v>
      </c>
      <c r="G311" s="1528" t="n">
        <v>1442.43</v>
      </c>
      <c r="H311" s="1528" t="n">
        <v>1939.8</v>
      </c>
      <c r="I311" s="1528" t="n">
        <v>6000</v>
      </c>
      <c r="J311" s="1528" t="n">
        <v>0.02017</v>
      </c>
      <c r="K311" s="1528" t="n">
        <v>0.06052</v>
      </c>
      <c r="L311" s="1528"/>
      <c r="M311" s="1547" t="str">
        <f aca="false">IF($E311=M$3,M$2,"")</f>
        <v/>
      </c>
      <c r="N311" s="1547" t="str">
        <f aca="false">IF($E311=N$3,N$2,"")</f>
        <v/>
      </c>
      <c r="O311" s="1547" t="str">
        <f aca="false">IF($E311=O$3,O$2,"")</f>
        <v/>
      </c>
      <c r="P311" s="1528" t="str">
        <f aca="false">CONCATENATE(D311,M311,N311,O311)</f>
        <v>MOSTAZA</v>
      </c>
    </row>
    <row r="312" customFormat="false" ht="14.25" hidden="false" customHeight="false" outlineLevel="0" collapsed="false">
      <c r="A312" s="1528"/>
      <c r="B312" s="1528" t="n">
        <v>1</v>
      </c>
      <c r="C312" s="1528" t="n">
        <v>336</v>
      </c>
      <c r="D312" s="1528" t="s">
        <v>1357</v>
      </c>
      <c r="E312" s="1528" t="n">
        <v>0</v>
      </c>
      <c r="F312" s="1528" t="n">
        <v>114.19</v>
      </c>
      <c r="G312" s="1528" t="n">
        <v>240.4</v>
      </c>
      <c r="H312" s="1528" t="n">
        <v>400</v>
      </c>
      <c r="I312" s="1528" t="n">
        <v>1000</v>
      </c>
      <c r="J312" s="1528" t="n">
        <v>0.00479</v>
      </c>
      <c r="K312" s="1528" t="n">
        <v>0.01009</v>
      </c>
      <c r="L312" s="1528"/>
      <c r="M312" s="1547" t="str">
        <f aca="false">IF($E312=M$3,M$2,"")</f>
        <v/>
      </c>
      <c r="N312" s="1547" t="str">
        <f aca="false">IF($E312=N$3,N$2,"")</f>
        <v/>
      </c>
      <c r="O312" s="1547" t="str">
        <f aca="false">IF($E312=O$3,O$2,"")</f>
        <v/>
      </c>
      <c r="P312" s="1528" t="str">
        <f aca="false">CONCATENATE(D312,M312,N312,O312)</f>
        <v>MEZCLA ALGARROBA-AVENA</v>
      </c>
    </row>
    <row r="313" customFormat="false" ht="14.25" hidden="false" customHeight="false" outlineLevel="0" collapsed="false">
      <c r="A313" s="1528"/>
      <c r="B313" s="1528" t="n">
        <v>1</v>
      </c>
      <c r="C313" s="1528" t="n">
        <v>337</v>
      </c>
      <c r="D313" s="1528" t="s">
        <v>1358</v>
      </c>
      <c r="E313" s="1528" t="n">
        <v>0</v>
      </c>
      <c r="F313" s="1528" t="n">
        <v>114.19</v>
      </c>
      <c r="G313" s="1528" t="n">
        <v>240.4</v>
      </c>
      <c r="H313" s="1528" t="n">
        <v>400</v>
      </c>
      <c r="I313" s="1528" t="n">
        <v>1000</v>
      </c>
      <c r="J313" s="1528" t="n">
        <v>0.00479</v>
      </c>
      <c r="K313" s="1528" t="n">
        <v>0.01009</v>
      </c>
      <c r="L313" s="1528"/>
      <c r="M313" s="1547" t="str">
        <f aca="false">IF($E313=M$3,M$2,"")</f>
        <v/>
      </c>
      <c r="N313" s="1547" t="str">
        <f aca="false">IF($E313=N$3,N$2,"")</f>
        <v/>
      </c>
      <c r="O313" s="1547" t="str">
        <f aca="false">IF($E313=O$3,O$2,"")</f>
        <v/>
      </c>
      <c r="P313" s="1528" t="str">
        <f aca="false">CONCATENATE(D313,M313,N313,O313)</f>
        <v>MEZCLA ALGARROBA-CEBADA</v>
      </c>
    </row>
    <row r="314" customFormat="false" ht="14.25" hidden="false" customHeight="false" outlineLevel="0" collapsed="false">
      <c r="A314" s="1528"/>
      <c r="B314" s="1528" t="n">
        <v>1</v>
      </c>
      <c r="C314" s="1528" t="n">
        <v>338</v>
      </c>
      <c r="D314" s="1528" t="s">
        <v>1359</v>
      </c>
      <c r="E314" s="1528" t="n">
        <v>0</v>
      </c>
      <c r="F314" s="1528" t="n">
        <v>114.19</v>
      </c>
      <c r="G314" s="1528" t="n">
        <v>240.4</v>
      </c>
      <c r="H314" s="1528" t="n">
        <v>400</v>
      </c>
      <c r="I314" s="1528" t="n">
        <v>1000</v>
      </c>
      <c r="J314" s="1528" t="n">
        <v>0.00479</v>
      </c>
      <c r="K314" s="1528" t="n">
        <v>0.01009</v>
      </c>
      <c r="L314" s="1528"/>
      <c r="M314" s="1547" t="str">
        <f aca="false">IF($E314=M$3,M$2,"")</f>
        <v/>
      </c>
      <c r="N314" s="1547" t="str">
        <f aca="false">IF($E314=N$3,N$2,"")</f>
        <v/>
      </c>
      <c r="O314" s="1547" t="str">
        <f aca="false">IF($E314=O$3,O$2,"")</f>
        <v/>
      </c>
      <c r="P314" s="1528" t="str">
        <f aca="false">CONCATENATE(D314,M314,N314,O314)</f>
        <v>MEZCLA RAYGRASS-VEZA</v>
      </c>
    </row>
    <row r="315" customFormat="false" ht="14.25" hidden="false" customHeight="false" outlineLevel="0" collapsed="false">
      <c r="A315" s="1528"/>
      <c r="B315" s="1528" t="n">
        <v>1</v>
      </c>
      <c r="C315" s="1528" t="n">
        <v>339</v>
      </c>
      <c r="D315" s="1528" t="s">
        <v>1360</v>
      </c>
      <c r="E315" s="1528" t="n">
        <v>0</v>
      </c>
      <c r="F315" s="1528" t="n">
        <v>114.19</v>
      </c>
      <c r="G315" s="1528" t="n">
        <v>240.4</v>
      </c>
      <c r="H315" s="1528" t="n">
        <v>400</v>
      </c>
      <c r="I315" s="1528" t="n">
        <v>1000</v>
      </c>
      <c r="J315" s="1528" t="n">
        <v>0.00479</v>
      </c>
      <c r="K315" s="1528" t="n">
        <v>0.01009</v>
      </c>
      <c r="L315" s="1528"/>
      <c r="M315" s="1547" t="str">
        <f aca="false">IF($E315=M$3,M$2,"")</f>
        <v/>
      </c>
      <c r="N315" s="1547" t="str">
        <f aca="false">IF($E315=N$3,N$2,"")</f>
        <v/>
      </c>
      <c r="O315" s="1547" t="str">
        <f aca="false">IF($E315=O$3,O$2,"")</f>
        <v/>
      </c>
      <c r="P315" s="1528" t="str">
        <f aca="false">CONCATENATE(D315,M315,N315,O315)</f>
        <v>MEZCLA AVENA-YEROS</v>
      </c>
    </row>
    <row r="316" customFormat="false" ht="14.25" hidden="false" customHeight="false" outlineLevel="0" collapsed="false">
      <c r="A316" s="1528"/>
      <c r="B316" s="1528" t="n">
        <v>1</v>
      </c>
      <c r="C316" s="1528" t="n">
        <v>340</v>
      </c>
      <c r="D316" s="1528" t="s">
        <v>1361</v>
      </c>
      <c r="E316" s="1528" t="n">
        <v>0</v>
      </c>
      <c r="F316" s="1528" t="n">
        <v>114.19</v>
      </c>
      <c r="G316" s="1528" t="n">
        <v>240.4</v>
      </c>
      <c r="H316" s="1528" t="n">
        <v>400</v>
      </c>
      <c r="I316" s="1528" t="n">
        <v>1000</v>
      </c>
      <c r="J316" s="1528" t="n">
        <v>0.00479</v>
      </c>
      <c r="K316" s="1528" t="n">
        <v>0.01009</v>
      </c>
      <c r="L316" s="1528"/>
      <c r="M316" s="1547" t="str">
        <f aca="false">IF($E316=M$3,M$2,"")</f>
        <v/>
      </c>
      <c r="N316" s="1547" t="str">
        <f aca="false">IF($E316=N$3,N$2,"")</f>
        <v/>
      </c>
      <c r="O316" s="1547" t="str">
        <f aca="false">IF($E316=O$3,O$2,"")</f>
        <v/>
      </c>
      <c r="P316" s="1528" t="str">
        <f aca="false">CONCATENATE(D316,M316,N316,O316)</f>
        <v>MEZCLA CEBADA-YEROS</v>
      </c>
    </row>
    <row r="317" customFormat="false" ht="14.25" hidden="false" customHeight="false" outlineLevel="0" collapsed="false">
      <c r="A317" s="1528"/>
      <c r="B317" s="1528" t="n">
        <v>1</v>
      </c>
      <c r="C317" s="1528" t="n">
        <v>341</v>
      </c>
      <c r="D317" s="1528" t="s">
        <v>1362</v>
      </c>
      <c r="E317" s="1528" t="n">
        <v>0</v>
      </c>
      <c r="F317" s="1528" t="n">
        <v>114.19</v>
      </c>
      <c r="G317" s="1528" t="n">
        <v>240.4</v>
      </c>
      <c r="H317" s="1528" t="n">
        <v>700</v>
      </c>
      <c r="I317" s="1528" t="n">
        <v>1800</v>
      </c>
      <c r="J317" s="1528" t="n">
        <v>0.00479</v>
      </c>
      <c r="K317" s="1528" t="n">
        <v>0.01009</v>
      </c>
      <c r="L317" s="1528"/>
      <c r="M317" s="1547" t="str">
        <f aca="false">IF($E317=M$3,M$2,"")</f>
        <v/>
      </c>
      <c r="N317" s="1547" t="str">
        <f aca="false">IF($E317=N$3,N$2,"")</f>
        <v/>
      </c>
      <c r="O317" s="1547" t="str">
        <f aca="false">IF($E317=O$3,O$2,"")</f>
        <v/>
      </c>
      <c r="P317" s="1528" t="str">
        <f aca="false">CONCATENATE(D317,M317,N317,O317)</f>
        <v>SILPHIUM</v>
      </c>
    </row>
    <row r="318" customFormat="false" ht="14.25" hidden="false" customHeight="false" outlineLevel="0" collapsed="false">
      <c r="A318" s="1528"/>
      <c r="B318" s="1528" t="n">
        <v>2</v>
      </c>
      <c r="C318" s="1528" t="n">
        <v>343</v>
      </c>
      <c r="D318" s="1528" t="s">
        <v>1363</v>
      </c>
      <c r="E318" s="1528" t="n">
        <v>0</v>
      </c>
      <c r="F318" s="1528" t="n">
        <v>480.81</v>
      </c>
      <c r="G318" s="1528" t="n">
        <v>1442.43</v>
      </c>
      <c r="H318" s="1528" t="n">
        <v>1939.8</v>
      </c>
      <c r="I318" s="1528" t="n">
        <v>6000</v>
      </c>
      <c r="J318" s="1528" t="n">
        <v>0.02017</v>
      </c>
      <c r="K318" s="1528" t="n">
        <v>0.06052</v>
      </c>
      <c r="L318" s="1528"/>
      <c r="M318" s="1547" t="str">
        <f aca="false">IF($E318=M$3,M$2,"")</f>
        <v/>
      </c>
      <c r="N318" s="1547" t="str">
        <f aca="false">IF($E318=N$3,N$2,"")</f>
        <v/>
      </c>
      <c r="O318" s="1547" t="str">
        <f aca="false">IF($E318=O$3,O$2,"")</f>
        <v/>
      </c>
      <c r="P318" s="1528" t="str">
        <f aca="false">CONCATENATE(D318,M318,N318,O318)</f>
        <v>AGUACATE</v>
      </c>
    </row>
    <row r="319" customFormat="false" ht="14.25" hidden="false" customHeight="false" outlineLevel="0" collapsed="false">
      <c r="A319" s="1528"/>
      <c r="B319" s="1528" t="n">
        <v>2</v>
      </c>
      <c r="C319" s="1528" t="n">
        <v>344</v>
      </c>
      <c r="D319" s="1528" t="s">
        <v>1364</v>
      </c>
      <c r="E319" s="1528" t="n">
        <v>0</v>
      </c>
      <c r="F319" s="1528" t="n">
        <v>480.81</v>
      </c>
      <c r="G319" s="1528" t="n">
        <v>1442.43</v>
      </c>
      <c r="H319" s="1528" t="n">
        <v>1939.8</v>
      </c>
      <c r="I319" s="1528" t="n">
        <v>6000</v>
      </c>
      <c r="J319" s="1528" t="n">
        <v>0.02017</v>
      </c>
      <c r="K319" s="1528" t="n">
        <v>0.06052</v>
      </c>
      <c r="L319" s="1528"/>
      <c r="M319" s="1547" t="str">
        <f aca="false">IF($E319=M$3,M$2,"")</f>
        <v/>
      </c>
      <c r="N319" s="1547" t="str">
        <f aca="false">IF($E319=N$3,N$2,"")</f>
        <v/>
      </c>
      <c r="O319" s="1547" t="str">
        <f aca="false">IF($E319=O$3,O$2,"")</f>
        <v/>
      </c>
      <c r="P319" s="1528" t="str">
        <f aca="false">CONCATENATE(D319,M319,N319,O319)</f>
        <v>MANGO</v>
      </c>
    </row>
    <row r="320" customFormat="false" ht="14.25" hidden="false" customHeight="false" outlineLevel="0" collapsed="false">
      <c r="A320" s="1528"/>
      <c r="B320" s="1528" t="n">
        <v>2</v>
      </c>
      <c r="C320" s="1528" t="n">
        <v>345</v>
      </c>
      <c r="D320" s="1528" t="s">
        <v>1365</v>
      </c>
      <c r="E320" s="1528" t="n">
        <v>0</v>
      </c>
      <c r="F320" s="1528" t="n">
        <v>480.81</v>
      </c>
      <c r="G320" s="1528" t="n">
        <v>1442.43</v>
      </c>
      <c r="H320" s="1528" t="n">
        <v>1939.8</v>
      </c>
      <c r="I320" s="1528" t="n">
        <v>6000</v>
      </c>
      <c r="J320" s="1528" t="n">
        <v>0.02017</v>
      </c>
      <c r="K320" s="1528" t="n">
        <v>0.06052</v>
      </c>
      <c r="L320" s="1528"/>
      <c r="M320" s="1547" t="str">
        <f aca="false">IF($E320=M$3,M$2,"")</f>
        <v/>
      </c>
      <c r="N320" s="1547" t="str">
        <f aca="false">IF($E320=N$3,N$2,"")</f>
        <v/>
      </c>
      <c r="O320" s="1547" t="str">
        <f aca="false">IF($E320=O$3,O$2,"")</f>
        <v/>
      </c>
      <c r="P320" s="1528" t="str">
        <f aca="false">CONCATENATE(D320,M320,N320,O320)</f>
        <v>CHIRIMOYO</v>
      </c>
    </row>
    <row r="321" customFormat="false" ht="14.25" hidden="false" customHeight="false" outlineLevel="0" collapsed="false">
      <c r="A321" s="1528"/>
      <c r="B321" s="1528" t="n">
        <v>2</v>
      </c>
      <c r="C321" s="1528" t="n">
        <v>346</v>
      </c>
      <c r="D321" s="1528" t="s">
        <v>1366</v>
      </c>
      <c r="E321" s="1528" t="n">
        <v>0</v>
      </c>
      <c r="F321" s="1528" t="n">
        <v>480.81</v>
      </c>
      <c r="G321" s="1528" t="n">
        <v>1442.43</v>
      </c>
      <c r="H321" s="1528" t="n">
        <v>1939.8</v>
      </c>
      <c r="I321" s="1528" t="n">
        <v>6000</v>
      </c>
      <c r="J321" s="1528" t="n">
        <v>0.02017</v>
      </c>
      <c r="K321" s="1528" t="n">
        <v>0.06052</v>
      </c>
      <c r="L321" s="1528"/>
      <c r="M321" s="1547" t="str">
        <f aca="false">IF($E321=M$3,M$2,"")</f>
        <v/>
      </c>
      <c r="N321" s="1547" t="str">
        <f aca="false">IF($E321=N$3,N$2,"")</f>
        <v/>
      </c>
      <c r="O321" s="1547" t="str">
        <f aca="false">IF($E321=O$3,O$2,"")</f>
        <v/>
      </c>
      <c r="P321" s="1528" t="str">
        <f aca="false">CONCATENATE(D321,M321,N321,O321)</f>
        <v>PAPAYA</v>
      </c>
    </row>
    <row r="322" customFormat="false" ht="14.25" hidden="false" customHeight="false" outlineLevel="0" collapsed="false">
      <c r="A322" s="1528"/>
      <c r="B322" s="1528" t="n">
        <v>2</v>
      </c>
      <c r="C322" s="1528" t="n">
        <v>347</v>
      </c>
      <c r="D322" s="1528" t="s">
        <v>1367</v>
      </c>
      <c r="E322" s="1528" t="n">
        <v>0</v>
      </c>
      <c r="F322" s="1528" t="n">
        <v>480.81</v>
      </c>
      <c r="G322" s="1528" t="n">
        <v>1442.43</v>
      </c>
      <c r="H322" s="1528" t="n">
        <v>1939.8</v>
      </c>
      <c r="I322" s="1528" t="n">
        <v>6000</v>
      </c>
      <c r="J322" s="1528" t="n">
        <v>0.02017</v>
      </c>
      <c r="K322" s="1528" t="n">
        <v>0.06052</v>
      </c>
      <c r="L322" s="1528"/>
      <c r="M322" s="1547" t="str">
        <f aca="false">IF($E322=M$3,M$2,"")</f>
        <v/>
      </c>
      <c r="N322" s="1547" t="str">
        <f aca="false">IF($E322=N$3,N$2,"")</f>
        <v/>
      </c>
      <c r="O322" s="1547" t="str">
        <f aca="false">IF($E322=O$3,O$2,"")</f>
        <v/>
      </c>
      <c r="P322" s="1528" t="str">
        <f aca="false">CONCATENATE(D322,M322,N322,O322)</f>
        <v>MORERA</v>
      </c>
    </row>
    <row r="323" customFormat="false" ht="14.25" hidden="false" customHeight="false" outlineLevel="0" collapsed="false">
      <c r="A323" s="1528"/>
      <c r="B323" s="1528" t="n">
        <v>3</v>
      </c>
      <c r="C323" s="1528" t="n">
        <v>348</v>
      </c>
      <c r="D323" s="1528" t="s">
        <v>1368</v>
      </c>
      <c r="E323" s="1528" t="n">
        <v>0</v>
      </c>
      <c r="F323" s="1528" t="n">
        <v>480.81</v>
      </c>
      <c r="G323" s="1528" t="n">
        <v>1442.43</v>
      </c>
      <c r="H323" s="1528" t="n">
        <v>1939.8</v>
      </c>
      <c r="I323" s="1528" t="n">
        <v>6000</v>
      </c>
      <c r="J323" s="1528" t="n">
        <v>0.02017</v>
      </c>
      <c r="K323" s="1528" t="n">
        <v>0.06052</v>
      </c>
      <c r="L323" s="1528"/>
      <c r="M323" s="1547" t="str">
        <f aca="false">IF($E323=M$3,M$2,"")</f>
        <v/>
      </c>
      <c r="N323" s="1547" t="str">
        <f aca="false">IF($E323=N$3,N$2,"")</f>
        <v/>
      </c>
      <c r="O323" s="1547" t="str">
        <f aca="false">IF($E323=O$3,O$2,"")</f>
        <v/>
      </c>
      <c r="P323" s="1528" t="str">
        <f aca="false">CONCATENATE(D323,M323,N323,O323)</f>
        <v>VIÑA - FRUTAL</v>
      </c>
    </row>
    <row r="324" customFormat="false" ht="14.25" hidden="false" customHeight="false" outlineLevel="0" collapsed="false">
      <c r="A324" s="1528"/>
      <c r="B324" s="1528" t="n">
        <v>3</v>
      </c>
      <c r="C324" s="1528" t="n">
        <v>349</v>
      </c>
      <c r="D324" s="1528" t="s">
        <v>1369</v>
      </c>
      <c r="E324" s="1528" t="n">
        <v>0</v>
      </c>
      <c r="F324" s="1528" t="n">
        <v>480.81</v>
      </c>
      <c r="G324" s="1528" t="n">
        <v>1442.43</v>
      </c>
      <c r="H324" s="1528" t="n">
        <v>1939.8</v>
      </c>
      <c r="I324" s="1528" t="n">
        <v>6000</v>
      </c>
      <c r="J324" s="1528" t="n">
        <v>0.02017</v>
      </c>
      <c r="K324" s="1528" t="n">
        <v>0.06052</v>
      </c>
      <c r="L324" s="1528"/>
      <c r="M324" s="1547" t="str">
        <f aca="false">IF($E324=M$3,M$2,"")</f>
        <v/>
      </c>
      <c r="N324" s="1547" t="str">
        <f aca="false">IF($E324=N$3,N$2,"")</f>
        <v/>
      </c>
      <c r="O324" s="1547" t="str">
        <f aca="false">IF($E324=O$3,O$2,"")</f>
        <v/>
      </c>
      <c r="P324" s="1528" t="str">
        <f aca="false">CONCATENATE(D324,M324,N324,O324)</f>
        <v>OLIVAR - FRUTAL</v>
      </c>
    </row>
    <row r="325" customFormat="false" ht="14.25" hidden="false" customHeight="false" outlineLevel="0" collapsed="false">
      <c r="A325" s="1528"/>
      <c r="B325" s="1528" t="n">
        <v>3</v>
      </c>
      <c r="C325" s="1528" t="n">
        <v>351</v>
      </c>
      <c r="D325" s="1528" t="s">
        <v>1370</v>
      </c>
      <c r="E325" s="1528" t="n">
        <v>0</v>
      </c>
      <c r="F325" s="1528" t="n">
        <v>480.81</v>
      </c>
      <c r="G325" s="1528" t="n">
        <v>1442.43</v>
      </c>
      <c r="H325" s="1528" t="n">
        <v>1939.8</v>
      </c>
      <c r="I325" s="1528" t="n">
        <v>6000</v>
      </c>
      <c r="J325" s="1528" t="n">
        <v>0.02017</v>
      </c>
      <c r="K325" s="1528" t="n">
        <v>0.06052</v>
      </c>
      <c r="L325" s="1528"/>
      <c r="M325" s="1547" t="str">
        <f aca="false">IF($E325=M$3,M$2,"")</f>
        <v/>
      </c>
      <c r="N325" s="1547" t="str">
        <f aca="false">IF($E325=N$3,N$2,"")</f>
        <v/>
      </c>
      <c r="O325" s="1547" t="str">
        <f aca="false">IF($E325=O$3,O$2,"")</f>
        <v/>
      </c>
      <c r="P325" s="1528" t="str">
        <f aca="false">CONCATENATE(D325,M325,N325,O325)</f>
        <v>CÍTRICOS HÍBRIDOS-CAQUI</v>
      </c>
    </row>
    <row r="326" customFormat="false" ht="14.25" hidden="false" customHeight="false" outlineLevel="0" collapsed="false">
      <c r="A326" s="1528"/>
      <c r="B326" s="1528" t="n">
        <v>3</v>
      </c>
      <c r="C326" s="1528" t="n">
        <v>352</v>
      </c>
      <c r="D326" s="1528" t="s">
        <v>1371</v>
      </c>
      <c r="E326" s="1528" t="n">
        <v>0</v>
      </c>
      <c r="F326" s="1528" t="n">
        <v>480.81</v>
      </c>
      <c r="G326" s="1528" t="n">
        <v>1442.43</v>
      </c>
      <c r="H326" s="1528" t="n">
        <v>1939.8</v>
      </c>
      <c r="I326" s="1528" t="n">
        <v>6000</v>
      </c>
      <c r="J326" s="1528" t="n">
        <v>0.02017</v>
      </c>
      <c r="K326" s="1528" t="n">
        <v>0.06052</v>
      </c>
      <c r="L326" s="1528"/>
      <c r="M326" s="1547" t="str">
        <f aca="false">IF($E326=M$3,M$2,"")</f>
        <v/>
      </c>
      <c r="N326" s="1547" t="str">
        <f aca="false">IF($E326=N$3,N$2,"")</f>
        <v/>
      </c>
      <c r="O326" s="1547" t="str">
        <f aca="false">IF($E326=O$3,O$2,"")</f>
        <v/>
      </c>
      <c r="P326" s="1528" t="str">
        <f aca="false">CONCATENATE(D326,M326,N326,O326)</f>
        <v>NARANJO-AGUACATE</v>
      </c>
    </row>
    <row r="327" customFormat="false" ht="14.25" hidden="false" customHeight="false" outlineLevel="0" collapsed="false">
      <c r="A327" s="1528"/>
      <c r="B327" s="1528" t="n">
        <v>3</v>
      </c>
      <c r="C327" s="1528" t="n">
        <v>353</v>
      </c>
      <c r="D327" s="1528" t="s">
        <v>1372</v>
      </c>
      <c r="E327" s="1528" t="n">
        <v>0</v>
      </c>
      <c r="F327" s="1528" t="n">
        <v>480.81</v>
      </c>
      <c r="G327" s="1528" t="n">
        <v>1442.43</v>
      </c>
      <c r="H327" s="1528" t="n">
        <v>2439.65</v>
      </c>
      <c r="I327" s="1528" t="n">
        <v>7000</v>
      </c>
      <c r="J327" s="1528" t="n">
        <v>0.02017</v>
      </c>
      <c r="K327" s="1528" t="n">
        <v>0.06052</v>
      </c>
      <c r="L327" s="1528"/>
      <c r="M327" s="1547" t="str">
        <f aca="false">IF($E327=M$3,M$2,"")</f>
        <v/>
      </c>
      <c r="N327" s="1547" t="str">
        <f aca="false">IF($E327=N$3,N$2,"")</f>
        <v/>
      </c>
      <c r="O327" s="1547" t="str">
        <f aca="false">IF($E327=O$3,O$2,"")</f>
        <v/>
      </c>
      <c r="P327" s="1528" t="str">
        <f aca="false">CONCATENATE(D327,M327,N327,O327)</f>
        <v>CEREZO-OLIVAR</v>
      </c>
    </row>
    <row r="328" customFormat="false" ht="14.25" hidden="false" customHeight="false" outlineLevel="0" collapsed="false">
      <c r="A328" s="1528"/>
      <c r="B328" s="1528" t="n">
        <v>3</v>
      </c>
      <c r="C328" s="1528" t="n">
        <v>354</v>
      </c>
      <c r="D328" s="1528" t="s">
        <v>1373</v>
      </c>
      <c r="E328" s="1528" t="n">
        <v>0</v>
      </c>
      <c r="F328" s="1528" t="n">
        <v>480.81</v>
      </c>
      <c r="G328" s="1528" t="n">
        <v>1442.43</v>
      </c>
      <c r="H328" s="1528" t="n">
        <v>2439.65</v>
      </c>
      <c r="I328" s="1528" t="n">
        <v>7000</v>
      </c>
      <c r="J328" s="1528" t="n">
        <v>0.02017</v>
      </c>
      <c r="K328" s="1528" t="n">
        <v>0.06052</v>
      </c>
      <c r="L328" s="1528"/>
      <c r="M328" s="1547" t="str">
        <f aca="false">IF($E328=M$3,M$2,"")</f>
        <v/>
      </c>
      <c r="N328" s="1547" t="str">
        <f aca="false">IF($E328=N$3,N$2,"")</f>
        <v/>
      </c>
      <c r="O328" s="1547" t="str">
        <f aca="false">IF($E328=O$3,O$2,"")</f>
        <v/>
      </c>
      <c r="P328" s="1528" t="str">
        <f aca="false">CONCATENATE(D328,M328,N328,O328)</f>
        <v>CEREZO-ALGARROBO</v>
      </c>
    </row>
    <row r="329" customFormat="false" ht="14.25" hidden="false" customHeight="false" outlineLevel="0" collapsed="false">
      <c r="A329" s="1528"/>
      <c r="B329" s="1528" t="n">
        <v>3</v>
      </c>
      <c r="C329" s="1528" t="n">
        <v>355</v>
      </c>
      <c r="D329" s="1528" t="s">
        <v>1374</v>
      </c>
      <c r="E329" s="1528" t="n">
        <v>0</v>
      </c>
      <c r="F329" s="1528" t="n">
        <v>114.19</v>
      </c>
      <c r="G329" s="1528" t="n">
        <v>240.4</v>
      </c>
      <c r="H329" s="1528" t="n">
        <v>1000</v>
      </c>
      <c r="I329" s="1528" t="n">
        <v>3800</v>
      </c>
      <c r="J329" s="1528" t="n">
        <v>0.00479</v>
      </c>
      <c r="K329" s="1528" t="n">
        <v>0.01009</v>
      </c>
      <c r="L329" s="1528"/>
      <c r="M329" s="1547" t="str">
        <f aca="false">IF($E329=M$3,M$2,"")</f>
        <v/>
      </c>
      <c r="N329" s="1547" t="str">
        <f aca="false">IF($E329=N$3,N$2,"")</f>
        <v/>
      </c>
      <c r="O329" s="1547" t="str">
        <f aca="false">IF($E329=O$3,O$2,"")</f>
        <v/>
      </c>
      <c r="P329" s="1528" t="str">
        <f aca="false">CONCATENATE(D329,M329,N329,O329)</f>
        <v>RICINO</v>
      </c>
    </row>
    <row r="330" customFormat="false" ht="14.25" hidden="false" customHeight="false" outlineLevel="0" collapsed="false">
      <c r="A330" s="1528"/>
      <c r="B330" s="1528" t="n">
        <v>3</v>
      </c>
      <c r="C330" s="1528" t="n">
        <v>356</v>
      </c>
      <c r="D330" s="1528" t="s">
        <v>1375</v>
      </c>
      <c r="E330" s="1528" t="n">
        <v>0</v>
      </c>
      <c r="F330" s="1528" t="n">
        <v>480.81</v>
      </c>
      <c r="G330" s="1528" t="n">
        <v>1442.43</v>
      </c>
      <c r="H330" s="1528" t="n">
        <v>1939.8</v>
      </c>
      <c r="I330" s="1528" t="n">
        <v>6000</v>
      </c>
      <c r="J330" s="1528" t="n">
        <v>0.02017</v>
      </c>
      <c r="K330" s="1528" t="n">
        <v>0.06052</v>
      </c>
      <c r="L330" s="1528"/>
      <c r="M330" s="1547" t="str">
        <f aca="false">IF($E330=M$3,M$2,"")</f>
        <v/>
      </c>
      <c r="N330" s="1547" t="str">
        <f aca="false">IF($E330=N$3,N$2,"")</f>
        <v/>
      </c>
      <c r="O330" s="1547" t="str">
        <f aca="false">IF($E330=O$3,O$2,"")</f>
        <v/>
      </c>
      <c r="P330" s="1528" t="str">
        <f aca="false">CONCATENATE(D330,M330,N330,O330)</f>
        <v>NARANJO AMARGO</v>
      </c>
    </row>
    <row r="331" customFormat="false" ht="14.25" hidden="false" customHeight="false" outlineLevel="0" collapsed="false">
      <c r="A331" s="1528"/>
      <c r="B331" s="1528" t="n">
        <v>1</v>
      </c>
      <c r="C331" s="1528" t="n">
        <v>390</v>
      </c>
      <c r="D331" s="1528" t="s">
        <v>1376</v>
      </c>
      <c r="E331" s="1528" t="n">
        <v>0</v>
      </c>
      <c r="F331" s="1528" t="n">
        <v>114.19</v>
      </c>
      <c r="G331" s="1528" t="n">
        <v>240.4</v>
      </c>
      <c r="H331" s="1528" t="n">
        <v>350</v>
      </c>
      <c r="I331" s="1528" t="n">
        <v>750</v>
      </c>
      <c r="J331" s="1528" t="n">
        <v>0.00479</v>
      </c>
      <c r="K331" s="1528" t="n">
        <v>0.01009</v>
      </c>
      <c r="L331" s="1528"/>
      <c r="M331" s="1547" t="str">
        <f aca="false">IF($E331=M$3,M$2,"")</f>
        <v/>
      </c>
      <c r="N331" s="1547" t="str">
        <f aca="false">IF($E331=N$3,N$2,"")</f>
        <v/>
      </c>
      <c r="O331" s="1547" t="str">
        <f aca="false">IF($E331=O$3,O$2,"")</f>
        <v/>
      </c>
      <c r="P331" s="1528" t="str">
        <f aca="false">CONCATENATE(D331,M331,N331,O331)</f>
        <v>HABONCILLO</v>
      </c>
    </row>
    <row r="332" customFormat="false" ht="14.25" hidden="false" customHeight="false" outlineLevel="0" collapsed="false">
      <c r="A332" s="1528"/>
      <c r="B332" s="1528" t="n">
        <v>1</v>
      </c>
      <c r="C332" s="1528" t="n">
        <v>392</v>
      </c>
      <c r="D332" s="1528" t="s">
        <v>1377</v>
      </c>
      <c r="E332" s="1528" t="n">
        <v>0</v>
      </c>
      <c r="F332" s="1528" t="n">
        <v>114.19</v>
      </c>
      <c r="G332" s="1528" t="n">
        <v>240.4</v>
      </c>
      <c r="H332" s="1528" t="n">
        <v>400</v>
      </c>
      <c r="I332" s="1528" t="n">
        <v>1000</v>
      </c>
      <c r="J332" s="1528" t="n">
        <v>0.00479</v>
      </c>
      <c r="K332" s="1528" t="n">
        <v>0.01009</v>
      </c>
      <c r="L332" s="1528"/>
      <c r="M332" s="1547" t="str">
        <f aca="false">IF($E332=M$3,M$2,"")</f>
        <v/>
      </c>
      <c r="N332" s="1547" t="str">
        <f aca="false">IF($E332=N$3,N$2,"")</f>
        <v/>
      </c>
      <c r="O332" s="1547" t="str">
        <f aca="false">IF($E332=O$3,O$2,"")</f>
        <v/>
      </c>
      <c r="P332" s="1528" t="str">
        <f aca="false">CONCATENATE(D332,M332,N332,O332)</f>
        <v>MEZCLA ALUBIA-MAÍZ</v>
      </c>
    </row>
    <row r="333" customFormat="false" ht="14.25" hidden="false" customHeight="false" outlineLevel="0" collapsed="false">
      <c r="A333" s="1528"/>
      <c r="B333" s="1528" t="n">
        <v>1</v>
      </c>
      <c r="C333" s="1528" t="n">
        <v>393</v>
      </c>
      <c r="D333" s="1528" t="s">
        <v>1378</v>
      </c>
      <c r="E333" s="1528" t="n">
        <v>0</v>
      </c>
      <c r="F333" s="1528" t="n">
        <v>114.19</v>
      </c>
      <c r="G333" s="1528" t="n">
        <v>240.4</v>
      </c>
      <c r="H333" s="1528" t="n">
        <v>365.73</v>
      </c>
      <c r="I333" s="1528" t="n">
        <v>700</v>
      </c>
      <c r="J333" s="1528" t="n">
        <v>0.00479</v>
      </c>
      <c r="K333" s="1528" t="n">
        <v>0.01009</v>
      </c>
      <c r="L333" s="1528"/>
      <c r="M333" s="1547" t="str">
        <f aca="false">IF($E333=M$3,M$2,"")</f>
        <v/>
      </c>
      <c r="N333" s="1547" t="str">
        <f aca="false">IF($E333=N$3,N$2,"")</f>
        <v/>
      </c>
      <c r="O333" s="1547" t="str">
        <f aca="false">IF($E333=O$3,O$2,"")</f>
        <v/>
      </c>
      <c r="P333" s="1528" t="str">
        <f aca="false">CONCATENATE(D333,M333,N333,O333)</f>
        <v>ESCANDA</v>
      </c>
    </row>
    <row r="334" customFormat="false" ht="14.25" hidden="false" customHeight="false" outlineLevel="0" collapsed="false">
      <c r="A334" s="1528"/>
      <c r="B334" s="1528" t="n">
        <v>1</v>
      </c>
      <c r="C334" s="1528" t="n">
        <v>394</v>
      </c>
      <c r="D334" s="1528" t="s">
        <v>1379</v>
      </c>
      <c r="E334" s="1528" t="n">
        <v>0</v>
      </c>
      <c r="F334" s="1528" t="n">
        <v>114.19</v>
      </c>
      <c r="G334" s="1528" t="n">
        <v>240.4</v>
      </c>
      <c r="H334" s="1528" t="n">
        <v>365.73</v>
      </c>
      <c r="I334" s="1528" t="n">
        <v>700</v>
      </c>
      <c r="J334" s="1528" t="n">
        <v>0.00479</v>
      </c>
      <c r="K334" s="1528" t="n">
        <v>0.01009</v>
      </c>
      <c r="L334" s="1528"/>
      <c r="M334" s="1547" t="str">
        <f aca="false">IF($E334=M$3,M$2,"")</f>
        <v/>
      </c>
      <c r="N334" s="1547" t="str">
        <f aca="false">IF($E334=N$3,N$2,"")</f>
        <v/>
      </c>
      <c r="O334" s="1547" t="str">
        <f aca="false">IF($E334=O$3,O$2,"")</f>
        <v/>
      </c>
      <c r="P334" s="1528" t="str">
        <f aca="false">CONCATENATE(D334,M334,N334,O334)</f>
        <v>ESCAÑA</v>
      </c>
    </row>
    <row r="335" customFormat="false" ht="14.25" hidden="false" customHeight="false" outlineLevel="0" collapsed="false">
      <c r="A335" s="1528"/>
      <c r="B335" s="1528" t="n">
        <v>1</v>
      </c>
      <c r="C335" s="1528" t="n">
        <v>395</v>
      </c>
      <c r="D335" s="1528" t="s">
        <v>1380</v>
      </c>
      <c r="E335" s="1528" t="n">
        <v>0</v>
      </c>
      <c r="F335" s="1528" t="n">
        <v>114.19</v>
      </c>
      <c r="G335" s="1528" t="n">
        <v>240.4</v>
      </c>
      <c r="H335" s="1528" t="n">
        <v>365.73</v>
      </c>
      <c r="I335" s="1528" t="n">
        <v>600</v>
      </c>
      <c r="J335" s="1528" t="n">
        <v>0.00479</v>
      </c>
      <c r="K335" s="1528" t="n">
        <v>0.01009</v>
      </c>
      <c r="L335" s="1528"/>
      <c r="M335" s="1547" t="str">
        <f aca="false">IF($E335=M$3,M$2,"")</f>
        <v/>
      </c>
      <c r="N335" s="1547" t="str">
        <f aca="false">IF($E335=N$3,N$2,"")</f>
        <v/>
      </c>
      <c r="O335" s="1547" t="str">
        <f aca="false">IF($E335=O$3,O$2,"")</f>
        <v/>
      </c>
      <c r="P335" s="1528" t="str">
        <f aca="false">CONCATENATE(D335,M335,N335,O335)</f>
        <v>PANIZO</v>
      </c>
    </row>
    <row r="336" customFormat="false" ht="14.25" hidden="false" customHeight="false" outlineLevel="0" collapsed="false">
      <c r="A336" s="1528"/>
      <c r="B336" s="1528" t="n">
        <v>1</v>
      </c>
      <c r="C336" s="1528" t="n">
        <v>397</v>
      </c>
      <c r="D336" s="1528" t="s">
        <v>1381</v>
      </c>
      <c r="E336" s="1528" t="n">
        <v>0</v>
      </c>
      <c r="F336" s="1528" t="n">
        <v>114.19</v>
      </c>
      <c r="G336" s="1528" t="n">
        <v>240.4</v>
      </c>
      <c r="H336" s="1528" t="n">
        <v>350</v>
      </c>
      <c r="I336" s="1528" t="n">
        <v>750</v>
      </c>
      <c r="J336" s="1528" t="n">
        <v>0.00479</v>
      </c>
      <c r="K336" s="1528" t="n">
        <v>0.01009</v>
      </c>
      <c r="L336" s="1528"/>
      <c r="M336" s="1547" t="str">
        <f aca="false">IF($E336=M$3,M$2,"")</f>
        <v/>
      </c>
      <c r="N336" s="1547" t="str">
        <f aca="false">IF($E336=N$3,N$2,"")</f>
        <v/>
      </c>
      <c r="O336" s="1547" t="str">
        <f aca="false">IF($E336=O$3,O$2,"")</f>
        <v/>
      </c>
      <c r="P336" s="1528" t="str">
        <f aca="false">CONCATENATE(D336,M336,N336,O336)</f>
        <v>JUDÍA ESCARLATA</v>
      </c>
    </row>
    <row r="337" customFormat="false" ht="14.25" hidden="false" customHeight="false" outlineLevel="0" collapsed="false">
      <c r="A337" s="1528"/>
      <c r="B337" s="1528" t="n">
        <v>1</v>
      </c>
      <c r="C337" s="1528" t="n">
        <v>398</v>
      </c>
      <c r="D337" s="1528" t="s">
        <v>1382</v>
      </c>
      <c r="E337" s="1528" t="n">
        <v>0</v>
      </c>
      <c r="F337" s="1528" t="n">
        <v>270.46</v>
      </c>
      <c r="G337" s="1528" t="n">
        <v>330.56</v>
      </c>
      <c r="H337" s="1528" t="n">
        <v>270.46</v>
      </c>
      <c r="I337" s="1528" t="n">
        <v>600</v>
      </c>
      <c r="J337" s="1528" t="n">
        <v>0.01135</v>
      </c>
      <c r="K337" s="1528" t="n">
        <v>0.01387</v>
      </c>
      <c r="L337" s="1528"/>
      <c r="M337" s="1547" t="str">
        <f aca="false">IF($E337=M$3,M$2,"")</f>
        <v/>
      </c>
      <c r="N337" s="1547" t="str">
        <f aca="false">IF($E337=N$3,N$2,"")</f>
        <v/>
      </c>
      <c r="O337" s="1547" t="str">
        <f aca="false">IF($E337=O$3,O$2,"")</f>
        <v/>
      </c>
      <c r="P337" s="1528" t="str">
        <f aca="false">CONCATENATE(D337,M337,N337,O337)</f>
        <v>RAMIO</v>
      </c>
    </row>
    <row r="338" customFormat="false" ht="14.25" hidden="false" customHeight="false" outlineLevel="0" collapsed="false">
      <c r="A338" s="1528"/>
      <c r="B338" s="1528" t="n">
        <v>1</v>
      </c>
      <c r="C338" s="1528" t="n">
        <v>401</v>
      </c>
      <c r="D338" s="1528" t="s">
        <v>1383</v>
      </c>
      <c r="E338" s="1528" t="n">
        <v>0</v>
      </c>
      <c r="F338" s="1528" t="n">
        <v>360.61</v>
      </c>
      <c r="G338" s="1528" t="n">
        <v>1352.28</v>
      </c>
      <c r="H338" s="1528" t="n">
        <v>575</v>
      </c>
      <c r="I338" s="1528" t="n">
        <v>5200</v>
      </c>
      <c r="J338" s="1528" t="n">
        <v>0.01513</v>
      </c>
      <c r="K338" s="1528" t="n">
        <v>0.05674</v>
      </c>
      <c r="L338" s="1528"/>
      <c r="M338" s="1547" t="str">
        <f aca="false">IF($E338=M$3,M$2,"")</f>
        <v/>
      </c>
      <c r="N338" s="1547" t="str">
        <f aca="false">IF($E338=N$3,N$2,"")</f>
        <v/>
      </c>
      <c r="O338" s="1547" t="str">
        <f aca="false">IF($E338=O$3,O$2,"")</f>
        <v/>
      </c>
      <c r="P338" s="1528" t="str">
        <f aca="false">CONCATENATE(D338,M338,N338,O338)</f>
        <v>CEBOLLINO</v>
      </c>
    </row>
    <row r="339" customFormat="false" ht="14.25" hidden="false" customHeight="false" outlineLevel="0" collapsed="false">
      <c r="A339" s="1528"/>
      <c r="B339" s="1528" t="n">
        <v>4</v>
      </c>
      <c r="C339" s="1528" t="n">
        <v>417</v>
      </c>
      <c r="D339" s="1528" t="s">
        <v>1384</v>
      </c>
      <c r="E339" s="1528" t="n">
        <v>0</v>
      </c>
      <c r="F339" s="1528" t="n">
        <v>360.61</v>
      </c>
      <c r="G339" s="1528" t="n">
        <v>1352.28</v>
      </c>
      <c r="H339" s="1528" t="n">
        <v>575</v>
      </c>
      <c r="I339" s="1528" t="n">
        <v>5200</v>
      </c>
      <c r="J339" s="1528" t="n">
        <v>0.01513</v>
      </c>
      <c r="K339" s="1528" t="n">
        <v>0.05674</v>
      </c>
      <c r="L339" s="1528"/>
      <c r="M339" s="1547" t="str">
        <f aca="false">IF($E339=M$3,M$2,"")</f>
        <v/>
      </c>
      <c r="N339" s="1547" t="str">
        <f aca="false">IF($E339=N$3,N$2,"")</f>
        <v/>
      </c>
      <c r="O339" s="1547" t="str">
        <f aca="false">IF($E339=O$3,O$2,"")</f>
        <v/>
      </c>
      <c r="P339" s="1528" t="str">
        <f aca="false">CONCATENATE(D339,M339,N339,O339)</f>
        <v>CANÓNIGO</v>
      </c>
    </row>
    <row r="340" customFormat="false" ht="14.25" hidden="false" customHeight="false" outlineLevel="0" collapsed="false">
      <c r="A340" s="1528"/>
      <c r="B340" s="1528" t="n">
        <v>4</v>
      </c>
      <c r="C340" s="1528" t="n">
        <v>420</v>
      </c>
      <c r="D340" s="1528" t="s">
        <v>1385</v>
      </c>
      <c r="E340" s="1528" t="n">
        <v>0</v>
      </c>
      <c r="F340" s="1528" t="n">
        <v>360.61</v>
      </c>
      <c r="G340" s="1528" t="n">
        <v>1352.28</v>
      </c>
      <c r="H340" s="1528" t="n">
        <v>575</v>
      </c>
      <c r="I340" s="1528" t="n">
        <v>5200</v>
      </c>
      <c r="J340" s="1528" t="n">
        <v>0.01513</v>
      </c>
      <c r="K340" s="1528" t="n">
        <v>0.05674</v>
      </c>
      <c r="L340" s="1528"/>
      <c r="M340" s="1547" t="str">
        <f aca="false">IF($E340=M$3,M$2,"")</f>
        <v/>
      </c>
      <c r="N340" s="1547" t="str">
        <f aca="false">IF($E340=N$3,N$2,"")</f>
        <v/>
      </c>
      <c r="O340" s="1547" t="str">
        <f aca="false">IF($E340=O$3,O$2,"")</f>
        <v/>
      </c>
      <c r="P340" s="1528" t="str">
        <f aca="false">CONCATENATE(D340,M340,N340,O340)</f>
        <v>RUIBARBO</v>
      </c>
    </row>
    <row r="341" customFormat="false" ht="14.25" hidden="false" customHeight="false" outlineLevel="0" collapsed="false">
      <c r="A341" s="1528"/>
      <c r="B341" s="1528" t="n">
        <v>4</v>
      </c>
      <c r="C341" s="1528" t="n">
        <v>427</v>
      </c>
      <c r="D341" s="1528" t="s">
        <v>1386</v>
      </c>
      <c r="E341" s="1528" t="n">
        <v>0</v>
      </c>
      <c r="F341" s="1528" t="n">
        <v>114.19</v>
      </c>
      <c r="G341" s="1528" t="n">
        <v>240.4</v>
      </c>
      <c r="H341" s="1528" t="n">
        <v>1000</v>
      </c>
      <c r="I341" s="1528" t="n">
        <v>3800</v>
      </c>
      <c r="J341" s="1528" t="n">
        <v>0.00479</v>
      </c>
      <c r="K341" s="1528" t="n">
        <v>0.01009</v>
      </c>
      <c r="L341" s="1528"/>
      <c r="M341" s="1547" t="str">
        <f aca="false">IF($E341=M$3,M$2,"")</f>
        <v/>
      </c>
      <c r="N341" s="1547" t="str">
        <f aca="false">IF($E341=N$3,N$2,"")</f>
        <v/>
      </c>
      <c r="O341" s="1547" t="str">
        <f aca="false">IF($E341=O$3,O$2,"")</f>
        <v/>
      </c>
      <c r="P341" s="1528" t="str">
        <f aca="false">CONCATENATE(D341,M341,N341,O341)</f>
        <v>RÁBANO PICANTE</v>
      </c>
    </row>
    <row r="342" customFormat="false" ht="14.25" hidden="false" customHeight="false" outlineLevel="0" collapsed="false">
      <c r="A342" s="1528"/>
      <c r="B342" s="1528" t="n">
        <v>4</v>
      </c>
      <c r="C342" s="1528" t="n">
        <v>428</v>
      </c>
      <c r="D342" s="1528" t="s">
        <v>1387</v>
      </c>
      <c r="E342" s="1528" t="n">
        <v>0</v>
      </c>
      <c r="F342" s="1528" t="n">
        <v>114.19</v>
      </c>
      <c r="G342" s="1528" t="n">
        <v>240.4</v>
      </c>
      <c r="H342" s="1528" t="n">
        <v>350</v>
      </c>
      <c r="I342" s="1528" t="n">
        <v>750</v>
      </c>
      <c r="J342" s="1528" t="n">
        <v>0.00479</v>
      </c>
      <c r="K342" s="1528" t="n">
        <v>0.01009</v>
      </c>
      <c r="L342" s="1528"/>
      <c r="M342" s="1547" t="str">
        <f aca="false">IF($E342=M$3,M$2,"")</f>
        <v/>
      </c>
      <c r="N342" s="1547" t="str">
        <f aca="false">IF($E342=N$3,N$2,"")</f>
        <v/>
      </c>
      <c r="O342" s="1547" t="str">
        <f aca="false">IF($E342=O$3,O$2,"")</f>
        <v/>
      </c>
      <c r="P342" s="1528" t="str">
        <f aca="false">CONCATENATE(D342,M342,N342,O342)</f>
        <v>JUDÍA DE LIMA</v>
      </c>
    </row>
    <row r="343" customFormat="false" ht="14.25" hidden="false" customHeight="false" outlineLevel="0" collapsed="false">
      <c r="A343" s="1528"/>
      <c r="B343" s="1528" t="n">
        <v>4</v>
      </c>
      <c r="C343" s="1528" t="n">
        <v>445</v>
      </c>
      <c r="D343" s="1528" t="s">
        <v>1388</v>
      </c>
      <c r="E343" s="1528" t="n">
        <v>0</v>
      </c>
      <c r="F343" s="1528" t="n">
        <v>360.61</v>
      </c>
      <c r="G343" s="1528" t="n">
        <v>1352.28</v>
      </c>
      <c r="H343" s="1528" t="n">
        <v>575</v>
      </c>
      <c r="I343" s="1528" t="n">
        <v>5200</v>
      </c>
      <c r="J343" s="1528" t="n">
        <v>0.01513</v>
      </c>
      <c r="K343" s="1528" t="n">
        <v>0.05674</v>
      </c>
      <c r="L343" s="1528"/>
      <c r="M343" s="1547" t="str">
        <f aca="false">IF($E343=M$3,M$2,"")</f>
        <v/>
      </c>
      <c r="N343" s="1547" t="str">
        <f aca="false">IF($E343=N$3,N$2,"")</f>
        <v/>
      </c>
      <c r="O343" s="1547" t="str">
        <f aca="false">IF($E343=O$3,O$2,"")</f>
        <v/>
      </c>
      <c r="P343" s="1528" t="str">
        <f aca="false">CONCATENATE(D343,M343,N343,O343)</f>
        <v>COL CRESPA</v>
      </c>
    </row>
    <row r="344" customFormat="false" ht="14.25" hidden="false" customHeight="false" outlineLevel="0" collapsed="false">
      <c r="A344" s="1528"/>
      <c r="B344" s="1528" t="n">
        <v>1</v>
      </c>
      <c r="C344" s="1528" t="n">
        <v>447</v>
      </c>
      <c r="D344" s="1528" t="s">
        <v>1389</v>
      </c>
      <c r="E344" s="1528" t="n">
        <v>0</v>
      </c>
      <c r="F344" s="1528" t="n">
        <v>114.19</v>
      </c>
      <c r="G344" s="1528" t="n">
        <v>240.4</v>
      </c>
      <c r="H344" s="1528" t="n">
        <v>400</v>
      </c>
      <c r="I344" s="1528" t="n">
        <v>1000</v>
      </c>
      <c r="J344" s="1528" t="n">
        <v>0.00479</v>
      </c>
      <c r="K344" s="1528" t="n">
        <v>0.01009</v>
      </c>
      <c r="L344" s="1528"/>
      <c r="M344" s="1547" t="str">
        <f aca="false">IF($E344=M$3,M$2,"")</f>
        <v/>
      </c>
      <c r="N344" s="1547" t="str">
        <f aca="false">IF($E344=N$3,N$2,"")</f>
        <v/>
      </c>
      <c r="O344" s="1547" t="str">
        <f aca="false">IF($E344=O$3,O$2,"")</f>
        <v/>
      </c>
      <c r="P344" s="1528" t="str">
        <f aca="false">CONCATENATE(D344,M344,N344,O344)</f>
        <v>MEZCLA CEREAL-RAYGRASS</v>
      </c>
    </row>
    <row r="345" customFormat="false" ht="14.25" hidden="false" customHeight="false" outlineLevel="0" collapsed="false">
      <c r="A345" s="1528"/>
      <c r="B345" s="1528" t="n">
        <v>1</v>
      </c>
      <c r="C345" s="1528" t="n">
        <v>448</v>
      </c>
      <c r="D345" s="1528" t="s">
        <v>1390</v>
      </c>
      <c r="E345" s="1528" t="n">
        <v>0</v>
      </c>
      <c r="F345" s="1528" t="n">
        <v>114.19</v>
      </c>
      <c r="G345" s="1528" t="n">
        <v>240.4</v>
      </c>
      <c r="H345" s="1528" t="n">
        <v>400</v>
      </c>
      <c r="I345" s="1528" t="n">
        <v>1000</v>
      </c>
      <c r="J345" s="1528" t="n">
        <v>0.00479</v>
      </c>
      <c r="K345" s="1528" t="n">
        <v>0.01009</v>
      </c>
      <c r="L345" s="1528"/>
      <c r="M345" s="1547" t="str">
        <f aca="false">IF($E345=M$3,M$2,"")</f>
        <v/>
      </c>
      <c r="N345" s="1547" t="str">
        <f aca="false">IF($E345=N$3,N$2,"")</f>
        <v/>
      </c>
      <c r="O345" s="1547" t="str">
        <f aca="false">IF($E345=O$3,O$2,"")</f>
        <v/>
      </c>
      <c r="P345" s="1528" t="str">
        <f aca="false">CONCATENATE(D345,M345,N345,O345)</f>
        <v>MEZCLA AVENA-MAÍZ</v>
      </c>
    </row>
    <row r="346" customFormat="false" ht="14.25" hidden="false" customHeight="false" outlineLevel="0" collapsed="false">
      <c r="A346" s="1528"/>
      <c r="B346" s="1528" t="n">
        <v>1</v>
      </c>
      <c r="C346" s="1528" t="n">
        <v>449</v>
      </c>
      <c r="D346" s="1528" t="s">
        <v>1391</v>
      </c>
      <c r="E346" s="1528" t="n">
        <v>0</v>
      </c>
      <c r="F346" s="1528" t="n">
        <v>114.19</v>
      </c>
      <c r="G346" s="1528" t="n">
        <v>240.4</v>
      </c>
      <c r="H346" s="1528" t="n">
        <v>400</v>
      </c>
      <c r="I346" s="1528" t="n">
        <v>1000</v>
      </c>
      <c r="J346" s="1528" t="n">
        <v>0.00479</v>
      </c>
      <c r="K346" s="1528" t="n">
        <v>0.01009</v>
      </c>
      <c r="L346" s="1528"/>
      <c r="M346" s="1547" t="str">
        <f aca="false">IF($E346=M$3,M$2,"")</f>
        <v/>
      </c>
      <c r="N346" s="1547" t="str">
        <f aca="false">IF($E346=N$3,N$2,"")</f>
        <v/>
      </c>
      <c r="O346" s="1547" t="str">
        <f aca="false">IF($E346=O$3,O$2,"")</f>
        <v/>
      </c>
      <c r="P346" s="1528" t="str">
        <f aca="false">CONCATENATE(D346,M346,N346,O346)</f>
        <v>MEZCLA HABA-VEZA</v>
      </c>
    </row>
    <row r="347" customFormat="false" ht="14.25" hidden="false" customHeight="false" outlineLevel="0" collapsed="false">
      <c r="A347" s="1528"/>
      <c r="B347" s="1528" t="n">
        <v>1</v>
      </c>
      <c r="C347" s="1528" t="n">
        <v>450</v>
      </c>
      <c r="D347" s="1528" t="s">
        <v>1392</v>
      </c>
      <c r="E347" s="1528" t="n">
        <v>0</v>
      </c>
      <c r="F347" s="1528" t="n">
        <v>114.19</v>
      </c>
      <c r="G347" s="1528" t="n">
        <v>240.4</v>
      </c>
      <c r="H347" s="1528" t="n">
        <v>400</v>
      </c>
      <c r="I347" s="1528" t="n">
        <v>1000</v>
      </c>
      <c r="J347" s="1528" t="n">
        <v>0.00479</v>
      </c>
      <c r="K347" s="1528" t="n">
        <v>0.01009</v>
      </c>
      <c r="L347" s="1528"/>
      <c r="M347" s="1547" t="str">
        <f aca="false">IF($E347=M$3,M$2,"")</f>
        <v/>
      </c>
      <c r="N347" s="1547" t="str">
        <f aca="false">IF($E347=N$3,N$2,"")</f>
        <v/>
      </c>
      <c r="O347" s="1547" t="str">
        <f aca="false">IF($E347=O$3,O$2,"")</f>
        <v/>
      </c>
      <c r="P347" s="1528" t="str">
        <f aca="false">CONCATENATE(D347,M347,N347,O347)</f>
        <v>MEZCLA CEBADA-TRIGO</v>
      </c>
    </row>
    <row r="348" customFormat="false" ht="14.25" hidden="false" customHeight="false" outlineLevel="0" collapsed="false">
      <c r="A348" s="1528"/>
      <c r="B348" s="1528" t="n">
        <v>1</v>
      </c>
      <c r="C348" s="1528" t="n">
        <v>451</v>
      </c>
      <c r="D348" s="1528" t="s">
        <v>1393</v>
      </c>
      <c r="E348" s="1528" t="n">
        <v>0</v>
      </c>
      <c r="F348" s="1528" t="n">
        <v>114.19</v>
      </c>
      <c r="G348" s="1528" t="n">
        <v>240.4</v>
      </c>
      <c r="H348" s="1528" t="n">
        <v>400</v>
      </c>
      <c r="I348" s="1528" t="n">
        <v>1000</v>
      </c>
      <c r="J348" s="1528" t="n">
        <v>0.00479</v>
      </c>
      <c r="K348" s="1528" t="n">
        <v>0.01009</v>
      </c>
      <c r="L348" s="1528"/>
      <c r="M348" s="1547" t="str">
        <f aca="false">IF($E348=M$3,M$2,"")</f>
        <v/>
      </c>
      <c r="N348" s="1547" t="str">
        <f aca="false">IF($E348=N$3,N$2,"")</f>
        <v/>
      </c>
      <c r="O348" s="1547" t="str">
        <f aca="false">IF($E348=O$3,O$2,"")</f>
        <v/>
      </c>
      <c r="P348" s="1528" t="str">
        <f aca="false">CONCATENATE(D348,M348,N348,O348)</f>
        <v>MEZCLA CENTENO-TRIGO</v>
      </c>
    </row>
    <row r="349" customFormat="false" ht="14.25" hidden="false" customHeight="false" outlineLevel="0" collapsed="false">
      <c r="A349" s="1528"/>
      <c r="B349" s="1528" t="n">
        <v>1</v>
      </c>
      <c r="C349" s="1528" t="n">
        <v>452</v>
      </c>
      <c r="D349" s="1528" t="s">
        <v>1394</v>
      </c>
      <c r="E349" s="1528" t="n">
        <v>0</v>
      </c>
      <c r="F349" s="1528" t="n">
        <v>114.19</v>
      </c>
      <c r="G349" s="1528" t="n">
        <v>240.4</v>
      </c>
      <c r="H349" s="1528" t="n">
        <v>400</v>
      </c>
      <c r="I349" s="1528" t="n">
        <v>1000</v>
      </c>
      <c r="J349" s="1528" t="n">
        <v>0.00479</v>
      </c>
      <c r="K349" s="1528" t="n">
        <v>0.01009</v>
      </c>
      <c r="L349" s="1528"/>
      <c r="M349" s="1547" t="str">
        <f aca="false">IF($E349=M$3,M$2,"")</f>
        <v/>
      </c>
      <c r="N349" s="1547" t="str">
        <f aca="false">IF($E349=N$3,N$2,"")</f>
        <v/>
      </c>
      <c r="O349" s="1547" t="str">
        <f aca="false">IF($E349=O$3,O$2,"")</f>
        <v/>
      </c>
      <c r="P349" s="1528" t="str">
        <f aca="false">CONCATENATE(D349,M349,N349,O349)</f>
        <v>MEZCLA AVENA-MAÍZ-VEZA</v>
      </c>
    </row>
    <row r="350" customFormat="false" ht="14.25" hidden="false" customHeight="false" outlineLevel="0" collapsed="false">
      <c r="A350" s="1528"/>
      <c r="B350" s="1528" t="n">
        <v>1</v>
      </c>
      <c r="C350" s="1528" t="n">
        <v>453</v>
      </c>
      <c r="D350" s="1528" t="s">
        <v>1395</v>
      </c>
      <c r="E350" s="1528" t="n">
        <v>0</v>
      </c>
      <c r="F350" s="1528" t="n">
        <v>114.19</v>
      </c>
      <c r="G350" s="1528" t="n">
        <v>240.4</v>
      </c>
      <c r="H350" s="1528" t="n">
        <v>400</v>
      </c>
      <c r="I350" s="1528" t="n">
        <v>1000</v>
      </c>
      <c r="J350" s="1528" t="n">
        <v>0.00479</v>
      </c>
      <c r="K350" s="1528" t="n">
        <v>0.01009</v>
      </c>
      <c r="L350" s="1528"/>
      <c r="M350" s="1547" t="str">
        <f aca="false">IF($E350=M$3,M$2,"")</f>
        <v/>
      </c>
      <c r="N350" s="1547" t="str">
        <f aca="false">IF($E350=N$3,N$2,"")</f>
        <v/>
      </c>
      <c r="O350" s="1547" t="str">
        <f aca="false">IF($E350=O$3,O$2,"")</f>
        <v/>
      </c>
      <c r="P350" s="1528" t="str">
        <f aca="false">CONCATENATE(D350,M350,N350,O350)</f>
        <v>MEZCLA CEBADA-MAÍZ-VEZA</v>
      </c>
    </row>
    <row r="351" customFormat="false" ht="14.25" hidden="false" customHeight="false" outlineLevel="0" collapsed="false">
      <c r="A351" s="1528"/>
      <c r="B351" s="1528" t="n">
        <v>1</v>
      </c>
      <c r="C351" s="1528" t="n">
        <v>454</v>
      </c>
      <c r="D351" s="1528" t="s">
        <v>1396</v>
      </c>
      <c r="E351" s="1528" t="n">
        <v>0</v>
      </c>
      <c r="F351" s="1528" t="n">
        <v>114.19</v>
      </c>
      <c r="G351" s="1528" t="n">
        <v>240.4</v>
      </c>
      <c r="H351" s="1528" t="n">
        <v>400</v>
      </c>
      <c r="I351" s="1528" t="n">
        <v>1000</v>
      </c>
      <c r="J351" s="1528" t="n">
        <v>0.00479</v>
      </c>
      <c r="K351" s="1528" t="n">
        <v>0.01009</v>
      </c>
      <c r="L351" s="1528"/>
      <c r="M351" s="1547" t="str">
        <f aca="false">IF($E351=M$3,M$2,"")</f>
        <v/>
      </c>
      <c r="N351" s="1547" t="str">
        <f aca="false">IF($E351=N$3,N$2,"")</f>
        <v/>
      </c>
      <c r="O351" s="1547" t="str">
        <f aca="false">IF($E351=O$3,O$2,"")</f>
        <v/>
      </c>
      <c r="P351" s="1528" t="str">
        <f aca="false">CONCATENATE(D351,M351,N351,O351)</f>
        <v>MEZCLA ALTRAMUZ-AVENA</v>
      </c>
    </row>
    <row r="352" customFormat="false" ht="14.25" hidden="false" customHeight="false" outlineLevel="0" collapsed="false">
      <c r="A352" s="1528"/>
      <c r="B352" s="1528" t="n">
        <v>1</v>
      </c>
      <c r="C352" s="1528" t="n">
        <v>455</v>
      </c>
      <c r="D352" s="1528" t="s">
        <v>1397</v>
      </c>
      <c r="E352" s="1528" t="n">
        <v>0</v>
      </c>
      <c r="F352" s="1528" t="n">
        <v>114.19</v>
      </c>
      <c r="G352" s="1528" t="n">
        <v>240.4</v>
      </c>
      <c r="H352" s="1528" t="n">
        <v>400</v>
      </c>
      <c r="I352" s="1528" t="n">
        <v>1000</v>
      </c>
      <c r="J352" s="1528" t="n">
        <v>0.00479</v>
      </c>
      <c r="K352" s="1528" t="n">
        <v>0.01009</v>
      </c>
      <c r="L352" s="1528"/>
      <c r="M352" s="1547" t="str">
        <f aca="false">IF($E352=M$3,M$2,"")</f>
        <v/>
      </c>
      <c r="N352" s="1547" t="str">
        <f aca="false">IF($E352=N$3,N$2,"")</f>
        <v/>
      </c>
      <c r="O352" s="1547" t="str">
        <f aca="false">IF($E352=O$3,O$2,"")</f>
        <v/>
      </c>
      <c r="P352" s="1528" t="str">
        <f aca="false">CONCATENATE(D352,M352,N352,O352)</f>
        <v>MEZCLA AVENA-CENTENO</v>
      </c>
    </row>
    <row r="353" customFormat="false" ht="14.25" hidden="false" customHeight="false" outlineLevel="0" collapsed="false">
      <c r="A353" s="1528"/>
      <c r="B353" s="1528" t="n">
        <v>1</v>
      </c>
      <c r="C353" s="1528" t="n">
        <v>456</v>
      </c>
      <c r="D353" s="1528" t="s">
        <v>1398</v>
      </c>
      <c r="E353" s="1528" t="n">
        <v>0</v>
      </c>
      <c r="F353" s="1528" t="n">
        <v>114.19</v>
      </c>
      <c r="G353" s="1528" t="n">
        <v>240.4</v>
      </c>
      <c r="H353" s="1528" t="n">
        <v>400</v>
      </c>
      <c r="I353" s="1528" t="n">
        <v>1000</v>
      </c>
      <c r="J353" s="1528" t="n">
        <v>0.00479</v>
      </c>
      <c r="K353" s="1528" t="n">
        <v>0.01009</v>
      </c>
      <c r="L353" s="1528"/>
      <c r="M353" s="1547" t="str">
        <f aca="false">IF($E353=M$3,M$2,"")</f>
        <v/>
      </c>
      <c r="N353" s="1547" t="str">
        <f aca="false">IF($E353=N$3,N$2,"")</f>
        <v/>
      </c>
      <c r="O353" s="1547" t="str">
        <f aca="false">IF($E353=O$3,O$2,"")</f>
        <v/>
      </c>
      <c r="P353" s="1528" t="str">
        <f aca="false">CONCATENATE(D353,M353,N353,O353)</f>
        <v>MEZCLA CENTENO-MAÍZ</v>
      </c>
    </row>
    <row r="354" customFormat="false" ht="14.25" hidden="false" customHeight="false" outlineLevel="0" collapsed="false">
      <c r="A354" s="1528"/>
      <c r="B354" s="1528" t="n">
        <v>1</v>
      </c>
      <c r="C354" s="1528" t="n">
        <v>457</v>
      </c>
      <c r="D354" s="1528" t="s">
        <v>1399</v>
      </c>
      <c r="E354" s="1528" t="n">
        <v>0</v>
      </c>
      <c r="F354" s="1528" t="n">
        <v>114.19</v>
      </c>
      <c r="G354" s="1528" t="n">
        <v>240.4</v>
      </c>
      <c r="H354" s="1528" t="n">
        <v>400</v>
      </c>
      <c r="I354" s="1528" t="n">
        <v>1000</v>
      </c>
      <c r="J354" s="1528" t="n">
        <v>0.00479</v>
      </c>
      <c r="K354" s="1528" t="n">
        <v>0.01009</v>
      </c>
      <c r="L354" s="1528"/>
      <c r="M354" s="1547" t="str">
        <f aca="false">IF($E354=M$3,M$2,"")</f>
        <v/>
      </c>
      <c r="N354" s="1547" t="str">
        <f aca="false">IF($E354=N$3,N$2,"")</f>
        <v/>
      </c>
      <c r="O354" s="1547" t="str">
        <f aca="false">IF($E354=O$3,O$2,"")</f>
        <v/>
      </c>
      <c r="P354" s="1528" t="str">
        <f aca="false">CONCATENATE(D354,M354,N354,O354)</f>
        <v>MEZCLA MAÍZ-SORGO</v>
      </c>
    </row>
    <row r="355" customFormat="false" ht="14.25" hidden="false" customHeight="false" outlineLevel="0" collapsed="false">
      <c r="A355" s="1528"/>
      <c r="B355" s="1528" t="n">
        <v>1</v>
      </c>
      <c r="C355" s="1528" t="n">
        <v>460</v>
      </c>
      <c r="D355" s="1528" t="s">
        <v>1400</v>
      </c>
      <c r="E355" s="1528" t="n">
        <v>0</v>
      </c>
      <c r="F355" s="1528" t="n">
        <v>114.19</v>
      </c>
      <c r="G355" s="1528" t="n">
        <v>240.4</v>
      </c>
      <c r="H355" s="1528" t="n">
        <v>350</v>
      </c>
      <c r="I355" s="1528" t="n">
        <v>750</v>
      </c>
      <c r="J355" s="1528" t="n">
        <v>0.00479</v>
      </c>
      <c r="K355" s="1528" t="n">
        <v>0.01009</v>
      </c>
      <c r="L355" s="1528"/>
      <c r="M355" s="1547" t="str">
        <f aca="false">IF($E355=M$3,M$2,"")</f>
        <v/>
      </c>
      <c r="N355" s="1547" t="str">
        <f aca="false">IF($E355=N$3,N$2,"")</f>
        <v/>
      </c>
      <c r="O355" s="1547" t="str">
        <f aca="false">IF($E355=O$3,O$2,"")</f>
        <v/>
      </c>
      <c r="P355" s="1528" t="str">
        <f aca="false">CONCATENATE(D355,M355,N355,O355)</f>
        <v>CAUPÍ</v>
      </c>
    </row>
    <row r="356" customFormat="false" ht="14.25" hidden="false" customHeight="false" outlineLevel="0" collapsed="false">
      <c r="A356" s="1528"/>
      <c r="B356" s="1528" t="n">
        <v>1</v>
      </c>
      <c r="C356" s="1528" t="n">
        <v>461</v>
      </c>
      <c r="D356" s="1528" t="s">
        <v>1401</v>
      </c>
      <c r="E356" s="1528" t="n">
        <v>0</v>
      </c>
      <c r="F356" s="1528" t="n">
        <v>114.19</v>
      </c>
      <c r="G356" s="1528" t="n">
        <v>270.46</v>
      </c>
      <c r="H356" s="1528" t="n">
        <v>500</v>
      </c>
      <c r="I356" s="1528" t="n">
        <v>1000</v>
      </c>
      <c r="J356" s="1528" t="n">
        <v>0.00479</v>
      </c>
      <c r="K356" s="1528" t="n">
        <v>0.01135</v>
      </c>
      <c r="L356" s="1528"/>
      <c r="M356" s="1547" t="str">
        <f aca="false">IF($E356=M$3,M$2,"")</f>
        <v/>
      </c>
      <c r="N356" s="1547" t="str">
        <f aca="false">IF($E356=N$3,N$2,"")</f>
        <v/>
      </c>
      <c r="O356" s="1547" t="str">
        <f aca="false">IF($E356=O$3,O$2,"")</f>
        <v/>
      </c>
      <c r="P356" s="1528" t="str">
        <f aca="false">CONCATENATE(D356,M356,N356,O356)</f>
        <v>MELILOTO AMARILLO</v>
      </c>
    </row>
    <row r="357" customFormat="false" ht="14.25" hidden="false" customHeight="false" outlineLevel="0" collapsed="false">
      <c r="A357" s="1528"/>
      <c r="B357" s="1528" t="n">
        <v>4</v>
      </c>
      <c r="C357" s="1528" t="n">
        <v>464</v>
      </c>
      <c r="D357" s="1528" t="s">
        <v>1402</v>
      </c>
      <c r="E357" s="1528" t="n">
        <v>0</v>
      </c>
      <c r="F357" s="1528" t="n">
        <v>360.61</v>
      </c>
      <c r="G357" s="1528" t="n">
        <v>1352.28</v>
      </c>
      <c r="H357" s="1528" t="n">
        <v>575</v>
      </c>
      <c r="I357" s="1528" t="n">
        <v>5200</v>
      </c>
      <c r="J357" s="1528" t="n">
        <v>0.01513</v>
      </c>
      <c r="K357" s="1528" t="n">
        <v>0.05674</v>
      </c>
      <c r="L357" s="1528"/>
      <c r="M357" s="1547" t="str">
        <f aca="false">IF($E357=M$3,M$2,"")</f>
        <v/>
      </c>
      <c r="N357" s="1547" t="str">
        <f aca="false">IF($E357=N$3,N$2,"")</f>
        <v/>
      </c>
      <c r="O357" s="1547" t="str">
        <f aca="false">IF($E357=O$3,O$2,"")</f>
        <v/>
      </c>
      <c r="P357" s="1528" t="str">
        <f aca="false">CONCATENATE(D357,M357,N357,O357)</f>
        <v>BRÓCOLI CHINO</v>
      </c>
    </row>
    <row r="358" customFormat="false" ht="14.25" hidden="false" customHeight="false" outlineLevel="0" collapsed="false">
      <c r="A358" s="1528"/>
      <c r="B358" s="1528" t="n">
        <v>4</v>
      </c>
      <c r="C358" s="1528" t="n">
        <v>465</v>
      </c>
      <c r="D358" s="1528" t="s">
        <v>1403</v>
      </c>
      <c r="E358" s="1528" t="n">
        <v>0</v>
      </c>
      <c r="F358" s="1528" t="n">
        <v>450.76</v>
      </c>
      <c r="G358" s="1528" t="n">
        <v>1202.02</v>
      </c>
      <c r="H358" s="1528" t="n">
        <v>1739.31</v>
      </c>
      <c r="I358" s="1528" t="n">
        <v>5200</v>
      </c>
      <c r="J358" s="1528" t="n">
        <v>0.01891</v>
      </c>
      <c r="K358" s="1528" t="n">
        <v>0.05043</v>
      </c>
      <c r="L358" s="1528"/>
      <c r="M358" s="1547" t="str">
        <f aca="false">IF($E358=M$3,M$2,"")</f>
        <v/>
      </c>
      <c r="N358" s="1547" t="str">
        <f aca="false">IF($E358=N$3,N$2,"")</f>
        <v/>
      </c>
      <c r="O358" s="1547" t="str">
        <f aca="false">IF($E358=O$3,O$2,"")</f>
        <v/>
      </c>
      <c r="P358" s="1528" t="str">
        <f aca="false">CONCATENATE(D358,M358,N358,O358)</f>
        <v>BATATA ACUÁTICA</v>
      </c>
    </row>
    <row r="359" customFormat="false" ht="14.25" hidden="false" customHeight="false" outlineLevel="0" collapsed="false">
      <c r="A359" s="1528"/>
      <c r="B359" s="1528" t="n">
        <v>4</v>
      </c>
      <c r="C359" s="1528" t="n">
        <v>470</v>
      </c>
      <c r="D359" s="1528" t="s">
        <v>1404</v>
      </c>
      <c r="E359" s="1528" t="n">
        <v>0</v>
      </c>
      <c r="F359" s="1528" t="n">
        <v>114.19</v>
      </c>
      <c r="G359" s="1528" t="n">
        <v>240.4</v>
      </c>
      <c r="H359" s="1528" t="n">
        <v>350</v>
      </c>
      <c r="I359" s="1528" t="n">
        <v>750</v>
      </c>
      <c r="J359" s="1528" t="n">
        <v>0.00479</v>
      </c>
      <c r="K359" s="1528" t="n">
        <v>0.01009</v>
      </c>
      <c r="L359" s="1528"/>
      <c r="M359" s="1547" t="str">
        <f aca="false">IF($E359=M$3,M$2,"")</f>
        <v/>
      </c>
      <c r="N359" s="1547" t="str">
        <f aca="false">IF($E359=N$3,N$2,"")</f>
        <v/>
      </c>
      <c r="O359" s="1547" t="str">
        <f aca="false">IF($E359=O$3,O$2,"")</f>
        <v/>
      </c>
      <c r="P359" s="1528" t="str">
        <f aca="false">CONCATENATE(D359,M359,N359,O359)</f>
        <v>JUDÍA DE EGIPTO</v>
      </c>
    </row>
    <row r="360" customFormat="false" ht="14.25" hidden="false" customHeight="false" outlineLevel="0" collapsed="false">
      <c r="A360" s="1528"/>
      <c r="B360" s="1528" t="n">
        <v>4</v>
      </c>
      <c r="C360" s="1528" t="n">
        <v>478</v>
      </c>
      <c r="D360" s="1528" t="s">
        <v>1405</v>
      </c>
      <c r="E360" s="1528" t="n">
        <v>0</v>
      </c>
      <c r="F360" s="1528" t="n">
        <v>360.61</v>
      </c>
      <c r="G360" s="1528" t="n">
        <v>1352.28</v>
      </c>
      <c r="H360" s="1528" t="n">
        <v>575</v>
      </c>
      <c r="I360" s="1528" t="n">
        <v>5200</v>
      </c>
      <c r="J360" s="1528" t="n">
        <v>0.01513</v>
      </c>
      <c r="K360" s="1528" t="n">
        <v>0.05674</v>
      </c>
      <c r="L360" s="1528"/>
      <c r="M360" s="1547" t="str">
        <f aca="false">IF($E360=M$3,M$2,"")</f>
        <v/>
      </c>
      <c r="N360" s="1547" t="str">
        <f aca="false">IF($E360=N$3,N$2,"")</f>
        <v/>
      </c>
      <c r="O360" s="1547" t="str">
        <f aca="false">IF($E360=O$3,O$2,"")</f>
        <v/>
      </c>
      <c r="P360" s="1528" t="str">
        <f aca="false">CONCATENATE(D360,M360,N360,O360)</f>
        <v>COLINABO</v>
      </c>
    </row>
    <row r="361" customFormat="false" ht="14.25" hidden="false" customHeight="false" outlineLevel="0" collapsed="false">
      <c r="A361" s="1528"/>
      <c r="B361" s="1528" t="n">
        <v>1</v>
      </c>
      <c r="C361" s="1528" t="n">
        <v>483</v>
      </c>
      <c r="D361" s="1528" t="s">
        <v>1406</v>
      </c>
      <c r="E361" s="1528" t="n">
        <v>0</v>
      </c>
      <c r="F361" s="1528" t="n">
        <v>114.19</v>
      </c>
      <c r="G361" s="1528" t="n">
        <v>240.4</v>
      </c>
      <c r="H361" s="1528" t="n">
        <v>350</v>
      </c>
      <c r="I361" s="1528" t="n">
        <v>750</v>
      </c>
      <c r="J361" s="1528" t="n">
        <v>0.00479</v>
      </c>
      <c r="K361" s="1528" t="n">
        <v>0.01009</v>
      </c>
      <c r="L361" s="1528"/>
      <c r="M361" s="1547" t="str">
        <f aca="false">IF($E361=M$3,M$2,"")</f>
        <v/>
      </c>
      <c r="N361" s="1547" t="str">
        <f aca="false">IF($E361=N$3,N$2,"")</f>
        <v/>
      </c>
      <c r="O361" s="1547" t="str">
        <f aca="false">IF($E361=O$3,O$2,"")</f>
        <v/>
      </c>
      <c r="P361" s="1528" t="str">
        <f aca="false">CONCATENATE(D361,M361,N361,O361)</f>
        <v>VEZA VELLOSA</v>
      </c>
    </row>
    <row r="362" customFormat="false" ht="14.25" hidden="false" customHeight="false" outlineLevel="0" collapsed="false">
      <c r="A362" s="1528"/>
      <c r="B362" s="1528" t="n">
        <v>1</v>
      </c>
      <c r="C362" s="1528" t="n">
        <v>486</v>
      </c>
      <c r="D362" s="1528" t="s">
        <v>1407</v>
      </c>
      <c r="E362" s="1528" t="n">
        <v>0</v>
      </c>
      <c r="F362" s="1528" t="n">
        <v>114.19</v>
      </c>
      <c r="G362" s="1528" t="n">
        <v>240.4</v>
      </c>
      <c r="H362" s="1528" t="n">
        <v>500</v>
      </c>
      <c r="I362" s="1528" t="n">
        <v>1500</v>
      </c>
      <c r="J362" s="1528" t="n">
        <v>0.00479</v>
      </c>
      <c r="K362" s="1528" t="n">
        <v>0.01009</v>
      </c>
      <c r="L362" s="1528"/>
      <c r="M362" s="1547" t="str">
        <f aca="false">IF($E362=M$3,M$2,"")</f>
        <v/>
      </c>
      <c r="N362" s="1547" t="str">
        <f aca="false">IF($E362=N$3,N$2,"")</f>
        <v/>
      </c>
      <c r="O362" s="1547" t="str">
        <f aca="false">IF($E362=O$3,O$2,"")</f>
        <v/>
      </c>
      <c r="P362" s="1528" t="str">
        <f aca="false">CONCATENATE(D362,M362,N362,O362)</f>
        <v>ALVERJA HÚNGARA</v>
      </c>
    </row>
    <row r="363" customFormat="false" ht="14.25" hidden="false" customHeight="false" outlineLevel="0" collapsed="false">
      <c r="A363" s="1528"/>
      <c r="B363" s="1528" t="n">
        <v>1</v>
      </c>
      <c r="C363" s="1528" t="n">
        <v>496</v>
      </c>
      <c r="D363" s="1528" t="s">
        <v>1408</v>
      </c>
      <c r="E363" s="1528" t="n">
        <v>0</v>
      </c>
      <c r="F363" s="1528" t="n">
        <v>114.19</v>
      </c>
      <c r="G363" s="1528" t="n">
        <v>240.4</v>
      </c>
      <c r="H363" s="1528" t="n">
        <v>400</v>
      </c>
      <c r="I363" s="1528" t="n">
        <v>1000</v>
      </c>
      <c r="J363" s="1528" t="n">
        <v>0.00479</v>
      </c>
      <c r="K363" s="1528" t="n">
        <v>0.01009</v>
      </c>
      <c r="L363" s="1528"/>
      <c r="M363" s="1547" t="str">
        <f aca="false">IF($E363=M$3,M$2,"")</f>
        <v/>
      </c>
      <c r="N363" s="1547" t="str">
        <f aca="false">IF($E363=N$3,N$2,"")</f>
        <v/>
      </c>
      <c r="O363" s="1547" t="str">
        <f aca="false">IF($E363=O$3,O$2,"")</f>
        <v/>
      </c>
      <c r="P363" s="1528" t="str">
        <f aca="false">CONCATENATE(D363,M363,N363,O363)</f>
        <v>MEZCLA RAYGRASS-TREBOL</v>
      </c>
    </row>
    <row r="364" customFormat="false" ht="14.25" hidden="false" customHeight="false" outlineLevel="0" collapsed="false">
      <c r="A364" s="1528"/>
      <c r="B364" s="1528" t="n">
        <v>1</v>
      </c>
      <c r="C364" s="1528" t="n">
        <v>904</v>
      </c>
      <c r="D364" s="1528" t="s">
        <v>1409</v>
      </c>
      <c r="E364" s="1528" t="n">
        <v>0</v>
      </c>
      <c r="F364" s="1528" t="n">
        <v>114.19</v>
      </c>
      <c r="G364" s="1528" t="n">
        <v>240.4</v>
      </c>
      <c r="H364" s="1528" t="n">
        <v>700</v>
      </c>
      <c r="I364" s="1528" t="n">
        <v>1800</v>
      </c>
      <c r="J364" s="1528" t="n">
        <v>0.00479</v>
      </c>
      <c r="K364" s="1528" t="n">
        <v>0.01009</v>
      </c>
      <c r="L364" s="1528"/>
      <c r="M364" s="1547" t="str">
        <f aca="false">IF($E364=M$3,M$2,"")</f>
        <v/>
      </c>
      <c r="N364" s="1547" t="str">
        <f aca="false">IF($E364=N$3,N$2,"")</f>
        <v/>
      </c>
      <c r="O364" s="1547" t="str">
        <f aca="false">IF($E364=O$3,O$2,"")</f>
        <v/>
      </c>
      <c r="P364" s="1528" t="str">
        <f aca="false">CONCATENATE(D364,M364,N364,O364)</f>
        <v>CROTALARIA JUNCEA</v>
      </c>
    </row>
    <row r="365" customFormat="false" ht="14.25" hidden="false" customHeight="false" outlineLevel="0" collapsed="false">
      <c r="A365" s="1528"/>
      <c r="B365" s="1528" t="n">
        <v>2</v>
      </c>
      <c r="C365" s="1528" t="n">
        <v>915</v>
      </c>
      <c r="D365" s="1528" t="s">
        <v>1410</v>
      </c>
      <c r="E365" s="1528" t="n">
        <v>0</v>
      </c>
      <c r="F365" s="1528" t="n">
        <v>480.81</v>
      </c>
      <c r="G365" s="1528" t="n">
        <v>1442.43</v>
      </c>
      <c r="H365" s="1528" t="n">
        <v>1939.8</v>
      </c>
      <c r="I365" s="1528" t="n">
        <v>6000</v>
      </c>
      <c r="J365" s="1528" t="n">
        <v>0.02017</v>
      </c>
      <c r="K365" s="1528" t="n">
        <v>0.06052</v>
      </c>
      <c r="L365" s="1528"/>
      <c r="M365" s="1547" t="str">
        <f aca="false">IF($E365=M$3,M$2,"")</f>
        <v/>
      </c>
      <c r="N365" s="1547" t="str">
        <f aca="false">IF($E365=N$3,N$2,"")</f>
        <v/>
      </c>
      <c r="O365" s="1547" t="str">
        <f aca="false">IF($E365=O$3,O$2,"")</f>
        <v/>
      </c>
      <c r="P365" s="1528" t="str">
        <f aca="false">CONCATENATE(D365,M365,N365,O365)</f>
        <v>LIMA</v>
      </c>
    </row>
    <row r="366" customFormat="false" ht="14.25" hidden="false" customHeight="false" outlineLevel="0" collapsed="false">
      <c r="A366" s="1528"/>
      <c r="B366" s="1528" t="n">
        <v>4</v>
      </c>
      <c r="C366" s="1528" t="n">
        <v>916</v>
      </c>
      <c r="D366" s="1528" t="s">
        <v>1411</v>
      </c>
      <c r="E366" s="1528" t="n">
        <v>0</v>
      </c>
      <c r="F366" s="1528" t="n">
        <v>360.61</v>
      </c>
      <c r="G366" s="1528" t="n">
        <v>1352.28</v>
      </c>
      <c r="H366" s="1528" t="n">
        <v>575</v>
      </c>
      <c r="I366" s="1528" t="n">
        <v>5200</v>
      </c>
      <c r="J366" s="1528" t="n">
        <v>0.01513</v>
      </c>
      <c r="K366" s="1528" t="n">
        <v>0.05674</v>
      </c>
      <c r="L366" s="1528"/>
      <c r="M366" s="1547" t="str">
        <f aca="false">IF($E366=M$3,M$2,"")</f>
        <v/>
      </c>
      <c r="N366" s="1547" t="str">
        <f aca="false">IF($E366=N$3,N$2,"")</f>
        <v/>
      </c>
      <c r="O366" s="1547" t="str">
        <f aca="false">IF($E366=O$3,O$2,"")</f>
        <v/>
      </c>
      <c r="P366" s="1528" t="str">
        <f aca="false">CONCATENATE(D366,M366,N366,O366)</f>
        <v>KALE</v>
      </c>
    </row>
    <row r="367" customFormat="false" ht="14.25" hidden="false" customHeight="false" outlineLevel="0" collapsed="false">
      <c r="A367" s="1528"/>
      <c r="B367" s="1528" t="n">
        <v>4</v>
      </c>
      <c r="C367" s="1528" t="n">
        <v>927</v>
      </c>
      <c r="D367" s="1528" t="s">
        <v>1412</v>
      </c>
      <c r="E367" s="1528" t="n">
        <v>0</v>
      </c>
      <c r="F367" s="1528" t="n">
        <v>360.61</v>
      </c>
      <c r="G367" s="1528" t="n">
        <v>1352.28</v>
      </c>
      <c r="H367" s="1528" t="n">
        <v>575</v>
      </c>
      <c r="I367" s="1528" t="n">
        <v>5200</v>
      </c>
      <c r="J367" s="1528" t="n">
        <v>0.01513</v>
      </c>
      <c r="K367" s="1528" t="n">
        <v>0.05674</v>
      </c>
      <c r="L367" s="1528"/>
      <c r="M367" s="1547" t="str">
        <f aca="false">IF($E367=M$3,M$2,"")</f>
        <v/>
      </c>
      <c r="N367" s="1547" t="str">
        <f aca="false">IF($E367=N$3,N$2,"")</f>
        <v/>
      </c>
      <c r="O367" s="1547" t="str">
        <f aca="false">IF($E367=O$3,O$2,"")</f>
        <v/>
      </c>
      <c r="P367" s="1528" t="str">
        <f aca="false">CONCATENATE(D367,M367,N367,O367)</f>
        <v>OKRA</v>
      </c>
    </row>
    <row r="368" customFormat="false" ht="14.25" hidden="false" customHeight="false" outlineLevel="0" collapsed="false">
      <c r="A368" s="1528"/>
      <c r="B368" s="1528" t="n">
        <v>4</v>
      </c>
      <c r="C368" s="1528" t="n">
        <v>938</v>
      </c>
      <c r="D368" s="1528" t="s">
        <v>1413</v>
      </c>
      <c r="E368" s="1528" t="n">
        <v>0</v>
      </c>
      <c r="F368" s="1528" t="n">
        <v>360.61</v>
      </c>
      <c r="G368" s="1528" t="n">
        <v>1352.28</v>
      </c>
      <c r="H368" s="1528" t="n">
        <v>575</v>
      </c>
      <c r="I368" s="1528" t="n">
        <v>6000</v>
      </c>
      <c r="J368" s="1528" t="n">
        <v>0.01513</v>
      </c>
      <c r="K368" s="1528" t="n">
        <v>0.05674</v>
      </c>
      <c r="L368" s="1528"/>
      <c r="M368" s="1547" t="str">
        <f aca="false">IF($E368=M$3,M$2,"")</f>
        <v/>
      </c>
      <c r="N368" s="1547" t="str">
        <f aca="false">IF($E368=N$3,N$2,"")</f>
        <v/>
      </c>
      <c r="O368" s="1547" t="str">
        <f aca="false">IF($E368=O$3,O$2,"")</f>
        <v/>
      </c>
      <c r="P368" s="1528" t="str">
        <f aca="false">CONCATENATE(D368,M368,N368,O368)</f>
        <v>FRESÓN</v>
      </c>
    </row>
    <row r="369" customFormat="false" ht="14.25" hidden="false" customHeight="false" outlineLevel="0" collapsed="false">
      <c r="A369" s="1528"/>
      <c r="B369" s="1528" t="n">
        <v>3</v>
      </c>
      <c r="C369" s="1528" t="n">
        <v>939</v>
      </c>
      <c r="D369" s="1528" t="s">
        <v>1414</v>
      </c>
      <c r="E369" s="1528" t="n">
        <v>0</v>
      </c>
      <c r="F369" s="1528" t="n">
        <v>405.68</v>
      </c>
      <c r="G369" s="1528" t="n">
        <v>649.09</v>
      </c>
      <c r="H369" s="1528" t="n">
        <v>600</v>
      </c>
      <c r="I369" s="1528" t="n">
        <v>1800</v>
      </c>
      <c r="J369" s="1528" t="n">
        <v>0.01702</v>
      </c>
      <c r="K369" s="1528" t="n">
        <v>0.02723</v>
      </c>
      <c r="L369" s="1528"/>
      <c r="M369" s="1547" t="str">
        <f aca="false">IF($E369=M$3,M$2,"")</f>
        <v/>
      </c>
      <c r="N369" s="1547" t="str">
        <f aca="false">IF($E369=N$3,N$2,"")</f>
        <v/>
      </c>
      <c r="O369" s="1547" t="str">
        <f aca="false">IF($E369=O$3,O$2,"")</f>
        <v/>
      </c>
      <c r="P369" s="1528" t="str">
        <f aca="false">CONCATENATE(D369,M369,N369,O369)</f>
        <v>ALMENDRO-OLIVAR</v>
      </c>
    </row>
    <row r="370" customFormat="false" ht="14.25" hidden="false" customHeight="false" outlineLevel="0" collapsed="false">
      <c r="A370" s="1528"/>
      <c r="B370" s="1528" t="n">
        <v>2</v>
      </c>
      <c r="C370" s="1528" t="n">
        <v>940</v>
      </c>
      <c r="D370" s="1528" t="s">
        <v>1415</v>
      </c>
      <c r="E370" s="1528" t="n">
        <v>0</v>
      </c>
      <c r="F370" s="1528" t="n">
        <v>480.81</v>
      </c>
      <c r="G370" s="1528" t="n">
        <v>1442.43</v>
      </c>
      <c r="H370" s="1528" t="n">
        <v>1939.8</v>
      </c>
      <c r="I370" s="1528" t="n">
        <v>6000</v>
      </c>
      <c r="J370" s="1528" t="n">
        <v>0.02017</v>
      </c>
      <c r="K370" s="1528" t="n">
        <v>0.06052</v>
      </c>
      <c r="L370" s="1528"/>
      <c r="M370" s="1547" t="str">
        <f aca="false">IF($E370=M$3,M$2,"")</f>
        <v/>
      </c>
      <c r="N370" s="1547" t="str">
        <f aca="false">IF($E370=N$3,N$2,"")</f>
        <v/>
      </c>
      <c r="O370" s="1547" t="str">
        <f aca="false">IF($E370=O$3,O$2,"")</f>
        <v/>
      </c>
      <c r="P370" s="1528" t="str">
        <f aca="false">CONCATENATE(D370,M370,N370,O370)</f>
        <v>NARANJO-CAQUI</v>
      </c>
    </row>
    <row r="371" customFormat="false" ht="14.25" hidden="false" customHeight="false" outlineLevel="0" collapsed="false">
      <c r="A371" s="1528"/>
      <c r="B371" s="1528" t="n">
        <v>2</v>
      </c>
      <c r="C371" s="1528" t="n">
        <v>941</v>
      </c>
      <c r="D371" s="1528" t="s">
        <v>1416</v>
      </c>
      <c r="E371" s="1528" t="n">
        <v>0</v>
      </c>
      <c r="F371" s="1528" t="n">
        <v>480.81</v>
      </c>
      <c r="G371" s="1528" t="n">
        <v>1442.43</v>
      </c>
      <c r="H371" s="1528" t="n">
        <v>1939.8</v>
      </c>
      <c r="I371" s="1528" t="n">
        <v>6000</v>
      </c>
      <c r="J371" s="1528" t="n">
        <v>0.02017</v>
      </c>
      <c r="K371" s="1528" t="n">
        <v>0.06052</v>
      </c>
      <c r="L371" s="1528"/>
      <c r="M371" s="1547" t="str">
        <f aca="false">IF($E371=M$3,M$2,"")</f>
        <v/>
      </c>
      <c r="N371" s="1547" t="str">
        <f aca="false">IF($E371=N$3,N$2,"")</f>
        <v/>
      </c>
      <c r="O371" s="1547" t="str">
        <f aca="false">IF($E371=O$3,O$2,"")</f>
        <v/>
      </c>
      <c r="P371" s="1528" t="str">
        <f aca="false">CONCATENATE(D371,M371,N371,O371)</f>
        <v>NARANJO-MANDARINO</v>
      </c>
    </row>
    <row r="372" customFormat="false" ht="14.25" hidden="false" customHeight="false" outlineLevel="0" collapsed="false">
      <c r="A372" s="1528"/>
      <c r="B372" s="1528" t="n">
        <v>2</v>
      </c>
      <c r="C372" s="1528" t="n">
        <v>942</v>
      </c>
      <c r="D372" s="1528" t="s">
        <v>1417</v>
      </c>
      <c r="E372" s="1528" t="n">
        <v>0</v>
      </c>
      <c r="F372" s="1528" t="n">
        <v>480.81</v>
      </c>
      <c r="G372" s="1528" t="n">
        <v>1442.43</v>
      </c>
      <c r="H372" s="1528" t="n">
        <v>1939.8</v>
      </c>
      <c r="I372" s="1528" t="n">
        <v>6000</v>
      </c>
      <c r="J372" s="1528" t="n">
        <v>0.02017</v>
      </c>
      <c r="K372" s="1528" t="n">
        <v>0.06052</v>
      </c>
      <c r="L372" s="1528"/>
      <c r="M372" s="1547" t="str">
        <f aca="false">IF($E372=M$3,M$2,"")</f>
        <v/>
      </c>
      <c r="N372" s="1547" t="str">
        <f aca="false">IF($E372=N$3,N$2,"")</f>
        <v/>
      </c>
      <c r="O372" s="1547" t="str">
        <f aca="false">IF($E372=O$3,O$2,"")</f>
        <v/>
      </c>
      <c r="P372" s="1528" t="str">
        <f aca="false">CONCATENATE(D372,M372,N372,O372)</f>
        <v>NÍSPERO-CAQUI</v>
      </c>
    </row>
    <row r="373" customFormat="false" ht="14.25" hidden="false" customHeight="false" outlineLevel="0" collapsed="false">
      <c r="A373" s="1528"/>
      <c r="B373" s="1528" t="n">
        <v>2</v>
      </c>
      <c r="C373" s="1528" t="n">
        <v>943</v>
      </c>
      <c r="D373" s="1528" t="s">
        <v>1418</v>
      </c>
      <c r="E373" s="1528" t="n">
        <v>0</v>
      </c>
      <c r="F373" s="1528" t="n">
        <v>480.81</v>
      </c>
      <c r="G373" s="1528" t="n">
        <v>1442.43</v>
      </c>
      <c r="H373" s="1528" t="n">
        <v>1939.8</v>
      </c>
      <c r="I373" s="1528" t="n">
        <v>6000</v>
      </c>
      <c r="J373" s="1528" t="n">
        <v>0.02017</v>
      </c>
      <c r="K373" s="1528" t="n">
        <v>0.06052</v>
      </c>
      <c r="L373" s="1528"/>
      <c r="M373" s="1547" t="str">
        <f aca="false">IF($E373=M$3,M$2,"")</f>
        <v/>
      </c>
      <c r="N373" s="1547" t="str">
        <f aca="false">IF($E373=N$3,N$2,"")</f>
        <v/>
      </c>
      <c r="O373" s="1547" t="str">
        <f aca="false">IF($E373=O$3,O$2,"")</f>
        <v/>
      </c>
      <c r="P373" s="1528" t="str">
        <f aca="false">CONCATENATE(D373,M373,N373,O373)</f>
        <v>PALMERA DATILERA</v>
      </c>
    </row>
    <row r="374" customFormat="false" ht="14.25" hidden="false" customHeight="false" outlineLevel="0" collapsed="false">
      <c r="A374" s="1528"/>
      <c r="B374" s="1528" t="n">
        <v>1</v>
      </c>
      <c r="C374" s="1528" t="n">
        <v>945</v>
      </c>
      <c r="D374" s="1528" t="s">
        <v>1419</v>
      </c>
      <c r="E374" s="1528" t="n">
        <v>0</v>
      </c>
      <c r="F374" s="1528" t="n">
        <v>114.19</v>
      </c>
      <c r="G374" s="1528" t="n">
        <v>240.4</v>
      </c>
      <c r="H374" s="1528" t="n">
        <v>400</v>
      </c>
      <c r="I374" s="1528" t="n">
        <v>1000</v>
      </c>
      <c r="J374" s="1528" t="n">
        <v>0.00479</v>
      </c>
      <c r="K374" s="1528" t="n">
        <v>0.01009</v>
      </c>
      <c r="L374" s="1528"/>
      <c r="M374" s="1547" t="str">
        <f aca="false">IF($E374=M$3,M$2,"")</f>
        <v/>
      </c>
      <c r="N374" s="1547" t="str">
        <f aca="false">IF($E374=N$3,N$2,"")</f>
        <v/>
      </c>
      <c r="O374" s="1547" t="str">
        <f aca="false">IF($E374=O$3,O$2,"")</f>
        <v/>
      </c>
      <c r="P374" s="1528" t="str">
        <f aca="false">CONCATENATE(D374,M374,N374,O374)</f>
        <v>MEZCLA AVENA-HABA</v>
      </c>
    </row>
    <row r="375" customFormat="false" ht="14.25" hidden="false" customHeight="false" outlineLevel="0" collapsed="false">
      <c r="A375" s="1528"/>
      <c r="B375" s="1528" t="n">
        <v>1</v>
      </c>
      <c r="C375" s="1528" t="n">
        <v>946</v>
      </c>
      <c r="D375" s="1528" t="s">
        <v>1420</v>
      </c>
      <c r="E375" s="1528" t="n">
        <v>0</v>
      </c>
      <c r="F375" s="1528" t="n">
        <v>114.19</v>
      </c>
      <c r="G375" s="1528" t="n">
        <v>240.4</v>
      </c>
      <c r="H375" s="1528" t="n">
        <v>400</v>
      </c>
      <c r="I375" s="1528" t="n">
        <v>1000</v>
      </c>
      <c r="J375" s="1528" t="n">
        <v>0.00479</v>
      </c>
      <c r="K375" s="1528" t="n">
        <v>0.01009</v>
      </c>
      <c r="L375" s="1528"/>
      <c r="M375" s="1547" t="str">
        <f aca="false">IF($E375=M$3,M$2,"")</f>
        <v/>
      </c>
      <c r="N375" s="1547" t="str">
        <f aca="false">IF($E375=N$3,N$2,"")</f>
        <v/>
      </c>
      <c r="O375" s="1547" t="str">
        <f aca="false">IF($E375=O$3,O$2,"")</f>
        <v/>
      </c>
      <c r="P375" s="1528" t="str">
        <f aca="false">CONCATENATE(D375,M375,N375,O375)</f>
        <v>MEZCLA AVENA-CEBADA-VEZA</v>
      </c>
    </row>
    <row r="376" customFormat="false" ht="14.25" hidden="false" customHeight="false" outlineLevel="0" collapsed="false">
      <c r="A376" s="1528"/>
      <c r="B376" s="1528" t="n">
        <v>2</v>
      </c>
      <c r="C376" s="1528" t="n">
        <v>948</v>
      </c>
      <c r="D376" s="1528" t="s">
        <v>1421</v>
      </c>
      <c r="E376" s="1528" t="n">
        <v>0</v>
      </c>
      <c r="F376" s="1528" t="n">
        <v>480.81</v>
      </c>
      <c r="G376" s="1528" t="n">
        <v>1442.43</v>
      </c>
      <c r="H376" s="1528" t="n">
        <v>1939.72</v>
      </c>
      <c r="I376" s="1528" t="n">
        <v>6000</v>
      </c>
      <c r="J376" s="1528" t="n">
        <v>0.02017</v>
      </c>
      <c r="K376" s="1528" t="n">
        <v>0.06052</v>
      </c>
      <c r="L376" s="1528"/>
      <c r="M376" s="1547" t="str">
        <f aca="false">IF($E376=M$3,M$2,"")</f>
        <v/>
      </c>
      <c r="N376" s="1547" t="str">
        <f aca="false">IF($E376=N$3,N$2,"")</f>
        <v/>
      </c>
      <c r="O376" s="1547" t="str">
        <f aca="false">IF($E376=O$3,O$2,"")</f>
        <v/>
      </c>
      <c r="P376" s="1528" t="str">
        <f aca="false">CONCATENATE(D376,M376,N376,O376)</f>
        <v>CLEMENTINA-CAQUI</v>
      </c>
    </row>
    <row r="377" customFormat="false" ht="14.25" hidden="false" customHeight="false" outlineLevel="0" collapsed="false">
      <c r="A377" s="1528"/>
      <c r="B377" s="1528" t="n">
        <v>2</v>
      </c>
      <c r="C377" s="1528" t="n">
        <v>949</v>
      </c>
      <c r="D377" s="1528" t="s">
        <v>1422</v>
      </c>
      <c r="E377" s="1528" t="n">
        <v>0</v>
      </c>
      <c r="F377" s="1528" t="n">
        <v>480.81</v>
      </c>
      <c r="G377" s="1528" t="n">
        <v>1442.43</v>
      </c>
      <c r="H377" s="1528" t="n">
        <v>1939.72</v>
      </c>
      <c r="I377" s="1528" t="n">
        <v>6000</v>
      </c>
      <c r="J377" s="1528" t="n">
        <v>0.02017</v>
      </c>
      <c r="K377" s="1528" t="n">
        <v>0.06052</v>
      </c>
      <c r="L377" s="1528"/>
      <c r="M377" s="1547" t="str">
        <f aca="false">IF($E377=M$3,M$2,"")</f>
        <v/>
      </c>
      <c r="N377" s="1547" t="str">
        <f aca="false">IF($E377=N$3,N$2,"")</f>
        <v/>
      </c>
      <c r="O377" s="1547" t="str">
        <f aca="false">IF($E377=O$3,O$2,"")</f>
        <v/>
      </c>
      <c r="P377" s="1528" t="str">
        <f aca="false">CONCATENATE(D377,M377,N377,O377)</f>
        <v>SATSUMA-CAQUI</v>
      </c>
    </row>
  </sheetData>
  <sheetProtection sheet="true" password="cc9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D57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ColWidth="9.75390625" defaultRowHeight="14.25" zeroHeight="false" outlineLevelRow="0" outlineLevelCol="0"/>
  <cols>
    <col collapsed="false" customWidth="true" hidden="false" outlineLevel="0" max="6" min="1" style="2" width="5"/>
    <col collapsed="false" customWidth="true" hidden="false" outlineLevel="0" max="7" min="7" style="2" width="7.13"/>
    <col collapsed="false" customWidth="true" hidden="false" outlineLevel="0" max="10" min="8" style="2" width="5"/>
    <col collapsed="false" customWidth="true" hidden="false" outlineLevel="0" max="11" min="11" style="2" width="29.38"/>
    <col collapsed="false" customWidth="true" hidden="false" outlineLevel="0" max="12" min="12" style="2" width="5"/>
    <col collapsed="false" customWidth="true" hidden="false" outlineLevel="0" max="13" min="13" style="2" width="22.38"/>
    <col collapsed="false" customWidth="true" hidden="false" outlineLevel="0" max="14" min="14" style="2" width="5"/>
    <col collapsed="false" customWidth="true" hidden="false" outlineLevel="0" max="15" min="15" style="2" width="21"/>
    <col collapsed="false" customWidth="true" hidden="false" outlineLevel="0" max="22" min="16" style="2" width="5"/>
    <col collapsed="false" customWidth="true" hidden="false" outlineLevel="0" max="23" min="23" style="2" width="23.13"/>
    <col collapsed="false" customWidth="true" hidden="false" outlineLevel="0" max="24" min="24" style="2" width="5"/>
    <col collapsed="false" customWidth="true" hidden="false" outlineLevel="0" max="25" min="25" style="2" width="9.63"/>
    <col collapsed="false" customWidth="true" hidden="false" outlineLevel="0" max="50" min="26" style="2" width="5"/>
    <col collapsed="false" customWidth="true" hidden="false" outlineLevel="0" max="56" min="52" style="2" width="5"/>
  </cols>
  <sheetData>
    <row r="1" customFormat="false" ht="1.45" hidden="false" customHeight="false" outlineLevel="0" collapsed="false">
      <c r="A1" s="1551" t="s">
        <v>1426</v>
      </c>
      <c r="B1" s="1551" t="s">
        <v>1427</v>
      </c>
      <c r="C1" s="1551" t="s">
        <v>1428</v>
      </c>
      <c r="D1" s="1551" t="s">
        <v>1429</v>
      </c>
      <c r="E1" s="1551" t="s">
        <v>1430</v>
      </c>
      <c r="F1" s="1551" t="s">
        <v>1431</v>
      </c>
      <c r="G1" s="1551" t="s">
        <v>1432</v>
      </c>
      <c r="H1" s="1551" t="s">
        <v>1433</v>
      </c>
      <c r="I1" s="1551" t="s">
        <v>1434</v>
      </c>
      <c r="J1" s="1551" t="s">
        <v>1435</v>
      </c>
      <c r="K1" s="1551" t="s">
        <v>1436</v>
      </c>
      <c r="L1" s="1551" t="s">
        <v>1437</v>
      </c>
      <c r="M1" s="1551" t="s">
        <v>1438</v>
      </c>
      <c r="N1" s="1551" t="s">
        <v>1439</v>
      </c>
      <c r="O1" s="1551" t="s">
        <v>1440</v>
      </c>
      <c r="P1" s="1551" t="s">
        <v>1441</v>
      </c>
      <c r="Q1" s="1551" t="s">
        <v>1442</v>
      </c>
      <c r="R1" s="1551" t="s">
        <v>1443</v>
      </c>
      <c r="S1" s="1551" t="s">
        <v>1444</v>
      </c>
      <c r="T1" s="1551" t="s">
        <v>1445</v>
      </c>
      <c r="U1" s="1551" t="s">
        <v>1446</v>
      </c>
      <c r="V1" s="1551" t="s">
        <v>1447</v>
      </c>
      <c r="W1" s="1551" t="s">
        <v>1448</v>
      </c>
      <c r="X1" s="1551" t="s">
        <v>1449</v>
      </c>
      <c r="Y1" s="1551" t="s">
        <v>1450</v>
      </c>
      <c r="Z1" s="1551" t="s">
        <v>1451</v>
      </c>
      <c r="AA1" s="1551" t="s">
        <v>1452</v>
      </c>
      <c r="AB1" s="1551" t="s">
        <v>1453</v>
      </c>
      <c r="AC1" s="1551" t="s">
        <v>1454</v>
      </c>
      <c r="AD1" s="1551" t="s">
        <v>1455</v>
      </c>
      <c r="AE1" s="1551" t="s">
        <v>1456</v>
      </c>
      <c r="AF1" s="1551" t="s">
        <v>1457</v>
      </c>
      <c r="AG1" s="1551" t="s">
        <v>1458</v>
      </c>
      <c r="AH1" s="1551" t="s">
        <v>1459</v>
      </c>
      <c r="AI1" s="1551" t="s">
        <v>1460</v>
      </c>
      <c r="AJ1" s="1551" t="s">
        <v>1461</v>
      </c>
      <c r="AK1" s="1551" t="s">
        <v>1462</v>
      </c>
      <c r="AL1" s="1551" t="s">
        <v>1463</v>
      </c>
      <c r="AM1" s="1551" t="s">
        <v>1464</v>
      </c>
      <c r="AN1" s="1551" t="s">
        <v>1465</v>
      </c>
      <c r="AO1" s="1551" t="s">
        <v>1466</v>
      </c>
      <c r="AP1" s="1551" t="s">
        <v>1467</v>
      </c>
      <c r="AQ1" s="1551" t="s">
        <v>1468</v>
      </c>
      <c r="AR1" s="1551" t="s">
        <v>1469</v>
      </c>
      <c r="AS1" s="1551" t="s">
        <v>1470</v>
      </c>
      <c r="AT1" s="1551" t="s">
        <v>1471</v>
      </c>
      <c r="AU1" s="1551" t="s">
        <v>1472</v>
      </c>
      <c r="AV1" s="1551" t="s">
        <v>1473</v>
      </c>
      <c r="AW1" s="1551" t="s">
        <v>1474</v>
      </c>
      <c r="AX1" s="1551" t="s">
        <v>1475</v>
      </c>
      <c r="AY1" s="1551"/>
      <c r="AZ1" s="1551" t="s">
        <v>1476</v>
      </c>
      <c r="BA1" s="1551" t="s">
        <v>1477</v>
      </c>
      <c r="BB1" s="1551" t="s">
        <v>1478</v>
      </c>
      <c r="BC1" s="1551" t="s">
        <v>1479</v>
      </c>
      <c r="BD1" s="1551" t="s">
        <v>1480</v>
      </c>
    </row>
    <row r="2" customFormat="false" ht="14.25" hidden="false" customHeight="false" outlineLevel="0" collapsed="false">
      <c r="A2" s="1552" t="n">
        <v>1</v>
      </c>
      <c r="B2" s="1552" t="s">
        <v>151</v>
      </c>
      <c r="C2" s="1552" t="n">
        <v>233</v>
      </c>
      <c r="D2" s="1552" t="n">
        <v>0</v>
      </c>
      <c r="E2" s="1552" t="n">
        <v>0</v>
      </c>
      <c r="F2" s="1552" t="n">
        <v>9</v>
      </c>
      <c r="G2" s="1552" t="n">
        <v>259</v>
      </c>
      <c r="H2" s="1552" t="n">
        <v>1</v>
      </c>
      <c r="I2" s="1552" t="n">
        <v>1</v>
      </c>
      <c r="J2" s="1552" t="n">
        <v>1</v>
      </c>
      <c r="K2" s="1552" t="s">
        <v>993</v>
      </c>
      <c r="L2" s="1552" t="s">
        <v>1481</v>
      </c>
      <c r="M2" s="1552" t="s">
        <v>1482</v>
      </c>
      <c r="N2" s="1552" t="n">
        <v>0</v>
      </c>
      <c r="O2" s="1552" t="s">
        <v>1483</v>
      </c>
      <c r="P2" s="1552"/>
      <c r="Q2" s="1552"/>
      <c r="R2" s="1552"/>
      <c r="S2" s="1552"/>
      <c r="T2" s="1552"/>
      <c r="U2" s="1552"/>
      <c r="V2" s="1552"/>
      <c r="W2" s="1552"/>
      <c r="X2" s="1552"/>
      <c r="Y2" s="1552"/>
      <c r="Z2" s="1552"/>
      <c r="AA2" s="1552"/>
      <c r="AB2" s="1552"/>
      <c r="AC2" s="1552"/>
      <c r="AD2" s="1552"/>
      <c r="AE2" s="1552"/>
      <c r="AF2" s="1552"/>
      <c r="AG2" s="1552"/>
      <c r="AH2" s="1552"/>
      <c r="AI2" s="1552"/>
      <c r="AJ2" s="1552"/>
      <c r="AK2" s="1552"/>
      <c r="AL2" s="1552"/>
      <c r="AM2" s="1552"/>
      <c r="AN2" s="1552"/>
      <c r="AO2" s="1552"/>
      <c r="AP2" s="1552"/>
      <c r="AQ2" s="1552"/>
      <c r="AR2" s="1552"/>
      <c r="AS2" s="1552"/>
      <c r="AT2" s="1552"/>
      <c r="AU2" s="1552"/>
      <c r="AV2" s="1552"/>
      <c r="AW2" s="1552" t="n">
        <v>1</v>
      </c>
      <c r="AX2" s="1552"/>
      <c r="AY2" s="1552"/>
      <c r="AZ2" s="1552"/>
      <c r="BA2" s="1552"/>
      <c r="BB2" s="1552"/>
      <c r="BC2" s="1552"/>
      <c r="BD2" s="1552"/>
    </row>
    <row r="3" customFormat="false" ht="14.25" hidden="false" customHeight="false" outlineLevel="0" collapsed="false">
      <c r="A3" s="1552" t="n">
        <v>2</v>
      </c>
      <c r="B3" s="1552" t="s">
        <v>151</v>
      </c>
      <c r="C3" s="1552" t="n">
        <v>233</v>
      </c>
      <c r="D3" s="1552" t="n">
        <v>0</v>
      </c>
      <c r="E3" s="1552" t="n">
        <v>0</v>
      </c>
      <c r="F3" s="1552" t="n">
        <v>17</v>
      </c>
      <c r="G3" s="1552" t="n">
        <v>276</v>
      </c>
      <c r="H3" s="1552" t="n">
        <v>3</v>
      </c>
      <c r="I3" s="1552" t="n">
        <v>2</v>
      </c>
      <c r="J3" s="1552" t="n">
        <v>3</v>
      </c>
      <c r="K3" s="1552" t="s">
        <v>995</v>
      </c>
      <c r="L3" s="1552" t="s">
        <v>1481</v>
      </c>
      <c r="M3" s="1552" t="s">
        <v>1484</v>
      </c>
      <c r="N3" s="1552" t="n">
        <v>323</v>
      </c>
      <c r="O3" s="1552" t="s">
        <v>1485</v>
      </c>
      <c r="P3" s="1552"/>
      <c r="Q3" s="1552"/>
      <c r="R3" s="1552"/>
      <c r="S3" s="1552"/>
      <c r="T3" s="1552"/>
      <c r="U3" s="1552"/>
      <c r="V3" s="1552"/>
      <c r="W3" s="1552"/>
      <c r="X3" s="1552"/>
      <c r="Y3" s="1552"/>
      <c r="Z3" s="1552"/>
      <c r="AA3" s="1552"/>
      <c r="AB3" s="1552"/>
      <c r="AC3" s="1552"/>
      <c r="AD3" s="1552"/>
      <c r="AE3" s="1552"/>
      <c r="AF3" s="1552"/>
      <c r="AG3" s="1552"/>
      <c r="AH3" s="1552"/>
      <c r="AI3" s="1552"/>
      <c r="AJ3" s="1552"/>
      <c r="AK3" s="1552"/>
      <c r="AL3" s="1552"/>
      <c r="AM3" s="1552"/>
      <c r="AN3" s="1552"/>
      <c r="AO3" s="1552"/>
      <c r="AP3" s="1552"/>
      <c r="AQ3" s="1552"/>
      <c r="AR3" s="1552"/>
      <c r="AS3" s="1552"/>
      <c r="AT3" s="1552"/>
      <c r="AU3" s="1552" t="n">
        <v>0</v>
      </c>
      <c r="AV3" s="1552"/>
      <c r="AW3" s="1552" t="n">
        <v>1</v>
      </c>
      <c r="AX3" s="1552"/>
      <c r="AY3" s="1552"/>
      <c r="AZ3" s="1552"/>
      <c r="BA3" s="1552"/>
      <c r="BB3" s="1552"/>
      <c r="BC3" s="1552"/>
      <c r="BD3" s="1552"/>
    </row>
    <row r="4" customFormat="false" ht="14.25" hidden="false" customHeight="false" outlineLevel="0" collapsed="false">
      <c r="A4" s="1552" t="n">
        <v>3</v>
      </c>
      <c r="B4" s="1552" t="s">
        <v>151</v>
      </c>
      <c r="C4" s="1552" t="n">
        <v>233</v>
      </c>
      <c r="D4" s="1552" t="n">
        <v>0</v>
      </c>
      <c r="E4" s="1552" t="n">
        <v>0</v>
      </c>
      <c r="F4" s="1552" t="n">
        <v>9</v>
      </c>
      <c r="G4" s="1552" t="n">
        <v>217</v>
      </c>
      <c r="H4" s="1552" t="n">
        <v>1</v>
      </c>
      <c r="I4" s="1552" t="n">
        <v>8</v>
      </c>
      <c r="J4" s="1552" t="n">
        <v>5</v>
      </c>
      <c r="K4" s="1552" t="s">
        <v>997</v>
      </c>
      <c r="L4" s="1552" t="s">
        <v>1486</v>
      </c>
      <c r="M4" s="1552" t="s">
        <v>1482</v>
      </c>
      <c r="N4" s="1552" t="n">
        <v>0</v>
      </c>
      <c r="O4" s="1552" t="s">
        <v>1483</v>
      </c>
      <c r="P4" s="1552"/>
      <c r="Q4" s="1552"/>
      <c r="R4" s="1552"/>
      <c r="S4" s="1552"/>
      <c r="T4" s="1552"/>
      <c r="U4" s="1552"/>
      <c r="V4" s="1552" t="n">
        <v>1</v>
      </c>
      <c r="W4" s="1552" t="s">
        <v>1487</v>
      </c>
      <c r="X4" s="1552"/>
      <c r="Y4" s="1552"/>
      <c r="Z4" s="1552"/>
      <c r="AA4" s="1552"/>
      <c r="AB4" s="1552"/>
      <c r="AC4" s="1552"/>
      <c r="AD4" s="1552"/>
      <c r="AE4" s="1552"/>
      <c r="AF4" s="1552"/>
      <c r="AG4" s="1552"/>
      <c r="AH4" s="1552"/>
      <c r="AI4" s="1552"/>
      <c r="AJ4" s="1552"/>
      <c r="AK4" s="1552"/>
      <c r="AL4" s="1552"/>
      <c r="AM4" s="1552"/>
      <c r="AN4" s="1552"/>
      <c r="AO4" s="1552"/>
      <c r="AP4" s="1552"/>
      <c r="AQ4" s="1552"/>
      <c r="AR4" s="1552"/>
      <c r="AS4" s="1552"/>
      <c r="AT4" s="1552"/>
      <c r="AU4" s="1552" t="n">
        <v>0</v>
      </c>
      <c r="AV4" s="1552"/>
      <c r="AW4" s="1552" t="n">
        <v>1</v>
      </c>
      <c r="AX4" s="1552"/>
      <c r="AY4" s="1552"/>
      <c r="AZ4" s="1552"/>
      <c r="BA4" s="1552"/>
      <c r="BB4" s="1552"/>
      <c r="BC4" s="1552"/>
      <c r="BD4" s="1552"/>
    </row>
    <row r="5" customFormat="false" ht="14.25" hidden="false" customHeight="false" outlineLevel="0" collapsed="false">
      <c r="A5" s="1552" t="n">
        <v>4</v>
      </c>
      <c r="B5" s="1552" t="s">
        <v>151</v>
      </c>
      <c r="C5" s="1552" t="n">
        <v>233</v>
      </c>
      <c r="D5" s="1552" t="n">
        <v>0</v>
      </c>
      <c r="E5" s="1552" t="n">
        <v>0</v>
      </c>
      <c r="F5" s="1552" t="n">
        <v>16</v>
      </c>
      <c r="G5" s="1552" t="n">
        <v>244</v>
      </c>
      <c r="H5" s="1552" t="n">
        <v>1</v>
      </c>
      <c r="I5" s="1552" t="n">
        <v>13</v>
      </c>
      <c r="J5" s="1552" t="n">
        <v>5</v>
      </c>
      <c r="K5" s="1552" t="s">
        <v>997</v>
      </c>
      <c r="L5" s="1552" t="s">
        <v>1486</v>
      </c>
      <c r="M5" s="1552" t="s">
        <v>1488</v>
      </c>
      <c r="N5" s="1552" t="n">
        <v>162</v>
      </c>
      <c r="O5" s="1552" t="s">
        <v>1489</v>
      </c>
      <c r="P5" s="1552"/>
      <c r="Q5" s="1552"/>
      <c r="R5" s="1552"/>
      <c r="S5" s="1552"/>
      <c r="T5" s="1552"/>
      <c r="U5" s="1552"/>
      <c r="V5" s="1552" t="n">
        <v>1</v>
      </c>
      <c r="W5" s="1552" t="s">
        <v>1487</v>
      </c>
      <c r="X5" s="1552"/>
      <c r="Y5" s="1552"/>
      <c r="Z5" s="1552"/>
      <c r="AA5" s="1552"/>
      <c r="AB5" s="1552"/>
      <c r="AC5" s="1552"/>
      <c r="AD5" s="1552"/>
      <c r="AE5" s="1552"/>
      <c r="AF5" s="1552"/>
      <c r="AG5" s="1552"/>
      <c r="AH5" s="1552"/>
      <c r="AI5" s="1552"/>
      <c r="AJ5" s="1552"/>
      <c r="AK5" s="1552"/>
      <c r="AL5" s="1552"/>
      <c r="AM5" s="1552"/>
      <c r="AN5" s="1552"/>
      <c r="AO5" s="1552"/>
      <c r="AP5" s="1552"/>
      <c r="AQ5" s="1552"/>
      <c r="AR5" s="1552"/>
      <c r="AS5" s="1552"/>
      <c r="AT5" s="1552"/>
      <c r="AU5" s="1552" t="n">
        <v>0</v>
      </c>
      <c r="AV5" s="1552"/>
      <c r="AW5" s="1552" t="n">
        <v>1</v>
      </c>
      <c r="AX5" s="1552"/>
      <c r="AY5" s="1552"/>
      <c r="AZ5" s="1552"/>
      <c r="BA5" s="1552"/>
      <c r="BB5" s="1552"/>
      <c r="BC5" s="1552"/>
      <c r="BD5" s="1552"/>
    </row>
    <row r="6" customFormat="false" ht="14.25" hidden="false" customHeight="false" outlineLevel="0" collapsed="false">
      <c r="A6" s="1552" t="n">
        <v>5</v>
      </c>
      <c r="B6" s="1552" t="s">
        <v>151</v>
      </c>
      <c r="C6" s="1552" t="n">
        <v>233</v>
      </c>
      <c r="D6" s="1552" t="n">
        <v>0</v>
      </c>
      <c r="E6" s="1552" t="n">
        <v>0</v>
      </c>
      <c r="F6" s="1552" t="n">
        <v>7</v>
      </c>
      <c r="G6" s="1552" t="n">
        <v>90</v>
      </c>
      <c r="H6" s="1552" t="n">
        <v>8</v>
      </c>
      <c r="I6" s="1552" t="n">
        <v>14</v>
      </c>
      <c r="J6" s="1552" t="n">
        <v>5</v>
      </c>
      <c r="K6" s="1552" t="s">
        <v>997</v>
      </c>
      <c r="L6" s="1552" t="s">
        <v>1486</v>
      </c>
      <c r="M6" s="1552" t="s">
        <v>1490</v>
      </c>
      <c r="N6" s="1552" t="n">
        <v>162</v>
      </c>
      <c r="O6" s="1552" t="s">
        <v>1489</v>
      </c>
      <c r="P6" s="1552"/>
      <c r="Q6" s="1552"/>
      <c r="R6" s="1552"/>
      <c r="S6" s="1552"/>
      <c r="T6" s="1552"/>
      <c r="U6" s="1552"/>
      <c r="V6" s="1552"/>
      <c r="W6" s="1552"/>
      <c r="X6" s="1552"/>
      <c r="Y6" s="1552"/>
      <c r="Z6" s="1552"/>
      <c r="AA6" s="1552"/>
      <c r="AB6" s="1552"/>
      <c r="AC6" s="1552"/>
      <c r="AD6" s="1552"/>
      <c r="AE6" s="1552"/>
      <c r="AF6" s="1552"/>
      <c r="AG6" s="1552"/>
      <c r="AH6" s="1552"/>
      <c r="AI6" s="1552"/>
      <c r="AJ6" s="1552"/>
      <c r="AK6" s="1552"/>
      <c r="AL6" s="1552"/>
      <c r="AM6" s="1552"/>
      <c r="AN6" s="1552"/>
      <c r="AO6" s="1552"/>
      <c r="AP6" s="1552"/>
      <c r="AQ6" s="1552"/>
      <c r="AR6" s="1552"/>
      <c r="AS6" s="1552"/>
      <c r="AT6" s="1552"/>
      <c r="AU6" s="1552" t="n">
        <v>0</v>
      </c>
      <c r="AV6" s="1552"/>
      <c r="AW6" s="1552" t="n">
        <v>1</v>
      </c>
      <c r="AX6" s="1552"/>
      <c r="AY6" s="1552"/>
      <c r="AZ6" s="1552"/>
      <c r="BA6" s="1552"/>
      <c r="BB6" s="1552"/>
      <c r="BC6" s="1552"/>
      <c r="BD6" s="1552"/>
    </row>
    <row r="7" customFormat="false" ht="14.25" hidden="false" customHeight="false" outlineLevel="0" collapsed="false">
      <c r="A7" s="1552" t="n">
        <v>6</v>
      </c>
      <c r="B7" s="1552" t="s">
        <v>151</v>
      </c>
      <c r="C7" s="1552" t="n">
        <v>233</v>
      </c>
      <c r="D7" s="1552" t="n">
        <v>0</v>
      </c>
      <c r="E7" s="1552" t="n">
        <v>0</v>
      </c>
      <c r="F7" s="1552" t="n">
        <v>4</v>
      </c>
      <c r="G7" s="1552" t="n">
        <v>71</v>
      </c>
      <c r="H7" s="1552" t="n">
        <v>1</v>
      </c>
      <c r="I7" s="1552" t="n">
        <v>4</v>
      </c>
      <c r="J7" s="1552" t="n">
        <v>5</v>
      </c>
      <c r="K7" s="1552" t="s">
        <v>997</v>
      </c>
      <c r="L7" s="1552" t="s">
        <v>1486</v>
      </c>
      <c r="M7" s="1552" t="s">
        <v>1491</v>
      </c>
      <c r="N7" s="1552" t="n">
        <v>0</v>
      </c>
      <c r="O7" s="1552" t="s">
        <v>1483</v>
      </c>
      <c r="P7" s="1552"/>
      <c r="Q7" s="1552"/>
      <c r="R7" s="1552"/>
      <c r="S7" s="1552"/>
      <c r="T7" s="1552"/>
      <c r="U7" s="1552"/>
      <c r="V7" s="1552"/>
      <c r="W7" s="1552"/>
      <c r="X7" s="1552"/>
      <c r="Y7" s="1552"/>
      <c r="Z7" s="1552"/>
      <c r="AA7" s="1552"/>
      <c r="AB7" s="1552"/>
      <c r="AC7" s="1552"/>
      <c r="AD7" s="1552"/>
      <c r="AE7" s="1552"/>
      <c r="AF7" s="1552"/>
      <c r="AG7" s="1552"/>
      <c r="AH7" s="1552"/>
      <c r="AI7" s="1552"/>
      <c r="AJ7" s="1552"/>
      <c r="AK7" s="1552"/>
      <c r="AL7" s="1552"/>
      <c r="AM7" s="1552"/>
      <c r="AN7" s="1552"/>
      <c r="AO7" s="1552"/>
      <c r="AP7" s="1552"/>
      <c r="AQ7" s="1552"/>
      <c r="AR7" s="1552"/>
      <c r="AS7" s="1552"/>
      <c r="AT7" s="1552"/>
      <c r="AU7" s="1552" t="n">
        <v>0</v>
      </c>
      <c r="AV7" s="1552"/>
      <c r="AW7" s="1552" t="n">
        <v>1</v>
      </c>
      <c r="AX7" s="1552"/>
      <c r="AY7" s="1552"/>
      <c r="AZ7" s="1552"/>
      <c r="BA7" s="1552"/>
      <c r="BB7" s="1552"/>
      <c r="BC7" s="1552"/>
      <c r="BD7" s="1552"/>
    </row>
    <row r="8" customFormat="false" ht="14.25" hidden="false" customHeight="false" outlineLevel="0" collapsed="false">
      <c r="A8" s="1552" t="n">
        <v>7</v>
      </c>
      <c r="B8" s="1552" t="s">
        <v>151</v>
      </c>
      <c r="C8" s="1552" t="n">
        <v>233</v>
      </c>
      <c r="D8" s="1552" t="n">
        <v>0</v>
      </c>
      <c r="E8" s="1552" t="n">
        <v>0</v>
      </c>
      <c r="F8" s="1552" t="n">
        <v>4</v>
      </c>
      <c r="G8" s="1552" t="n">
        <v>71</v>
      </c>
      <c r="H8" s="1552" t="n">
        <v>10</v>
      </c>
      <c r="I8" s="1552" t="n">
        <v>9</v>
      </c>
      <c r="J8" s="1552" t="n">
        <v>5</v>
      </c>
      <c r="K8" s="1552" t="s">
        <v>997</v>
      </c>
      <c r="L8" s="1552" t="s">
        <v>1486</v>
      </c>
      <c r="M8" s="1552" t="s">
        <v>1491</v>
      </c>
      <c r="N8" s="1552" t="n">
        <v>0</v>
      </c>
      <c r="O8" s="1552" t="s">
        <v>1483</v>
      </c>
      <c r="P8" s="1552"/>
      <c r="Q8" s="1552"/>
      <c r="R8" s="1552"/>
      <c r="S8" s="1552"/>
      <c r="T8" s="1552"/>
      <c r="U8" s="1552"/>
      <c r="V8" s="1552"/>
      <c r="W8" s="1552"/>
      <c r="X8" s="1552"/>
      <c r="Y8" s="1552"/>
      <c r="Z8" s="1552"/>
      <c r="AA8" s="1552"/>
      <c r="AB8" s="1552"/>
      <c r="AC8" s="1552"/>
      <c r="AD8" s="1552"/>
      <c r="AE8" s="1552"/>
      <c r="AF8" s="1552"/>
      <c r="AG8" s="1552"/>
      <c r="AH8" s="1552"/>
      <c r="AI8" s="1552"/>
      <c r="AJ8" s="1552"/>
      <c r="AK8" s="1552"/>
      <c r="AL8" s="1552"/>
      <c r="AM8" s="1552"/>
      <c r="AN8" s="1552"/>
      <c r="AO8" s="1552"/>
      <c r="AP8" s="1552"/>
      <c r="AQ8" s="1552"/>
      <c r="AR8" s="1552"/>
      <c r="AS8" s="1552"/>
      <c r="AT8" s="1552"/>
      <c r="AU8" s="1552" t="n">
        <v>0</v>
      </c>
      <c r="AV8" s="1552"/>
      <c r="AW8" s="1552" t="n">
        <v>1</v>
      </c>
      <c r="AX8" s="1552"/>
      <c r="AY8" s="1552"/>
      <c r="AZ8" s="1552"/>
      <c r="BA8" s="1552"/>
      <c r="BB8" s="1552"/>
      <c r="BC8" s="1552"/>
      <c r="BD8" s="1552"/>
    </row>
    <row r="9" customFormat="false" ht="14.25" hidden="false" customHeight="false" outlineLevel="0" collapsed="false">
      <c r="A9" s="1552" t="n">
        <v>8</v>
      </c>
      <c r="B9" s="1552" t="s">
        <v>151</v>
      </c>
      <c r="C9" s="1552" t="n">
        <v>233</v>
      </c>
      <c r="D9" s="1552" t="n">
        <v>0</v>
      </c>
      <c r="E9" s="1552" t="n">
        <v>0</v>
      </c>
      <c r="F9" s="1552" t="n">
        <v>1</v>
      </c>
      <c r="G9" s="1552" t="n">
        <v>56</v>
      </c>
      <c r="H9" s="1552" t="n">
        <v>1</v>
      </c>
      <c r="I9" s="1552" t="n">
        <v>12</v>
      </c>
      <c r="J9" s="1552" t="n">
        <v>5</v>
      </c>
      <c r="K9" s="1552" t="s">
        <v>997</v>
      </c>
      <c r="L9" s="1552" t="s">
        <v>1481</v>
      </c>
      <c r="M9" s="1552" t="s">
        <v>1492</v>
      </c>
      <c r="N9" s="1552" t="n">
        <v>0</v>
      </c>
      <c r="O9" s="1552" t="s">
        <v>1483</v>
      </c>
      <c r="P9" s="1552"/>
      <c r="Q9" s="1552"/>
      <c r="R9" s="1552"/>
      <c r="S9" s="1552"/>
      <c r="T9" s="1552"/>
      <c r="U9" s="1552"/>
      <c r="V9" s="1552"/>
      <c r="W9" s="1552"/>
      <c r="X9" s="1552"/>
      <c r="Y9" s="1552"/>
      <c r="Z9" s="1552"/>
      <c r="AA9" s="1552"/>
      <c r="AB9" s="1552"/>
      <c r="AC9" s="1552"/>
      <c r="AD9" s="1552"/>
      <c r="AE9" s="1552"/>
      <c r="AF9" s="1552"/>
      <c r="AG9" s="1552"/>
      <c r="AH9" s="1552"/>
      <c r="AI9" s="1552"/>
      <c r="AJ9" s="1552"/>
      <c r="AK9" s="1552"/>
      <c r="AL9" s="1552"/>
      <c r="AM9" s="1552"/>
      <c r="AN9" s="1552"/>
      <c r="AO9" s="1552"/>
      <c r="AP9" s="1552"/>
      <c r="AQ9" s="1552"/>
      <c r="AR9" s="1552"/>
      <c r="AS9" s="1552"/>
      <c r="AT9" s="1552"/>
      <c r="AU9" s="1552" t="n">
        <v>0</v>
      </c>
      <c r="AV9" s="1552"/>
      <c r="AW9" s="1552" t="n">
        <v>1</v>
      </c>
      <c r="AX9" s="1552"/>
      <c r="AY9" s="1552"/>
      <c r="AZ9" s="1552"/>
      <c r="BA9" s="1552"/>
      <c r="BB9" s="1552"/>
      <c r="BC9" s="1552"/>
      <c r="BD9" s="1552"/>
    </row>
    <row r="10" customFormat="false" ht="14.25" hidden="false" customHeight="false" outlineLevel="0" collapsed="false">
      <c r="A10" s="1552" t="n">
        <v>9</v>
      </c>
      <c r="B10" s="1552" t="s">
        <v>151</v>
      </c>
      <c r="C10" s="1552" t="n">
        <v>233</v>
      </c>
      <c r="D10" s="1552" t="n">
        <v>0</v>
      </c>
      <c r="E10" s="1552" t="n">
        <v>0</v>
      </c>
      <c r="F10" s="1552" t="n">
        <v>1</v>
      </c>
      <c r="G10" s="1552" t="n">
        <v>63</v>
      </c>
      <c r="H10" s="1552" t="n">
        <v>1</v>
      </c>
      <c r="I10" s="1552" t="n">
        <v>11</v>
      </c>
      <c r="J10" s="1552" t="n">
        <v>5</v>
      </c>
      <c r="K10" s="1552" t="s">
        <v>997</v>
      </c>
      <c r="L10" s="1552" t="s">
        <v>1481</v>
      </c>
      <c r="M10" s="1552" t="s">
        <v>1493</v>
      </c>
      <c r="N10" s="1552" t="n">
        <v>0</v>
      </c>
      <c r="O10" s="1552" t="s">
        <v>1483</v>
      </c>
      <c r="P10" s="1552"/>
      <c r="Q10" s="1552"/>
      <c r="R10" s="1552"/>
      <c r="S10" s="1552"/>
      <c r="T10" s="1552"/>
      <c r="U10" s="1552"/>
      <c r="V10" s="1552"/>
      <c r="W10" s="1552"/>
      <c r="X10" s="1552"/>
      <c r="Y10" s="1552"/>
      <c r="Z10" s="1552"/>
      <c r="AA10" s="1552"/>
      <c r="AB10" s="1552"/>
      <c r="AC10" s="1552"/>
      <c r="AD10" s="1552"/>
      <c r="AE10" s="1552"/>
      <c r="AF10" s="1552"/>
      <c r="AG10" s="1552"/>
      <c r="AH10" s="1552"/>
      <c r="AI10" s="1552"/>
      <c r="AJ10" s="1552"/>
      <c r="AK10" s="1552"/>
      <c r="AL10" s="1552"/>
      <c r="AM10" s="1552"/>
      <c r="AN10" s="1552"/>
      <c r="AO10" s="1552"/>
      <c r="AP10" s="1552"/>
      <c r="AQ10" s="1552"/>
      <c r="AR10" s="1552"/>
      <c r="AS10" s="1552"/>
      <c r="AT10" s="1552"/>
      <c r="AU10" s="1552" t="n">
        <v>0</v>
      </c>
      <c r="AV10" s="1552"/>
      <c r="AW10" s="1552" t="n">
        <v>1</v>
      </c>
      <c r="AX10" s="1552"/>
      <c r="AY10" s="1552"/>
      <c r="AZ10" s="1552"/>
      <c r="BA10" s="1552"/>
      <c r="BB10" s="1552"/>
      <c r="BC10" s="1552"/>
      <c r="BD10" s="1552"/>
    </row>
    <row r="11" customFormat="false" ht="14.25" hidden="false" customHeight="false" outlineLevel="0" collapsed="false">
      <c r="A11" s="1552" t="n">
        <v>10</v>
      </c>
      <c r="B11" s="1552" t="s">
        <v>151</v>
      </c>
      <c r="C11" s="1552" t="n">
        <v>233</v>
      </c>
      <c r="D11" s="1552" t="n">
        <v>0</v>
      </c>
      <c r="E11" s="1552" t="n">
        <v>0</v>
      </c>
      <c r="F11" s="1552" t="n">
        <v>9</v>
      </c>
      <c r="G11" s="1552" t="n">
        <v>67</v>
      </c>
      <c r="H11" s="1552" t="n">
        <v>1</v>
      </c>
      <c r="I11" s="1552" t="n">
        <v>5</v>
      </c>
      <c r="J11" s="1552" t="n">
        <v>5</v>
      </c>
      <c r="K11" s="1552" t="s">
        <v>997</v>
      </c>
      <c r="L11" s="1552" t="s">
        <v>1486</v>
      </c>
      <c r="M11" s="1552" t="s">
        <v>1494</v>
      </c>
      <c r="N11" s="1552" t="n">
        <v>0</v>
      </c>
      <c r="O11" s="1552" t="s">
        <v>1483</v>
      </c>
      <c r="P11" s="1552"/>
      <c r="Q11" s="1552"/>
      <c r="R11" s="1552"/>
      <c r="S11" s="1552"/>
      <c r="T11" s="1552"/>
      <c r="U11" s="1552"/>
      <c r="V11" s="1552"/>
      <c r="W11" s="1552"/>
      <c r="X11" s="1552"/>
      <c r="Y11" s="1552"/>
      <c r="Z11" s="1552"/>
      <c r="AA11" s="1552"/>
      <c r="AB11" s="1552"/>
      <c r="AC11" s="1552"/>
      <c r="AD11" s="1552"/>
      <c r="AE11" s="1552"/>
      <c r="AF11" s="1552"/>
      <c r="AG11" s="1552"/>
      <c r="AH11" s="1552"/>
      <c r="AI11" s="1552"/>
      <c r="AJ11" s="1552"/>
      <c r="AK11" s="1552"/>
      <c r="AL11" s="1552"/>
      <c r="AM11" s="1552"/>
      <c r="AN11" s="1552"/>
      <c r="AO11" s="1552"/>
      <c r="AP11" s="1552"/>
      <c r="AQ11" s="1552"/>
      <c r="AR11" s="1552"/>
      <c r="AS11" s="1552"/>
      <c r="AT11" s="1552"/>
      <c r="AU11" s="1552" t="n">
        <v>0</v>
      </c>
      <c r="AV11" s="1552"/>
      <c r="AW11" s="1552" t="n">
        <v>1</v>
      </c>
      <c r="AX11" s="1552"/>
      <c r="AY11" s="1552"/>
      <c r="AZ11" s="1552"/>
      <c r="BA11" s="1552"/>
      <c r="BB11" s="1552"/>
      <c r="BC11" s="1552"/>
      <c r="BD11" s="1552"/>
    </row>
    <row r="12" customFormat="false" ht="14.25" hidden="false" customHeight="false" outlineLevel="0" collapsed="false">
      <c r="A12" s="1552" t="n">
        <v>11</v>
      </c>
      <c r="B12" s="1552" t="s">
        <v>151</v>
      </c>
      <c r="C12" s="1552" t="n">
        <v>233</v>
      </c>
      <c r="D12" s="1552" t="n">
        <v>0</v>
      </c>
      <c r="E12" s="1552" t="n">
        <v>0</v>
      </c>
      <c r="F12" s="1552" t="n">
        <v>16</v>
      </c>
      <c r="G12" s="1552" t="n">
        <v>1213</v>
      </c>
      <c r="H12" s="1552" t="n">
        <v>1</v>
      </c>
      <c r="I12" s="1552" t="n">
        <v>10</v>
      </c>
      <c r="J12" s="1552" t="n">
        <v>5</v>
      </c>
      <c r="K12" s="1552" t="s">
        <v>997</v>
      </c>
      <c r="L12" s="1552" t="s">
        <v>1481</v>
      </c>
      <c r="M12" s="1552" t="s">
        <v>1495</v>
      </c>
      <c r="N12" s="1552" t="n">
        <v>0</v>
      </c>
      <c r="O12" s="1552" t="s">
        <v>1483</v>
      </c>
      <c r="P12" s="1552"/>
      <c r="Q12" s="1552"/>
      <c r="R12" s="1552"/>
      <c r="S12" s="1552"/>
      <c r="T12" s="1552"/>
      <c r="U12" s="1552"/>
      <c r="V12" s="1552"/>
      <c r="W12" s="1552"/>
      <c r="X12" s="1552"/>
      <c r="Y12" s="1552"/>
      <c r="Z12" s="1552"/>
      <c r="AA12" s="1552"/>
      <c r="AB12" s="1552"/>
      <c r="AC12" s="1552"/>
      <c r="AD12" s="1552"/>
      <c r="AE12" s="1552"/>
      <c r="AF12" s="1552"/>
      <c r="AG12" s="1552"/>
      <c r="AH12" s="1552"/>
      <c r="AI12" s="1552"/>
      <c r="AJ12" s="1552"/>
      <c r="AK12" s="1552"/>
      <c r="AL12" s="1552"/>
      <c r="AM12" s="1552"/>
      <c r="AN12" s="1552"/>
      <c r="AO12" s="1552"/>
      <c r="AP12" s="1552"/>
      <c r="AQ12" s="1552"/>
      <c r="AR12" s="1552"/>
      <c r="AS12" s="1552"/>
      <c r="AT12" s="1552"/>
      <c r="AU12" s="1552" t="n">
        <v>0</v>
      </c>
      <c r="AV12" s="1552"/>
      <c r="AW12" s="1552" t="n">
        <v>0</v>
      </c>
      <c r="AX12" s="1552"/>
      <c r="AY12" s="1552"/>
      <c r="AZ12" s="1552"/>
      <c r="BA12" s="1552"/>
      <c r="BB12" s="1552"/>
      <c r="BC12" s="1552"/>
      <c r="BD12" s="1552"/>
    </row>
    <row r="13" customFormat="false" ht="14.25" hidden="false" customHeight="false" outlineLevel="0" collapsed="false">
      <c r="A13" s="1552" t="n">
        <v>12</v>
      </c>
      <c r="B13" s="1552" t="s">
        <v>151</v>
      </c>
      <c r="C13" s="1552" t="n">
        <v>233</v>
      </c>
      <c r="D13" s="1552" t="n">
        <v>0</v>
      </c>
      <c r="E13" s="1552" t="n">
        <v>0</v>
      </c>
      <c r="F13" s="1552" t="n">
        <v>9</v>
      </c>
      <c r="G13" s="1552" t="n">
        <v>367</v>
      </c>
      <c r="H13" s="1552" t="n">
        <v>1</v>
      </c>
      <c r="I13" s="1552" t="n">
        <v>3</v>
      </c>
      <c r="J13" s="1552" t="n">
        <v>5</v>
      </c>
      <c r="K13" s="1552" t="s">
        <v>997</v>
      </c>
      <c r="L13" s="1552" t="s">
        <v>1486</v>
      </c>
      <c r="M13" s="1552" t="s">
        <v>1494</v>
      </c>
      <c r="N13" s="1552" t="n">
        <v>0</v>
      </c>
      <c r="O13" s="1552" t="s">
        <v>1483</v>
      </c>
      <c r="P13" s="1552"/>
      <c r="Q13" s="1552"/>
      <c r="R13" s="1552"/>
      <c r="S13" s="1552"/>
      <c r="T13" s="1552"/>
      <c r="U13" s="1552"/>
      <c r="V13" s="1552"/>
      <c r="W13" s="1552"/>
      <c r="X13" s="1552"/>
      <c r="Y13" s="1552"/>
      <c r="Z13" s="1552"/>
      <c r="AA13" s="1552"/>
      <c r="AB13" s="1552"/>
      <c r="AC13" s="1552"/>
      <c r="AD13" s="1552"/>
      <c r="AE13" s="1552"/>
      <c r="AF13" s="1552"/>
      <c r="AG13" s="1552"/>
      <c r="AH13" s="1552"/>
      <c r="AI13" s="1552"/>
      <c r="AJ13" s="1552"/>
      <c r="AK13" s="1552"/>
      <c r="AL13" s="1552"/>
      <c r="AM13" s="1552"/>
      <c r="AN13" s="1552"/>
      <c r="AO13" s="1552"/>
      <c r="AP13" s="1552"/>
      <c r="AQ13" s="1552"/>
      <c r="AR13" s="1552"/>
      <c r="AS13" s="1552"/>
      <c r="AT13" s="1552"/>
      <c r="AU13" s="1552"/>
      <c r="AV13" s="1552"/>
      <c r="AW13" s="1552" t="n">
        <v>1</v>
      </c>
      <c r="AX13" s="1552"/>
      <c r="AY13" s="1552"/>
      <c r="AZ13" s="1552"/>
      <c r="BA13" s="1552"/>
      <c r="BB13" s="1552"/>
      <c r="BC13" s="1552"/>
      <c r="BD13" s="1552"/>
    </row>
    <row r="14" customFormat="false" ht="14.25" hidden="false" customHeight="false" outlineLevel="0" collapsed="false">
      <c r="A14" s="1552" t="n">
        <v>13</v>
      </c>
      <c r="B14" s="1552" t="s">
        <v>151</v>
      </c>
      <c r="C14" s="1552" t="n">
        <v>233</v>
      </c>
      <c r="D14" s="1552" t="n">
        <v>0</v>
      </c>
      <c r="E14" s="1552" t="n">
        <v>0</v>
      </c>
      <c r="F14" s="1552" t="n">
        <v>9</v>
      </c>
      <c r="G14" s="1552" t="n">
        <v>216</v>
      </c>
      <c r="H14" s="1552" t="n">
        <v>1</v>
      </c>
      <c r="I14" s="1552" t="n">
        <v>8</v>
      </c>
      <c r="J14" s="1552" t="n">
        <v>5</v>
      </c>
      <c r="K14" s="1552" t="s">
        <v>997</v>
      </c>
      <c r="L14" s="1552" t="s">
        <v>1486</v>
      </c>
      <c r="M14" s="1552" t="s">
        <v>1482</v>
      </c>
      <c r="N14" s="1552" t="n">
        <v>0</v>
      </c>
      <c r="O14" s="1552" t="s">
        <v>1483</v>
      </c>
      <c r="P14" s="1552"/>
      <c r="Q14" s="1552"/>
      <c r="R14" s="1552"/>
      <c r="S14" s="1552"/>
      <c r="T14" s="1552"/>
      <c r="U14" s="1552"/>
      <c r="V14" s="1552"/>
      <c r="W14" s="1552"/>
      <c r="X14" s="1552"/>
      <c r="Y14" s="1552"/>
      <c r="Z14" s="1552"/>
      <c r="AA14" s="1552"/>
      <c r="AB14" s="1552"/>
      <c r="AC14" s="1552"/>
      <c r="AD14" s="1552"/>
      <c r="AE14" s="1552"/>
      <c r="AF14" s="1552"/>
      <c r="AG14" s="1552"/>
      <c r="AH14" s="1552"/>
      <c r="AI14" s="1552"/>
      <c r="AJ14" s="1552"/>
      <c r="AK14" s="1552"/>
      <c r="AL14" s="1552"/>
      <c r="AM14" s="1552"/>
      <c r="AN14" s="1552"/>
      <c r="AO14" s="1552"/>
      <c r="AP14" s="1552"/>
      <c r="AQ14" s="1552"/>
      <c r="AR14" s="1552"/>
      <c r="AS14" s="1552"/>
      <c r="AT14" s="1552"/>
      <c r="AU14" s="1552"/>
      <c r="AV14" s="1552"/>
      <c r="AW14" s="1552" t="n">
        <v>1</v>
      </c>
      <c r="AX14" s="1552"/>
      <c r="AY14" s="1552"/>
      <c r="AZ14" s="1552"/>
      <c r="BA14" s="1552"/>
      <c r="BB14" s="1552"/>
      <c r="BC14" s="1552"/>
      <c r="BD14" s="1552"/>
    </row>
    <row r="15" customFormat="false" ht="14.25" hidden="false" customHeight="false" outlineLevel="0" collapsed="false">
      <c r="A15" s="1552" t="n">
        <v>14</v>
      </c>
      <c r="B15" s="1552" t="s">
        <v>151</v>
      </c>
      <c r="C15" s="1552" t="n">
        <v>233</v>
      </c>
      <c r="D15" s="1552" t="n">
        <v>0</v>
      </c>
      <c r="E15" s="1552" t="n">
        <v>0</v>
      </c>
      <c r="F15" s="1552" t="n">
        <v>9</v>
      </c>
      <c r="G15" s="1552" t="n">
        <v>197</v>
      </c>
      <c r="H15" s="1552" t="n">
        <v>1</v>
      </c>
      <c r="I15" s="1552" t="n">
        <v>7</v>
      </c>
      <c r="J15" s="1552" t="n">
        <v>5</v>
      </c>
      <c r="K15" s="1552" t="s">
        <v>997</v>
      </c>
      <c r="L15" s="1552" t="s">
        <v>1486</v>
      </c>
      <c r="M15" s="1552" t="s">
        <v>1482</v>
      </c>
      <c r="N15" s="1552" t="n">
        <v>0</v>
      </c>
      <c r="O15" s="1552" t="s">
        <v>1483</v>
      </c>
      <c r="P15" s="1552"/>
      <c r="Q15" s="1552"/>
      <c r="R15" s="1552"/>
      <c r="S15" s="1552"/>
      <c r="T15" s="1552"/>
      <c r="U15" s="1552"/>
      <c r="V15" s="1552"/>
      <c r="W15" s="1552"/>
      <c r="X15" s="1552"/>
      <c r="Y15" s="1552"/>
      <c r="Z15" s="1552"/>
      <c r="AA15" s="1552"/>
      <c r="AB15" s="1552"/>
      <c r="AC15" s="1552"/>
      <c r="AD15" s="1552"/>
      <c r="AE15" s="1552"/>
      <c r="AF15" s="1552"/>
      <c r="AG15" s="1552"/>
      <c r="AH15" s="1552"/>
      <c r="AI15" s="1552"/>
      <c r="AJ15" s="1552"/>
      <c r="AK15" s="1552"/>
      <c r="AL15" s="1552"/>
      <c r="AM15" s="1552"/>
      <c r="AN15" s="1552"/>
      <c r="AO15" s="1552"/>
      <c r="AP15" s="1552"/>
      <c r="AQ15" s="1552"/>
      <c r="AR15" s="1552"/>
      <c r="AS15" s="1552"/>
      <c r="AT15" s="1552"/>
      <c r="AU15" s="1552"/>
      <c r="AV15" s="1552"/>
      <c r="AW15" s="1552" t="n">
        <v>1</v>
      </c>
      <c r="AX15" s="1552"/>
      <c r="AY15" s="1552"/>
      <c r="AZ15" s="1552"/>
      <c r="BA15" s="1552"/>
      <c r="BB15" s="1552"/>
      <c r="BC15" s="1552"/>
      <c r="BD15" s="1552"/>
    </row>
    <row r="16" customFormat="false" ht="14.25" hidden="false" customHeight="false" outlineLevel="0" collapsed="false">
      <c r="A16" s="1552" t="n">
        <v>15</v>
      </c>
      <c r="B16" s="1552" t="s">
        <v>151</v>
      </c>
      <c r="C16" s="1552" t="n">
        <v>233</v>
      </c>
      <c r="D16" s="1552" t="n">
        <v>0</v>
      </c>
      <c r="E16" s="1552" t="n">
        <v>0</v>
      </c>
      <c r="F16" s="1552" t="n">
        <v>9</v>
      </c>
      <c r="G16" s="1552" t="n">
        <v>198</v>
      </c>
      <c r="H16" s="1552" t="n">
        <v>1</v>
      </c>
      <c r="I16" s="1552" t="n">
        <v>7</v>
      </c>
      <c r="J16" s="1552" t="n">
        <v>5</v>
      </c>
      <c r="K16" s="1552" t="s">
        <v>997</v>
      </c>
      <c r="L16" s="1552" t="s">
        <v>1486</v>
      </c>
      <c r="M16" s="1552" t="s">
        <v>1482</v>
      </c>
      <c r="N16" s="1552" t="n">
        <v>0</v>
      </c>
      <c r="O16" s="1552" t="s">
        <v>1483</v>
      </c>
      <c r="P16" s="1552"/>
      <c r="Q16" s="1552"/>
      <c r="R16" s="1552"/>
      <c r="S16" s="1552"/>
      <c r="T16" s="1552"/>
      <c r="U16" s="1552"/>
      <c r="V16" s="1552"/>
      <c r="W16" s="1552"/>
      <c r="X16" s="1552"/>
      <c r="Y16" s="1552"/>
      <c r="Z16" s="1552"/>
      <c r="AA16" s="1552"/>
      <c r="AB16" s="1552"/>
      <c r="AC16" s="1552"/>
      <c r="AD16" s="1552"/>
      <c r="AE16" s="1552"/>
      <c r="AF16" s="1552"/>
      <c r="AG16" s="1552"/>
      <c r="AH16" s="1552"/>
      <c r="AI16" s="1552"/>
      <c r="AJ16" s="1552"/>
      <c r="AK16" s="1552"/>
      <c r="AL16" s="1552"/>
      <c r="AM16" s="1552"/>
      <c r="AN16" s="1552"/>
      <c r="AO16" s="1552"/>
      <c r="AP16" s="1552"/>
      <c r="AQ16" s="1552"/>
      <c r="AR16" s="1552"/>
      <c r="AS16" s="1552"/>
      <c r="AT16" s="1552"/>
      <c r="AU16" s="1552"/>
      <c r="AV16" s="1552"/>
      <c r="AW16" s="1552" t="n">
        <v>1</v>
      </c>
      <c r="AX16" s="1552"/>
      <c r="AY16" s="1552"/>
      <c r="AZ16" s="1552"/>
      <c r="BA16" s="1552"/>
      <c r="BB16" s="1552"/>
      <c r="BC16" s="1552"/>
      <c r="BD16" s="1552"/>
    </row>
    <row r="17" customFormat="false" ht="14.25" hidden="false" customHeight="false" outlineLevel="0" collapsed="false">
      <c r="A17" s="1552" t="n">
        <v>16</v>
      </c>
      <c r="B17" s="1552" t="s">
        <v>151</v>
      </c>
      <c r="C17" s="1552" t="n">
        <v>233</v>
      </c>
      <c r="D17" s="1552" t="n">
        <v>0</v>
      </c>
      <c r="E17" s="1552" t="n">
        <v>0</v>
      </c>
      <c r="F17" s="1552" t="n">
        <v>9</v>
      </c>
      <c r="G17" s="1552" t="n">
        <v>196</v>
      </c>
      <c r="H17" s="1552" t="n">
        <v>1</v>
      </c>
      <c r="I17" s="1552" t="n">
        <v>7</v>
      </c>
      <c r="J17" s="1552" t="n">
        <v>5</v>
      </c>
      <c r="K17" s="1552" t="s">
        <v>997</v>
      </c>
      <c r="L17" s="1552" t="s">
        <v>1486</v>
      </c>
      <c r="M17" s="1552" t="s">
        <v>1482</v>
      </c>
      <c r="N17" s="1552" t="n">
        <v>0</v>
      </c>
      <c r="O17" s="1552" t="s">
        <v>1483</v>
      </c>
      <c r="P17" s="1552"/>
      <c r="Q17" s="1552"/>
      <c r="R17" s="1552"/>
      <c r="S17" s="1552"/>
      <c r="T17" s="1552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  <c r="AE17" s="1552"/>
      <c r="AF17" s="1552"/>
      <c r="AG17" s="1552"/>
      <c r="AH17" s="1552"/>
      <c r="AI17" s="1552"/>
      <c r="AJ17" s="1552"/>
      <c r="AK17" s="1552"/>
      <c r="AL17" s="1552"/>
      <c r="AM17" s="1552"/>
      <c r="AN17" s="1552"/>
      <c r="AO17" s="1552"/>
      <c r="AP17" s="1552"/>
      <c r="AQ17" s="1552"/>
      <c r="AR17" s="1552"/>
      <c r="AS17" s="1552"/>
      <c r="AT17" s="1552"/>
      <c r="AU17" s="1552"/>
      <c r="AV17" s="1552"/>
      <c r="AW17" s="1552" t="n">
        <v>1</v>
      </c>
      <c r="AX17" s="1552"/>
    </row>
    <row r="18" customFormat="false" ht="14.25" hidden="false" customHeight="false" outlineLevel="0" collapsed="false">
      <c r="A18" s="1552" t="n">
        <v>17</v>
      </c>
      <c r="B18" s="1552" t="s">
        <v>151</v>
      </c>
      <c r="C18" s="1552" t="n">
        <v>233</v>
      </c>
      <c r="D18" s="1552" t="n">
        <v>0</v>
      </c>
      <c r="E18" s="1552" t="n">
        <v>0</v>
      </c>
      <c r="F18" s="1552" t="n">
        <v>9</v>
      </c>
      <c r="G18" s="1552" t="n">
        <v>199</v>
      </c>
      <c r="H18" s="1552" t="n">
        <v>1</v>
      </c>
      <c r="I18" s="1552" t="n">
        <v>7</v>
      </c>
      <c r="J18" s="1552" t="n">
        <v>5</v>
      </c>
      <c r="K18" s="1552" t="s">
        <v>997</v>
      </c>
      <c r="L18" s="1552" t="s">
        <v>1486</v>
      </c>
      <c r="M18" s="1552" t="s">
        <v>1482</v>
      </c>
      <c r="N18" s="1552" t="n">
        <v>0</v>
      </c>
      <c r="O18" s="1552" t="s">
        <v>1483</v>
      </c>
      <c r="P18" s="1552"/>
      <c r="Q18" s="1552"/>
      <c r="R18" s="1552"/>
      <c r="S18" s="1552"/>
      <c r="T18" s="1552"/>
      <c r="U18" s="1552"/>
      <c r="V18" s="1552"/>
      <c r="W18" s="1552"/>
      <c r="X18" s="1552"/>
      <c r="Y18" s="1552"/>
      <c r="Z18" s="1552"/>
      <c r="AA18" s="1552"/>
      <c r="AB18" s="1552"/>
      <c r="AC18" s="1552"/>
      <c r="AD18" s="1552"/>
      <c r="AE18" s="1552"/>
      <c r="AF18" s="1552"/>
      <c r="AG18" s="1552"/>
      <c r="AH18" s="1552"/>
      <c r="AI18" s="1552"/>
      <c r="AJ18" s="1552"/>
      <c r="AK18" s="1552"/>
      <c r="AL18" s="1552"/>
      <c r="AM18" s="1552"/>
      <c r="AN18" s="1552"/>
      <c r="AO18" s="1552"/>
      <c r="AP18" s="1552"/>
      <c r="AQ18" s="1552"/>
      <c r="AR18" s="1552"/>
      <c r="AS18" s="1552"/>
      <c r="AT18" s="1552"/>
      <c r="AU18" s="1552"/>
      <c r="AV18" s="1552"/>
      <c r="AW18" s="1552" t="n">
        <v>1</v>
      </c>
      <c r="AX18" s="1552"/>
    </row>
    <row r="19" customFormat="false" ht="14.25" hidden="false" customHeight="false" outlineLevel="0" collapsed="false">
      <c r="A19" s="1552" t="n">
        <v>18</v>
      </c>
      <c r="B19" s="1552" t="s">
        <v>151</v>
      </c>
      <c r="C19" s="1552" t="n">
        <v>233</v>
      </c>
      <c r="D19" s="1552" t="n">
        <v>0</v>
      </c>
      <c r="E19" s="1552" t="n">
        <v>0</v>
      </c>
      <c r="F19" s="1552" t="n">
        <v>9</v>
      </c>
      <c r="G19" s="1552" t="n">
        <v>200</v>
      </c>
      <c r="H19" s="1552" t="n">
        <v>1</v>
      </c>
      <c r="I19" s="1552" t="n">
        <v>6</v>
      </c>
      <c r="J19" s="1552" t="n">
        <v>5</v>
      </c>
      <c r="K19" s="1552" t="s">
        <v>997</v>
      </c>
      <c r="L19" s="1552" t="s">
        <v>1486</v>
      </c>
      <c r="M19" s="1552" t="s">
        <v>1482</v>
      </c>
      <c r="N19" s="1552" t="n">
        <v>0</v>
      </c>
      <c r="O19" s="1552" t="s">
        <v>1483</v>
      </c>
      <c r="P19" s="1552"/>
      <c r="Q19" s="1552"/>
      <c r="R19" s="1552"/>
      <c r="S19" s="1552"/>
      <c r="T19" s="1552"/>
      <c r="U19" s="1552"/>
      <c r="V19" s="1552"/>
      <c r="W19" s="1552"/>
      <c r="X19" s="1552"/>
      <c r="Y19" s="1552"/>
      <c r="Z19" s="1552"/>
      <c r="AA19" s="1552"/>
      <c r="AB19" s="1552"/>
      <c r="AC19" s="1552"/>
      <c r="AD19" s="1552"/>
      <c r="AE19" s="1552"/>
      <c r="AF19" s="1552"/>
      <c r="AG19" s="1552"/>
      <c r="AH19" s="1552"/>
      <c r="AI19" s="1552"/>
      <c r="AJ19" s="1552"/>
      <c r="AK19" s="1552"/>
      <c r="AL19" s="1552"/>
      <c r="AM19" s="1552"/>
      <c r="AN19" s="1552"/>
      <c r="AO19" s="1552"/>
      <c r="AP19" s="1552"/>
      <c r="AQ19" s="1552"/>
      <c r="AR19" s="1552"/>
      <c r="AS19" s="1552"/>
      <c r="AT19" s="1552"/>
      <c r="AU19" s="1552"/>
      <c r="AV19" s="1552"/>
      <c r="AW19" s="1552" t="n">
        <v>1</v>
      </c>
      <c r="AX19" s="1552"/>
    </row>
    <row r="20" customFormat="false" ht="14.25" hidden="false" customHeight="false" outlineLevel="0" collapsed="false">
      <c r="A20" s="1552" t="n">
        <v>19</v>
      </c>
      <c r="B20" s="1552" t="s">
        <v>151</v>
      </c>
      <c r="C20" s="1552" t="n">
        <v>233</v>
      </c>
      <c r="D20" s="1552" t="n">
        <v>0</v>
      </c>
      <c r="E20" s="1552" t="n">
        <v>0</v>
      </c>
      <c r="F20" s="1552" t="n">
        <v>4</v>
      </c>
      <c r="G20" s="1552" t="n">
        <v>71</v>
      </c>
      <c r="H20" s="1552" t="n">
        <v>2</v>
      </c>
      <c r="I20" s="1552" t="n">
        <v>15</v>
      </c>
      <c r="J20" s="1552" t="n">
        <v>8</v>
      </c>
      <c r="K20" s="1552" t="s">
        <v>1000</v>
      </c>
      <c r="L20" s="1552" t="s">
        <v>1486</v>
      </c>
      <c r="M20" s="1552" t="s">
        <v>1491</v>
      </c>
      <c r="N20" s="1552" t="n">
        <v>0</v>
      </c>
      <c r="O20" s="1552" t="s">
        <v>1483</v>
      </c>
      <c r="P20" s="1552"/>
      <c r="Q20" s="1552"/>
      <c r="R20" s="1552"/>
      <c r="S20" s="1552"/>
      <c r="T20" s="1552"/>
      <c r="U20" s="1552"/>
      <c r="V20" s="1552"/>
      <c r="W20" s="1552"/>
      <c r="X20" s="1552"/>
      <c r="Y20" s="1552"/>
      <c r="Z20" s="1552"/>
      <c r="AA20" s="1552"/>
      <c r="AB20" s="1552"/>
      <c r="AC20" s="1552"/>
      <c r="AD20" s="1552"/>
      <c r="AE20" s="1552"/>
      <c r="AF20" s="1552"/>
      <c r="AG20" s="1552"/>
      <c r="AH20" s="1552"/>
      <c r="AI20" s="1552"/>
      <c r="AJ20" s="1552"/>
      <c r="AK20" s="1552"/>
      <c r="AL20" s="1552"/>
      <c r="AM20" s="1552"/>
      <c r="AN20" s="1552"/>
      <c r="AO20" s="1552"/>
      <c r="AP20" s="1552"/>
      <c r="AQ20" s="1552"/>
      <c r="AR20" s="1552"/>
      <c r="AS20" s="1552"/>
      <c r="AT20" s="1552"/>
      <c r="AU20" s="1552" t="n">
        <v>0</v>
      </c>
      <c r="AV20" s="1552"/>
      <c r="AW20" s="1552" t="n">
        <v>1</v>
      </c>
      <c r="AX20" s="1552"/>
    </row>
    <row r="21" customFormat="false" ht="14.25" hidden="false" customHeight="false" outlineLevel="0" collapsed="false">
      <c r="A21" s="1552" t="n">
        <v>20</v>
      </c>
      <c r="B21" s="1552" t="s">
        <v>151</v>
      </c>
      <c r="C21" s="1552" t="n">
        <v>233</v>
      </c>
      <c r="D21" s="1552" t="n">
        <v>0</v>
      </c>
      <c r="E21" s="1552" t="n">
        <v>0</v>
      </c>
      <c r="F21" s="1552" t="n">
        <v>4</v>
      </c>
      <c r="G21" s="1552" t="n">
        <v>71</v>
      </c>
      <c r="H21" s="1552" t="n">
        <v>1</v>
      </c>
      <c r="I21" s="1552" t="n">
        <v>16</v>
      </c>
      <c r="J21" s="1552" t="n">
        <v>8</v>
      </c>
      <c r="K21" s="1552" t="s">
        <v>1000</v>
      </c>
      <c r="L21" s="1552" t="s">
        <v>1486</v>
      </c>
      <c r="M21" s="1552" t="s">
        <v>1491</v>
      </c>
      <c r="N21" s="1552" t="n">
        <v>0</v>
      </c>
      <c r="O21" s="1552" t="s">
        <v>1483</v>
      </c>
      <c r="P21" s="1552"/>
      <c r="Q21" s="1552"/>
      <c r="R21" s="1552"/>
      <c r="S21" s="1552"/>
      <c r="T21" s="1552"/>
      <c r="U21" s="1552"/>
      <c r="V21" s="1552"/>
      <c r="W21" s="1552"/>
      <c r="X21" s="1552"/>
      <c r="Y21" s="1552"/>
      <c r="Z21" s="1552"/>
      <c r="AA21" s="1552"/>
      <c r="AB21" s="1552"/>
      <c r="AC21" s="1552"/>
      <c r="AD21" s="1552"/>
      <c r="AE21" s="1552"/>
      <c r="AF21" s="1552"/>
      <c r="AG21" s="1552"/>
      <c r="AH21" s="1552"/>
      <c r="AI21" s="1552"/>
      <c r="AJ21" s="1552"/>
      <c r="AK21" s="1552"/>
      <c r="AL21" s="1552"/>
      <c r="AM21" s="1552"/>
      <c r="AN21" s="1552"/>
      <c r="AO21" s="1552"/>
      <c r="AP21" s="1552"/>
      <c r="AQ21" s="1552"/>
      <c r="AR21" s="1552"/>
      <c r="AS21" s="1552"/>
      <c r="AT21" s="1552"/>
      <c r="AU21" s="1552"/>
      <c r="AV21" s="1552"/>
      <c r="AW21" s="1552" t="n">
        <v>1</v>
      </c>
      <c r="AX21" s="1552"/>
    </row>
    <row r="22" customFormat="false" ht="14.25" hidden="false" customHeight="false" outlineLevel="0" collapsed="false">
      <c r="A22" s="1552" t="n">
        <v>21</v>
      </c>
      <c r="B22" s="1552" t="s">
        <v>151</v>
      </c>
      <c r="C22" s="1552" t="n">
        <v>51</v>
      </c>
      <c r="D22" s="1552" t="n">
        <v>0</v>
      </c>
      <c r="E22" s="1552" t="n">
        <v>3</v>
      </c>
      <c r="F22" s="1552" t="n">
        <v>504</v>
      </c>
      <c r="G22" s="1552" t="n">
        <v>47</v>
      </c>
      <c r="H22" s="1552" t="n">
        <v>1</v>
      </c>
      <c r="I22" s="1552" t="n">
        <v>22</v>
      </c>
      <c r="J22" s="1552" t="n">
        <v>13</v>
      </c>
      <c r="K22" s="1552" t="s">
        <v>1005</v>
      </c>
      <c r="L22" s="1552" t="s">
        <v>1481</v>
      </c>
      <c r="M22" s="1552" t="s">
        <v>1496</v>
      </c>
      <c r="N22" s="1552" t="n">
        <v>0</v>
      </c>
      <c r="O22" s="1552" t="s">
        <v>1483</v>
      </c>
      <c r="P22" s="1552"/>
      <c r="Q22" s="1552"/>
      <c r="R22" s="1552"/>
      <c r="S22" s="1552"/>
      <c r="T22" s="1552"/>
      <c r="U22" s="1552"/>
      <c r="V22" s="1552"/>
      <c r="W22" s="1552"/>
      <c r="X22" s="1552"/>
      <c r="Y22" s="1552"/>
      <c r="Z22" s="1552"/>
      <c r="AA22" s="1552"/>
      <c r="AB22" s="1552"/>
      <c r="AC22" s="1552"/>
      <c r="AD22" s="1552"/>
      <c r="AE22" s="1552"/>
      <c r="AF22" s="1552"/>
      <c r="AG22" s="1552"/>
      <c r="AH22" s="1552"/>
      <c r="AI22" s="1552"/>
      <c r="AJ22" s="1552"/>
      <c r="AK22" s="1552"/>
      <c r="AL22" s="1552"/>
      <c r="AM22" s="1552"/>
      <c r="AN22" s="1552"/>
      <c r="AO22" s="1552"/>
      <c r="AP22" s="1552"/>
      <c r="AQ22" s="1552"/>
      <c r="AR22" s="1552"/>
      <c r="AS22" s="1552"/>
      <c r="AT22" s="1552"/>
      <c r="AU22" s="1552" t="n">
        <v>0</v>
      </c>
      <c r="AV22" s="1552"/>
      <c r="AW22" s="1552" t="n">
        <v>1</v>
      </c>
      <c r="AX22" s="1552"/>
    </row>
    <row r="23" customFormat="false" ht="14.25" hidden="false" customHeight="false" outlineLevel="0" collapsed="false">
      <c r="A23" s="1552" t="n">
        <v>22</v>
      </c>
      <c r="B23" s="1552" t="s">
        <v>151</v>
      </c>
      <c r="C23" s="1552" t="n">
        <v>233</v>
      </c>
      <c r="D23" s="1552" t="n">
        <v>0</v>
      </c>
      <c r="E23" s="1552" t="n">
        <v>0</v>
      </c>
      <c r="F23" s="1552" t="n">
        <v>1</v>
      </c>
      <c r="G23" s="1552" t="n">
        <v>116</v>
      </c>
      <c r="H23" s="1552" t="n">
        <v>1</v>
      </c>
      <c r="I23" s="1552" t="n">
        <v>21</v>
      </c>
      <c r="J23" s="1552" t="n">
        <v>13</v>
      </c>
      <c r="K23" s="1552" t="s">
        <v>1005</v>
      </c>
      <c r="L23" s="1552" t="s">
        <v>1481</v>
      </c>
      <c r="M23" s="1552" t="s">
        <v>1497</v>
      </c>
      <c r="N23" s="1552" t="n">
        <v>0</v>
      </c>
      <c r="O23" s="1552" t="s">
        <v>1483</v>
      </c>
      <c r="P23" s="1552"/>
      <c r="Q23" s="1552"/>
      <c r="R23" s="1552"/>
      <c r="S23" s="1552"/>
      <c r="T23" s="1552"/>
      <c r="U23" s="1552"/>
      <c r="V23" s="1552"/>
      <c r="W23" s="1552"/>
      <c r="X23" s="1552"/>
      <c r="Y23" s="1552"/>
      <c r="Z23" s="1552"/>
      <c r="AA23" s="1552"/>
      <c r="AB23" s="1552"/>
      <c r="AC23" s="1552"/>
      <c r="AD23" s="1552"/>
      <c r="AE23" s="1552"/>
      <c r="AF23" s="1552"/>
      <c r="AG23" s="1552"/>
      <c r="AH23" s="1552"/>
      <c r="AI23" s="1552"/>
      <c r="AJ23" s="1552"/>
      <c r="AK23" s="1552"/>
      <c r="AL23" s="1552"/>
      <c r="AM23" s="1552"/>
      <c r="AN23" s="1552"/>
      <c r="AO23" s="1552"/>
      <c r="AP23" s="1552"/>
      <c r="AQ23" s="1552"/>
      <c r="AR23" s="1552"/>
      <c r="AS23" s="1552"/>
      <c r="AT23" s="1552"/>
      <c r="AU23" s="1552" t="n">
        <v>0</v>
      </c>
      <c r="AV23" s="1552"/>
      <c r="AW23" s="1552" t="n">
        <v>0</v>
      </c>
      <c r="AX23" s="1552"/>
    </row>
    <row r="24" customFormat="false" ht="14.25" hidden="false" customHeight="false" outlineLevel="0" collapsed="false">
      <c r="A24" s="1552" t="n">
        <v>23</v>
      </c>
      <c r="B24" s="1552" t="s">
        <v>151</v>
      </c>
      <c r="C24" s="1552" t="n">
        <v>233</v>
      </c>
      <c r="D24" s="1552" t="n">
        <v>0</v>
      </c>
      <c r="E24" s="1552" t="n">
        <v>0</v>
      </c>
      <c r="F24" s="1552" t="n">
        <v>1</v>
      </c>
      <c r="G24" s="1552" t="n">
        <v>118</v>
      </c>
      <c r="H24" s="1552" t="n">
        <v>2</v>
      </c>
      <c r="I24" s="1552" t="n">
        <v>21</v>
      </c>
      <c r="J24" s="1552" t="n">
        <v>13</v>
      </c>
      <c r="K24" s="1552" t="s">
        <v>1005</v>
      </c>
      <c r="L24" s="1552" t="s">
        <v>1481</v>
      </c>
      <c r="M24" s="1552" t="s">
        <v>1497</v>
      </c>
      <c r="N24" s="1552" t="n">
        <v>0</v>
      </c>
      <c r="O24" s="1552" t="s">
        <v>1483</v>
      </c>
      <c r="P24" s="1552"/>
      <c r="Q24" s="1552"/>
      <c r="R24" s="1552"/>
      <c r="S24" s="1552"/>
      <c r="T24" s="1552"/>
      <c r="U24" s="1552"/>
      <c r="V24" s="1552"/>
      <c r="W24" s="1552"/>
      <c r="X24" s="1552"/>
      <c r="Y24" s="1552"/>
      <c r="Z24" s="1552"/>
      <c r="AA24" s="1552"/>
      <c r="AB24" s="1552"/>
      <c r="AC24" s="1552"/>
      <c r="AD24" s="1552"/>
      <c r="AE24" s="1552"/>
      <c r="AF24" s="1552"/>
      <c r="AG24" s="1552"/>
      <c r="AH24" s="1552"/>
      <c r="AI24" s="1552"/>
      <c r="AJ24" s="1552"/>
      <c r="AK24" s="1552"/>
      <c r="AL24" s="1552"/>
      <c r="AM24" s="1552"/>
      <c r="AN24" s="1552"/>
      <c r="AO24" s="1552"/>
      <c r="AP24" s="1552"/>
      <c r="AQ24" s="1552"/>
      <c r="AR24" s="1552"/>
      <c r="AS24" s="1552"/>
      <c r="AT24" s="1552"/>
      <c r="AU24" s="1552" t="n">
        <v>0</v>
      </c>
      <c r="AV24" s="1552"/>
      <c r="AW24" s="1552" t="n">
        <v>0</v>
      </c>
      <c r="AX24" s="1552"/>
    </row>
    <row r="25" customFormat="false" ht="14.25" hidden="false" customHeight="false" outlineLevel="0" collapsed="false">
      <c r="A25" s="1552" t="n">
        <v>24</v>
      </c>
      <c r="B25" s="1552" t="s">
        <v>151</v>
      </c>
      <c r="C25" s="1552" t="n">
        <v>233</v>
      </c>
      <c r="D25" s="1552" t="n">
        <v>0</v>
      </c>
      <c r="E25" s="1552" t="n">
        <v>0</v>
      </c>
      <c r="F25" s="1552" t="n">
        <v>16</v>
      </c>
      <c r="G25" s="1552" t="n">
        <v>644</v>
      </c>
      <c r="H25" s="1552" t="n">
        <v>1</v>
      </c>
      <c r="I25" s="1552" t="n">
        <v>17</v>
      </c>
      <c r="J25" s="1552" t="n">
        <v>13</v>
      </c>
      <c r="K25" s="1552" t="s">
        <v>1005</v>
      </c>
      <c r="L25" s="1552" t="s">
        <v>1486</v>
      </c>
      <c r="M25" s="1552" t="s">
        <v>1498</v>
      </c>
      <c r="N25" s="1552" t="n">
        <v>0</v>
      </c>
      <c r="O25" s="1552" t="s">
        <v>1483</v>
      </c>
      <c r="P25" s="1552"/>
      <c r="Q25" s="1552"/>
      <c r="R25" s="1552"/>
      <c r="S25" s="1552"/>
      <c r="T25" s="1552"/>
      <c r="U25" s="1552"/>
      <c r="V25" s="1552"/>
      <c r="W25" s="1552"/>
      <c r="X25" s="1552"/>
      <c r="Y25" s="1552"/>
      <c r="Z25" s="1552"/>
      <c r="AA25" s="1552"/>
      <c r="AB25" s="1552"/>
      <c r="AC25" s="1552"/>
      <c r="AD25" s="1552"/>
      <c r="AE25" s="1552"/>
      <c r="AF25" s="1552"/>
      <c r="AG25" s="1552"/>
      <c r="AH25" s="1552"/>
      <c r="AI25" s="1552"/>
      <c r="AJ25" s="1552"/>
      <c r="AK25" s="1552"/>
      <c r="AL25" s="1552"/>
      <c r="AM25" s="1552"/>
      <c r="AN25" s="1552"/>
      <c r="AO25" s="1552"/>
      <c r="AP25" s="1552"/>
      <c r="AQ25" s="1552"/>
      <c r="AR25" s="1552"/>
      <c r="AS25" s="1552"/>
      <c r="AT25" s="1552"/>
      <c r="AU25" s="1552" t="n">
        <v>0</v>
      </c>
      <c r="AV25" s="1552"/>
      <c r="AW25" s="1552" t="n">
        <v>0</v>
      </c>
      <c r="AX25" s="1552"/>
    </row>
    <row r="26" customFormat="false" ht="14.25" hidden="false" customHeight="false" outlineLevel="0" collapsed="false">
      <c r="A26" s="1552" t="n">
        <v>25</v>
      </c>
      <c r="B26" s="1552" t="s">
        <v>151</v>
      </c>
      <c r="C26" s="1552" t="n">
        <v>233</v>
      </c>
      <c r="D26" s="1552" t="n">
        <v>0</v>
      </c>
      <c r="E26" s="1552" t="n">
        <v>0</v>
      </c>
      <c r="F26" s="1552" t="n">
        <v>16</v>
      </c>
      <c r="G26" s="1552" t="n">
        <v>369</v>
      </c>
      <c r="H26" s="1552" t="n">
        <v>1</v>
      </c>
      <c r="I26" s="1552" t="n">
        <v>20</v>
      </c>
      <c r="J26" s="1552" t="n">
        <v>13</v>
      </c>
      <c r="K26" s="1552" t="s">
        <v>1005</v>
      </c>
      <c r="L26" s="1552" t="s">
        <v>1486</v>
      </c>
      <c r="M26" s="1552" t="s">
        <v>1498</v>
      </c>
      <c r="N26" s="1552" t="n">
        <v>0</v>
      </c>
      <c r="O26" s="1552" t="s">
        <v>1483</v>
      </c>
      <c r="P26" s="1552"/>
      <c r="Q26" s="1552"/>
      <c r="R26" s="1552"/>
      <c r="S26" s="1552"/>
      <c r="T26" s="1552"/>
      <c r="U26" s="1552"/>
      <c r="V26" s="1552"/>
      <c r="W26" s="1552"/>
      <c r="X26" s="1552"/>
      <c r="Y26" s="1552"/>
      <c r="Z26" s="1552"/>
      <c r="AA26" s="1552"/>
      <c r="AB26" s="1552"/>
      <c r="AC26" s="1552"/>
      <c r="AD26" s="1552"/>
      <c r="AE26" s="1552"/>
      <c r="AF26" s="1552"/>
      <c r="AG26" s="1552"/>
      <c r="AH26" s="1552"/>
      <c r="AI26" s="1552"/>
      <c r="AJ26" s="1552"/>
      <c r="AK26" s="1552"/>
      <c r="AL26" s="1552"/>
      <c r="AM26" s="1552"/>
      <c r="AN26" s="1552"/>
      <c r="AO26" s="1552"/>
      <c r="AP26" s="1552"/>
      <c r="AQ26" s="1552"/>
      <c r="AR26" s="1552"/>
      <c r="AS26" s="1552"/>
      <c r="AT26" s="1552"/>
      <c r="AU26" s="1552" t="n">
        <v>0</v>
      </c>
      <c r="AV26" s="1552"/>
      <c r="AW26" s="1552" t="n">
        <v>0</v>
      </c>
      <c r="AX26" s="1552"/>
    </row>
    <row r="27" customFormat="false" ht="14.25" hidden="false" customHeight="false" outlineLevel="0" collapsed="false">
      <c r="A27" s="1552" t="n">
        <v>26</v>
      </c>
      <c r="B27" s="1552" t="s">
        <v>151</v>
      </c>
      <c r="C27" s="1552" t="n">
        <v>233</v>
      </c>
      <c r="D27" s="1552" t="n">
        <v>0</v>
      </c>
      <c r="E27" s="1552" t="n">
        <v>0</v>
      </c>
      <c r="F27" s="1552" t="n">
        <v>16</v>
      </c>
      <c r="G27" s="1552" t="n">
        <v>402</v>
      </c>
      <c r="H27" s="1552" t="n">
        <v>1</v>
      </c>
      <c r="I27" s="1552" t="n">
        <v>19</v>
      </c>
      <c r="J27" s="1552" t="n">
        <v>13</v>
      </c>
      <c r="K27" s="1552" t="s">
        <v>1005</v>
      </c>
      <c r="L27" s="1552" t="s">
        <v>1486</v>
      </c>
      <c r="M27" s="1552" t="s">
        <v>1498</v>
      </c>
      <c r="N27" s="1552" t="n">
        <v>0</v>
      </c>
      <c r="O27" s="1552" t="s">
        <v>1483</v>
      </c>
      <c r="P27" s="1552"/>
      <c r="Q27" s="1552"/>
      <c r="R27" s="1552"/>
      <c r="S27" s="1552"/>
      <c r="T27" s="1552"/>
      <c r="U27" s="1552"/>
      <c r="V27" s="1552"/>
      <c r="W27" s="1552"/>
      <c r="X27" s="1552"/>
      <c r="Y27" s="1552"/>
      <c r="Z27" s="1552"/>
      <c r="AA27" s="1552"/>
      <c r="AB27" s="1552"/>
      <c r="AC27" s="1552"/>
      <c r="AD27" s="1552"/>
      <c r="AE27" s="1552"/>
      <c r="AF27" s="1552"/>
      <c r="AG27" s="1552"/>
      <c r="AH27" s="1552"/>
      <c r="AI27" s="1552"/>
      <c r="AJ27" s="1552"/>
      <c r="AK27" s="1552"/>
      <c r="AL27" s="1552"/>
      <c r="AM27" s="1552"/>
      <c r="AN27" s="1552"/>
      <c r="AO27" s="1552"/>
      <c r="AP27" s="1552"/>
      <c r="AQ27" s="1552"/>
      <c r="AR27" s="1552"/>
      <c r="AS27" s="1552"/>
      <c r="AT27" s="1552"/>
      <c r="AU27" s="1552" t="n">
        <v>0</v>
      </c>
      <c r="AV27" s="1552"/>
      <c r="AW27" s="1552" t="n">
        <v>0</v>
      </c>
      <c r="AX27" s="1552"/>
    </row>
    <row r="28" customFormat="false" ht="14.25" hidden="false" customHeight="false" outlineLevel="0" collapsed="false">
      <c r="A28" s="1552" t="n">
        <v>27</v>
      </c>
      <c r="B28" s="1552" t="s">
        <v>151</v>
      </c>
      <c r="C28" s="1552" t="n">
        <v>233</v>
      </c>
      <c r="D28" s="1552" t="n">
        <v>0</v>
      </c>
      <c r="E28" s="1552" t="n">
        <v>0</v>
      </c>
      <c r="F28" s="1552" t="n">
        <v>16</v>
      </c>
      <c r="G28" s="1552" t="n">
        <v>408</v>
      </c>
      <c r="H28" s="1552" t="n">
        <v>1</v>
      </c>
      <c r="I28" s="1552" t="n">
        <v>19</v>
      </c>
      <c r="J28" s="1552" t="n">
        <v>13</v>
      </c>
      <c r="K28" s="1552" t="s">
        <v>1005</v>
      </c>
      <c r="L28" s="1552" t="s">
        <v>1486</v>
      </c>
      <c r="M28" s="1552" t="s">
        <v>1498</v>
      </c>
      <c r="N28" s="1552" t="n">
        <v>0</v>
      </c>
      <c r="O28" s="1552" t="s">
        <v>1483</v>
      </c>
      <c r="P28" s="1552"/>
      <c r="Q28" s="1552"/>
      <c r="R28" s="1552"/>
      <c r="S28" s="1552"/>
      <c r="T28" s="1552"/>
      <c r="U28" s="1552"/>
      <c r="V28" s="1552"/>
      <c r="W28" s="1552"/>
      <c r="X28" s="1552"/>
      <c r="Y28" s="1552"/>
      <c r="Z28" s="1552"/>
      <c r="AA28" s="1552"/>
      <c r="AB28" s="1552"/>
      <c r="AC28" s="1552"/>
      <c r="AD28" s="1552"/>
      <c r="AE28" s="1552"/>
      <c r="AF28" s="1552"/>
      <c r="AG28" s="1552"/>
      <c r="AH28" s="1552"/>
      <c r="AI28" s="1552"/>
      <c r="AJ28" s="1552"/>
      <c r="AK28" s="1552"/>
      <c r="AL28" s="1552"/>
      <c r="AM28" s="1552"/>
      <c r="AN28" s="1552"/>
      <c r="AO28" s="1552"/>
      <c r="AP28" s="1552"/>
      <c r="AQ28" s="1552"/>
      <c r="AR28" s="1552"/>
      <c r="AS28" s="1552"/>
      <c r="AT28" s="1552"/>
      <c r="AU28" s="1552" t="n">
        <v>0</v>
      </c>
      <c r="AV28" s="1552"/>
      <c r="AW28" s="1552" t="n">
        <v>0</v>
      </c>
      <c r="AX28" s="1552"/>
    </row>
    <row r="29" customFormat="false" ht="14.25" hidden="false" customHeight="false" outlineLevel="0" collapsed="false">
      <c r="A29" s="1552" t="n">
        <v>28</v>
      </c>
      <c r="B29" s="1552" t="s">
        <v>151</v>
      </c>
      <c r="C29" s="1552" t="n">
        <v>233</v>
      </c>
      <c r="D29" s="1552" t="n">
        <v>0</v>
      </c>
      <c r="E29" s="1552" t="n">
        <v>0</v>
      </c>
      <c r="F29" s="1552" t="n">
        <v>16</v>
      </c>
      <c r="G29" s="1552" t="n">
        <v>424</v>
      </c>
      <c r="H29" s="1552" t="n">
        <v>1</v>
      </c>
      <c r="I29" s="1552" t="n">
        <v>18</v>
      </c>
      <c r="J29" s="1552" t="n">
        <v>13</v>
      </c>
      <c r="K29" s="1552" t="s">
        <v>1005</v>
      </c>
      <c r="L29" s="1552" t="s">
        <v>1486</v>
      </c>
      <c r="M29" s="1552" t="s">
        <v>1498</v>
      </c>
      <c r="N29" s="1552" t="n">
        <v>0</v>
      </c>
      <c r="O29" s="1552" t="s">
        <v>1483</v>
      </c>
      <c r="P29" s="1552"/>
      <c r="Q29" s="1552"/>
      <c r="R29" s="1552"/>
      <c r="S29" s="1552"/>
      <c r="T29" s="1552"/>
      <c r="U29" s="1552"/>
      <c r="V29" s="1552"/>
      <c r="W29" s="1552"/>
      <c r="X29" s="1552"/>
      <c r="Y29" s="1552"/>
      <c r="Z29" s="1552"/>
      <c r="AA29" s="1552"/>
      <c r="AB29" s="1552"/>
      <c r="AC29" s="1552"/>
      <c r="AD29" s="1552"/>
      <c r="AE29" s="1552"/>
      <c r="AF29" s="1552"/>
      <c r="AG29" s="1552"/>
      <c r="AH29" s="1552"/>
      <c r="AI29" s="1552"/>
      <c r="AJ29" s="1552"/>
      <c r="AK29" s="1552"/>
      <c r="AL29" s="1552"/>
      <c r="AM29" s="1552"/>
      <c r="AN29" s="1552"/>
      <c r="AO29" s="1552"/>
      <c r="AP29" s="1552"/>
      <c r="AQ29" s="1552"/>
      <c r="AR29" s="1552"/>
      <c r="AS29" s="1552"/>
      <c r="AT29" s="1552"/>
      <c r="AU29" s="1552" t="n">
        <v>0</v>
      </c>
      <c r="AV29" s="1552"/>
      <c r="AW29" s="1552" t="n">
        <v>0</v>
      </c>
      <c r="AX29" s="1552"/>
    </row>
    <row r="30" customFormat="false" ht="14.25" hidden="false" customHeight="false" outlineLevel="0" collapsed="false">
      <c r="A30" s="1552" t="n">
        <v>29</v>
      </c>
      <c r="B30" s="1552" t="s">
        <v>151</v>
      </c>
      <c r="C30" s="1552" t="n">
        <v>233</v>
      </c>
      <c r="D30" s="1552" t="n">
        <v>0</v>
      </c>
      <c r="E30" s="1552" t="n">
        <v>0</v>
      </c>
      <c r="F30" s="1552" t="n">
        <v>1</v>
      </c>
      <c r="G30" s="1552" t="n">
        <v>55</v>
      </c>
      <c r="H30" s="1552" t="n">
        <v>1</v>
      </c>
      <c r="I30" s="1552" t="n">
        <v>23</v>
      </c>
      <c r="J30" s="1552" t="n">
        <v>13</v>
      </c>
      <c r="K30" s="1552" t="s">
        <v>1005</v>
      </c>
      <c r="L30" s="1552" t="s">
        <v>1481</v>
      </c>
      <c r="M30" s="1552" t="s">
        <v>1496</v>
      </c>
      <c r="N30" s="1552" t="n">
        <v>0</v>
      </c>
      <c r="O30" s="1552" t="s">
        <v>1483</v>
      </c>
      <c r="P30" s="1552"/>
      <c r="Q30" s="1552"/>
      <c r="R30" s="1552"/>
      <c r="S30" s="1552"/>
      <c r="T30" s="1552"/>
      <c r="U30" s="1552"/>
      <c r="V30" s="1552"/>
      <c r="W30" s="1552"/>
      <c r="X30" s="1552"/>
      <c r="Y30" s="1552"/>
      <c r="Z30" s="1552"/>
      <c r="AA30" s="1552"/>
      <c r="AB30" s="1552"/>
      <c r="AC30" s="1552"/>
      <c r="AD30" s="1552"/>
      <c r="AE30" s="1552"/>
      <c r="AF30" s="1552"/>
      <c r="AG30" s="1552"/>
      <c r="AH30" s="1552"/>
      <c r="AI30" s="1552"/>
      <c r="AJ30" s="1552"/>
      <c r="AK30" s="1552"/>
      <c r="AL30" s="1552"/>
      <c r="AM30" s="1552"/>
      <c r="AN30" s="1552"/>
      <c r="AO30" s="1552"/>
      <c r="AP30" s="1552"/>
      <c r="AQ30" s="1552"/>
      <c r="AR30" s="1552"/>
      <c r="AS30" s="1552"/>
      <c r="AT30" s="1552"/>
      <c r="AU30" s="1552" t="n">
        <v>0</v>
      </c>
      <c r="AV30" s="1552"/>
      <c r="AW30" s="1552" t="n">
        <v>0</v>
      </c>
      <c r="AX30" s="1552"/>
    </row>
    <row r="31" customFormat="false" ht="14.25" hidden="false" customHeight="false" outlineLevel="0" collapsed="false">
      <c r="A31" s="1552" t="n">
        <v>30</v>
      </c>
      <c r="B31" s="1552" t="s">
        <v>151</v>
      </c>
      <c r="C31" s="1552" t="n">
        <v>233</v>
      </c>
      <c r="D31" s="1552" t="n">
        <v>0</v>
      </c>
      <c r="E31" s="1552" t="n">
        <v>0</v>
      </c>
      <c r="F31" s="1552" t="n">
        <v>1</v>
      </c>
      <c r="G31" s="1552" t="n">
        <v>56</v>
      </c>
      <c r="H31" s="1552" t="n">
        <v>1</v>
      </c>
      <c r="I31" s="1552" t="n">
        <v>23</v>
      </c>
      <c r="J31" s="1552" t="n">
        <v>13</v>
      </c>
      <c r="K31" s="1552" t="s">
        <v>1005</v>
      </c>
      <c r="L31" s="1552" t="s">
        <v>1481</v>
      </c>
      <c r="M31" s="1552" t="s">
        <v>1492</v>
      </c>
      <c r="N31" s="1552" t="n">
        <v>0</v>
      </c>
      <c r="O31" s="1552" t="s">
        <v>1483</v>
      </c>
      <c r="P31" s="1552"/>
      <c r="Q31" s="1552"/>
      <c r="R31" s="1552"/>
      <c r="S31" s="1552"/>
      <c r="T31" s="1552"/>
      <c r="U31" s="1552"/>
      <c r="V31" s="1552"/>
      <c r="W31" s="1552"/>
      <c r="X31" s="1552"/>
      <c r="Y31" s="1552"/>
      <c r="Z31" s="1552"/>
      <c r="AA31" s="1552"/>
      <c r="AB31" s="1552"/>
      <c r="AC31" s="1552"/>
      <c r="AD31" s="1552"/>
      <c r="AE31" s="1552"/>
      <c r="AF31" s="1552"/>
      <c r="AG31" s="1552"/>
      <c r="AH31" s="1552"/>
      <c r="AI31" s="1552"/>
      <c r="AJ31" s="1552"/>
      <c r="AK31" s="1552"/>
      <c r="AL31" s="1552"/>
      <c r="AM31" s="1552"/>
      <c r="AN31" s="1552"/>
      <c r="AO31" s="1552"/>
      <c r="AP31" s="1552"/>
      <c r="AQ31" s="1552"/>
      <c r="AR31" s="1552"/>
      <c r="AS31" s="1552"/>
      <c r="AT31" s="1552"/>
      <c r="AU31" s="1552" t="n">
        <v>0</v>
      </c>
      <c r="AV31" s="1552"/>
      <c r="AW31" s="1552" t="n">
        <v>0</v>
      </c>
      <c r="AX31" s="1552"/>
    </row>
    <row r="32" customFormat="false" ht="14.25" hidden="false" customHeight="false" outlineLevel="0" collapsed="false">
      <c r="A32" s="1552" t="n">
        <v>31</v>
      </c>
      <c r="B32" s="1552" t="s">
        <v>151</v>
      </c>
      <c r="C32" s="1552" t="n">
        <v>233</v>
      </c>
      <c r="D32" s="1552" t="n">
        <v>0</v>
      </c>
      <c r="E32" s="1552" t="n">
        <v>0</v>
      </c>
      <c r="F32" s="1552" t="n">
        <v>1</v>
      </c>
      <c r="G32" s="1552" t="n">
        <v>40</v>
      </c>
      <c r="H32" s="1552" t="n">
        <v>1</v>
      </c>
      <c r="I32" s="1552" t="n">
        <v>24</v>
      </c>
      <c r="J32" s="1552" t="n">
        <v>13</v>
      </c>
      <c r="K32" s="1552" t="s">
        <v>1005</v>
      </c>
      <c r="L32" s="1552" t="s">
        <v>1481</v>
      </c>
      <c r="M32" s="1552" t="s">
        <v>1497</v>
      </c>
      <c r="N32" s="1552" t="n">
        <v>0</v>
      </c>
      <c r="O32" s="1552" t="s">
        <v>1483</v>
      </c>
      <c r="P32" s="1552"/>
      <c r="Q32" s="1552"/>
      <c r="R32" s="1552"/>
      <c r="S32" s="1552"/>
      <c r="T32" s="1552"/>
      <c r="U32" s="1552"/>
      <c r="V32" s="1552"/>
      <c r="W32" s="1552"/>
      <c r="X32" s="1552"/>
      <c r="Y32" s="1552"/>
      <c r="Z32" s="1552"/>
      <c r="AA32" s="1552"/>
      <c r="AB32" s="1552"/>
      <c r="AC32" s="1552"/>
      <c r="AD32" s="1552"/>
      <c r="AE32" s="1552"/>
      <c r="AF32" s="1552"/>
      <c r="AG32" s="1552"/>
      <c r="AH32" s="1552"/>
      <c r="AI32" s="1552"/>
      <c r="AJ32" s="1552"/>
      <c r="AK32" s="1552"/>
      <c r="AL32" s="1552"/>
      <c r="AM32" s="1552"/>
      <c r="AN32" s="1552"/>
      <c r="AO32" s="1552"/>
      <c r="AP32" s="1552"/>
      <c r="AQ32" s="1552"/>
      <c r="AR32" s="1552"/>
      <c r="AS32" s="1552"/>
      <c r="AT32" s="1552"/>
      <c r="AU32" s="1552" t="n">
        <v>0</v>
      </c>
      <c r="AV32" s="1552"/>
      <c r="AW32" s="1552" t="n">
        <v>0</v>
      </c>
      <c r="AX32" s="1552"/>
    </row>
    <row r="33" customFormat="false" ht="14.25" hidden="false" customHeight="false" outlineLevel="0" collapsed="false">
      <c r="A33" s="1552" t="n">
        <v>32</v>
      </c>
      <c r="B33" s="1552" t="s">
        <v>151</v>
      </c>
      <c r="C33" s="1552" t="n">
        <v>233</v>
      </c>
      <c r="D33" s="1552" t="n">
        <v>0</v>
      </c>
      <c r="E33" s="1552" t="n">
        <v>0</v>
      </c>
      <c r="F33" s="1552" t="n">
        <v>1</v>
      </c>
      <c r="G33" s="1552" t="n">
        <v>10057</v>
      </c>
      <c r="H33" s="1552" t="n">
        <v>1</v>
      </c>
      <c r="I33" s="1552" t="n">
        <v>27</v>
      </c>
      <c r="J33" s="1552" t="n">
        <v>13</v>
      </c>
      <c r="K33" s="1552" t="s">
        <v>1005</v>
      </c>
      <c r="L33" s="1552" t="s">
        <v>1481</v>
      </c>
      <c r="M33" s="1552" t="s">
        <v>1493</v>
      </c>
      <c r="N33" s="1552" t="n">
        <v>0</v>
      </c>
      <c r="O33" s="1552" t="s">
        <v>1483</v>
      </c>
      <c r="P33" s="1552"/>
      <c r="Q33" s="1552"/>
      <c r="R33" s="1552"/>
      <c r="S33" s="1552"/>
      <c r="T33" s="1552"/>
      <c r="U33" s="1552"/>
      <c r="V33" s="1552"/>
      <c r="W33" s="1552"/>
      <c r="X33" s="1552"/>
      <c r="Y33" s="1552"/>
      <c r="Z33" s="1552"/>
      <c r="AA33" s="1552"/>
      <c r="AB33" s="1552"/>
      <c r="AC33" s="1552"/>
      <c r="AD33" s="1552"/>
      <c r="AE33" s="1552"/>
      <c r="AF33" s="1552"/>
      <c r="AG33" s="1552"/>
      <c r="AH33" s="1552"/>
      <c r="AI33" s="1552"/>
      <c r="AJ33" s="1552"/>
      <c r="AK33" s="1552"/>
      <c r="AL33" s="1552"/>
      <c r="AM33" s="1552"/>
      <c r="AN33" s="1552"/>
      <c r="AO33" s="1552"/>
      <c r="AP33" s="1552"/>
      <c r="AQ33" s="1552"/>
      <c r="AR33" s="1552"/>
      <c r="AS33" s="1552"/>
      <c r="AT33" s="1552"/>
      <c r="AU33" s="1552" t="n">
        <v>0</v>
      </c>
      <c r="AV33" s="1552"/>
      <c r="AW33" s="1552" t="n">
        <v>0</v>
      </c>
      <c r="AX33" s="1552"/>
    </row>
    <row r="34" customFormat="false" ht="14.25" hidden="false" customHeight="false" outlineLevel="0" collapsed="false">
      <c r="A34" s="1552" t="n">
        <v>33</v>
      </c>
      <c r="B34" s="1552" t="s">
        <v>151</v>
      </c>
      <c r="C34" s="1552" t="n">
        <v>233</v>
      </c>
      <c r="D34" s="1552" t="n">
        <v>0</v>
      </c>
      <c r="E34" s="1552" t="n">
        <v>0</v>
      </c>
      <c r="F34" s="1552" t="n">
        <v>1</v>
      </c>
      <c r="G34" s="1552" t="n">
        <v>58</v>
      </c>
      <c r="H34" s="1552" t="n">
        <v>4</v>
      </c>
      <c r="I34" s="1552" t="n">
        <v>25</v>
      </c>
      <c r="J34" s="1552" t="n">
        <v>13</v>
      </c>
      <c r="K34" s="1552" t="s">
        <v>1005</v>
      </c>
      <c r="L34" s="1552" t="s">
        <v>1481</v>
      </c>
      <c r="M34" s="1552" t="s">
        <v>1496</v>
      </c>
      <c r="N34" s="1552" t="n">
        <v>0</v>
      </c>
      <c r="O34" s="1552" t="s">
        <v>1483</v>
      </c>
      <c r="P34" s="1552"/>
      <c r="Q34" s="1552"/>
      <c r="R34" s="1552"/>
      <c r="S34" s="1552"/>
      <c r="T34" s="1552"/>
      <c r="U34" s="1552"/>
      <c r="V34" s="1552"/>
      <c r="W34" s="1552"/>
      <c r="X34" s="1552"/>
      <c r="Y34" s="1552"/>
      <c r="Z34" s="1552"/>
      <c r="AA34" s="1552"/>
      <c r="AB34" s="1552"/>
      <c r="AC34" s="1552"/>
      <c r="AD34" s="1552"/>
      <c r="AE34" s="1552"/>
      <c r="AF34" s="1552"/>
      <c r="AG34" s="1552"/>
      <c r="AH34" s="1552"/>
      <c r="AI34" s="1552"/>
      <c r="AJ34" s="1552"/>
      <c r="AK34" s="1552"/>
      <c r="AL34" s="1552"/>
      <c r="AM34" s="1552"/>
      <c r="AN34" s="1552"/>
      <c r="AO34" s="1552"/>
      <c r="AP34" s="1552"/>
      <c r="AQ34" s="1552"/>
      <c r="AR34" s="1552"/>
      <c r="AS34" s="1552"/>
      <c r="AT34" s="1552"/>
      <c r="AU34" s="1552" t="n">
        <v>0</v>
      </c>
      <c r="AV34" s="1552"/>
      <c r="AW34" s="1552" t="n">
        <v>0</v>
      </c>
      <c r="AX34" s="1552"/>
    </row>
    <row r="35" customFormat="false" ht="14.25" hidden="false" customHeight="false" outlineLevel="0" collapsed="false">
      <c r="A35" s="1552" t="n">
        <v>34</v>
      </c>
      <c r="B35" s="1552" t="s">
        <v>151</v>
      </c>
      <c r="C35" s="1552" t="n">
        <v>233</v>
      </c>
      <c r="D35" s="1552" t="n">
        <v>0</v>
      </c>
      <c r="E35" s="1552" t="n">
        <v>0</v>
      </c>
      <c r="F35" s="1552" t="n">
        <v>1</v>
      </c>
      <c r="G35" s="1552" t="n">
        <v>42</v>
      </c>
      <c r="H35" s="1552" t="n">
        <v>1</v>
      </c>
      <c r="I35" s="1552" t="n">
        <v>26</v>
      </c>
      <c r="J35" s="1552" t="n">
        <v>13</v>
      </c>
      <c r="K35" s="1552" t="s">
        <v>1005</v>
      </c>
      <c r="L35" s="1552" t="s">
        <v>1481</v>
      </c>
      <c r="M35" s="1552" t="s">
        <v>1497</v>
      </c>
      <c r="N35" s="1552" t="n">
        <v>0</v>
      </c>
      <c r="O35" s="1552" t="s">
        <v>1483</v>
      </c>
      <c r="P35" s="1552"/>
      <c r="Q35" s="1552"/>
      <c r="R35" s="1552"/>
      <c r="S35" s="1552"/>
      <c r="T35" s="1552"/>
      <c r="U35" s="1552"/>
      <c r="V35" s="1552"/>
      <c r="W35" s="1552"/>
      <c r="X35" s="1552"/>
      <c r="Y35" s="1552"/>
      <c r="Z35" s="1552"/>
      <c r="AA35" s="1552"/>
      <c r="AB35" s="1552"/>
      <c r="AC35" s="1552"/>
      <c r="AD35" s="1552"/>
      <c r="AE35" s="1552"/>
      <c r="AF35" s="1552"/>
      <c r="AG35" s="1552"/>
      <c r="AH35" s="1552"/>
      <c r="AI35" s="1552"/>
      <c r="AJ35" s="1552"/>
      <c r="AK35" s="1552"/>
      <c r="AL35" s="1552"/>
      <c r="AM35" s="1552"/>
      <c r="AN35" s="1552"/>
      <c r="AO35" s="1552"/>
      <c r="AP35" s="1552"/>
      <c r="AQ35" s="1552"/>
      <c r="AR35" s="1552"/>
      <c r="AS35" s="1552"/>
      <c r="AT35" s="1552"/>
      <c r="AU35" s="1552" t="n">
        <v>0</v>
      </c>
      <c r="AV35" s="1552"/>
      <c r="AW35" s="1552" t="n">
        <v>0</v>
      </c>
      <c r="AX35" s="1552"/>
    </row>
    <row r="36" customFormat="false" ht="14.25" hidden="false" customHeight="false" outlineLevel="0" collapsed="false">
      <c r="A36" s="1552" t="n">
        <v>35</v>
      </c>
      <c r="B36" s="1552" t="s">
        <v>151</v>
      </c>
      <c r="C36" s="1552" t="n">
        <v>233</v>
      </c>
      <c r="D36" s="1552" t="n">
        <v>0</v>
      </c>
      <c r="E36" s="1552" t="n">
        <v>0</v>
      </c>
      <c r="F36" s="1552" t="n">
        <v>9</v>
      </c>
      <c r="G36" s="1552" t="n">
        <v>132</v>
      </c>
      <c r="H36" s="1552" t="n">
        <v>1</v>
      </c>
      <c r="I36" s="1552" t="n">
        <v>30</v>
      </c>
      <c r="J36" s="1552" t="n">
        <v>20</v>
      </c>
      <c r="K36" s="1552" t="s">
        <v>1008</v>
      </c>
      <c r="L36" s="1552" t="s">
        <v>1486</v>
      </c>
      <c r="M36" s="1552" t="s">
        <v>1499</v>
      </c>
      <c r="N36" s="1552" t="n">
        <v>0</v>
      </c>
      <c r="O36" s="1552" t="s">
        <v>1483</v>
      </c>
      <c r="P36" s="1552"/>
      <c r="Q36" s="1552"/>
      <c r="R36" s="1552"/>
      <c r="S36" s="1552"/>
      <c r="T36" s="1552"/>
      <c r="U36" s="1552"/>
      <c r="V36" s="1552" t="n">
        <v>1</v>
      </c>
      <c r="W36" s="1552" t="s">
        <v>1487</v>
      </c>
      <c r="X36" s="1552"/>
      <c r="Y36" s="1552"/>
      <c r="Z36" s="1552"/>
      <c r="AA36" s="1552"/>
      <c r="AB36" s="1552"/>
      <c r="AC36" s="1552"/>
      <c r="AD36" s="1552"/>
      <c r="AE36" s="1552"/>
      <c r="AF36" s="1552"/>
      <c r="AG36" s="1552"/>
      <c r="AH36" s="1552"/>
      <c r="AI36" s="1552"/>
      <c r="AJ36" s="1552"/>
      <c r="AK36" s="1552"/>
      <c r="AL36" s="1552"/>
      <c r="AM36" s="1552"/>
      <c r="AN36" s="1552"/>
      <c r="AO36" s="1552"/>
      <c r="AP36" s="1552"/>
      <c r="AQ36" s="1552"/>
      <c r="AR36" s="1552"/>
      <c r="AS36" s="1552"/>
      <c r="AT36" s="1552"/>
      <c r="AU36" s="1552" t="n">
        <v>0</v>
      </c>
      <c r="AV36" s="1552"/>
      <c r="AW36" s="1552" t="n">
        <v>0</v>
      </c>
      <c r="AX36" s="1552"/>
    </row>
    <row r="37" customFormat="false" ht="14.25" hidden="false" customHeight="false" outlineLevel="0" collapsed="false">
      <c r="A37" s="1552" t="n">
        <v>36</v>
      </c>
      <c r="B37" s="1552" t="s">
        <v>151</v>
      </c>
      <c r="C37" s="1552" t="n">
        <v>233</v>
      </c>
      <c r="D37" s="1552" t="n">
        <v>0</v>
      </c>
      <c r="E37" s="1552" t="n">
        <v>0</v>
      </c>
      <c r="F37" s="1552" t="n">
        <v>9</v>
      </c>
      <c r="G37" s="1552" t="n">
        <v>133</v>
      </c>
      <c r="H37" s="1552" t="n">
        <v>1</v>
      </c>
      <c r="I37" s="1552" t="n">
        <v>28</v>
      </c>
      <c r="J37" s="1552" t="n">
        <v>20</v>
      </c>
      <c r="K37" s="1552" t="s">
        <v>1008</v>
      </c>
      <c r="L37" s="1552" t="s">
        <v>1486</v>
      </c>
      <c r="M37" s="1552" t="s">
        <v>1499</v>
      </c>
      <c r="N37" s="1552" t="n">
        <v>0</v>
      </c>
      <c r="O37" s="1552" t="s">
        <v>1483</v>
      </c>
      <c r="P37" s="1552"/>
      <c r="Q37" s="1552"/>
      <c r="R37" s="1552"/>
      <c r="S37" s="1552"/>
      <c r="T37" s="1552"/>
      <c r="U37" s="1552"/>
      <c r="V37" s="1552" t="n">
        <v>1</v>
      </c>
      <c r="W37" s="1552" t="s">
        <v>1487</v>
      </c>
      <c r="X37" s="1552"/>
      <c r="Y37" s="1552"/>
      <c r="Z37" s="1552"/>
      <c r="AA37" s="1552"/>
      <c r="AB37" s="1552"/>
      <c r="AC37" s="1552"/>
      <c r="AD37" s="1552"/>
      <c r="AE37" s="1552"/>
      <c r="AF37" s="1552"/>
      <c r="AG37" s="1552"/>
      <c r="AH37" s="1552"/>
      <c r="AI37" s="1552"/>
      <c r="AJ37" s="1552"/>
      <c r="AK37" s="1552"/>
      <c r="AL37" s="1552"/>
      <c r="AM37" s="1552"/>
      <c r="AN37" s="1552"/>
      <c r="AO37" s="1552"/>
      <c r="AP37" s="1552"/>
      <c r="AQ37" s="1552"/>
      <c r="AR37" s="1552"/>
      <c r="AS37" s="1552"/>
      <c r="AT37" s="1552"/>
      <c r="AU37" s="1552" t="n">
        <v>0</v>
      </c>
      <c r="AV37" s="1552"/>
      <c r="AW37" s="1552" t="n">
        <v>0</v>
      </c>
      <c r="AX37" s="1552"/>
    </row>
    <row r="38" customFormat="false" ht="14.25" hidden="false" customHeight="false" outlineLevel="0" collapsed="false">
      <c r="A38" s="1552" t="n">
        <v>37</v>
      </c>
      <c r="B38" s="1552" t="s">
        <v>151</v>
      </c>
      <c r="C38" s="1552" t="n">
        <v>233</v>
      </c>
      <c r="D38" s="1552" t="n">
        <v>0</v>
      </c>
      <c r="E38" s="1552" t="n">
        <v>0</v>
      </c>
      <c r="F38" s="1552" t="n">
        <v>9</v>
      </c>
      <c r="G38" s="1552" t="n">
        <v>10134</v>
      </c>
      <c r="H38" s="1552" t="n">
        <v>1</v>
      </c>
      <c r="I38" s="1552" t="n">
        <v>32</v>
      </c>
      <c r="J38" s="1552" t="n">
        <v>20</v>
      </c>
      <c r="K38" s="1552" t="s">
        <v>1008</v>
      </c>
      <c r="L38" s="1552" t="s">
        <v>1486</v>
      </c>
      <c r="M38" s="1552" t="s">
        <v>1499</v>
      </c>
      <c r="N38" s="1552" t="n">
        <v>0</v>
      </c>
      <c r="O38" s="1552" t="s">
        <v>1483</v>
      </c>
      <c r="P38" s="1552"/>
      <c r="Q38" s="1552"/>
      <c r="R38" s="1552"/>
      <c r="S38" s="1552"/>
      <c r="T38" s="1552"/>
      <c r="U38" s="1552"/>
      <c r="V38" s="1552" t="n">
        <v>1</v>
      </c>
      <c r="W38" s="1552" t="s">
        <v>1487</v>
      </c>
      <c r="X38" s="1552"/>
      <c r="Y38" s="1552"/>
      <c r="Z38" s="1552"/>
      <c r="AA38" s="1552"/>
      <c r="AB38" s="1552"/>
      <c r="AC38" s="1552"/>
      <c r="AD38" s="1552"/>
      <c r="AE38" s="1552"/>
      <c r="AF38" s="1552"/>
      <c r="AG38" s="1552"/>
      <c r="AH38" s="1552"/>
      <c r="AI38" s="1552"/>
      <c r="AJ38" s="1552"/>
      <c r="AK38" s="1552"/>
      <c r="AL38" s="1552"/>
      <c r="AM38" s="1552"/>
      <c r="AN38" s="1552"/>
      <c r="AO38" s="1552"/>
      <c r="AP38" s="1552"/>
      <c r="AQ38" s="1552"/>
      <c r="AR38" s="1552"/>
      <c r="AS38" s="1552"/>
      <c r="AT38" s="1552"/>
      <c r="AU38" s="1552" t="n">
        <v>0</v>
      </c>
      <c r="AV38" s="1552"/>
      <c r="AW38" s="1552" t="n">
        <v>0</v>
      </c>
      <c r="AX38" s="1552"/>
    </row>
    <row r="39" customFormat="false" ht="14.25" hidden="false" customHeight="false" outlineLevel="0" collapsed="false">
      <c r="A39" s="1552" t="n">
        <v>38</v>
      </c>
      <c r="B39" s="1552" t="s">
        <v>151</v>
      </c>
      <c r="C39" s="1552" t="n">
        <v>233</v>
      </c>
      <c r="D39" s="1552" t="n">
        <v>0</v>
      </c>
      <c r="E39" s="1552" t="n">
        <v>0</v>
      </c>
      <c r="F39" s="1552" t="n">
        <v>9</v>
      </c>
      <c r="G39" s="1552" t="n">
        <v>20134</v>
      </c>
      <c r="H39" s="1552" t="n">
        <v>1</v>
      </c>
      <c r="I39" s="1552" t="n">
        <v>28</v>
      </c>
      <c r="J39" s="1552" t="n">
        <v>20</v>
      </c>
      <c r="K39" s="1552" t="s">
        <v>1008</v>
      </c>
      <c r="L39" s="1552" t="s">
        <v>1486</v>
      </c>
      <c r="M39" s="1552" t="s">
        <v>1499</v>
      </c>
      <c r="N39" s="1552" t="n">
        <v>0</v>
      </c>
      <c r="O39" s="1552" t="s">
        <v>1483</v>
      </c>
      <c r="P39" s="1552"/>
      <c r="Q39" s="1552"/>
      <c r="R39" s="1552"/>
      <c r="S39" s="1552"/>
      <c r="T39" s="1552"/>
      <c r="U39" s="1552"/>
      <c r="V39" s="1552" t="n">
        <v>1</v>
      </c>
      <c r="W39" s="1552" t="s">
        <v>1487</v>
      </c>
      <c r="X39" s="1552"/>
      <c r="Y39" s="1552"/>
      <c r="Z39" s="1552"/>
      <c r="AA39" s="1552"/>
      <c r="AB39" s="1552"/>
      <c r="AC39" s="1552"/>
      <c r="AD39" s="1552"/>
      <c r="AE39" s="1552"/>
      <c r="AF39" s="1552"/>
      <c r="AG39" s="1552"/>
      <c r="AH39" s="1552"/>
      <c r="AI39" s="1552"/>
      <c r="AJ39" s="1552"/>
      <c r="AK39" s="1552"/>
      <c r="AL39" s="1552"/>
      <c r="AM39" s="1552"/>
      <c r="AN39" s="1552"/>
      <c r="AO39" s="1552"/>
      <c r="AP39" s="1552"/>
      <c r="AQ39" s="1552"/>
      <c r="AR39" s="1552"/>
      <c r="AS39" s="1552"/>
      <c r="AT39" s="1552"/>
      <c r="AU39" s="1552" t="n">
        <v>0</v>
      </c>
      <c r="AV39" s="1552"/>
      <c r="AW39" s="1552" t="n">
        <v>0</v>
      </c>
      <c r="AX39" s="1552"/>
    </row>
    <row r="40" customFormat="false" ht="14.25" hidden="false" customHeight="false" outlineLevel="0" collapsed="false">
      <c r="A40" s="1552" t="n">
        <v>39</v>
      </c>
      <c r="B40" s="1552" t="s">
        <v>151</v>
      </c>
      <c r="C40" s="1552" t="n">
        <v>233</v>
      </c>
      <c r="D40" s="1552" t="n">
        <v>0</v>
      </c>
      <c r="E40" s="1552" t="n">
        <v>0</v>
      </c>
      <c r="F40" s="1552" t="n">
        <v>9</v>
      </c>
      <c r="G40" s="1552" t="n">
        <v>140</v>
      </c>
      <c r="H40" s="1552" t="n">
        <v>1</v>
      </c>
      <c r="I40" s="1552" t="n">
        <v>28</v>
      </c>
      <c r="J40" s="1552" t="n">
        <v>20</v>
      </c>
      <c r="K40" s="1552" t="s">
        <v>1008</v>
      </c>
      <c r="L40" s="1552" t="s">
        <v>1486</v>
      </c>
      <c r="M40" s="1552" t="s">
        <v>1499</v>
      </c>
      <c r="N40" s="1552" t="n">
        <v>0</v>
      </c>
      <c r="O40" s="1552" t="s">
        <v>1483</v>
      </c>
      <c r="P40" s="1552"/>
      <c r="Q40" s="1552"/>
      <c r="R40" s="1552"/>
      <c r="S40" s="1552"/>
      <c r="T40" s="1552"/>
      <c r="U40" s="1552"/>
      <c r="V40" s="1552" t="n">
        <v>1</v>
      </c>
      <c r="W40" s="1552" t="s">
        <v>1487</v>
      </c>
      <c r="X40" s="1552"/>
      <c r="Y40" s="1552"/>
      <c r="Z40" s="1552"/>
      <c r="AA40" s="1552"/>
      <c r="AB40" s="1552"/>
      <c r="AC40" s="1552"/>
      <c r="AD40" s="1552"/>
      <c r="AE40" s="1552"/>
      <c r="AF40" s="1552"/>
      <c r="AG40" s="1552"/>
      <c r="AH40" s="1552"/>
      <c r="AI40" s="1552"/>
      <c r="AJ40" s="1552"/>
      <c r="AK40" s="1552"/>
      <c r="AL40" s="1552"/>
      <c r="AM40" s="1552"/>
      <c r="AN40" s="1552"/>
      <c r="AO40" s="1552"/>
      <c r="AP40" s="1552"/>
      <c r="AQ40" s="1552"/>
      <c r="AR40" s="1552"/>
      <c r="AS40" s="1552"/>
      <c r="AT40" s="1552"/>
      <c r="AU40" s="1552" t="n">
        <v>0</v>
      </c>
      <c r="AV40" s="1552"/>
      <c r="AW40" s="1552" t="n">
        <v>0</v>
      </c>
      <c r="AX40" s="1552"/>
    </row>
    <row r="41" customFormat="false" ht="14.25" hidden="false" customHeight="false" outlineLevel="0" collapsed="false">
      <c r="A41" s="1552" t="n">
        <v>40</v>
      </c>
      <c r="B41" s="1552" t="s">
        <v>151</v>
      </c>
      <c r="C41" s="1552" t="n">
        <v>233</v>
      </c>
      <c r="D41" s="1552" t="n">
        <v>0</v>
      </c>
      <c r="E41" s="1552" t="n">
        <v>0</v>
      </c>
      <c r="F41" s="1552" t="n">
        <v>9</v>
      </c>
      <c r="G41" s="1552" t="n">
        <v>142</v>
      </c>
      <c r="H41" s="1552" t="n">
        <v>4</v>
      </c>
      <c r="I41" s="1552" t="n">
        <v>31</v>
      </c>
      <c r="J41" s="1552" t="n">
        <v>20</v>
      </c>
      <c r="K41" s="1552" t="s">
        <v>1008</v>
      </c>
      <c r="L41" s="1552" t="s">
        <v>1486</v>
      </c>
      <c r="M41" s="1552" t="s">
        <v>1499</v>
      </c>
      <c r="N41" s="1552" t="n">
        <v>0</v>
      </c>
      <c r="O41" s="1552" t="s">
        <v>1483</v>
      </c>
      <c r="P41" s="1552"/>
      <c r="Q41" s="1552"/>
      <c r="R41" s="1552"/>
      <c r="S41" s="1552"/>
      <c r="T41" s="1552"/>
      <c r="U41" s="1552"/>
      <c r="V41" s="1552" t="n">
        <v>1</v>
      </c>
      <c r="W41" s="1552" t="s">
        <v>1487</v>
      </c>
      <c r="X41" s="1552"/>
      <c r="Y41" s="1552"/>
      <c r="Z41" s="1552"/>
      <c r="AA41" s="1552"/>
      <c r="AB41" s="1552"/>
      <c r="AC41" s="1552"/>
      <c r="AD41" s="1552"/>
      <c r="AE41" s="1552"/>
      <c r="AF41" s="1552"/>
      <c r="AG41" s="1552"/>
      <c r="AH41" s="1552"/>
      <c r="AI41" s="1552"/>
      <c r="AJ41" s="1552"/>
      <c r="AK41" s="1552"/>
      <c r="AL41" s="1552"/>
      <c r="AM41" s="1552"/>
      <c r="AN41" s="1552"/>
      <c r="AO41" s="1552"/>
      <c r="AP41" s="1552"/>
      <c r="AQ41" s="1552"/>
      <c r="AR41" s="1552"/>
      <c r="AS41" s="1552"/>
      <c r="AT41" s="1552"/>
      <c r="AU41" s="1552" t="n">
        <v>0</v>
      </c>
      <c r="AV41" s="1552"/>
      <c r="AW41" s="1552" t="n">
        <v>0</v>
      </c>
      <c r="AX41" s="1552"/>
    </row>
    <row r="42" customFormat="false" ht="14.25" hidden="false" customHeight="false" outlineLevel="0" collapsed="false">
      <c r="A42" s="1552" t="n">
        <v>41</v>
      </c>
      <c r="B42" s="1552" t="s">
        <v>151</v>
      </c>
      <c r="C42" s="1552" t="n">
        <v>233</v>
      </c>
      <c r="D42" s="1552" t="n">
        <v>0</v>
      </c>
      <c r="E42" s="1552" t="n">
        <v>0</v>
      </c>
      <c r="F42" s="1552" t="n">
        <v>9</v>
      </c>
      <c r="G42" s="1552" t="n">
        <v>141</v>
      </c>
      <c r="H42" s="1552" t="n">
        <v>1</v>
      </c>
      <c r="I42" s="1552" t="n">
        <v>33</v>
      </c>
      <c r="J42" s="1552" t="n">
        <v>20</v>
      </c>
      <c r="K42" s="1552" t="s">
        <v>1008</v>
      </c>
      <c r="L42" s="1552" t="s">
        <v>1481</v>
      </c>
      <c r="M42" s="1552" t="s">
        <v>1499</v>
      </c>
      <c r="N42" s="1552" t="n">
        <v>0</v>
      </c>
      <c r="O42" s="1552" t="s">
        <v>1483</v>
      </c>
      <c r="P42" s="1552"/>
      <c r="Q42" s="1552"/>
      <c r="R42" s="1552"/>
      <c r="S42" s="1552"/>
      <c r="T42" s="1552"/>
      <c r="U42" s="1552"/>
      <c r="V42" s="1552"/>
      <c r="W42" s="1552"/>
      <c r="X42" s="1552"/>
      <c r="Y42" s="1552"/>
      <c r="Z42" s="1552"/>
      <c r="AA42" s="1552"/>
      <c r="AB42" s="1552"/>
      <c r="AC42" s="1552"/>
      <c r="AD42" s="1552"/>
      <c r="AE42" s="1552"/>
      <c r="AF42" s="1552"/>
      <c r="AG42" s="1552"/>
      <c r="AH42" s="1552"/>
      <c r="AI42" s="1552"/>
      <c r="AJ42" s="1552"/>
      <c r="AK42" s="1552"/>
      <c r="AL42" s="1552"/>
      <c r="AM42" s="1552"/>
      <c r="AN42" s="1552"/>
      <c r="AO42" s="1552"/>
      <c r="AP42" s="1552"/>
      <c r="AQ42" s="1552"/>
      <c r="AR42" s="1552"/>
      <c r="AS42" s="1552"/>
      <c r="AT42" s="1552"/>
      <c r="AU42" s="1552" t="n">
        <v>0</v>
      </c>
      <c r="AV42" s="1552"/>
      <c r="AW42" s="1552" t="n">
        <v>0</v>
      </c>
      <c r="AX42" s="1552"/>
    </row>
    <row r="43" customFormat="false" ht="14.25" hidden="false" customHeight="false" outlineLevel="0" collapsed="false">
      <c r="A43" s="1552" t="n">
        <v>42</v>
      </c>
      <c r="B43" s="1552" t="s">
        <v>151</v>
      </c>
      <c r="C43" s="1552" t="n">
        <v>233</v>
      </c>
      <c r="D43" s="1552" t="n">
        <v>0</v>
      </c>
      <c r="E43" s="1552" t="n">
        <v>0</v>
      </c>
      <c r="F43" s="1552" t="n">
        <v>9</v>
      </c>
      <c r="G43" s="1552" t="n">
        <v>142</v>
      </c>
      <c r="H43" s="1552" t="n">
        <v>3</v>
      </c>
      <c r="I43" s="1552" t="n">
        <v>28</v>
      </c>
      <c r="J43" s="1552" t="n">
        <v>20</v>
      </c>
      <c r="K43" s="1552" t="s">
        <v>1008</v>
      </c>
      <c r="L43" s="1552" t="s">
        <v>1486</v>
      </c>
      <c r="M43" s="1552" t="s">
        <v>1499</v>
      </c>
      <c r="N43" s="1552" t="n">
        <v>0</v>
      </c>
      <c r="O43" s="1552" t="s">
        <v>1483</v>
      </c>
      <c r="P43" s="1552"/>
      <c r="Q43" s="1552"/>
      <c r="R43" s="1552"/>
      <c r="S43" s="1552"/>
      <c r="T43" s="1552"/>
      <c r="U43" s="1552"/>
      <c r="V43" s="1552" t="n">
        <v>1</v>
      </c>
      <c r="W43" s="1552" t="s">
        <v>1487</v>
      </c>
      <c r="X43" s="1552"/>
      <c r="Y43" s="1552"/>
      <c r="Z43" s="1552"/>
      <c r="AA43" s="1552"/>
      <c r="AB43" s="1552"/>
      <c r="AC43" s="1552"/>
      <c r="AD43" s="1552"/>
      <c r="AE43" s="1552"/>
      <c r="AF43" s="1552"/>
      <c r="AG43" s="1552"/>
      <c r="AH43" s="1552"/>
      <c r="AI43" s="1552"/>
      <c r="AJ43" s="1552"/>
      <c r="AK43" s="1552"/>
      <c r="AL43" s="1552"/>
      <c r="AM43" s="1552"/>
      <c r="AN43" s="1552"/>
      <c r="AO43" s="1552"/>
      <c r="AP43" s="1552"/>
      <c r="AQ43" s="1552"/>
      <c r="AR43" s="1552"/>
      <c r="AS43" s="1552"/>
      <c r="AT43" s="1552"/>
      <c r="AU43" s="1552" t="n">
        <v>0</v>
      </c>
      <c r="AV43" s="1552"/>
      <c r="AW43" s="1552" t="n">
        <v>0</v>
      </c>
      <c r="AX43" s="1552"/>
    </row>
    <row r="44" customFormat="false" ht="14.25" hidden="false" customHeight="false" outlineLevel="0" collapsed="false">
      <c r="A44" s="1552" t="n">
        <v>43</v>
      </c>
      <c r="B44" s="1552" t="s">
        <v>151</v>
      </c>
      <c r="C44" s="1552" t="n">
        <v>233</v>
      </c>
      <c r="D44" s="1552" t="n">
        <v>0</v>
      </c>
      <c r="E44" s="1552" t="n">
        <v>0</v>
      </c>
      <c r="F44" s="1552" t="n">
        <v>16</v>
      </c>
      <c r="G44" s="1552" t="n">
        <v>154</v>
      </c>
      <c r="H44" s="1552" t="n">
        <v>1</v>
      </c>
      <c r="I44" s="1552" t="n">
        <v>29</v>
      </c>
      <c r="J44" s="1552" t="n">
        <v>20</v>
      </c>
      <c r="K44" s="1552" t="s">
        <v>1008</v>
      </c>
      <c r="L44" s="1552" t="s">
        <v>1486</v>
      </c>
      <c r="M44" s="1552" t="s">
        <v>1500</v>
      </c>
      <c r="N44" s="1552" t="n">
        <v>0</v>
      </c>
      <c r="O44" s="1552" t="s">
        <v>1483</v>
      </c>
      <c r="P44" s="1552"/>
      <c r="Q44" s="1552"/>
      <c r="R44" s="1552"/>
      <c r="S44" s="1552"/>
      <c r="T44" s="1552"/>
      <c r="U44" s="1552"/>
      <c r="V44" s="1552" t="n">
        <v>1</v>
      </c>
      <c r="W44" s="1552" t="s">
        <v>1487</v>
      </c>
      <c r="X44" s="1552"/>
      <c r="Y44" s="1552"/>
      <c r="Z44" s="1552"/>
      <c r="AA44" s="1552"/>
      <c r="AB44" s="1552"/>
      <c r="AC44" s="1552"/>
      <c r="AD44" s="1552"/>
      <c r="AE44" s="1552"/>
      <c r="AF44" s="1552"/>
      <c r="AG44" s="1552"/>
      <c r="AH44" s="1552"/>
      <c r="AI44" s="1552"/>
      <c r="AJ44" s="1552"/>
      <c r="AK44" s="1552"/>
      <c r="AL44" s="1552"/>
      <c r="AM44" s="1552"/>
      <c r="AN44" s="1552"/>
      <c r="AO44" s="1552"/>
      <c r="AP44" s="1552"/>
      <c r="AQ44" s="1552"/>
      <c r="AR44" s="1552"/>
      <c r="AS44" s="1552"/>
      <c r="AT44" s="1552"/>
      <c r="AU44" s="1552" t="n">
        <v>0</v>
      </c>
      <c r="AV44" s="1552"/>
      <c r="AW44" s="1552" t="n">
        <v>0</v>
      </c>
      <c r="AX44" s="1552"/>
    </row>
    <row r="45" customFormat="false" ht="14.25" hidden="false" customHeight="false" outlineLevel="0" collapsed="false">
      <c r="A45" s="1552" t="n">
        <v>44</v>
      </c>
      <c r="B45" s="1552" t="s">
        <v>151</v>
      </c>
      <c r="C45" s="1552" t="n">
        <v>233</v>
      </c>
      <c r="D45" s="1552" t="n">
        <v>0</v>
      </c>
      <c r="E45" s="1552" t="n">
        <v>0</v>
      </c>
      <c r="F45" s="1552" t="n">
        <v>1</v>
      </c>
      <c r="G45" s="1552" t="n">
        <v>56</v>
      </c>
      <c r="H45" s="1552" t="n">
        <v>1</v>
      </c>
      <c r="I45" s="1552" t="n">
        <v>35</v>
      </c>
      <c r="J45" s="1552" t="n">
        <v>20</v>
      </c>
      <c r="K45" s="1552" t="s">
        <v>1008</v>
      </c>
      <c r="L45" s="1552" t="s">
        <v>1481</v>
      </c>
      <c r="M45" s="1552" t="s">
        <v>1492</v>
      </c>
      <c r="N45" s="1552" t="n">
        <v>0</v>
      </c>
      <c r="O45" s="1552" t="s">
        <v>1483</v>
      </c>
      <c r="P45" s="1552"/>
      <c r="Q45" s="1552"/>
      <c r="R45" s="1552"/>
      <c r="S45" s="1552"/>
      <c r="T45" s="1552"/>
      <c r="U45" s="1552"/>
      <c r="V45" s="1552"/>
      <c r="W45" s="1552"/>
      <c r="X45" s="1552"/>
      <c r="Y45" s="1552"/>
      <c r="Z45" s="1552"/>
      <c r="AA45" s="1552"/>
      <c r="AB45" s="1552"/>
      <c r="AC45" s="1552"/>
      <c r="AD45" s="1552"/>
      <c r="AE45" s="1552"/>
      <c r="AF45" s="1552"/>
      <c r="AG45" s="1552"/>
      <c r="AH45" s="1552"/>
      <c r="AI45" s="1552"/>
      <c r="AJ45" s="1552"/>
      <c r="AK45" s="1552"/>
      <c r="AL45" s="1552"/>
      <c r="AM45" s="1552"/>
      <c r="AN45" s="1552"/>
      <c r="AO45" s="1552"/>
      <c r="AP45" s="1552"/>
      <c r="AQ45" s="1552"/>
      <c r="AR45" s="1552"/>
      <c r="AS45" s="1552"/>
      <c r="AT45" s="1552"/>
      <c r="AU45" s="1552" t="n">
        <v>0</v>
      </c>
      <c r="AV45" s="1552"/>
      <c r="AW45" s="1552" t="n">
        <v>0</v>
      </c>
      <c r="AX45" s="1552"/>
    </row>
    <row r="46" customFormat="false" ht="14.25" hidden="false" customHeight="false" outlineLevel="0" collapsed="false">
      <c r="A46" s="1552" t="n">
        <v>45</v>
      </c>
      <c r="B46" s="1552" t="s">
        <v>151</v>
      </c>
      <c r="C46" s="1552" t="n">
        <v>233</v>
      </c>
      <c r="D46" s="1552" t="n">
        <v>0</v>
      </c>
      <c r="E46" s="1552" t="n">
        <v>0</v>
      </c>
      <c r="F46" s="1552" t="n">
        <v>17</v>
      </c>
      <c r="G46" s="1552" t="n">
        <v>45</v>
      </c>
      <c r="H46" s="1552" t="n">
        <v>5</v>
      </c>
      <c r="I46" s="1552" t="n">
        <v>37</v>
      </c>
      <c r="J46" s="1552" t="n">
        <v>20</v>
      </c>
      <c r="K46" s="1552" t="s">
        <v>1008</v>
      </c>
      <c r="L46" s="1552" t="s">
        <v>1481</v>
      </c>
      <c r="M46" s="1552" t="s">
        <v>1501</v>
      </c>
      <c r="N46" s="1552" t="n">
        <v>0</v>
      </c>
      <c r="O46" s="1552" t="s">
        <v>1483</v>
      </c>
      <c r="P46" s="1552"/>
      <c r="Q46" s="1552"/>
      <c r="R46" s="1552"/>
      <c r="S46" s="1552"/>
      <c r="T46" s="1552"/>
      <c r="U46" s="1552"/>
      <c r="V46" s="1552"/>
      <c r="W46" s="1552"/>
      <c r="X46" s="1552"/>
      <c r="Y46" s="1552"/>
      <c r="Z46" s="1552"/>
      <c r="AA46" s="1552"/>
      <c r="AB46" s="1552"/>
      <c r="AC46" s="1552"/>
      <c r="AD46" s="1552"/>
      <c r="AE46" s="1552"/>
      <c r="AF46" s="1552"/>
      <c r="AG46" s="1552"/>
      <c r="AH46" s="1552"/>
      <c r="AI46" s="1552"/>
      <c r="AJ46" s="1552"/>
      <c r="AK46" s="1552"/>
      <c r="AL46" s="1552"/>
      <c r="AM46" s="1552"/>
      <c r="AN46" s="1552"/>
      <c r="AO46" s="1552"/>
      <c r="AP46" s="1552"/>
      <c r="AQ46" s="1552"/>
      <c r="AR46" s="1552"/>
      <c r="AS46" s="1552"/>
      <c r="AT46" s="1552"/>
      <c r="AU46" s="1552" t="n">
        <v>0</v>
      </c>
      <c r="AV46" s="1552"/>
      <c r="AW46" s="1552" t="n">
        <v>0</v>
      </c>
      <c r="AX46" s="1552"/>
    </row>
    <row r="47" customFormat="false" ht="14.25" hidden="false" customHeight="false" outlineLevel="0" collapsed="false">
      <c r="A47" s="1552" t="n">
        <v>46</v>
      </c>
      <c r="B47" s="1552" t="s">
        <v>151</v>
      </c>
      <c r="C47" s="1552" t="n">
        <v>233</v>
      </c>
      <c r="D47" s="1552" t="n">
        <v>0</v>
      </c>
      <c r="E47" s="1552" t="n">
        <v>0</v>
      </c>
      <c r="F47" s="1552" t="n">
        <v>17</v>
      </c>
      <c r="G47" s="1552" t="n">
        <v>45</v>
      </c>
      <c r="H47" s="1552" t="n">
        <v>6</v>
      </c>
      <c r="I47" s="1552" t="n">
        <v>36</v>
      </c>
      <c r="J47" s="1552" t="n">
        <v>20</v>
      </c>
      <c r="K47" s="1552" t="s">
        <v>1008</v>
      </c>
      <c r="L47" s="1552" t="s">
        <v>1481</v>
      </c>
      <c r="M47" s="1552" t="s">
        <v>1501</v>
      </c>
      <c r="N47" s="1552" t="n">
        <v>0</v>
      </c>
      <c r="O47" s="1552" t="s">
        <v>1483</v>
      </c>
      <c r="P47" s="1552"/>
      <c r="Q47" s="1552"/>
      <c r="R47" s="1552"/>
      <c r="S47" s="1552"/>
      <c r="T47" s="1552"/>
      <c r="U47" s="1552"/>
      <c r="V47" s="1552"/>
      <c r="W47" s="1552"/>
      <c r="X47" s="1552"/>
      <c r="Y47" s="1552"/>
      <c r="Z47" s="1552"/>
      <c r="AA47" s="1552"/>
      <c r="AB47" s="1552"/>
      <c r="AC47" s="1552"/>
      <c r="AD47" s="1552"/>
      <c r="AE47" s="1552"/>
      <c r="AF47" s="1552"/>
      <c r="AG47" s="1552"/>
      <c r="AH47" s="1552"/>
      <c r="AI47" s="1552"/>
      <c r="AJ47" s="1552"/>
      <c r="AK47" s="1552"/>
      <c r="AL47" s="1552"/>
      <c r="AM47" s="1552"/>
      <c r="AN47" s="1552"/>
      <c r="AO47" s="1552"/>
      <c r="AP47" s="1552"/>
      <c r="AQ47" s="1552"/>
      <c r="AR47" s="1552"/>
      <c r="AS47" s="1552"/>
      <c r="AT47" s="1552"/>
      <c r="AU47" s="1552" t="n">
        <v>0</v>
      </c>
      <c r="AV47" s="1552"/>
      <c r="AW47" s="1552" t="n">
        <v>0</v>
      </c>
      <c r="AX47" s="1552"/>
    </row>
    <row r="48" customFormat="false" ht="14.25" hidden="false" customHeight="false" outlineLevel="0" collapsed="false">
      <c r="A48" s="1552" t="n">
        <v>47</v>
      </c>
      <c r="B48" s="1552" t="s">
        <v>151</v>
      </c>
      <c r="C48" s="1552" t="n">
        <v>233</v>
      </c>
      <c r="D48" s="1552" t="n">
        <v>0</v>
      </c>
      <c r="E48" s="1552" t="n">
        <v>0</v>
      </c>
      <c r="F48" s="1552" t="n">
        <v>9</v>
      </c>
      <c r="G48" s="1552" t="n">
        <v>139</v>
      </c>
      <c r="H48" s="1552" t="n">
        <v>1</v>
      </c>
      <c r="I48" s="1552" t="n">
        <v>28</v>
      </c>
      <c r="J48" s="1552" t="n">
        <v>20</v>
      </c>
      <c r="K48" s="1552" t="s">
        <v>1008</v>
      </c>
      <c r="L48" s="1552" t="s">
        <v>1486</v>
      </c>
      <c r="M48" s="1552" t="s">
        <v>1499</v>
      </c>
      <c r="N48" s="1552" t="n">
        <v>0</v>
      </c>
      <c r="O48" s="1552" t="s">
        <v>1483</v>
      </c>
      <c r="P48" s="1552"/>
      <c r="Q48" s="1552"/>
      <c r="R48" s="1552"/>
      <c r="S48" s="1552"/>
      <c r="T48" s="1552"/>
      <c r="U48" s="1552"/>
      <c r="V48" s="1552"/>
      <c r="W48" s="1552"/>
      <c r="X48" s="1552"/>
      <c r="Y48" s="1552"/>
      <c r="Z48" s="1552"/>
      <c r="AA48" s="1552"/>
      <c r="AB48" s="1552"/>
      <c r="AC48" s="1552"/>
      <c r="AD48" s="1552"/>
      <c r="AE48" s="1552"/>
      <c r="AF48" s="1552"/>
      <c r="AG48" s="1552"/>
      <c r="AH48" s="1552"/>
      <c r="AI48" s="1552"/>
      <c r="AJ48" s="1552"/>
      <c r="AK48" s="1552"/>
      <c r="AL48" s="1552"/>
      <c r="AM48" s="1552"/>
      <c r="AN48" s="1552"/>
      <c r="AO48" s="1552"/>
      <c r="AP48" s="1552"/>
      <c r="AQ48" s="1552"/>
      <c r="AR48" s="1552"/>
      <c r="AS48" s="1552"/>
      <c r="AT48" s="1552"/>
      <c r="AU48" s="1552"/>
      <c r="AV48" s="1552"/>
      <c r="AW48" s="1552" t="n">
        <v>0</v>
      </c>
      <c r="AX48" s="1552"/>
    </row>
    <row r="49" customFormat="false" ht="14.25" hidden="false" customHeight="false" outlineLevel="0" collapsed="false">
      <c r="A49" s="1552" t="n">
        <v>48</v>
      </c>
      <c r="B49" s="1552" t="s">
        <v>151</v>
      </c>
      <c r="C49" s="1552" t="n">
        <v>233</v>
      </c>
      <c r="D49" s="1552" t="n">
        <v>0</v>
      </c>
      <c r="E49" s="1552" t="n">
        <v>0</v>
      </c>
      <c r="F49" s="1552" t="n">
        <v>1</v>
      </c>
      <c r="G49" s="1552" t="n">
        <v>52</v>
      </c>
      <c r="H49" s="1552" t="n">
        <v>1</v>
      </c>
      <c r="I49" s="1552" t="n">
        <v>34</v>
      </c>
      <c r="J49" s="1552" t="n">
        <v>20</v>
      </c>
      <c r="K49" s="1552" t="s">
        <v>1008</v>
      </c>
      <c r="L49" s="1552" t="s">
        <v>1481</v>
      </c>
      <c r="M49" s="1552" t="s">
        <v>1496</v>
      </c>
      <c r="N49" s="1552" t="n">
        <v>0</v>
      </c>
      <c r="O49" s="1552" t="s">
        <v>1483</v>
      </c>
      <c r="P49" s="1552"/>
      <c r="Q49" s="1552"/>
      <c r="R49" s="1552"/>
      <c r="S49" s="1552"/>
      <c r="T49" s="1552"/>
      <c r="U49" s="1552"/>
      <c r="V49" s="1552"/>
      <c r="W49" s="1552"/>
      <c r="X49" s="1552"/>
      <c r="Y49" s="1552"/>
      <c r="Z49" s="1552"/>
      <c r="AA49" s="1552"/>
      <c r="AB49" s="1552"/>
      <c r="AC49" s="1552"/>
      <c r="AD49" s="1552"/>
      <c r="AE49" s="1552"/>
      <c r="AF49" s="1552"/>
      <c r="AG49" s="1552"/>
      <c r="AH49" s="1552"/>
      <c r="AI49" s="1552"/>
      <c r="AJ49" s="1552"/>
      <c r="AK49" s="1552"/>
      <c r="AL49" s="1552"/>
      <c r="AM49" s="1552"/>
      <c r="AN49" s="1552"/>
      <c r="AO49" s="1552"/>
      <c r="AP49" s="1552"/>
      <c r="AQ49" s="1552"/>
      <c r="AR49" s="1552"/>
      <c r="AS49" s="1552"/>
      <c r="AT49" s="1552"/>
      <c r="AU49" s="1552"/>
      <c r="AV49" s="1552"/>
      <c r="AW49" s="1552" t="n">
        <v>0</v>
      </c>
      <c r="AX49" s="1552"/>
    </row>
    <row r="50" customFormat="false" ht="14.25" hidden="false" customHeight="false" outlineLevel="0" collapsed="false">
      <c r="A50" s="1552" t="n">
        <v>49</v>
      </c>
      <c r="B50" s="1552" t="s">
        <v>151</v>
      </c>
      <c r="C50" s="1552" t="n">
        <v>233</v>
      </c>
      <c r="D50" s="1552" t="n">
        <v>0</v>
      </c>
      <c r="E50" s="1552" t="n">
        <v>0</v>
      </c>
      <c r="F50" s="1552" t="n">
        <v>14</v>
      </c>
      <c r="G50" s="1552" t="n">
        <v>20086</v>
      </c>
      <c r="H50" s="1552" t="n">
        <v>1</v>
      </c>
      <c r="I50" s="1552" t="n">
        <v>38</v>
      </c>
      <c r="J50" s="1552" t="n">
        <v>40</v>
      </c>
      <c r="K50" s="1552" t="s">
        <v>1014</v>
      </c>
      <c r="L50" s="1552" t="s">
        <v>1486</v>
      </c>
      <c r="M50" s="1552" t="s">
        <v>1502</v>
      </c>
      <c r="N50" s="1552" t="n">
        <v>79</v>
      </c>
      <c r="O50" s="1552" t="s">
        <v>1503</v>
      </c>
      <c r="P50" s="1552"/>
      <c r="Q50" s="1552"/>
      <c r="R50" s="1552"/>
      <c r="S50" s="1552"/>
      <c r="T50" s="1552"/>
      <c r="U50" s="1552"/>
      <c r="V50" s="1552"/>
      <c r="W50" s="1552"/>
      <c r="X50" s="1552"/>
      <c r="Y50" s="1552"/>
      <c r="Z50" s="1552"/>
      <c r="AA50" s="1552"/>
      <c r="AB50" s="1552"/>
      <c r="AC50" s="1552"/>
      <c r="AD50" s="1552"/>
      <c r="AE50" s="1552"/>
      <c r="AF50" s="1552"/>
      <c r="AG50" s="1552"/>
      <c r="AH50" s="1552"/>
      <c r="AI50" s="1552"/>
      <c r="AJ50" s="1552"/>
      <c r="AK50" s="1552"/>
      <c r="AL50" s="1552"/>
      <c r="AM50" s="1552"/>
      <c r="AN50" s="1552"/>
      <c r="AO50" s="1552"/>
      <c r="AP50" s="1552"/>
      <c r="AQ50" s="1552"/>
      <c r="AR50" s="1552"/>
      <c r="AS50" s="1552"/>
      <c r="AT50" s="1552"/>
      <c r="AU50" s="1552" t="n">
        <v>0</v>
      </c>
      <c r="AV50" s="1552"/>
      <c r="AW50" s="1552" t="n">
        <v>1</v>
      </c>
      <c r="AX50" s="1552"/>
    </row>
    <row r="51" customFormat="false" ht="14.25" hidden="false" customHeight="false" outlineLevel="0" collapsed="false">
      <c r="A51" s="1552" t="n">
        <v>50</v>
      </c>
      <c r="B51" s="1552" t="s">
        <v>151</v>
      </c>
      <c r="C51" s="1552" t="n">
        <v>233</v>
      </c>
      <c r="D51" s="1552" t="n">
        <v>0</v>
      </c>
      <c r="E51" s="1552" t="n">
        <v>0</v>
      </c>
      <c r="F51" s="1552" t="n">
        <v>3</v>
      </c>
      <c r="G51" s="1552" t="n">
        <v>268</v>
      </c>
      <c r="H51" s="1552" t="n">
        <v>1</v>
      </c>
      <c r="I51" s="1552" t="n">
        <v>39</v>
      </c>
      <c r="J51" s="1552" t="n">
        <v>52</v>
      </c>
      <c r="K51" s="1552" t="s">
        <v>1020</v>
      </c>
      <c r="L51" s="1552" t="s">
        <v>1486</v>
      </c>
      <c r="M51" s="1552" t="s">
        <v>1504</v>
      </c>
      <c r="N51" s="1552" t="n">
        <v>6</v>
      </c>
      <c r="O51" s="1552" t="s">
        <v>1505</v>
      </c>
      <c r="P51" s="1552"/>
      <c r="Q51" s="1552"/>
      <c r="R51" s="1552"/>
      <c r="S51" s="1552"/>
      <c r="T51" s="1552"/>
      <c r="U51" s="1552"/>
      <c r="V51" s="1552" t="n">
        <v>1</v>
      </c>
      <c r="W51" s="1552" t="s">
        <v>1487</v>
      </c>
      <c r="X51" s="1552"/>
      <c r="Y51" s="1552"/>
      <c r="Z51" s="1552"/>
      <c r="AA51" s="1552"/>
      <c r="AB51" s="1552"/>
      <c r="AC51" s="1552"/>
      <c r="AD51" s="1552"/>
      <c r="AE51" s="1552"/>
      <c r="AF51" s="1552"/>
      <c r="AG51" s="1552"/>
      <c r="AH51" s="1552"/>
      <c r="AI51" s="1552"/>
      <c r="AJ51" s="1552"/>
      <c r="AK51" s="1552"/>
      <c r="AL51" s="1552"/>
      <c r="AM51" s="1552"/>
      <c r="AN51" s="1552"/>
      <c r="AO51" s="1552"/>
      <c r="AP51" s="1552"/>
      <c r="AQ51" s="1552"/>
      <c r="AR51" s="1552"/>
      <c r="AS51" s="1552"/>
      <c r="AT51" s="1552"/>
      <c r="AU51" s="1552" t="n">
        <v>0</v>
      </c>
      <c r="AV51" s="1552"/>
      <c r="AW51" s="1552" t="n">
        <v>1</v>
      </c>
      <c r="AX51" s="1552"/>
    </row>
    <row r="52" customFormat="false" ht="14.25" hidden="false" customHeight="false" outlineLevel="0" collapsed="false">
      <c r="A52" s="1552" t="n">
        <v>51</v>
      </c>
      <c r="B52" s="1552" t="s">
        <v>151</v>
      </c>
      <c r="C52" s="1552" t="n">
        <v>233</v>
      </c>
      <c r="D52" s="1552" t="n">
        <v>0</v>
      </c>
      <c r="E52" s="1552" t="n">
        <v>0</v>
      </c>
      <c r="F52" s="1552" t="n">
        <v>9</v>
      </c>
      <c r="G52" s="1552" t="n">
        <v>376</v>
      </c>
      <c r="H52" s="1552" t="n">
        <v>3</v>
      </c>
      <c r="I52" s="1552" t="n">
        <v>40</v>
      </c>
      <c r="J52" s="1552" t="n">
        <v>68</v>
      </c>
      <c r="K52" s="1552" t="s">
        <v>1026</v>
      </c>
      <c r="L52" s="1552" t="s">
        <v>1486</v>
      </c>
      <c r="M52" s="1552" t="s">
        <v>1494</v>
      </c>
      <c r="N52" s="1552" t="n">
        <v>6</v>
      </c>
      <c r="O52" s="1552" t="s">
        <v>1506</v>
      </c>
      <c r="P52" s="1552"/>
      <c r="Q52" s="1552"/>
      <c r="R52" s="1552"/>
      <c r="S52" s="1552"/>
      <c r="T52" s="1552"/>
      <c r="U52" s="1552"/>
      <c r="V52" s="1552"/>
      <c r="W52" s="1552"/>
      <c r="X52" s="1552"/>
      <c r="Y52" s="1552"/>
      <c r="Z52" s="1552"/>
      <c r="AA52" s="1552"/>
      <c r="AB52" s="1552"/>
      <c r="AC52" s="1552"/>
      <c r="AD52" s="1552"/>
      <c r="AE52" s="1552"/>
      <c r="AF52" s="1552"/>
      <c r="AG52" s="1552"/>
      <c r="AH52" s="1552"/>
      <c r="AI52" s="1552"/>
      <c r="AJ52" s="1552"/>
      <c r="AK52" s="1552"/>
      <c r="AL52" s="1552"/>
      <c r="AM52" s="1552"/>
      <c r="AN52" s="1552"/>
      <c r="AO52" s="1552"/>
      <c r="AP52" s="1552"/>
      <c r="AQ52" s="1552"/>
      <c r="AR52" s="1552"/>
      <c r="AS52" s="1552"/>
      <c r="AT52" s="1552"/>
      <c r="AU52" s="1552"/>
      <c r="AV52" s="1552"/>
      <c r="AW52" s="1552" t="n">
        <v>1</v>
      </c>
      <c r="AX52" s="1552"/>
    </row>
    <row r="53" customFormat="false" ht="14.25" hidden="false" customHeight="false" outlineLevel="0" collapsed="false">
      <c r="A53" s="1552" t="n">
        <v>52</v>
      </c>
      <c r="B53" s="1552" t="s">
        <v>151</v>
      </c>
      <c r="C53" s="1552" t="n">
        <v>233</v>
      </c>
      <c r="D53" s="1552" t="n">
        <v>0</v>
      </c>
      <c r="E53" s="1552" t="n">
        <v>0</v>
      </c>
      <c r="F53" s="1552" t="n">
        <v>9</v>
      </c>
      <c r="G53" s="1552" t="n">
        <v>69</v>
      </c>
      <c r="H53" s="1552" t="n">
        <v>3</v>
      </c>
      <c r="I53" s="1552" t="n">
        <v>42</v>
      </c>
      <c r="J53" s="1552" t="n">
        <v>68</v>
      </c>
      <c r="K53" s="1552" t="s">
        <v>1026</v>
      </c>
      <c r="L53" s="1552" t="s">
        <v>1486</v>
      </c>
      <c r="M53" s="1552" t="s">
        <v>1494</v>
      </c>
      <c r="N53" s="1552" t="n">
        <v>8</v>
      </c>
      <c r="O53" s="1552" t="s">
        <v>1507</v>
      </c>
      <c r="P53" s="1552"/>
      <c r="Q53" s="1552"/>
      <c r="R53" s="1552"/>
      <c r="S53" s="1552"/>
      <c r="T53" s="1552"/>
      <c r="U53" s="1552"/>
      <c r="V53" s="1552"/>
      <c r="W53" s="1552"/>
      <c r="X53" s="1552"/>
      <c r="Y53" s="1552"/>
      <c r="Z53" s="1552"/>
      <c r="AA53" s="1552"/>
      <c r="AB53" s="1552"/>
      <c r="AC53" s="1552"/>
      <c r="AD53" s="1552"/>
      <c r="AE53" s="1552"/>
      <c r="AF53" s="1552"/>
      <c r="AG53" s="1552"/>
      <c r="AH53" s="1552"/>
      <c r="AI53" s="1552"/>
      <c r="AJ53" s="1552"/>
      <c r="AK53" s="1552"/>
      <c r="AL53" s="1552"/>
      <c r="AM53" s="1552"/>
      <c r="AN53" s="1552"/>
      <c r="AO53" s="1552"/>
      <c r="AP53" s="1552"/>
      <c r="AQ53" s="1552"/>
      <c r="AR53" s="1552"/>
      <c r="AS53" s="1552"/>
      <c r="AT53" s="1552"/>
      <c r="AU53" s="1552"/>
      <c r="AV53" s="1552"/>
      <c r="AW53" s="1552" t="n">
        <v>1</v>
      </c>
      <c r="AX53" s="1552"/>
    </row>
    <row r="54" customFormat="false" ht="14.25" hidden="false" customHeight="false" outlineLevel="0" collapsed="false">
      <c r="A54" s="1552" t="n">
        <v>53</v>
      </c>
      <c r="B54" s="1552" t="s">
        <v>151</v>
      </c>
      <c r="C54" s="1552" t="n">
        <v>233</v>
      </c>
      <c r="D54" s="1552" t="n">
        <v>0</v>
      </c>
      <c r="E54" s="1552" t="n">
        <v>0</v>
      </c>
      <c r="F54" s="1552" t="n">
        <v>9</v>
      </c>
      <c r="G54" s="1552" t="n">
        <v>376</v>
      </c>
      <c r="H54" s="1552" t="n">
        <v>1</v>
      </c>
      <c r="I54" s="1552" t="n">
        <v>41</v>
      </c>
      <c r="J54" s="1552" t="n">
        <v>68</v>
      </c>
      <c r="K54" s="1552" t="s">
        <v>1026</v>
      </c>
      <c r="L54" s="1552" t="s">
        <v>1486</v>
      </c>
      <c r="M54" s="1552" t="s">
        <v>1494</v>
      </c>
      <c r="N54" s="1552" t="n">
        <v>6</v>
      </c>
      <c r="O54" s="1552" t="s">
        <v>1506</v>
      </c>
      <c r="P54" s="1552"/>
      <c r="Q54" s="1552"/>
      <c r="R54" s="1552"/>
      <c r="S54" s="1552"/>
      <c r="T54" s="1552"/>
      <c r="U54" s="1552"/>
      <c r="V54" s="1552"/>
      <c r="W54" s="1552"/>
      <c r="X54" s="1552"/>
      <c r="Y54" s="1552"/>
      <c r="Z54" s="1552"/>
      <c r="AA54" s="1552"/>
      <c r="AB54" s="1552"/>
      <c r="AC54" s="1552"/>
      <c r="AD54" s="1552"/>
      <c r="AE54" s="1552"/>
      <c r="AF54" s="1552"/>
      <c r="AG54" s="1552"/>
      <c r="AH54" s="1552"/>
      <c r="AI54" s="1552"/>
      <c r="AJ54" s="1552"/>
      <c r="AK54" s="1552"/>
      <c r="AL54" s="1552"/>
      <c r="AM54" s="1552"/>
      <c r="AN54" s="1552"/>
      <c r="AO54" s="1552"/>
      <c r="AP54" s="1552"/>
      <c r="AQ54" s="1552"/>
      <c r="AR54" s="1552"/>
      <c r="AS54" s="1552"/>
      <c r="AT54" s="1552"/>
      <c r="AU54" s="1552"/>
      <c r="AV54" s="1552"/>
      <c r="AW54" s="1552" t="n">
        <v>1</v>
      </c>
      <c r="AX54" s="1552"/>
    </row>
    <row r="55" customFormat="false" ht="14.25" hidden="false" customHeight="false" outlineLevel="0" collapsed="false">
      <c r="A55" s="1552" t="n">
        <v>54</v>
      </c>
      <c r="B55" s="1552" t="s">
        <v>151</v>
      </c>
      <c r="C55" s="1552" t="n">
        <v>233</v>
      </c>
      <c r="D55" s="1552" t="n">
        <v>0</v>
      </c>
      <c r="E55" s="1552" t="n">
        <v>0</v>
      </c>
      <c r="F55" s="1552" t="n">
        <v>9</v>
      </c>
      <c r="G55" s="1552" t="n">
        <v>69</v>
      </c>
      <c r="H55" s="1552" t="n">
        <v>1</v>
      </c>
      <c r="I55" s="1552" t="n">
        <v>43</v>
      </c>
      <c r="J55" s="1552" t="n">
        <v>68</v>
      </c>
      <c r="K55" s="1552" t="s">
        <v>1026</v>
      </c>
      <c r="L55" s="1552" t="s">
        <v>1486</v>
      </c>
      <c r="M55" s="1552" t="s">
        <v>1494</v>
      </c>
      <c r="N55" s="1552" t="n">
        <v>8</v>
      </c>
      <c r="O55" s="1552" t="s">
        <v>1507</v>
      </c>
      <c r="P55" s="1552"/>
      <c r="Q55" s="1552"/>
      <c r="R55" s="1552"/>
      <c r="S55" s="1552"/>
      <c r="T55" s="1552"/>
      <c r="U55" s="1552"/>
      <c r="V55" s="1552"/>
      <c r="W55" s="1552"/>
      <c r="X55" s="1552"/>
      <c r="Y55" s="1552"/>
      <c r="Z55" s="1552"/>
      <c r="AA55" s="1552"/>
      <c r="AB55" s="1552"/>
      <c r="AC55" s="1552"/>
      <c r="AD55" s="1552"/>
      <c r="AE55" s="1552"/>
      <c r="AF55" s="1552"/>
      <c r="AG55" s="1552"/>
      <c r="AH55" s="1552"/>
      <c r="AI55" s="1552"/>
      <c r="AJ55" s="1552"/>
      <c r="AK55" s="1552"/>
      <c r="AL55" s="1552"/>
      <c r="AM55" s="1552"/>
      <c r="AN55" s="1552"/>
      <c r="AO55" s="1552"/>
      <c r="AP55" s="1552"/>
      <c r="AQ55" s="1552"/>
      <c r="AR55" s="1552"/>
      <c r="AS55" s="1552"/>
      <c r="AT55" s="1552"/>
      <c r="AU55" s="1552"/>
      <c r="AV55" s="1552"/>
      <c r="AW55" s="1552" t="n">
        <v>1</v>
      </c>
      <c r="AX55" s="1552"/>
    </row>
    <row r="56" customFormat="false" ht="14.25" hidden="false" customHeight="false" outlineLevel="0" collapsed="false">
      <c r="A56" s="1552" t="n">
        <v>55</v>
      </c>
      <c r="B56" s="1552" t="s">
        <v>151</v>
      </c>
      <c r="C56" s="1552" t="n">
        <v>233</v>
      </c>
      <c r="D56" s="1552" t="n">
        <v>0</v>
      </c>
      <c r="E56" s="1552" t="n">
        <v>0</v>
      </c>
      <c r="F56" s="1552" t="n">
        <v>9</v>
      </c>
      <c r="G56" s="1552" t="n">
        <v>223</v>
      </c>
      <c r="H56" s="1552" t="n">
        <v>2</v>
      </c>
      <c r="I56" s="1552" t="n">
        <v>44</v>
      </c>
      <c r="J56" s="1552" t="n">
        <v>102</v>
      </c>
      <c r="K56" s="1552" t="s">
        <v>1050</v>
      </c>
      <c r="L56" s="1552" t="s">
        <v>1486</v>
      </c>
      <c r="M56" s="1552" t="s">
        <v>1508</v>
      </c>
      <c r="N56" s="1552" t="n">
        <v>80</v>
      </c>
      <c r="O56" s="1552" t="s">
        <v>1509</v>
      </c>
      <c r="P56" s="1552"/>
      <c r="Q56" s="1552"/>
      <c r="R56" s="1552"/>
      <c r="S56" s="1552"/>
      <c r="T56" s="1552"/>
      <c r="U56" s="1552"/>
      <c r="V56" s="1552" t="n">
        <v>1</v>
      </c>
      <c r="W56" s="1552" t="s">
        <v>1487</v>
      </c>
      <c r="X56" s="1552" t="n">
        <v>1</v>
      </c>
      <c r="Y56" s="1552" t="s">
        <v>1510</v>
      </c>
      <c r="Z56" s="1552"/>
      <c r="AA56" s="1552"/>
      <c r="AB56" s="1552"/>
      <c r="AC56" s="1552"/>
      <c r="AD56" s="1552"/>
      <c r="AE56" s="1552"/>
      <c r="AF56" s="1552"/>
      <c r="AG56" s="1552"/>
      <c r="AH56" s="1552"/>
      <c r="AI56" s="1552"/>
      <c r="AJ56" s="1552"/>
      <c r="AK56" s="1552"/>
      <c r="AL56" s="1552"/>
      <c r="AM56" s="1552"/>
      <c r="AN56" s="1552"/>
      <c r="AO56" s="1552"/>
      <c r="AP56" s="1552"/>
      <c r="AQ56" s="1552"/>
      <c r="AR56" s="1552"/>
      <c r="AS56" s="1552"/>
      <c r="AT56" s="1552"/>
      <c r="AU56" s="1552" t="n">
        <v>0</v>
      </c>
      <c r="AV56" s="1552"/>
      <c r="AW56" s="1552"/>
      <c r="AX56" s="1552"/>
    </row>
    <row r="57" customFormat="false" ht="14.25" hidden="false" customHeight="false" outlineLevel="0" collapsed="false">
      <c r="A57" s="1552" t="n">
        <v>56</v>
      </c>
      <c r="B57" s="1552" t="s">
        <v>151</v>
      </c>
      <c r="C57" s="1552" t="n">
        <v>233</v>
      </c>
      <c r="D57" s="1552" t="n">
        <v>0</v>
      </c>
      <c r="E57" s="1552" t="n">
        <v>0</v>
      </c>
      <c r="F57" s="1552" t="n">
        <v>9</v>
      </c>
      <c r="G57" s="1552" t="n">
        <v>223</v>
      </c>
      <c r="H57" s="1552" t="n">
        <v>3</v>
      </c>
      <c r="I57" s="1552" t="n">
        <v>45</v>
      </c>
      <c r="J57" s="1552" t="n">
        <v>102</v>
      </c>
      <c r="K57" s="1552" t="s">
        <v>1050</v>
      </c>
      <c r="L57" s="1552" t="s">
        <v>1486</v>
      </c>
      <c r="M57" s="1552" t="s">
        <v>1508</v>
      </c>
      <c r="N57" s="1552" t="n">
        <v>198</v>
      </c>
      <c r="O57" s="1552" t="s">
        <v>1511</v>
      </c>
      <c r="P57" s="1552"/>
      <c r="Q57" s="1552"/>
      <c r="R57" s="1552"/>
      <c r="S57" s="1552"/>
      <c r="T57" s="1552"/>
      <c r="U57" s="1552"/>
      <c r="V57" s="1552" t="n">
        <v>1</v>
      </c>
      <c r="W57" s="1552" t="s">
        <v>1487</v>
      </c>
      <c r="X57" s="1552" t="n">
        <v>1</v>
      </c>
      <c r="Y57" s="1552" t="s">
        <v>1510</v>
      </c>
      <c r="Z57" s="1552"/>
      <c r="AA57" s="1552"/>
      <c r="AB57" s="1552"/>
      <c r="AC57" s="1552"/>
      <c r="AD57" s="1552"/>
      <c r="AE57" s="1552"/>
      <c r="AF57" s="1552"/>
      <c r="AG57" s="1552"/>
      <c r="AH57" s="1552"/>
      <c r="AI57" s="1552"/>
      <c r="AJ57" s="1552"/>
      <c r="AK57" s="1552"/>
      <c r="AL57" s="1552"/>
      <c r="AM57" s="1552"/>
      <c r="AN57" s="1552"/>
      <c r="AO57" s="1552"/>
      <c r="AP57" s="1552"/>
      <c r="AQ57" s="1552"/>
      <c r="AR57" s="1552"/>
      <c r="AS57" s="1552"/>
      <c r="AT57" s="1552"/>
      <c r="AU57" s="1552" t="n">
        <v>0</v>
      </c>
      <c r="AV57" s="1552"/>
      <c r="AW57" s="1552"/>
      <c r="AX57" s="1552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675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ColWidth="11.8828125" defaultRowHeight="14.25" zeroHeight="false" outlineLevelRow="0" outlineLevelCol="0"/>
  <cols>
    <col collapsed="false" customWidth="true" hidden="false" outlineLevel="0" max="1" min="1" style="2" width="12.63"/>
    <col collapsed="false" customWidth="true" hidden="false" outlineLevel="0" max="2" min="2" style="2" width="20.38"/>
    <col collapsed="false" customWidth="true" hidden="false" outlineLevel="0" max="3" min="3" style="2" width="12.63"/>
    <col collapsed="false" customWidth="true" hidden="false" outlineLevel="0" max="4" min="4" style="2" width="18.63"/>
    <col collapsed="false" customWidth="true" hidden="false" outlineLevel="0" max="5" min="5" style="2" width="10"/>
    <col collapsed="false" customWidth="true" hidden="false" outlineLevel="0" max="6" min="6" style="2" width="38.13"/>
    <col collapsed="false" customWidth="true" hidden="false" outlineLevel="0" max="7" min="7" style="2" width="12.13"/>
    <col collapsed="false" customWidth="true" hidden="false" outlineLevel="0" max="8" min="8" style="2" width="57.25"/>
    <col collapsed="false" customWidth="true" hidden="false" outlineLevel="0" max="9" min="9" style="2" width="16.75"/>
    <col collapsed="false" customWidth="true" hidden="false" outlineLevel="0" max="11" min="11" style="2" width="38.13"/>
  </cols>
  <sheetData>
    <row r="1" customFormat="false" ht="14.25" hidden="false" customHeight="false" outlineLevel="0" collapsed="false">
      <c r="A1" s="1553" t="s">
        <v>1512</v>
      </c>
      <c r="B1" s="1553" t="s">
        <v>1513</v>
      </c>
      <c r="C1" s="1553" t="s">
        <v>603</v>
      </c>
      <c r="D1" s="1553" t="s">
        <v>1514</v>
      </c>
      <c r="E1" s="1553" t="s">
        <v>1515</v>
      </c>
      <c r="F1" s="1554" t="s">
        <v>1516</v>
      </c>
      <c r="G1" s="1555" t="s">
        <v>1517</v>
      </c>
      <c r="H1" s="1553" t="s">
        <v>1518</v>
      </c>
      <c r="I1" s="1553" t="s">
        <v>1519</v>
      </c>
      <c r="K1" s="2" t="s">
        <v>1516</v>
      </c>
      <c r="L1" s="2" t="s">
        <v>1518</v>
      </c>
    </row>
    <row r="2" customFormat="false" ht="14.25" hidden="false" customHeight="false" outlineLevel="0" collapsed="false">
      <c r="A2" s="1556" t="n">
        <v>22</v>
      </c>
      <c r="B2" s="1556" t="s">
        <v>1520</v>
      </c>
      <c r="C2" s="1556" t="s">
        <v>712</v>
      </c>
      <c r="D2" s="1556" t="n">
        <v>22001</v>
      </c>
      <c r="E2" s="1556" t="n">
        <v>22001</v>
      </c>
      <c r="F2" s="1557" t="s">
        <v>1521</v>
      </c>
      <c r="G2" s="1558" t="n">
        <v>2</v>
      </c>
      <c r="H2" s="1556" t="s">
        <v>872</v>
      </c>
      <c r="I2" s="1556" t="n">
        <v>9020067</v>
      </c>
      <c r="K2" s="2" t="s">
        <v>1522</v>
      </c>
      <c r="L2" s="2" t="s">
        <v>1523</v>
      </c>
    </row>
    <row r="3" customFormat="false" ht="14.25" hidden="false" customHeight="false" outlineLevel="0" collapsed="false">
      <c r="A3" s="1556" t="n">
        <v>22</v>
      </c>
      <c r="B3" s="1556" t="s">
        <v>1524</v>
      </c>
      <c r="C3" s="1556" t="s">
        <v>712</v>
      </c>
      <c r="D3" s="1556" t="n">
        <v>22002</v>
      </c>
      <c r="E3" s="1556" t="n">
        <v>22002</v>
      </c>
      <c r="F3" s="1557" t="s">
        <v>1525</v>
      </c>
      <c r="G3" s="1558" t="n">
        <v>1</v>
      </c>
      <c r="H3" s="1556" t="s">
        <v>1523</v>
      </c>
      <c r="I3" s="1556" t="n">
        <v>9020066</v>
      </c>
      <c r="K3" s="2" t="s">
        <v>1526</v>
      </c>
      <c r="L3" s="2" t="s">
        <v>1523</v>
      </c>
    </row>
    <row r="4" customFormat="false" ht="14.25" hidden="false" customHeight="false" outlineLevel="0" collapsed="false">
      <c r="A4" s="1556" t="n">
        <v>22</v>
      </c>
      <c r="B4" s="1556" t="s">
        <v>1527</v>
      </c>
      <c r="C4" s="1556" t="s">
        <v>712</v>
      </c>
      <c r="D4" s="1556" t="n">
        <v>22005</v>
      </c>
      <c r="E4" s="1556" t="n">
        <v>22003</v>
      </c>
      <c r="F4" s="1557" t="s">
        <v>1528</v>
      </c>
      <c r="G4" s="1558" t="n">
        <v>1</v>
      </c>
      <c r="H4" s="1556" t="s">
        <v>1523</v>
      </c>
      <c r="I4" s="1556" t="n">
        <v>9020066</v>
      </c>
      <c r="K4" s="2" t="s">
        <v>1529</v>
      </c>
      <c r="L4" s="2" t="s">
        <v>1523</v>
      </c>
    </row>
    <row r="5" customFormat="false" ht="14.25" hidden="false" customHeight="false" outlineLevel="0" collapsed="false">
      <c r="A5" s="1556" t="n">
        <v>22</v>
      </c>
      <c r="B5" s="1556" t="s">
        <v>1530</v>
      </c>
      <c r="C5" s="1556" t="s">
        <v>712</v>
      </c>
      <c r="D5" s="1556" t="n">
        <v>22007</v>
      </c>
      <c r="E5" s="1556" t="n">
        <v>22004</v>
      </c>
      <c r="F5" s="1557" t="s">
        <v>1531</v>
      </c>
      <c r="G5" s="1558" t="n">
        <v>1</v>
      </c>
      <c r="H5" s="1556" t="s">
        <v>1523</v>
      </c>
      <c r="I5" s="1556" t="n">
        <v>9020066</v>
      </c>
      <c r="K5" s="2" t="s">
        <v>1521</v>
      </c>
      <c r="L5" s="2" t="s">
        <v>872</v>
      </c>
    </row>
    <row r="6" customFormat="false" ht="14.25" hidden="false" customHeight="false" outlineLevel="0" collapsed="false">
      <c r="A6" s="1556" t="n">
        <v>22</v>
      </c>
      <c r="B6" s="1556" t="s">
        <v>1532</v>
      </c>
      <c r="C6" s="1556" t="s">
        <v>712</v>
      </c>
      <c r="D6" s="1556" t="n">
        <v>22009</v>
      </c>
      <c r="E6" s="1556" t="n">
        <v>22907</v>
      </c>
      <c r="F6" s="1557" t="s">
        <v>1533</v>
      </c>
      <c r="G6" s="1558" t="n">
        <v>1</v>
      </c>
      <c r="H6" s="1556" t="s">
        <v>1523</v>
      </c>
      <c r="I6" s="1556" t="n">
        <v>9020066</v>
      </c>
      <c r="K6" s="2" t="s">
        <v>1525</v>
      </c>
      <c r="L6" s="2" t="s">
        <v>1523</v>
      </c>
    </row>
    <row r="7" customFormat="false" ht="14.25" hidden="false" customHeight="false" outlineLevel="0" collapsed="false">
      <c r="A7" s="1556" t="n">
        <v>22</v>
      </c>
      <c r="B7" s="1556" t="s">
        <v>1534</v>
      </c>
      <c r="C7" s="1556" t="s">
        <v>712</v>
      </c>
      <c r="D7" s="1556" t="n">
        <v>22010</v>
      </c>
      <c r="E7" s="1556" t="n">
        <v>22006</v>
      </c>
      <c r="F7" s="1557" t="s">
        <v>1535</v>
      </c>
      <c r="G7" s="1558" t="n">
        <v>1</v>
      </c>
      <c r="H7" s="1556" t="s">
        <v>1523</v>
      </c>
      <c r="I7" s="1556" t="n">
        <v>9020066</v>
      </c>
      <c r="K7" s="2" t="s">
        <v>1536</v>
      </c>
      <c r="L7" s="2" t="s">
        <v>1523</v>
      </c>
    </row>
    <row r="8" customFormat="false" ht="14.25" hidden="false" customHeight="false" outlineLevel="0" collapsed="false">
      <c r="A8" s="1556" t="n">
        <v>22</v>
      </c>
      <c r="B8" s="1556" t="s">
        <v>1537</v>
      </c>
      <c r="C8" s="1556" t="s">
        <v>712</v>
      </c>
      <c r="D8" s="1556" t="n">
        <v>22012</v>
      </c>
      <c r="E8" s="1556" t="n">
        <v>22008</v>
      </c>
      <c r="F8" s="1557" t="s">
        <v>1538</v>
      </c>
      <c r="G8" s="1558" t="n">
        <v>2</v>
      </c>
      <c r="H8" s="1556" t="s">
        <v>872</v>
      </c>
      <c r="I8" s="1556" t="n">
        <v>9020067</v>
      </c>
      <c r="K8" s="2" t="s">
        <v>1528</v>
      </c>
      <c r="L8" s="2" t="s">
        <v>1523</v>
      </c>
    </row>
    <row r="9" customFormat="false" ht="14.25" hidden="false" customHeight="false" outlineLevel="0" collapsed="false">
      <c r="A9" s="1556" t="n">
        <v>22</v>
      </c>
      <c r="B9" s="1556" t="s">
        <v>1539</v>
      </c>
      <c r="C9" s="1556" t="s">
        <v>712</v>
      </c>
      <c r="D9" s="1556" t="n">
        <v>22015</v>
      </c>
      <c r="E9" s="1556" t="n">
        <v>22011</v>
      </c>
      <c r="F9" s="1557" t="s">
        <v>1540</v>
      </c>
      <c r="G9" s="1558" t="n">
        <v>2</v>
      </c>
      <c r="H9" s="1556" t="s">
        <v>872</v>
      </c>
      <c r="I9" s="1556" t="n">
        <v>9020067</v>
      </c>
      <c r="K9" s="2" t="s">
        <v>606</v>
      </c>
      <c r="L9" s="2" t="s">
        <v>872</v>
      </c>
    </row>
    <row r="10" customFormat="false" ht="14.25" hidden="false" customHeight="false" outlineLevel="0" collapsed="false">
      <c r="A10" s="1556" t="n">
        <v>22</v>
      </c>
      <c r="B10" s="1556" t="s">
        <v>1541</v>
      </c>
      <c r="C10" s="1556" t="s">
        <v>712</v>
      </c>
      <c r="D10" s="1556" t="n">
        <v>22019</v>
      </c>
      <c r="E10" s="1556" t="n">
        <v>22014</v>
      </c>
      <c r="F10" s="1557" t="s">
        <v>1542</v>
      </c>
      <c r="G10" s="1558" t="n">
        <v>2</v>
      </c>
      <c r="H10" s="1556" t="s">
        <v>872</v>
      </c>
      <c r="I10" s="1556" t="n">
        <v>9020067</v>
      </c>
      <c r="K10" s="2" t="s">
        <v>1543</v>
      </c>
      <c r="L10" s="2" t="s">
        <v>1523</v>
      </c>
    </row>
    <row r="11" customFormat="false" ht="14.25" hidden="false" customHeight="false" outlineLevel="0" collapsed="false">
      <c r="A11" s="1556" t="n">
        <v>22</v>
      </c>
      <c r="B11" s="1556" t="s">
        <v>1544</v>
      </c>
      <c r="C11" s="1556" t="s">
        <v>712</v>
      </c>
      <c r="D11" s="1556" t="n">
        <v>22020</v>
      </c>
      <c r="E11" s="1556" t="n">
        <v>22015</v>
      </c>
      <c r="F11" s="1557" t="s">
        <v>1545</v>
      </c>
      <c r="G11" s="1558" t="n">
        <v>2</v>
      </c>
      <c r="H11" s="1556" t="s">
        <v>872</v>
      </c>
      <c r="I11" s="1556" t="n">
        <v>9020067</v>
      </c>
      <c r="K11" s="2" t="s">
        <v>1546</v>
      </c>
      <c r="L11" s="2" t="s">
        <v>1523</v>
      </c>
    </row>
    <row r="12" customFormat="false" ht="14.25" hidden="false" customHeight="false" outlineLevel="0" collapsed="false">
      <c r="A12" s="1556" t="n">
        <v>22</v>
      </c>
      <c r="B12" s="1556" t="s">
        <v>1547</v>
      </c>
      <c r="C12" s="1556" t="s">
        <v>712</v>
      </c>
      <c r="D12" s="1556" t="n">
        <v>22021</v>
      </c>
      <c r="E12" s="1556" t="n">
        <v>22016</v>
      </c>
      <c r="F12" s="1557" t="s">
        <v>1548</v>
      </c>
      <c r="G12" s="1558" t="n">
        <v>2</v>
      </c>
      <c r="H12" s="1556" t="s">
        <v>872</v>
      </c>
      <c r="I12" s="1556" t="n">
        <v>9020067</v>
      </c>
      <c r="K12" s="2" t="s">
        <v>1549</v>
      </c>
      <c r="L12" s="2" t="s">
        <v>1550</v>
      </c>
    </row>
    <row r="13" customFormat="false" ht="14.25" hidden="false" customHeight="false" outlineLevel="0" collapsed="false">
      <c r="A13" s="1556" t="n">
        <v>22</v>
      </c>
      <c r="B13" s="1556" t="s">
        <v>1551</v>
      </c>
      <c r="C13" s="1556" t="s">
        <v>712</v>
      </c>
      <c r="D13" s="1556" t="n">
        <v>22023</v>
      </c>
      <c r="E13" s="1556" t="n">
        <v>22018</v>
      </c>
      <c r="F13" s="1557" t="s">
        <v>1552</v>
      </c>
      <c r="G13" s="1558" t="n">
        <v>2</v>
      </c>
      <c r="H13" s="1556" t="s">
        <v>872</v>
      </c>
      <c r="I13" s="1556" t="n">
        <v>9020067</v>
      </c>
      <c r="K13" s="2" t="s">
        <v>1531</v>
      </c>
      <c r="L13" s="2" t="s">
        <v>1523</v>
      </c>
    </row>
    <row r="14" customFormat="false" ht="14.25" hidden="false" customHeight="false" outlineLevel="0" collapsed="false">
      <c r="A14" s="1556" t="n">
        <v>22</v>
      </c>
      <c r="B14" s="1556" t="s">
        <v>1553</v>
      </c>
      <c r="C14" s="1556" t="s">
        <v>712</v>
      </c>
      <c r="D14" s="1556" t="n">
        <v>22024</v>
      </c>
      <c r="E14" s="1556" t="n">
        <v>22019</v>
      </c>
      <c r="F14" s="1557" t="s">
        <v>1554</v>
      </c>
      <c r="G14" s="1558" t="n">
        <v>2</v>
      </c>
      <c r="H14" s="1556" t="s">
        <v>872</v>
      </c>
      <c r="I14" s="1556" t="n">
        <v>9020067</v>
      </c>
      <c r="K14" s="2" t="s">
        <v>1555</v>
      </c>
      <c r="L14" s="2" t="s">
        <v>1523</v>
      </c>
    </row>
    <row r="15" customFormat="false" ht="14.25" hidden="false" customHeight="false" outlineLevel="0" collapsed="false">
      <c r="A15" s="1556" t="n">
        <v>22</v>
      </c>
      <c r="B15" s="1556" t="s">
        <v>1556</v>
      </c>
      <c r="C15" s="1556" t="s">
        <v>712</v>
      </c>
      <c r="D15" s="1556" t="n">
        <v>22027</v>
      </c>
      <c r="E15" s="1556" t="n">
        <v>22021</v>
      </c>
      <c r="F15" s="1557" t="s">
        <v>1557</v>
      </c>
      <c r="G15" s="1558" t="n">
        <v>2</v>
      </c>
      <c r="H15" s="1556" t="s">
        <v>872</v>
      </c>
      <c r="I15" s="1556" t="n">
        <v>9020067</v>
      </c>
      <c r="K15" s="2" t="s">
        <v>1558</v>
      </c>
      <c r="L15" s="2" t="s">
        <v>1523</v>
      </c>
    </row>
    <row r="16" customFormat="false" ht="14.25" hidden="false" customHeight="false" outlineLevel="0" collapsed="false">
      <c r="A16" s="1556" t="n">
        <v>22</v>
      </c>
      <c r="B16" s="1556" t="s">
        <v>1559</v>
      </c>
      <c r="C16" s="1556" t="s">
        <v>712</v>
      </c>
      <c r="D16" s="1556" t="n">
        <v>22028</v>
      </c>
      <c r="E16" s="1556" t="n">
        <v>22022</v>
      </c>
      <c r="F16" s="1557" t="s">
        <v>1560</v>
      </c>
      <c r="G16" s="1558" t="n">
        <v>2</v>
      </c>
      <c r="H16" s="1556" t="s">
        <v>872</v>
      </c>
      <c r="I16" s="1556" t="n">
        <v>9020067</v>
      </c>
      <c r="K16" s="2" t="s">
        <v>1533</v>
      </c>
      <c r="L16" s="2" t="s">
        <v>1523</v>
      </c>
    </row>
    <row r="17" customFormat="false" ht="14.25" hidden="false" customHeight="false" outlineLevel="0" collapsed="false">
      <c r="A17" s="1556" t="n">
        <v>22</v>
      </c>
      <c r="B17" s="1556" t="s">
        <v>1561</v>
      </c>
      <c r="C17" s="1556" t="s">
        <v>712</v>
      </c>
      <c r="D17" s="1556" t="n">
        <v>22030</v>
      </c>
      <c r="E17" s="1556" t="n">
        <v>22024</v>
      </c>
      <c r="F17" s="1557" t="s">
        <v>1562</v>
      </c>
      <c r="G17" s="1558" t="n">
        <v>1</v>
      </c>
      <c r="H17" s="1556" t="s">
        <v>1523</v>
      </c>
      <c r="I17" s="1556" t="n">
        <v>9020066</v>
      </c>
      <c r="K17" s="2" t="s">
        <v>1563</v>
      </c>
      <c r="L17" s="2" t="s">
        <v>872</v>
      </c>
    </row>
    <row r="18" customFormat="false" ht="14.25" hidden="false" customHeight="false" outlineLevel="0" collapsed="false">
      <c r="A18" s="1556" t="n">
        <v>22</v>
      </c>
      <c r="B18" s="1556" t="s">
        <v>1564</v>
      </c>
      <c r="C18" s="1556" t="s">
        <v>712</v>
      </c>
      <c r="D18" s="1556" t="n">
        <v>22032</v>
      </c>
      <c r="E18" s="1556" t="n">
        <v>22027</v>
      </c>
      <c r="F18" s="1557" t="s">
        <v>1565</v>
      </c>
      <c r="G18" s="1558" t="n">
        <v>2</v>
      </c>
      <c r="H18" s="1556" t="s">
        <v>872</v>
      </c>
      <c r="I18" s="1556" t="n">
        <v>9020067</v>
      </c>
      <c r="K18" s="2" t="s">
        <v>1535</v>
      </c>
      <c r="L18" s="2" t="s">
        <v>1523</v>
      </c>
    </row>
    <row r="19" customFormat="false" ht="14.25" hidden="false" customHeight="false" outlineLevel="0" collapsed="false">
      <c r="A19" s="1556" t="n">
        <v>22</v>
      </c>
      <c r="B19" s="1556" t="s">
        <v>1566</v>
      </c>
      <c r="C19" s="1556" t="s">
        <v>712</v>
      </c>
      <c r="D19" s="1556" t="n">
        <v>22034</v>
      </c>
      <c r="E19" s="1556" t="n">
        <v>22028</v>
      </c>
      <c r="F19" s="1557" t="s">
        <v>1567</v>
      </c>
      <c r="G19" s="1558" t="n">
        <v>1</v>
      </c>
      <c r="H19" s="1556" t="s">
        <v>1523</v>
      </c>
      <c r="I19" s="1556" t="n">
        <v>9020066</v>
      </c>
      <c r="K19" s="2" t="s">
        <v>1568</v>
      </c>
      <c r="L19" s="2" t="s">
        <v>1523</v>
      </c>
    </row>
    <row r="20" customFormat="false" ht="14.25" hidden="false" customHeight="false" outlineLevel="0" collapsed="false">
      <c r="A20" s="1556" t="n">
        <v>22</v>
      </c>
      <c r="B20" s="1556" t="s">
        <v>1569</v>
      </c>
      <c r="C20" s="1556" t="s">
        <v>712</v>
      </c>
      <c r="D20" s="1556" t="n">
        <v>22035</v>
      </c>
      <c r="E20" s="1556" t="n">
        <v>22029</v>
      </c>
      <c r="F20" s="1557" t="s">
        <v>1570</v>
      </c>
      <c r="G20" s="1558" t="n">
        <v>2</v>
      </c>
      <c r="H20" s="1556" t="s">
        <v>872</v>
      </c>
      <c r="I20" s="1556" t="n">
        <v>9020067</v>
      </c>
      <c r="K20" s="2" t="s">
        <v>1571</v>
      </c>
      <c r="L20" s="2" t="s">
        <v>1523</v>
      </c>
    </row>
    <row r="21" customFormat="false" ht="14.25" hidden="false" customHeight="false" outlineLevel="0" collapsed="false">
      <c r="A21" s="1556" t="n">
        <v>22</v>
      </c>
      <c r="B21" s="1556" t="s">
        <v>1572</v>
      </c>
      <c r="C21" s="1556" t="s">
        <v>712</v>
      </c>
      <c r="D21" s="1556" t="n">
        <v>22039</v>
      </c>
      <c r="E21" s="1556" t="n">
        <v>22032</v>
      </c>
      <c r="F21" s="1557" t="s">
        <v>1573</v>
      </c>
      <c r="G21" s="1558" t="n">
        <v>1</v>
      </c>
      <c r="H21" s="1556" t="s">
        <v>1523</v>
      </c>
      <c r="I21" s="1556" t="n">
        <v>9020066</v>
      </c>
      <c r="K21" s="2" t="s">
        <v>1574</v>
      </c>
      <c r="L21" s="2" t="s">
        <v>1523</v>
      </c>
    </row>
    <row r="22" customFormat="false" ht="14.25" hidden="false" customHeight="false" outlineLevel="0" collapsed="false">
      <c r="A22" s="1556" t="n">
        <v>22</v>
      </c>
      <c r="B22" s="1556" t="s">
        <v>1575</v>
      </c>
      <c r="C22" s="1556" t="s">
        <v>712</v>
      </c>
      <c r="D22" s="1556" t="n">
        <v>22044</v>
      </c>
      <c r="E22" s="1556" t="n">
        <v>22035</v>
      </c>
      <c r="F22" s="1557" t="s">
        <v>1576</v>
      </c>
      <c r="G22" s="1558" t="n">
        <v>1</v>
      </c>
      <c r="H22" s="1556" t="s">
        <v>1523</v>
      </c>
      <c r="I22" s="1556" t="n">
        <v>9020066</v>
      </c>
      <c r="K22" s="2" t="s">
        <v>1577</v>
      </c>
      <c r="L22" s="2" t="s">
        <v>1523</v>
      </c>
    </row>
    <row r="23" customFormat="false" ht="14.25" hidden="false" customHeight="false" outlineLevel="0" collapsed="false">
      <c r="A23" s="1556" t="n">
        <v>22</v>
      </c>
      <c r="B23" s="1556" t="s">
        <v>1578</v>
      </c>
      <c r="C23" s="1556" t="s">
        <v>712</v>
      </c>
      <c r="D23" s="1556" t="n">
        <v>22045</v>
      </c>
      <c r="E23" s="1556" t="n">
        <v>22036</v>
      </c>
      <c r="F23" s="1557" t="s">
        <v>1579</v>
      </c>
      <c r="G23" s="1558" t="n">
        <v>2</v>
      </c>
      <c r="H23" s="1556" t="s">
        <v>872</v>
      </c>
      <c r="I23" s="1556" t="n">
        <v>9020067</v>
      </c>
      <c r="K23" s="2" t="s">
        <v>1580</v>
      </c>
      <c r="L23" s="2" t="s">
        <v>872</v>
      </c>
    </row>
    <row r="24" customFormat="false" ht="14.25" hidden="false" customHeight="false" outlineLevel="0" collapsed="false">
      <c r="A24" s="1556" t="n">
        <v>22</v>
      </c>
      <c r="B24" s="1556" t="s">
        <v>1581</v>
      </c>
      <c r="C24" s="1556" t="s">
        <v>712</v>
      </c>
      <c r="D24" s="1556" t="n">
        <v>22046</v>
      </c>
      <c r="E24" s="1556" t="n">
        <v>22037</v>
      </c>
      <c r="F24" s="1557" t="s">
        <v>1582</v>
      </c>
      <c r="G24" s="1558" t="n">
        <v>1</v>
      </c>
      <c r="H24" s="1556" t="s">
        <v>1523</v>
      </c>
      <c r="I24" s="1556" t="n">
        <v>9020066</v>
      </c>
      <c r="K24" s="2" t="s">
        <v>1538</v>
      </c>
      <c r="L24" s="2" t="s">
        <v>872</v>
      </c>
    </row>
    <row r="25" customFormat="false" ht="14.25" hidden="false" customHeight="false" outlineLevel="0" collapsed="false">
      <c r="A25" s="1556" t="n">
        <v>22</v>
      </c>
      <c r="B25" s="1556" t="s">
        <v>1583</v>
      </c>
      <c r="C25" s="1556" t="s">
        <v>712</v>
      </c>
      <c r="D25" s="1556" t="n">
        <v>22049</v>
      </c>
      <c r="E25" s="1556" t="n">
        <v>22039</v>
      </c>
      <c r="F25" s="1557" t="s">
        <v>1584</v>
      </c>
      <c r="G25" s="1558" t="n">
        <v>2</v>
      </c>
      <c r="H25" s="1556" t="s">
        <v>872</v>
      </c>
      <c r="I25" s="1556" t="n">
        <v>9020067</v>
      </c>
      <c r="K25" s="2" t="s">
        <v>1585</v>
      </c>
      <c r="L25" s="2" t="s">
        <v>1523</v>
      </c>
    </row>
    <row r="26" customFormat="false" ht="14.25" hidden="false" customHeight="false" outlineLevel="0" collapsed="false">
      <c r="A26" s="1556" t="n">
        <v>22</v>
      </c>
      <c r="B26" s="1556" t="s">
        <v>1586</v>
      </c>
      <c r="C26" s="1556" t="s">
        <v>712</v>
      </c>
      <c r="D26" s="1556" t="n">
        <v>22050</v>
      </c>
      <c r="E26" s="1556" t="n">
        <v>22040</v>
      </c>
      <c r="F26" s="1557" t="s">
        <v>1587</v>
      </c>
      <c r="G26" s="1558" t="n">
        <v>2</v>
      </c>
      <c r="H26" s="1556" t="s">
        <v>872</v>
      </c>
      <c r="I26" s="1556" t="n">
        <v>9020067</v>
      </c>
      <c r="K26" s="2" t="s">
        <v>1588</v>
      </c>
      <c r="L26" s="2" t="s">
        <v>1550</v>
      </c>
    </row>
    <row r="27" customFormat="false" ht="14.25" hidden="false" customHeight="false" outlineLevel="0" collapsed="false">
      <c r="A27" s="1556" t="n">
        <v>22</v>
      </c>
      <c r="B27" s="1556" t="s">
        <v>1589</v>
      </c>
      <c r="C27" s="1556" t="s">
        <v>712</v>
      </c>
      <c r="D27" s="1556" t="n">
        <v>22051</v>
      </c>
      <c r="E27" s="1556" t="n">
        <v>22041</v>
      </c>
      <c r="F27" s="1557" t="s">
        <v>1590</v>
      </c>
      <c r="G27" s="1558" t="n">
        <v>2</v>
      </c>
      <c r="H27" s="1556" t="s">
        <v>872</v>
      </c>
      <c r="I27" s="1556" t="n">
        <v>9020067</v>
      </c>
      <c r="K27" s="2" t="s">
        <v>1591</v>
      </c>
      <c r="L27" s="2" t="s">
        <v>872</v>
      </c>
    </row>
    <row r="28" customFormat="false" ht="14.25" hidden="false" customHeight="false" outlineLevel="0" collapsed="false">
      <c r="A28" s="1556" t="n">
        <v>22</v>
      </c>
      <c r="B28" s="1556" t="s">
        <v>1592</v>
      </c>
      <c r="C28" s="1556" t="s">
        <v>712</v>
      </c>
      <c r="D28" s="1556" t="n">
        <v>22052</v>
      </c>
      <c r="E28" s="1556" t="n">
        <v>22042</v>
      </c>
      <c r="F28" s="1557" t="s">
        <v>1593</v>
      </c>
      <c r="G28" s="1558" t="n">
        <v>2</v>
      </c>
      <c r="H28" s="1556" t="s">
        <v>872</v>
      </c>
      <c r="I28" s="1556" t="n">
        <v>9020067</v>
      </c>
      <c r="K28" s="2" t="s">
        <v>1540</v>
      </c>
      <c r="L28" s="2" t="s">
        <v>872</v>
      </c>
    </row>
    <row r="29" customFormat="false" ht="14.25" hidden="false" customHeight="false" outlineLevel="0" collapsed="false">
      <c r="A29" s="1556" t="n">
        <v>22</v>
      </c>
      <c r="B29" s="1556" t="s">
        <v>1594</v>
      </c>
      <c r="C29" s="1556" t="s">
        <v>712</v>
      </c>
      <c r="D29" s="1556" t="n">
        <v>22053</v>
      </c>
      <c r="E29" s="1556" t="n">
        <v>22043</v>
      </c>
      <c r="F29" s="1557" t="s">
        <v>1595</v>
      </c>
      <c r="G29" s="1558" t="n">
        <v>1</v>
      </c>
      <c r="H29" s="1556" t="s">
        <v>1523</v>
      </c>
      <c r="I29" s="1556" t="n">
        <v>9020066</v>
      </c>
      <c r="K29" s="2" t="s">
        <v>1596</v>
      </c>
      <c r="L29" s="2" t="s">
        <v>872</v>
      </c>
    </row>
    <row r="30" customFormat="false" ht="14.25" hidden="false" customHeight="false" outlineLevel="0" collapsed="false">
      <c r="A30" s="1556" t="n">
        <v>22</v>
      </c>
      <c r="B30" s="1556" t="s">
        <v>1597</v>
      </c>
      <c r="C30" s="1556" t="s">
        <v>712</v>
      </c>
      <c r="D30" s="1556" t="n">
        <v>22054</v>
      </c>
      <c r="E30" s="1556" t="n">
        <v>22044</v>
      </c>
      <c r="F30" s="1557" t="s">
        <v>1598</v>
      </c>
      <c r="G30" s="1558" t="n">
        <v>1</v>
      </c>
      <c r="H30" s="1556" t="s">
        <v>1523</v>
      </c>
      <c r="I30" s="1556" t="n">
        <v>9020066</v>
      </c>
      <c r="K30" s="2" t="s">
        <v>1599</v>
      </c>
      <c r="L30" s="2" t="s">
        <v>872</v>
      </c>
    </row>
    <row r="31" customFormat="false" ht="14.25" hidden="false" customHeight="false" outlineLevel="0" collapsed="false">
      <c r="A31" s="1556" t="n">
        <v>22</v>
      </c>
      <c r="B31" s="1556" t="s">
        <v>1600</v>
      </c>
      <c r="C31" s="1556" t="s">
        <v>712</v>
      </c>
      <c r="D31" s="1556" t="n">
        <v>22055</v>
      </c>
      <c r="E31" s="1556" t="n">
        <v>22045</v>
      </c>
      <c r="F31" s="1557" t="s">
        <v>1601</v>
      </c>
      <c r="G31" s="1558" t="n">
        <v>1</v>
      </c>
      <c r="H31" s="1556" t="s">
        <v>1523</v>
      </c>
      <c r="I31" s="1556" t="n">
        <v>9020066</v>
      </c>
      <c r="K31" s="2" t="s">
        <v>1602</v>
      </c>
      <c r="L31" s="2" t="s">
        <v>1523</v>
      </c>
    </row>
    <row r="32" customFormat="false" ht="14.25" hidden="false" customHeight="false" outlineLevel="0" collapsed="false">
      <c r="A32" s="1556" t="n">
        <v>22</v>
      </c>
      <c r="B32" s="1556" t="s">
        <v>1603</v>
      </c>
      <c r="C32" s="1556" t="s">
        <v>712</v>
      </c>
      <c r="D32" s="1556" t="n">
        <v>22056</v>
      </c>
      <c r="E32" s="1556" t="n">
        <v>22046</v>
      </c>
      <c r="F32" s="1557" t="s">
        <v>1604</v>
      </c>
      <c r="G32" s="1558" t="n">
        <v>2</v>
      </c>
      <c r="H32" s="1556" t="s">
        <v>872</v>
      </c>
      <c r="I32" s="1556" t="n">
        <v>9020067</v>
      </c>
      <c r="K32" s="2" t="s">
        <v>1542</v>
      </c>
      <c r="L32" s="2" t="s">
        <v>872</v>
      </c>
    </row>
    <row r="33" customFormat="false" ht="14.25" hidden="false" customHeight="false" outlineLevel="0" collapsed="false">
      <c r="A33" s="1556" t="n">
        <v>22</v>
      </c>
      <c r="B33" s="1556" t="s">
        <v>1605</v>
      </c>
      <c r="C33" s="1556" t="s">
        <v>712</v>
      </c>
      <c r="D33" s="1556" t="n">
        <v>22059</v>
      </c>
      <c r="E33" s="1556" t="n">
        <v>22047</v>
      </c>
      <c r="F33" s="1557" t="s">
        <v>1606</v>
      </c>
      <c r="G33" s="1558" t="n">
        <v>2</v>
      </c>
      <c r="H33" s="1556" t="s">
        <v>872</v>
      </c>
      <c r="I33" s="1556" t="n">
        <v>9020067</v>
      </c>
      <c r="K33" s="2" t="s">
        <v>1607</v>
      </c>
      <c r="L33" s="2" t="s">
        <v>1523</v>
      </c>
    </row>
    <row r="34" customFormat="false" ht="14.25" hidden="false" customHeight="false" outlineLevel="0" collapsed="false">
      <c r="A34" s="1556" t="n">
        <v>22</v>
      </c>
      <c r="B34" s="1556" t="s">
        <v>1608</v>
      </c>
      <c r="C34" s="1556" t="s">
        <v>712</v>
      </c>
      <c r="D34" s="1556" t="n">
        <v>22061</v>
      </c>
      <c r="E34" s="1556" t="n">
        <v>22048</v>
      </c>
      <c r="F34" s="1557" t="s">
        <v>1609</v>
      </c>
      <c r="G34" s="1558" t="n">
        <v>2</v>
      </c>
      <c r="H34" s="1556" t="s">
        <v>872</v>
      </c>
      <c r="I34" s="1556" t="n">
        <v>9020067</v>
      </c>
      <c r="K34" s="2" t="s">
        <v>1610</v>
      </c>
      <c r="L34" s="2" t="s">
        <v>1523</v>
      </c>
    </row>
    <row r="35" customFormat="false" ht="14.25" hidden="false" customHeight="false" outlineLevel="0" collapsed="false">
      <c r="A35" s="1556" t="n">
        <v>22</v>
      </c>
      <c r="B35" s="1556" t="s">
        <v>1611</v>
      </c>
      <c r="C35" s="1556" t="s">
        <v>712</v>
      </c>
      <c r="D35" s="1556" t="n">
        <v>22064</v>
      </c>
      <c r="E35" s="1556" t="n">
        <v>22050</v>
      </c>
      <c r="F35" s="1557" t="s">
        <v>1612</v>
      </c>
      <c r="G35" s="1558" t="n">
        <v>2</v>
      </c>
      <c r="H35" s="1556" t="s">
        <v>872</v>
      </c>
      <c r="I35" s="1556" t="n">
        <v>9020067</v>
      </c>
      <c r="K35" s="2" t="s">
        <v>1545</v>
      </c>
      <c r="L35" s="2" t="s">
        <v>872</v>
      </c>
    </row>
    <row r="36" customFormat="false" ht="14.25" hidden="false" customHeight="false" outlineLevel="0" collapsed="false">
      <c r="A36" s="1556" t="n">
        <v>22</v>
      </c>
      <c r="B36" s="1556" t="s">
        <v>1613</v>
      </c>
      <c r="C36" s="1556" t="s">
        <v>712</v>
      </c>
      <c r="D36" s="1556" t="n">
        <v>22065</v>
      </c>
      <c r="E36" s="1556" t="n">
        <v>22051</v>
      </c>
      <c r="F36" s="1557" t="s">
        <v>1614</v>
      </c>
      <c r="G36" s="1558" t="n">
        <v>1</v>
      </c>
      <c r="H36" s="1556" t="s">
        <v>1523</v>
      </c>
      <c r="I36" s="1556" t="n">
        <v>9020066</v>
      </c>
      <c r="K36" s="2" t="s">
        <v>1548</v>
      </c>
      <c r="L36" s="2" t="s">
        <v>872</v>
      </c>
    </row>
    <row r="37" customFormat="false" ht="14.25" hidden="false" customHeight="false" outlineLevel="0" collapsed="false">
      <c r="A37" s="1556" t="n">
        <v>22</v>
      </c>
      <c r="B37" s="1556" t="s">
        <v>1615</v>
      </c>
      <c r="C37" s="1556" t="s">
        <v>712</v>
      </c>
      <c r="D37" s="1556" t="n">
        <v>22068</v>
      </c>
      <c r="E37" s="1556" t="n">
        <v>22053</v>
      </c>
      <c r="F37" s="1557" t="s">
        <v>1616</v>
      </c>
      <c r="G37" s="1558" t="n">
        <v>1</v>
      </c>
      <c r="H37" s="1556" t="s">
        <v>1523</v>
      </c>
      <c r="I37" s="1556" t="n">
        <v>9020066</v>
      </c>
      <c r="K37" s="2" t="s">
        <v>1617</v>
      </c>
      <c r="L37" s="2" t="s">
        <v>872</v>
      </c>
    </row>
    <row r="38" customFormat="false" ht="14.25" hidden="false" customHeight="false" outlineLevel="0" collapsed="false">
      <c r="A38" s="1556" t="n">
        <v>22</v>
      </c>
      <c r="B38" s="1556" t="s">
        <v>1618</v>
      </c>
      <c r="C38" s="1556" t="s">
        <v>712</v>
      </c>
      <c r="D38" s="1556" t="n">
        <v>22069</v>
      </c>
      <c r="E38" s="1556" t="n">
        <v>22054</v>
      </c>
      <c r="F38" s="1557" t="s">
        <v>1619</v>
      </c>
      <c r="G38" s="1558" t="n">
        <v>1</v>
      </c>
      <c r="H38" s="1556" t="s">
        <v>1523</v>
      </c>
      <c r="I38" s="1556" t="n">
        <v>9020066</v>
      </c>
      <c r="K38" s="2" t="s">
        <v>1620</v>
      </c>
      <c r="L38" s="2" t="s">
        <v>872</v>
      </c>
    </row>
    <row r="39" customFormat="false" ht="14.25" hidden="false" customHeight="false" outlineLevel="0" collapsed="false">
      <c r="A39" s="1556" t="n">
        <v>22</v>
      </c>
      <c r="B39" s="1556" t="s">
        <v>1621</v>
      </c>
      <c r="C39" s="1556" t="s">
        <v>712</v>
      </c>
      <c r="D39" s="1556" t="n">
        <v>22072</v>
      </c>
      <c r="E39" s="1556" t="n">
        <v>22055</v>
      </c>
      <c r="F39" s="1557" t="s">
        <v>1622</v>
      </c>
      <c r="G39" s="1558" t="n">
        <v>2</v>
      </c>
      <c r="H39" s="1556" t="s">
        <v>872</v>
      </c>
      <c r="I39" s="1556" t="n">
        <v>9020067</v>
      </c>
      <c r="K39" s="2" t="s">
        <v>1623</v>
      </c>
      <c r="L39" s="2" t="s">
        <v>872</v>
      </c>
    </row>
    <row r="40" customFormat="false" ht="14.25" hidden="false" customHeight="false" outlineLevel="0" collapsed="false">
      <c r="A40" s="1556" t="n">
        <v>22</v>
      </c>
      <c r="B40" s="1556" t="s">
        <v>1624</v>
      </c>
      <c r="C40" s="1556" t="s">
        <v>712</v>
      </c>
      <c r="D40" s="1556" t="n">
        <v>22079</v>
      </c>
      <c r="E40" s="1556" t="n">
        <v>22057</v>
      </c>
      <c r="F40" s="1557" t="s">
        <v>1625</v>
      </c>
      <c r="G40" s="1558" t="n">
        <v>1</v>
      </c>
      <c r="H40" s="1556" t="s">
        <v>1523</v>
      </c>
      <c r="I40" s="1556" t="n">
        <v>9020066</v>
      </c>
      <c r="K40" s="2" t="s">
        <v>1552</v>
      </c>
      <c r="L40" s="2" t="s">
        <v>872</v>
      </c>
    </row>
    <row r="41" customFormat="false" ht="14.25" hidden="false" customHeight="false" outlineLevel="0" collapsed="false">
      <c r="A41" s="1556" t="n">
        <v>22</v>
      </c>
      <c r="B41" s="1556" t="s">
        <v>1626</v>
      </c>
      <c r="C41" s="1556" t="s">
        <v>712</v>
      </c>
      <c r="D41" s="1556" t="n">
        <v>22080</v>
      </c>
      <c r="E41" s="1556" t="n">
        <v>22058</v>
      </c>
      <c r="F41" s="1557" t="s">
        <v>1627</v>
      </c>
      <c r="G41" s="1558" t="n">
        <v>1</v>
      </c>
      <c r="H41" s="1556" t="s">
        <v>1523</v>
      </c>
      <c r="I41" s="1556" t="n">
        <v>9020066</v>
      </c>
      <c r="K41" s="2" t="s">
        <v>1628</v>
      </c>
      <c r="L41" s="2" t="s">
        <v>1523</v>
      </c>
    </row>
    <row r="42" customFormat="false" ht="14.25" hidden="false" customHeight="false" outlineLevel="0" collapsed="false">
      <c r="A42" s="1556" t="n">
        <v>22</v>
      </c>
      <c r="B42" s="1556" t="s">
        <v>1629</v>
      </c>
      <c r="C42" s="1556" t="s">
        <v>712</v>
      </c>
      <c r="D42" s="1556" t="n">
        <v>22081</v>
      </c>
      <c r="E42" s="1556" t="n">
        <v>22059</v>
      </c>
      <c r="F42" s="1557" t="s">
        <v>1630</v>
      </c>
      <c r="G42" s="1558" t="n">
        <v>1</v>
      </c>
      <c r="H42" s="1556" t="s">
        <v>1523</v>
      </c>
      <c r="I42" s="1556" t="n">
        <v>9020066</v>
      </c>
      <c r="K42" s="2" t="s">
        <v>1554</v>
      </c>
      <c r="L42" s="2" t="s">
        <v>872</v>
      </c>
    </row>
    <row r="43" customFormat="false" ht="14.25" hidden="false" customHeight="false" outlineLevel="0" collapsed="false">
      <c r="A43" s="1556" t="n">
        <v>22</v>
      </c>
      <c r="B43" s="1556" t="s">
        <v>1631</v>
      </c>
      <c r="C43" s="1556" t="s">
        <v>712</v>
      </c>
      <c r="D43" s="1556" t="n">
        <v>22085</v>
      </c>
      <c r="E43" s="1556" t="n">
        <v>22062</v>
      </c>
      <c r="F43" s="1557" t="s">
        <v>1632</v>
      </c>
      <c r="G43" s="1558" t="n">
        <v>1</v>
      </c>
      <c r="H43" s="1556" t="s">
        <v>1523</v>
      </c>
      <c r="I43" s="1556" t="n">
        <v>9020066</v>
      </c>
      <c r="K43" s="2" t="s">
        <v>1633</v>
      </c>
      <c r="L43" s="2" t="s">
        <v>872</v>
      </c>
    </row>
    <row r="44" customFormat="false" ht="14.25" hidden="false" customHeight="false" outlineLevel="0" collapsed="false">
      <c r="A44" s="1556" t="n">
        <v>22</v>
      </c>
      <c r="B44" s="1556" t="s">
        <v>1634</v>
      </c>
      <c r="C44" s="1556" t="s">
        <v>712</v>
      </c>
      <c r="D44" s="1556" t="n">
        <v>22086</v>
      </c>
      <c r="E44" s="1556" t="n">
        <v>22063</v>
      </c>
      <c r="F44" s="1557" t="s">
        <v>1635</v>
      </c>
      <c r="G44" s="1558" t="n">
        <v>2</v>
      </c>
      <c r="H44" s="1556" t="s">
        <v>872</v>
      </c>
      <c r="I44" s="1556" t="n">
        <v>9020067</v>
      </c>
      <c r="K44" s="2" t="s">
        <v>1636</v>
      </c>
      <c r="L44" s="2" t="s">
        <v>1523</v>
      </c>
    </row>
    <row r="45" customFormat="false" ht="14.25" hidden="false" customHeight="false" outlineLevel="0" collapsed="false">
      <c r="A45" s="1556" t="n">
        <v>22</v>
      </c>
      <c r="B45" s="1556" t="s">
        <v>1637</v>
      </c>
      <c r="C45" s="1556" t="s">
        <v>712</v>
      </c>
      <c r="D45" s="1556" t="n">
        <v>22087</v>
      </c>
      <c r="E45" s="1556" t="n">
        <v>22064</v>
      </c>
      <c r="F45" s="1557" t="s">
        <v>1638</v>
      </c>
      <c r="G45" s="1558" t="n">
        <v>2</v>
      </c>
      <c r="H45" s="1556" t="s">
        <v>872</v>
      </c>
      <c r="I45" s="1556" t="n">
        <v>9020067</v>
      </c>
      <c r="K45" s="2" t="s">
        <v>1639</v>
      </c>
      <c r="L45" s="2" t="s">
        <v>872</v>
      </c>
    </row>
    <row r="46" customFormat="false" ht="14.25" hidden="false" customHeight="false" outlineLevel="0" collapsed="false">
      <c r="A46" s="1556" t="n">
        <v>22</v>
      </c>
      <c r="B46" s="1556" t="s">
        <v>1640</v>
      </c>
      <c r="C46" s="1556" t="s">
        <v>712</v>
      </c>
      <c r="D46" s="1556" t="n">
        <v>22089</v>
      </c>
      <c r="E46" s="1556" t="n">
        <v>22066</v>
      </c>
      <c r="F46" s="1557" t="s">
        <v>1641</v>
      </c>
      <c r="G46" s="1558" t="n">
        <v>1</v>
      </c>
      <c r="H46" s="1556" t="s">
        <v>1523</v>
      </c>
      <c r="I46" s="1556" t="n">
        <v>9020066</v>
      </c>
      <c r="K46" s="2" t="s">
        <v>1642</v>
      </c>
      <c r="L46" s="2" t="s">
        <v>872</v>
      </c>
    </row>
    <row r="47" customFormat="false" ht="14.25" hidden="false" customHeight="false" outlineLevel="0" collapsed="false">
      <c r="A47" s="1556" t="n">
        <v>22</v>
      </c>
      <c r="B47" s="1556" t="s">
        <v>1643</v>
      </c>
      <c r="C47" s="1556" t="s">
        <v>712</v>
      </c>
      <c r="D47" s="1556" t="n">
        <v>22090</v>
      </c>
      <c r="E47" s="1556" t="n">
        <v>22067</v>
      </c>
      <c r="F47" s="1557" t="s">
        <v>1644</v>
      </c>
      <c r="G47" s="1558" t="n">
        <v>1</v>
      </c>
      <c r="H47" s="1556" t="s">
        <v>1523</v>
      </c>
      <c r="I47" s="1556" t="n">
        <v>9020066</v>
      </c>
      <c r="K47" s="2" t="s">
        <v>1645</v>
      </c>
      <c r="L47" s="2" t="s">
        <v>1523</v>
      </c>
    </row>
    <row r="48" customFormat="false" ht="14.25" hidden="false" customHeight="false" outlineLevel="0" collapsed="false">
      <c r="A48" s="1556" t="n">
        <v>22</v>
      </c>
      <c r="B48" s="1556" t="s">
        <v>1646</v>
      </c>
      <c r="C48" s="1556" t="s">
        <v>712</v>
      </c>
      <c r="D48" s="1556" t="n">
        <v>22092</v>
      </c>
      <c r="E48" s="1556" t="n">
        <v>22068</v>
      </c>
      <c r="F48" s="1557" t="s">
        <v>1647</v>
      </c>
      <c r="G48" s="1558" t="n">
        <v>1</v>
      </c>
      <c r="H48" s="1556" t="s">
        <v>1523</v>
      </c>
      <c r="I48" s="1556" t="n">
        <v>9020066</v>
      </c>
      <c r="K48" s="2" t="s">
        <v>1648</v>
      </c>
      <c r="L48" s="2" t="s">
        <v>1523</v>
      </c>
    </row>
    <row r="49" customFormat="false" ht="14.25" hidden="false" customHeight="false" outlineLevel="0" collapsed="false">
      <c r="A49" s="1556" t="n">
        <v>22</v>
      </c>
      <c r="B49" s="1556" t="s">
        <v>1649</v>
      </c>
      <c r="C49" s="1556" t="s">
        <v>712</v>
      </c>
      <c r="D49" s="1556" t="n">
        <v>22094</v>
      </c>
      <c r="E49" s="1556" t="n">
        <v>22069</v>
      </c>
      <c r="F49" s="1557" t="s">
        <v>1650</v>
      </c>
      <c r="G49" s="1558" t="n">
        <v>1</v>
      </c>
      <c r="H49" s="1556" t="s">
        <v>1523</v>
      </c>
      <c r="I49" s="1556" t="n">
        <v>9020066</v>
      </c>
      <c r="K49" s="2" t="s">
        <v>1651</v>
      </c>
      <c r="L49" s="2" t="s">
        <v>1523</v>
      </c>
    </row>
    <row r="50" customFormat="false" ht="14.25" hidden="false" customHeight="false" outlineLevel="0" collapsed="false">
      <c r="A50" s="1556" t="n">
        <v>22</v>
      </c>
      <c r="B50" s="1556" t="s">
        <v>1652</v>
      </c>
      <c r="C50" s="1556" t="s">
        <v>712</v>
      </c>
      <c r="D50" s="1556" t="n">
        <v>22038</v>
      </c>
      <c r="E50" s="1556" t="n">
        <v>22072</v>
      </c>
      <c r="F50" s="1557" t="s">
        <v>1653</v>
      </c>
      <c r="G50" s="1558" t="n">
        <v>1</v>
      </c>
      <c r="H50" s="1556" t="s">
        <v>1523</v>
      </c>
      <c r="I50" s="1556" t="n">
        <v>9020066</v>
      </c>
      <c r="K50" s="2" t="s">
        <v>1654</v>
      </c>
      <c r="L50" s="2" t="s">
        <v>1523</v>
      </c>
    </row>
    <row r="51" customFormat="false" ht="14.25" hidden="false" customHeight="false" outlineLevel="0" collapsed="false">
      <c r="A51" s="1556" t="n">
        <v>22</v>
      </c>
      <c r="B51" s="1556" t="s">
        <v>1655</v>
      </c>
      <c r="C51" s="1556" t="s">
        <v>712</v>
      </c>
      <c r="D51" s="1556" t="n">
        <v>22102</v>
      </c>
      <c r="E51" s="1556" t="n">
        <v>22074</v>
      </c>
      <c r="F51" s="1557" t="s">
        <v>1656</v>
      </c>
      <c r="G51" s="1558" t="n">
        <v>1</v>
      </c>
      <c r="H51" s="1556" t="s">
        <v>1523</v>
      </c>
      <c r="I51" s="1556" t="n">
        <v>9020066</v>
      </c>
      <c r="K51" s="2" t="s">
        <v>1657</v>
      </c>
      <c r="L51" s="2" t="s">
        <v>1523</v>
      </c>
    </row>
    <row r="52" customFormat="false" ht="14.25" hidden="false" customHeight="false" outlineLevel="0" collapsed="false">
      <c r="A52" s="1556" t="n">
        <v>22</v>
      </c>
      <c r="B52" s="1556" t="s">
        <v>1658</v>
      </c>
      <c r="C52" s="1556" t="s">
        <v>712</v>
      </c>
      <c r="D52" s="1556" t="n">
        <v>22103</v>
      </c>
      <c r="E52" s="1556" t="n">
        <v>22075</v>
      </c>
      <c r="F52" s="1557" t="s">
        <v>1659</v>
      </c>
      <c r="G52" s="1558" t="n">
        <v>1</v>
      </c>
      <c r="H52" s="1556" t="s">
        <v>1523</v>
      </c>
      <c r="I52" s="1556" t="n">
        <v>9020066</v>
      </c>
      <c r="K52" s="2" t="s">
        <v>1660</v>
      </c>
      <c r="L52" s="2" t="s">
        <v>872</v>
      </c>
    </row>
    <row r="53" customFormat="false" ht="14.25" hidden="false" customHeight="false" outlineLevel="0" collapsed="false">
      <c r="A53" s="1556" t="n">
        <v>22</v>
      </c>
      <c r="B53" s="1556" t="s">
        <v>1661</v>
      </c>
      <c r="C53" s="1556" t="s">
        <v>712</v>
      </c>
      <c r="D53" s="1556" t="n">
        <v>22073</v>
      </c>
      <c r="E53" s="1556" t="n">
        <v>22076</v>
      </c>
      <c r="F53" s="1557" t="s">
        <v>1662</v>
      </c>
      <c r="G53" s="1558" t="n">
        <v>1</v>
      </c>
      <c r="H53" s="1556" t="s">
        <v>1523</v>
      </c>
      <c r="I53" s="1556" t="n">
        <v>9020066</v>
      </c>
      <c r="K53" s="2" t="s">
        <v>1663</v>
      </c>
      <c r="L53" s="2" t="s">
        <v>1523</v>
      </c>
    </row>
    <row r="54" customFormat="false" ht="14.25" hidden="false" customHeight="false" outlineLevel="0" collapsed="false">
      <c r="A54" s="1556" t="n">
        <v>22</v>
      </c>
      <c r="B54" s="1556" t="s">
        <v>1664</v>
      </c>
      <c r="C54" s="1556" t="s">
        <v>712</v>
      </c>
      <c r="D54" s="1556" t="n">
        <v>22105</v>
      </c>
      <c r="E54" s="1556" t="n">
        <v>22078</v>
      </c>
      <c r="F54" s="1557" t="s">
        <v>1665</v>
      </c>
      <c r="G54" s="1558" t="n">
        <v>1</v>
      </c>
      <c r="H54" s="1556" t="s">
        <v>1523</v>
      </c>
      <c r="I54" s="1556" t="n">
        <v>9020066</v>
      </c>
      <c r="K54" s="2" t="s">
        <v>1666</v>
      </c>
      <c r="L54" s="2" t="s">
        <v>872</v>
      </c>
    </row>
    <row r="55" customFormat="false" ht="14.25" hidden="false" customHeight="false" outlineLevel="0" collapsed="false">
      <c r="A55" s="1556" t="n">
        <v>22</v>
      </c>
      <c r="B55" s="1556" t="s">
        <v>1667</v>
      </c>
      <c r="C55" s="1556" t="s">
        <v>712</v>
      </c>
      <c r="D55" s="1556" t="n">
        <v>22107</v>
      </c>
      <c r="E55" s="1556" t="n">
        <v>22080</v>
      </c>
      <c r="F55" s="1557" t="s">
        <v>1668</v>
      </c>
      <c r="G55" s="1558" t="n">
        <v>1</v>
      </c>
      <c r="H55" s="1556" t="s">
        <v>1523</v>
      </c>
      <c r="I55" s="1556" t="n">
        <v>9020066</v>
      </c>
      <c r="K55" s="2" t="s">
        <v>1669</v>
      </c>
      <c r="L55" s="2" t="s">
        <v>872</v>
      </c>
    </row>
    <row r="56" customFormat="false" ht="14.25" hidden="false" customHeight="false" outlineLevel="0" collapsed="false">
      <c r="A56" s="1556" t="n">
        <v>22</v>
      </c>
      <c r="B56" s="1556" t="s">
        <v>1670</v>
      </c>
      <c r="C56" s="1556" t="s">
        <v>712</v>
      </c>
      <c r="D56" s="1556" t="n">
        <v>22109</v>
      </c>
      <c r="E56" s="1556" t="n">
        <v>22081</v>
      </c>
      <c r="F56" s="1557" t="s">
        <v>1671</v>
      </c>
      <c r="G56" s="1558" t="n">
        <v>1</v>
      </c>
      <c r="H56" s="1556" t="s">
        <v>1523</v>
      </c>
      <c r="I56" s="1556" t="n">
        <v>9020066</v>
      </c>
      <c r="K56" s="2" t="s">
        <v>1672</v>
      </c>
      <c r="L56" s="2" t="s">
        <v>872</v>
      </c>
    </row>
    <row r="57" customFormat="false" ht="14.25" hidden="false" customHeight="false" outlineLevel="0" collapsed="false">
      <c r="A57" s="1556" t="n">
        <v>22</v>
      </c>
      <c r="B57" s="1556" t="s">
        <v>1673</v>
      </c>
      <c r="C57" s="1556" t="s">
        <v>712</v>
      </c>
      <c r="D57" s="1556" t="n">
        <v>22113</v>
      </c>
      <c r="E57" s="1556" t="n">
        <v>22083</v>
      </c>
      <c r="F57" s="1557" t="s">
        <v>1674</v>
      </c>
      <c r="G57" s="1558" t="n">
        <v>2</v>
      </c>
      <c r="H57" s="1556" t="s">
        <v>872</v>
      </c>
      <c r="I57" s="1556" t="n">
        <v>9020067</v>
      </c>
      <c r="K57" s="2" t="s">
        <v>1557</v>
      </c>
      <c r="L57" s="2" t="s">
        <v>872</v>
      </c>
    </row>
    <row r="58" customFormat="false" ht="14.25" hidden="false" customHeight="false" outlineLevel="0" collapsed="false">
      <c r="A58" s="1556" t="n">
        <v>22</v>
      </c>
      <c r="B58" s="1556" t="s">
        <v>1675</v>
      </c>
      <c r="C58" s="1556" t="s">
        <v>712</v>
      </c>
      <c r="D58" s="1556" t="n">
        <v>22115</v>
      </c>
      <c r="E58" s="1556" t="n">
        <v>22084</v>
      </c>
      <c r="F58" s="1557" t="s">
        <v>1676</v>
      </c>
      <c r="G58" s="1558" t="n">
        <v>1</v>
      </c>
      <c r="H58" s="1556" t="s">
        <v>1523</v>
      </c>
      <c r="I58" s="1556" t="n">
        <v>9020066</v>
      </c>
      <c r="K58" s="2" t="s">
        <v>1677</v>
      </c>
      <c r="L58" s="2" t="s">
        <v>872</v>
      </c>
    </row>
    <row r="59" customFormat="false" ht="14.25" hidden="false" customHeight="false" outlineLevel="0" collapsed="false">
      <c r="A59" s="1556" t="n">
        <v>22</v>
      </c>
      <c r="B59" s="1556" t="s">
        <v>1678</v>
      </c>
      <c r="C59" s="1556" t="s">
        <v>712</v>
      </c>
      <c r="D59" s="1556" t="n">
        <v>22117</v>
      </c>
      <c r="E59" s="1556" t="n">
        <v>22086</v>
      </c>
      <c r="F59" s="1557" t="s">
        <v>1679</v>
      </c>
      <c r="G59" s="1558" t="n">
        <v>1</v>
      </c>
      <c r="H59" s="1556" t="s">
        <v>1523</v>
      </c>
      <c r="I59" s="1556" t="n">
        <v>9020066</v>
      </c>
      <c r="K59" s="2" t="s">
        <v>1560</v>
      </c>
      <c r="L59" s="2" t="s">
        <v>872</v>
      </c>
    </row>
    <row r="60" customFormat="false" ht="14.25" hidden="false" customHeight="false" outlineLevel="0" collapsed="false">
      <c r="A60" s="1556" t="n">
        <v>22</v>
      </c>
      <c r="B60" s="1556" t="s">
        <v>1680</v>
      </c>
      <c r="C60" s="1556" t="s">
        <v>712</v>
      </c>
      <c r="D60" s="1556" t="n">
        <v>22118</v>
      </c>
      <c r="E60" s="1556" t="n">
        <v>22087</v>
      </c>
      <c r="F60" s="1557" t="s">
        <v>1681</v>
      </c>
      <c r="G60" s="1558" t="n">
        <v>1</v>
      </c>
      <c r="H60" s="1556" t="s">
        <v>1523</v>
      </c>
      <c r="I60" s="1556" t="n">
        <v>9020066</v>
      </c>
      <c r="K60" s="2" t="s">
        <v>1682</v>
      </c>
      <c r="L60" s="2" t="s">
        <v>1523</v>
      </c>
    </row>
    <row r="61" customFormat="false" ht="14.25" hidden="false" customHeight="false" outlineLevel="0" collapsed="false">
      <c r="A61" s="1556" t="n">
        <v>22</v>
      </c>
      <c r="B61" s="1556" t="s">
        <v>1683</v>
      </c>
      <c r="C61" s="1556" t="s">
        <v>712</v>
      </c>
      <c r="D61" s="1556" t="n">
        <v>22120</v>
      </c>
      <c r="E61" s="1556" t="n">
        <v>22088</v>
      </c>
      <c r="F61" s="1557" t="s">
        <v>1684</v>
      </c>
      <c r="G61" s="1558" t="n">
        <v>2</v>
      </c>
      <c r="H61" s="1556" t="s">
        <v>872</v>
      </c>
      <c r="I61" s="1556" t="n">
        <v>9020067</v>
      </c>
      <c r="K61" s="2" t="s">
        <v>1685</v>
      </c>
      <c r="L61" s="2" t="s">
        <v>1523</v>
      </c>
    </row>
    <row r="62" customFormat="false" ht="14.25" hidden="false" customHeight="false" outlineLevel="0" collapsed="false">
      <c r="A62" s="1556" t="n">
        <v>22</v>
      </c>
      <c r="B62" s="1556" t="s">
        <v>1686</v>
      </c>
      <c r="C62" s="1556" t="s">
        <v>712</v>
      </c>
      <c r="D62" s="1556" t="n">
        <v>22121</v>
      </c>
      <c r="E62" s="1556" t="n">
        <v>22089</v>
      </c>
      <c r="F62" s="1557" t="s">
        <v>1687</v>
      </c>
      <c r="G62" s="1558" t="n">
        <v>1</v>
      </c>
      <c r="H62" s="1556" t="s">
        <v>1523</v>
      </c>
      <c r="I62" s="1556" t="n">
        <v>9020066</v>
      </c>
      <c r="K62" s="2" t="s">
        <v>1688</v>
      </c>
      <c r="L62" s="2" t="s">
        <v>1523</v>
      </c>
    </row>
    <row r="63" customFormat="false" ht="14.25" hidden="false" customHeight="false" outlineLevel="0" collapsed="false">
      <c r="A63" s="1556" t="n">
        <v>22</v>
      </c>
      <c r="B63" s="1556" t="s">
        <v>1689</v>
      </c>
      <c r="C63" s="1556" t="s">
        <v>712</v>
      </c>
      <c r="D63" s="1556" t="n">
        <v>22133</v>
      </c>
      <c r="E63" s="1556" t="n">
        <v>22095</v>
      </c>
      <c r="F63" s="1557" t="s">
        <v>1690</v>
      </c>
      <c r="G63" s="1558" t="n">
        <v>1</v>
      </c>
      <c r="H63" s="1556" t="s">
        <v>1523</v>
      </c>
      <c r="I63" s="1556" t="n">
        <v>9020066</v>
      </c>
      <c r="K63" s="2" t="s">
        <v>1562</v>
      </c>
      <c r="L63" s="2" t="s">
        <v>1523</v>
      </c>
    </row>
    <row r="64" customFormat="false" ht="14.25" hidden="false" customHeight="false" outlineLevel="0" collapsed="false">
      <c r="A64" s="1556" t="n">
        <v>22</v>
      </c>
      <c r="B64" s="1556" t="s">
        <v>1691</v>
      </c>
      <c r="C64" s="1556" t="s">
        <v>712</v>
      </c>
      <c r="D64" s="1556" t="n">
        <v>22134</v>
      </c>
      <c r="E64" s="1556" t="n">
        <v>22096</v>
      </c>
      <c r="F64" s="1557" t="s">
        <v>1692</v>
      </c>
      <c r="G64" s="1558" t="n">
        <v>2</v>
      </c>
      <c r="H64" s="1556" t="s">
        <v>872</v>
      </c>
      <c r="I64" s="1556" t="n">
        <v>9020067</v>
      </c>
      <c r="K64" s="2" t="s">
        <v>1693</v>
      </c>
      <c r="L64" s="2" t="s">
        <v>1523</v>
      </c>
    </row>
    <row r="65" customFormat="false" ht="14.25" hidden="false" customHeight="false" outlineLevel="0" collapsed="false">
      <c r="A65" s="1556" t="n">
        <v>22</v>
      </c>
      <c r="B65" s="1556" t="s">
        <v>1694</v>
      </c>
      <c r="C65" s="1556" t="s">
        <v>712</v>
      </c>
      <c r="D65" s="1556" t="n">
        <v>22123</v>
      </c>
      <c r="E65" s="1556" t="n">
        <v>22090</v>
      </c>
      <c r="F65" s="1557" t="s">
        <v>1695</v>
      </c>
      <c r="G65" s="1558" t="n">
        <v>1</v>
      </c>
      <c r="H65" s="1556" t="s">
        <v>1523</v>
      </c>
      <c r="I65" s="1556" t="n">
        <v>9020066</v>
      </c>
      <c r="K65" s="2" t="s">
        <v>1696</v>
      </c>
      <c r="L65" s="2" t="s">
        <v>1523</v>
      </c>
    </row>
    <row r="66" customFormat="false" ht="14.25" hidden="false" customHeight="false" outlineLevel="0" collapsed="false">
      <c r="A66" s="1556" t="n">
        <v>22</v>
      </c>
      <c r="B66" s="1556" t="s">
        <v>1697</v>
      </c>
      <c r="C66" s="1556" t="s">
        <v>712</v>
      </c>
      <c r="D66" s="1556" t="n">
        <v>22144</v>
      </c>
      <c r="E66" s="1556" t="n">
        <v>22102</v>
      </c>
      <c r="F66" s="1557" t="s">
        <v>1698</v>
      </c>
      <c r="G66" s="1558" t="n">
        <v>1</v>
      </c>
      <c r="H66" s="1556" t="s">
        <v>1523</v>
      </c>
      <c r="I66" s="1556" t="n">
        <v>9020066</v>
      </c>
      <c r="K66" s="2" t="s">
        <v>1699</v>
      </c>
      <c r="L66" s="2" t="s">
        <v>872</v>
      </c>
    </row>
    <row r="67" customFormat="false" ht="14.25" hidden="false" customHeight="false" outlineLevel="0" collapsed="false">
      <c r="A67" s="1556" t="n">
        <v>22</v>
      </c>
      <c r="B67" s="1556" t="s">
        <v>1700</v>
      </c>
      <c r="C67" s="1556" t="s">
        <v>712</v>
      </c>
      <c r="D67" s="1556" t="n">
        <v>22145</v>
      </c>
      <c r="E67" s="1556" t="n">
        <v>22103</v>
      </c>
      <c r="F67" s="1557" t="s">
        <v>1701</v>
      </c>
      <c r="G67" s="1558" t="n">
        <v>2</v>
      </c>
      <c r="H67" s="1556" t="s">
        <v>872</v>
      </c>
      <c r="I67" s="1556" t="n">
        <v>9020067</v>
      </c>
      <c r="K67" s="2" t="s">
        <v>1702</v>
      </c>
      <c r="L67" s="2" t="s">
        <v>872</v>
      </c>
    </row>
    <row r="68" customFormat="false" ht="14.25" hidden="false" customHeight="false" outlineLevel="0" collapsed="false">
      <c r="A68" s="1556" t="n">
        <v>22</v>
      </c>
      <c r="B68" s="1556" t="s">
        <v>1703</v>
      </c>
      <c r="C68" s="1556" t="s">
        <v>712</v>
      </c>
      <c r="D68" s="1556" t="n">
        <v>22147</v>
      </c>
      <c r="E68" s="1556" t="n">
        <v>22105</v>
      </c>
      <c r="F68" s="1557" t="s">
        <v>1704</v>
      </c>
      <c r="G68" s="1558" t="n">
        <v>1</v>
      </c>
      <c r="H68" s="1556" t="s">
        <v>1523</v>
      </c>
      <c r="I68" s="1556" t="n">
        <v>9020066</v>
      </c>
      <c r="K68" s="2" t="s">
        <v>1565</v>
      </c>
      <c r="L68" s="2" t="s">
        <v>872</v>
      </c>
    </row>
    <row r="69" customFormat="false" ht="14.25" hidden="false" customHeight="false" outlineLevel="0" collapsed="false">
      <c r="A69" s="1556" t="n">
        <v>22</v>
      </c>
      <c r="B69" s="1556" t="s">
        <v>1705</v>
      </c>
      <c r="C69" s="1556" t="s">
        <v>712</v>
      </c>
      <c r="D69" s="1556" t="n">
        <v>22148</v>
      </c>
      <c r="E69" s="1556" t="n">
        <v>22016</v>
      </c>
      <c r="F69" s="1557" t="s">
        <v>1706</v>
      </c>
      <c r="G69" s="1558" t="n">
        <v>1</v>
      </c>
      <c r="H69" s="1556" t="s">
        <v>1523</v>
      </c>
      <c r="I69" s="1556" t="n">
        <v>9020066</v>
      </c>
      <c r="K69" s="2" t="s">
        <v>1707</v>
      </c>
      <c r="L69" s="2" t="s">
        <v>1523</v>
      </c>
    </row>
    <row r="70" customFormat="false" ht="14.25" hidden="false" customHeight="false" outlineLevel="0" collapsed="false">
      <c r="A70" s="1556" t="n">
        <v>22</v>
      </c>
      <c r="B70" s="1556" t="s">
        <v>1708</v>
      </c>
      <c r="C70" s="1556" t="s">
        <v>712</v>
      </c>
      <c r="D70" s="1556" t="n">
        <v>22149</v>
      </c>
      <c r="E70" s="1556" t="n">
        <v>22107</v>
      </c>
      <c r="F70" s="1557" t="s">
        <v>1709</v>
      </c>
      <c r="G70" s="1558" t="n">
        <v>1</v>
      </c>
      <c r="H70" s="1556" t="s">
        <v>1523</v>
      </c>
      <c r="I70" s="1556" t="n">
        <v>9020066</v>
      </c>
      <c r="K70" s="2" t="s">
        <v>1567</v>
      </c>
      <c r="L70" s="2" t="s">
        <v>1523</v>
      </c>
    </row>
    <row r="71" customFormat="false" ht="14.25" hidden="false" customHeight="false" outlineLevel="0" collapsed="false">
      <c r="A71" s="1556" t="n">
        <v>22</v>
      </c>
      <c r="B71" s="1556" t="s">
        <v>1710</v>
      </c>
      <c r="C71" s="1556" t="s">
        <v>712</v>
      </c>
      <c r="D71" s="1556" t="n">
        <v>22152</v>
      </c>
      <c r="E71" s="1556" t="n">
        <v>22109</v>
      </c>
      <c r="F71" s="1557" t="s">
        <v>1711</v>
      </c>
      <c r="G71" s="1558" t="n">
        <v>1</v>
      </c>
      <c r="H71" s="1556" t="s">
        <v>1523</v>
      </c>
      <c r="I71" s="1556" t="n">
        <v>9020066</v>
      </c>
      <c r="K71" s="2" t="s">
        <v>1570</v>
      </c>
      <c r="L71" s="2" t="s">
        <v>872</v>
      </c>
    </row>
    <row r="72" customFormat="false" ht="14.25" hidden="false" customHeight="false" outlineLevel="0" collapsed="false">
      <c r="A72" s="1556" t="n">
        <v>22</v>
      </c>
      <c r="B72" s="1556" t="s">
        <v>1712</v>
      </c>
      <c r="C72" s="1556" t="s">
        <v>712</v>
      </c>
      <c r="D72" s="1556" t="n">
        <v>22153</v>
      </c>
      <c r="E72" s="1556" t="n">
        <v>22110</v>
      </c>
      <c r="F72" s="1557" t="s">
        <v>1713</v>
      </c>
      <c r="G72" s="1558" t="n">
        <v>2</v>
      </c>
      <c r="H72" s="1556" t="s">
        <v>872</v>
      </c>
      <c r="I72" s="1556" t="n">
        <v>9020067</v>
      </c>
      <c r="K72" s="2" t="s">
        <v>1714</v>
      </c>
      <c r="L72" s="2" t="s">
        <v>1523</v>
      </c>
    </row>
    <row r="73" customFormat="false" ht="14.25" hidden="false" customHeight="false" outlineLevel="0" collapsed="false">
      <c r="A73" s="1556" t="n">
        <v>22</v>
      </c>
      <c r="B73" s="1556" t="s">
        <v>1715</v>
      </c>
      <c r="C73" s="1556" t="s">
        <v>712</v>
      </c>
      <c r="D73" s="1556" t="n">
        <v>22154</v>
      </c>
      <c r="E73" s="1556" t="n">
        <v>22111</v>
      </c>
      <c r="F73" s="1557" t="s">
        <v>1716</v>
      </c>
      <c r="G73" s="1558" t="n">
        <v>1</v>
      </c>
      <c r="H73" s="1556" t="s">
        <v>1523</v>
      </c>
      <c r="I73" s="1556" t="n">
        <v>9020066</v>
      </c>
      <c r="K73" s="2" t="s">
        <v>1573</v>
      </c>
      <c r="L73" s="2" t="s">
        <v>1523</v>
      </c>
    </row>
    <row r="74" customFormat="false" ht="14.25" hidden="false" customHeight="false" outlineLevel="0" collapsed="false">
      <c r="A74" s="1556" t="n">
        <v>22</v>
      </c>
      <c r="B74" s="1556" t="s">
        <v>1717</v>
      </c>
      <c r="C74" s="1556" t="s">
        <v>712</v>
      </c>
      <c r="D74" s="1556" t="n">
        <v>22155</v>
      </c>
      <c r="E74" s="1556" t="n">
        <v>22112</v>
      </c>
      <c r="F74" s="1557" t="s">
        <v>1718</v>
      </c>
      <c r="G74" s="1558" t="n">
        <v>2</v>
      </c>
      <c r="H74" s="1556" t="s">
        <v>872</v>
      </c>
      <c r="I74" s="1556" t="n">
        <v>9020067</v>
      </c>
      <c r="K74" s="2" t="s">
        <v>1719</v>
      </c>
      <c r="L74" s="2" t="s">
        <v>1523</v>
      </c>
    </row>
    <row r="75" customFormat="false" ht="14.25" hidden="false" customHeight="false" outlineLevel="0" collapsed="false">
      <c r="A75" s="1556" t="n">
        <v>22</v>
      </c>
      <c r="B75" s="1556" t="s">
        <v>1720</v>
      </c>
      <c r="C75" s="1556" t="s">
        <v>712</v>
      </c>
      <c r="D75" s="1556" t="n">
        <v>22350</v>
      </c>
      <c r="E75" s="1556" t="n">
        <v>22113</v>
      </c>
      <c r="F75" s="1557" t="s">
        <v>1721</v>
      </c>
      <c r="G75" s="1558" t="n">
        <v>1</v>
      </c>
      <c r="H75" s="1556" t="s">
        <v>1523</v>
      </c>
      <c r="I75" s="1556" t="n">
        <v>9020066</v>
      </c>
      <c r="K75" s="2" t="s">
        <v>1722</v>
      </c>
      <c r="L75" s="2" t="s">
        <v>1523</v>
      </c>
    </row>
    <row r="76" customFormat="false" ht="14.25" hidden="false" customHeight="false" outlineLevel="0" collapsed="false">
      <c r="A76" s="1556" t="n">
        <v>22</v>
      </c>
      <c r="B76" s="1556" t="s">
        <v>1723</v>
      </c>
      <c r="C76" s="1556" t="s">
        <v>712</v>
      </c>
      <c r="D76" s="1556" t="n">
        <v>22160</v>
      </c>
      <c r="E76" s="1556" t="n">
        <v>22114</v>
      </c>
      <c r="F76" s="1557" t="s">
        <v>1724</v>
      </c>
      <c r="G76" s="1558" t="n">
        <v>1</v>
      </c>
      <c r="H76" s="1556" t="s">
        <v>1523</v>
      </c>
      <c r="I76" s="1556" t="n">
        <v>9020066</v>
      </c>
      <c r="K76" s="2" t="s">
        <v>1725</v>
      </c>
      <c r="L76" s="2" t="s">
        <v>1523</v>
      </c>
    </row>
    <row r="77" customFormat="false" ht="14.25" hidden="false" customHeight="false" outlineLevel="0" collapsed="false">
      <c r="A77" s="1556" t="n">
        <v>22</v>
      </c>
      <c r="B77" s="1556" t="s">
        <v>1726</v>
      </c>
      <c r="C77" s="1556" t="s">
        <v>712</v>
      </c>
      <c r="D77" s="1556" t="n">
        <v>22161</v>
      </c>
      <c r="E77" s="1556" t="n">
        <v>22115</v>
      </c>
      <c r="F77" s="1557" t="s">
        <v>1727</v>
      </c>
      <c r="G77" s="1558" t="n">
        <v>3</v>
      </c>
      <c r="H77" s="1556" t="s">
        <v>1550</v>
      </c>
      <c r="I77" s="1556" t="n">
        <v>9020068</v>
      </c>
      <c r="K77" s="2" t="s">
        <v>1728</v>
      </c>
      <c r="L77" s="2" t="s">
        <v>872</v>
      </c>
    </row>
    <row r="78" customFormat="false" ht="14.25" hidden="false" customHeight="false" outlineLevel="0" collapsed="false">
      <c r="A78" s="1556" t="n">
        <v>22</v>
      </c>
      <c r="B78" s="1556" t="s">
        <v>1729</v>
      </c>
      <c r="C78" s="1556" t="s">
        <v>712</v>
      </c>
      <c r="D78" s="1556" t="n">
        <v>22163</v>
      </c>
      <c r="E78" s="1556" t="n">
        <v>22117</v>
      </c>
      <c r="F78" s="1557" t="s">
        <v>1730</v>
      </c>
      <c r="G78" s="1558" t="n">
        <v>1</v>
      </c>
      <c r="H78" s="1556" t="s">
        <v>1523</v>
      </c>
      <c r="I78" s="1556" t="n">
        <v>9020066</v>
      </c>
      <c r="K78" s="2" t="s">
        <v>1576</v>
      </c>
      <c r="L78" s="2" t="s">
        <v>1523</v>
      </c>
    </row>
    <row r="79" customFormat="false" ht="14.25" hidden="false" customHeight="false" outlineLevel="0" collapsed="false">
      <c r="A79" s="1556" t="n">
        <v>22</v>
      </c>
      <c r="B79" s="1556" t="s">
        <v>1731</v>
      </c>
      <c r="C79" s="1556" t="s">
        <v>712</v>
      </c>
      <c r="D79" s="1556" t="n">
        <v>22167</v>
      </c>
      <c r="E79" s="1556" t="n">
        <v>22119</v>
      </c>
      <c r="F79" s="1557" t="s">
        <v>1732</v>
      </c>
      <c r="G79" s="1558" t="n">
        <v>2</v>
      </c>
      <c r="H79" s="1556" t="s">
        <v>872</v>
      </c>
      <c r="I79" s="1556" t="n">
        <v>9020067</v>
      </c>
      <c r="K79" s="2" t="s">
        <v>1733</v>
      </c>
      <c r="L79" s="2" t="s">
        <v>1523</v>
      </c>
    </row>
    <row r="80" customFormat="false" ht="14.25" hidden="false" customHeight="false" outlineLevel="0" collapsed="false">
      <c r="A80" s="1556" t="n">
        <v>22</v>
      </c>
      <c r="B80" s="1556" t="s">
        <v>1734</v>
      </c>
      <c r="C80" s="1556" t="s">
        <v>712</v>
      </c>
      <c r="D80" s="1556" t="n">
        <v>22170</v>
      </c>
      <c r="E80" s="1556" t="n">
        <v>22122</v>
      </c>
      <c r="F80" s="1557" t="s">
        <v>1735</v>
      </c>
      <c r="G80" s="1558" t="n">
        <v>1</v>
      </c>
      <c r="H80" s="1556" t="s">
        <v>1523</v>
      </c>
      <c r="I80" s="1556" t="n">
        <v>9020066</v>
      </c>
      <c r="K80" s="2" t="s">
        <v>1579</v>
      </c>
      <c r="L80" s="2" t="s">
        <v>872</v>
      </c>
    </row>
    <row r="81" customFormat="false" ht="14.25" hidden="false" customHeight="false" outlineLevel="0" collapsed="false">
      <c r="A81" s="1556" t="n">
        <v>22</v>
      </c>
      <c r="B81" s="1556" t="s">
        <v>1736</v>
      </c>
      <c r="C81" s="1556" t="s">
        <v>712</v>
      </c>
      <c r="D81" s="1556" t="n">
        <v>22169</v>
      </c>
      <c r="E81" s="1556" t="n">
        <v>22908</v>
      </c>
      <c r="F81" s="1557" t="s">
        <v>1737</v>
      </c>
      <c r="G81" s="1558" t="n">
        <v>1</v>
      </c>
      <c r="H81" s="1556" t="s">
        <v>1523</v>
      </c>
      <c r="I81" s="1556" t="n">
        <v>9020066</v>
      </c>
      <c r="K81" s="2" t="s">
        <v>1738</v>
      </c>
      <c r="L81" s="2" t="s">
        <v>1523</v>
      </c>
    </row>
    <row r="82" customFormat="false" ht="14.25" hidden="false" customHeight="false" outlineLevel="0" collapsed="false">
      <c r="A82" s="1556" t="n">
        <v>22</v>
      </c>
      <c r="B82" s="1556" t="s">
        <v>1739</v>
      </c>
      <c r="C82" s="1556" t="s">
        <v>712</v>
      </c>
      <c r="D82" s="1556" t="n">
        <v>22901</v>
      </c>
      <c r="E82" s="1556" t="n">
        <v>22125</v>
      </c>
      <c r="F82" s="1557" t="s">
        <v>712</v>
      </c>
      <c r="G82" s="1558" t="n">
        <v>2</v>
      </c>
      <c r="H82" s="1556" t="s">
        <v>872</v>
      </c>
      <c r="I82" s="1556" t="n">
        <v>9020067</v>
      </c>
      <c r="K82" s="2" t="s">
        <v>1582</v>
      </c>
      <c r="L82" s="2" t="s">
        <v>1523</v>
      </c>
    </row>
    <row r="83" customFormat="false" ht="14.25" hidden="false" customHeight="false" outlineLevel="0" collapsed="false">
      <c r="A83" s="1556" t="n">
        <v>22</v>
      </c>
      <c r="B83" s="1556" t="s">
        <v>1740</v>
      </c>
      <c r="C83" s="1556" t="s">
        <v>712</v>
      </c>
      <c r="D83" s="1556" t="n">
        <v>22174</v>
      </c>
      <c r="E83" s="1556" t="n">
        <v>22126</v>
      </c>
      <c r="F83" s="1557" t="s">
        <v>1741</v>
      </c>
      <c r="G83" s="1558" t="n">
        <v>2</v>
      </c>
      <c r="H83" s="1556" t="s">
        <v>872</v>
      </c>
      <c r="I83" s="1556" t="n">
        <v>9020067</v>
      </c>
      <c r="K83" s="2" t="s">
        <v>1742</v>
      </c>
      <c r="L83" s="2" t="s">
        <v>1523</v>
      </c>
    </row>
    <row r="84" customFormat="false" ht="14.25" hidden="false" customHeight="false" outlineLevel="0" collapsed="false">
      <c r="A84" s="1556" t="n">
        <v>22</v>
      </c>
      <c r="B84" s="1556" t="s">
        <v>1743</v>
      </c>
      <c r="C84" s="1556" t="s">
        <v>712</v>
      </c>
      <c r="D84" s="1556" t="n">
        <v>22175</v>
      </c>
      <c r="E84" s="1556" t="n">
        <v>22127</v>
      </c>
      <c r="F84" s="1557" t="s">
        <v>1744</v>
      </c>
      <c r="G84" s="1558" t="n">
        <v>2</v>
      </c>
      <c r="H84" s="1556" t="s">
        <v>872</v>
      </c>
      <c r="I84" s="1556" t="n">
        <v>9020067</v>
      </c>
      <c r="K84" s="2" t="s">
        <v>1745</v>
      </c>
      <c r="L84" s="2" t="s">
        <v>872</v>
      </c>
    </row>
    <row r="85" customFormat="false" ht="14.25" hidden="false" customHeight="false" outlineLevel="0" collapsed="false">
      <c r="A85" s="1556" t="n">
        <v>22</v>
      </c>
      <c r="B85" s="1556" t="s">
        <v>1746</v>
      </c>
      <c r="C85" s="1556" t="s">
        <v>712</v>
      </c>
      <c r="D85" s="1556" t="n">
        <v>22272</v>
      </c>
      <c r="E85" s="1556" t="n">
        <v>22129</v>
      </c>
      <c r="F85" s="1557" t="s">
        <v>1747</v>
      </c>
      <c r="G85" s="1558" t="n">
        <v>1</v>
      </c>
      <c r="H85" s="1556" t="s">
        <v>1523</v>
      </c>
      <c r="I85" s="1556" t="n">
        <v>9020066</v>
      </c>
      <c r="K85" s="2" t="s">
        <v>1748</v>
      </c>
      <c r="L85" s="2" t="s">
        <v>1523</v>
      </c>
    </row>
    <row r="86" customFormat="false" ht="14.25" hidden="false" customHeight="false" outlineLevel="0" collapsed="false">
      <c r="A86" s="1556" t="n">
        <v>22</v>
      </c>
      <c r="B86" s="1556" t="s">
        <v>1749</v>
      </c>
      <c r="C86" s="1556" t="s">
        <v>712</v>
      </c>
      <c r="D86" s="1556" t="n">
        <v>22178</v>
      </c>
      <c r="E86" s="1556" t="n">
        <v>22130</v>
      </c>
      <c r="F86" s="1557" t="s">
        <v>1750</v>
      </c>
      <c r="G86" s="1558" t="n">
        <v>1</v>
      </c>
      <c r="H86" s="1556" t="s">
        <v>1523</v>
      </c>
      <c r="I86" s="1556" t="n">
        <v>9020066</v>
      </c>
      <c r="K86" s="2" t="s">
        <v>1751</v>
      </c>
      <c r="L86" s="2" t="s">
        <v>872</v>
      </c>
    </row>
    <row r="87" customFormat="false" ht="14.25" hidden="false" customHeight="false" outlineLevel="0" collapsed="false">
      <c r="A87" s="1556" t="n">
        <v>22</v>
      </c>
      <c r="B87" s="1556" t="s">
        <v>1752</v>
      </c>
      <c r="C87" s="1556" t="s">
        <v>712</v>
      </c>
      <c r="D87" s="1556" t="n">
        <v>22179</v>
      </c>
      <c r="E87" s="1556" t="n">
        <v>22131</v>
      </c>
      <c r="F87" s="1557" t="s">
        <v>1753</v>
      </c>
      <c r="G87" s="1558" t="n">
        <v>1</v>
      </c>
      <c r="H87" s="1556" t="s">
        <v>1523</v>
      </c>
      <c r="I87" s="1556" t="n">
        <v>9020066</v>
      </c>
      <c r="K87" s="2" t="s">
        <v>1754</v>
      </c>
      <c r="L87" s="2" t="s">
        <v>1523</v>
      </c>
    </row>
    <row r="88" customFormat="false" ht="14.25" hidden="false" customHeight="false" outlineLevel="0" collapsed="false">
      <c r="A88" s="1556" t="n">
        <v>22</v>
      </c>
      <c r="B88" s="1556" t="s">
        <v>1755</v>
      </c>
      <c r="C88" s="1556" t="s">
        <v>712</v>
      </c>
      <c r="D88" s="1556" t="n">
        <v>22185</v>
      </c>
      <c r="E88" s="1556" t="n">
        <v>22133</v>
      </c>
      <c r="F88" s="1557" t="s">
        <v>1756</v>
      </c>
      <c r="G88" s="1558" t="n">
        <v>1</v>
      </c>
      <c r="H88" s="1556" t="s">
        <v>1523</v>
      </c>
      <c r="I88" s="1556" t="n">
        <v>9020066</v>
      </c>
      <c r="K88" s="2" t="s">
        <v>1757</v>
      </c>
      <c r="L88" s="2" t="s">
        <v>1523</v>
      </c>
    </row>
    <row r="89" customFormat="false" ht="14.25" hidden="false" customHeight="false" outlineLevel="0" collapsed="false">
      <c r="A89" s="1556" t="n">
        <v>22</v>
      </c>
      <c r="B89" s="1556" t="s">
        <v>1758</v>
      </c>
      <c r="C89" s="1556" t="s">
        <v>712</v>
      </c>
      <c r="D89" s="1556" t="n">
        <v>22189</v>
      </c>
      <c r="E89" s="1556" t="n">
        <v>22135</v>
      </c>
      <c r="F89" s="1557" t="s">
        <v>1759</v>
      </c>
      <c r="G89" s="1558" t="n">
        <v>2</v>
      </c>
      <c r="H89" s="1556" t="s">
        <v>872</v>
      </c>
      <c r="I89" s="1556" t="n">
        <v>9020067</v>
      </c>
      <c r="K89" s="2" t="s">
        <v>1584</v>
      </c>
      <c r="L89" s="2" t="s">
        <v>872</v>
      </c>
    </row>
    <row r="90" customFormat="false" ht="14.25" hidden="false" customHeight="false" outlineLevel="0" collapsed="false">
      <c r="A90" s="1556" t="n">
        <v>22</v>
      </c>
      <c r="B90" s="1556" t="s">
        <v>1760</v>
      </c>
      <c r="C90" s="1556" t="s">
        <v>712</v>
      </c>
      <c r="D90" s="1556" t="n">
        <v>22191</v>
      </c>
      <c r="E90" s="1556" t="n">
        <v>22137</v>
      </c>
      <c r="F90" s="1557" t="s">
        <v>1761</v>
      </c>
      <c r="G90" s="1558" t="n">
        <v>2</v>
      </c>
      <c r="H90" s="1556" t="s">
        <v>872</v>
      </c>
      <c r="I90" s="1556" t="n">
        <v>9020067</v>
      </c>
      <c r="K90" s="2" t="s">
        <v>1762</v>
      </c>
      <c r="L90" s="2" t="s">
        <v>872</v>
      </c>
    </row>
    <row r="91" customFormat="false" ht="14.25" hidden="false" customHeight="false" outlineLevel="0" collapsed="false">
      <c r="A91" s="1556" t="n">
        <v>22</v>
      </c>
      <c r="B91" s="1556" t="s">
        <v>1763</v>
      </c>
      <c r="C91" s="1556" t="s">
        <v>712</v>
      </c>
      <c r="D91" s="1556" t="n">
        <v>22193</v>
      </c>
      <c r="E91" s="1556" t="n">
        <v>22139</v>
      </c>
      <c r="F91" s="1557" t="s">
        <v>1764</v>
      </c>
      <c r="G91" s="1558" t="n">
        <v>2</v>
      </c>
      <c r="H91" s="1556" t="s">
        <v>872</v>
      </c>
      <c r="I91" s="1556" t="n">
        <v>9020067</v>
      </c>
      <c r="K91" s="2" t="s">
        <v>1587</v>
      </c>
      <c r="L91" s="2" t="s">
        <v>872</v>
      </c>
    </row>
    <row r="92" customFormat="false" ht="14.25" hidden="false" customHeight="false" outlineLevel="0" collapsed="false">
      <c r="A92" s="1556" t="n">
        <v>22</v>
      </c>
      <c r="B92" s="1556" t="s">
        <v>1765</v>
      </c>
      <c r="C92" s="1556" t="s">
        <v>712</v>
      </c>
      <c r="D92" s="1556" t="n">
        <v>22196</v>
      </c>
      <c r="E92" s="1556" t="n">
        <v>22141</v>
      </c>
      <c r="F92" s="1557" t="s">
        <v>1766</v>
      </c>
      <c r="G92" s="1558" t="n">
        <v>2</v>
      </c>
      <c r="H92" s="1556" t="s">
        <v>872</v>
      </c>
      <c r="I92" s="1556" t="n">
        <v>9020067</v>
      </c>
      <c r="K92" s="2" t="s">
        <v>1590</v>
      </c>
      <c r="L92" s="2" t="s">
        <v>872</v>
      </c>
    </row>
    <row r="93" customFormat="false" ht="14.25" hidden="false" customHeight="false" outlineLevel="0" collapsed="false">
      <c r="A93" s="1556" t="n">
        <v>22</v>
      </c>
      <c r="B93" s="1556" t="s">
        <v>1767</v>
      </c>
      <c r="C93" s="1556" t="s">
        <v>712</v>
      </c>
      <c r="D93" s="1556" t="n">
        <v>22197</v>
      </c>
      <c r="E93" s="1556" t="n">
        <v>22142</v>
      </c>
      <c r="F93" s="1557" t="s">
        <v>1768</v>
      </c>
      <c r="G93" s="1558" t="n">
        <v>1</v>
      </c>
      <c r="H93" s="1556" t="s">
        <v>1523</v>
      </c>
      <c r="I93" s="1556" t="n">
        <v>9020066</v>
      </c>
      <c r="K93" s="2" t="s">
        <v>1593</v>
      </c>
      <c r="L93" s="2" t="s">
        <v>872</v>
      </c>
    </row>
    <row r="94" customFormat="false" ht="14.25" hidden="false" customHeight="false" outlineLevel="0" collapsed="false">
      <c r="A94" s="1556" t="n">
        <v>22</v>
      </c>
      <c r="B94" s="1556" t="s">
        <v>1769</v>
      </c>
      <c r="C94" s="1556" t="s">
        <v>712</v>
      </c>
      <c r="D94" s="1556" t="n">
        <v>22198</v>
      </c>
      <c r="E94" s="1556" t="n">
        <v>22143</v>
      </c>
      <c r="F94" s="1557" t="s">
        <v>1770</v>
      </c>
      <c r="G94" s="1558" t="n">
        <v>1</v>
      </c>
      <c r="H94" s="1556" t="s">
        <v>1523</v>
      </c>
      <c r="I94" s="1556" t="n">
        <v>9020066</v>
      </c>
      <c r="K94" s="2" t="s">
        <v>1771</v>
      </c>
      <c r="L94" s="2" t="s">
        <v>872</v>
      </c>
    </row>
    <row r="95" customFormat="false" ht="14.25" hidden="false" customHeight="false" outlineLevel="0" collapsed="false">
      <c r="A95" s="1556" t="n">
        <v>22</v>
      </c>
      <c r="B95" s="1556" t="s">
        <v>1772</v>
      </c>
      <c r="C95" s="1556" t="s">
        <v>712</v>
      </c>
      <c r="D95" s="1556" t="n">
        <v>22199</v>
      </c>
      <c r="E95" s="1556" t="n">
        <v>22144</v>
      </c>
      <c r="F95" s="1557" t="s">
        <v>1773</v>
      </c>
      <c r="G95" s="1558" t="n">
        <v>1</v>
      </c>
      <c r="H95" s="1556" t="s">
        <v>1523</v>
      </c>
      <c r="I95" s="1556" t="n">
        <v>9020066</v>
      </c>
      <c r="K95" s="2" t="s">
        <v>1774</v>
      </c>
      <c r="L95" s="2" t="s">
        <v>1523</v>
      </c>
    </row>
    <row r="96" customFormat="false" ht="14.25" hidden="false" customHeight="false" outlineLevel="0" collapsed="false">
      <c r="A96" s="1556" t="n">
        <v>22</v>
      </c>
      <c r="B96" s="1556" t="s">
        <v>1775</v>
      </c>
      <c r="C96" s="1556" t="s">
        <v>712</v>
      </c>
      <c r="D96" s="1556" t="n">
        <v>22205</v>
      </c>
      <c r="E96" s="1556" t="n">
        <v>22149</v>
      </c>
      <c r="F96" s="1557" t="s">
        <v>1776</v>
      </c>
      <c r="G96" s="1558" t="n">
        <v>1</v>
      </c>
      <c r="H96" s="1556" t="s">
        <v>1523</v>
      </c>
      <c r="I96" s="1556" t="n">
        <v>9020066</v>
      </c>
      <c r="K96" s="2" t="s">
        <v>1777</v>
      </c>
      <c r="L96" s="2" t="s">
        <v>872</v>
      </c>
    </row>
    <row r="97" customFormat="false" ht="14.25" hidden="false" customHeight="false" outlineLevel="0" collapsed="false">
      <c r="A97" s="1556" t="n">
        <v>22</v>
      </c>
      <c r="B97" s="1556" t="s">
        <v>1778</v>
      </c>
      <c r="C97" s="1556" t="s">
        <v>712</v>
      </c>
      <c r="D97" s="1556" t="n">
        <v>22206</v>
      </c>
      <c r="E97" s="1556" t="n">
        <v>22150</v>
      </c>
      <c r="F97" s="1557" t="s">
        <v>1779</v>
      </c>
      <c r="G97" s="1558" t="n">
        <v>1</v>
      </c>
      <c r="H97" s="1556" t="s">
        <v>1523</v>
      </c>
      <c r="I97" s="1556" t="n">
        <v>9020066</v>
      </c>
      <c r="K97" s="2" t="s">
        <v>1595</v>
      </c>
      <c r="L97" s="2" t="s">
        <v>1523</v>
      </c>
    </row>
    <row r="98" customFormat="false" ht="14.25" hidden="false" customHeight="false" outlineLevel="0" collapsed="false">
      <c r="A98" s="1556" t="n">
        <v>22</v>
      </c>
      <c r="B98" s="1556" t="s">
        <v>1780</v>
      </c>
      <c r="C98" s="1556" t="s">
        <v>712</v>
      </c>
      <c r="D98" s="1556" t="n">
        <v>22207</v>
      </c>
      <c r="E98" s="1556" t="n">
        <v>22151</v>
      </c>
      <c r="F98" s="1557" t="s">
        <v>1781</v>
      </c>
      <c r="G98" s="1558" t="n">
        <v>2</v>
      </c>
      <c r="H98" s="1556" t="s">
        <v>872</v>
      </c>
      <c r="I98" s="1556" t="n">
        <v>9020067</v>
      </c>
      <c r="K98" s="2" t="s">
        <v>1782</v>
      </c>
      <c r="L98" s="2" t="s">
        <v>1523</v>
      </c>
    </row>
    <row r="99" customFormat="false" ht="14.25" hidden="false" customHeight="false" outlineLevel="0" collapsed="false">
      <c r="A99" s="1556" t="n">
        <v>22</v>
      </c>
      <c r="B99" s="1556" t="s">
        <v>1783</v>
      </c>
      <c r="C99" s="1556" t="s">
        <v>712</v>
      </c>
      <c r="D99" s="1556" t="n">
        <v>22208</v>
      </c>
      <c r="E99" s="1556" t="n">
        <v>22905</v>
      </c>
      <c r="F99" s="1557" t="s">
        <v>1784</v>
      </c>
      <c r="G99" s="1558" t="n">
        <v>2</v>
      </c>
      <c r="H99" s="1556" t="s">
        <v>872</v>
      </c>
      <c r="I99" s="1556" t="n">
        <v>9020067</v>
      </c>
      <c r="K99" s="2" t="s">
        <v>1785</v>
      </c>
      <c r="L99" s="2" t="s">
        <v>1523</v>
      </c>
    </row>
    <row r="100" customFormat="false" ht="14.25" hidden="false" customHeight="false" outlineLevel="0" collapsed="false">
      <c r="A100" s="1556" t="n">
        <v>22</v>
      </c>
      <c r="B100" s="1556" t="s">
        <v>1786</v>
      </c>
      <c r="C100" s="1556" t="s">
        <v>712</v>
      </c>
      <c r="D100" s="1556" t="n">
        <v>22215</v>
      </c>
      <c r="E100" s="1556" t="n">
        <v>22155</v>
      </c>
      <c r="F100" s="1557" t="s">
        <v>1787</v>
      </c>
      <c r="G100" s="1558" t="n">
        <v>1</v>
      </c>
      <c r="H100" s="1556" t="s">
        <v>1523</v>
      </c>
      <c r="I100" s="1556" t="n">
        <v>9020066</v>
      </c>
      <c r="K100" s="2" t="s">
        <v>1598</v>
      </c>
      <c r="L100" s="2" t="s">
        <v>1523</v>
      </c>
    </row>
    <row r="101" customFormat="false" ht="14.25" hidden="false" customHeight="false" outlineLevel="0" collapsed="false">
      <c r="A101" s="1556" t="n">
        <v>22</v>
      </c>
      <c r="B101" s="1556" t="s">
        <v>1788</v>
      </c>
      <c r="C101" s="1556" t="s">
        <v>712</v>
      </c>
      <c r="D101" s="1556" t="n">
        <v>22217</v>
      </c>
      <c r="E101" s="1556" t="n">
        <v>22157</v>
      </c>
      <c r="F101" s="1557" t="s">
        <v>1789</v>
      </c>
      <c r="G101" s="1558" t="n">
        <v>1</v>
      </c>
      <c r="H101" s="1556" t="s">
        <v>1523</v>
      </c>
      <c r="I101" s="1556" t="n">
        <v>9020066</v>
      </c>
      <c r="K101" s="2" t="s">
        <v>1790</v>
      </c>
      <c r="L101" s="2" t="s">
        <v>1523</v>
      </c>
    </row>
    <row r="102" customFormat="false" ht="14.25" hidden="false" customHeight="false" outlineLevel="0" collapsed="false">
      <c r="A102" s="1556" t="n">
        <v>22</v>
      </c>
      <c r="B102" s="1556" t="s">
        <v>1791</v>
      </c>
      <c r="C102" s="1556" t="s">
        <v>712</v>
      </c>
      <c r="D102" s="1556" t="n">
        <v>22222</v>
      </c>
      <c r="E102" s="1556" t="n">
        <v>22160</v>
      </c>
      <c r="F102" s="1557" t="s">
        <v>1792</v>
      </c>
      <c r="G102" s="1558" t="n">
        <v>1</v>
      </c>
      <c r="H102" s="1556" t="s">
        <v>1523</v>
      </c>
      <c r="I102" s="1556" t="n">
        <v>9020066</v>
      </c>
      <c r="K102" s="2" t="s">
        <v>1601</v>
      </c>
      <c r="L102" s="2" t="s">
        <v>1523</v>
      </c>
    </row>
    <row r="103" customFormat="false" ht="14.25" hidden="false" customHeight="false" outlineLevel="0" collapsed="false">
      <c r="A103" s="1556" t="n">
        <v>22</v>
      </c>
      <c r="B103" s="1556" t="s">
        <v>1793</v>
      </c>
      <c r="C103" s="1556" t="s">
        <v>712</v>
      </c>
      <c r="D103" s="1556" t="n">
        <v>22226</v>
      </c>
      <c r="E103" s="1556" t="n">
        <v>22162</v>
      </c>
      <c r="F103" s="1557" t="s">
        <v>1794</v>
      </c>
      <c r="G103" s="1558" t="n">
        <v>2</v>
      </c>
      <c r="H103" s="1556" t="s">
        <v>872</v>
      </c>
      <c r="I103" s="1556" t="n">
        <v>9020067</v>
      </c>
      <c r="K103" s="2" t="s">
        <v>1604</v>
      </c>
      <c r="L103" s="2" t="s">
        <v>872</v>
      </c>
    </row>
    <row r="104" customFormat="false" ht="14.25" hidden="false" customHeight="false" outlineLevel="0" collapsed="false">
      <c r="A104" s="1556" t="n">
        <v>22</v>
      </c>
      <c r="B104" s="1556" t="s">
        <v>1795</v>
      </c>
      <c r="C104" s="1556" t="s">
        <v>712</v>
      </c>
      <c r="D104" s="1556" t="n">
        <v>22227</v>
      </c>
      <c r="E104" s="1556" t="n">
        <v>22163</v>
      </c>
      <c r="F104" s="1557" t="s">
        <v>1796</v>
      </c>
      <c r="G104" s="1558" t="n">
        <v>1</v>
      </c>
      <c r="H104" s="1556" t="s">
        <v>1523</v>
      </c>
      <c r="I104" s="1556" t="n">
        <v>9020066</v>
      </c>
      <c r="K104" s="2" t="s">
        <v>1606</v>
      </c>
      <c r="L104" s="2" t="s">
        <v>872</v>
      </c>
    </row>
    <row r="105" customFormat="false" ht="14.25" hidden="false" customHeight="false" outlineLevel="0" collapsed="false">
      <c r="A105" s="1556" t="n">
        <v>22</v>
      </c>
      <c r="B105" s="1556" t="s">
        <v>1797</v>
      </c>
      <c r="C105" s="1556" t="s">
        <v>712</v>
      </c>
      <c r="D105" s="1556" t="n">
        <v>22230</v>
      </c>
      <c r="E105" s="1556" t="n">
        <v>22164</v>
      </c>
      <c r="F105" s="1557" t="s">
        <v>1798</v>
      </c>
      <c r="G105" s="1558" t="n">
        <v>1</v>
      </c>
      <c r="H105" s="1556" t="s">
        <v>1523</v>
      </c>
      <c r="I105" s="1556" t="n">
        <v>9020066</v>
      </c>
      <c r="K105" s="2" t="s">
        <v>1799</v>
      </c>
      <c r="L105" s="2" t="s">
        <v>1523</v>
      </c>
    </row>
    <row r="106" customFormat="false" ht="14.25" hidden="false" customHeight="false" outlineLevel="0" collapsed="false">
      <c r="A106" s="1556" t="n">
        <v>22</v>
      </c>
      <c r="B106" s="1556" t="s">
        <v>1800</v>
      </c>
      <c r="C106" s="1556" t="s">
        <v>712</v>
      </c>
      <c r="D106" s="1556" t="n">
        <v>22231</v>
      </c>
      <c r="E106" s="1556" t="n">
        <v>22165</v>
      </c>
      <c r="F106" s="1557" t="s">
        <v>1801</v>
      </c>
      <c r="G106" s="1558" t="n">
        <v>2</v>
      </c>
      <c r="H106" s="1556" t="s">
        <v>872</v>
      </c>
      <c r="I106" s="1556" t="n">
        <v>9020067</v>
      </c>
      <c r="K106" s="2" t="s">
        <v>1609</v>
      </c>
      <c r="L106" s="2" t="s">
        <v>872</v>
      </c>
    </row>
    <row r="107" customFormat="false" ht="14.25" hidden="false" customHeight="false" outlineLevel="0" collapsed="false">
      <c r="A107" s="1556" t="n">
        <v>22</v>
      </c>
      <c r="B107" s="1556" t="s">
        <v>1802</v>
      </c>
      <c r="C107" s="1556" t="s">
        <v>712</v>
      </c>
      <c r="D107" s="1556" t="n">
        <v>22236</v>
      </c>
      <c r="E107" s="1556" t="n">
        <v>22168</v>
      </c>
      <c r="F107" s="1557" t="s">
        <v>1803</v>
      </c>
      <c r="G107" s="1558" t="n">
        <v>1</v>
      </c>
      <c r="H107" s="1556" t="s">
        <v>1523</v>
      </c>
      <c r="I107" s="1556" t="n">
        <v>9020066</v>
      </c>
      <c r="K107" s="2" t="s">
        <v>1804</v>
      </c>
      <c r="L107" s="2" t="s">
        <v>872</v>
      </c>
    </row>
    <row r="108" customFormat="false" ht="14.25" hidden="false" customHeight="false" outlineLevel="0" collapsed="false">
      <c r="A108" s="1556" t="n">
        <v>22</v>
      </c>
      <c r="B108" s="1556" t="s">
        <v>1805</v>
      </c>
      <c r="C108" s="1556" t="s">
        <v>712</v>
      </c>
      <c r="D108" s="1556" t="n">
        <v>22239</v>
      </c>
      <c r="E108" s="1556" t="n">
        <v>22170</v>
      </c>
      <c r="F108" s="1557" t="s">
        <v>1806</v>
      </c>
      <c r="G108" s="1558" t="n">
        <v>1</v>
      </c>
      <c r="H108" s="1556" t="s">
        <v>1523</v>
      </c>
      <c r="I108" s="1556" t="n">
        <v>9020066</v>
      </c>
      <c r="K108" s="2" t="s">
        <v>1612</v>
      </c>
      <c r="L108" s="2" t="s">
        <v>872</v>
      </c>
    </row>
    <row r="109" customFormat="false" ht="14.25" hidden="false" customHeight="false" outlineLevel="0" collapsed="false">
      <c r="A109" s="1556" t="n">
        <v>22</v>
      </c>
      <c r="B109" s="1556" t="s">
        <v>1807</v>
      </c>
      <c r="C109" s="1556" t="s">
        <v>712</v>
      </c>
      <c r="D109" s="1556" t="n">
        <v>22241</v>
      </c>
      <c r="E109" s="1556" t="n">
        <v>22172</v>
      </c>
      <c r="F109" s="1557" t="s">
        <v>1808</v>
      </c>
      <c r="G109" s="1558" t="n">
        <v>2</v>
      </c>
      <c r="H109" s="1556" t="s">
        <v>872</v>
      </c>
      <c r="I109" s="1556" t="n">
        <v>9020067</v>
      </c>
      <c r="K109" s="2" t="s">
        <v>1614</v>
      </c>
      <c r="L109" s="2" t="s">
        <v>1523</v>
      </c>
    </row>
    <row r="110" customFormat="false" ht="14.25" hidden="false" customHeight="false" outlineLevel="0" collapsed="false">
      <c r="A110" s="1556" t="n">
        <v>22</v>
      </c>
      <c r="B110" s="1556" t="s">
        <v>1809</v>
      </c>
      <c r="C110" s="1556" t="s">
        <v>712</v>
      </c>
      <c r="D110" s="1556" t="n">
        <v>22270</v>
      </c>
      <c r="E110" s="1556" t="n">
        <v>22173</v>
      </c>
      <c r="F110" s="1557" t="s">
        <v>1810</v>
      </c>
      <c r="G110" s="1558" t="n">
        <v>1</v>
      </c>
      <c r="H110" s="1556" t="s">
        <v>1523</v>
      </c>
      <c r="I110" s="1556" t="n">
        <v>9020066</v>
      </c>
      <c r="K110" s="2" t="s">
        <v>1811</v>
      </c>
      <c r="L110" s="2" t="s">
        <v>872</v>
      </c>
    </row>
    <row r="111" customFormat="false" ht="14.25" hidden="false" customHeight="false" outlineLevel="0" collapsed="false">
      <c r="A111" s="1556" t="n">
        <v>22</v>
      </c>
      <c r="B111" s="1556" t="s">
        <v>1812</v>
      </c>
      <c r="C111" s="1556" t="s">
        <v>712</v>
      </c>
      <c r="D111" s="1556" t="n">
        <v>22242</v>
      </c>
      <c r="E111" s="1556" t="n">
        <v>22174</v>
      </c>
      <c r="F111" s="1557" t="s">
        <v>1813</v>
      </c>
      <c r="G111" s="1558" t="n">
        <v>2</v>
      </c>
      <c r="H111" s="1556" t="s">
        <v>872</v>
      </c>
      <c r="I111" s="1556" t="n">
        <v>9020067</v>
      </c>
      <c r="K111" s="2" t="s">
        <v>1814</v>
      </c>
      <c r="L111" s="2" t="s">
        <v>1523</v>
      </c>
    </row>
    <row r="112" customFormat="false" ht="14.25" hidden="false" customHeight="false" outlineLevel="0" collapsed="false">
      <c r="A112" s="1556" t="n">
        <v>22</v>
      </c>
      <c r="B112" s="1556" t="s">
        <v>1815</v>
      </c>
      <c r="C112" s="1556" t="s">
        <v>712</v>
      </c>
      <c r="D112" s="1556" t="n">
        <v>22243</v>
      </c>
      <c r="E112" s="1556" t="n">
        <v>22175</v>
      </c>
      <c r="F112" s="1557" t="s">
        <v>1816</v>
      </c>
      <c r="G112" s="1558" t="n">
        <v>1</v>
      </c>
      <c r="H112" s="1556" t="s">
        <v>1523</v>
      </c>
      <c r="I112" s="1556" t="n">
        <v>9020066</v>
      </c>
      <c r="K112" s="2" t="s">
        <v>1817</v>
      </c>
      <c r="L112" s="2" t="s">
        <v>1523</v>
      </c>
    </row>
    <row r="113" customFormat="false" ht="14.25" hidden="false" customHeight="false" outlineLevel="0" collapsed="false">
      <c r="A113" s="1556" t="n">
        <v>22</v>
      </c>
      <c r="B113" s="1556" t="s">
        <v>1818</v>
      </c>
      <c r="C113" s="1556" t="s">
        <v>712</v>
      </c>
      <c r="D113" s="1556" t="n">
        <v>22244</v>
      </c>
      <c r="E113" s="1556" t="n">
        <v>22176</v>
      </c>
      <c r="F113" s="1557" t="s">
        <v>1819</v>
      </c>
      <c r="G113" s="1558" t="n">
        <v>2</v>
      </c>
      <c r="H113" s="1556" t="s">
        <v>872</v>
      </c>
      <c r="I113" s="1556" t="n">
        <v>9020067</v>
      </c>
      <c r="K113" s="2" t="s">
        <v>1820</v>
      </c>
      <c r="L113" s="2" t="s">
        <v>1523</v>
      </c>
    </row>
    <row r="114" customFormat="false" ht="14.25" hidden="false" customHeight="false" outlineLevel="0" collapsed="false">
      <c r="A114" s="1556" t="n">
        <v>22</v>
      </c>
      <c r="B114" s="1556" t="s">
        <v>1821</v>
      </c>
      <c r="C114" s="1556" t="s">
        <v>712</v>
      </c>
      <c r="D114" s="1556" t="n">
        <v>22245</v>
      </c>
      <c r="E114" s="1556" t="n">
        <v>22177</v>
      </c>
      <c r="F114" s="1557" t="s">
        <v>1822</v>
      </c>
      <c r="G114" s="1558" t="n">
        <v>1</v>
      </c>
      <c r="H114" s="1556" t="s">
        <v>1523</v>
      </c>
      <c r="I114" s="1556" t="n">
        <v>9020066</v>
      </c>
      <c r="K114" s="2" t="s">
        <v>1823</v>
      </c>
      <c r="L114" s="2" t="s">
        <v>872</v>
      </c>
    </row>
    <row r="115" customFormat="false" ht="14.25" hidden="false" customHeight="false" outlineLevel="0" collapsed="false">
      <c r="A115" s="1556" t="n">
        <v>22</v>
      </c>
      <c r="B115" s="1556" t="s">
        <v>1824</v>
      </c>
      <c r="C115" s="1556" t="s">
        <v>712</v>
      </c>
      <c r="D115" s="1556" t="n">
        <v>22246</v>
      </c>
      <c r="E115" s="1556" t="n">
        <v>22178</v>
      </c>
      <c r="F115" s="1557" t="s">
        <v>1825</v>
      </c>
      <c r="G115" s="1558" t="n">
        <v>2</v>
      </c>
      <c r="H115" s="1556" t="s">
        <v>872</v>
      </c>
      <c r="I115" s="1556" t="n">
        <v>9020067</v>
      </c>
      <c r="K115" s="2" t="s">
        <v>1826</v>
      </c>
      <c r="L115" s="2" t="s">
        <v>1523</v>
      </c>
    </row>
    <row r="116" customFormat="false" ht="14.25" hidden="false" customHeight="false" outlineLevel="0" collapsed="false">
      <c r="A116" s="1556" t="n">
        <v>22</v>
      </c>
      <c r="B116" s="1556" t="s">
        <v>1827</v>
      </c>
      <c r="C116" s="1556" t="s">
        <v>712</v>
      </c>
      <c r="D116" s="1556" t="n">
        <v>22249</v>
      </c>
      <c r="E116" s="1556" t="n">
        <v>22181</v>
      </c>
      <c r="F116" s="1557" t="s">
        <v>1828</v>
      </c>
      <c r="G116" s="1558" t="n">
        <v>2</v>
      </c>
      <c r="H116" s="1556" t="s">
        <v>872</v>
      </c>
      <c r="I116" s="1556" t="n">
        <v>9020067</v>
      </c>
      <c r="K116" s="2" t="s">
        <v>1829</v>
      </c>
      <c r="L116" s="2" t="s">
        <v>1523</v>
      </c>
    </row>
    <row r="117" customFormat="false" ht="14.25" hidden="false" customHeight="false" outlineLevel="0" collapsed="false">
      <c r="A117" s="1556" t="n">
        <v>22</v>
      </c>
      <c r="B117" s="1556" t="s">
        <v>1830</v>
      </c>
      <c r="C117" s="1556" t="s">
        <v>712</v>
      </c>
      <c r="D117" s="1556" t="n">
        <v>22250</v>
      </c>
      <c r="E117" s="1556" t="n">
        <v>22182</v>
      </c>
      <c r="F117" s="1557" t="s">
        <v>1831</v>
      </c>
      <c r="G117" s="1558" t="n">
        <v>1</v>
      </c>
      <c r="H117" s="1556" t="s">
        <v>1523</v>
      </c>
      <c r="I117" s="1556" t="n">
        <v>9020066</v>
      </c>
      <c r="K117" s="2" t="s">
        <v>1832</v>
      </c>
      <c r="L117" s="2" t="s">
        <v>1523</v>
      </c>
    </row>
    <row r="118" customFormat="false" ht="14.25" hidden="false" customHeight="false" outlineLevel="0" collapsed="false">
      <c r="A118" s="1556" t="n">
        <v>22</v>
      </c>
      <c r="B118" s="1556" t="s">
        <v>1833</v>
      </c>
      <c r="C118" s="1556" t="s">
        <v>712</v>
      </c>
      <c r="D118" s="1556" t="n">
        <v>22255</v>
      </c>
      <c r="E118" s="1556" t="n">
        <v>22186</v>
      </c>
      <c r="F118" s="1557" t="s">
        <v>1834</v>
      </c>
      <c r="G118" s="1558" t="n">
        <v>2</v>
      </c>
      <c r="H118" s="1556" t="s">
        <v>872</v>
      </c>
      <c r="I118" s="1556" t="n">
        <v>9020067</v>
      </c>
      <c r="K118" s="2" t="s">
        <v>1616</v>
      </c>
      <c r="L118" s="2" t="s">
        <v>1523</v>
      </c>
    </row>
    <row r="119" customFormat="false" ht="14.25" hidden="false" customHeight="false" outlineLevel="0" collapsed="false">
      <c r="A119" s="1556" t="n">
        <v>22</v>
      </c>
      <c r="B119" s="1556" t="s">
        <v>1835</v>
      </c>
      <c r="C119" s="1556" t="s">
        <v>712</v>
      </c>
      <c r="D119" s="1556" t="n">
        <v>22256</v>
      </c>
      <c r="E119" s="1556" t="n">
        <v>22187</v>
      </c>
      <c r="F119" s="1557" t="s">
        <v>1836</v>
      </c>
      <c r="G119" s="1558" t="n">
        <v>1</v>
      </c>
      <c r="H119" s="1556" t="s">
        <v>1523</v>
      </c>
      <c r="I119" s="1556" t="n">
        <v>9020066</v>
      </c>
      <c r="K119" s="2" t="s">
        <v>1619</v>
      </c>
      <c r="L119" s="2" t="s">
        <v>1523</v>
      </c>
    </row>
    <row r="120" customFormat="false" ht="14.25" hidden="false" customHeight="false" outlineLevel="0" collapsed="false">
      <c r="A120" s="1556" t="n">
        <v>22</v>
      </c>
      <c r="B120" s="1556" t="s">
        <v>1837</v>
      </c>
      <c r="C120" s="1556" t="s">
        <v>712</v>
      </c>
      <c r="D120" s="1556" t="n">
        <v>22259</v>
      </c>
      <c r="E120" s="1556" t="n">
        <v>22188</v>
      </c>
      <c r="F120" s="1557" t="s">
        <v>1838</v>
      </c>
      <c r="G120" s="1558" t="n">
        <v>1</v>
      </c>
      <c r="H120" s="1556" t="s">
        <v>1523</v>
      </c>
      <c r="I120" s="1556" t="n">
        <v>9020066</v>
      </c>
      <c r="K120" s="2" t="s">
        <v>1622</v>
      </c>
      <c r="L120" s="2" t="s">
        <v>872</v>
      </c>
    </row>
    <row r="121" customFormat="false" ht="14.25" hidden="false" customHeight="false" outlineLevel="0" collapsed="false">
      <c r="A121" s="1556" t="n">
        <v>22</v>
      </c>
      <c r="B121" s="1556" t="s">
        <v>1839</v>
      </c>
      <c r="C121" s="1556" t="s">
        <v>712</v>
      </c>
      <c r="D121" s="1556" t="n">
        <v>22288</v>
      </c>
      <c r="E121" s="1556" t="n">
        <v>22902</v>
      </c>
      <c r="F121" s="1557" t="s">
        <v>1840</v>
      </c>
      <c r="G121" s="1558" t="n">
        <v>1</v>
      </c>
      <c r="H121" s="1556" t="s">
        <v>1523</v>
      </c>
      <c r="I121" s="1556" t="n">
        <v>9020066</v>
      </c>
      <c r="K121" s="2" t="s">
        <v>1841</v>
      </c>
      <c r="L121" s="2" t="s">
        <v>1523</v>
      </c>
    </row>
    <row r="122" customFormat="false" ht="14.25" hidden="false" customHeight="false" outlineLevel="0" collapsed="false">
      <c r="A122" s="1556" t="n">
        <v>22</v>
      </c>
      <c r="B122" s="1556" t="s">
        <v>1842</v>
      </c>
      <c r="C122" s="1556" t="s">
        <v>712</v>
      </c>
      <c r="D122" s="1556" t="n">
        <v>22260</v>
      </c>
      <c r="E122" s="1556" t="n">
        <v>22189</v>
      </c>
      <c r="F122" s="1557" t="s">
        <v>1843</v>
      </c>
      <c r="G122" s="1558" t="n">
        <v>1</v>
      </c>
      <c r="H122" s="1556" t="s">
        <v>1523</v>
      </c>
      <c r="I122" s="1556" t="n">
        <v>9020066</v>
      </c>
      <c r="K122" s="2" t="s">
        <v>1844</v>
      </c>
      <c r="L122" s="2" t="s">
        <v>1523</v>
      </c>
    </row>
    <row r="123" customFormat="false" ht="14.25" hidden="false" customHeight="false" outlineLevel="0" collapsed="false">
      <c r="A123" s="1556" t="n">
        <v>22</v>
      </c>
      <c r="B123" s="1556" t="s">
        <v>1845</v>
      </c>
      <c r="C123" s="1556" t="s">
        <v>712</v>
      </c>
      <c r="D123" s="1556" t="n">
        <v>22261</v>
      </c>
      <c r="E123" s="1556" t="n">
        <v>22190</v>
      </c>
      <c r="F123" s="1557" t="s">
        <v>1846</v>
      </c>
      <c r="G123" s="1558" t="n">
        <v>1</v>
      </c>
      <c r="H123" s="1556" t="s">
        <v>1523</v>
      </c>
      <c r="I123" s="1556" t="n">
        <v>9020066</v>
      </c>
      <c r="K123" s="2" t="s">
        <v>1847</v>
      </c>
      <c r="L123" s="2" t="s">
        <v>1523</v>
      </c>
    </row>
    <row r="124" customFormat="false" ht="14.25" hidden="false" customHeight="false" outlineLevel="0" collapsed="false">
      <c r="A124" s="1556" t="n">
        <v>22</v>
      </c>
      <c r="B124" s="1556" t="s">
        <v>1848</v>
      </c>
      <c r="C124" s="1556" t="s">
        <v>712</v>
      </c>
      <c r="D124" s="1556" t="n">
        <v>22266</v>
      </c>
      <c r="E124" s="1556" t="n">
        <v>22195</v>
      </c>
      <c r="F124" s="1557" t="s">
        <v>1849</v>
      </c>
      <c r="G124" s="1558" t="n">
        <v>2</v>
      </c>
      <c r="H124" s="1556" t="s">
        <v>872</v>
      </c>
      <c r="I124" s="1556" t="n">
        <v>9020067</v>
      </c>
      <c r="K124" s="2" t="s">
        <v>1850</v>
      </c>
      <c r="L124" s="2" t="s">
        <v>1523</v>
      </c>
    </row>
    <row r="125" customFormat="false" ht="14.25" hidden="false" customHeight="false" outlineLevel="0" collapsed="false">
      <c r="A125" s="1556" t="n">
        <v>22</v>
      </c>
      <c r="B125" s="1556" t="s">
        <v>1851</v>
      </c>
      <c r="C125" s="1556" t="s">
        <v>712</v>
      </c>
      <c r="D125" s="1556" t="n">
        <v>22271</v>
      </c>
      <c r="E125" s="1556" t="n">
        <v>22197</v>
      </c>
      <c r="F125" s="1557" t="s">
        <v>1852</v>
      </c>
      <c r="G125" s="1558" t="n">
        <v>2</v>
      </c>
      <c r="H125" s="1556" t="s">
        <v>872</v>
      </c>
      <c r="I125" s="1556" t="n">
        <v>9020067</v>
      </c>
      <c r="K125" s="2" t="s">
        <v>1853</v>
      </c>
      <c r="L125" s="2" t="s">
        <v>1523</v>
      </c>
    </row>
    <row r="126" customFormat="false" ht="14.25" hidden="false" customHeight="false" outlineLevel="0" collapsed="false">
      <c r="A126" s="1556" t="n">
        <v>22</v>
      </c>
      <c r="B126" s="1556" t="s">
        <v>1854</v>
      </c>
      <c r="C126" s="1556" t="s">
        <v>712</v>
      </c>
      <c r="D126" s="1556" t="n">
        <v>22275</v>
      </c>
      <c r="E126" s="1556" t="n">
        <v>22199</v>
      </c>
      <c r="F126" s="1557" t="s">
        <v>1855</v>
      </c>
      <c r="G126" s="1558" t="n">
        <v>1</v>
      </c>
      <c r="H126" s="1556" t="s">
        <v>1523</v>
      </c>
      <c r="I126" s="1556" t="n">
        <v>9020066</v>
      </c>
      <c r="K126" s="2" t="s">
        <v>1625</v>
      </c>
      <c r="L126" s="2" t="s">
        <v>1523</v>
      </c>
    </row>
    <row r="127" customFormat="false" ht="14.25" hidden="false" customHeight="false" outlineLevel="0" collapsed="false">
      <c r="A127" s="1556" t="n">
        <v>22</v>
      </c>
      <c r="B127" s="1556" t="s">
        <v>1856</v>
      </c>
      <c r="C127" s="1556" t="s">
        <v>712</v>
      </c>
      <c r="D127" s="1556" t="n">
        <v>22276</v>
      </c>
      <c r="E127" s="1556" t="n">
        <v>22200</v>
      </c>
      <c r="F127" s="1557" t="s">
        <v>1857</v>
      </c>
      <c r="G127" s="1558" t="n">
        <v>1</v>
      </c>
      <c r="H127" s="1556" t="s">
        <v>1523</v>
      </c>
      <c r="I127" s="1556" t="n">
        <v>9020066</v>
      </c>
      <c r="K127" s="2" t="s">
        <v>1627</v>
      </c>
      <c r="L127" s="2" t="s">
        <v>1523</v>
      </c>
    </row>
    <row r="128" customFormat="false" ht="14.25" hidden="false" customHeight="false" outlineLevel="0" collapsed="false">
      <c r="A128" s="1556" t="n">
        <v>22</v>
      </c>
      <c r="B128" s="1556" t="s">
        <v>1858</v>
      </c>
      <c r="C128" s="1556" t="s">
        <v>712</v>
      </c>
      <c r="D128" s="1556" t="n">
        <v>22277</v>
      </c>
      <c r="E128" s="1556" t="n">
        <v>22201</v>
      </c>
      <c r="F128" s="1557" t="s">
        <v>1859</v>
      </c>
      <c r="G128" s="1558" t="n">
        <v>2</v>
      </c>
      <c r="H128" s="1556" t="s">
        <v>872</v>
      </c>
      <c r="I128" s="1556" t="n">
        <v>9020067</v>
      </c>
      <c r="K128" s="2" t="s">
        <v>1630</v>
      </c>
      <c r="L128" s="2" t="s">
        <v>1523</v>
      </c>
    </row>
    <row r="129" customFormat="false" ht="14.25" hidden="false" customHeight="false" outlineLevel="0" collapsed="false">
      <c r="A129" s="1556" t="n">
        <v>22</v>
      </c>
      <c r="B129" s="1556" t="s">
        <v>1860</v>
      </c>
      <c r="C129" s="1556" t="s">
        <v>712</v>
      </c>
      <c r="D129" s="1556" t="n">
        <v>22278</v>
      </c>
      <c r="E129" s="1556" t="n">
        <v>22202</v>
      </c>
      <c r="F129" s="1557" t="s">
        <v>1861</v>
      </c>
      <c r="G129" s="1558" t="n">
        <v>2</v>
      </c>
      <c r="H129" s="1556" t="s">
        <v>872</v>
      </c>
      <c r="I129" s="1556" t="n">
        <v>9020067</v>
      </c>
      <c r="K129" s="2" t="s">
        <v>1862</v>
      </c>
      <c r="L129" s="2" t="s">
        <v>1523</v>
      </c>
    </row>
    <row r="130" customFormat="false" ht="14.25" hidden="false" customHeight="false" outlineLevel="0" collapsed="false">
      <c r="A130" s="1556" t="n">
        <v>22</v>
      </c>
      <c r="B130" s="1556" t="s">
        <v>1863</v>
      </c>
      <c r="C130" s="1556" t="s">
        <v>712</v>
      </c>
      <c r="D130" s="1556" t="n">
        <v>22279</v>
      </c>
      <c r="E130" s="1556" t="n">
        <v>22203</v>
      </c>
      <c r="F130" s="1557" t="s">
        <v>1864</v>
      </c>
      <c r="G130" s="1558" t="n">
        <v>2</v>
      </c>
      <c r="H130" s="1556" t="s">
        <v>872</v>
      </c>
      <c r="I130" s="1556" t="n">
        <v>9020067</v>
      </c>
      <c r="K130" s="2" t="s">
        <v>1865</v>
      </c>
      <c r="L130" s="2" t="s">
        <v>872</v>
      </c>
    </row>
    <row r="131" customFormat="false" ht="14.25" hidden="false" customHeight="false" outlineLevel="0" collapsed="false">
      <c r="A131" s="1556" t="n">
        <v>22</v>
      </c>
      <c r="B131" s="1556" t="s">
        <v>1866</v>
      </c>
      <c r="C131" s="1556" t="s">
        <v>712</v>
      </c>
      <c r="D131" s="1556" t="n">
        <v>22282</v>
      </c>
      <c r="E131" s="1556" t="n">
        <v>22204</v>
      </c>
      <c r="F131" s="1557" t="s">
        <v>1867</v>
      </c>
      <c r="G131" s="1558" t="n">
        <v>1</v>
      </c>
      <c r="H131" s="1556" t="s">
        <v>1523</v>
      </c>
      <c r="I131" s="1556" t="n">
        <v>9020066</v>
      </c>
      <c r="K131" s="2" t="s">
        <v>1632</v>
      </c>
      <c r="L131" s="2" t="s">
        <v>1523</v>
      </c>
    </row>
    <row r="132" customFormat="false" ht="14.25" hidden="false" customHeight="false" outlineLevel="0" collapsed="false">
      <c r="A132" s="1556" t="n">
        <v>22</v>
      </c>
      <c r="B132" s="1556" t="s">
        <v>1868</v>
      </c>
      <c r="C132" s="1556" t="s">
        <v>712</v>
      </c>
      <c r="D132" s="1556" t="n">
        <v>22283</v>
      </c>
      <c r="E132" s="1556" t="n">
        <v>22205</v>
      </c>
      <c r="F132" s="1557" t="s">
        <v>1869</v>
      </c>
      <c r="G132" s="1558" t="n">
        <v>2</v>
      </c>
      <c r="H132" s="1556" t="s">
        <v>872</v>
      </c>
      <c r="I132" s="1556" t="n">
        <v>9020067</v>
      </c>
      <c r="K132" s="2" t="s">
        <v>1635</v>
      </c>
      <c r="L132" s="2" t="s">
        <v>872</v>
      </c>
    </row>
    <row r="133" customFormat="false" ht="14.25" hidden="false" customHeight="false" outlineLevel="0" collapsed="false">
      <c r="A133" s="1556" t="n">
        <v>22</v>
      </c>
      <c r="B133" s="1556" t="s">
        <v>1870</v>
      </c>
      <c r="C133" s="1556" t="s">
        <v>712</v>
      </c>
      <c r="D133" s="1556" t="n">
        <v>22285</v>
      </c>
      <c r="E133" s="1556" t="n">
        <v>22207</v>
      </c>
      <c r="F133" s="1557" t="s">
        <v>1871</v>
      </c>
      <c r="G133" s="1558" t="n">
        <v>1</v>
      </c>
      <c r="H133" s="1556" t="s">
        <v>1523</v>
      </c>
      <c r="I133" s="1556" t="n">
        <v>9020066</v>
      </c>
      <c r="K133" s="2" t="s">
        <v>1872</v>
      </c>
      <c r="L133" s="2" t="s">
        <v>872</v>
      </c>
    </row>
    <row r="134" customFormat="false" ht="14.25" hidden="false" customHeight="false" outlineLevel="0" collapsed="false">
      <c r="A134" s="1556" t="n">
        <v>22</v>
      </c>
      <c r="B134" s="1556" t="s">
        <v>1873</v>
      </c>
      <c r="C134" s="1556" t="s">
        <v>712</v>
      </c>
      <c r="D134" s="1556" t="n">
        <v>22286</v>
      </c>
      <c r="E134" s="1556" t="n">
        <v>22208</v>
      </c>
      <c r="F134" s="1557" t="s">
        <v>1874</v>
      </c>
      <c r="G134" s="1558" t="n">
        <v>1</v>
      </c>
      <c r="H134" s="1556" t="s">
        <v>1523</v>
      </c>
      <c r="I134" s="1556" t="n">
        <v>9020066</v>
      </c>
      <c r="K134" s="2" t="s">
        <v>1875</v>
      </c>
      <c r="L134" s="2" t="s">
        <v>1523</v>
      </c>
    </row>
    <row r="135" customFormat="false" ht="14.25" hidden="false" customHeight="false" outlineLevel="0" collapsed="false">
      <c r="A135" s="1556" t="n">
        <v>22</v>
      </c>
      <c r="B135" s="1556" t="s">
        <v>1876</v>
      </c>
      <c r="C135" s="1556" t="s">
        <v>712</v>
      </c>
      <c r="D135" s="1556" t="n">
        <v>22287</v>
      </c>
      <c r="E135" s="1556" t="n">
        <v>22209</v>
      </c>
      <c r="F135" s="1557" t="s">
        <v>1877</v>
      </c>
      <c r="G135" s="1558" t="n">
        <v>1</v>
      </c>
      <c r="H135" s="1556" t="s">
        <v>1523</v>
      </c>
      <c r="I135" s="1556" t="n">
        <v>9020066</v>
      </c>
      <c r="K135" s="2" t="s">
        <v>1638</v>
      </c>
      <c r="L135" s="2" t="s">
        <v>872</v>
      </c>
    </row>
    <row r="136" customFormat="false" ht="14.25" hidden="false" customHeight="false" outlineLevel="0" collapsed="false">
      <c r="A136" s="1556" t="n">
        <v>22</v>
      </c>
      <c r="B136" s="1556" t="s">
        <v>1878</v>
      </c>
      <c r="C136" s="1556" t="s">
        <v>712</v>
      </c>
      <c r="D136" s="1556" t="n">
        <v>22171</v>
      </c>
      <c r="E136" s="1556" t="n">
        <v>22906</v>
      </c>
      <c r="F136" s="1557" t="s">
        <v>1879</v>
      </c>
      <c r="G136" s="1558" t="n">
        <v>1</v>
      </c>
      <c r="H136" s="1556" t="s">
        <v>1523</v>
      </c>
      <c r="I136" s="1556" t="n">
        <v>9020066</v>
      </c>
      <c r="K136" s="2" t="s">
        <v>1880</v>
      </c>
      <c r="L136" s="2" t="s">
        <v>872</v>
      </c>
    </row>
    <row r="137" customFormat="false" ht="14.25" hidden="false" customHeight="false" outlineLevel="0" collapsed="false">
      <c r="A137" s="1556" t="n">
        <v>22</v>
      </c>
      <c r="B137" s="1556" t="s">
        <v>1881</v>
      </c>
      <c r="C137" s="1556" t="s">
        <v>712</v>
      </c>
      <c r="D137" s="1556" t="n">
        <v>22291</v>
      </c>
      <c r="E137" s="1556" t="n">
        <v>22212</v>
      </c>
      <c r="F137" s="1557" t="s">
        <v>1882</v>
      </c>
      <c r="G137" s="1558" t="n">
        <v>1</v>
      </c>
      <c r="H137" s="1556" t="s">
        <v>1523</v>
      </c>
      <c r="I137" s="1556" t="n">
        <v>9020066</v>
      </c>
      <c r="K137" s="2" t="s">
        <v>1641</v>
      </c>
      <c r="L137" s="2" t="s">
        <v>1523</v>
      </c>
    </row>
    <row r="138" customFormat="false" ht="14.25" hidden="false" customHeight="false" outlineLevel="0" collapsed="false">
      <c r="A138" s="1556" t="n">
        <v>22</v>
      </c>
      <c r="B138" s="1556" t="s">
        <v>1883</v>
      </c>
      <c r="C138" s="1556" t="s">
        <v>712</v>
      </c>
      <c r="D138" s="1556" t="n">
        <v>22298</v>
      </c>
      <c r="E138" s="1556" t="n">
        <v>22214</v>
      </c>
      <c r="F138" s="1557" t="s">
        <v>1884</v>
      </c>
      <c r="G138" s="1558" t="n">
        <v>1</v>
      </c>
      <c r="H138" s="1556" t="s">
        <v>1523</v>
      </c>
      <c r="I138" s="1556" t="n">
        <v>9020066</v>
      </c>
      <c r="K138" s="2" t="s">
        <v>1644</v>
      </c>
      <c r="L138" s="2" t="s">
        <v>1523</v>
      </c>
    </row>
    <row r="139" customFormat="false" ht="14.25" hidden="false" customHeight="false" outlineLevel="0" collapsed="false">
      <c r="A139" s="1556" t="n">
        <v>22</v>
      </c>
      <c r="B139" s="1556" t="s">
        <v>1885</v>
      </c>
      <c r="C139" s="1556" t="s">
        <v>712</v>
      </c>
      <c r="D139" s="1556" t="n">
        <v>22299</v>
      </c>
      <c r="E139" s="1556" t="n">
        <v>22215</v>
      </c>
      <c r="F139" s="1557" t="s">
        <v>1886</v>
      </c>
      <c r="G139" s="1558" t="n">
        <v>1</v>
      </c>
      <c r="H139" s="1556" t="s">
        <v>1523</v>
      </c>
      <c r="I139" s="1556" t="n">
        <v>9020066</v>
      </c>
      <c r="K139" s="2" t="s">
        <v>1647</v>
      </c>
      <c r="L139" s="2" t="s">
        <v>1523</v>
      </c>
    </row>
    <row r="140" customFormat="false" ht="14.25" hidden="false" customHeight="false" outlineLevel="0" collapsed="false">
      <c r="A140" s="1556" t="n">
        <v>22</v>
      </c>
      <c r="B140" s="1556" t="s">
        <v>1887</v>
      </c>
      <c r="C140" s="1556" t="s">
        <v>712</v>
      </c>
      <c r="D140" s="1556" t="n">
        <v>22301</v>
      </c>
      <c r="E140" s="1556" t="n">
        <v>22217</v>
      </c>
      <c r="F140" s="1557" t="s">
        <v>1888</v>
      </c>
      <c r="G140" s="1558" t="n">
        <v>2</v>
      </c>
      <c r="H140" s="1556" t="s">
        <v>872</v>
      </c>
      <c r="I140" s="1556" t="n">
        <v>9020067</v>
      </c>
      <c r="K140" s="2" t="s">
        <v>1889</v>
      </c>
      <c r="L140" s="2" t="s">
        <v>872</v>
      </c>
    </row>
    <row r="141" customFormat="false" ht="14.25" hidden="false" customHeight="false" outlineLevel="0" collapsed="false">
      <c r="A141" s="1556" t="n">
        <v>22</v>
      </c>
      <c r="B141" s="1556" t="s">
        <v>1890</v>
      </c>
      <c r="C141" s="1556" t="s">
        <v>712</v>
      </c>
      <c r="D141" s="1556" t="n">
        <v>22303</v>
      </c>
      <c r="E141" s="1556" t="n">
        <v>22218</v>
      </c>
      <c r="F141" s="1557" t="s">
        <v>1891</v>
      </c>
      <c r="G141" s="1558" t="n">
        <v>2</v>
      </c>
      <c r="H141" s="1556" t="s">
        <v>872</v>
      </c>
      <c r="I141" s="1556" t="n">
        <v>9020067</v>
      </c>
      <c r="K141" s="2" t="s">
        <v>1892</v>
      </c>
      <c r="L141" s="2" t="s">
        <v>1523</v>
      </c>
    </row>
    <row r="142" customFormat="false" ht="14.25" hidden="false" customHeight="false" outlineLevel="0" collapsed="false">
      <c r="A142" s="1556" t="n">
        <v>22</v>
      </c>
      <c r="B142" s="1556" t="s">
        <v>1893</v>
      </c>
      <c r="C142" s="1556" t="s">
        <v>712</v>
      </c>
      <c r="D142" s="1556" t="n">
        <v>22305</v>
      </c>
      <c r="E142" s="1556" t="n">
        <v>22220</v>
      </c>
      <c r="F142" s="1557" t="s">
        <v>1894</v>
      </c>
      <c r="G142" s="1558" t="n">
        <v>2</v>
      </c>
      <c r="H142" s="1556" t="s">
        <v>872</v>
      </c>
      <c r="I142" s="1556" t="n">
        <v>9020067</v>
      </c>
      <c r="K142" s="2" t="s">
        <v>1895</v>
      </c>
      <c r="L142" s="2" t="s">
        <v>872</v>
      </c>
    </row>
    <row r="143" customFormat="false" ht="14.25" hidden="false" customHeight="false" outlineLevel="0" collapsed="false">
      <c r="A143" s="1556" t="n">
        <v>22</v>
      </c>
      <c r="B143" s="1556" t="s">
        <v>1896</v>
      </c>
      <c r="C143" s="1556" t="s">
        <v>712</v>
      </c>
      <c r="D143" s="1556" t="n">
        <v>22306</v>
      </c>
      <c r="E143" s="1556" t="n">
        <v>22221</v>
      </c>
      <c r="F143" s="1557" t="s">
        <v>1897</v>
      </c>
      <c r="G143" s="1558" t="n">
        <v>1</v>
      </c>
      <c r="H143" s="1556" t="s">
        <v>1523</v>
      </c>
      <c r="I143" s="1556" t="n">
        <v>9020066</v>
      </c>
      <c r="K143" s="2" t="s">
        <v>1898</v>
      </c>
      <c r="L143" s="2" t="s">
        <v>872</v>
      </c>
    </row>
    <row r="144" customFormat="false" ht="14.25" hidden="false" customHeight="false" outlineLevel="0" collapsed="false">
      <c r="A144" s="1556" t="n">
        <v>22</v>
      </c>
      <c r="B144" s="1556" t="s">
        <v>1899</v>
      </c>
      <c r="C144" s="1556" t="s">
        <v>712</v>
      </c>
      <c r="D144" s="1556" t="n">
        <v>22309</v>
      </c>
      <c r="E144" s="1556" t="n">
        <v>22222</v>
      </c>
      <c r="F144" s="1557" t="s">
        <v>1900</v>
      </c>
      <c r="G144" s="1558" t="n">
        <v>2</v>
      </c>
      <c r="H144" s="1556" t="s">
        <v>872</v>
      </c>
      <c r="I144" s="1556" t="n">
        <v>9020067</v>
      </c>
      <c r="K144" s="2" t="s">
        <v>1901</v>
      </c>
      <c r="L144" s="2" t="s">
        <v>1523</v>
      </c>
    </row>
    <row r="145" customFormat="false" ht="14.25" hidden="false" customHeight="false" outlineLevel="0" collapsed="false">
      <c r="A145" s="1556" t="n">
        <v>22</v>
      </c>
      <c r="B145" s="1556" t="s">
        <v>1902</v>
      </c>
      <c r="C145" s="1556" t="s">
        <v>712</v>
      </c>
      <c r="D145" s="1556" t="n">
        <v>22313</v>
      </c>
      <c r="E145" s="1556" t="n">
        <v>22223</v>
      </c>
      <c r="F145" s="1557" t="s">
        <v>1903</v>
      </c>
      <c r="G145" s="1558" t="n">
        <v>1</v>
      </c>
      <c r="H145" s="1556" t="s">
        <v>1523</v>
      </c>
      <c r="I145" s="1556" t="n">
        <v>9020066</v>
      </c>
      <c r="K145" s="2" t="s">
        <v>1904</v>
      </c>
      <c r="L145" s="2" t="s">
        <v>1523</v>
      </c>
    </row>
    <row r="146" customFormat="false" ht="14.25" hidden="false" customHeight="false" outlineLevel="0" collapsed="false">
      <c r="A146" s="1556" t="n">
        <v>22</v>
      </c>
      <c r="B146" s="1556" t="s">
        <v>1905</v>
      </c>
      <c r="C146" s="1556" t="s">
        <v>712</v>
      </c>
      <c r="D146" s="1556" t="n">
        <v>22088</v>
      </c>
      <c r="E146" s="1556" t="n">
        <v>22904</v>
      </c>
      <c r="F146" s="1557" t="s">
        <v>1906</v>
      </c>
      <c r="G146" s="1558" t="n">
        <v>2</v>
      </c>
      <c r="H146" s="1556" t="s">
        <v>872</v>
      </c>
      <c r="I146" s="1556" t="n">
        <v>9020067</v>
      </c>
      <c r="K146" s="2" t="s">
        <v>1650</v>
      </c>
      <c r="L146" s="2" t="s">
        <v>1523</v>
      </c>
    </row>
    <row r="147" customFormat="false" ht="14.25" hidden="false" customHeight="false" outlineLevel="0" collapsed="false">
      <c r="A147" s="1556" t="n">
        <v>22</v>
      </c>
      <c r="B147" s="1556" t="s">
        <v>1907</v>
      </c>
      <c r="C147" s="1556" t="s">
        <v>712</v>
      </c>
      <c r="D147" s="1556" t="n">
        <v>22316</v>
      </c>
      <c r="E147" s="1556" t="n">
        <v>22226</v>
      </c>
      <c r="F147" s="1557" t="s">
        <v>1908</v>
      </c>
      <c r="G147" s="1558" t="n">
        <v>2</v>
      </c>
      <c r="H147" s="1556" t="s">
        <v>872</v>
      </c>
      <c r="I147" s="1556" t="n">
        <v>9020067</v>
      </c>
      <c r="K147" s="2" t="s">
        <v>1909</v>
      </c>
      <c r="L147" s="2" t="s">
        <v>1523</v>
      </c>
    </row>
    <row r="148" customFormat="false" ht="14.25" hidden="false" customHeight="false" outlineLevel="0" collapsed="false">
      <c r="A148" s="1556" t="n">
        <v>22</v>
      </c>
      <c r="B148" s="1556" t="s">
        <v>1910</v>
      </c>
      <c r="C148" s="1556" t="s">
        <v>712</v>
      </c>
      <c r="D148" s="1556" t="n">
        <v>22317</v>
      </c>
      <c r="E148" s="1556" t="n">
        <v>22227</v>
      </c>
      <c r="F148" s="1557" t="s">
        <v>1911</v>
      </c>
      <c r="G148" s="1558" t="n">
        <v>1</v>
      </c>
      <c r="H148" s="1556" t="s">
        <v>1523</v>
      </c>
      <c r="I148" s="1556" t="n">
        <v>9020066</v>
      </c>
      <c r="K148" s="2" t="s">
        <v>1912</v>
      </c>
      <c r="L148" s="2" t="s">
        <v>1523</v>
      </c>
    </row>
    <row r="149" customFormat="false" ht="14.25" hidden="false" customHeight="false" outlineLevel="0" collapsed="false">
      <c r="A149" s="1556" t="n">
        <v>22</v>
      </c>
      <c r="B149" s="1556" t="s">
        <v>1913</v>
      </c>
      <c r="C149" s="1556" t="s">
        <v>712</v>
      </c>
      <c r="D149" s="1556" t="n">
        <v>22318</v>
      </c>
      <c r="E149" s="1556" t="n">
        <v>22228</v>
      </c>
      <c r="F149" s="1557" t="s">
        <v>1914</v>
      </c>
      <c r="G149" s="1558" t="n">
        <v>2</v>
      </c>
      <c r="H149" s="1556" t="s">
        <v>872</v>
      </c>
      <c r="I149" s="1556" t="n">
        <v>9020067</v>
      </c>
      <c r="K149" s="2" t="s">
        <v>1915</v>
      </c>
      <c r="L149" s="2" t="s">
        <v>872</v>
      </c>
    </row>
    <row r="150" customFormat="false" ht="14.25" hidden="false" customHeight="false" outlineLevel="0" collapsed="false">
      <c r="A150" s="1556" t="n">
        <v>22</v>
      </c>
      <c r="B150" s="1556" t="s">
        <v>1916</v>
      </c>
      <c r="C150" s="1556" t="s">
        <v>712</v>
      </c>
      <c r="D150" s="1556" t="n">
        <v>22320</v>
      </c>
      <c r="E150" s="1556" t="n">
        <v>22229</v>
      </c>
      <c r="F150" s="1557" t="s">
        <v>1917</v>
      </c>
      <c r="G150" s="1558" t="n">
        <v>1</v>
      </c>
      <c r="H150" s="1556" t="s">
        <v>1523</v>
      </c>
      <c r="I150" s="1556" t="n">
        <v>9020066</v>
      </c>
      <c r="K150" s="2" t="s">
        <v>1918</v>
      </c>
      <c r="L150" s="2" t="s">
        <v>872</v>
      </c>
    </row>
    <row r="151" customFormat="false" ht="14.25" hidden="false" customHeight="false" outlineLevel="0" collapsed="false">
      <c r="A151" s="1556" t="n">
        <v>22</v>
      </c>
      <c r="B151" s="1556" t="s">
        <v>1919</v>
      </c>
      <c r="C151" s="1556" t="s">
        <v>712</v>
      </c>
      <c r="D151" s="1556" t="n">
        <v>22321</v>
      </c>
      <c r="E151" s="1556" t="n">
        <v>22230</v>
      </c>
      <c r="F151" s="1557" t="s">
        <v>1920</v>
      </c>
      <c r="G151" s="1558" t="n">
        <v>1</v>
      </c>
      <c r="H151" s="1556" t="s">
        <v>1523</v>
      </c>
      <c r="I151" s="1556" t="n">
        <v>9020066</v>
      </c>
      <c r="K151" s="2" t="s">
        <v>1921</v>
      </c>
      <c r="L151" s="2" t="s">
        <v>1523</v>
      </c>
    </row>
    <row r="152" customFormat="false" ht="14.25" hidden="false" customHeight="false" outlineLevel="0" collapsed="false">
      <c r="A152" s="1556" t="n">
        <v>22</v>
      </c>
      <c r="B152" s="1556" t="s">
        <v>1922</v>
      </c>
      <c r="C152" s="1556" t="s">
        <v>712</v>
      </c>
      <c r="D152" s="1556" t="n">
        <v>22323</v>
      </c>
      <c r="E152" s="1556" t="n">
        <v>22232</v>
      </c>
      <c r="F152" s="1557" t="s">
        <v>1923</v>
      </c>
      <c r="G152" s="1558" t="n">
        <v>2</v>
      </c>
      <c r="H152" s="1556" t="s">
        <v>872</v>
      </c>
      <c r="I152" s="1556" t="n">
        <v>9020067</v>
      </c>
      <c r="K152" s="2" t="s">
        <v>1924</v>
      </c>
      <c r="L152" s="2" t="s">
        <v>872</v>
      </c>
    </row>
    <row r="153" customFormat="false" ht="14.25" hidden="false" customHeight="false" outlineLevel="0" collapsed="false">
      <c r="A153" s="1556" t="n">
        <v>22</v>
      </c>
      <c r="B153" s="1556" t="s">
        <v>1925</v>
      </c>
      <c r="C153" s="1556" t="s">
        <v>712</v>
      </c>
      <c r="D153" s="1556" t="n">
        <v>22324</v>
      </c>
      <c r="E153" s="1556" t="n">
        <v>22233</v>
      </c>
      <c r="F153" s="1557" t="s">
        <v>1926</v>
      </c>
      <c r="G153" s="1558" t="n">
        <v>1</v>
      </c>
      <c r="H153" s="1556" t="s">
        <v>1523</v>
      </c>
      <c r="I153" s="1556" t="n">
        <v>9020066</v>
      </c>
      <c r="K153" s="2" t="s">
        <v>1927</v>
      </c>
      <c r="L153" s="2" t="s">
        <v>872</v>
      </c>
    </row>
    <row r="154" customFormat="false" ht="14.25" hidden="false" customHeight="false" outlineLevel="0" collapsed="false">
      <c r="A154" s="1556" t="n">
        <v>22</v>
      </c>
      <c r="B154" s="1556" t="s">
        <v>1928</v>
      </c>
      <c r="C154" s="1556" t="s">
        <v>712</v>
      </c>
      <c r="D154" s="1556" t="n">
        <v>22325</v>
      </c>
      <c r="E154" s="1556" t="n">
        <v>22234</v>
      </c>
      <c r="F154" s="1557" t="s">
        <v>1929</v>
      </c>
      <c r="G154" s="1558" t="n">
        <v>2</v>
      </c>
      <c r="H154" s="1556" t="s">
        <v>872</v>
      </c>
      <c r="I154" s="1556" t="n">
        <v>9020067</v>
      </c>
      <c r="K154" s="2" t="s">
        <v>1930</v>
      </c>
      <c r="L154" s="2" t="s">
        <v>872</v>
      </c>
    </row>
    <row r="155" customFormat="false" ht="14.25" hidden="false" customHeight="false" outlineLevel="0" collapsed="false">
      <c r="A155" s="1556" t="n">
        <v>22</v>
      </c>
      <c r="B155" s="1556" t="s">
        <v>1931</v>
      </c>
      <c r="C155" s="1556" t="s">
        <v>712</v>
      </c>
      <c r="D155" s="1556" t="n">
        <v>22336</v>
      </c>
      <c r="E155" s="1556" t="n">
        <v>22242</v>
      </c>
      <c r="F155" s="1557" t="s">
        <v>1932</v>
      </c>
      <c r="G155" s="1558" t="n">
        <v>2</v>
      </c>
      <c r="H155" s="1556" t="s">
        <v>872</v>
      </c>
      <c r="I155" s="1556" t="n">
        <v>9020067</v>
      </c>
      <c r="K155" s="2" t="s">
        <v>1933</v>
      </c>
      <c r="L155" s="2" t="s">
        <v>1523</v>
      </c>
    </row>
    <row r="156" customFormat="false" ht="14.25" hidden="false" customHeight="false" outlineLevel="0" collapsed="false">
      <c r="A156" s="1556" t="n">
        <v>22</v>
      </c>
      <c r="B156" s="1556" t="s">
        <v>1934</v>
      </c>
      <c r="C156" s="1556" t="s">
        <v>712</v>
      </c>
      <c r="D156" s="1556" t="n">
        <v>22337</v>
      </c>
      <c r="E156" s="1556" t="n">
        <v>22243</v>
      </c>
      <c r="F156" s="1557" t="s">
        <v>1935</v>
      </c>
      <c r="G156" s="1558" t="n">
        <v>1</v>
      </c>
      <c r="H156" s="1556" t="s">
        <v>1523</v>
      </c>
      <c r="I156" s="1556" t="n">
        <v>9020066</v>
      </c>
      <c r="K156" s="2" t="s">
        <v>1936</v>
      </c>
      <c r="L156" s="2" t="s">
        <v>872</v>
      </c>
    </row>
    <row r="157" customFormat="false" ht="14.25" hidden="false" customHeight="false" outlineLevel="0" collapsed="false">
      <c r="A157" s="1556" t="n">
        <v>22</v>
      </c>
      <c r="B157" s="1556" t="s">
        <v>1937</v>
      </c>
      <c r="C157" s="1556" t="s">
        <v>712</v>
      </c>
      <c r="D157" s="1556" t="n">
        <v>22168</v>
      </c>
      <c r="E157" s="1556" t="n">
        <v>22901</v>
      </c>
      <c r="F157" s="1557" t="s">
        <v>1938</v>
      </c>
      <c r="G157" s="1558" t="n">
        <v>1</v>
      </c>
      <c r="H157" s="1556" t="s">
        <v>1523</v>
      </c>
      <c r="I157" s="1556" t="n">
        <v>9020066</v>
      </c>
      <c r="K157" s="2" t="s">
        <v>1939</v>
      </c>
      <c r="L157" s="2" t="s">
        <v>872</v>
      </c>
    </row>
    <row r="158" customFormat="false" ht="14.25" hidden="false" customHeight="false" outlineLevel="0" collapsed="false">
      <c r="A158" s="1556" t="n">
        <v>22</v>
      </c>
      <c r="B158" s="1556" t="s">
        <v>1940</v>
      </c>
      <c r="C158" s="1556" t="s">
        <v>712</v>
      </c>
      <c r="D158" s="1556" t="n">
        <v>22338</v>
      </c>
      <c r="E158" s="1556" t="n">
        <v>22244</v>
      </c>
      <c r="F158" s="1557" t="s">
        <v>1941</v>
      </c>
      <c r="G158" s="1558" t="n">
        <v>1</v>
      </c>
      <c r="H158" s="1556" t="s">
        <v>1523</v>
      </c>
      <c r="I158" s="1556" t="n">
        <v>9020066</v>
      </c>
      <c r="K158" s="2" t="s">
        <v>1942</v>
      </c>
      <c r="L158" s="2" t="s">
        <v>1523</v>
      </c>
    </row>
    <row r="159" customFormat="false" ht="14.25" hidden="false" customHeight="false" outlineLevel="0" collapsed="false">
      <c r="A159" s="1556" t="n">
        <v>22</v>
      </c>
      <c r="B159" s="1556" t="s">
        <v>1943</v>
      </c>
      <c r="C159" s="1556" t="s">
        <v>712</v>
      </c>
      <c r="D159" s="1556" t="n">
        <v>22339</v>
      </c>
      <c r="E159" s="1556" t="n">
        <v>22245</v>
      </c>
      <c r="F159" s="1557" t="s">
        <v>1944</v>
      </c>
      <c r="G159" s="1558" t="n">
        <v>2</v>
      </c>
      <c r="H159" s="1556" t="s">
        <v>872</v>
      </c>
      <c r="I159" s="1556" t="n">
        <v>9020067</v>
      </c>
      <c r="K159" s="2" t="s">
        <v>1945</v>
      </c>
      <c r="L159" s="2" t="s">
        <v>872</v>
      </c>
    </row>
    <row r="160" customFormat="false" ht="14.25" hidden="false" customHeight="false" outlineLevel="0" collapsed="false">
      <c r="A160" s="1556" t="n">
        <v>22</v>
      </c>
      <c r="B160" s="1556" t="s">
        <v>1946</v>
      </c>
      <c r="C160" s="1556" t="s">
        <v>712</v>
      </c>
      <c r="D160" s="1556" t="n">
        <v>22071</v>
      </c>
      <c r="E160" s="1556" t="n">
        <v>22246</v>
      </c>
      <c r="F160" s="1557" t="s">
        <v>1947</v>
      </c>
      <c r="G160" s="1558" t="n">
        <v>1</v>
      </c>
      <c r="H160" s="1556" t="s">
        <v>1523</v>
      </c>
      <c r="I160" s="1556" t="n">
        <v>9020066</v>
      </c>
      <c r="K160" s="2" t="s">
        <v>1948</v>
      </c>
      <c r="L160" s="2" t="s">
        <v>1523</v>
      </c>
    </row>
    <row r="161" customFormat="false" ht="14.25" hidden="false" customHeight="false" outlineLevel="0" collapsed="false">
      <c r="A161" s="1556" t="n">
        <v>22</v>
      </c>
      <c r="B161" s="1556" t="s">
        <v>1949</v>
      </c>
      <c r="C161" s="1556" t="s">
        <v>712</v>
      </c>
      <c r="D161" s="1556" t="n">
        <v>22341</v>
      </c>
      <c r="E161" s="1556" t="n">
        <v>22247</v>
      </c>
      <c r="F161" s="1557" t="s">
        <v>1950</v>
      </c>
      <c r="G161" s="1558" t="n">
        <v>1</v>
      </c>
      <c r="H161" s="1556" t="s">
        <v>1523</v>
      </c>
      <c r="I161" s="1556" t="n">
        <v>9020066</v>
      </c>
      <c r="K161" s="2" t="s">
        <v>1951</v>
      </c>
      <c r="L161" s="2" t="s">
        <v>872</v>
      </c>
    </row>
    <row r="162" customFormat="false" ht="14.25" hidden="false" customHeight="false" outlineLevel="0" collapsed="false">
      <c r="A162" s="1556" t="n">
        <v>22</v>
      </c>
      <c r="B162" s="1556" t="s">
        <v>1952</v>
      </c>
      <c r="C162" s="1556" t="s">
        <v>712</v>
      </c>
      <c r="D162" s="1556" t="n">
        <v>22342</v>
      </c>
      <c r="E162" s="1556" t="n">
        <v>22248</v>
      </c>
      <c r="F162" s="1557" t="s">
        <v>1953</v>
      </c>
      <c r="G162" s="1558" t="n">
        <v>2</v>
      </c>
      <c r="H162" s="1556" t="s">
        <v>872</v>
      </c>
      <c r="I162" s="1556" t="n">
        <v>9020067</v>
      </c>
      <c r="K162" s="2" t="s">
        <v>1954</v>
      </c>
      <c r="L162" s="2" t="s">
        <v>1523</v>
      </c>
    </row>
    <row r="163" customFormat="false" ht="14.25" hidden="false" customHeight="false" outlineLevel="0" collapsed="false">
      <c r="A163" s="1556" t="n">
        <v>22</v>
      </c>
      <c r="B163" s="1556" t="s">
        <v>1955</v>
      </c>
      <c r="C163" s="1556" t="s">
        <v>712</v>
      </c>
      <c r="D163" s="1556" t="n">
        <v>22343</v>
      </c>
      <c r="E163" s="1556" t="n">
        <v>22249</v>
      </c>
      <c r="F163" s="1557" t="s">
        <v>1956</v>
      </c>
      <c r="G163" s="1558" t="n">
        <v>1</v>
      </c>
      <c r="H163" s="1556" t="s">
        <v>1523</v>
      </c>
      <c r="I163" s="1556" t="n">
        <v>9020066</v>
      </c>
      <c r="K163" s="2" t="s">
        <v>1653</v>
      </c>
      <c r="L163" s="2" t="s">
        <v>1523</v>
      </c>
    </row>
    <row r="164" customFormat="false" ht="14.25" hidden="false" customHeight="false" outlineLevel="0" collapsed="false">
      <c r="A164" s="1556" t="n">
        <v>22</v>
      </c>
      <c r="B164" s="1556" t="s">
        <v>1957</v>
      </c>
      <c r="C164" s="1556" t="s">
        <v>712</v>
      </c>
      <c r="D164" s="1556" t="n">
        <v>22344</v>
      </c>
      <c r="E164" s="1556" t="n">
        <v>22250</v>
      </c>
      <c r="F164" s="1557" t="s">
        <v>1958</v>
      </c>
      <c r="G164" s="1558" t="n">
        <v>1</v>
      </c>
      <c r="H164" s="1556" t="s">
        <v>1523</v>
      </c>
      <c r="I164" s="1556" t="n">
        <v>9020066</v>
      </c>
      <c r="K164" s="2" t="s">
        <v>1959</v>
      </c>
      <c r="L164" s="2" t="s">
        <v>1523</v>
      </c>
    </row>
    <row r="165" customFormat="false" ht="14.25" hidden="false" customHeight="false" outlineLevel="0" collapsed="false">
      <c r="A165" s="1556" t="n">
        <v>22</v>
      </c>
      <c r="B165" s="1556" t="s">
        <v>1960</v>
      </c>
      <c r="C165" s="1556" t="s">
        <v>712</v>
      </c>
      <c r="D165" s="1556" t="n">
        <v>22345</v>
      </c>
      <c r="E165" s="1556" t="n">
        <v>22251</v>
      </c>
      <c r="F165" s="1557" t="s">
        <v>1961</v>
      </c>
      <c r="G165" s="1558" t="n">
        <v>2</v>
      </c>
      <c r="H165" s="1556" t="s">
        <v>872</v>
      </c>
      <c r="I165" s="1556" t="n">
        <v>9020067</v>
      </c>
      <c r="K165" s="2" t="s">
        <v>1962</v>
      </c>
      <c r="L165" s="2" t="s">
        <v>1523</v>
      </c>
    </row>
    <row r="166" customFormat="false" ht="14.25" hidden="false" customHeight="false" outlineLevel="0" collapsed="false">
      <c r="A166" s="1556" t="n">
        <v>22</v>
      </c>
      <c r="B166" s="1556" t="s">
        <v>1963</v>
      </c>
      <c r="C166" s="1556" t="s">
        <v>712</v>
      </c>
      <c r="D166" s="1556" t="n">
        <v>22347</v>
      </c>
      <c r="E166" s="1556" t="n">
        <v>22252</v>
      </c>
      <c r="F166" s="1557" t="s">
        <v>1964</v>
      </c>
      <c r="G166" s="1558" t="n">
        <v>1</v>
      </c>
      <c r="H166" s="1556" t="s">
        <v>1523</v>
      </c>
      <c r="I166" s="1556" t="n">
        <v>9020066</v>
      </c>
      <c r="K166" s="2" t="s">
        <v>1965</v>
      </c>
      <c r="L166" s="2" t="s">
        <v>1523</v>
      </c>
    </row>
    <row r="167" customFormat="false" ht="14.25" hidden="false" customHeight="false" outlineLevel="0" collapsed="false">
      <c r="A167" s="1556" t="n">
        <v>22</v>
      </c>
      <c r="B167" s="1556" t="s">
        <v>1966</v>
      </c>
      <c r="C167" s="1556" t="s">
        <v>712</v>
      </c>
      <c r="D167" s="1556" t="n">
        <v>22348</v>
      </c>
      <c r="E167" s="1556" t="n">
        <v>22253</v>
      </c>
      <c r="F167" s="1557" t="s">
        <v>1967</v>
      </c>
      <c r="G167" s="1558" t="n">
        <v>1</v>
      </c>
      <c r="H167" s="1556" t="s">
        <v>1523</v>
      </c>
      <c r="I167" s="1556" t="n">
        <v>9020066</v>
      </c>
      <c r="K167" s="2" t="s">
        <v>1968</v>
      </c>
      <c r="L167" s="2" t="s">
        <v>1523</v>
      </c>
    </row>
    <row r="168" customFormat="false" ht="14.25" hidden="false" customHeight="false" outlineLevel="0" collapsed="false">
      <c r="A168" s="1556" t="n">
        <v>44</v>
      </c>
      <c r="B168" s="1556" t="s">
        <v>1520</v>
      </c>
      <c r="C168" s="1556" t="s">
        <v>715</v>
      </c>
      <c r="D168" s="1556" t="n">
        <v>44001</v>
      </c>
      <c r="E168" s="1556" t="n">
        <v>44001</v>
      </c>
      <c r="F168" s="1557" t="s">
        <v>1522</v>
      </c>
      <c r="G168" s="1558" t="n">
        <v>1</v>
      </c>
      <c r="H168" s="1556" t="s">
        <v>1523</v>
      </c>
      <c r="I168" s="1556" t="n">
        <v>9020066</v>
      </c>
      <c r="K168" s="2" t="s">
        <v>1969</v>
      </c>
      <c r="L168" s="2" t="s">
        <v>1523</v>
      </c>
    </row>
    <row r="169" customFormat="false" ht="14.25" hidden="false" customHeight="false" outlineLevel="0" collapsed="false">
      <c r="A169" s="1556" t="n">
        <v>44</v>
      </c>
      <c r="B169" s="1556" t="s">
        <v>1524</v>
      </c>
      <c r="C169" s="1556" t="s">
        <v>715</v>
      </c>
      <c r="D169" s="1556" t="n">
        <v>44002</v>
      </c>
      <c r="E169" s="1556" t="n">
        <v>44002</v>
      </c>
      <c r="F169" s="1557" t="s">
        <v>1529</v>
      </c>
      <c r="G169" s="1558" t="n">
        <v>1</v>
      </c>
      <c r="H169" s="1556" t="s">
        <v>1523</v>
      </c>
      <c r="I169" s="1556" t="n">
        <v>9020066</v>
      </c>
      <c r="K169" s="2" t="s">
        <v>1970</v>
      </c>
      <c r="L169" s="2" t="s">
        <v>1523</v>
      </c>
    </row>
    <row r="170" customFormat="false" ht="14.25" hidden="false" customHeight="false" outlineLevel="0" collapsed="false">
      <c r="A170" s="1556" t="n">
        <v>44</v>
      </c>
      <c r="B170" s="1556" t="s">
        <v>1971</v>
      </c>
      <c r="C170" s="1556" t="s">
        <v>715</v>
      </c>
      <c r="D170" s="1556" t="n">
        <v>44003</v>
      </c>
      <c r="E170" s="1556" t="n">
        <v>44003</v>
      </c>
      <c r="F170" s="1557" t="s">
        <v>1546</v>
      </c>
      <c r="G170" s="1558" t="n">
        <v>1</v>
      </c>
      <c r="H170" s="1556" t="s">
        <v>1523</v>
      </c>
      <c r="I170" s="1556" t="n">
        <v>9020066</v>
      </c>
      <c r="K170" s="2" t="s">
        <v>1972</v>
      </c>
      <c r="L170" s="2" t="s">
        <v>1523</v>
      </c>
    </row>
    <row r="171" customFormat="false" ht="14.25" hidden="false" customHeight="false" outlineLevel="0" collapsed="false">
      <c r="A171" s="1556" t="n">
        <v>44</v>
      </c>
      <c r="B171" s="1556" t="s">
        <v>1973</v>
      </c>
      <c r="C171" s="1556" t="s">
        <v>715</v>
      </c>
      <c r="D171" s="1556" t="n">
        <v>44004</v>
      </c>
      <c r="E171" s="1556" t="n">
        <v>44004</v>
      </c>
      <c r="F171" s="1557" t="s">
        <v>1549</v>
      </c>
      <c r="G171" s="1558" t="n">
        <v>3</v>
      </c>
      <c r="H171" s="1556" t="s">
        <v>1550</v>
      </c>
      <c r="I171" s="1556" t="n">
        <v>9020068</v>
      </c>
      <c r="K171" s="2" t="s">
        <v>1656</v>
      </c>
      <c r="L171" s="2" t="s">
        <v>1523</v>
      </c>
    </row>
    <row r="172" customFormat="false" ht="14.25" hidden="false" customHeight="false" outlineLevel="0" collapsed="false">
      <c r="A172" s="1556" t="n">
        <v>44</v>
      </c>
      <c r="B172" s="1556" t="s">
        <v>1527</v>
      </c>
      <c r="C172" s="1556" t="s">
        <v>715</v>
      </c>
      <c r="D172" s="1556" t="n">
        <v>44005</v>
      </c>
      <c r="E172" s="1556" t="n">
        <v>44005</v>
      </c>
      <c r="F172" s="1557" t="s">
        <v>1555</v>
      </c>
      <c r="G172" s="1558" t="n">
        <v>1</v>
      </c>
      <c r="H172" s="1556" t="s">
        <v>1523</v>
      </c>
      <c r="I172" s="1556" t="n">
        <v>9020066</v>
      </c>
      <c r="K172" s="2" t="s">
        <v>1659</v>
      </c>
      <c r="L172" s="2" t="s">
        <v>1523</v>
      </c>
    </row>
    <row r="173" customFormat="false" ht="14.25" hidden="false" customHeight="false" outlineLevel="0" collapsed="false">
      <c r="A173" s="1556" t="n">
        <v>44</v>
      </c>
      <c r="B173" s="1556" t="s">
        <v>1974</v>
      </c>
      <c r="C173" s="1556" t="s">
        <v>715</v>
      </c>
      <c r="D173" s="1556" t="n">
        <v>44006</v>
      </c>
      <c r="E173" s="1556" t="n">
        <v>44006</v>
      </c>
      <c r="F173" s="1557" t="s">
        <v>1568</v>
      </c>
      <c r="G173" s="1558" t="n">
        <v>1</v>
      </c>
      <c r="H173" s="1556" t="s">
        <v>1523</v>
      </c>
      <c r="I173" s="1556" t="n">
        <v>9020066</v>
      </c>
      <c r="K173" s="2" t="s">
        <v>1662</v>
      </c>
      <c r="L173" s="2" t="s">
        <v>1523</v>
      </c>
    </row>
    <row r="174" customFormat="false" ht="14.25" hidden="false" customHeight="false" outlineLevel="0" collapsed="false">
      <c r="A174" s="1556" t="n">
        <v>44</v>
      </c>
      <c r="B174" s="1556" t="s">
        <v>1530</v>
      </c>
      <c r="C174" s="1556" t="s">
        <v>715</v>
      </c>
      <c r="D174" s="1556" t="n">
        <v>44007</v>
      </c>
      <c r="E174" s="1556" t="n">
        <v>44007</v>
      </c>
      <c r="F174" s="1557" t="s">
        <v>1577</v>
      </c>
      <c r="G174" s="1558" t="n">
        <v>1</v>
      </c>
      <c r="H174" s="1556" t="s">
        <v>1523</v>
      </c>
      <c r="I174" s="1556" t="n">
        <v>9020066</v>
      </c>
      <c r="K174" s="2" t="s">
        <v>1665</v>
      </c>
      <c r="L174" s="2" t="s">
        <v>1523</v>
      </c>
    </row>
    <row r="175" customFormat="false" ht="14.25" hidden="false" customHeight="false" outlineLevel="0" collapsed="false">
      <c r="A175" s="1556" t="n">
        <v>44</v>
      </c>
      <c r="B175" s="1556" t="s">
        <v>1975</v>
      </c>
      <c r="C175" s="1556" t="s">
        <v>715</v>
      </c>
      <c r="D175" s="1556" t="n">
        <v>44008</v>
      </c>
      <c r="E175" s="1556" t="n">
        <v>44008</v>
      </c>
      <c r="F175" s="1557" t="s">
        <v>1580</v>
      </c>
      <c r="G175" s="1558" t="n">
        <v>2</v>
      </c>
      <c r="H175" s="1556" t="s">
        <v>872</v>
      </c>
      <c r="I175" s="1556" t="n">
        <v>9020067</v>
      </c>
      <c r="K175" s="2" t="s">
        <v>1976</v>
      </c>
      <c r="L175" s="2" t="s">
        <v>1523</v>
      </c>
    </row>
    <row r="176" customFormat="false" ht="14.25" hidden="false" customHeight="false" outlineLevel="0" collapsed="false">
      <c r="A176" s="1556" t="n">
        <v>44</v>
      </c>
      <c r="B176" s="1556" t="s">
        <v>1532</v>
      </c>
      <c r="C176" s="1556" t="s">
        <v>715</v>
      </c>
      <c r="D176" s="1556" t="n">
        <v>44009</v>
      </c>
      <c r="E176" s="1556" t="n">
        <v>44009</v>
      </c>
      <c r="F176" s="1557" t="s">
        <v>1585</v>
      </c>
      <c r="G176" s="1558" t="n">
        <v>1</v>
      </c>
      <c r="H176" s="1556" t="s">
        <v>1523</v>
      </c>
      <c r="I176" s="1556" t="n">
        <v>9020066</v>
      </c>
      <c r="K176" s="2" t="s">
        <v>1977</v>
      </c>
      <c r="L176" s="2" t="s">
        <v>1523</v>
      </c>
    </row>
    <row r="177" customFormat="false" ht="14.25" hidden="false" customHeight="false" outlineLevel="0" collapsed="false">
      <c r="A177" s="1556" t="n">
        <v>44</v>
      </c>
      <c r="B177" s="1556" t="s">
        <v>1534</v>
      </c>
      <c r="C177" s="1556" t="s">
        <v>715</v>
      </c>
      <c r="D177" s="1556" t="n">
        <v>44010</v>
      </c>
      <c r="E177" s="1556" t="n">
        <v>44010</v>
      </c>
      <c r="F177" s="1557" t="s">
        <v>1588</v>
      </c>
      <c r="G177" s="1558" t="n">
        <v>3</v>
      </c>
      <c r="H177" s="1556" t="s">
        <v>1550</v>
      </c>
      <c r="I177" s="1556" t="n">
        <v>9020068</v>
      </c>
      <c r="K177" s="2" t="s">
        <v>1978</v>
      </c>
      <c r="L177" s="2" t="s">
        <v>1523</v>
      </c>
    </row>
    <row r="178" customFormat="false" ht="14.25" hidden="false" customHeight="false" outlineLevel="0" collapsed="false">
      <c r="A178" s="1556" t="n">
        <v>44</v>
      </c>
      <c r="B178" s="1556" t="s">
        <v>1979</v>
      </c>
      <c r="C178" s="1556" t="s">
        <v>715</v>
      </c>
      <c r="D178" s="1556" t="n">
        <v>44011</v>
      </c>
      <c r="E178" s="1556" t="n">
        <v>44011</v>
      </c>
      <c r="F178" s="1557" t="s">
        <v>1602</v>
      </c>
      <c r="G178" s="1558" t="n">
        <v>1</v>
      </c>
      <c r="H178" s="1556" t="s">
        <v>1523</v>
      </c>
      <c r="I178" s="1556" t="n">
        <v>9020066</v>
      </c>
      <c r="K178" s="2" t="s">
        <v>1980</v>
      </c>
      <c r="L178" s="2" t="s">
        <v>1523</v>
      </c>
    </row>
    <row r="179" customFormat="false" ht="14.25" hidden="false" customHeight="false" outlineLevel="0" collapsed="false">
      <c r="A179" s="1556" t="n">
        <v>44</v>
      </c>
      <c r="B179" s="1556" t="s">
        <v>1537</v>
      </c>
      <c r="C179" s="1556" t="s">
        <v>715</v>
      </c>
      <c r="D179" s="1556" t="n">
        <v>44012</v>
      </c>
      <c r="E179" s="1556" t="n">
        <v>44012</v>
      </c>
      <c r="F179" s="1557" t="s">
        <v>1607</v>
      </c>
      <c r="G179" s="1558" t="n">
        <v>1</v>
      </c>
      <c r="H179" s="1556" t="s">
        <v>1523</v>
      </c>
      <c r="I179" s="1556" t="n">
        <v>9020066</v>
      </c>
      <c r="K179" s="2" t="s">
        <v>1981</v>
      </c>
      <c r="L179" s="2" t="s">
        <v>1523</v>
      </c>
    </row>
    <row r="180" customFormat="false" ht="14.25" hidden="false" customHeight="false" outlineLevel="0" collapsed="false">
      <c r="A180" s="1556" t="n">
        <v>44</v>
      </c>
      <c r="B180" s="1556" t="s">
        <v>1982</v>
      </c>
      <c r="C180" s="1556" t="s">
        <v>715</v>
      </c>
      <c r="D180" s="1556" t="n">
        <v>44013</v>
      </c>
      <c r="E180" s="1556" t="n">
        <v>44013</v>
      </c>
      <c r="F180" s="1557" t="s">
        <v>1617</v>
      </c>
      <c r="G180" s="1558" t="n">
        <v>2</v>
      </c>
      <c r="H180" s="1556" t="s">
        <v>872</v>
      </c>
      <c r="I180" s="1556" t="n">
        <v>9020067</v>
      </c>
      <c r="K180" s="2" t="s">
        <v>1668</v>
      </c>
      <c r="L180" s="2" t="s">
        <v>1523</v>
      </c>
    </row>
    <row r="181" customFormat="false" ht="14.25" hidden="false" customHeight="false" outlineLevel="0" collapsed="false">
      <c r="A181" s="1556" t="n">
        <v>44</v>
      </c>
      <c r="B181" s="1556" t="s">
        <v>1983</v>
      </c>
      <c r="C181" s="1556" t="s">
        <v>715</v>
      </c>
      <c r="D181" s="1556" t="n">
        <v>44014</v>
      </c>
      <c r="E181" s="1556" t="n">
        <v>44014</v>
      </c>
      <c r="F181" s="1557" t="s">
        <v>1623</v>
      </c>
      <c r="G181" s="1558" t="n">
        <v>2</v>
      </c>
      <c r="H181" s="1556" t="s">
        <v>872</v>
      </c>
      <c r="I181" s="1556" t="n">
        <v>9020067</v>
      </c>
      <c r="K181" s="2" t="s">
        <v>1984</v>
      </c>
      <c r="L181" s="2" t="s">
        <v>1523</v>
      </c>
    </row>
    <row r="182" customFormat="false" ht="14.25" hidden="false" customHeight="false" outlineLevel="0" collapsed="false">
      <c r="A182" s="1556" t="n">
        <v>44</v>
      </c>
      <c r="B182" s="1556" t="s">
        <v>1985</v>
      </c>
      <c r="C182" s="1556" t="s">
        <v>715</v>
      </c>
      <c r="D182" s="1556" t="n">
        <v>44016</v>
      </c>
      <c r="E182" s="1556" t="n">
        <v>44016</v>
      </c>
      <c r="F182" s="1557" t="s">
        <v>1636</v>
      </c>
      <c r="G182" s="1558" t="n">
        <v>1</v>
      </c>
      <c r="H182" s="1556" t="s">
        <v>1523</v>
      </c>
      <c r="I182" s="1556" t="n">
        <v>9020066</v>
      </c>
      <c r="K182" s="2" t="s">
        <v>1986</v>
      </c>
      <c r="L182" s="2" t="s">
        <v>872</v>
      </c>
    </row>
    <row r="183" customFormat="false" ht="14.25" hidden="false" customHeight="false" outlineLevel="0" collapsed="false">
      <c r="A183" s="1556" t="n">
        <v>44</v>
      </c>
      <c r="B183" s="1556" t="s">
        <v>1987</v>
      </c>
      <c r="C183" s="1556" t="s">
        <v>715</v>
      </c>
      <c r="D183" s="1556" t="n">
        <v>44017</v>
      </c>
      <c r="E183" s="1556" t="n">
        <v>44017</v>
      </c>
      <c r="F183" s="1557" t="s">
        <v>1648</v>
      </c>
      <c r="G183" s="1558" t="n">
        <v>1</v>
      </c>
      <c r="H183" s="1556" t="s">
        <v>1523</v>
      </c>
      <c r="I183" s="1556" t="n">
        <v>9020066</v>
      </c>
      <c r="K183" s="2" t="s">
        <v>1671</v>
      </c>
      <c r="L183" s="2" t="s">
        <v>1523</v>
      </c>
    </row>
    <row r="184" customFormat="false" ht="14.25" hidden="false" customHeight="false" outlineLevel="0" collapsed="false">
      <c r="A184" s="1556" t="n">
        <v>44</v>
      </c>
      <c r="B184" s="1556" t="s">
        <v>1547</v>
      </c>
      <c r="C184" s="1556" t="s">
        <v>715</v>
      </c>
      <c r="D184" s="1556" t="n">
        <v>44021</v>
      </c>
      <c r="E184" s="1556" t="n">
        <v>44021</v>
      </c>
      <c r="F184" s="1557" t="s">
        <v>1651</v>
      </c>
      <c r="G184" s="1558" t="n">
        <v>1</v>
      </c>
      <c r="H184" s="1556" t="s">
        <v>1523</v>
      </c>
      <c r="I184" s="1556" t="n">
        <v>9020066</v>
      </c>
      <c r="K184" s="2" t="s">
        <v>1988</v>
      </c>
      <c r="L184" s="2" t="s">
        <v>1523</v>
      </c>
    </row>
    <row r="185" customFormat="false" ht="14.25" hidden="false" customHeight="false" outlineLevel="0" collapsed="false">
      <c r="A185" s="1556" t="n">
        <v>44</v>
      </c>
      <c r="B185" s="1556" t="s">
        <v>1989</v>
      </c>
      <c r="C185" s="1556" t="s">
        <v>715</v>
      </c>
      <c r="D185" s="1556" t="n">
        <v>44022</v>
      </c>
      <c r="E185" s="1556" t="n">
        <v>44022</v>
      </c>
      <c r="F185" s="1557" t="s">
        <v>1654</v>
      </c>
      <c r="G185" s="1558" t="n">
        <v>1</v>
      </c>
      <c r="H185" s="1556" t="s">
        <v>1523</v>
      </c>
      <c r="I185" s="1556" t="n">
        <v>9020066</v>
      </c>
      <c r="K185" s="2" t="s">
        <v>1990</v>
      </c>
      <c r="L185" s="2" t="s">
        <v>872</v>
      </c>
    </row>
    <row r="186" customFormat="false" ht="14.25" hidden="false" customHeight="false" outlineLevel="0" collapsed="false">
      <c r="A186" s="1556" t="n">
        <v>44</v>
      </c>
      <c r="B186" s="1556" t="s">
        <v>1551</v>
      </c>
      <c r="C186" s="1556" t="s">
        <v>715</v>
      </c>
      <c r="D186" s="1556" t="n">
        <v>44023</v>
      </c>
      <c r="E186" s="1556" t="n">
        <v>44023</v>
      </c>
      <c r="F186" s="1557" t="s">
        <v>1657</v>
      </c>
      <c r="G186" s="1558" t="n">
        <v>1</v>
      </c>
      <c r="H186" s="1556" t="s">
        <v>1523</v>
      </c>
      <c r="I186" s="1556" t="n">
        <v>9020066</v>
      </c>
      <c r="K186" s="2" t="s">
        <v>1991</v>
      </c>
      <c r="L186" s="2" t="s">
        <v>1523</v>
      </c>
    </row>
    <row r="187" customFormat="false" ht="14.25" hidden="false" customHeight="false" outlineLevel="0" collapsed="false">
      <c r="A187" s="1556" t="n">
        <v>44</v>
      </c>
      <c r="B187" s="1556" t="s">
        <v>1992</v>
      </c>
      <c r="C187" s="1556" t="s">
        <v>715</v>
      </c>
      <c r="D187" s="1556" t="n">
        <v>44018</v>
      </c>
      <c r="E187" s="1556" t="n">
        <v>44018</v>
      </c>
      <c r="F187" s="1557" t="s">
        <v>1663</v>
      </c>
      <c r="G187" s="1558" t="n">
        <v>1</v>
      </c>
      <c r="H187" s="1556" t="s">
        <v>1523</v>
      </c>
      <c r="I187" s="1556" t="n">
        <v>9020066</v>
      </c>
      <c r="K187" s="2" t="s">
        <v>1993</v>
      </c>
      <c r="L187" s="2" t="s">
        <v>1523</v>
      </c>
    </row>
    <row r="188" customFormat="false" ht="14.25" hidden="false" customHeight="false" outlineLevel="0" collapsed="false">
      <c r="A188" s="1556" t="n">
        <v>44</v>
      </c>
      <c r="B188" s="1556" t="s">
        <v>1541</v>
      </c>
      <c r="C188" s="1556" t="s">
        <v>715</v>
      </c>
      <c r="D188" s="1556" t="n">
        <v>44019</v>
      </c>
      <c r="E188" s="1556" t="n">
        <v>44019</v>
      </c>
      <c r="F188" s="1557" t="s">
        <v>1682</v>
      </c>
      <c r="G188" s="1558" t="n">
        <v>1</v>
      </c>
      <c r="H188" s="1556" t="s">
        <v>1523</v>
      </c>
      <c r="I188" s="1556" t="n">
        <v>9020066</v>
      </c>
      <c r="K188" s="2" t="s">
        <v>1674</v>
      </c>
      <c r="L188" s="2" t="s">
        <v>872</v>
      </c>
    </row>
    <row r="189" customFormat="false" ht="14.25" hidden="false" customHeight="false" outlineLevel="0" collapsed="false">
      <c r="A189" s="1556" t="n">
        <v>44</v>
      </c>
      <c r="B189" s="1556" t="s">
        <v>1544</v>
      </c>
      <c r="C189" s="1556" t="s">
        <v>715</v>
      </c>
      <c r="D189" s="1556" t="n">
        <v>44020</v>
      </c>
      <c r="E189" s="1556" t="n">
        <v>44020</v>
      </c>
      <c r="F189" s="1557" t="s">
        <v>1688</v>
      </c>
      <c r="G189" s="1558" t="n">
        <v>1</v>
      </c>
      <c r="H189" s="1556" t="s">
        <v>1523</v>
      </c>
      <c r="I189" s="1556" t="n">
        <v>9020066</v>
      </c>
      <c r="K189" s="2" t="s">
        <v>1676</v>
      </c>
      <c r="L189" s="2" t="s">
        <v>1523</v>
      </c>
    </row>
    <row r="190" customFormat="false" ht="14.25" hidden="false" customHeight="false" outlineLevel="0" collapsed="false">
      <c r="A190" s="1556" t="n">
        <v>44</v>
      </c>
      <c r="B190" s="1556" t="s">
        <v>1553</v>
      </c>
      <c r="C190" s="1556" t="s">
        <v>715</v>
      </c>
      <c r="D190" s="1556" t="n">
        <v>44024</v>
      </c>
      <c r="E190" s="1556" t="n">
        <v>44024</v>
      </c>
      <c r="F190" s="1557" t="s">
        <v>1696</v>
      </c>
      <c r="G190" s="1558" t="n">
        <v>1</v>
      </c>
      <c r="H190" s="1556" t="s">
        <v>1523</v>
      </c>
      <c r="I190" s="1556" t="n">
        <v>9020066</v>
      </c>
      <c r="K190" s="2" t="s">
        <v>1994</v>
      </c>
      <c r="L190" s="2" t="s">
        <v>1523</v>
      </c>
    </row>
    <row r="191" customFormat="false" ht="14.25" hidden="false" customHeight="false" outlineLevel="0" collapsed="false">
      <c r="A191" s="1556" t="n">
        <v>44</v>
      </c>
      <c r="B191" s="1556" t="s">
        <v>1995</v>
      </c>
      <c r="C191" s="1556" t="s">
        <v>715</v>
      </c>
      <c r="D191" s="1556" t="n">
        <v>44025</v>
      </c>
      <c r="E191" s="1556" t="n">
        <v>44025</v>
      </c>
      <c r="F191" s="1557" t="s">
        <v>1699</v>
      </c>
      <c r="G191" s="1558" t="n">
        <v>2</v>
      </c>
      <c r="H191" s="1556" t="s">
        <v>872</v>
      </c>
      <c r="I191" s="1556" t="n">
        <v>9020067</v>
      </c>
      <c r="K191" s="2" t="s">
        <v>1996</v>
      </c>
      <c r="L191" s="2" t="s">
        <v>872</v>
      </c>
    </row>
    <row r="192" customFormat="false" ht="14.25" hidden="false" customHeight="false" outlineLevel="0" collapsed="false">
      <c r="A192" s="1556" t="n">
        <v>44</v>
      </c>
      <c r="B192" s="1556" t="s">
        <v>1997</v>
      </c>
      <c r="C192" s="1556" t="s">
        <v>715</v>
      </c>
      <c r="D192" s="1556" t="n">
        <v>44026</v>
      </c>
      <c r="E192" s="1556" t="n">
        <v>44026</v>
      </c>
      <c r="F192" s="1557" t="s">
        <v>1725</v>
      </c>
      <c r="G192" s="1558" t="n">
        <v>1</v>
      </c>
      <c r="H192" s="1556" t="s">
        <v>1523</v>
      </c>
      <c r="I192" s="1556" t="n">
        <v>9020066</v>
      </c>
      <c r="K192" s="2" t="s">
        <v>1998</v>
      </c>
      <c r="L192" s="2" t="s">
        <v>1523</v>
      </c>
    </row>
    <row r="193" customFormat="false" ht="14.25" hidden="false" customHeight="false" outlineLevel="0" collapsed="false">
      <c r="A193" s="1556" t="n">
        <v>44</v>
      </c>
      <c r="B193" s="1556" t="s">
        <v>1556</v>
      </c>
      <c r="C193" s="1556" t="s">
        <v>715</v>
      </c>
      <c r="D193" s="1556" t="n">
        <v>44027</v>
      </c>
      <c r="E193" s="1556" t="n">
        <v>44027</v>
      </c>
      <c r="F193" s="1557" t="s">
        <v>1733</v>
      </c>
      <c r="G193" s="1558" t="n">
        <v>1</v>
      </c>
      <c r="H193" s="1556" t="s">
        <v>1523</v>
      </c>
      <c r="I193" s="1556" t="n">
        <v>9020066</v>
      </c>
      <c r="K193" s="2" t="s">
        <v>1999</v>
      </c>
      <c r="L193" s="2" t="s">
        <v>1523</v>
      </c>
    </row>
    <row r="194" customFormat="false" ht="14.25" hidden="false" customHeight="false" outlineLevel="0" collapsed="false">
      <c r="A194" s="1556" t="n">
        <v>44</v>
      </c>
      <c r="B194" s="1556" t="s">
        <v>1559</v>
      </c>
      <c r="C194" s="1556" t="s">
        <v>715</v>
      </c>
      <c r="D194" s="1556" t="n">
        <v>44028</v>
      </c>
      <c r="E194" s="1556" t="n">
        <v>44028</v>
      </c>
      <c r="F194" s="1557" t="s">
        <v>1738</v>
      </c>
      <c r="G194" s="1558" t="n">
        <v>1</v>
      </c>
      <c r="H194" s="1556" t="s">
        <v>1523</v>
      </c>
      <c r="I194" s="1556" t="n">
        <v>9020066</v>
      </c>
      <c r="K194" s="2" t="s">
        <v>2000</v>
      </c>
      <c r="L194" s="2" t="s">
        <v>1523</v>
      </c>
    </row>
    <row r="195" customFormat="false" ht="14.25" hidden="false" customHeight="false" outlineLevel="0" collapsed="false">
      <c r="A195" s="1556" t="n">
        <v>44</v>
      </c>
      <c r="B195" s="1556" t="s">
        <v>2001</v>
      </c>
      <c r="C195" s="1556" t="s">
        <v>715</v>
      </c>
      <c r="D195" s="1556" t="n">
        <v>44029</v>
      </c>
      <c r="E195" s="1556" t="n">
        <v>44029</v>
      </c>
      <c r="F195" s="1557" t="s">
        <v>1742</v>
      </c>
      <c r="G195" s="1558" t="n">
        <v>1</v>
      </c>
      <c r="H195" s="1556" t="s">
        <v>1523</v>
      </c>
      <c r="I195" s="1556" t="n">
        <v>9020066</v>
      </c>
      <c r="K195" s="2" t="s">
        <v>2002</v>
      </c>
      <c r="L195" s="2" t="s">
        <v>872</v>
      </c>
    </row>
    <row r="196" customFormat="false" ht="14.25" hidden="false" customHeight="false" outlineLevel="0" collapsed="false">
      <c r="A196" s="1556" t="n">
        <v>44</v>
      </c>
      <c r="B196" s="1556" t="s">
        <v>2003</v>
      </c>
      <c r="C196" s="1556" t="s">
        <v>715</v>
      </c>
      <c r="D196" s="1556" t="n">
        <v>44031</v>
      </c>
      <c r="E196" s="1556" t="n">
        <v>44031</v>
      </c>
      <c r="F196" s="1557" t="s">
        <v>1762</v>
      </c>
      <c r="G196" s="1558" t="n">
        <v>2</v>
      </c>
      <c r="H196" s="1556" t="s">
        <v>872</v>
      </c>
      <c r="I196" s="1556" t="n">
        <v>9020067</v>
      </c>
      <c r="K196" s="2" t="s">
        <v>2004</v>
      </c>
      <c r="L196" s="2" t="s">
        <v>872</v>
      </c>
    </row>
    <row r="197" customFormat="false" ht="14.25" hidden="false" customHeight="false" outlineLevel="0" collapsed="false">
      <c r="A197" s="1556" t="n">
        <v>44</v>
      </c>
      <c r="B197" s="1556" t="s">
        <v>1564</v>
      </c>
      <c r="C197" s="1556" t="s">
        <v>715</v>
      </c>
      <c r="D197" s="1556" t="n">
        <v>44032</v>
      </c>
      <c r="E197" s="1556" t="n">
        <v>44032</v>
      </c>
      <c r="F197" s="1557" t="s">
        <v>1774</v>
      </c>
      <c r="G197" s="1558" t="n">
        <v>1</v>
      </c>
      <c r="H197" s="1556" t="s">
        <v>1523</v>
      </c>
      <c r="I197" s="1556" t="n">
        <v>9020066</v>
      </c>
      <c r="K197" s="2" t="s">
        <v>1679</v>
      </c>
      <c r="L197" s="2" t="s">
        <v>1523</v>
      </c>
    </row>
    <row r="198" customFormat="false" ht="14.25" hidden="false" customHeight="false" outlineLevel="0" collapsed="false">
      <c r="A198" s="1556" t="n">
        <v>44</v>
      </c>
      <c r="B198" s="1556" t="s">
        <v>2005</v>
      </c>
      <c r="C198" s="1556" t="s">
        <v>715</v>
      </c>
      <c r="D198" s="1556" t="n">
        <v>44033</v>
      </c>
      <c r="E198" s="1556" t="n">
        <v>44033</v>
      </c>
      <c r="F198" s="1557" t="s">
        <v>1782</v>
      </c>
      <c r="G198" s="1558" t="n">
        <v>1</v>
      </c>
      <c r="H198" s="1556" t="s">
        <v>1523</v>
      </c>
      <c r="I198" s="1556" t="n">
        <v>9020066</v>
      </c>
      <c r="K198" s="2" t="s">
        <v>1681</v>
      </c>
      <c r="L198" s="2" t="s">
        <v>1523</v>
      </c>
    </row>
    <row r="199" customFormat="false" ht="14.25" hidden="false" customHeight="false" outlineLevel="0" collapsed="false">
      <c r="A199" s="1556" t="n">
        <v>44</v>
      </c>
      <c r="B199" s="1556" t="s">
        <v>1566</v>
      </c>
      <c r="C199" s="1556" t="s">
        <v>715</v>
      </c>
      <c r="D199" s="1556" t="n">
        <v>44034</v>
      </c>
      <c r="E199" s="1556" t="n">
        <v>44034</v>
      </c>
      <c r="F199" s="1557" t="s">
        <v>1799</v>
      </c>
      <c r="G199" s="1558" t="n">
        <v>1</v>
      </c>
      <c r="H199" s="1556" t="s">
        <v>1523</v>
      </c>
      <c r="I199" s="1556" t="n">
        <v>9020066</v>
      </c>
      <c r="K199" s="2" t="s">
        <v>2006</v>
      </c>
      <c r="L199" s="2" t="s">
        <v>872</v>
      </c>
    </row>
    <row r="200" customFormat="false" ht="14.25" hidden="false" customHeight="false" outlineLevel="0" collapsed="false">
      <c r="A200" s="1556" t="n">
        <v>44</v>
      </c>
      <c r="B200" s="1556" t="s">
        <v>1569</v>
      </c>
      <c r="C200" s="1556" t="s">
        <v>715</v>
      </c>
      <c r="D200" s="1556" t="n">
        <v>44035</v>
      </c>
      <c r="E200" s="1556" t="n">
        <v>44035</v>
      </c>
      <c r="F200" s="1557" t="s">
        <v>1814</v>
      </c>
      <c r="G200" s="1558" t="n">
        <v>1</v>
      </c>
      <c r="H200" s="1556" t="s">
        <v>1523</v>
      </c>
      <c r="I200" s="1556" t="n">
        <v>9020066</v>
      </c>
      <c r="K200" s="2" t="s">
        <v>1684</v>
      </c>
      <c r="L200" s="2" t="s">
        <v>872</v>
      </c>
    </row>
    <row r="201" customFormat="false" ht="14.25" hidden="false" customHeight="false" outlineLevel="0" collapsed="false">
      <c r="A201" s="1556" t="n">
        <v>44</v>
      </c>
      <c r="B201" s="1556" t="s">
        <v>2007</v>
      </c>
      <c r="C201" s="1556" t="s">
        <v>715</v>
      </c>
      <c r="D201" s="1556" t="n">
        <v>44036</v>
      </c>
      <c r="E201" s="1556" t="n">
        <v>44036</v>
      </c>
      <c r="F201" s="1557" t="s">
        <v>1817</v>
      </c>
      <c r="G201" s="1558" t="n">
        <v>1</v>
      </c>
      <c r="H201" s="1556" t="s">
        <v>1523</v>
      </c>
      <c r="I201" s="1556" t="n">
        <v>9020066</v>
      </c>
      <c r="K201" s="2" t="s">
        <v>1687</v>
      </c>
      <c r="L201" s="2" t="s">
        <v>1523</v>
      </c>
    </row>
    <row r="202" customFormat="false" ht="14.25" hidden="false" customHeight="false" outlineLevel="0" collapsed="false">
      <c r="A202" s="1556" t="n">
        <v>44</v>
      </c>
      <c r="B202" s="1556" t="s">
        <v>2008</v>
      </c>
      <c r="C202" s="1556" t="s">
        <v>715</v>
      </c>
      <c r="D202" s="1556" t="n">
        <v>44037</v>
      </c>
      <c r="E202" s="1556" t="n">
        <v>44037</v>
      </c>
      <c r="F202" s="1557" t="s">
        <v>1820</v>
      </c>
      <c r="G202" s="1558" t="n">
        <v>1</v>
      </c>
      <c r="H202" s="1556" t="s">
        <v>1523</v>
      </c>
      <c r="I202" s="1556" t="n">
        <v>9020066</v>
      </c>
      <c r="K202" s="2" t="s">
        <v>2009</v>
      </c>
      <c r="L202" s="2" t="s">
        <v>1523</v>
      </c>
    </row>
    <row r="203" customFormat="false" ht="14.25" hidden="false" customHeight="false" outlineLevel="0" collapsed="false">
      <c r="A203" s="1556" t="n">
        <v>44</v>
      </c>
      <c r="B203" s="1556" t="s">
        <v>1572</v>
      </c>
      <c r="C203" s="1556" t="s">
        <v>715</v>
      </c>
      <c r="D203" s="1556" t="n">
        <v>44039</v>
      </c>
      <c r="E203" s="1556" t="n">
        <v>44039</v>
      </c>
      <c r="F203" s="1557" t="s">
        <v>1826</v>
      </c>
      <c r="G203" s="1558" t="n">
        <v>1</v>
      </c>
      <c r="H203" s="1556" t="s">
        <v>1523</v>
      </c>
      <c r="I203" s="1556" t="n">
        <v>9020066</v>
      </c>
      <c r="K203" s="2" t="s">
        <v>2010</v>
      </c>
      <c r="L203" s="2" t="s">
        <v>1523</v>
      </c>
    </row>
    <row r="204" customFormat="false" ht="14.25" hidden="false" customHeight="false" outlineLevel="0" collapsed="false">
      <c r="A204" s="1556" t="n">
        <v>44</v>
      </c>
      <c r="B204" s="1556" t="s">
        <v>1652</v>
      </c>
      <c r="C204" s="1556" t="s">
        <v>715</v>
      </c>
      <c r="D204" s="1556" t="n">
        <v>44038</v>
      </c>
      <c r="E204" s="1556" t="n">
        <v>44038</v>
      </c>
      <c r="F204" s="1557" t="s">
        <v>1832</v>
      </c>
      <c r="G204" s="1558" t="n">
        <v>1</v>
      </c>
      <c r="H204" s="1556" t="s">
        <v>1523</v>
      </c>
      <c r="I204" s="1556" t="n">
        <v>9020066</v>
      </c>
      <c r="K204" s="2" t="s">
        <v>2011</v>
      </c>
      <c r="L204" s="2" t="s">
        <v>1523</v>
      </c>
    </row>
    <row r="205" customFormat="false" ht="14.25" hidden="false" customHeight="false" outlineLevel="0" collapsed="false">
      <c r="A205" s="1556" t="n">
        <v>44</v>
      </c>
      <c r="B205" s="1556" t="s">
        <v>2012</v>
      </c>
      <c r="C205" s="1556" t="s">
        <v>715</v>
      </c>
      <c r="D205" s="1556" t="n">
        <v>44040</v>
      </c>
      <c r="E205" s="1556" t="n">
        <v>44040</v>
      </c>
      <c r="F205" s="1557" t="s">
        <v>1844</v>
      </c>
      <c r="G205" s="1558" t="n">
        <v>1</v>
      </c>
      <c r="H205" s="1556" t="s">
        <v>1523</v>
      </c>
      <c r="I205" s="1556" t="n">
        <v>9020066</v>
      </c>
      <c r="K205" s="2" t="s">
        <v>2013</v>
      </c>
      <c r="L205" s="2" t="s">
        <v>1523</v>
      </c>
    </row>
    <row r="206" customFormat="false" ht="14.25" hidden="false" customHeight="false" outlineLevel="0" collapsed="false">
      <c r="A206" s="1556" t="n">
        <v>44</v>
      </c>
      <c r="B206" s="1556" t="s">
        <v>2014</v>
      </c>
      <c r="C206" s="1556" t="s">
        <v>715</v>
      </c>
      <c r="D206" s="1556" t="n">
        <v>44041</v>
      </c>
      <c r="E206" s="1556" t="n">
        <v>44041</v>
      </c>
      <c r="F206" s="1557" t="s">
        <v>1850</v>
      </c>
      <c r="G206" s="1558" t="n">
        <v>1</v>
      </c>
      <c r="H206" s="1556" t="s">
        <v>1523</v>
      </c>
      <c r="I206" s="1556" t="n">
        <v>9020066</v>
      </c>
      <c r="K206" s="2" t="s">
        <v>2015</v>
      </c>
      <c r="L206" s="2" t="s">
        <v>1550</v>
      </c>
    </row>
    <row r="207" customFormat="false" ht="14.25" hidden="false" customHeight="false" outlineLevel="0" collapsed="false">
      <c r="A207" s="1556" t="n">
        <v>44</v>
      </c>
      <c r="B207" s="1556" t="s">
        <v>2016</v>
      </c>
      <c r="C207" s="1556" t="s">
        <v>715</v>
      </c>
      <c r="D207" s="1556" t="n">
        <v>44042</v>
      </c>
      <c r="E207" s="1556" t="n">
        <v>44042</v>
      </c>
      <c r="F207" s="1557" t="s">
        <v>1875</v>
      </c>
      <c r="G207" s="1558" t="n">
        <v>1</v>
      </c>
      <c r="H207" s="1556" t="s">
        <v>1523</v>
      </c>
      <c r="I207" s="1556" t="n">
        <v>9020066</v>
      </c>
      <c r="K207" s="2" t="s">
        <v>2017</v>
      </c>
      <c r="L207" s="2" t="s">
        <v>1523</v>
      </c>
    </row>
    <row r="208" customFormat="false" ht="14.25" hidden="false" customHeight="false" outlineLevel="0" collapsed="false">
      <c r="A208" s="1556" t="n">
        <v>44</v>
      </c>
      <c r="B208" s="1556" t="s">
        <v>2018</v>
      </c>
      <c r="C208" s="1556" t="s">
        <v>715</v>
      </c>
      <c r="D208" s="1556" t="n">
        <v>44043</v>
      </c>
      <c r="E208" s="1556" t="n">
        <v>44043</v>
      </c>
      <c r="F208" s="1557" t="s">
        <v>1880</v>
      </c>
      <c r="G208" s="1558" t="n">
        <v>2</v>
      </c>
      <c r="H208" s="1556" t="s">
        <v>872</v>
      </c>
      <c r="I208" s="1556" t="n">
        <v>9020067</v>
      </c>
      <c r="K208" s="2" t="s">
        <v>2019</v>
      </c>
      <c r="L208" s="2" t="s">
        <v>872</v>
      </c>
    </row>
    <row r="209" customFormat="false" ht="14.25" hidden="false" customHeight="false" outlineLevel="0" collapsed="false">
      <c r="A209" s="1556" t="n">
        <v>44</v>
      </c>
      <c r="B209" s="1556" t="s">
        <v>1575</v>
      </c>
      <c r="C209" s="1556" t="s">
        <v>715</v>
      </c>
      <c r="D209" s="1556" t="n">
        <v>44044</v>
      </c>
      <c r="E209" s="1556" t="n">
        <v>44044</v>
      </c>
      <c r="F209" s="1557" t="s">
        <v>1892</v>
      </c>
      <c r="G209" s="1558" t="n">
        <v>1</v>
      </c>
      <c r="H209" s="1556" t="s">
        <v>1523</v>
      </c>
      <c r="I209" s="1556" t="n">
        <v>9020066</v>
      </c>
      <c r="K209" s="2" t="s">
        <v>1690</v>
      </c>
      <c r="L209" s="2" t="s">
        <v>1523</v>
      </c>
    </row>
    <row r="210" customFormat="false" ht="14.25" hidden="false" customHeight="false" outlineLevel="0" collapsed="false">
      <c r="A210" s="1556" t="n">
        <v>44</v>
      </c>
      <c r="B210" s="1556" t="s">
        <v>1578</v>
      </c>
      <c r="C210" s="1556" t="s">
        <v>715</v>
      </c>
      <c r="D210" s="1556" t="n">
        <v>44045</v>
      </c>
      <c r="E210" s="1556" t="n">
        <v>44045</v>
      </c>
      <c r="F210" s="1557" t="s">
        <v>1904</v>
      </c>
      <c r="G210" s="1558" t="n">
        <v>1</v>
      </c>
      <c r="H210" s="1556" t="s">
        <v>1523</v>
      </c>
      <c r="I210" s="1556" t="n">
        <v>9020066</v>
      </c>
      <c r="K210" s="2" t="s">
        <v>1692</v>
      </c>
      <c r="L210" s="2" t="s">
        <v>872</v>
      </c>
    </row>
    <row r="211" customFormat="false" ht="14.25" hidden="false" customHeight="false" outlineLevel="0" collapsed="false">
      <c r="A211" s="1556" t="n">
        <v>44</v>
      </c>
      <c r="B211" s="1556" t="s">
        <v>1581</v>
      </c>
      <c r="C211" s="1556" t="s">
        <v>715</v>
      </c>
      <c r="D211" s="1556" t="n">
        <v>44046</v>
      </c>
      <c r="E211" s="1556" t="n">
        <v>44046</v>
      </c>
      <c r="F211" s="1557" t="s">
        <v>1912</v>
      </c>
      <c r="G211" s="1558" t="n">
        <v>1</v>
      </c>
      <c r="H211" s="1556" t="s">
        <v>1523</v>
      </c>
      <c r="I211" s="1556" t="n">
        <v>9020066</v>
      </c>
      <c r="K211" s="2" t="s">
        <v>2020</v>
      </c>
      <c r="L211" s="2" t="s">
        <v>872</v>
      </c>
    </row>
    <row r="212" customFormat="false" ht="14.25" hidden="false" customHeight="false" outlineLevel="0" collapsed="false">
      <c r="A212" s="1556" t="n">
        <v>44</v>
      </c>
      <c r="B212" s="1556" t="s">
        <v>2021</v>
      </c>
      <c r="C212" s="1556" t="s">
        <v>715</v>
      </c>
      <c r="D212" s="1556" t="n">
        <v>44047</v>
      </c>
      <c r="E212" s="1556" t="n">
        <v>44047</v>
      </c>
      <c r="F212" s="1557" t="s">
        <v>1921</v>
      </c>
      <c r="G212" s="1558" t="n">
        <v>1</v>
      </c>
      <c r="H212" s="1556" t="s">
        <v>1523</v>
      </c>
      <c r="I212" s="1556" t="n">
        <v>9020066</v>
      </c>
      <c r="K212" s="2" t="s">
        <v>2022</v>
      </c>
      <c r="L212" s="2" t="s">
        <v>1523</v>
      </c>
    </row>
    <row r="213" customFormat="false" ht="14.25" hidden="false" customHeight="false" outlineLevel="0" collapsed="false">
      <c r="A213" s="1556" t="n">
        <v>44</v>
      </c>
      <c r="B213" s="1556" t="s">
        <v>2023</v>
      </c>
      <c r="C213" s="1556" t="s">
        <v>715</v>
      </c>
      <c r="D213" s="1556" t="n">
        <v>44048</v>
      </c>
      <c r="E213" s="1556" t="n">
        <v>44048</v>
      </c>
      <c r="F213" s="1557" t="s">
        <v>1933</v>
      </c>
      <c r="G213" s="1558" t="n">
        <v>1</v>
      </c>
      <c r="H213" s="1556" t="s">
        <v>1523</v>
      </c>
      <c r="I213" s="1556" t="n">
        <v>9020066</v>
      </c>
      <c r="K213" s="2" t="s">
        <v>2024</v>
      </c>
      <c r="L213" s="2" t="s">
        <v>1523</v>
      </c>
    </row>
    <row r="214" customFormat="false" ht="14.25" hidden="false" customHeight="false" outlineLevel="0" collapsed="false">
      <c r="A214" s="1556" t="n">
        <v>44</v>
      </c>
      <c r="B214" s="1556" t="s">
        <v>1583</v>
      </c>
      <c r="C214" s="1556" t="s">
        <v>715</v>
      </c>
      <c r="D214" s="1556" t="n">
        <v>44049</v>
      </c>
      <c r="E214" s="1556" t="n">
        <v>44049</v>
      </c>
      <c r="F214" s="1557" t="s">
        <v>1939</v>
      </c>
      <c r="G214" s="1558" t="n">
        <v>2</v>
      </c>
      <c r="H214" s="1556" t="s">
        <v>872</v>
      </c>
      <c r="I214" s="1556" t="n">
        <v>9020067</v>
      </c>
      <c r="K214" s="2" t="s">
        <v>2025</v>
      </c>
      <c r="L214" s="2" t="s">
        <v>872</v>
      </c>
    </row>
    <row r="215" customFormat="false" ht="14.25" hidden="false" customHeight="false" outlineLevel="0" collapsed="false">
      <c r="A215" s="1556" t="n">
        <v>44</v>
      </c>
      <c r="B215" s="1556" t="s">
        <v>1586</v>
      </c>
      <c r="C215" s="1556" t="s">
        <v>715</v>
      </c>
      <c r="D215" s="1556" t="n">
        <v>44050</v>
      </c>
      <c r="E215" s="1556" t="n">
        <v>44050</v>
      </c>
      <c r="F215" s="1557" t="s">
        <v>1942</v>
      </c>
      <c r="G215" s="1558" t="n">
        <v>1</v>
      </c>
      <c r="H215" s="1556" t="s">
        <v>1523</v>
      </c>
      <c r="I215" s="1556" t="n">
        <v>9020066</v>
      </c>
      <c r="K215" s="2" t="s">
        <v>2026</v>
      </c>
      <c r="L215" s="2" t="s">
        <v>1523</v>
      </c>
    </row>
    <row r="216" customFormat="false" ht="14.25" hidden="false" customHeight="false" outlineLevel="0" collapsed="false">
      <c r="A216" s="1556" t="n">
        <v>44</v>
      </c>
      <c r="B216" s="1556" t="s">
        <v>1589</v>
      </c>
      <c r="C216" s="1556" t="s">
        <v>715</v>
      </c>
      <c r="D216" s="1556" t="n">
        <v>44051</v>
      </c>
      <c r="E216" s="1556" t="n">
        <v>44051</v>
      </c>
      <c r="F216" s="1557" t="s">
        <v>1945</v>
      </c>
      <c r="G216" s="1558" t="n">
        <v>2</v>
      </c>
      <c r="H216" s="1556" t="s">
        <v>872</v>
      </c>
      <c r="I216" s="1556" t="n">
        <v>9020067</v>
      </c>
      <c r="K216" s="2" t="s">
        <v>2027</v>
      </c>
      <c r="L216" s="2" t="s">
        <v>872</v>
      </c>
    </row>
    <row r="217" customFormat="false" ht="14.25" hidden="false" customHeight="false" outlineLevel="0" collapsed="false">
      <c r="A217" s="1556" t="n">
        <v>44</v>
      </c>
      <c r="B217" s="1556" t="s">
        <v>1592</v>
      </c>
      <c r="C217" s="1556" t="s">
        <v>715</v>
      </c>
      <c r="D217" s="1556" t="n">
        <v>44052</v>
      </c>
      <c r="E217" s="1556" t="n">
        <v>44052</v>
      </c>
      <c r="F217" s="1557" t="s">
        <v>1962</v>
      </c>
      <c r="G217" s="1558" t="n">
        <v>1</v>
      </c>
      <c r="H217" s="1556" t="s">
        <v>1523</v>
      </c>
      <c r="I217" s="1556" t="n">
        <v>9020066</v>
      </c>
      <c r="K217" s="2" t="s">
        <v>2028</v>
      </c>
      <c r="L217" s="2" t="s">
        <v>1550</v>
      </c>
    </row>
    <row r="218" customFormat="false" ht="14.25" hidden="false" customHeight="false" outlineLevel="0" collapsed="false">
      <c r="A218" s="1556" t="n">
        <v>44</v>
      </c>
      <c r="B218" s="1556" t="s">
        <v>1594</v>
      </c>
      <c r="C218" s="1556" t="s">
        <v>715</v>
      </c>
      <c r="D218" s="1556" t="n">
        <v>44053</v>
      </c>
      <c r="E218" s="1556" t="n">
        <v>44053</v>
      </c>
      <c r="F218" s="1557" t="s">
        <v>1965</v>
      </c>
      <c r="G218" s="1558" t="n">
        <v>1</v>
      </c>
      <c r="H218" s="1556" t="s">
        <v>1523</v>
      </c>
      <c r="I218" s="1556" t="n">
        <v>9020066</v>
      </c>
      <c r="K218" s="2" t="s">
        <v>2029</v>
      </c>
      <c r="L218" s="2" t="s">
        <v>1523</v>
      </c>
    </row>
    <row r="219" customFormat="false" ht="14.25" hidden="false" customHeight="false" outlineLevel="0" collapsed="false">
      <c r="A219" s="1556" t="n">
        <v>44</v>
      </c>
      <c r="B219" s="1556" t="s">
        <v>1597</v>
      </c>
      <c r="C219" s="1556" t="s">
        <v>715</v>
      </c>
      <c r="D219" s="1556" t="n">
        <v>44054</v>
      </c>
      <c r="E219" s="1556" t="n">
        <v>44054</v>
      </c>
      <c r="F219" s="1557" t="s">
        <v>1968</v>
      </c>
      <c r="G219" s="1558" t="n">
        <v>1</v>
      </c>
      <c r="H219" s="1556" t="s">
        <v>1523</v>
      </c>
      <c r="I219" s="1556" t="n">
        <v>9020066</v>
      </c>
      <c r="K219" s="2" t="s">
        <v>1695</v>
      </c>
      <c r="L219" s="2" t="s">
        <v>1523</v>
      </c>
    </row>
    <row r="220" customFormat="false" ht="14.25" hidden="false" customHeight="false" outlineLevel="0" collapsed="false">
      <c r="A220" s="1556" t="n">
        <v>44</v>
      </c>
      <c r="B220" s="1556" t="s">
        <v>1600</v>
      </c>
      <c r="C220" s="1556" t="s">
        <v>715</v>
      </c>
      <c r="D220" s="1556" t="n">
        <v>44055</v>
      </c>
      <c r="E220" s="1556" t="n">
        <v>44055</v>
      </c>
      <c r="F220" s="1557" t="s">
        <v>1969</v>
      </c>
      <c r="G220" s="1558" t="n">
        <v>1</v>
      </c>
      <c r="H220" s="1556" t="s">
        <v>1523</v>
      </c>
      <c r="I220" s="1556" t="n">
        <v>9020066</v>
      </c>
      <c r="K220" s="2" t="s">
        <v>2030</v>
      </c>
      <c r="L220" s="2" t="s">
        <v>872</v>
      </c>
    </row>
    <row r="221" customFormat="false" ht="14.25" hidden="false" customHeight="false" outlineLevel="0" collapsed="false">
      <c r="A221" s="1556" t="n">
        <v>44</v>
      </c>
      <c r="B221" s="1556" t="s">
        <v>1603</v>
      </c>
      <c r="C221" s="1556" t="s">
        <v>715</v>
      </c>
      <c r="D221" s="1556" t="n">
        <v>44056</v>
      </c>
      <c r="E221" s="1556" t="n">
        <v>44056</v>
      </c>
      <c r="F221" s="1557" t="s">
        <v>1970</v>
      </c>
      <c r="G221" s="1558" t="n">
        <v>1</v>
      </c>
      <c r="H221" s="1556" t="s">
        <v>1523</v>
      </c>
      <c r="I221" s="1556" t="n">
        <v>9020066</v>
      </c>
      <c r="K221" s="2" t="s">
        <v>2031</v>
      </c>
      <c r="L221" s="2" t="s">
        <v>1523</v>
      </c>
    </row>
    <row r="222" customFormat="false" ht="14.25" hidden="false" customHeight="false" outlineLevel="0" collapsed="false">
      <c r="A222" s="1556" t="n">
        <v>44</v>
      </c>
      <c r="B222" s="1556" t="s">
        <v>1605</v>
      </c>
      <c r="C222" s="1556" t="s">
        <v>715</v>
      </c>
      <c r="D222" s="1556" t="n">
        <v>44059</v>
      </c>
      <c r="E222" s="1556" t="n">
        <v>44059</v>
      </c>
      <c r="F222" s="1557" t="s">
        <v>1976</v>
      </c>
      <c r="G222" s="1558" t="n">
        <v>1</v>
      </c>
      <c r="H222" s="1556" t="s">
        <v>1523</v>
      </c>
      <c r="I222" s="1556" t="n">
        <v>9020066</v>
      </c>
      <c r="K222" s="2" t="s">
        <v>2032</v>
      </c>
      <c r="L222" s="2" t="s">
        <v>1523</v>
      </c>
    </row>
    <row r="223" customFormat="false" ht="14.25" hidden="false" customHeight="false" outlineLevel="0" collapsed="false">
      <c r="A223" s="1556" t="n">
        <v>44</v>
      </c>
      <c r="B223" s="1556" t="s">
        <v>2033</v>
      </c>
      <c r="C223" s="1556" t="s">
        <v>715</v>
      </c>
      <c r="D223" s="1556" t="n">
        <v>44060</v>
      </c>
      <c r="E223" s="1556" t="n">
        <v>44060</v>
      </c>
      <c r="F223" s="1557" t="s">
        <v>1977</v>
      </c>
      <c r="G223" s="1558" t="n">
        <v>1</v>
      </c>
      <c r="H223" s="1556" t="s">
        <v>1523</v>
      </c>
      <c r="I223" s="1556" t="n">
        <v>9020066</v>
      </c>
      <c r="K223" s="2" t="s">
        <v>2034</v>
      </c>
      <c r="L223" s="2" t="s">
        <v>1523</v>
      </c>
    </row>
    <row r="224" customFormat="false" ht="14.25" hidden="false" customHeight="false" outlineLevel="0" collapsed="false">
      <c r="A224" s="1556" t="n">
        <v>44</v>
      </c>
      <c r="B224" s="1556" t="s">
        <v>1608</v>
      </c>
      <c r="C224" s="1556" t="s">
        <v>715</v>
      </c>
      <c r="D224" s="1556" t="n">
        <v>44061</v>
      </c>
      <c r="E224" s="1556" t="n">
        <v>44061</v>
      </c>
      <c r="F224" s="1557" t="s">
        <v>1978</v>
      </c>
      <c r="G224" s="1558" t="n">
        <v>1</v>
      </c>
      <c r="H224" s="1556" t="s">
        <v>1523</v>
      </c>
      <c r="I224" s="1556" t="n">
        <v>9020066</v>
      </c>
      <c r="K224" s="2" t="s">
        <v>2035</v>
      </c>
      <c r="L224" s="2" t="s">
        <v>1523</v>
      </c>
    </row>
    <row r="225" customFormat="false" ht="14.25" hidden="false" customHeight="false" outlineLevel="0" collapsed="false">
      <c r="A225" s="1556" t="n">
        <v>44</v>
      </c>
      <c r="B225" s="1556" t="s">
        <v>2036</v>
      </c>
      <c r="C225" s="1556" t="s">
        <v>715</v>
      </c>
      <c r="D225" s="1556" t="n">
        <v>44062</v>
      </c>
      <c r="E225" s="1556" t="n">
        <v>44062</v>
      </c>
      <c r="F225" s="1557" t="s">
        <v>1980</v>
      </c>
      <c r="G225" s="1558" t="n">
        <v>1</v>
      </c>
      <c r="H225" s="1556" t="s">
        <v>1523</v>
      </c>
      <c r="I225" s="1556" t="n">
        <v>9020066</v>
      </c>
      <c r="K225" s="2" t="s">
        <v>2037</v>
      </c>
      <c r="L225" s="2" t="s">
        <v>872</v>
      </c>
    </row>
    <row r="226" customFormat="false" ht="14.25" hidden="false" customHeight="false" outlineLevel="0" collapsed="false">
      <c r="A226" s="1556" t="n">
        <v>44</v>
      </c>
      <c r="B226" s="1556" t="s">
        <v>2038</v>
      </c>
      <c r="C226" s="1556" t="s">
        <v>715</v>
      </c>
      <c r="D226" s="1556" t="n">
        <v>44063</v>
      </c>
      <c r="E226" s="1556" t="n">
        <v>44063</v>
      </c>
      <c r="F226" s="1557" t="s">
        <v>1981</v>
      </c>
      <c r="G226" s="1558" t="n">
        <v>1</v>
      </c>
      <c r="H226" s="1556" t="s">
        <v>1523</v>
      </c>
      <c r="I226" s="1556" t="n">
        <v>9020066</v>
      </c>
      <c r="K226" s="2" t="s">
        <v>2039</v>
      </c>
      <c r="L226" s="2" t="s">
        <v>1523</v>
      </c>
    </row>
    <row r="227" customFormat="false" ht="14.25" hidden="false" customHeight="false" outlineLevel="0" collapsed="false">
      <c r="A227" s="1556" t="n">
        <v>44</v>
      </c>
      <c r="B227" s="1556" t="s">
        <v>1611</v>
      </c>
      <c r="C227" s="1556" t="s">
        <v>715</v>
      </c>
      <c r="D227" s="1556" t="n">
        <v>44064</v>
      </c>
      <c r="E227" s="1556" t="n">
        <v>44064</v>
      </c>
      <c r="F227" s="1557" t="s">
        <v>1988</v>
      </c>
      <c r="G227" s="1558" t="n">
        <v>1</v>
      </c>
      <c r="H227" s="1556" t="s">
        <v>1523</v>
      </c>
      <c r="I227" s="1556" t="n">
        <v>9020066</v>
      </c>
      <c r="K227" s="2" t="s">
        <v>2040</v>
      </c>
      <c r="L227" s="2" t="s">
        <v>872</v>
      </c>
    </row>
    <row r="228" customFormat="false" ht="14.25" hidden="false" customHeight="false" outlineLevel="0" collapsed="false">
      <c r="A228" s="1556" t="n">
        <v>44</v>
      </c>
      <c r="B228" s="1556" t="s">
        <v>1613</v>
      </c>
      <c r="C228" s="1556" t="s">
        <v>715</v>
      </c>
      <c r="D228" s="1556" t="n">
        <v>44065</v>
      </c>
      <c r="E228" s="1556" t="n">
        <v>44065</v>
      </c>
      <c r="F228" s="1557" t="s">
        <v>1994</v>
      </c>
      <c r="G228" s="1558" t="n">
        <v>1</v>
      </c>
      <c r="H228" s="1556" t="s">
        <v>1523</v>
      </c>
      <c r="I228" s="1556" t="n">
        <v>9020066</v>
      </c>
      <c r="K228" s="2" t="s">
        <v>2041</v>
      </c>
      <c r="L228" s="2" t="s">
        <v>1523</v>
      </c>
    </row>
    <row r="229" customFormat="false" ht="14.25" hidden="false" customHeight="false" outlineLevel="0" collapsed="false">
      <c r="A229" s="1556" t="n">
        <v>44</v>
      </c>
      <c r="B229" s="1556" t="s">
        <v>2042</v>
      </c>
      <c r="C229" s="1556" t="s">
        <v>715</v>
      </c>
      <c r="D229" s="1556" t="n">
        <v>44066</v>
      </c>
      <c r="E229" s="1556" t="n">
        <v>44066</v>
      </c>
      <c r="F229" s="1557" t="s">
        <v>1998</v>
      </c>
      <c r="G229" s="1558" t="n">
        <v>1</v>
      </c>
      <c r="H229" s="1556" t="s">
        <v>1523</v>
      </c>
      <c r="I229" s="1556" t="n">
        <v>9020066</v>
      </c>
      <c r="K229" s="2" t="s">
        <v>2043</v>
      </c>
      <c r="L229" s="2" t="s">
        <v>1523</v>
      </c>
    </row>
    <row r="230" customFormat="false" ht="14.25" hidden="false" customHeight="false" outlineLevel="0" collapsed="false">
      <c r="A230" s="1556" t="n">
        <v>44</v>
      </c>
      <c r="B230" s="1556" t="s">
        <v>2044</v>
      </c>
      <c r="C230" s="1556" t="s">
        <v>715</v>
      </c>
      <c r="D230" s="1556" t="n">
        <v>44070</v>
      </c>
      <c r="E230" s="1556" t="n">
        <v>44070</v>
      </c>
      <c r="F230" s="1557" t="s">
        <v>1999</v>
      </c>
      <c r="G230" s="1558" t="n">
        <v>1</v>
      </c>
      <c r="H230" s="1556" t="s">
        <v>1523</v>
      </c>
      <c r="I230" s="1556" t="n">
        <v>9020066</v>
      </c>
      <c r="K230" s="2" t="s">
        <v>2045</v>
      </c>
      <c r="L230" s="2" t="s">
        <v>1523</v>
      </c>
    </row>
    <row r="231" customFormat="false" ht="14.25" hidden="false" customHeight="false" outlineLevel="0" collapsed="false">
      <c r="A231" s="1556" t="n">
        <v>44</v>
      </c>
      <c r="B231" s="1556" t="s">
        <v>1946</v>
      </c>
      <c r="C231" s="1556" t="s">
        <v>715</v>
      </c>
      <c r="D231" s="1556" t="n">
        <v>44071</v>
      </c>
      <c r="E231" s="1556" t="n">
        <v>44071</v>
      </c>
      <c r="F231" s="1557" t="s">
        <v>2000</v>
      </c>
      <c r="G231" s="1558" t="n">
        <v>1</v>
      </c>
      <c r="H231" s="1556" t="s">
        <v>1523</v>
      </c>
      <c r="I231" s="1556" t="n">
        <v>9020066</v>
      </c>
      <c r="K231" s="2" t="s">
        <v>2046</v>
      </c>
      <c r="L231" s="2" t="s">
        <v>1523</v>
      </c>
    </row>
    <row r="232" customFormat="false" ht="14.25" hidden="false" customHeight="false" outlineLevel="0" collapsed="false">
      <c r="A232" s="1556" t="n">
        <v>44</v>
      </c>
      <c r="B232" s="1556" t="s">
        <v>2047</v>
      </c>
      <c r="C232" s="1556" t="s">
        <v>715</v>
      </c>
      <c r="D232" s="1556" t="n">
        <v>44067</v>
      </c>
      <c r="E232" s="1556" t="n">
        <v>44067</v>
      </c>
      <c r="F232" s="1557" t="s">
        <v>2002</v>
      </c>
      <c r="G232" s="1558" t="n">
        <v>2</v>
      </c>
      <c r="H232" s="1556" t="s">
        <v>872</v>
      </c>
      <c r="I232" s="1556" t="n">
        <v>9020067</v>
      </c>
      <c r="K232" s="2" t="s">
        <v>2048</v>
      </c>
      <c r="L232" s="2" t="s">
        <v>1523</v>
      </c>
    </row>
    <row r="233" customFormat="false" ht="14.25" hidden="false" customHeight="false" outlineLevel="0" collapsed="false">
      <c r="A233" s="1556" t="n">
        <v>44</v>
      </c>
      <c r="B233" s="1556" t="s">
        <v>1615</v>
      </c>
      <c r="C233" s="1556" t="s">
        <v>715</v>
      </c>
      <c r="D233" s="1556" t="n">
        <v>44068</v>
      </c>
      <c r="E233" s="1556" t="n">
        <v>44068</v>
      </c>
      <c r="F233" s="1557" t="s">
        <v>2004</v>
      </c>
      <c r="G233" s="1558" t="n">
        <v>2</v>
      </c>
      <c r="H233" s="1556" t="s">
        <v>872</v>
      </c>
      <c r="I233" s="1556" t="n">
        <v>9020067</v>
      </c>
      <c r="K233" s="2" t="s">
        <v>2049</v>
      </c>
      <c r="L233" s="2" t="s">
        <v>1523</v>
      </c>
    </row>
    <row r="234" customFormat="false" ht="14.25" hidden="false" customHeight="false" outlineLevel="0" collapsed="false">
      <c r="A234" s="1556" t="n">
        <v>44</v>
      </c>
      <c r="B234" s="1556" t="s">
        <v>2050</v>
      </c>
      <c r="C234" s="1556" t="s">
        <v>715</v>
      </c>
      <c r="D234" s="1556" t="n">
        <v>44074</v>
      </c>
      <c r="E234" s="1556" t="n">
        <v>44074</v>
      </c>
      <c r="F234" s="1557" t="s">
        <v>2009</v>
      </c>
      <c r="G234" s="1558" t="n">
        <v>1</v>
      </c>
      <c r="H234" s="1556" t="s">
        <v>1523</v>
      </c>
      <c r="I234" s="1556" t="n">
        <v>9020066</v>
      </c>
      <c r="K234" s="2" t="s">
        <v>2051</v>
      </c>
      <c r="L234" s="2" t="s">
        <v>1523</v>
      </c>
    </row>
    <row r="235" customFormat="false" ht="14.25" hidden="false" customHeight="false" outlineLevel="0" collapsed="false">
      <c r="A235" s="1556" t="n">
        <v>44</v>
      </c>
      <c r="B235" s="1556" t="s">
        <v>2052</v>
      </c>
      <c r="C235" s="1556" t="s">
        <v>715</v>
      </c>
      <c r="D235" s="1556" t="n">
        <v>44075</v>
      </c>
      <c r="E235" s="1556" t="n">
        <v>44075</v>
      </c>
      <c r="F235" s="1557" t="s">
        <v>2010</v>
      </c>
      <c r="G235" s="1558" t="n">
        <v>1</v>
      </c>
      <c r="H235" s="1556" t="s">
        <v>1523</v>
      </c>
      <c r="I235" s="1556" t="n">
        <v>9020066</v>
      </c>
      <c r="K235" s="2" t="s">
        <v>2053</v>
      </c>
      <c r="L235" s="2" t="s">
        <v>1523</v>
      </c>
    </row>
    <row r="236" customFormat="false" ht="14.25" hidden="false" customHeight="false" outlineLevel="0" collapsed="false">
      <c r="A236" s="1556" t="n">
        <v>44</v>
      </c>
      <c r="B236" s="1556" t="s">
        <v>2054</v>
      </c>
      <c r="C236" s="1556" t="s">
        <v>715</v>
      </c>
      <c r="D236" s="1556" t="n">
        <v>44076</v>
      </c>
      <c r="E236" s="1556" t="n">
        <v>44076</v>
      </c>
      <c r="F236" s="1557" t="s">
        <v>2011</v>
      </c>
      <c r="G236" s="1558" t="n">
        <v>1</v>
      </c>
      <c r="H236" s="1556" t="s">
        <v>1523</v>
      </c>
      <c r="I236" s="1556" t="n">
        <v>9020066</v>
      </c>
      <c r="K236" s="2" t="s">
        <v>2055</v>
      </c>
      <c r="L236" s="2" t="s">
        <v>1523</v>
      </c>
    </row>
    <row r="237" customFormat="false" ht="14.25" hidden="false" customHeight="false" outlineLevel="0" collapsed="false">
      <c r="A237" s="1556" t="n">
        <v>44</v>
      </c>
      <c r="B237" s="1556" t="s">
        <v>2056</v>
      </c>
      <c r="C237" s="1556" t="s">
        <v>715</v>
      </c>
      <c r="D237" s="1556" t="n">
        <v>44077</v>
      </c>
      <c r="E237" s="1556" t="n">
        <v>44077</v>
      </c>
      <c r="F237" s="1557" t="s">
        <v>2013</v>
      </c>
      <c r="G237" s="1558" t="n">
        <v>1</v>
      </c>
      <c r="H237" s="1556" t="s">
        <v>1523</v>
      </c>
      <c r="I237" s="1556" t="n">
        <v>9020066</v>
      </c>
      <c r="K237" s="2" t="s">
        <v>2057</v>
      </c>
      <c r="L237" s="2" t="s">
        <v>1523</v>
      </c>
    </row>
    <row r="238" customFormat="false" ht="14.25" hidden="false" customHeight="false" outlineLevel="0" collapsed="false">
      <c r="A238" s="1556" t="n">
        <v>44</v>
      </c>
      <c r="B238" s="1556" t="s">
        <v>1629</v>
      </c>
      <c r="C238" s="1556" t="s">
        <v>715</v>
      </c>
      <c r="D238" s="1556" t="n">
        <v>44081</v>
      </c>
      <c r="E238" s="1556" t="n">
        <v>44080</v>
      </c>
      <c r="F238" s="1557" t="s">
        <v>2028</v>
      </c>
      <c r="G238" s="1558" t="n">
        <v>3</v>
      </c>
      <c r="H238" s="1556" t="s">
        <v>1550</v>
      </c>
      <c r="I238" s="1556" t="n">
        <v>9020068</v>
      </c>
      <c r="K238" s="2" t="s">
        <v>2058</v>
      </c>
      <c r="L238" s="2" t="s">
        <v>1523</v>
      </c>
    </row>
    <row r="239" customFormat="false" ht="14.25" hidden="false" customHeight="false" outlineLevel="0" collapsed="false">
      <c r="A239" s="1556" t="n">
        <v>44</v>
      </c>
      <c r="B239" s="1556" t="s">
        <v>2059</v>
      </c>
      <c r="C239" s="1556" t="s">
        <v>715</v>
      </c>
      <c r="D239" s="1556" t="n">
        <v>44084</v>
      </c>
      <c r="E239" s="1556" t="n">
        <v>44082</v>
      </c>
      <c r="F239" s="1557" t="s">
        <v>2031</v>
      </c>
      <c r="G239" s="1558" t="n">
        <v>1</v>
      </c>
      <c r="H239" s="1556" t="s">
        <v>1523</v>
      </c>
      <c r="I239" s="1556" t="n">
        <v>9020066</v>
      </c>
      <c r="K239" s="2" t="s">
        <v>2060</v>
      </c>
      <c r="L239" s="2" t="s">
        <v>1523</v>
      </c>
    </row>
    <row r="240" customFormat="false" ht="14.25" hidden="false" customHeight="false" outlineLevel="0" collapsed="false">
      <c r="A240" s="1556" t="n">
        <v>44</v>
      </c>
      <c r="B240" s="1556" t="s">
        <v>1634</v>
      </c>
      <c r="C240" s="1556" t="s">
        <v>715</v>
      </c>
      <c r="D240" s="1556" t="n">
        <v>44086</v>
      </c>
      <c r="E240" s="1556" t="n">
        <v>44084</v>
      </c>
      <c r="F240" s="1557" t="s">
        <v>2032</v>
      </c>
      <c r="G240" s="1558" t="n">
        <v>1</v>
      </c>
      <c r="H240" s="1556" t="s">
        <v>1523</v>
      </c>
      <c r="I240" s="1556" t="n">
        <v>9020066</v>
      </c>
      <c r="K240" s="2" t="s">
        <v>2061</v>
      </c>
      <c r="L240" s="2" t="s">
        <v>872</v>
      </c>
    </row>
    <row r="241" customFormat="false" ht="14.25" hidden="false" customHeight="false" outlineLevel="0" collapsed="false">
      <c r="A241" s="1556" t="n">
        <v>44</v>
      </c>
      <c r="B241" s="1556" t="s">
        <v>1637</v>
      </c>
      <c r="C241" s="1556" t="s">
        <v>715</v>
      </c>
      <c r="D241" s="1556" t="n">
        <v>44087</v>
      </c>
      <c r="E241" s="1556" t="n">
        <v>44085</v>
      </c>
      <c r="F241" s="1557" t="s">
        <v>2034</v>
      </c>
      <c r="G241" s="1558" t="n">
        <v>1</v>
      </c>
      <c r="H241" s="1556" t="s">
        <v>1523</v>
      </c>
      <c r="I241" s="1556" t="n">
        <v>9020066</v>
      </c>
      <c r="K241" s="2" t="s">
        <v>2062</v>
      </c>
      <c r="L241" s="2" t="s">
        <v>872</v>
      </c>
    </row>
    <row r="242" customFormat="false" ht="14.25" hidden="false" customHeight="false" outlineLevel="0" collapsed="false">
      <c r="A242" s="1556" t="n">
        <v>44</v>
      </c>
      <c r="B242" s="1556" t="s">
        <v>1905</v>
      </c>
      <c r="C242" s="1556" t="s">
        <v>715</v>
      </c>
      <c r="D242" s="1556" t="n">
        <v>44088</v>
      </c>
      <c r="E242" s="1556" t="n">
        <v>44086</v>
      </c>
      <c r="F242" s="1557" t="s">
        <v>2037</v>
      </c>
      <c r="G242" s="1558" t="n">
        <v>2</v>
      </c>
      <c r="H242" s="1556" t="s">
        <v>872</v>
      </c>
      <c r="I242" s="1556" t="n">
        <v>9020067</v>
      </c>
      <c r="K242" s="2" t="s">
        <v>2063</v>
      </c>
      <c r="L242" s="2" t="s">
        <v>1523</v>
      </c>
    </row>
    <row r="243" customFormat="false" ht="14.25" hidden="false" customHeight="false" outlineLevel="0" collapsed="false">
      <c r="A243" s="1556" t="n">
        <v>44</v>
      </c>
      <c r="B243" s="1556" t="s">
        <v>1640</v>
      </c>
      <c r="C243" s="1556" t="s">
        <v>715</v>
      </c>
      <c r="D243" s="1556" t="n">
        <v>44089</v>
      </c>
      <c r="E243" s="1556" t="n">
        <v>44087</v>
      </c>
      <c r="F243" s="1557" t="s">
        <v>2039</v>
      </c>
      <c r="G243" s="1558" t="n">
        <v>1</v>
      </c>
      <c r="H243" s="1556" t="s">
        <v>1523</v>
      </c>
      <c r="I243" s="1556" t="n">
        <v>9020066</v>
      </c>
      <c r="K243" s="2" t="s">
        <v>2064</v>
      </c>
      <c r="L243" s="2" t="s">
        <v>1523</v>
      </c>
    </row>
    <row r="244" customFormat="false" ht="14.25" hidden="false" customHeight="false" outlineLevel="0" collapsed="false">
      <c r="A244" s="1556" t="n">
        <v>44</v>
      </c>
      <c r="B244" s="1556" t="s">
        <v>1643</v>
      </c>
      <c r="C244" s="1556" t="s">
        <v>715</v>
      </c>
      <c r="D244" s="1556" t="n">
        <v>44090</v>
      </c>
      <c r="E244" s="1556" t="n">
        <v>44088</v>
      </c>
      <c r="F244" s="1557" t="s">
        <v>2041</v>
      </c>
      <c r="G244" s="1558" t="n">
        <v>1</v>
      </c>
      <c r="H244" s="1556" t="s">
        <v>1523</v>
      </c>
      <c r="I244" s="1556" t="n">
        <v>9020066</v>
      </c>
      <c r="K244" s="2" t="s">
        <v>1698</v>
      </c>
      <c r="L244" s="2" t="s">
        <v>1523</v>
      </c>
    </row>
    <row r="245" customFormat="false" ht="14.25" hidden="false" customHeight="false" outlineLevel="0" collapsed="false">
      <c r="A245" s="1556" t="n">
        <v>44</v>
      </c>
      <c r="B245" s="1556" t="s">
        <v>2065</v>
      </c>
      <c r="C245" s="1556" t="s">
        <v>715</v>
      </c>
      <c r="D245" s="1556" t="n">
        <v>44091</v>
      </c>
      <c r="E245" s="1556" t="n">
        <v>44089</v>
      </c>
      <c r="F245" s="1557" t="s">
        <v>2045</v>
      </c>
      <c r="G245" s="1558" t="n">
        <v>1</v>
      </c>
      <c r="H245" s="1556" t="s">
        <v>1523</v>
      </c>
      <c r="I245" s="1556" t="n">
        <v>9020066</v>
      </c>
      <c r="K245" s="2" t="s">
        <v>1701</v>
      </c>
      <c r="L245" s="2" t="s">
        <v>872</v>
      </c>
    </row>
    <row r="246" customFormat="false" ht="14.25" hidden="false" customHeight="false" outlineLevel="0" collapsed="false">
      <c r="A246" s="1556" t="n">
        <v>44</v>
      </c>
      <c r="B246" s="1556" t="s">
        <v>1646</v>
      </c>
      <c r="C246" s="1556" t="s">
        <v>715</v>
      </c>
      <c r="D246" s="1556" t="n">
        <v>44092</v>
      </c>
      <c r="E246" s="1556" t="n">
        <v>44090</v>
      </c>
      <c r="F246" s="1557" t="s">
        <v>2046</v>
      </c>
      <c r="G246" s="1558" t="n">
        <v>1</v>
      </c>
      <c r="H246" s="1556" t="s">
        <v>1523</v>
      </c>
      <c r="I246" s="1556" t="n">
        <v>9020066</v>
      </c>
      <c r="K246" s="2" t="s">
        <v>2066</v>
      </c>
      <c r="L246" s="2" t="s">
        <v>1523</v>
      </c>
    </row>
    <row r="247" customFormat="false" ht="14.25" hidden="false" customHeight="false" outlineLevel="0" collapsed="false">
      <c r="A247" s="1556" t="n">
        <v>44</v>
      </c>
      <c r="B247" s="1556" t="s">
        <v>1649</v>
      </c>
      <c r="C247" s="1556" t="s">
        <v>715</v>
      </c>
      <c r="D247" s="1556" t="n">
        <v>44094</v>
      </c>
      <c r="E247" s="1556" t="n">
        <v>44092</v>
      </c>
      <c r="F247" s="1557" t="s">
        <v>2049</v>
      </c>
      <c r="G247" s="1558" t="n">
        <v>1</v>
      </c>
      <c r="H247" s="1556" t="s">
        <v>1523</v>
      </c>
      <c r="I247" s="1556" t="n">
        <v>9020066</v>
      </c>
      <c r="K247" s="2" t="s">
        <v>1704</v>
      </c>
      <c r="L247" s="2" t="s">
        <v>1523</v>
      </c>
    </row>
    <row r="248" customFormat="false" ht="14.25" hidden="false" customHeight="false" outlineLevel="0" collapsed="false">
      <c r="A248" s="1556" t="n">
        <v>44</v>
      </c>
      <c r="B248" s="1556" t="s">
        <v>2067</v>
      </c>
      <c r="C248" s="1556" t="s">
        <v>715</v>
      </c>
      <c r="D248" s="1556" t="n">
        <v>44095</v>
      </c>
      <c r="E248" s="1556" t="n">
        <v>44093</v>
      </c>
      <c r="F248" s="1557" t="s">
        <v>2051</v>
      </c>
      <c r="G248" s="1558" t="n">
        <v>1</v>
      </c>
      <c r="H248" s="1556" t="s">
        <v>1523</v>
      </c>
      <c r="I248" s="1556" t="n">
        <v>9020066</v>
      </c>
      <c r="K248" s="2" t="s">
        <v>2068</v>
      </c>
      <c r="L248" s="2" t="s">
        <v>872</v>
      </c>
    </row>
    <row r="249" customFormat="false" ht="14.25" hidden="false" customHeight="false" outlineLevel="0" collapsed="false">
      <c r="A249" s="1556" t="n">
        <v>44</v>
      </c>
      <c r="B249" s="1556" t="s">
        <v>2069</v>
      </c>
      <c r="C249" s="1556" t="s">
        <v>715</v>
      </c>
      <c r="D249" s="1556" t="n">
        <v>44098</v>
      </c>
      <c r="E249" s="1556" t="n">
        <v>44094</v>
      </c>
      <c r="F249" s="1557" t="s">
        <v>2053</v>
      </c>
      <c r="G249" s="1558" t="n">
        <v>1</v>
      </c>
      <c r="H249" s="1556" t="s">
        <v>1523</v>
      </c>
      <c r="I249" s="1556" t="n">
        <v>9020066</v>
      </c>
      <c r="K249" s="2" t="s">
        <v>1706</v>
      </c>
      <c r="L249" s="2" t="s">
        <v>1523</v>
      </c>
    </row>
    <row r="250" customFormat="false" ht="14.25" hidden="false" customHeight="false" outlineLevel="0" collapsed="false">
      <c r="A250" s="1556" t="n">
        <v>44</v>
      </c>
      <c r="B250" s="1556" t="s">
        <v>2070</v>
      </c>
      <c r="C250" s="1556" t="s">
        <v>715</v>
      </c>
      <c r="D250" s="1556" t="n">
        <v>44101</v>
      </c>
      <c r="E250" s="1556" t="n">
        <v>44096</v>
      </c>
      <c r="F250" s="1557" t="s">
        <v>2057</v>
      </c>
      <c r="G250" s="1558" t="n">
        <v>1</v>
      </c>
      <c r="H250" s="1556" t="s">
        <v>1523</v>
      </c>
      <c r="I250" s="1556" t="n">
        <v>9020066</v>
      </c>
      <c r="K250" s="2" t="s">
        <v>1709</v>
      </c>
      <c r="L250" s="2" t="s">
        <v>1523</v>
      </c>
    </row>
    <row r="251" customFormat="false" ht="14.25" hidden="false" customHeight="false" outlineLevel="0" collapsed="false">
      <c r="A251" s="1556" t="n">
        <v>44</v>
      </c>
      <c r="B251" s="1556" t="s">
        <v>1655</v>
      </c>
      <c r="C251" s="1556" t="s">
        <v>715</v>
      </c>
      <c r="D251" s="1556" t="n">
        <v>44102</v>
      </c>
      <c r="E251" s="1556" t="n">
        <v>44097</v>
      </c>
      <c r="F251" s="1557" t="s">
        <v>2063</v>
      </c>
      <c r="G251" s="1558" t="n">
        <v>1</v>
      </c>
      <c r="H251" s="1556" t="s">
        <v>1523</v>
      </c>
      <c r="I251" s="1556" t="n">
        <v>9020066</v>
      </c>
      <c r="K251" s="2" t="s">
        <v>2071</v>
      </c>
      <c r="L251" s="2" t="s">
        <v>872</v>
      </c>
    </row>
    <row r="252" customFormat="false" ht="14.25" hidden="false" customHeight="false" outlineLevel="0" collapsed="false">
      <c r="A252" s="1556" t="n">
        <v>44</v>
      </c>
      <c r="B252" s="1556" t="s">
        <v>2072</v>
      </c>
      <c r="C252" s="1556" t="s">
        <v>715</v>
      </c>
      <c r="D252" s="1556" t="n">
        <v>44104</v>
      </c>
      <c r="E252" s="1556" t="n">
        <v>44099</v>
      </c>
      <c r="F252" s="1557" t="s">
        <v>2064</v>
      </c>
      <c r="G252" s="1558" t="n">
        <v>1</v>
      </c>
      <c r="H252" s="1556" t="s">
        <v>1523</v>
      </c>
      <c r="I252" s="1556" t="n">
        <v>9020066</v>
      </c>
      <c r="K252" s="2" t="s">
        <v>2073</v>
      </c>
      <c r="L252" s="2" t="s">
        <v>1523</v>
      </c>
    </row>
    <row r="253" customFormat="false" ht="14.25" hidden="false" customHeight="false" outlineLevel="0" collapsed="false">
      <c r="A253" s="1556" t="n">
        <v>44</v>
      </c>
      <c r="B253" s="1556" t="s">
        <v>1664</v>
      </c>
      <c r="C253" s="1556" t="s">
        <v>715</v>
      </c>
      <c r="D253" s="1556" t="n">
        <v>44105</v>
      </c>
      <c r="E253" s="1556" t="n">
        <v>44100</v>
      </c>
      <c r="F253" s="1557" t="s">
        <v>2066</v>
      </c>
      <c r="G253" s="1558" t="n">
        <v>1</v>
      </c>
      <c r="H253" s="1556" t="s">
        <v>1523</v>
      </c>
      <c r="I253" s="1556" t="n">
        <v>9020066</v>
      </c>
      <c r="K253" s="2" t="s">
        <v>2074</v>
      </c>
      <c r="L253" s="2" t="s">
        <v>1523</v>
      </c>
    </row>
    <row r="254" customFormat="false" ht="14.25" hidden="false" customHeight="false" outlineLevel="0" collapsed="false">
      <c r="A254" s="1556" t="n">
        <v>44</v>
      </c>
      <c r="B254" s="1556" t="s">
        <v>2075</v>
      </c>
      <c r="C254" s="1556" t="s">
        <v>715</v>
      </c>
      <c r="D254" s="1556" t="n">
        <v>44106</v>
      </c>
      <c r="E254" s="1556" t="n">
        <v>44101</v>
      </c>
      <c r="F254" s="1557" t="s">
        <v>2076</v>
      </c>
      <c r="G254" s="1558" t="n">
        <v>1</v>
      </c>
      <c r="H254" s="1556" t="s">
        <v>1523</v>
      </c>
      <c r="I254" s="1556" t="n">
        <v>9020066</v>
      </c>
      <c r="K254" s="2" t="s">
        <v>2076</v>
      </c>
      <c r="L254" s="2" t="s">
        <v>1523</v>
      </c>
    </row>
    <row r="255" customFormat="false" ht="14.25" hidden="false" customHeight="false" outlineLevel="0" collapsed="false">
      <c r="A255" s="1556" t="n">
        <v>44</v>
      </c>
      <c r="B255" s="1556" t="s">
        <v>1667</v>
      </c>
      <c r="C255" s="1556" t="s">
        <v>715</v>
      </c>
      <c r="D255" s="1556" t="n">
        <v>44107</v>
      </c>
      <c r="E255" s="1556" t="n">
        <v>44102</v>
      </c>
      <c r="F255" s="1557" t="s">
        <v>2077</v>
      </c>
      <c r="G255" s="1558" t="n">
        <v>1</v>
      </c>
      <c r="H255" s="1556" t="s">
        <v>1523</v>
      </c>
      <c r="I255" s="1556" t="n">
        <v>9020066</v>
      </c>
      <c r="K255" s="2" t="s">
        <v>1711</v>
      </c>
      <c r="L255" s="2" t="s">
        <v>1523</v>
      </c>
    </row>
    <row r="256" customFormat="false" ht="14.25" hidden="false" customHeight="false" outlineLevel="0" collapsed="false">
      <c r="A256" s="1556" t="n">
        <v>44</v>
      </c>
      <c r="B256" s="1556" t="s">
        <v>2078</v>
      </c>
      <c r="C256" s="1556" t="s">
        <v>715</v>
      </c>
      <c r="D256" s="1556" t="n">
        <v>44108</v>
      </c>
      <c r="E256" s="1556" t="n">
        <v>44103</v>
      </c>
      <c r="F256" s="1557" t="s">
        <v>2079</v>
      </c>
      <c r="G256" s="1558" t="n">
        <v>1</v>
      </c>
      <c r="H256" s="1556" t="s">
        <v>1523</v>
      </c>
      <c r="I256" s="1556" t="n">
        <v>9020066</v>
      </c>
      <c r="K256" s="2" t="s">
        <v>2080</v>
      </c>
      <c r="L256" s="2" t="s">
        <v>1523</v>
      </c>
    </row>
    <row r="257" customFormat="false" ht="14.25" hidden="false" customHeight="false" outlineLevel="0" collapsed="false">
      <c r="A257" s="1556" t="n">
        <v>44</v>
      </c>
      <c r="B257" s="1556" t="s">
        <v>2081</v>
      </c>
      <c r="C257" s="1556" t="s">
        <v>715</v>
      </c>
      <c r="D257" s="1556" t="n">
        <v>44110</v>
      </c>
      <c r="E257" s="1556" t="n">
        <v>44105</v>
      </c>
      <c r="F257" s="1557" t="s">
        <v>2082</v>
      </c>
      <c r="G257" s="1558" t="n">
        <v>1</v>
      </c>
      <c r="H257" s="1556" t="s">
        <v>1523</v>
      </c>
      <c r="I257" s="1556" t="n">
        <v>9020066</v>
      </c>
      <c r="K257" s="2" t="s">
        <v>2077</v>
      </c>
      <c r="L257" s="2" t="s">
        <v>1523</v>
      </c>
    </row>
    <row r="258" customFormat="false" ht="14.25" hidden="false" customHeight="false" outlineLevel="0" collapsed="false">
      <c r="A258" s="1556" t="n">
        <v>44</v>
      </c>
      <c r="B258" s="1556" t="s">
        <v>2083</v>
      </c>
      <c r="C258" s="1556" t="s">
        <v>715</v>
      </c>
      <c r="D258" s="1556" t="n">
        <v>44111</v>
      </c>
      <c r="E258" s="1556" t="n">
        <v>44106</v>
      </c>
      <c r="F258" s="1557" t="s">
        <v>2084</v>
      </c>
      <c r="G258" s="1558" t="n">
        <v>1</v>
      </c>
      <c r="H258" s="1556" t="s">
        <v>1523</v>
      </c>
      <c r="I258" s="1556" t="n">
        <v>9020066</v>
      </c>
      <c r="K258" s="2" t="s">
        <v>1713</v>
      </c>
      <c r="L258" s="2" t="s">
        <v>872</v>
      </c>
    </row>
    <row r="259" customFormat="false" ht="14.25" hidden="false" customHeight="false" outlineLevel="0" collapsed="false">
      <c r="A259" s="1556" t="n">
        <v>44</v>
      </c>
      <c r="B259" s="1556" t="s">
        <v>2085</v>
      </c>
      <c r="C259" s="1556" t="s">
        <v>715</v>
      </c>
      <c r="D259" s="1556" t="n">
        <v>44112</v>
      </c>
      <c r="E259" s="1556" t="n">
        <v>44107</v>
      </c>
      <c r="F259" s="1557" t="s">
        <v>2086</v>
      </c>
      <c r="G259" s="1558" t="n">
        <v>1</v>
      </c>
      <c r="H259" s="1556" t="s">
        <v>1523</v>
      </c>
      <c r="I259" s="1556" t="n">
        <v>9020066</v>
      </c>
      <c r="K259" s="2" t="s">
        <v>1716</v>
      </c>
      <c r="L259" s="2" t="s">
        <v>1523</v>
      </c>
    </row>
    <row r="260" customFormat="false" ht="14.25" hidden="false" customHeight="false" outlineLevel="0" collapsed="false">
      <c r="A260" s="1556" t="n">
        <v>44</v>
      </c>
      <c r="B260" s="1556" t="s">
        <v>1673</v>
      </c>
      <c r="C260" s="1556" t="s">
        <v>715</v>
      </c>
      <c r="D260" s="1556" t="n">
        <v>44113</v>
      </c>
      <c r="E260" s="1556" t="n">
        <v>44108</v>
      </c>
      <c r="F260" s="1557" t="s">
        <v>2087</v>
      </c>
      <c r="G260" s="1558" t="n">
        <v>2</v>
      </c>
      <c r="H260" s="1556" t="s">
        <v>872</v>
      </c>
      <c r="I260" s="1556" t="n">
        <v>9020067</v>
      </c>
      <c r="K260" s="2" t="s">
        <v>2079</v>
      </c>
      <c r="L260" s="2" t="s">
        <v>1523</v>
      </c>
    </row>
    <row r="261" customFormat="false" ht="14.25" hidden="false" customHeight="false" outlineLevel="0" collapsed="false">
      <c r="A261" s="1556" t="n">
        <v>44</v>
      </c>
      <c r="B261" s="1556" t="s">
        <v>2088</v>
      </c>
      <c r="C261" s="1556" t="s">
        <v>715</v>
      </c>
      <c r="D261" s="1556" t="n">
        <v>44114</v>
      </c>
      <c r="E261" s="1556" t="n">
        <v>44109</v>
      </c>
      <c r="F261" s="1557" t="s">
        <v>2089</v>
      </c>
      <c r="G261" s="1558" t="n">
        <v>1</v>
      </c>
      <c r="H261" s="1556" t="s">
        <v>1523</v>
      </c>
      <c r="I261" s="1556" t="n">
        <v>9020066</v>
      </c>
      <c r="K261" s="2" t="s">
        <v>2082</v>
      </c>
      <c r="L261" s="2" t="s">
        <v>1523</v>
      </c>
    </row>
    <row r="262" customFormat="false" ht="14.25" hidden="false" customHeight="false" outlineLevel="0" collapsed="false">
      <c r="A262" s="1556" t="n">
        <v>44</v>
      </c>
      <c r="B262" s="1556" t="s">
        <v>1675</v>
      </c>
      <c r="C262" s="1556" t="s">
        <v>715</v>
      </c>
      <c r="D262" s="1556" t="n">
        <v>44115</v>
      </c>
      <c r="E262" s="1556" t="n">
        <v>44110</v>
      </c>
      <c r="F262" s="1557" t="s">
        <v>2090</v>
      </c>
      <c r="G262" s="1558" t="n">
        <v>1</v>
      </c>
      <c r="H262" s="1556" t="s">
        <v>1523</v>
      </c>
      <c r="I262" s="1556" t="n">
        <v>9020066</v>
      </c>
      <c r="K262" s="2" t="s">
        <v>2084</v>
      </c>
      <c r="L262" s="2" t="s">
        <v>1523</v>
      </c>
    </row>
    <row r="263" customFormat="false" ht="14.25" hidden="false" customHeight="false" outlineLevel="0" collapsed="false">
      <c r="A263" s="1556" t="n">
        <v>44</v>
      </c>
      <c r="B263" s="1556" t="s">
        <v>2091</v>
      </c>
      <c r="C263" s="1556" t="s">
        <v>715</v>
      </c>
      <c r="D263" s="1556" t="n">
        <v>44116</v>
      </c>
      <c r="E263" s="1556" t="n">
        <v>44111</v>
      </c>
      <c r="F263" s="1557" t="s">
        <v>2092</v>
      </c>
      <c r="G263" s="1558" t="n">
        <v>1</v>
      </c>
      <c r="H263" s="1556" t="s">
        <v>1523</v>
      </c>
      <c r="I263" s="1556" t="n">
        <v>9020066</v>
      </c>
      <c r="K263" s="2" t="s">
        <v>2086</v>
      </c>
      <c r="L263" s="2" t="s">
        <v>1523</v>
      </c>
    </row>
    <row r="264" customFormat="false" ht="14.25" hidden="false" customHeight="false" outlineLevel="0" collapsed="false">
      <c r="A264" s="1556" t="n">
        <v>44</v>
      </c>
      <c r="B264" s="1556" t="s">
        <v>1678</v>
      </c>
      <c r="C264" s="1556" t="s">
        <v>715</v>
      </c>
      <c r="D264" s="1556" t="n">
        <v>44117</v>
      </c>
      <c r="E264" s="1556" t="n">
        <v>44112</v>
      </c>
      <c r="F264" s="1557" t="s">
        <v>2093</v>
      </c>
      <c r="G264" s="1558" t="n">
        <v>3</v>
      </c>
      <c r="H264" s="1556" t="s">
        <v>1550</v>
      </c>
      <c r="I264" s="1556" t="n">
        <v>9020068</v>
      </c>
      <c r="K264" s="2" t="s">
        <v>1718</v>
      </c>
      <c r="L264" s="2" t="s">
        <v>872</v>
      </c>
    </row>
    <row r="265" customFormat="false" ht="14.25" hidden="false" customHeight="false" outlineLevel="0" collapsed="false">
      <c r="A265" s="1556" t="n">
        <v>44</v>
      </c>
      <c r="B265" s="1556" t="s">
        <v>1680</v>
      </c>
      <c r="C265" s="1556" t="s">
        <v>715</v>
      </c>
      <c r="D265" s="1556" t="n">
        <v>44118</v>
      </c>
      <c r="E265" s="1556" t="n">
        <v>44113</v>
      </c>
      <c r="F265" s="1557" t="s">
        <v>2094</v>
      </c>
      <c r="G265" s="1558" t="n">
        <v>1</v>
      </c>
      <c r="H265" s="1556" t="s">
        <v>1523</v>
      </c>
      <c r="I265" s="1556" t="n">
        <v>9020066</v>
      </c>
      <c r="K265" s="2" t="s">
        <v>2095</v>
      </c>
      <c r="L265" s="2" t="s">
        <v>1523</v>
      </c>
    </row>
    <row r="266" customFormat="false" ht="14.25" hidden="false" customHeight="false" outlineLevel="0" collapsed="false">
      <c r="A266" s="1556" t="n">
        <v>44</v>
      </c>
      <c r="B266" s="1556" t="s">
        <v>2096</v>
      </c>
      <c r="C266" s="1556" t="s">
        <v>715</v>
      </c>
      <c r="D266" s="1556" t="n">
        <v>44119</v>
      </c>
      <c r="E266" s="1556" t="n">
        <v>44114</v>
      </c>
      <c r="F266" s="1557" t="s">
        <v>2097</v>
      </c>
      <c r="G266" s="1558" t="n">
        <v>1</v>
      </c>
      <c r="H266" s="1556" t="s">
        <v>1523</v>
      </c>
      <c r="I266" s="1556" t="n">
        <v>9020066</v>
      </c>
      <c r="K266" s="2" t="s">
        <v>2098</v>
      </c>
      <c r="L266" s="2" t="s">
        <v>1523</v>
      </c>
    </row>
    <row r="267" customFormat="false" ht="14.25" hidden="false" customHeight="false" outlineLevel="0" collapsed="false">
      <c r="A267" s="1556" t="n">
        <v>44</v>
      </c>
      <c r="B267" s="1556" t="s">
        <v>1683</v>
      </c>
      <c r="C267" s="1556" t="s">
        <v>715</v>
      </c>
      <c r="D267" s="1556" t="n">
        <v>44120</v>
      </c>
      <c r="E267" s="1556" t="n">
        <v>44115</v>
      </c>
      <c r="F267" s="1557" t="s">
        <v>2099</v>
      </c>
      <c r="G267" s="1558" t="n">
        <v>1</v>
      </c>
      <c r="H267" s="1556" t="s">
        <v>1523</v>
      </c>
      <c r="I267" s="1556" t="n">
        <v>9020066</v>
      </c>
      <c r="K267" s="2" t="s">
        <v>2100</v>
      </c>
      <c r="L267" s="2" t="s">
        <v>872</v>
      </c>
    </row>
    <row r="268" customFormat="false" ht="14.25" hidden="false" customHeight="false" outlineLevel="0" collapsed="false">
      <c r="A268" s="1556" t="n">
        <v>44</v>
      </c>
      <c r="B268" s="1556" t="s">
        <v>1686</v>
      </c>
      <c r="C268" s="1556" t="s">
        <v>715</v>
      </c>
      <c r="D268" s="1556" t="n">
        <v>44121</v>
      </c>
      <c r="E268" s="1556" t="n">
        <v>44116</v>
      </c>
      <c r="F268" s="1557" t="s">
        <v>2101</v>
      </c>
      <c r="G268" s="1558" t="n">
        <v>1</v>
      </c>
      <c r="H268" s="1556" t="s">
        <v>1523</v>
      </c>
      <c r="I268" s="1556" t="n">
        <v>9020066</v>
      </c>
      <c r="K268" s="2" t="s">
        <v>2087</v>
      </c>
      <c r="L268" s="2" t="s">
        <v>872</v>
      </c>
    </row>
    <row r="269" customFormat="false" ht="14.25" hidden="false" customHeight="false" outlineLevel="0" collapsed="false">
      <c r="A269" s="1556" t="n">
        <v>44</v>
      </c>
      <c r="B269" s="1556" t="s">
        <v>2102</v>
      </c>
      <c r="C269" s="1556" t="s">
        <v>715</v>
      </c>
      <c r="D269" s="1556" t="n">
        <v>44122</v>
      </c>
      <c r="E269" s="1556" t="n">
        <v>44117</v>
      </c>
      <c r="F269" s="1557" t="s">
        <v>2103</v>
      </c>
      <c r="G269" s="1558" t="n">
        <v>1</v>
      </c>
      <c r="H269" s="1556" t="s">
        <v>1523</v>
      </c>
      <c r="I269" s="1556" t="n">
        <v>9020066</v>
      </c>
      <c r="K269" s="2" t="s">
        <v>2089</v>
      </c>
      <c r="L269" s="2" t="s">
        <v>1523</v>
      </c>
    </row>
    <row r="270" customFormat="false" ht="14.25" hidden="false" customHeight="false" outlineLevel="0" collapsed="false">
      <c r="A270" s="1556" t="n">
        <v>44</v>
      </c>
      <c r="B270" s="1556" t="s">
        <v>1694</v>
      </c>
      <c r="C270" s="1556" t="s">
        <v>715</v>
      </c>
      <c r="D270" s="1556" t="n">
        <v>44123</v>
      </c>
      <c r="E270" s="1556" t="n">
        <v>44118</v>
      </c>
      <c r="F270" s="1557" t="s">
        <v>2104</v>
      </c>
      <c r="G270" s="1558" t="n">
        <v>1</v>
      </c>
      <c r="H270" s="1556" t="s">
        <v>1523</v>
      </c>
      <c r="I270" s="1556" t="n">
        <v>9020066</v>
      </c>
      <c r="K270" s="2" t="s">
        <v>2105</v>
      </c>
      <c r="L270" s="2" t="s">
        <v>872</v>
      </c>
    </row>
    <row r="271" customFormat="false" ht="14.25" hidden="false" customHeight="false" outlineLevel="0" collapsed="false">
      <c r="A271" s="1556" t="n">
        <v>44</v>
      </c>
      <c r="B271" s="1556" t="s">
        <v>2106</v>
      </c>
      <c r="C271" s="1556" t="s">
        <v>715</v>
      </c>
      <c r="D271" s="1556" t="n">
        <v>44125</v>
      </c>
      <c r="E271" s="1556" t="n">
        <v>44119</v>
      </c>
      <c r="F271" s="1557" t="s">
        <v>2107</v>
      </c>
      <c r="G271" s="1558" t="n">
        <v>1</v>
      </c>
      <c r="H271" s="1556" t="s">
        <v>1523</v>
      </c>
      <c r="I271" s="1556" t="n">
        <v>9020066</v>
      </c>
      <c r="K271" s="2" t="s">
        <v>2108</v>
      </c>
      <c r="L271" s="2" t="s">
        <v>872</v>
      </c>
    </row>
    <row r="272" customFormat="false" ht="14.25" hidden="false" customHeight="false" outlineLevel="0" collapsed="false">
      <c r="A272" s="1556" t="n">
        <v>44</v>
      </c>
      <c r="B272" s="1556" t="s">
        <v>2109</v>
      </c>
      <c r="C272" s="1556" t="s">
        <v>715</v>
      </c>
      <c r="D272" s="1556" t="n">
        <v>44126</v>
      </c>
      <c r="E272" s="1556" t="n">
        <v>44120</v>
      </c>
      <c r="F272" s="1557" t="s">
        <v>2110</v>
      </c>
      <c r="G272" s="1558" t="n">
        <v>1</v>
      </c>
      <c r="H272" s="1556" t="s">
        <v>1523</v>
      </c>
      <c r="I272" s="1556" t="n">
        <v>9020066</v>
      </c>
      <c r="K272" s="2" t="s">
        <v>2090</v>
      </c>
      <c r="L272" s="2" t="s">
        <v>1523</v>
      </c>
    </row>
    <row r="273" customFormat="false" ht="14.25" hidden="false" customHeight="false" outlineLevel="0" collapsed="false">
      <c r="A273" s="1556" t="n">
        <v>44</v>
      </c>
      <c r="B273" s="1556" t="s">
        <v>2111</v>
      </c>
      <c r="C273" s="1556" t="s">
        <v>715</v>
      </c>
      <c r="D273" s="1556" t="n">
        <v>44127</v>
      </c>
      <c r="E273" s="1556" t="n">
        <v>44121</v>
      </c>
      <c r="F273" s="1557" t="s">
        <v>2112</v>
      </c>
      <c r="G273" s="1558" t="n">
        <v>1</v>
      </c>
      <c r="H273" s="1556" t="s">
        <v>1523</v>
      </c>
      <c r="I273" s="1556" t="n">
        <v>9020066</v>
      </c>
      <c r="K273" s="2" t="s">
        <v>2092</v>
      </c>
      <c r="L273" s="2" t="s">
        <v>1523</v>
      </c>
    </row>
    <row r="274" customFormat="false" ht="14.25" hidden="false" customHeight="false" outlineLevel="0" collapsed="false">
      <c r="A274" s="1556" t="n">
        <v>44</v>
      </c>
      <c r="B274" s="1556" t="s">
        <v>2113</v>
      </c>
      <c r="C274" s="1556" t="s">
        <v>715</v>
      </c>
      <c r="D274" s="1556" t="n">
        <v>44128</v>
      </c>
      <c r="E274" s="1556" t="n">
        <v>44122</v>
      </c>
      <c r="F274" s="1557" t="s">
        <v>2114</v>
      </c>
      <c r="G274" s="1558" t="n">
        <v>2</v>
      </c>
      <c r="H274" s="1556" t="s">
        <v>872</v>
      </c>
      <c r="I274" s="1556" t="n">
        <v>9020067</v>
      </c>
      <c r="K274" s="2" t="s">
        <v>2093</v>
      </c>
      <c r="L274" s="2" t="s">
        <v>1550</v>
      </c>
    </row>
    <row r="275" customFormat="false" ht="14.25" hidden="false" customHeight="false" outlineLevel="0" collapsed="false">
      <c r="A275" s="1556" t="n">
        <v>44</v>
      </c>
      <c r="B275" s="1556" t="s">
        <v>2115</v>
      </c>
      <c r="C275" s="1556" t="s">
        <v>715</v>
      </c>
      <c r="D275" s="1556" t="n">
        <v>44129</v>
      </c>
      <c r="E275" s="1556" t="n">
        <v>44123</v>
      </c>
      <c r="F275" s="1557" t="s">
        <v>2116</v>
      </c>
      <c r="G275" s="1558" t="n">
        <v>1</v>
      </c>
      <c r="H275" s="1556" t="s">
        <v>1523</v>
      </c>
      <c r="I275" s="1556" t="n">
        <v>9020066</v>
      </c>
      <c r="K275" s="2" t="s">
        <v>2117</v>
      </c>
      <c r="L275" s="2" t="s">
        <v>872</v>
      </c>
    </row>
    <row r="276" customFormat="false" ht="14.25" hidden="false" customHeight="false" outlineLevel="0" collapsed="false">
      <c r="A276" s="1556" t="n">
        <v>44</v>
      </c>
      <c r="B276" s="1556" t="s">
        <v>2118</v>
      </c>
      <c r="C276" s="1556" t="s">
        <v>715</v>
      </c>
      <c r="D276" s="1556" t="n">
        <v>44130</v>
      </c>
      <c r="E276" s="1556" t="n">
        <v>44124</v>
      </c>
      <c r="F276" s="1557" t="s">
        <v>2119</v>
      </c>
      <c r="G276" s="1558" t="n">
        <v>1</v>
      </c>
      <c r="H276" s="1556" t="s">
        <v>1523</v>
      </c>
      <c r="I276" s="1556" t="n">
        <v>9020066</v>
      </c>
      <c r="K276" s="2" t="s">
        <v>2120</v>
      </c>
      <c r="L276" s="2" t="s">
        <v>1523</v>
      </c>
    </row>
    <row r="277" customFormat="false" ht="14.25" hidden="false" customHeight="false" outlineLevel="0" collapsed="false">
      <c r="A277" s="1556" t="n">
        <v>44</v>
      </c>
      <c r="B277" s="1556" t="s">
        <v>2121</v>
      </c>
      <c r="C277" s="1556" t="s">
        <v>715</v>
      </c>
      <c r="D277" s="1556" t="n">
        <v>44131</v>
      </c>
      <c r="E277" s="1556" t="n">
        <v>44125</v>
      </c>
      <c r="F277" s="1557" t="s">
        <v>2122</v>
      </c>
      <c r="G277" s="1558" t="n">
        <v>1</v>
      </c>
      <c r="H277" s="1556" t="s">
        <v>1523</v>
      </c>
      <c r="I277" s="1556" t="n">
        <v>9020066</v>
      </c>
      <c r="K277" s="2" t="s">
        <v>2094</v>
      </c>
      <c r="L277" s="2" t="s">
        <v>1523</v>
      </c>
    </row>
    <row r="278" customFormat="false" ht="14.25" hidden="false" customHeight="false" outlineLevel="0" collapsed="false">
      <c r="A278" s="1556" t="n">
        <v>44</v>
      </c>
      <c r="B278" s="1556" t="s">
        <v>2123</v>
      </c>
      <c r="C278" s="1556" t="s">
        <v>715</v>
      </c>
      <c r="D278" s="1556" t="n">
        <v>44132</v>
      </c>
      <c r="E278" s="1556" t="n">
        <v>44126</v>
      </c>
      <c r="F278" s="1557" t="s">
        <v>2124</v>
      </c>
      <c r="G278" s="1558" t="n">
        <v>1</v>
      </c>
      <c r="H278" s="1556" t="s">
        <v>1523</v>
      </c>
      <c r="I278" s="1556" t="n">
        <v>9020066</v>
      </c>
      <c r="K278" s="2" t="s">
        <v>2097</v>
      </c>
      <c r="L278" s="2" t="s">
        <v>1523</v>
      </c>
    </row>
    <row r="279" customFormat="false" ht="14.25" hidden="false" customHeight="false" outlineLevel="0" collapsed="false">
      <c r="A279" s="1556" t="n">
        <v>44</v>
      </c>
      <c r="B279" s="1556" t="s">
        <v>1689</v>
      </c>
      <c r="C279" s="1556" t="s">
        <v>715</v>
      </c>
      <c r="D279" s="1556" t="n">
        <v>44133</v>
      </c>
      <c r="E279" s="1556" t="n">
        <v>44127</v>
      </c>
      <c r="F279" s="1557" t="s">
        <v>2125</v>
      </c>
      <c r="G279" s="1558" t="n">
        <v>1</v>
      </c>
      <c r="H279" s="1556" t="s">
        <v>1523</v>
      </c>
      <c r="I279" s="1556" t="n">
        <v>9020066</v>
      </c>
      <c r="K279" s="2" t="s">
        <v>1721</v>
      </c>
      <c r="L279" s="2" t="s">
        <v>1523</v>
      </c>
    </row>
    <row r="280" customFormat="false" ht="14.25" hidden="false" customHeight="false" outlineLevel="0" collapsed="false">
      <c r="A280" s="1556" t="n">
        <v>44</v>
      </c>
      <c r="B280" s="1556" t="s">
        <v>1691</v>
      </c>
      <c r="C280" s="1556" t="s">
        <v>715</v>
      </c>
      <c r="D280" s="1556" t="n">
        <v>44134</v>
      </c>
      <c r="E280" s="1556" t="n">
        <v>44128</v>
      </c>
      <c r="F280" s="1557" t="s">
        <v>2126</v>
      </c>
      <c r="G280" s="1558" t="n">
        <v>1</v>
      </c>
      <c r="H280" s="1556" t="s">
        <v>1523</v>
      </c>
      <c r="I280" s="1556" t="n">
        <v>9020066</v>
      </c>
      <c r="K280" s="2" t="s">
        <v>2127</v>
      </c>
      <c r="L280" s="2" t="s">
        <v>1523</v>
      </c>
    </row>
    <row r="281" customFormat="false" ht="14.25" hidden="false" customHeight="false" outlineLevel="0" collapsed="false">
      <c r="A281" s="1556" t="n">
        <v>44</v>
      </c>
      <c r="B281" s="1556" t="s">
        <v>2128</v>
      </c>
      <c r="C281" s="1556" t="s">
        <v>715</v>
      </c>
      <c r="D281" s="1556" t="n">
        <v>44135</v>
      </c>
      <c r="E281" s="1556" t="n">
        <v>44129</v>
      </c>
      <c r="F281" s="1557" t="s">
        <v>2129</v>
      </c>
      <c r="G281" s="1558" t="n">
        <v>2</v>
      </c>
      <c r="H281" s="1556" t="s">
        <v>872</v>
      </c>
      <c r="I281" s="1556" t="n">
        <v>9020067</v>
      </c>
      <c r="K281" s="2" t="s">
        <v>2099</v>
      </c>
      <c r="L281" s="2" t="s">
        <v>1523</v>
      </c>
    </row>
    <row r="282" customFormat="false" ht="14.25" hidden="false" customHeight="false" outlineLevel="0" collapsed="false">
      <c r="A282" s="1556" t="n">
        <v>44</v>
      </c>
      <c r="B282" s="1556" t="s">
        <v>2130</v>
      </c>
      <c r="C282" s="1556" t="s">
        <v>715</v>
      </c>
      <c r="D282" s="1556" t="n">
        <v>44136</v>
      </c>
      <c r="E282" s="1556" t="n">
        <v>44130</v>
      </c>
      <c r="F282" s="1557" t="s">
        <v>2131</v>
      </c>
      <c r="G282" s="1558" t="n">
        <v>1</v>
      </c>
      <c r="H282" s="1556" t="s">
        <v>1523</v>
      </c>
      <c r="I282" s="1556" t="n">
        <v>9020066</v>
      </c>
      <c r="K282" s="2" t="s">
        <v>2101</v>
      </c>
      <c r="L282" s="2" t="s">
        <v>1523</v>
      </c>
    </row>
    <row r="283" customFormat="false" ht="14.25" hidden="false" customHeight="false" outlineLevel="0" collapsed="false">
      <c r="A283" s="1556" t="n">
        <v>44</v>
      </c>
      <c r="B283" s="1556" t="s">
        <v>2132</v>
      </c>
      <c r="C283" s="1556" t="s">
        <v>715</v>
      </c>
      <c r="D283" s="1556" t="n">
        <v>44137</v>
      </c>
      <c r="E283" s="1556" t="n">
        <v>44131</v>
      </c>
      <c r="F283" s="1557" t="s">
        <v>2133</v>
      </c>
      <c r="G283" s="1558" t="n">
        <v>1</v>
      </c>
      <c r="H283" s="1556" t="s">
        <v>1523</v>
      </c>
      <c r="I283" s="1556" t="n">
        <v>9020066</v>
      </c>
      <c r="K283" s="2" t="s">
        <v>2103</v>
      </c>
      <c r="L283" s="2" t="s">
        <v>1523</v>
      </c>
    </row>
    <row r="284" customFormat="false" ht="14.25" hidden="false" customHeight="false" outlineLevel="0" collapsed="false">
      <c r="A284" s="1556" t="n">
        <v>44</v>
      </c>
      <c r="B284" s="1556" t="s">
        <v>2134</v>
      </c>
      <c r="C284" s="1556" t="s">
        <v>715</v>
      </c>
      <c r="D284" s="1556" t="n">
        <v>44139</v>
      </c>
      <c r="E284" s="1556" t="n">
        <v>44132</v>
      </c>
      <c r="F284" s="1557" t="s">
        <v>2135</v>
      </c>
      <c r="G284" s="1558" t="n">
        <v>1</v>
      </c>
      <c r="H284" s="1556" t="s">
        <v>1523</v>
      </c>
      <c r="I284" s="1556" t="n">
        <v>9020066</v>
      </c>
      <c r="K284" s="2" t="s">
        <v>2136</v>
      </c>
      <c r="L284" s="2" t="s">
        <v>872</v>
      </c>
    </row>
    <row r="285" customFormat="false" ht="14.25" hidden="false" customHeight="false" outlineLevel="0" collapsed="false">
      <c r="A285" s="1556" t="n">
        <v>44</v>
      </c>
      <c r="B285" s="1556" t="s">
        <v>2137</v>
      </c>
      <c r="C285" s="1556" t="s">
        <v>715</v>
      </c>
      <c r="D285" s="1556" t="n">
        <v>44140</v>
      </c>
      <c r="E285" s="1556" t="n">
        <v>44133</v>
      </c>
      <c r="F285" s="1557" t="s">
        <v>2138</v>
      </c>
      <c r="G285" s="1558" t="n">
        <v>1</v>
      </c>
      <c r="H285" s="1556" t="s">
        <v>1523</v>
      </c>
      <c r="I285" s="1556" t="n">
        <v>9020066</v>
      </c>
      <c r="K285" s="2" t="s">
        <v>2104</v>
      </c>
      <c r="L285" s="2" t="s">
        <v>1523</v>
      </c>
    </row>
    <row r="286" customFormat="false" ht="14.25" hidden="false" customHeight="false" outlineLevel="0" collapsed="false">
      <c r="A286" s="1556" t="n">
        <v>44</v>
      </c>
      <c r="B286" s="1556" t="s">
        <v>2139</v>
      </c>
      <c r="C286" s="1556" t="s">
        <v>715</v>
      </c>
      <c r="D286" s="1556" t="n">
        <v>44142</v>
      </c>
      <c r="E286" s="1556" t="n">
        <v>44135</v>
      </c>
      <c r="F286" s="1557" t="s">
        <v>2140</v>
      </c>
      <c r="G286" s="1558" t="n">
        <v>1</v>
      </c>
      <c r="H286" s="1556" t="s">
        <v>1523</v>
      </c>
      <c r="I286" s="1556" t="n">
        <v>9020066</v>
      </c>
      <c r="K286" s="2" t="s">
        <v>1724</v>
      </c>
      <c r="L286" s="2" t="s">
        <v>1523</v>
      </c>
    </row>
    <row r="287" customFormat="false" ht="14.25" hidden="false" customHeight="false" outlineLevel="0" collapsed="false">
      <c r="A287" s="1556" t="n">
        <v>44</v>
      </c>
      <c r="B287" s="1556" t="s">
        <v>2141</v>
      </c>
      <c r="C287" s="1556" t="s">
        <v>715</v>
      </c>
      <c r="D287" s="1556" t="n">
        <v>44143</v>
      </c>
      <c r="E287" s="1556" t="n">
        <v>44136</v>
      </c>
      <c r="F287" s="1557" t="s">
        <v>2142</v>
      </c>
      <c r="G287" s="1558" t="n">
        <v>1</v>
      </c>
      <c r="H287" s="1556" t="s">
        <v>1523</v>
      </c>
      <c r="I287" s="1556" t="n">
        <v>9020066</v>
      </c>
      <c r="K287" s="2" t="s">
        <v>2143</v>
      </c>
      <c r="L287" s="2" t="s">
        <v>1523</v>
      </c>
    </row>
    <row r="288" customFormat="false" ht="14.25" hidden="false" customHeight="false" outlineLevel="0" collapsed="false">
      <c r="A288" s="1556" t="n">
        <v>44</v>
      </c>
      <c r="B288" s="1556" t="s">
        <v>1697</v>
      </c>
      <c r="C288" s="1556" t="s">
        <v>715</v>
      </c>
      <c r="D288" s="1556" t="n">
        <v>44144</v>
      </c>
      <c r="E288" s="1556" t="n">
        <v>44137</v>
      </c>
      <c r="F288" s="1557" t="s">
        <v>2144</v>
      </c>
      <c r="G288" s="1558" t="n">
        <v>1</v>
      </c>
      <c r="H288" s="1556" t="s">
        <v>1523</v>
      </c>
      <c r="I288" s="1556" t="n">
        <v>9020066</v>
      </c>
      <c r="K288" s="2" t="s">
        <v>2145</v>
      </c>
      <c r="L288" s="2" t="s">
        <v>1523</v>
      </c>
    </row>
    <row r="289" customFormat="false" ht="14.25" hidden="false" customHeight="false" outlineLevel="0" collapsed="false">
      <c r="A289" s="1556" t="n">
        <v>44</v>
      </c>
      <c r="B289" s="1556" t="s">
        <v>1705</v>
      </c>
      <c r="C289" s="1556" t="s">
        <v>715</v>
      </c>
      <c r="D289" s="1556" t="n">
        <v>44148</v>
      </c>
      <c r="E289" s="1556" t="n">
        <v>44141</v>
      </c>
      <c r="F289" s="1557" t="s">
        <v>2146</v>
      </c>
      <c r="G289" s="1558" t="n">
        <v>2</v>
      </c>
      <c r="H289" s="1556" t="s">
        <v>872</v>
      </c>
      <c r="I289" s="1556" t="n">
        <v>9020067</v>
      </c>
      <c r="K289" s="2" t="s">
        <v>1727</v>
      </c>
      <c r="L289" s="2" t="s">
        <v>1550</v>
      </c>
    </row>
    <row r="290" customFormat="false" ht="14.25" hidden="false" customHeight="false" outlineLevel="0" collapsed="false">
      <c r="A290" s="1556" t="n">
        <v>44</v>
      </c>
      <c r="B290" s="1556" t="s">
        <v>1700</v>
      </c>
      <c r="C290" s="1556" t="s">
        <v>715</v>
      </c>
      <c r="D290" s="1556" t="n">
        <v>44145</v>
      </c>
      <c r="E290" s="1556" t="n">
        <v>44138</v>
      </c>
      <c r="F290" s="1557" t="s">
        <v>2147</v>
      </c>
      <c r="G290" s="1558" t="n">
        <v>1</v>
      </c>
      <c r="H290" s="1556" t="s">
        <v>1523</v>
      </c>
      <c r="I290" s="1556" t="n">
        <v>9020066</v>
      </c>
      <c r="K290" s="2" t="s">
        <v>1730</v>
      </c>
      <c r="L290" s="2" t="s">
        <v>1523</v>
      </c>
    </row>
    <row r="291" customFormat="false" ht="14.25" hidden="false" customHeight="false" outlineLevel="0" collapsed="false">
      <c r="A291" s="1556" t="n">
        <v>44</v>
      </c>
      <c r="B291" s="1556" t="s">
        <v>1708</v>
      </c>
      <c r="C291" s="1556" t="s">
        <v>715</v>
      </c>
      <c r="D291" s="1556" t="n">
        <v>44149</v>
      </c>
      <c r="E291" s="1556" t="n">
        <v>44142</v>
      </c>
      <c r="F291" s="1557" t="s">
        <v>2148</v>
      </c>
      <c r="G291" s="1558" t="n">
        <v>1</v>
      </c>
      <c r="H291" s="1556" t="s">
        <v>1523</v>
      </c>
      <c r="I291" s="1556" t="n">
        <v>9020066</v>
      </c>
      <c r="K291" s="2" t="s">
        <v>2107</v>
      </c>
      <c r="L291" s="2" t="s">
        <v>1523</v>
      </c>
    </row>
    <row r="292" customFormat="false" ht="14.25" hidden="false" customHeight="false" outlineLevel="0" collapsed="false">
      <c r="A292" s="1556" t="n">
        <v>44</v>
      </c>
      <c r="B292" s="1556" t="s">
        <v>2149</v>
      </c>
      <c r="C292" s="1556" t="s">
        <v>715</v>
      </c>
      <c r="D292" s="1556" t="n">
        <v>44150</v>
      </c>
      <c r="E292" s="1556" t="n">
        <v>44143</v>
      </c>
      <c r="F292" s="1557" t="s">
        <v>2150</v>
      </c>
      <c r="G292" s="1558" t="n">
        <v>1</v>
      </c>
      <c r="H292" s="1556" t="s">
        <v>1523</v>
      </c>
      <c r="I292" s="1556" t="n">
        <v>9020066</v>
      </c>
      <c r="K292" s="2" t="s">
        <v>2151</v>
      </c>
      <c r="L292" s="2" t="s">
        <v>1523</v>
      </c>
    </row>
    <row r="293" customFormat="false" ht="14.25" hidden="false" customHeight="false" outlineLevel="0" collapsed="false">
      <c r="A293" s="1556" t="n">
        <v>44</v>
      </c>
      <c r="B293" s="1556" t="s">
        <v>2152</v>
      </c>
      <c r="C293" s="1556" t="s">
        <v>715</v>
      </c>
      <c r="D293" s="1556" t="n">
        <v>44151</v>
      </c>
      <c r="E293" s="1556" t="n">
        <v>44144</v>
      </c>
      <c r="F293" s="1557" t="s">
        <v>2153</v>
      </c>
      <c r="G293" s="1558" t="n">
        <v>1</v>
      </c>
      <c r="H293" s="1556" t="s">
        <v>1523</v>
      </c>
      <c r="I293" s="1556" t="n">
        <v>9020066</v>
      </c>
      <c r="K293" s="2" t="s">
        <v>2154</v>
      </c>
      <c r="L293" s="2" t="s">
        <v>872</v>
      </c>
    </row>
    <row r="294" customFormat="false" ht="14.25" hidden="false" customHeight="false" outlineLevel="0" collapsed="false">
      <c r="A294" s="1556" t="n">
        <v>44</v>
      </c>
      <c r="B294" s="1556" t="s">
        <v>1710</v>
      </c>
      <c r="C294" s="1556" t="s">
        <v>715</v>
      </c>
      <c r="D294" s="1556" t="n">
        <v>44152</v>
      </c>
      <c r="E294" s="1556" t="n">
        <v>44145</v>
      </c>
      <c r="F294" s="1557" t="s">
        <v>2155</v>
      </c>
      <c r="G294" s="1558" t="n">
        <v>2</v>
      </c>
      <c r="H294" s="1556" t="s">
        <v>872</v>
      </c>
      <c r="I294" s="1556" t="n">
        <v>9020067</v>
      </c>
      <c r="K294" s="2" t="s">
        <v>2110</v>
      </c>
      <c r="L294" s="2" t="s">
        <v>1523</v>
      </c>
    </row>
    <row r="295" customFormat="false" ht="14.25" hidden="false" customHeight="false" outlineLevel="0" collapsed="false">
      <c r="A295" s="1556" t="n">
        <v>44</v>
      </c>
      <c r="B295" s="1556" t="s">
        <v>1712</v>
      </c>
      <c r="C295" s="1556" t="s">
        <v>715</v>
      </c>
      <c r="D295" s="1556" t="n">
        <v>44153</v>
      </c>
      <c r="E295" s="1556" t="n">
        <v>44146</v>
      </c>
      <c r="F295" s="1557" t="s">
        <v>2156</v>
      </c>
      <c r="G295" s="1558" t="n">
        <v>3</v>
      </c>
      <c r="H295" s="1556" t="s">
        <v>1550</v>
      </c>
      <c r="I295" s="1556" t="n">
        <v>9020068</v>
      </c>
      <c r="K295" s="2" t="s">
        <v>2112</v>
      </c>
      <c r="L295" s="2" t="s">
        <v>1523</v>
      </c>
    </row>
    <row r="296" customFormat="false" ht="14.25" hidden="false" customHeight="false" outlineLevel="0" collapsed="false">
      <c r="A296" s="1556" t="n">
        <v>44</v>
      </c>
      <c r="B296" s="1556" t="s">
        <v>1715</v>
      </c>
      <c r="C296" s="1556" t="s">
        <v>715</v>
      </c>
      <c r="D296" s="1556" t="n">
        <v>44154</v>
      </c>
      <c r="E296" s="1556" t="n">
        <v>44147</v>
      </c>
      <c r="F296" s="1557" t="s">
        <v>2157</v>
      </c>
      <c r="G296" s="1558" t="n">
        <v>2</v>
      </c>
      <c r="H296" s="1556" t="s">
        <v>872</v>
      </c>
      <c r="I296" s="1556" t="n">
        <v>9020067</v>
      </c>
      <c r="K296" s="2" t="s">
        <v>1732</v>
      </c>
      <c r="L296" s="2" t="s">
        <v>872</v>
      </c>
    </row>
    <row r="297" customFormat="false" ht="14.25" hidden="false" customHeight="false" outlineLevel="0" collapsed="false">
      <c r="A297" s="1556" t="n">
        <v>44</v>
      </c>
      <c r="B297" s="1556" t="s">
        <v>1717</v>
      </c>
      <c r="C297" s="1556" t="s">
        <v>715</v>
      </c>
      <c r="D297" s="1556" t="n">
        <v>44155</v>
      </c>
      <c r="E297" s="1556" t="n">
        <v>44148</v>
      </c>
      <c r="F297" s="1557" t="s">
        <v>2158</v>
      </c>
      <c r="G297" s="1558" t="n">
        <v>1</v>
      </c>
      <c r="H297" s="1556" t="s">
        <v>1523</v>
      </c>
      <c r="I297" s="1556" t="n">
        <v>9020066</v>
      </c>
      <c r="K297" s="2" t="s">
        <v>2159</v>
      </c>
      <c r="L297" s="2" t="s">
        <v>1523</v>
      </c>
    </row>
    <row r="298" customFormat="false" ht="14.25" hidden="false" customHeight="false" outlineLevel="0" collapsed="false">
      <c r="A298" s="1556" t="n">
        <v>44</v>
      </c>
      <c r="B298" s="1556" t="s">
        <v>2160</v>
      </c>
      <c r="C298" s="1556" t="s">
        <v>715</v>
      </c>
      <c r="D298" s="1556" t="n">
        <v>44157</v>
      </c>
      <c r="E298" s="1556" t="n">
        <v>44149</v>
      </c>
      <c r="F298" s="1557" t="s">
        <v>2161</v>
      </c>
      <c r="G298" s="1558" t="n">
        <v>1</v>
      </c>
      <c r="H298" s="1556" t="s">
        <v>1523</v>
      </c>
      <c r="I298" s="1556" t="n">
        <v>9020066</v>
      </c>
      <c r="K298" s="2" t="s">
        <v>2114</v>
      </c>
      <c r="L298" s="2" t="s">
        <v>872</v>
      </c>
    </row>
    <row r="299" customFormat="false" ht="14.25" hidden="false" customHeight="false" outlineLevel="0" collapsed="false">
      <c r="A299" s="1556" t="n">
        <v>44</v>
      </c>
      <c r="B299" s="1556" t="s">
        <v>2162</v>
      </c>
      <c r="C299" s="1556" t="s">
        <v>715</v>
      </c>
      <c r="D299" s="1556" t="n">
        <v>44158</v>
      </c>
      <c r="E299" s="1556" t="n">
        <v>44150</v>
      </c>
      <c r="F299" s="1557" t="s">
        <v>2163</v>
      </c>
      <c r="G299" s="1558" t="n">
        <v>1</v>
      </c>
      <c r="H299" s="1556" t="s">
        <v>1523</v>
      </c>
      <c r="I299" s="1556" t="n">
        <v>9020066</v>
      </c>
      <c r="K299" s="2" t="s">
        <v>2116</v>
      </c>
      <c r="L299" s="2" t="s">
        <v>1523</v>
      </c>
    </row>
    <row r="300" customFormat="false" ht="14.25" hidden="false" customHeight="false" outlineLevel="0" collapsed="false">
      <c r="A300" s="1556" t="n">
        <v>44</v>
      </c>
      <c r="B300" s="1556" t="s">
        <v>2164</v>
      </c>
      <c r="C300" s="1556" t="s">
        <v>715</v>
      </c>
      <c r="D300" s="1556" t="n">
        <v>44159</v>
      </c>
      <c r="E300" s="1556" t="n">
        <v>44151</v>
      </c>
      <c r="F300" s="1557" t="s">
        <v>2165</v>
      </c>
      <c r="G300" s="1558" t="n">
        <v>1</v>
      </c>
      <c r="H300" s="1556" t="s">
        <v>1523</v>
      </c>
      <c r="I300" s="1556" t="n">
        <v>9020066</v>
      </c>
      <c r="K300" s="2" t="s">
        <v>1735</v>
      </c>
      <c r="L300" s="2" t="s">
        <v>1523</v>
      </c>
    </row>
    <row r="301" customFormat="false" ht="14.25" hidden="false" customHeight="false" outlineLevel="0" collapsed="false">
      <c r="A301" s="1556" t="n">
        <v>44</v>
      </c>
      <c r="B301" s="1556" t="s">
        <v>1723</v>
      </c>
      <c r="C301" s="1556" t="s">
        <v>715</v>
      </c>
      <c r="D301" s="1556" t="n">
        <v>44160</v>
      </c>
      <c r="E301" s="1556" t="n">
        <v>44152</v>
      </c>
      <c r="F301" s="1557" t="s">
        <v>2166</v>
      </c>
      <c r="G301" s="1558" t="n">
        <v>1</v>
      </c>
      <c r="H301" s="1556" t="s">
        <v>1523</v>
      </c>
      <c r="I301" s="1556" t="n">
        <v>9020066</v>
      </c>
      <c r="K301" s="2" t="s">
        <v>2119</v>
      </c>
      <c r="L301" s="2" t="s">
        <v>1523</v>
      </c>
    </row>
    <row r="302" customFormat="false" ht="14.25" hidden="false" customHeight="false" outlineLevel="0" collapsed="false">
      <c r="A302" s="1556" t="n">
        <v>44</v>
      </c>
      <c r="B302" s="1556" t="s">
        <v>1726</v>
      </c>
      <c r="C302" s="1556" t="s">
        <v>715</v>
      </c>
      <c r="D302" s="1556" t="n">
        <v>44161</v>
      </c>
      <c r="E302" s="1556" t="n">
        <v>44153</v>
      </c>
      <c r="F302" s="1557" t="s">
        <v>2167</v>
      </c>
      <c r="G302" s="1558" t="n">
        <v>1</v>
      </c>
      <c r="H302" s="1556" t="s">
        <v>1523</v>
      </c>
      <c r="I302" s="1556" t="n">
        <v>9020066</v>
      </c>
      <c r="K302" s="2" t="s">
        <v>1737</v>
      </c>
      <c r="L302" s="2" t="s">
        <v>1523</v>
      </c>
    </row>
    <row r="303" customFormat="false" ht="14.25" hidden="false" customHeight="false" outlineLevel="0" collapsed="false">
      <c r="A303" s="1556" t="n">
        <v>44</v>
      </c>
      <c r="B303" s="1556" t="s">
        <v>2168</v>
      </c>
      <c r="C303" s="1556" t="s">
        <v>715</v>
      </c>
      <c r="D303" s="1556" t="n">
        <v>44162</v>
      </c>
      <c r="E303" s="1556" t="n">
        <v>44154</v>
      </c>
      <c r="F303" s="1557" t="s">
        <v>2169</v>
      </c>
      <c r="G303" s="1558" t="n">
        <v>1</v>
      </c>
      <c r="H303" s="1556" t="s">
        <v>1523</v>
      </c>
      <c r="I303" s="1556" t="n">
        <v>9020066</v>
      </c>
      <c r="K303" s="2" t="s">
        <v>2122</v>
      </c>
      <c r="L303" s="2" t="s">
        <v>1523</v>
      </c>
    </row>
    <row r="304" customFormat="false" ht="14.25" hidden="false" customHeight="false" outlineLevel="0" collapsed="false">
      <c r="A304" s="1556" t="n">
        <v>44</v>
      </c>
      <c r="B304" s="1556" t="s">
        <v>1729</v>
      </c>
      <c r="C304" s="1556" t="s">
        <v>715</v>
      </c>
      <c r="D304" s="1556" t="n">
        <v>44163</v>
      </c>
      <c r="E304" s="1556" t="n">
        <v>44155</v>
      </c>
      <c r="F304" s="1557" t="s">
        <v>2170</v>
      </c>
      <c r="G304" s="1558" t="n">
        <v>1</v>
      </c>
      <c r="H304" s="1556" t="s">
        <v>1523</v>
      </c>
      <c r="I304" s="1556" t="n">
        <v>9020066</v>
      </c>
      <c r="K304" s="2" t="s">
        <v>712</v>
      </c>
      <c r="L304" s="2" t="s">
        <v>872</v>
      </c>
    </row>
    <row r="305" customFormat="false" ht="14.25" hidden="false" customHeight="false" outlineLevel="0" collapsed="false">
      <c r="A305" s="1556" t="n">
        <v>44</v>
      </c>
      <c r="B305" s="1556" t="s">
        <v>2171</v>
      </c>
      <c r="C305" s="1556" t="s">
        <v>715</v>
      </c>
      <c r="D305" s="1556" t="n">
        <v>44164</v>
      </c>
      <c r="E305" s="1556" t="n">
        <v>44156</v>
      </c>
      <c r="F305" s="1557" t="s">
        <v>2172</v>
      </c>
      <c r="G305" s="1558" t="n">
        <v>1</v>
      </c>
      <c r="H305" s="1556" t="s">
        <v>1523</v>
      </c>
      <c r="I305" s="1556" t="n">
        <v>9020066</v>
      </c>
      <c r="K305" s="2" t="s">
        <v>2173</v>
      </c>
      <c r="L305" s="2" t="s">
        <v>1523</v>
      </c>
    </row>
    <row r="306" customFormat="false" ht="14.25" hidden="false" customHeight="false" outlineLevel="0" collapsed="false">
      <c r="A306" s="1556" t="n">
        <v>44</v>
      </c>
      <c r="B306" s="1556" t="s">
        <v>2174</v>
      </c>
      <c r="C306" s="1556" t="s">
        <v>715</v>
      </c>
      <c r="D306" s="1556" t="n">
        <v>44165</v>
      </c>
      <c r="E306" s="1556" t="n">
        <v>44157</v>
      </c>
      <c r="F306" s="1557" t="s">
        <v>2175</v>
      </c>
      <c r="G306" s="1558" t="n">
        <v>1</v>
      </c>
      <c r="H306" s="1556" t="s">
        <v>1523</v>
      </c>
      <c r="I306" s="1556" t="n">
        <v>9020066</v>
      </c>
      <c r="K306" s="2" t="s">
        <v>1741</v>
      </c>
      <c r="L306" s="2" t="s">
        <v>872</v>
      </c>
    </row>
    <row r="307" customFormat="false" ht="14.25" hidden="false" customHeight="false" outlineLevel="0" collapsed="false">
      <c r="A307" s="1556" t="n">
        <v>44</v>
      </c>
      <c r="B307" s="1556" t="s">
        <v>1731</v>
      </c>
      <c r="C307" s="1556" t="s">
        <v>715</v>
      </c>
      <c r="D307" s="1556" t="n">
        <v>44167</v>
      </c>
      <c r="E307" s="1556" t="n">
        <v>44158</v>
      </c>
      <c r="F307" s="1557" t="s">
        <v>2176</v>
      </c>
      <c r="G307" s="1558" t="n">
        <v>1</v>
      </c>
      <c r="H307" s="1556" t="s">
        <v>1523</v>
      </c>
      <c r="I307" s="1556" t="n">
        <v>9020066</v>
      </c>
      <c r="K307" s="2" t="s">
        <v>2124</v>
      </c>
      <c r="L307" s="2" t="s">
        <v>1523</v>
      </c>
    </row>
    <row r="308" customFormat="false" ht="14.25" hidden="false" customHeight="false" outlineLevel="0" collapsed="false">
      <c r="A308" s="1556" t="n">
        <v>44</v>
      </c>
      <c r="B308" s="1556" t="s">
        <v>1937</v>
      </c>
      <c r="C308" s="1556" t="s">
        <v>715</v>
      </c>
      <c r="D308" s="1556" t="n">
        <v>44168</v>
      </c>
      <c r="E308" s="1556" t="n">
        <v>44159</v>
      </c>
      <c r="F308" s="1557" t="s">
        <v>2177</v>
      </c>
      <c r="G308" s="1558" t="n">
        <v>1</v>
      </c>
      <c r="H308" s="1556" t="s">
        <v>1523</v>
      </c>
      <c r="I308" s="1556" t="n">
        <v>9020066</v>
      </c>
      <c r="K308" s="2" t="s">
        <v>1744</v>
      </c>
      <c r="L308" s="2" t="s">
        <v>872</v>
      </c>
    </row>
    <row r="309" customFormat="false" ht="14.25" hidden="false" customHeight="false" outlineLevel="0" collapsed="false">
      <c r="A309" s="1556" t="n">
        <v>44</v>
      </c>
      <c r="B309" s="1556" t="s">
        <v>1736</v>
      </c>
      <c r="C309" s="1556" t="s">
        <v>715</v>
      </c>
      <c r="D309" s="1556" t="n">
        <v>44169</v>
      </c>
      <c r="E309" s="1556" t="n">
        <v>44160</v>
      </c>
      <c r="F309" s="1557" t="s">
        <v>2178</v>
      </c>
      <c r="G309" s="1558" t="n">
        <v>1</v>
      </c>
      <c r="H309" s="1556" t="s">
        <v>1523</v>
      </c>
      <c r="I309" s="1556" t="n">
        <v>9020066</v>
      </c>
      <c r="K309" s="2" t="s">
        <v>2179</v>
      </c>
      <c r="L309" s="2" t="s">
        <v>1523</v>
      </c>
    </row>
    <row r="310" customFormat="false" ht="14.25" hidden="false" customHeight="false" outlineLevel="0" collapsed="false">
      <c r="A310" s="1556" t="n">
        <v>44</v>
      </c>
      <c r="B310" s="1556" t="s">
        <v>1734</v>
      </c>
      <c r="C310" s="1556" t="s">
        <v>715</v>
      </c>
      <c r="D310" s="1556" t="n">
        <v>44170</v>
      </c>
      <c r="E310" s="1556" t="n">
        <v>44161</v>
      </c>
      <c r="F310" s="1557" t="s">
        <v>2180</v>
      </c>
      <c r="G310" s="1558" t="n">
        <v>2</v>
      </c>
      <c r="H310" s="1556" t="s">
        <v>872</v>
      </c>
      <c r="I310" s="1556" t="n">
        <v>9020067</v>
      </c>
      <c r="K310" s="2" t="s">
        <v>1747</v>
      </c>
      <c r="L310" s="2" t="s">
        <v>1523</v>
      </c>
    </row>
    <row r="311" customFormat="false" ht="14.25" hidden="false" customHeight="false" outlineLevel="0" collapsed="false">
      <c r="A311" s="1556" t="n">
        <v>44</v>
      </c>
      <c r="B311" s="1556" t="s">
        <v>2181</v>
      </c>
      <c r="C311" s="1556" t="s">
        <v>715</v>
      </c>
      <c r="D311" s="1556" t="n">
        <v>44172</v>
      </c>
      <c r="E311" s="1556" t="n">
        <v>44163</v>
      </c>
      <c r="F311" s="1557" t="s">
        <v>2182</v>
      </c>
      <c r="G311" s="1558" t="n">
        <v>1</v>
      </c>
      <c r="H311" s="1556" t="s">
        <v>1523</v>
      </c>
      <c r="I311" s="1556" t="n">
        <v>9020066</v>
      </c>
      <c r="K311" s="2" t="s">
        <v>2183</v>
      </c>
      <c r="L311" s="2" t="s">
        <v>1523</v>
      </c>
    </row>
    <row r="312" customFormat="false" ht="14.25" hidden="false" customHeight="false" outlineLevel="0" collapsed="false">
      <c r="A312" s="1556" t="n">
        <v>44</v>
      </c>
      <c r="B312" s="1556" t="s">
        <v>2184</v>
      </c>
      <c r="C312" s="1556" t="s">
        <v>715</v>
      </c>
      <c r="D312" s="1556" t="n">
        <v>44173</v>
      </c>
      <c r="E312" s="1556" t="n">
        <v>44164</v>
      </c>
      <c r="F312" s="1557" t="s">
        <v>2185</v>
      </c>
      <c r="G312" s="1558" t="n">
        <v>1</v>
      </c>
      <c r="H312" s="1556" t="s">
        <v>1523</v>
      </c>
      <c r="I312" s="1556" t="n">
        <v>9020066</v>
      </c>
      <c r="K312" s="2" t="s">
        <v>2125</v>
      </c>
      <c r="L312" s="2" t="s">
        <v>1523</v>
      </c>
    </row>
    <row r="313" customFormat="false" ht="14.25" hidden="false" customHeight="false" outlineLevel="0" collapsed="false">
      <c r="A313" s="1556" t="n">
        <v>44</v>
      </c>
      <c r="B313" s="1556" t="s">
        <v>1740</v>
      </c>
      <c r="C313" s="1556" t="s">
        <v>715</v>
      </c>
      <c r="D313" s="1556" t="n">
        <v>44174</v>
      </c>
      <c r="E313" s="1556" t="n">
        <v>44165</v>
      </c>
      <c r="F313" s="1557" t="s">
        <v>2186</v>
      </c>
      <c r="G313" s="1558" t="n">
        <v>1</v>
      </c>
      <c r="H313" s="1556" t="s">
        <v>1523</v>
      </c>
      <c r="I313" s="1556" t="n">
        <v>9020066</v>
      </c>
      <c r="K313" s="2" t="s">
        <v>1750</v>
      </c>
      <c r="L313" s="2" t="s">
        <v>1523</v>
      </c>
    </row>
    <row r="314" customFormat="false" ht="14.25" hidden="false" customHeight="false" outlineLevel="0" collapsed="false">
      <c r="A314" s="1556" t="n">
        <v>44</v>
      </c>
      <c r="B314" s="1556" t="s">
        <v>2187</v>
      </c>
      <c r="C314" s="1556" t="s">
        <v>715</v>
      </c>
      <c r="D314" s="1556" t="n">
        <v>44176</v>
      </c>
      <c r="E314" s="1556" t="n">
        <v>44167</v>
      </c>
      <c r="F314" s="1557" t="s">
        <v>2188</v>
      </c>
      <c r="G314" s="1558" t="n">
        <v>1</v>
      </c>
      <c r="H314" s="1556" t="s">
        <v>1523</v>
      </c>
      <c r="I314" s="1556" t="n">
        <v>9020066</v>
      </c>
      <c r="K314" s="2" t="s">
        <v>2189</v>
      </c>
      <c r="L314" s="2" t="s">
        <v>1523</v>
      </c>
    </row>
    <row r="315" customFormat="false" ht="14.25" hidden="false" customHeight="false" outlineLevel="0" collapsed="false">
      <c r="A315" s="1556" t="n">
        <v>44</v>
      </c>
      <c r="B315" s="1556" t="s">
        <v>2190</v>
      </c>
      <c r="C315" s="1556" t="s">
        <v>715</v>
      </c>
      <c r="D315" s="1556" t="n">
        <v>44177</v>
      </c>
      <c r="E315" s="1556" t="n">
        <v>44168</v>
      </c>
      <c r="F315" s="1557" t="s">
        <v>2191</v>
      </c>
      <c r="G315" s="1558" t="n">
        <v>1</v>
      </c>
      <c r="H315" s="1556" t="s">
        <v>1523</v>
      </c>
      <c r="I315" s="1556" t="n">
        <v>9020066</v>
      </c>
      <c r="K315" s="2" t="s">
        <v>2192</v>
      </c>
      <c r="L315" s="2" t="s">
        <v>1523</v>
      </c>
    </row>
    <row r="316" customFormat="false" ht="14.25" hidden="false" customHeight="false" outlineLevel="0" collapsed="false">
      <c r="A316" s="1556" t="n">
        <v>44</v>
      </c>
      <c r="B316" s="1556" t="s">
        <v>1749</v>
      </c>
      <c r="C316" s="1556" t="s">
        <v>715</v>
      </c>
      <c r="D316" s="1556" t="n">
        <v>44178</v>
      </c>
      <c r="E316" s="1556" t="n">
        <v>44169</v>
      </c>
      <c r="F316" s="1557" t="s">
        <v>2193</v>
      </c>
      <c r="G316" s="1558" t="n">
        <v>1</v>
      </c>
      <c r="H316" s="1556" t="s">
        <v>1523</v>
      </c>
      <c r="I316" s="1556" t="n">
        <v>9020066</v>
      </c>
      <c r="K316" s="2" t="s">
        <v>2126</v>
      </c>
      <c r="L316" s="2" t="s">
        <v>1523</v>
      </c>
    </row>
    <row r="317" customFormat="false" ht="14.25" hidden="false" customHeight="false" outlineLevel="0" collapsed="false">
      <c r="A317" s="1556" t="n">
        <v>44</v>
      </c>
      <c r="B317" s="1556" t="s">
        <v>2194</v>
      </c>
      <c r="C317" s="1556" t="s">
        <v>715</v>
      </c>
      <c r="D317" s="1556" t="n">
        <v>44180</v>
      </c>
      <c r="E317" s="1556" t="n">
        <v>44171</v>
      </c>
      <c r="F317" s="1557" t="s">
        <v>2195</v>
      </c>
      <c r="G317" s="1558" t="n">
        <v>1</v>
      </c>
      <c r="H317" s="1556" t="s">
        <v>1523</v>
      </c>
      <c r="I317" s="1556" t="n">
        <v>9020066</v>
      </c>
      <c r="K317" s="2" t="s">
        <v>1753</v>
      </c>
      <c r="L317" s="2" t="s">
        <v>1523</v>
      </c>
    </row>
    <row r="318" customFormat="false" ht="14.25" hidden="false" customHeight="false" outlineLevel="0" collapsed="false">
      <c r="A318" s="1556" t="n">
        <v>44</v>
      </c>
      <c r="B318" s="1556" t="s">
        <v>2196</v>
      </c>
      <c r="C318" s="1556" t="s">
        <v>715</v>
      </c>
      <c r="D318" s="1556" t="n">
        <v>44181</v>
      </c>
      <c r="E318" s="1556" t="n">
        <v>44172</v>
      </c>
      <c r="F318" s="1557" t="s">
        <v>2197</v>
      </c>
      <c r="G318" s="1558" t="n">
        <v>1</v>
      </c>
      <c r="H318" s="1556" t="s">
        <v>1523</v>
      </c>
      <c r="I318" s="1556" t="n">
        <v>9020066</v>
      </c>
      <c r="K318" s="2" t="s">
        <v>2129</v>
      </c>
      <c r="L318" s="2" t="s">
        <v>872</v>
      </c>
    </row>
    <row r="319" customFormat="false" ht="14.25" hidden="false" customHeight="false" outlineLevel="0" collapsed="false">
      <c r="A319" s="1556" t="n">
        <v>44</v>
      </c>
      <c r="B319" s="1556" t="s">
        <v>2198</v>
      </c>
      <c r="C319" s="1556" t="s">
        <v>715</v>
      </c>
      <c r="D319" s="1556" t="n">
        <v>44182</v>
      </c>
      <c r="E319" s="1556" t="n">
        <v>44173</v>
      </c>
      <c r="F319" s="1557" t="s">
        <v>2199</v>
      </c>
      <c r="G319" s="1558" t="n">
        <v>1</v>
      </c>
      <c r="H319" s="1556" t="s">
        <v>1523</v>
      </c>
      <c r="I319" s="1556" t="n">
        <v>9020066</v>
      </c>
      <c r="K319" s="2" t="s">
        <v>2200</v>
      </c>
      <c r="L319" s="2" t="s">
        <v>1523</v>
      </c>
    </row>
    <row r="320" customFormat="false" ht="14.25" hidden="false" customHeight="false" outlineLevel="0" collapsed="false">
      <c r="A320" s="1556" t="n">
        <v>44</v>
      </c>
      <c r="B320" s="1556" t="s">
        <v>2201</v>
      </c>
      <c r="C320" s="1556" t="s">
        <v>715</v>
      </c>
      <c r="D320" s="1556" t="n">
        <v>44183</v>
      </c>
      <c r="E320" s="1556" t="n">
        <v>44174</v>
      </c>
      <c r="F320" s="1557" t="s">
        <v>2202</v>
      </c>
      <c r="G320" s="1558" t="n">
        <v>1</v>
      </c>
      <c r="H320" s="1556" t="s">
        <v>1523</v>
      </c>
      <c r="I320" s="1556" t="n">
        <v>9020066</v>
      </c>
      <c r="K320" s="2" t="s">
        <v>2131</v>
      </c>
      <c r="L320" s="2" t="s">
        <v>1523</v>
      </c>
    </row>
    <row r="321" customFormat="false" ht="14.25" hidden="false" customHeight="false" outlineLevel="0" collapsed="false">
      <c r="A321" s="1556" t="n">
        <v>44</v>
      </c>
      <c r="B321" s="1556" t="s">
        <v>2203</v>
      </c>
      <c r="C321" s="1556" t="s">
        <v>715</v>
      </c>
      <c r="D321" s="1556" t="n">
        <v>44184</v>
      </c>
      <c r="E321" s="1556" t="n">
        <v>44175</v>
      </c>
      <c r="F321" s="1557" t="s">
        <v>2204</v>
      </c>
      <c r="G321" s="1558" t="n">
        <v>1</v>
      </c>
      <c r="H321" s="1556" t="s">
        <v>1523</v>
      </c>
      <c r="I321" s="1556" t="n">
        <v>9020066</v>
      </c>
      <c r="K321" s="2" t="s">
        <v>2133</v>
      </c>
      <c r="L321" s="2" t="s">
        <v>1523</v>
      </c>
    </row>
    <row r="322" customFormat="false" ht="14.25" hidden="false" customHeight="false" outlineLevel="0" collapsed="false">
      <c r="A322" s="1556" t="n">
        <v>44</v>
      </c>
      <c r="B322" s="1556" t="s">
        <v>1755</v>
      </c>
      <c r="C322" s="1556" t="s">
        <v>715</v>
      </c>
      <c r="D322" s="1556" t="n">
        <v>44185</v>
      </c>
      <c r="E322" s="1556" t="n">
        <v>44176</v>
      </c>
      <c r="F322" s="1557" t="s">
        <v>2205</v>
      </c>
      <c r="G322" s="1558" t="n">
        <v>1</v>
      </c>
      <c r="H322" s="1556" t="s">
        <v>1523</v>
      </c>
      <c r="I322" s="1556" t="n">
        <v>9020066</v>
      </c>
      <c r="K322" s="2" t="s">
        <v>1756</v>
      </c>
      <c r="L322" s="2" t="s">
        <v>1523</v>
      </c>
    </row>
    <row r="323" customFormat="false" ht="14.25" hidden="false" customHeight="false" outlineLevel="0" collapsed="false">
      <c r="A323" s="1556" t="n">
        <v>44</v>
      </c>
      <c r="B323" s="1556" t="s">
        <v>2206</v>
      </c>
      <c r="C323" s="1556" t="s">
        <v>715</v>
      </c>
      <c r="D323" s="1556" t="n">
        <v>44186</v>
      </c>
      <c r="E323" s="1556" t="n">
        <v>44177</v>
      </c>
      <c r="F323" s="1557" t="s">
        <v>2207</v>
      </c>
      <c r="G323" s="1558" t="n">
        <v>1</v>
      </c>
      <c r="H323" s="1556" t="s">
        <v>1523</v>
      </c>
      <c r="I323" s="1556" t="n">
        <v>9020066</v>
      </c>
      <c r="K323" s="2" t="s">
        <v>2208</v>
      </c>
      <c r="L323" s="2" t="s">
        <v>872</v>
      </c>
    </row>
    <row r="324" customFormat="false" ht="14.25" hidden="false" customHeight="false" outlineLevel="0" collapsed="false">
      <c r="A324" s="1556" t="n">
        <v>44</v>
      </c>
      <c r="B324" s="1556" t="s">
        <v>2209</v>
      </c>
      <c r="C324" s="1556" t="s">
        <v>715</v>
      </c>
      <c r="D324" s="1556" t="n">
        <v>44187</v>
      </c>
      <c r="E324" s="1556" t="n">
        <v>44178</v>
      </c>
      <c r="F324" s="1557" t="s">
        <v>2210</v>
      </c>
      <c r="G324" s="1558" t="n">
        <v>1</v>
      </c>
      <c r="H324" s="1556" t="s">
        <v>1523</v>
      </c>
      <c r="I324" s="1556" t="n">
        <v>9020066</v>
      </c>
      <c r="K324" s="2" t="s">
        <v>2135</v>
      </c>
      <c r="L324" s="2" t="s">
        <v>1523</v>
      </c>
    </row>
    <row r="325" customFormat="false" ht="14.25" hidden="false" customHeight="false" outlineLevel="0" collapsed="false">
      <c r="A325" s="1556" t="n">
        <v>44</v>
      </c>
      <c r="B325" s="1556" t="s">
        <v>1758</v>
      </c>
      <c r="C325" s="1556" t="s">
        <v>715</v>
      </c>
      <c r="D325" s="1556" t="n">
        <v>44189</v>
      </c>
      <c r="E325" s="1556" t="n">
        <v>44179</v>
      </c>
      <c r="F325" s="1557" t="s">
        <v>2211</v>
      </c>
      <c r="G325" s="1558" t="n">
        <v>1</v>
      </c>
      <c r="H325" s="1556" t="s">
        <v>1523</v>
      </c>
      <c r="I325" s="1556" t="n">
        <v>9020066</v>
      </c>
      <c r="K325" s="2" t="s">
        <v>1759</v>
      </c>
      <c r="L325" s="2" t="s">
        <v>872</v>
      </c>
    </row>
    <row r="326" customFormat="false" ht="14.25" hidden="false" customHeight="false" outlineLevel="0" collapsed="false">
      <c r="A326" s="1556" t="n">
        <v>44</v>
      </c>
      <c r="B326" s="1556" t="s">
        <v>2212</v>
      </c>
      <c r="C326" s="1556" t="s">
        <v>715</v>
      </c>
      <c r="D326" s="1556" t="n">
        <v>44190</v>
      </c>
      <c r="E326" s="1556" t="n">
        <v>44180</v>
      </c>
      <c r="F326" s="1557" t="s">
        <v>2213</v>
      </c>
      <c r="G326" s="1558" t="n">
        <v>1</v>
      </c>
      <c r="H326" s="1556" t="s">
        <v>1523</v>
      </c>
      <c r="I326" s="1556" t="n">
        <v>9020066</v>
      </c>
      <c r="K326" s="2" t="s">
        <v>1761</v>
      </c>
      <c r="L326" s="2" t="s">
        <v>872</v>
      </c>
    </row>
    <row r="327" customFormat="false" ht="14.25" hidden="false" customHeight="false" outlineLevel="0" collapsed="false">
      <c r="A327" s="1556" t="n">
        <v>44</v>
      </c>
      <c r="B327" s="1556" t="s">
        <v>1760</v>
      </c>
      <c r="C327" s="1556" t="s">
        <v>715</v>
      </c>
      <c r="D327" s="1556" t="n">
        <v>44191</v>
      </c>
      <c r="E327" s="1556" t="n">
        <v>44181</v>
      </c>
      <c r="F327" s="1557" t="s">
        <v>2214</v>
      </c>
      <c r="G327" s="1558" t="n">
        <v>1</v>
      </c>
      <c r="H327" s="1556" t="s">
        <v>1523</v>
      </c>
      <c r="I327" s="1556" t="n">
        <v>9020066</v>
      </c>
      <c r="K327" s="2" t="s">
        <v>2215</v>
      </c>
      <c r="L327" s="2" t="s">
        <v>872</v>
      </c>
    </row>
    <row r="328" customFormat="false" ht="14.25" hidden="false" customHeight="false" outlineLevel="0" collapsed="false">
      <c r="A328" s="1556" t="n">
        <v>44</v>
      </c>
      <c r="B328" s="1556" t="s">
        <v>2216</v>
      </c>
      <c r="C328" s="1556" t="s">
        <v>715</v>
      </c>
      <c r="D328" s="1556" t="n">
        <v>44192</v>
      </c>
      <c r="E328" s="1556" t="n">
        <v>44182</v>
      </c>
      <c r="F328" s="1557" t="s">
        <v>2217</v>
      </c>
      <c r="G328" s="1558" t="n">
        <v>1</v>
      </c>
      <c r="H328" s="1556" t="s">
        <v>1523</v>
      </c>
      <c r="I328" s="1556" t="n">
        <v>9020066</v>
      </c>
      <c r="K328" s="2" t="s">
        <v>2138</v>
      </c>
      <c r="L328" s="2" t="s">
        <v>1523</v>
      </c>
    </row>
    <row r="329" customFormat="false" ht="14.25" hidden="false" customHeight="false" outlineLevel="0" collapsed="false">
      <c r="A329" s="1556" t="n">
        <v>44</v>
      </c>
      <c r="B329" s="1556" t="s">
        <v>2218</v>
      </c>
      <c r="C329" s="1556" t="s">
        <v>715</v>
      </c>
      <c r="D329" s="1556" t="n">
        <v>44194</v>
      </c>
      <c r="E329" s="1556" t="n">
        <v>44183</v>
      </c>
      <c r="F329" s="1557" t="s">
        <v>2219</v>
      </c>
      <c r="G329" s="1558" t="n">
        <v>1</v>
      </c>
      <c r="H329" s="1556" t="s">
        <v>1523</v>
      </c>
      <c r="I329" s="1556" t="n">
        <v>9020066</v>
      </c>
      <c r="K329" s="2" t="s">
        <v>1764</v>
      </c>
      <c r="L329" s="2" t="s">
        <v>872</v>
      </c>
    </row>
    <row r="330" customFormat="false" ht="14.25" hidden="false" customHeight="false" outlineLevel="0" collapsed="false">
      <c r="A330" s="1556" t="n">
        <v>44</v>
      </c>
      <c r="B330" s="1556" t="s">
        <v>2220</v>
      </c>
      <c r="C330" s="1556" t="s">
        <v>715</v>
      </c>
      <c r="D330" s="1556" t="n">
        <v>44195</v>
      </c>
      <c r="E330" s="1556" t="n">
        <v>44184</v>
      </c>
      <c r="F330" s="1557" t="s">
        <v>2221</v>
      </c>
      <c r="G330" s="1558" t="n">
        <v>2</v>
      </c>
      <c r="H330" s="1556" t="s">
        <v>872</v>
      </c>
      <c r="I330" s="1556" t="n">
        <v>9020067</v>
      </c>
      <c r="K330" s="2" t="s">
        <v>1766</v>
      </c>
      <c r="L330" s="2" t="s">
        <v>872</v>
      </c>
    </row>
    <row r="331" customFormat="false" ht="14.25" hidden="false" customHeight="false" outlineLevel="0" collapsed="false">
      <c r="A331" s="1556" t="n">
        <v>44</v>
      </c>
      <c r="B331" s="1556" t="s">
        <v>1765</v>
      </c>
      <c r="C331" s="1556" t="s">
        <v>715</v>
      </c>
      <c r="D331" s="1556" t="n">
        <v>44196</v>
      </c>
      <c r="E331" s="1556" t="n">
        <v>44185</v>
      </c>
      <c r="F331" s="1557" t="s">
        <v>2222</v>
      </c>
      <c r="G331" s="1558" t="n">
        <v>1</v>
      </c>
      <c r="H331" s="1556" t="s">
        <v>1523</v>
      </c>
      <c r="I331" s="1556" t="n">
        <v>9020066</v>
      </c>
      <c r="K331" s="2" t="s">
        <v>1768</v>
      </c>
      <c r="L331" s="2" t="s">
        <v>1523</v>
      </c>
    </row>
    <row r="332" customFormat="false" ht="14.25" hidden="false" customHeight="false" outlineLevel="0" collapsed="false">
      <c r="A332" s="1556" t="n">
        <v>44</v>
      </c>
      <c r="B332" s="1556" t="s">
        <v>1769</v>
      </c>
      <c r="C332" s="1556" t="s">
        <v>715</v>
      </c>
      <c r="D332" s="1556" t="n">
        <v>44198</v>
      </c>
      <c r="E332" s="1556" t="n">
        <v>44187</v>
      </c>
      <c r="F332" s="1557" t="s">
        <v>2223</v>
      </c>
      <c r="G332" s="1558" t="n">
        <v>1</v>
      </c>
      <c r="H332" s="1556" t="s">
        <v>1523</v>
      </c>
      <c r="I332" s="1556" t="n">
        <v>9020066</v>
      </c>
      <c r="K332" s="2" t="s">
        <v>1770</v>
      </c>
      <c r="L332" s="2" t="s">
        <v>1523</v>
      </c>
    </row>
    <row r="333" customFormat="false" ht="14.25" hidden="false" customHeight="false" outlineLevel="0" collapsed="false">
      <c r="A333" s="1556" t="n">
        <v>44</v>
      </c>
      <c r="B333" s="1556" t="s">
        <v>2224</v>
      </c>
      <c r="C333" s="1556" t="s">
        <v>715</v>
      </c>
      <c r="D333" s="1556" t="n">
        <v>44200</v>
      </c>
      <c r="E333" s="1556" t="n">
        <v>44189</v>
      </c>
      <c r="F333" s="1557" t="s">
        <v>2225</v>
      </c>
      <c r="G333" s="1558" t="n">
        <v>1</v>
      </c>
      <c r="H333" s="1556" t="s">
        <v>1523</v>
      </c>
      <c r="I333" s="1556" t="n">
        <v>9020066</v>
      </c>
      <c r="K333" s="2" t="s">
        <v>1773</v>
      </c>
      <c r="L333" s="2" t="s">
        <v>1523</v>
      </c>
    </row>
    <row r="334" customFormat="false" ht="14.25" hidden="false" customHeight="false" outlineLevel="0" collapsed="false">
      <c r="A334" s="1556" t="n">
        <v>44</v>
      </c>
      <c r="B334" s="1556" t="s">
        <v>2226</v>
      </c>
      <c r="C334" s="1556" t="s">
        <v>715</v>
      </c>
      <c r="D334" s="1556" t="n">
        <v>44201</v>
      </c>
      <c r="E334" s="1556" t="n">
        <v>44190</v>
      </c>
      <c r="F334" s="1557" t="s">
        <v>2227</v>
      </c>
      <c r="G334" s="1558" t="n">
        <v>1</v>
      </c>
      <c r="H334" s="1556" t="s">
        <v>1523</v>
      </c>
      <c r="I334" s="1556" t="n">
        <v>9020066</v>
      </c>
      <c r="K334" s="2" t="s">
        <v>2228</v>
      </c>
      <c r="L334" s="2" t="s">
        <v>872</v>
      </c>
    </row>
    <row r="335" customFormat="false" ht="14.25" hidden="false" customHeight="false" outlineLevel="0" collapsed="false">
      <c r="A335" s="1556" t="n">
        <v>44</v>
      </c>
      <c r="B335" s="1556" t="s">
        <v>2229</v>
      </c>
      <c r="C335" s="1556" t="s">
        <v>715</v>
      </c>
      <c r="D335" s="1556" t="n">
        <v>44202</v>
      </c>
      <c r="E335" s="1556" t="n">
        <v>44191</v>
      </c>
      <c r="F335" s="1557" t="s">
        <v>2230</v>
      </c>
      <c r="G335" s="1558" t="n">
        <v>2</v>
      </c>
      <c r="H335" s="1556" t="s">
        <v>872</v>
      </c>
      <c r="I335" s="1556" t="n">
        <v>9020067</v>
      </c>
      <c r="K335" s="2" t="s">
        <v>2231</v>
      </c>
      <c r="L335" s="2" t="s">
        <v>872</v>
      </c>
    </row>
    <row r="336" customFormat="false" ht="14.25" hidden="false" customHeight="false" outlineLevel="0" collapsed="false">
      <c r="A336" s="1556" t="n">
        <v>44</v>
      </c>
      <c r="B336" s="1556" t="s">
        <v>2232</v>
      </c>
      <c r="C336" s="1556" t="s">
        <v>715</v>
      </c>
      <c r="D336" s="1556" t="n">
        <v>44203</v>
      </c>
      <c r="E336" s="1556" t="n">
        <v>44192</v>
      </c>
      <c r="F336" s="1557" t="s">
        <v>2233</v>
      </c>
      <c r="G336" s="1558" t="n">
        <v>1</v>
      </c>
      <c r="H336" s="1556" t="s">
        <v>1523</v>
      </c>
      <c r="I336" s="1556" t="n">
        <v>9020066</v>
      </c>
      <c r="K336" s="2" t="s">
        <v>2234</v>
      </c>
      <c r="L336" s="2" t="s">
        <v>872</v>
      </c>
    </row>
    <row r="337" customFormat="false" ht="14.25" hidden="false" customHeight="false" outlineLevel="0" collapsed="false">
      <c r="A337" s="1556" t="n">
        <v>44</v>
      </c>
      <c r="B337" s="1556" t="s">
        <v>2235</v>
      </c>
      <c r="C337" s="1556" t="s">
        <v>715</v>
      </c>
      <c r="D337" s="1556" t="n">
        <v>44204</v>
      </c>
      <c r="E337" s="1556" t="n">
        <v>44193</v>
      </c>
      <c r="F337" s="1557" t="s">
        <v>2236</v>
      </c>
      <c r="G337" s="1558" t="n">
        <v>1</v>
      </c>
      <c r="H337" s="1556" t="s">
        <v>1523</v>
      </c>
      <c r="I337" s="1556" t="n">
        <v>9020066</v>
      </c>
      <c r="K337" s="2" t="s">
        <v>784</v>
      </c>
      <c r="L337" s="2" t="s">
        <v>872</v>
      </c>
    </row>
    <row r="338" customFormat="false" ht="14.25" hidden="false" customHeight="false" outlineLevel="0" collapsed="false">
      <c r="A338" s="1556" t="n">
        <v>44</v>
      </c>
      <c r="B338" s="1556" t="s">
        <v>1775</v>
      </c>
      <c r="C338" s="1556" t="s">
        <v>715</v>
      </c>
      <c r="D338" s="1556" t="n">
        <v>44205</v>
      </c>
      <c r="E338" s="1556" t="n">
        <v>44194</v>
      </c>
      <c r="F338" s="1557" t="s">
        <v>2237</v>
      </c>
      <c r="G338" s="1558" t="n">
        <v>1</v>
      </c>
      <c r="H338" s="1556" t="s">
        <v>1523</v>
      </c>
      <c r="I338" s="1556" t="n">
        <v>9020066</v>
      </c>
      <c r="K338" s="2" t="s">
        <v>2238</v>
      </c>
      <c r="L338" s="2" t="s">
        <v>872</v>
      </c>
    </row>
    <row r="339" customFormat="false" ht="14.25" hidden="false" customHeight="false" outlineLevel="0" collapsed="false">
      <c r="A339" s="1556" t="n">
        <v>44</v>
      </c>
      <c r="B339" s="1556" t="s">
        <v>1780</v>
      </c>
      <c r="C339" s="1556" t="s">
        <v>715</v>
      </c>
      <c r="D339" s="1556" t="n">
        <v>44207</v>
      </c>
      <c r="E339" s="1556" t="n">
        <v>44195</v>
      </c>
      <c r="F339" s="1557" t="s">
        <v>2239</v>
      </c>
      <c r="G339" s="1558" t="n">
        <v>1</v>
      </c>
      <c r="H339" s="1556" t="s">
        <v>1523</v>
      </c>
      <c r="I339" s="1556" t="n">
        <v>9020066</v>
      </c>
      <c r="K339" s="2" t="s">
        <v>2140</v>
      </c>
      <c r="L339" s="2" t="s">
        <v>1523</v>
      </c>
    </row>
    <row r="340" customFormat="false" ht="14.25" hidden="false" customHeight="false" outlineLevel="0" collapsed="false">
      <c r="A340" s="1556" t="n">
        <v>44</v>
      </c>
      <c r="B340" s="1556" t="s">
        <v>1783</v>
      </c>
      <c r="C340" s="1556" t="s">
        <v>715</v>
      </c>
      <c r="D340" s="1556" t="n">
        <v>44208</v>
      </c>
      <c r="E340" s="1556" t="n">
        <v>44196</v>
      </c>
      <c r="F340" s="1557" t="s">
        <v>2240</v>
      </c>
      <c r="G340" s="1558" t="n">
        <v>1</v>
      </c>
      <c r="H340" s="1556" t="s">
        <v>1523</v>
      </c>
      <c r="I340" s="1556" t="n">
        <v>9020066</v>
      </c>
      <c r="K340" s="2" t="s">
        <v>2142</v>
      </c>
      <c r="L340" s="2" t="s">
        <v>1523</v>
      </c>
    </row>
    <row r="341" customFormat="false" ht="14.25" hidden="false" customHeight="false" outlineLevel="0" collapsed="false">
      <c r="A341" s="1556" t="n">
        <v>44</v>
      </c>
      <c r="B341" s="1556" t="s">
        <v>2241</v>
      </c>
      <c r="C341" s="1556" t="s">
        <v>715</v>
      </c>
      <c r="D341" s="1556" t="n">
        <v>44209</v>
      </c>
      <c r="E341" s="1556" t="n">
        <v>44197</v>
      </c>
      <c r="F341" s="1557" t="s">
        <v>2242</v>
      </c>
      <c r="G341" s="1558" t="n">
        <v>1</v>
      </c>
      <c r="H341" s="1556" t="s">
        <v>1523</v>
      </c>
      <c r="I341" s="1556" t="n">
        <v>9020066</v>
      </c>
      <c r="K341" s="2" t="s">
        <v>2144</v>
      </c>
      <c r="L341" s="2" t="s">
        <v>1523</v>
      </c>
    </row>
    <row r="342" customFormat="false" ht="14.25" hidden="false" customHeight="false" outlineLevel="0" collapsed="false">
      <c r="A342" s="1556" t="n">
        <v>44</v>
      </c>
      <c r="B342" s="1556" t="s">
        <v>2243</v>
      </c>
      <c r="C342" s="1556" t="s">
        <v>715</v>
      </c>
      <c r="D342" s="1556" t="n">
        <v>44210</v>
      </c>
      <c r="E342" s="1556" t="n">
        <v>44198</v>
      </c>
      <c r="F342" s="1557" t="s">
        <v>2244</v>
      </c>
      <c r="G342" s="1558" t="n">
        <v>1</v>
      </c>
      <c r="H342" s="1556" t="s">
        <v>1523</v>
      </c>
      <c r="I342" s="1556" t="n">
        <v>9020066</v>
      </c>
      <c r="K342" s="2" t="s">
        <v>2245</v>
      </c>
      <c r="L342" s="2" t="s">
        <v>1523</v>
      </c>
    </row>
    <row r="343" customFormat="false" ht="14.25" hidden="false" customHeight="false" outlineLevel="0" collapsed="false">
      <c r="A343" s="1556" t="n">
        <v>44</v>
      </c>
      <c r="B343" s="1556" t="s">
        <v>2246</v>
      </c>
      <c r="C343" s="1556" t="s">
        <v>715</v>
      </c>
      <c r="D343" s="1556" t="n">
        <v>44211</v>
      </c>
      <c r="E343" s="1556" t="n">
        <v>44199</v>
      </c>
      <c r="F343" s="1557" t="s">
        <v>2247</v>
      </c>
      <c r="G343" s="1558" t="n">
        <v>1</v>
      </c>
      <c r="H343" s="1556" t="s">
        <v>1523</v>
      </c>
      <c r="I343" s="1556" t="n">
        <v>9020066</v>
      </c>
      <c r="K343" s="2" t="s">
        <v>2248</v>
      </c>
      <c r="L343" s="2" t="s">
        <v>1523</v>
      </c>
    </row>
    <row r="344" customFormat="false" ht="14.25" hidden="false" customHeight="false" outlineLevel="0" collapsed="false">
      <c r="A344" s="1556" t="n">
        <v>44</v>
      </c>
      <c r="B344" s="1556" t="s">
        <v>2249</v>
      </c>
      <c r="C344" s="1556" t="s">
        <v>715</v>
      </c>
      <c r="D344" s="1556" t="n">
        <v>44212</v>
      </c>
      <c r="E344" s="1556" t="n">
        <v>44200</v>
      </c>
      <c r="F344" s="1557" t="s">
        <v>2250</v>
      </c>
      <c r="G344" s="1558" t="n">
        <v>1</v>
      </c>
      <c r="H344" s="1556" t="s">
        <v>1523</v>
      </c>
      <c r="I344" s="1556" t="n">
        <v>9020066</v>
      </c>
      <c r="K344" s="2" t="s">
        <v>2146</v>
      </c>
      <c r="L344" s="2" t="s">
        <v>872</v>
      </c>
    </row>
    <row r="345" customFormat="false" ht="14.25" hidden="false" customHeight="false" outlineLevel="0" collapsed="false">
      <c r="A345" s="1556" t="n">
        <v>44</v>
      </c>
      <c r="B345" s="1556" t="s">
        <v>2251</v>
      </c>
      <c r="C345" s="1556" t="s">
        <v>715</v>
      </c>
      <c r="D345" s="1556" t="n">
        <v>44213</v>
      </c>
      <c r="E345" s="1556" t="n">
        <v>44201</v>
      </c>
      <c r="F345" s="1557" t="s">
        <v>2252</v>
      </c>
      <c r="G345" s="1558" t="n">
        <v>1</v>
      </c>
      <c r="H345" s="1556" t="s">
        <v>1523</v>
      </c>
      <c r="I345" s="1556" t="n">
        <v>9020066</v>
      </c>
      <c r="K345" s="2" t="s">
        <v>1776</v>
      </c>
      <c r="L345" s="2" t="s">
        <v>1523</v>
      </c>
    </row>
    <row r="346" customFormat="false" ht="14.25" hidden="false" customHeight="false" outlineLevel="0" collapsed="false">
      <c r="A346" s="1556" t="n">
        <v>44</v>
      </c>
      <c r="B346" s="1556" t="s">
        <v>1786</v>
      </c>
      <c r="C346" s="1556" t="s">
        <v>715</v>
      </c>
      <c r="D346" s="1556" t="n">
        <v>44215</v>
      </c>
      <c r="E346" s="1556" t="n">
        <v>44203</v>
      </c>
      <c r="F346" s="1557" t="s">
        <v>2253</v>
      </c>
      <c r="G346" s="1558" t="n">
        <v>1</v>
      </c>
      <c r="H346" s="1556" t="s">
        <v>1523</v>
      </c>
      <c r="I346" s="1556" t="n">
        <v>9020066</v>
      </c>
      <c r="K346" s="2" t="s">
        <v>2254</v>
      </c>
      <c r="L346" s="2" t="s">
        <v>1523</v>
      </c>
    </row>
    <row r="347" customFormat="false" ht="14.25" hidden="false" customHeight="false" outlineLevel="0" collapsed="false">
      <c r="A347" s="1556" t="n">
        <v>44</v>
      </c>
      <c r="B347" s="1556" t="s">
        <v>2255</v>
      </c>
      <c r="C347" s="1556" t="s">
        <v>715</v>
      </c>
      <c r="D347" s="1556" t="n">
        <v>44216</v>
      </c>
      <c r="E347" s="1556" t="n">
        <v>44204</v>
      </c>
      <c r="F347" s="1557" t="s">
        <v>2256</v>
      </c>
      <c r="G347" s="1558" t="n">
        <v>1</v>
      </c>
      <c r="H347" s="1556" t="s">
        <v>1523</v>
      </c>
      <c r="I347" s="1556" t="n">
        <v>9020066</v>
      </c>
      <c r="K347" s="2" t="s">
        <v>2257</v>
      </c>
      <c r="L347" s="2" t="s">
        <v>872</v>
      </c>
    </row>
    <row r="348" customFormat="false" ht="14.25" hidden="false" customHeight="false" outlineLevel="0" collapsed="false">
      <c r="A348" s="1556" t="n">
        <v>44</v>
      </c>
      <c r="B348" s="1556" t="s">
        <v>1788</v>
      </c>
      <c r="C348" s="1556" t="s">
        <v>715</v>
      </c>
      <c r="D348" s="1556" t="n">
        <v>44217</v>
      </c>
      <c r="E348" s="1556" t="n">
        <v>44205</v>
      </c>
      <c r="F348" s="1557" t="s">
        <v>2258</v>
      </c>
      <c r="G348" s="1558" t="n">
        <v>2</v>
      </c>
      <c r="H348" s="1556" t="s">
        <v>872</v>
      </c>
      <c r="I348" s="1556" t="n">
        <v>9020067</v>
      </c>
      <c r="K348" s="2" t="s">
        <v>2259</v>
      </c>
      <c r="L348" s="2" t="s">
        <v>1523</v>
      </c>
    </row>
    <row r="349" customFormat="false" ht="14.25" hidden="false" customHeight="false" outlineLevel="0" collapsed="false">
      <c r="A349" s="1556" t="n">
        <v>44</v>
      </c>
      <c r="B349" s="1556" t="s">
        <v>2260</v>
      </c>
      <c r="C349" s="1556" t="s">
        <v>715</v>
      </c>
      <c r="D349" s="1556" t="n">
        <v>44218</v>
      </c>
      <c r="E349" s="1556" t="n">
        <v>44206</v>
      </c>
      <c r="F349" s="1557" t="s">
        <v>2261</v>
      </c>
      <c r="G349" s="1558" t="n">
        <v>3</v>
      </c>
      <c r="H349" s="1556" t="s">
        <v>1550</v>
      </c>
      <c r="I349" s="1556" t="n">
        <v>9020068</v>
      </c>
      <c r="K349" s="2" t="s">
        <v>1779</v>
      </c>
      <c r="L349" s="2" t="s">
        <v>1523</v>
      </c>
    </row>
    <row r="350" customFormat="false" ht="14.25" hidden="false" customHeight="false" outlineLevel="0" collapsed="false">
      <c r="A350" s="1556" t="n">
        <v>44</v>
      </c>
      <c r="B350" s="1556" t="s">
        <v>2262</v>
      </c>
      <c r="C350" s="1556" t="s">
        <v>715</v>
      </c>
      <c r="D350" s="1556" t="n">
        <v>44219</v>
      </c>
      <c r="E350" s="1556" t="n">
        <v>44207</v>
      </c>
      <c r="F350" s="1557" t="s">
        <v>2263</v>
      </c>
      <c r="G350" s="1558" t="n">
        <v>1</v>
      </c>
      <c r="H350" s="1556" t="s">
        <v>1523</v>
      </c>
      <c r="I350" s="1556" t="n">
        <v>9020066</v>
      </c>
      <c r="K350" s="2" t="s">
        <v>1781</v>
      </c>
      <c r="L350" s="2" t="s">
        <v>872</v>
      </c>
    </row>
    <row r="351" customFormat="false" ht="14.25" hidden="false" customHeight="false" outlineLevel="0" collapsed="false">
      <c r="A351" s="1556" t="n">
        <v>44</v>
      </c>
      <c r="B351" s="1556" t="s">
        <v>2264</v>
      </c>
      <c r="C351" s="1556" t="s">
        <v>715</v>
      </c>
      <c r="D351" s="1556" t="n">
        <v>44220</v>
      </c>
      <c r="E351" s="1556" t="n">
        <v>44208</v>
      </c>
      <c r="F351" s="1557" t="s">
        <v>2265</v>
      </c>
      <c r="G351" s="1558" t="n">
        <v>1</v>
      </c>
      <c r="H351" s="1556" t="s">
        <v>1523</v>
      </c>
      <c r="I351" s="1556" t="n">
        <v>9020066</v>
      </c>
      <c r="K351" s="2" t="s">
        <v>2147</v>
      </c>
      <c r="L351" s="2" t="s">
        <v>1523</v>
      </c>
    </row>
    <row r="352" customFormat="false" ht="14.25" hidden="false" customHeight="false" outlineLevel="0" collapsed="false">
      <c r="A352" s="1556" t="n">
        <v>44</v>
      </c>
      <c r="B352" s="1556" t="s">
        <v>2266</v>
      </c>
      <c r="C352" s="1556" t="s">
        <v>715</v>
      </c>
      <c r="D352" s="1556" t="n">
        <v>44221</v>
      </c>
      <c r="E352" s="1556" t="n">
        <v>44209</v>
      </c>
      <c r="F352" s="1557" t="s">
        <v>2267</v>
      </c>
      <c r="G352" s="1558" t="n">
        <v>1</v>
      </c>
      <c r="H352" s="1556" t="s">
        <v>1523</v>
      </c>
      <c r="I352" s="1556" t="n">
        <v>9020066</v>
      </c>
      <c r="K352" s="2" t="s">
        <v>2268</v>
      </c>
      <c r="L352" s="2" t="s">
        <v>872</v>
      </c>
    </row>
    <row r="353" customFormat="false" ht="14.25" hidden="false" customHeight="false" outlineLevel="0" collapsed="false">
      <c r="A353" s="1556" t="n">
        <v>44</v>
      </c>
      <c r="B353" s="1556" t="s">
        <v>2269</v>
      </c>
      <c r="C353" s="1556" t="s">
        <v>715</v>
      </c>
      <c r="D353" s="1556" t="n">
        <v>44223</v>
      </c>
      <c r="E353" s="1556" t="n">
        <v>44210</v>
      </c>
      <c r="F353" s="1557" t="s">
        <v>2270</v>
      </c>
      <c r="G353" s="1558" t="n">
        <v>1</v>
      </c>
      <c r="H353" s="1556" t="s">
        <v>1523</v>
      </c>
      <c r="I353" s="1556" t="n">
        <v>9020066</v>
      </c>
      <c r="K353" s="2" t="s">
        <v>2271</v>
      </c>
      <c r="L353" s="2" t="s">
        <v>1523</v>
      </c>
    </row>
    <row r="354" customFormat="false" ht="14.25" hidden="false" customHeight="false" outlineLevel="0" collapsed="false">
      <c r="A354" s="1556" t="n">
        <v>44</v>
      </c>
      <c r="B354" s="1556" t="s">
        <v>2272</v>
      </c>
      <c r="C354" s="1556" t="s">
        <v>715</v>
      </c>
      <c r="D354" s="1556" t="n">
        <v>44224</v>
      </c>
      <c r="E354" s="1556" t="n">
        <v>44211</v>
      </c>
      <c r="F354" s="1557" t="s">
        <v>2273</v>
      </c>
      <c r="G354" s="1558" t="n">
        <v>1</v>
      </c>
      <c r="H354" s="1556" t="s">
        <v>1523</v>
      </c>
      <c r="I354" s="1556" t="n">
        <v>9020066</v>
      </c>
      <c r="K354" s="2" t="s">
        <v>2274</v>
      </c>
      <c r="L354" s="2" t="s">
        <v>1523</v>
      </c>
    </row>
    <row r="355" customFormat="false" ht="14.25" hidden="false" customHeight="false" outlineLevel="0" collapsed="false">
      <c r="A355" s="1556" t="n">
        <v>44</v>
      </c>
      <c r="B355" s="1556" t="s">
        <v>2275</v>
      </c>
      <c r="C355" s="1556" t="s">
        <v>715</v>
      </c>
      <c r="D355" s="1556" t="n">
        <v>44225</v>
      </c>
      <c r="E355" s="1556" t="n">
        <v>44212</v>
      </c>
      <c r="F355" s="1557" t="s">
        <v>2276</v>
      </c>
      <c r="G355" s="1558" t="n">
        <v>1</v>
      </c>
      <c r="H355" s="1556" t="s">
        <v>1523</v>
      </c>
      <c r="I355" s="1556" t="n">
        <v>9020066</v>
      </c>
      <c r="K355" s="2" t="s">
        <v>2277</v>
      </c>
      <c r="L355" s="2" t="s">
        <v>872</v>
      </c>
    </row>
    <row r="356" customFormat="false" ht="14.25" hidden="false" customHeight="false" outlineLevel="0" collapsed="false">
      <c r="A356" s="1556" t="n">
        <v>44</v>
      </c>
      <c r="B356" s="1556" t="s">
        <v>1793</v>
      </c>
      <c r="C356" s="1556" t="s">
        <v>715</v>
      </c>
      <c r="D356" s="1556" t="n">
        <v>44226</v>
      </c>
      <c r="E356" s="1556" t="n">
        <v>44213</v>
      </c>
      <c r="F356" s="1557" t="s">
        <v>2278</v>
      </c>
      <c r="G356" s="1558" t="n">
        <v>1</v>
      </c>
      <c r="H356" s="1556" t="s">
        <v>1523</v>
      </c>
      <c r="I356" s="1556" t="n">
        <v>9020066</v>
      </c>
      <c r="K356" s="2" t="s">
        <v>2279</v>
      </c>
      <c r="L356" s="2" t="s">
        <v>872</v>
      </c>
    </row>
    <row r="357" customFormat="false" ht="14.25" hidden="false" customHeight="false" outlineLevel="0" collapsed="false">
      <c r="A357" s="1556" t="n">
        <v>44</v>
      </c>
      <c r="B357" s="1556" t="s">
        <v>2280</v>
      </c>
      <c r="C357" s="1556" t="s">
        <v>715</v>
      </c>
      <c r="D357" s="1556" t="n">
        <v>44228</v>
      </c>
      <c r="E357" s="1556" t="n">
        <v>44215</v>
      </c>
      <c r="F357" s="1557" t="s">
        <v>2281</v>
      </c>
      <c r="G357" s="1558" t="n">
        <v>1</v>
      </c>
      <c r="H357" s="1556" t="s">
        <v>1523</v>
      </c>
      <c r="I357" s="1556" t="n">
        <v>9020066</v>
      </c>
      <c r="K357" s="2" t="s">
        <v>1784</v>
      </c>
      <c r="L357" s="2" t="s">
        <v>872</v>
      </c>
    </row>
    <row r="358" customFormat="false" ht="14.25" hidden="false" customHeight="false" outlineLevel="0" collapsed="false">
      <c r="A358" s="1556" t="n">
        <v>44</v>
      </c>
      <c r="B358" s="1556" t="s">
        <v>2282</v>
      </c>
      <c r="C358" s="1556" t="s">
        <v>715</v>
      </c>
      <c r="D358" s="1556" t="n">
        <v>44900</v>
      </c>
      <c r="E358" s="1556" t="n">
        <v>44216</v>
      </c>
      <c r="F358" s="1557" t="s">
        <v>715</v>
      </c>
      <c r="G358" s="1558" t="n">
        <v>1</v>
      </c>
      <c r="H358" s="1556" t="s">
        <v>1523</v>
      </c>
      <c r="I358" s="1556" t="n">
        <v>9020066</v>
      </c>
      <c r="K358" s="2" t="s">
        <v>2283</v>
      </c>
      <c r="L358" s="2" t="s">
        <v>872</v>
      </c>
    </row>
    <row r="359" customFormat="false" ht="14.25" hidden="false" customHeight="false" outlineLevel="0" collapsed="false">
      <c r="A359" s="1556" t="n">
        <v>44</v>
      </c>
      <c r="B359" s="1556" t="s">
        <v>1797</v>
      </c>
      <c r="C359" s="1556" t="s">
        <v>715</v>
      </c>
      <c r="D359" s="1556" t="n">
        <v>44230</v>
      </c>
      <c r="E359" s="1556" t="n">
        <v>44217</v>
      </c>
      <c r="F359" s="1557" t="s">
        <v>2284</v>
      </c>
      <c r="G359" s="1558" t="n">
        <v>1</v>
      </c>
      <c r="H359" s="1556" t="s">
        <v>1523</v>
      </c>
      <c r="I359" s="1556" t="n">
        <v>9020066</v>
      </c>
      <c r="K359" s="2" t="s">
        <v>2285</v>
      </c>
      <c r="L359" s="2" t="s">
        <v>872</v>
      </c>
    </row>
    <row r="360" customFormat="false" ht="14.25" hidden="false" customHeight="false" outlineLevel="0" collapsed="false">
      <c r="A360" s="1556" t="n">
        <v>44</v>
      </c>
      <c r="B360" s="1556" t="s">
        <v>1800</v>
      </c>
      <c r="C360" s="1556" t="s">
        <v>715</v>
      </c>
      <c r="D360" s="1556" t="n">
        <v>44231</v>
      </c>
      <c r="E360" s="1556" t="n">
        <v>44218</v>
      </c>
      <c r="F360" s="1557" t="s">
        <v>2286</v>
      </c>
      <c r="G360" s="1558" t="n">
        <v>1</v>
      </c>
      <c r="H360" s="1556" t="s">
        <v>1523</v>
      </c>
      <c r="I360" s="1556" t="n">
        <v>9020066</v>
      </c>
      <c r="K360" s="2" t="s">
        <v>2148</v>
      </c>
      <c r="L360" s="2" t="s">
        <v>1523</v>
      </c>
    </row>
    <row r="361" customFormat="false" ht="14.25" hidden="false" customHeight="false" outlineLevel="0" collapsed="false">
      <c r="A361" s="1556" t="n">
        <v>44</v>
      </c>
      <c r="B361" s="1556" t="s">
        <v>2287</v>
      </c>
      <c r="C361" s="1556" t="s">
        <v>715</v>
      </c>
      <c r="D361" s="1556" t="n">
        <v>44232</v>
      </c>
      <c r="E361" s="1556" t="n">
        <v>44219</v>
      </c>
      <c r="F361" s="1557" t="s">
        <v>2288</v>
      </c>
      <c r="G361" s="1558" t="n">
        <v>1</v>
      </c>
      <c r="H361" s="1556" t="s">
        <v>1523</v>
      </c>
      <c r="I361" s="1556" t="n">
        <v>9020066</v>
      </c>
      <c r="K361" s="2" t="s">
        <v>2289</v>
      </c>
      <c r="L361" s="2" t="s">
        <v>872</v>
      </c>
    </row>
    <row r="362" customFormat="false" ht="14.25" hidden="false" customHeight="false" outlineLevel="0" collapsed="false">
      <c r="A362" s="1556" t="n">
        <v>44</v>
      </c>
      <c r="B362" s="1556" t="s">
        <v>2290</v>
      </c>
      <c r="C362" s="1556" t="s">
        <v>715</v>
      </c>
      <c r="D362" s="1556" t="n">
        <v>44233</v>
      </c>
      <c r="E362" s="1556" t="n">
        <v>44220</v>
      </c>
      <c r="F362" s="1557" t="s">
        <v>2291</v>
      </c>
      <c r="G362" s="1558" t="n">
        <v>1</v>
      </c>
      <c r="H362" s="1556" t="s">
        <v>1523</v>
      </c>
      <c r="I362" s="1556" t="n">
        <v>9020066</v>
      </c>
      <c r="K362" s="2" t="s">
        <v>2292</v>
      </c>
      <c r="L362" s="2" t="s">
        <v>1523</v>
      </c>
    </row>
    <row r="363" customFormat="false" ht="14.25" hidden="false" customHeight="false" outlineLevel="0" collapsed="false">
      <c r="A363" s="1556" t="n">
        <v>44</v>
      </c>
      <c r="B363" s="1556" t="s">
        <v>1802</v>
      </c>
      <c r="C363" s="1556" t="s">
        <v>715</v>
      </c>
      <c r="D363" s="1556" t="n">
        <v>44236</v>
      </c>
      <c r="E363" s="1556" t="n">
        <v>44223</v>
      </c>
      <c r="F363" s="1557" t="s">
        <v>2293</v>
      </c>
      <c r="G363" s="1558" t="n">
        <v>1</v>
      </c>
      <c r="H363" s="1556" t="s">
        <v>1523</v>
      </c>
      <c r="I363" s="1556" t="n">
        <v>9020066</v>
      </c>
      <c r="K363" s="2" t="s">
        <v>2294</v>
      </c>
      <c r="L363" s="2" t="s">
        <v>872</v>
      </c>
    </row>
    <row r="364" customFormat="false" ht="14.25" hidden="false" customHeight="false" outlineLevel="0" collapsed="false">
      <c r="A364" s="1556" t="n">
        <v>44</v>
      </c>
      <c r="B364" s="1556" t="s">
        <v>2295</v>
      </c>
      <c r="C364" s="1556" t="s">
        <v>715</v>
      </c>
      <c r="D364" s="1556" t="n">
        <v>44237</v>
      </c>
      <c r="E364" s="1556" t="n">
        <v>44224</v>
      </c>
      <c r="F364" s="1557" t="s">
        <v>2296</v>
      </c>
      <c r="G364" s="1558" t="n">
        <v>1</v>
      </c>
      <c r="H364" s="1556" t="s">
        <v>1523</v>
      </c>
      <c r="I364" s="1556" t="n">
        <v>9020066</v>
      </c>
      <c r="K364" s="2" t="s">
        <v>2297</v>
      </c>
      <c r="L364" s="2" t="s">
        <v>872</v>
      </c>
    </row>
    <row r="365" customFormat="false" ht="14.25" hidden="false" customHeight="false" outlineLevel="0" collapsed="false">
      <c r="A365" s="1556" t="n">
        <v>44</v>
      </c>
      <c r="B365" s="1556" t="s">
        <v>2298</v>
      </c>
      <c r="C365" s="1556" t="s">
        <v>715</v>
      </c>
      <c r="D365" s="1556" t="n">
        <v>44238</v>
      </c>
      <c r="E365" s="1556" t="n">
        <v>44225</v>
      </c>
      <c r="F365" s="1557" t="s">
        <v>2299</v>
      </c>
      <c r="G365" s="1558" t="n">
        <v>2</v>
      </c>
      <c r="H365" s="1556" t="s">
        <v>872</v>
      </c>
      <c r="I365" s="1556" t="n">
        <v>9020067</v>
      </c>
      <c r="K365" s="2" t="s">
        <v>2300</v>
      </c>
      <c r="L365" s="2" t="s">
        <v>1523</v>
      </c>
    </row>
    <row r="366" customFormat="false" ht="14.25" hidden="false" customHeight="false" outlineLevel="0" collapsed="false">
      <c r="A366" s="1556" t="n">
        <v>44</v>
      </c>
      <c r="B366" s="1556" t="s">
        <v>2301</v>
      </c>
      <c r="C366" s="1556" t="s">
        <v>715</v>
      </c>
      <c r="D366" s="1556" t="n">
        <v>44240</v>
      </c>
      <c r="E366" s="1556" t="n">
        <v>44227</v>
      </c>
      <c r="F366" s="1557" t="s">
        <v>2302</v>
      </c>
      <c r="G366" s="1558" t="n">
        <v>1</v>
      </c>
      <c r="H366" s="1556" t="s">
        <v>1523</v>
      </c>
      <c r="I366" s="1556" t="n">
        <v>9020066</v>
      </c>
      <c r="K366" s="2" t="s">
        <v>2303</v>
      </c>
      <c r="L366" s="2" t="s">
        <v>1523</v>
      </c>
    </row>
    <row r="367" customFormat="false" ht="14.25" hidden="false" customHeight="false" outlineLevel="0" collapsed="false">
      <c r="A367" s="1556" t="n">
        <v>44</v>
      </c>
      <c r="B367" s="1556" t="s">
        <v>2304</v>
      </c>
      <c r="C367" s="1556" t="s">
        <v>715</v>
      </c>
      <c r="D367" s="1556" t="n">
        <v>44234</v>
      </c>
      <c r="E367" s="1556" t="n">
        <v>44221</v>
      </c>
      <c r="F367" s="1557" t="s">
        <v>2305</v>
      </c>
      <c r="G367" s="1558" t="n">
        <v>2</v>
      </c>
      <c r="H367" s="1556" t="s">
        <v>872</v>
      </c>
      <c r="I367" s="1556" t="n">
        <v>9020067</v>
      </c>
      <c r="K367" s="2" t="s">
        <v>2150</v>
      </c>
      <c r="L367" s="2" t="s">
        <v>1523</v>
      </c>
    </row>
    <row r="368" customFormat="false" ht="14.25" hidden="false" customHeight="false" outlineLevel="0" collapsed="false">
      <c r="A368" s="1556" t="n">
        <v>44</v>
      </c>
      <c r="B368" s="1556" t="s">
        <v>2306</v>
      </c>
      <c r="C368" s="1556" t="s">
        <v>715</v>
      </c>
      <c r="D368" s="1556" t="n">
        <v>44235</v>
      </c>
      <c r="E368" s="1556" t="n">
        <v>44222</v>
      </c>
      <c r="F368" s="1557" t="s">
        <v>2307</v>
      </c>
      <c r="G368" s="1558" t="n">
        <v>1</v>
      </c>
      <c r="H368" s="1556" t="s">
        <v>1523</v>
      </c>
      <c r="I368" s="1556" t="n">
        <v>9020066</v>
      </c>
      <c r="K368" s="2" t="s">
        <v>2308</v>
      </c>
      <c r="L368" s="2" t="s">
        <v>1523</v>
      </c>
    </row>
    <row r="369" customFormat="false" ht="14.25" hidden="false" customHeight="false" outlineLevel="0" collapsed="false">
      <c r="A369" s="1556" t="n">
        <v>44</v>
      </c>
      <c r="B369" s="1556" t="s">
        <v>1805</v>
      </c>
      <c r="C369" s="1556" t="s">
        <v>715</v>
      </c>
      <c r="D369" s="1556" t="n">
        <v>44239</v>
      </c>
      <c r="E369" s="1556" t="n">
        <v>44226</v>
      </c>
      <c r="F369" s="1557" t="s">
        <v>2309</v>
      </c>
      <c r="G369" s="1558" t="n">
        <v>1</v>
      </c>
      <c r="H369" s="1556" t="s">
        <v>1523</v>
      </c>
      <c r="I369" s="1556" t="n">
        <v>9020066</v>
      </c>
      <c r="K369" s="2" t="s">
        <v>2310</v>
      </c>
      <c r="L369" s="2" t="s">
        <v>872</v>
      </c>
    </row>
    <row r="370" customFormat="false" ht="14.25" hidden="false" customHeight="false" outlineLevel="0" collapsed="false">
      <c r="A370" s="1556" t="n">
        <v>44</v>
      </c>
      <c r="B370" s="1556" t="s">
        <v>1807</v>
      </c>
      <c r="C370" s="1556" t="s">
        <v>715</v>
      </c>
      <c r="D370" s="1556" t="n">
        <v>44241</v>
      </c>
      <c r="E370" s="1556" t="n">
        <v>44228</v>
      </c>
      <c r="F370" s="1557" t="s">
        <v>2311</v>
      </c>
      <c r="G370" s="1558" t="n">
        <v>1</v>
      </c>
      <c r="H370" s="1556" t="s">
        <v>1523</v>
      </c>
      <c r="I370" s="1556" t="n">
        <v>9020066</v>
      </c>
      <c r="K370" s="2" t="s">
        <v>2312</v>
      </c>
      <c r="L370" s="2" t="s">
        <v>872</v>
      </c>
    </row>
    <row r="371" customFormat="false" ht="14.25" hidden="false" customHeight="false" outlineLevel="0" collapsed="false">
      <c r="A371" s="1556" t="n">
        <v>44</v>
      </c>
      <c r="B371" s="1556" t="s">
        <v>1812</v>
      </c>
      <c r="C371" s="1556" t="s">
        <v>715</v>
      </c>
      <c r="D371" s="1556" t="n">
        <v>44242</v>
      </c>
      <c r="E371" s="1556" t="n">
        <v>44229</v>
      </c>
      <c r="F371" s="1557" t="s">
        <v>2313</v>
      </c>
      <c r="G371" s="1558" t="n">
        <v>1</v>
      </c>
      <c r="H371" s="1556" t="s">
        <v>1523</v>
      </c>
      <c r="I371" s="1556" t="n">
        <v>9020066</v>
      </c>
      <c r="K371" s="2" t="s">
        <v>2153</v>
      </c>
      <c r="L371" s="2" t="s">
        <v>1523</v>
      </c>
    </row>
    <row r="372" customFormat="false" ht="14.25" hidden="false" customHeight="false" outlineLevel="0" collapsed="false">
      <c r="A372" s="1556" t="n">
        <v>44</v>
      </c>
      <c r="B372" s="1556" t="s">
        <v>1815</v>
      </c>
      <c r="C372" s="1556" t="s">
        <v>715</v>
      </c>
      <c r="D372" s="1556" t="n">
        <v>44243</v>
      </c>
      <c r="E372" s="1556" t="n">
        <v>44230</v>
      </c>
      <c r="F372" s="1557" t="s">
        <v>2314</v>
      </c>
      <c r="G372" s="1558" t="n">
        <v>3</v>
      </c>
      <c r="H372" s="1556" t="s">
        <v>1550</v>
      </c>
      <c r="I372" s="1556" t="n">
        <v>9020068</v>
      </c>
      <c r="K372" s="2" t="s">
        <v>2155</v>
      </c>
      <c r="L372" s="2" t="s">
        <v>872</v>
      </c>
    </row>
    <row r="373" customFormat="false" ht="14.25" hidden="false" customHeight="false" outlineLevel="0" collapsed="false">
      <c r="A373" s="1556" t="n">
        <v>44</v>
      </c>
      <c r="B373" s="1556" t="s">
        <v>1818</v>
      </c>
      <c r="C373" s="1556" t="s">
        <v>715</v>
      </c>
      <c r="D373" s="1556" t="n">
        <v>44244</v>
      </c>
      <c r="E373" s="1556" t="n">
        <v>44231</v>
      </c>
      <c r="F373" s="1557" t="s">
        <v>2315</v>
      </c>
      <c r="G373" s="1558" t="n">
        <v>1</v>
      </c>
      <c r="H373" s="1556" t="s">
        <v>1523</v>
      </c>
      <c r="I373" s="1556" t="n">
        <v>9020066</v>
      </c>
      <c r="K373" s="2" t="s">
        <v>2156</v>
      </c>
      <c r="L373" s="2" t="s">
        <v>1550</v>
      </c>
    </row>
    <row r="374" customFormat="false" ht="14.25" hidden="false" customHeight="false" outlineLevel="0" collapsed="false">
      <c r="A374" s="1556" t="n">
        <v>44</v>
      </c>
      <c r="B374" s="1556" t="s">
        <v>1821</v>
      </c>
      <c r="C374" s="1556" t="s">
        <v>715</v>
      </c>
      <c r="D374" s="1556" t="n">
        <v>44245</v>
      </c>
      <c r="E374" s="1556" t="n">
        <v>44232</v>
      </c>
      <c r="F374" s="1557" t="s">
        <v>2316</v>
      </c>
      <c r="G374" s="1558" t="n">
        <v>1</v>
      </c>
      <c r="H374" s="1556" t="s">
        <v>1523</v>
      </c>
      <c r="I374" s="1556" t="n">
        <v>9020066</v>
      </c>
      <c r="K374" s="2" t="s">
        <v>2157</v>
      </c>
      <c r="L374" s="2" t="s">
        <v>872</v>
      </c>
    </row>
    <row r="375" customFormat="false" ht="14.25" hidden="false" customHeight="false" outlineLevel="0" collapsed="false">
      <c r="A375" s="1556" t="n">
        <v>44</v>
      </c>
      <c r="B375" s="1556" t="s">
        <v>2317</v>
      </c>
      <c r="C375" s="1556" t="s">
        <v>715</v>
      </c>
      <c r="D375" s="1556" t="n">
        <v>44247</v>
      </c>
      <c r="E375" s="1556" t="n">
        <v>44234</v>
      </c>
      <c r="F375" s="1557" t="s">
        <v>2318</v>
      </c>
      <c r="G375" s="1558" t="n">
        <v>1</v>
      </c>
      <c r="H375" s="1556" t="s">
        <v>1523</v>
      </c>
      <c r="I375" s="1556" t="n">
        <v>9020066</v>
      </c>
      <c r="K375" s="2" t="s">
        <v>2319</v>
      </c>
      <c r="L375" s="2" t="s">
        <v>872</v>
      </c>
    </row>
    <row r="376" customFormat="false" ht="14.25" hidden="false" customHeight="false" outlineLevel="0" collapsed="false">
      <c r="A376" s="1556" t="n">
        <v>44</v>
      </c>
      <c r="B376" s="1556" t="s">
        <v>2320</v>
      </c>
      <c r="C376" s="1556" t="s">
        <v>715</v>
      </c>
      <c r="D376" s="1556" t="n">
        <v>44248</v>
      </c>
      <c r="E376" s="1556" t="n">
        <v>44235</v>
      </c>
      <c r="F376" s="1557" t="s">
        <v>2321</v>
      </c>
      <c r="G376" s="1558" t="n">
        <v>1</v>
      </c>
      <c r="H376" s="1556" t="s">
        <v>1523</v>
      </c>
      <c r="I376" s="1556" t="n">
        <v>9020066</v>
      </c>
      <c r="K376" s="2" t="s">
        <v>2322</v>
      </c>
      <c r="L376" s="2" t="s">
        <v>1523</v>
      </c>
    </row>
    <row r="377" customFormat="false" ht="14.25" hidden="false" customHeight="false" outlineLevel="0" collapsed="false">
      <c r="A377" s="1556" t="n">
        <v>44</v>
      </c>
      <c r="B377" s="1556" t="s">
        <v>1827</v>
      </c>
      <c r="C377" s="1556" t="s">
        <v>715</v>
      </c>
      <c r="D377" s="1556" t="n">
        <v>44249</v>
      </c>
      <c r="E377" s="1556" t="n">
        <v>44236</v>
      </c>
      <c r="F377" s="1557" t="s">
        <v>2323</v>
      </c>
      <c r="G377" s="1558" t="n">
        <v>1</v>
      </c>
      <c r="H377" s="1556" t="s">
        <v>1523</v>
      </c>
      <c r="I377" s="1556" t="n">
        <v>9020066</v>
      </c>
      <c r="K377" s="2" t="s">
        <v>2324</v>
      </c>
      <c r="L377" s="2" t="s">
        <v>1523</v>
      </c>
    </row>
    <row r="378" customFormat="false" ht="14.25" hidden="false" customHeight="false" outlineLevel="0" collapsed="false">
      <c r="A378" s="1556" t="n">
        <v>44</v>
      </c>
      <c r="B378" s="1556" t="s">
        <v>1830</v>
      </c>
      <c r="C378" s="1556" t="s">
        <v>715</v>
      </c>
      <c r="D378" s="1556" t="n">
        <v>44250</v>
      </c>
      <c r="E378" s="1556" t="n">
        <v>44237</v>
      </c>
      <c r="F378" s="1557" t="s">
        <v>2325</v>
      </c>
      <c r="G378" s="1558" t="n">
        <v>2</v>
      </c>
      <c r="H378" s="1556" t="s">
        <v>872</v>
      </c>
      <c r="I378" s="1556" t="n">
        <v>9020067</v>
      </c>
      <c r="K378" s="2" t="s">
        <v>2326</v>
      </c>
      <c r="L378" s="2" t="s">
        <v>872</v>
      </c>
    </row>
    <row r="379" customFormat="false" ht="14.25" hidden="false" customHeight="false" outlineLevel="0" collapsed="false">
      <c r="A379" s="1556" t="n">
        <v>44</v>
      </c>
      <c r="B379" s="1556" t="s">
        <v>2327</v>
      </c>
      <c r="C379" s="1556" t="s">
        <v>715</v>
      </c>
      <c r="D379" s="1556" t="n">
        <v>44251</v>
      </c>
      <c r="E379" s="1556" t="n">
        <v>44238</v>
      </c>
      <c r="F379" s="1557" t="s">
        <v>2328</v>
      </c>
      <c r="G379" s="1558" t="n">
        <v>1</v>
      </c>
      <c r="H379" s="1556" t="s">
        <v>1523</v>
      </c>
      <c r="I379" s="1556" t="n">
        <v>9020066</v>
      </c>
      <c r="K379" s="2" t="s">
        <v>2158</v>
      </c>
      <c r="L379" s="2" t="s">
        <v>1523</v>
      </c>
    </row>
    <row r="380" customFormat="false" ht="14.25" hidden="false" customHeight="false" outlineLevel="0" collapsed="false">
      <c r="A380" s="1556" t="n">
        <v>44</v>
      </c>
      <c r="B380" s="1556" t="s">
        <v>2329</v>
      </c>
      <c r="C380" s="1556" t="s">
        <v>715</v>
      </c>
      <c r="D380" s="1556" t="n">
        <v>44252</v>
      </c>
      <c r="E380" s="1556" t="n">
        <v>44239</v>
      </c>
      <c r="F380" s="1557" t="s">
        <v>2330</v>
      </c>
      <c r="G380" s="1558" t="n">
        <v>1</v>
      </c>
      <c r="H380" s="1556" t="s">
        <v>1523</v>
      </c>
      <c r="I380" s="1556" t="n">
        <v>9020066</v>
      </c>
      <c r="K380" s="2" t="s">
        <v>2331</v>
      </c>
      <c r="L380" s="2" t="s">
        <v>1523</v>
      </c>
    </row>
    <row r="381" customFormat="false" ht="14.25" hidden="false" customHeight="false" outlineLevel="0" collapsed="false">
      <c r="A381" s="1556" t="n">
        <v>44</v>
      </c>
      <c r="B381" s="1556" t="s">
        <v>2332</v>
      </c>
      <c r="C381" s="1556" t="s">
        <v>715</v>
      </c>
      <c r="D381" s="1556" t="n">
        <v>44253</v>
      </c>
      <c r="E381" s="1556" t="n">
        <v>44240</v>
      </c>
      <c r="F381" s="1557" t="s">
        <v>2333</v>
      </c>
      <c r="G381" s="1558" t="n">
        <v>3</v>
      </c>
      <c r="H381" s="1556" t="s">
        <v>1550</v>
      </c>
      <c r="I381" s="1556" t="n">
        <v>9020068</v>
      </c>
      <c r="K381" s="2" t="s">
        <v>2334</v>
      </c>
      <c r="L381" s="2" t="s">
        <v>872</v>
      </c>
    </row>
    <row r="382" customFormat="false" ht="14.25" hidden="false" customHeight="false" outlineLevel="0" collapsed="false">
      <c r="A382" s="1556" t="n">
        <v>44</v>
      </c>
      <c r="B382" s="1556" t="s">
        <v>2335</v>
      </c>
      <c r="C382" s="1556" t="s">
        <v>715</v>
      </c>
      <c r="D382" s="1556" t="n">
        <v>44254</v>
      </c>
      <c r="E382" s="1556" t="n">
        <v>44241</v>
      </c>
      <c r="F382" s="1557" t="s">
        <v>2336</v>
      </c>
      <c r="G382" s="1558" t="n">
        <v>2</v>
      </c>
      <c r="H382" s="1556" t="s">
        <v>872</v>
      </c>
      <c r="I382" s="1556" t="n">
        <v>9020067</v>
      </c>
      <c r="K382" s="2" t="s">
        <v>2161</v>
      </c>
      <c r="L382" s="2" t="s">
        <v>1523</v>
      </c>
    </row>
    <row r="383" customFormat="false" ht="14.25" hidden="false" customHeight="false" outlineLevel="0" collapsed="false">
      <c r="A383" s="1556" t="n">
        <v>44</v>
      </c>
      <c r="B383" s="1556" t="s">
        <v>2337</v>
      </c>
      <c r="C383" s="1556" t="s">
        <v>715</v>
      </c>
      <c r="D383" s="1556" t="n">
        <v>44257</v>
      </c>
      <c r="E383" s="1556" t="n">
        <v>44243</v>
      </c>
      <c r="F383" s="1557" t="s">
        <v>2338</v>
      </c>
      <c r="G383" s="1558" t="n">
        <v>1</v>
      </c>
      <c r="H383" s="1556" t="s">
        <v>1523</v>
      </c>
      <c r="I383" s="1556" t="n">
        <v>9020066</v>
      </c>
      <c r="K383" s="2" t="s">
        <v>2163</v>
      </c>
      <c r="L383" s="2" t="s">
        <v>1523</v>
      </c>
    </row>
    <row r="384" customFormat="false" ht="14.25" hidden="false" customHeight="false" outlineLevel="0" collapsed="false">
      <c r="A384" s="1556" t="n">
        <v>44</v>
      </c>
      <c r="B384" s="1556" t="s">
        <v>2339</v>
      </c>
      <c r="C384" s="1556" t="s">
        <v>715</v>
      </c>
      <c r="D384" s="1556" t="n">
        <v>44258</v>
      </c>
      <c r="E384" s="1556" t="n">
        <v>44244</v>
      </c>
      <c r="F384" s="1557" t="s">
        <v>2340</v>
      </c>
      <c r="G384" s="1558" t="n">
        <v>1</v>
      </c>
      <c r="H384" s="1556" t="s">
        <v>1523</v>
      </c>
      <c r="I384" s="1556" t="n">
        <v>9020066</v>
      </c>
      <c r="K384" s="2" t="s">
        <v>2165</v>
      </c>
      <c r="L384" s="2" t="s">
        <v>1523</v>
      </c>
    </row>
    <row r="385" customFormat="false" ht="14.25" hidden="false" customHeight="false" outlineLevel="0" collapsed="false">
      <c r="A385" s="1556" t="n">
        <v>44</v>
      </c>
      <c r="B385" s="1556" t="s">
        <v>1837</v>
      </c>
      <c r="C385" s="1556" t="s">
        <v>715</v>
      </c>
      <c r="D385" s="1556" t="n">
        <v>44259</v>
      </c>
      <c r="E385" s="1556" t="n">
        <v>44245</v>
      </c>
      <c r="F385" s="1557" t="s">
        <v>2341</v>
      </c>
      <c r="G385" s="1558" t="n">
        <v>2</v>
      </c>
      <c r="H385" s="1556" t="s">
        <v>872</v>
      </c>
      <c r="I385" s="1556" t="n">
        <v>9020067</v>
      </c>
      <c r="K385" s="2" t="s">
        <v>2342</v>
      </c>
      <c r="L385" s="2" t="s">
        <v>872</v>
      </c>
    </row>
    <row r="386" customFormat="false" ht="14.25" hidden="false" customHeight="false" outlineLevel="0" collapsed="false">
      <c r="A386" s="1556" t="n">
        <v>44</v>
      </c>
      <c r="B386" s="1556" t="s">
        <v>1842</v>
      </c>
      <c r="C386" s="1556" t="s">
        <v>715</v>
      </c>
      <c r="D386" s="1556" t="n">
        <v>44260</v>
      </c>
      <c r="E386" s="1556" t="n">
        <v>44246</v>
      </c>
      <c r="F386" s="1557" t="s">
        <v>2343</v>
      </c>
      <c r="G386" s="1558" t="n">
        <v>1</v>
      </c>
      <c r="H386" s="1556" t="s">
        <v>1523</v>
      </c>
      <c r="I386" s="1556" t="n">
        <v>9020066</v>
      </c>
      <c r="K386" s="2" t="s">
        <v>1787</v>
      </c>
      <c r="L386" s="2" t="s">
        <v>1523</v>
      </c>
    </row>
    <row r="387" customFormat="false" ht="14.25" hidden="false" customHeight="false" outlineLevel="0" collapsed="false">
      <c r="A387" s="1556" t="n">
        <v>44</v>
      </c>
      <c r="B387" s="1556" t="s">
        <v>1845</v>
      </c>
      <c r="C387" s="1556" t="s">
        <v>715</v>
      </c>
      <c r="D387" s="1556" t="n">
        <v>44261</v>
      </c>
      <c r="E387" s="1556" t="n">
        <v>44247</v>
      </c>
      <c r="F387" s="1557" t="s">
        <v>2344</v>
      </c>
      <c r="G387" s="1558" t="n">
        <v>2</v>
      </c>
      <c r="H387" s="1556" t="s">
        <v>872</v>
      </c>
      <c r="I387" s="1556" t="n">
        <v>9020067</v>
      </c>
      <c r="K387" s="2" t="s">
        <v>2345</v>
      </c>
      <c r="L387" s="2" t="s">
        <v>1523</v>
      </c>
    </row>
    <row r="388" customFormat="false" ht="14.25" hidden="false" customHeight="false" outlineLevel="0" collapsed="false">
      <c r="A388" s="1556" t="n">
        <v>44</v>
      </c>
      <c r="B388" s="1556" t="s">
        <v>2346</v>
      </c>
      <c r="C388" s="1556" t="s">
        <v>715</v>
      </c>
      <c r="D388" s="1556" t="n">
        <v>44263</v>
      </c>
      <c r="E388" s="1556" t="n">
        <v>44249</v>
      </c>
      <c r="F388" s="1557" t="s">
        <v>2347</v>
      </c>
      <c r="G388" s="1558" t="n">
        <v>1</v>
      </c>
      <c r="H388" s="1556" t="s">
        <v>1523</v>
      </c>
      <c r="I388" s="1556" t="n">
        <v>9020066</v>
      </c>
      <c r="K388" s="2" t="s">
        <v>2166</v>
      </c>
      <c r="L388" s="2" t="s">
        <v>1523</v>
      </c>
    </row>
    <row r="389" customFormat="false" ht="14.25" hidden="false" customHeight="false" outlineLevel="0" collapsed="false">
      <c r="A389" s="1556" t="n">
        <v>44</v>
      </c>
      <c r="B389" s="1556" t="s">
        <v>2348</v>
      </c>
      <c r="C389" s="1556" t="s">
        <v>715</v>
      </c>
      <c r="D389" s="1556" t="n">
        <v>44264</v>
      </c>
      <c r="E389" s="1556" t="n">
        <v>44250</v>
      </c>
      <c r="F389" s="1557" t="s">
        <v>2349</v>
      </c>
      <c r="G389" s="1558" t="n">
        <v>1</v>
      </c>
      <c r="H389" s="1556" t="s">
        <v>1523</v>
      </c>
      <c r="I389" s="1556" t="n">
        <v>9020066</v>
      </c>
      <c r="K389" s="2" t="s">
        <v>2350</v>
      </c>
      <c r="L389" s="2" t="s">
        <v>872</v>
      </c>
    </row>
    <row r="390" customFormat="false" ht="14.25" hidden="false" customHeight="false" outlineLevel="0" collapsed="false">
      <c r="A390" s="1556" t="n">
        <v>44</v>
      </c>
      <c r="B390" s="1556" t="s">
        <v>2351</v>
      </c>
      <c r="C390" s="1556" t="s">
        <v>715</v>
      </c>
      <c r="D390" s="1556" t="n">
        <v>44265</v>
      </c>
      <c r="E390" s="1556" t="n">
        <v>44251</v>
      </c>
      <c r="F390" s="1557" t="s">
        <v>2352</v>
      </c>
      <c r="G390" s="1558" t="n">
        <v>1</v>
      </c>
      <c r="H390" s="1556" t="s">
        <v>1523</v>
      </c>
      <c r="I390" s="1556" t="n">
        <v>9020066</v>
      </c>
      <c r="K390" s="2" t="s">
        <v>2167</v>
      </c>
      <c r="L390" s="2" t="s">
        <v>1523</v>
      </c>
    </row>
    <row r="391" customFormat="false" ht="14.25" hidden="false" customHeight="false" outlineLevel="0" collapsed="false">
      <c r="A391" s="1556" t="n">
        <v>44</v>
      </c>
      <c r="B391" s="1556" t="s">
        <v>1848</v>
      </c>
      <c r="C391" s="1556" t="s">
        <v>715</v>
      </c>
      <c r="D391" s="1556" t="n">
        <v>44266</v>
      </c>
      <c r="E391" s="1556" t="n">
        <v>44252</v>
      </c>
      <c r="F391" s="1557" t="s">
        <v>2353</v>
      </c>
      <c r="G391" s="1558" t="n">
        <v>2</v>
      </c>
      <c r="H391" s="1556" t="s">
        <v>872</v>
      </c>
      <c r="I391" s="1556" t="n">
        <v>9020067</v>
      </c>
      <c r="K391" s="2" t="s">
        <v>2169</v>
      </c>
      <c r="L391" s="2" t="s">
        <v>1523</v>
      </c>
    </row>
    <row r="392" customFormat="false" ht="14.25" hidden="false" customHeight="false" outlineLevel="0" collapsed="false">
      <c r="A392" s="1556" t="n">
        <v>44</v>
      </c>
      <c r="B392" s="1556" t="s">
        <v>1809</v>
      </c>
      <c r="C392" s="1556" t="s">
        <v>715</v>
      </c>
      <c r="D392" s="1556" t="n">
        <v>44270</v>
      </c>
      <c r="E392" s="1556" t="n">
        <v>44256</v>
      </c>
      <c r="F392" s="1557" t="s">
        <v>2354</v>
      </c>
      <c r="G392" s="1558" t="n">
        <v>1</v>
      </c>
      <c r="H392" s="1556" t="s">
        <v>1523</v>
      </c>
      <c r="I392" s="1556" t="n">
        <v>9020066</v>
      </c>
      <c r="K392" s="2" t="s">
        <v>2170</v>
      </c>
      <c r="L392" s="2" t="s">
        <v>1523</v>
      </c>
    </row>
    <row r="393" customFormat="false" ht="14.25" hidden="false" customHeight="false" outlineLevel="0" collapsed="false">
      <c r="A393" s="1556" t="n">
        <v>44</v>
      </c>
      <c r="B393" s="1556" t="s">
        <v>1851</v>
      </c>
      <c r="C393" s="1556" t="s">
        <v>715</v>
      </c>
      <c r="D393" s="1556" t="n">
        <v>44271</v>
      </c>
      <c r="E393" s="1556" t="n">
        <v>44257</v>
      </c>
      <c r="F393" s="1557" t="s">
        <v>2355</v>
      </c>
      <c r="G393" s="1558" t="n">
        <v>1</v>
      </c>
      <c r="H393" s="1556" t="s">
        <v>1523</v>
      </c>
      <c r="I393" s="1556" t="n">
        <v>9020066</v>
      </c>
      <c r="K393" s="2" t="s">
        <v>1789</v>
      </c>
      <c r="L393" s="2" t="s">
        <v>1523</v>
      </c>
    </row>
    <row r="394" customFormat="false" ht="14.25" hidden="false" customHeight="false" outlineLevel="0" collapsed="false">
      <c r="A394" s="1556" t="n">
        <v>44</v>
      </c>
      <c r="B394" s="1556" t="s">
        <v>1746</v>
      </c>
      <c r="C394" s="1556" t="s">
        <v>715</v>
      </c>
      <c r="D394" s="1556" t="n">
        <v>44272</v>
      </c>
      <c r="E394" s="1556" t="n">
        <v>44258</v>
      </c>
      <c r="F394" s="1557" t="s">
        <v>2356</v>
      </c>
      <c r="G394" s="1558" t="n">
        <v>1</v>
      </c>
      <c r="H394" s="1556" t="s">
        <v>1523</v>
      </c>
      <c r="I394" s="1556" t="n">
        <v>9020066</v>
      </c>
      <c r="K394" s="2" t="s">
        <v>2172</v>
      </c>
      <c r="L394" s="2" t="s">
        <v>1523</v>
      </c>
    </row>
    <row r="395" customFormat="false" ht="14.25" hidden="false" customHeight="false" outlineLevel="0" collapsed="false">
      <c r="A395" s="1556" t="n">
        <v>44</v>
      </c>
      <c r="B395" s="1556" t="s">
        <v>2357</v>
      </c>
      <c r="C395" s="1556" t="s">
        <v>715</v>
      </c>
      <c r="D395" s="1556" t="n">
        <v>44274</v>
      </c>
      <c r="E395" s="1556" t="n">
        <v>44260</v>
      </c>
      <c r="F395" s="1557" t="s">
        <v>2358</v>
      </c>
      <c r="G395" s="1558" t="n">
        <v>1</v>
      </c>
      <c r="H395" s="1556" t="s">
        <v>1523</v>
      </c>
      <c r="I395" s="1556" t="n">
        <v>9020066</v>
      </c>
      <c r="K395" s="2" t="s">
        <v>2359</v>
      </c>
      <c r="L395" s="2" t="s">
        <v>1523</v>
      </c>
    </row>
    <row r="396" customFormat="false" ht="14.25" hidden="false" customHeight="false" outlineLevel="0" collapsed="false">
      <c r="A396" s="1556" t="n">
        <v>44</v>
      </c>
      <c r="B396" s="1556" t="s">
        <v>1854</v>
      </c>
      <c r="C396" s="1556" t="s">
        <v>715</v>
      </c>
      <c r="D396" s="1556" t="n">
        <v>44275</v>
      </c>
      <c r="E396" s="1556" t="n">
        <v>44261</v>
      </c>
      <c r="F396" s="1557" t="s">
        <v>2360</v>
      </c>
      <c r="G396" s="1558" t="n">
        <v>1</v>
      </c>
      <c r="H396" s="1556" t="s">
        <v>1523</v>
      </c>
      <c r="I396" s="1556" t="n">
        <v>9020066</v>
      </c>
      <c r="K396" s="2" t="s">
        <v>2175</v>
      </c>
      <c r="L396" s="2" t="s">
        <v>1523</v>
      </c>
    </row>
    <row r="397" customFormat="false" ht="14.25" hidden="false" customHeight="false" outlineLevel="0" collapsed="false">
      <c r="A397" s="1556" t="n">
        <v>44</v>
      </c>
      <c r="B397" s="1556" t="s">
        <v>1856</v>
      </c>
      <c r="C397" s="1556" t="s">
        <v>715</v>
      </c>
      <c r="D397" s="1556" t="n">
        <v>44276</v>
      </c>
      <c r="E397" s="1556" t="n">
        <v>44262</v>
      </c>
      <c r="F397" s="1557" t="s">
        <v>2361</v>
      </c>
      <c r="G397" s="1558" t="n">
        <v>1</v>
      </c>
      <c r="H397" s="1556" t="s">
        <v>1523</v>
      </c>
      <c r="I397" s="1556" t="n">
        <v>9020066</v>
      </c>
      <c r="K397" s="2" t="s">
        <v>2362</v>
      </c>
      <c r="L397" s="2" t="s">
        <v>1523</v>
      </c>
    </row>
    <row r="398" customFormat="false" ht="14.25" hidden="false" customHeight="false" outlineLevel="0" collapsed="false">
      <c r="A398" s="1556" t="n">
        <v>44</v>
      </c>
      <c r="B398" s="1556" t="s">
        <v>1858</v>
      </c>
      <c r="C398" s="1556" t="s">
        <v>715</v>
      </c>
      <c r="D398" s="1556" t="n">
        <v>44277</v>
      </c>
      <c r="E398" s="1556" t="n">
        <v>44263</v>
      </c>
      <c r="F398" s="1557" t="s">
        <v>2363</v>
      </c>
      <c r="G398" s="1558" t="n">
        <v>1</v>
      </c>
      <c r="H398" s="1556" t="s">
        <v>1523</v>
      </c>
      <c r="I398" s="1556" t="n">
        <v>9020066</v>
      </c>
      <c r="K398" s="2" t="s">
        <v>2176</v>
      </c>
      <c r="L398" s="2" t="s">
        <v>1523</v>
      </c>
    </row>
    <row r="399" customFormat="false" ht="14.25" hidden="false" customHeight="false" outlineLevel="0" collapsed="false">
      <c r="A399" s="1556" t="n">
        <v>44</v>
      </c>
      <c r="B399" s="1556" t="s">
        <v>1860</v>
      </c>
      <c r="C399" s="1556" t="s">
        <v>715</v>
      </c>
      <c r="D399" s="1556" t="n">
        <v>44278</v>
      </c>
      <c r="E399" s="1556" t="n">
        <v>44264</v>
      </c>
      <c r="F399" s="1557" t="s">
        <v>2364</v>
      </c>
      <c r="G399" s="1558" t="n">
        <v>1</v>
      </c>
      <c r="H399" s="1556" t="s">
        <v>1523</v>
      </c>
      <c r="I399" s="1556" t="n">
        <v>9020066</v>
      </c>
      <c r="K399" s="2" t="s">
        <v>2365</v>
      </c>
      <c r="L399" s="2" t="s">
        <v>1523</v>
      </c>
    </row>
    <row r="400" customFormat="false" ht="14.25" hidden="false" customHeight="false" outlineLevel="0" collapsed="false">
      <c r="A400" s="1556" t="n">
        <v>44</v>
      </c>
      <c r="B400" s="1556" t="s">
        <v>1863</v>
      </c>
      <c r="C400" s="1556" t="s">
        <v>715</v>
      </c>
      <c r="D400" s="1556" t="n">
        <v>44279</v>
      </c>
      <c r="E400" s="1556" t="n">
        <v>44265</v>
      </c>
      <c r="F400" s="1557" t="s">
        <v>2366</v>
      </c>
      <c r="G400" s="1558" t="n">
        <v>2</v>
      </c>
      <c r="H400" s="1556" t="s">
        <v>872</v>
      </c>
      <c r="I400" s="1556" t="n">
        <v>9020067</v>
      </c>
      <c r="K400" s="2" t="s">
        <v>2367</v>
      </c>
      <c r="L400" s="2" t="s">
        <v>1523</v>
      </c>
    </row>
    <row r="401" customFormat="false" ht="14.25" hidden="false" customHeight="false" outlineLevel="0" collapsed="false">
      <c r="A401" s="1556" t="n">
        <v>44</v>
      </c>
      <c r="B401" s="1556" t="s">
        <v>2368</v>
      </c>
      <c r="C401" s="1556" t="s">
        <v>715</v>
      </c>
      <c r="D401" s="1556" t="n">
        <v>44280</v>
      </c>
      <c r="E401" s="1556" t="n">
        <v>44266</v>
      </c>
      <c r="F401" s="1557" t="s">
        <v>2369</v>
      </c>
      <c r="G401" s="1558" t="n">
        <v>1</v>
      </c>
      <c r="H401" s="1556" t="s">
        <v>1523</v>
      </c>
      <c r="I401" s="1556" t="n">
        <v>9020066</v>
      </c>
      <c r="K401" s="2" t="s">
        <v>2370</v>
      </c>
      <c r="L401" s="2" t="s">
        <v>1523</v>
      </c>
    </row>
    <row r="402" customFormat="false" ht="14.25" hidden="false" customHeight="false" outlineLevel="0" collapsed="false">
      <c r="A402" s="1556" t="n">
        <v>44</v>
      </c>
      <c r="B402" s="1556" t="s">
        <v>2371</v>
      </c>
      <c r="C402" s="1556" t="s">
        <v>715</v>
      </c>
      <c r="D402" s="1556" t="n">
        <v>44281</v>
      </c>
      <c r="E402" s="1556" t="n">
        <v>44267</v>
      </c>
      <c r="F402" s="1557" t="s">
        <v>2372</v>
      </c>
      <c r="G402" s="1558" t="n">
        <v>1</v>
      </c>
      <c r="H402" s="1556" t="s">
        <v>1523</v>
      </c>
      <c r="I402" s="1556" t="n">
        <v>9020066</v>
      </c>
      <c r="K402" s="2" t="s">
        <v>2373</v>
      </c>
      <c r="L402" s="2" t="s">
        <v>1523</v>
      </c>
    </row>
    <row r="403" customFormat="false" ht="14.25" hidden="false" customHeight="false" outlineLevel="0" collapsed="false">
      <c r="A403" s="1556" t="n">
        <v>44</v>
      </c>
      <c r="B403" s="1556" t="s">
        <v>1866</v>
      </c>
      <c r="C403" s="1556" t="s">
        <v>715</v>
      </c>
      <c r="D403" s="1556" t="n">
        <v>44282</v>
      </c>
      <c r="E403" s="1556" t="n">
        <v>44268</v>
      </c>
      <c r="F403" s="1557" t="s">
        <v>2374</v>
      </c>
      <c r="G403" s="1558" t="n">
        <v>1</v>
      </c>
      <c r="H403" s="1556" t="s">
        <v>1523</v>
      </c>
      <c r="I403" s="1556" t="n">
        <v>9020066</v>
      </c>
      <c r="K403" s="2" t="s">
        <v>2177</v>
      </c>
      <c r="L403" s="2" t="s">
        <v>1523</v>
      </c>
    </row>
    <row r="404" customFormat="false" ht="14.25" hidden="false" customHeight="false" outlineLevel="0" collapsed="false">
      <c r="A404" s="1556" t="n">
        <v>50</v>
      </c>
      <c r="B404" s="1556" t="s">
        <v>1520</v>
      </c>
      <c r="C404" s="1556" t="s">
        <v>605</v>
      </c>
      <c r="D404" s="1556" t="n">
        <v>50001</v>
      </c>
      <c r="E404" s="1556" t="n">
        <v>50001</v>
      </c>
      <c r="F404" s="1557" t="s">
        <v>1526</v>
      </c>
      <c r="G404" s="1558" t="n">
        <v>1</v>
      </c>
      <c r="H404" s="1556" t="s">
        <v>1523</v>
      </c>
      <c r="I404" s="1556" t="n">
        <v>9020066</v>
      </c>
      <c r="K404" s="2" t="s">
        <v>2178</v>
      </c>
      <c r="L404" s="2" t="s">
        <v>1523</v>
      </c>
    </row>
    <row r="405" customFormat="false" ht="14.25" hidden="false" customHeight="false" outlineLevel="0" collapsed="false">
      <c r="A405" s="1556" t="n">
        <v>50</v>
      </c>
      <c r="B405" s="1556" t="s">
        <v>1524</v>
      </c>
      <c r="C405" s="1556" t="s">
        <v>605</v>
      </c>
      <c r="D405" s="1556" t="n">
        <v>50002</v>
      </c>
      <c r="E405" s="1556" t="n">
        <v>50002</v>
      </c>
      <c r="F405" s="1557" t="s">
        <v>1536</v>
      </c>
      <c r="G405" s="1558" t="n">
        <v>1</v>
      </c>
      <c r="H405" s="1556" t="s">
        <v>1523</v>
      </c>
      <c r="I405" s="1556" t="n">
        <v>9020066</v>
      </c>
      <c r="K405" s="2" t="s">
        <v>2375</v>
      </c>
      <c r="L405" s="2" t="s">
        <v>872</v>
      </c>
    </row>
    <row r="406" customFormat="false" ht="14.25" hidden="false" customHeight="false" outlineLevel="0" collapsed="false">
      <c r="A406" s="1556" t="n">
        <v>50</v>
      </c>
      <c r="B406" s="1556" t="s">
        <v>1971</v>
      </c>
      <c r="C406" s="1556" t="s">
        <v>605</v>
      </c>
      <c r="D406" s="1556" t="n">
        <v>50003</v>
      </c>
      <c r="E406" s="1556" t="n">
        <v>50003</v>
      </c>
      <c r="F406" s="1557" t="s">
        <v>606</v>
      </c>
      <c r="G406" s="1558" t="n">
        <v>2</v>
      </c>
      <c r="H406" s="1556" t="s">
        <v>872</v>
      </c>
      <c r="I406" s="1556" t="n">
        <v>9020067</v>
      </c>
      <c r="K406" s="2" t="s">
        <v>2376</v>
      </c>
      <c r="L406" s="2" t="s">
        <v>872</v>
      </c>
    </row>
    <row r="407" customFormat="false" ht="14.25" hidden="false" customHeight="false" outlineLevel="0" collapsed="false">
      <c r="A407" s="1556" t="n">
        <v>50</v>
      </c>
      <c r="B407" s="1556" t="s">
        <v>1973</v>
      </c>
      <c r="C407" s="1556" t="s">
        <v>605</v>
      </c>
      <c r="D407" s="1556" t="n">
        <v>50004</v>
      </c>
      <c r="E407" s="1556" t="n">
        <v>50004</v>
      </c>
      <c r="F407" s="1557" t="s">
        <v>1543</v>
      </c>
      <c r="G407" s="1558" t="n">
        <v>1</v>
      </c>
      <c r="H407" s="1556" t="s">
        <v>1523</v>
      </c>
      <c r="I407" s="1556" t="n">
        <v>9020066</v>
      </c>
      <c r="K407" s="2" t="s">
        <v>2377</v>
      </c>
      <c r="L407" s="2" t="s">
        <v>872</v>
      </c>
    </row>
    <row r="408" customFormat="false" ht="14.25" hidden="false" customHeight="false" outlineLevel="0" collapsed="false">
      <c r="A408" s="1556" t="n">
        <v>50</v>
      </c>
      <c r="B408" s="1556" t="s">
        <v>1527</v>
      </c>
      <c r="C408" s="1556" t="s">
        <v>605</v>
      </c>
      <c r="D408" s="1556" t="n">
        <v>50005</v>
      </c>
      <c r="E408" s="1556" t="n">
        <v>50005</v>
      </c>
      <c r="F408" s="1557" t="s">
        <v>1558</v>
      </c>
      <c r="G408" s="1558" t="n">
        <v>1</v>
      </c>
      <c r="H408" s="1556" t="s">
        <v>1523</v>
      </c>
      <c r="I408" s="1556" t="n">
        <v>9020066</v>
      </c>
      <c r="K408" s="2" t="s">
        <v>2378</v>
      </c>
      <c r="L408" s="2" t="s">
        <v>872</v>
      </c>
    </row>
    <row r="409" customFormat="false" ht="14.25" hidden="false" customHeight="false" outlineLevel="0" collapsed="false">
      <c r="A409" s="1556" t="n">
        <v>50</v>
      </c>
      <c r="B409" s="1556" t="s">
        <v>1974</v>
      </c>
      <c r="C409" s="1556" t="s">
        <v>605</v>
      </c>
      <c r="D409" s="1556" t="n">
        <v>50006</v>
      </c>
      <c r="E409" s="1556" t="n">
        <v>50006</v>
      </c>
      <c r="F409" s="1557" t="s">
        <v>1563</v>
      </c>
      <c r="G409" s="1558" t="n">
        <v>2</v>
      </c>
      <c r="H409" s="1556" t="s">
        <v>872</v>
      </c>
      <c r="I409" s="1556" t="n">
        <v>9020067</v>
      </c>
      <c r="K409" s="2" t="s">
        <v>2379</v>
      </c>
      <c r="L409" s="2" t="s">
        <v>1523</v>
      </c>
    </row>
    <row r="410" customFormat="false" ht="14.25" hidden="false" customHeight="false" outlineLevel="0" collapsed="false">
      <c r="A410" s="1556" t="n">
        <v>50</v>
      </c>
      <c r="B410" s="1556" t="s">
        <v>1530</v>
      </c>
      <c r="C410" s="1556" t="s">
        <v>605</v>
      </c>
      <c r="D410" s="1556" t="n">
        <v>50007</v>
      </c>
      <c r="E410" s="1556" t="n">
        <v>50007</v>
      </c>
      <c r="F410" s="1557" t="s">
        <v>1571</v>
      </c>
      <c r="G410" s="1558" t="n">
        <v>1</v>
      </c>
      <c r="H410" s="1556" t="s">
        <v>1523</v>
      </c>
      <c r="I410" s="1556" t="n">
        <v>9020066</v>
      </c>
      <c r="K410" s="2" t="s">
        <v>2180</v>
      </c>
      <c r="L410" s="2" t="s">
        <v>872</v>
      </c>
    </row>
    <row r="411" customFormat="false" ht="14.25" hidden="false" customHeight="false" outlineLevel="0" collapsed="false">
      <c r="A411" s="1556" t="n">
        <v>50</v>
      </c>
      <c r="B411" s="1556" t="s">
        <v>1532</v>
      </c>
      <c r="C411" s="1556" t="s">
        <v>605</v>
      </c>
      <c r="D411" s="1556" t="n">
        <v>50009</v>
      </c>
      <c r="E411" s="1556" t="n">
        <v>50009</v>
      </c>
      <c r="F411" s="1557" t="s">
        <v>1574</v>
      </c>
      <c r="G411" s="1558" t="n">
        <v>1</v>
      </c>
      <c r="H411" s="1556" t="s">
        <v>1523</v>
      </c>
      <c r="I411" s="1556" t="n">
        <v>9020066</v>
      </c>
      <c r="K411" s="2" t="s">
        <v>2380</v>
      </c>
      <c r="L411" s="2" t="s">
        <v>1523</v>
      </c>
    </row>
    <row r="412" customFormat="false" ht="14.25" hidden="false" customHeight="false" outlineLevel="0" collapsed="false">
      <c r="A412" s="1556" t="n">
        <v>50</v>
      </c>
      <c r="B412" s="1556" t="s">
        <v>1534</v>
      </c>
      <c r="C412" s="1556" t="s">
        <v>605</v>
      </c>
      <c r="D412" s="1556" t="n">
        <v>50010</v>
      </c>
      <c r="E412" s="1556" t="n">
        <v>50010</v>
      </c>
      <c r="F412" s="1557" t="s">
        <v>1591</v>
      </c>
      <c r="G412" s="1558" t="n">
        <v>2</v>
      </c>
      <c r="H412" s="1556" t="s">
        <v>872</v>
      </c>
      <c r="I412" s="1556" t="n">
        <v>9020067</v>
      </c>
      <c r="K412" s="2" t="s">
        <v>2381</v>
      </c>
      <c r="L412" s="2" t="s">
        <v>1523</v>
      </c>
    </row>
    <row r="413" customFormat="false" ht="14.25" hidden="false" customHeight="false" outlineLevel="0" collapsed="false">
      <c r="A413" s="1556" t="n">
        <v>50</v>
      </c>
      <c r="B413" s="1556" t="s">
        <v>1979</v>
      </c>
      <c r="C413" s="1556" t="s">
        <v>605</v>
      </c>
      <c r="D413" s="1556" t="n">
        <v>50011</v>
      </c>
      <c r="E413" s="1556" t="n">
        <v>50011</v>
      </c>
      <c r="F413" s="1557" t="s">
        <v>1596</v>
      </c>
      <c r="G413" s="1558" t="n">
        <v>2</v>
      </c>
      <c r="H413" s="1556" t="s">
        <v>872</v>
      </c>
      <c r="I413" s="1556" t="n">
        <v>9020067</v>
      </c>
      <c r="K413" s="2" t="s">
        <v>1792</v>
      </c>
      <c r="L413" s="2" t="s">
        <v>1523</v>
      </c>
    </row>
    <row r="414" customFormat="false" ht="14.25" hidden="false" customHeight="false" outlineLevel="0" collapsed="false">
      <c r="A414" s="1556" t="n">
        <v>50</v>
      </c>
      <c r="B414" s="1556" t="s">
        <v>1537</v>
      </c>
      <c r="C414" s="1556" t="s">
        <v>605</v>
      </c>
      <c r="D414" s="1556" t="n">
        <v>50012</v>
      </c>
      <c r="E414" s="1556" t="n">
        <v>50012</v>
      </c>
      <c r="F414" s="1557" t="s">
        <v>1599</v>
      </c>
      <c r="G414" s="1558" t="n">
        <v>2</v>
      </c>
      <c r="H414" s="1556" t="s">
        <v>872</v>
      </c>
      <c r="I414" s="1556" t="n">
        <v>9020067</v>
      </c>
      <c r="K414" s="2" t="s">
        <v>2382</v>
      </c>
      <c r="L414" s="2" t="s">
        <v>1550</v>
      </c>
    </row>
    <row r="415" customFormat="false" ht="14.25" hidden="false" customHeight="false" outlineLevel="0" collapsed="false">
      <c r="A415" s="1556" t="n">
        <v>50</v>
      </c>
      <c r="B415" s="1556" t="s">
        <v>1983</v>
      </c>
      <c r="C415" s="1556" t="s">
        <v>605</v>
      </c>
      <c r="D415" s="1556" t="n">
        <v>50014</v>
      </c>
      <c r="E415" s="1556" t="n">
        <v>50014</v>
      </c>
      <c r="F415" s="1557" t="s">
        <v>1610</v>
      </c>
      <c r="G415" s="1558" t="n">
        <v>1</v>
      </c>
      <c r="H415" s="1556" t="s">
        <v>1523</v>
      </c>
      <c r="I415" s="1556" t="n">
        <v>9020066</v>
      </c>
      <c r="K415" s="2" t="s">
        <v>2383</v>
      </c>
      <c r="L415" s="2" t="s">
        <v>1523</v>
      </c>
    </row>
    <row r="416" customFormat="false" ht="14.25" hidden="false" customHeight="false" outlineLevel="0" collapsed="false">
      <c r="A416" s="1556" t="n">
        <v>50</v>
      </c>
      <c r="B416" s="1556" t="s">
        <v>1539</v>
      </c>
      <c r="C416" s="1556" t="s">
        <v>605</v>
      </c>
      <c r="D416" s="1556" t="n">
        <v>50015</v>
      </c>
      <c r="E416" s="1556" t="n">
        <v>50015</v>
      </c>
      <c r="F416" s="1557" t="s">
        <v>1620</v>
      </c>
      <c r="G416" s="1558" t="n">
        <v>2</v>
      </c>
      <c r="H416" s="1556" t="s">
        <v>872</v>
      </c>
      <c r="I416" s="1556" t="n">
        <v>9020067</v>
      </c>
      <c r="K416" s="2" t="s">
        <v>2182</v>
      </c>
      <c r="L416" s="2" t="s">
        <v>1523</v>
      </c>
    </row>
    <row r="417" customFormat="false" ht="14.25" hidden="false" customHeight="false" outlineLevel="0" collapsed="false">
      <c r="A417" s="1556" t="n">
        <v>50</v>
      </c>
      <c r="B417" s="1556" t="s">
        <v>1985</v>
      </c>
      <c r="C417" s="1556" t="s">
        <v>605</v>
      </c>
      <c r="D417" s="1556" t="n">
        <v>50016</v>
      </c>
      <c r="E417" s="1556" t="n">
        <v>50016</v>
      </c>
      <c r="F417" s="1557" t="s">
        <v>1628</v>
      </c>
      <c r="G417" s="1558" t="n">
        <v>1</v>
      </c>
      <c r="H417" s="1556" t="s">
        <v>1523</v>
      </c>
      <c r="I417" s="1556" t="n">
        <v>9020066</v>
      </c>
      <c r="K417" s="2" t="s">
        <v>2185</v>
      </c>
      <c r="L417" s="2" t="s">
        <v>1523</v>
      </c>
    </row>
    <row r="418" customFormat="false" ht="14.25" hidden="false" customHeight="false" outlineLevel="0" collapsed="false">
      <c r="A418" s="1556" t="n">
        <v>50</v>
      </c>
      <c r="B418" s="1556" t="s">
        <v>1987</v>
      </c>
      <c r="C418" s="1556" t="s">
        <v>605</v>
      </c>
      <c r="D418" s="1556" t="n">
        <v>50017</v>
      </c>
      <c r="E418" s="1556" t="n">
        <v>50017</v>
      </c>
      <c r="F418" s="1557" t="s">
        <v>1633</v>
      </c>
      <c r="G418" s="1558" t="n">
        <v>2</v>
      </c>
      <c r="H418" s="1556" t="s">
        <v>872</v>
      </c>
      <c r="I418" s="1556" t="n">
        <v>9020067</v>
      </c>
      <c r="K418" s="2" t="s">
        <v>2186</v>
      </c>
      <c r="L418" s="2" t="s">
        <v>1523</v>
      </c>
    </row>
    <row r="419" customFormat="false" ht="14.25" hidden="false" customHeight="false" outlineLevel="0" collapsed="false">
      <c r="A419" s="1556" t="n">
        <v>50</v>
      </c>
      <c r="B419" s="1556" t="s">
        <v>1992</v>
      </c>
      <c r="C419" s="1556" t="s">
        <v>605</v>
      </c>
      <c r="D419" s="1556" t="n">
        <v>50018</v>
      </c>
      <c r="E419" s="1556" t="n">
        <v>50018</v>
      </c>
      <c r="F419" s="1557" t="s">
        <v>1639</v>
      </c>
      <c r="G419" s="1558" t="n">
        <v>2</v>
      </c>
      <c r="H419" s="1556" t="s">
        <v>872</v>
      </c>
      <c r="I419" s="1556" t="n">
        <v>9020067</v>
      </c>
      <c r="K419" s="2" t="s">
        <v>2384</v>
      </c>
      <c r="L419" s="2" t="s">
        <v>872</v>
      </c>
    </row>
    <row r="420" customFormat="false" ht="14.25" hidden="false" customHeight="false" outlineLevel="0" collapsed="false">
      <c r="A420" s="1556" t="n">
        <v>50</v>
      </c>
      <c r="B420" s="1556" t="s">
        <v>1541</v>
      </c>
      <c r="C420" s="1556" t="s">
        <v>605</v>
      </c>
      <c r="D420" s="1556" t="n">
        <v>50019</v>
      </c>
      <c r="E420" s="1556" t="n">
        <v>50019</v>
      </c>
      <c r="F420" s="1557" t="s">
        <v>1642</v>
      </c>
      <c r="G420" s="1558" t="n">
        <v>2</v>
      </c>
      <c r="H420" s="1556" t="s">
        <v>872</v>
      </c>
      <c r="I420" s="1556" t="n">
        <v>9020067</v>
      </c>
      <c r="K420" s="2" t="s">
        <v>2385</v>
      </c>
      <c r="L420" s="2" t="s">
        <v>1523</v>
      </c>
    </row>
    <row r="421" customFormat="false" ht="14.25" hidden="false" customHeight="false" outlineLevel="0" collapsed="false">
      <c r="A421" s="1556" t="n">
        <v>50</v>
      </c>
      <c r="B421" s="1556" t="s">
        <v>1544</v>
      </c>
      <c r="C421" s="1556" t="s">
        <v>605</v>
      </c>
      <c r="D421" s="1556" t="n">
        <v>50020</v>
      </c>
      <c r="E421" s="1556" t="n">
        <v>50020</v>
      </c>
      <c r="F421" s="1557" t="s">
        <v>1645</v>
      </c>
      <c r="G421" s="1558" t="n">
        <v>1</v>
      </c>
      <c r="H421" s="1556" t="s">
        <v>1523</v>
      </c>
      <c r="I421" s="1556" t="n">
        <v>9020066</v>
      </c>
      <c r="K421" s="2" t="s">
        <v>1794</v>
      </c>
      <c r="L421" s="2" t="s">
        <v>872</v>
      </c>
    </row>
    <row r="422" customFormat="false" ht="14.25" hidden="false" customHeight="false" outlineLevel="0" collapsed="false">
      <c r="A422" s="1556" t="n">
        <v>50</v>
      </c>
      <c r="B422" s="1556" t="s">
        <v>1547</v>
      </c>
      <c r="C422" s="1556" t="s">
        <v>605</v>
      </c>
      <c r="D422" s="1556" t="n">
        <v>50021</v>
      </c>
      <c r="E422" s="1556" t="n">
        <v>50021</v>
      </c>
      <c r="F422" s="1557" t="s">
        <v>1660</v>
      </c>
      <c r="G422" s="1558" t="n">
        <v>2</v>
      </c>
      <c r="H422" s="1556" t="s">
        <v>872</v>
      </c>
      <c r="I422" s="1556" t="n">
        <v>9020067</v>
      </c>
      <c r="K422" s="2" t="s">
        <v>2386</v>
      </c>
      <c r="L422" s="2" t="s">
        <v>872</v>
      </c>
    </row>
    <row r="423" customFormat="false" ht="14.25" hidden="false" customHeight="false" outlineLevel="0" collapsed="false">
      <c r="A423" s="1556" t="n">
        <v>50</v>
      </c>
      <c r="B423" s="1556" t="s">
        <v>1989</v>
      </c>
      <c r="C423" s="1556" t="s">
        <v>605</v>
      </c>
      <c r="D423" s="1556" t="n">
        <v>50022</v>
      </c>
      <c r="E423" s="1556" t="n">
        <v>50022</v>
      </c>
      <c r="F423" s="1557" t="s">
        <v>1666</v>
      </c>
      <c r="G423" s="1558" t="n">
        <v>2</v>
      </c>
      <c r="H423" s="1556" t="s">
        <v>872</v>
      </c>
      <c r="I423" s="1556" t="n">
        <v>9020067</v>
      </c>
      <c r="K423" s="2" t="s">
        <v>1796</v>
      </c>
      <c r="L423" s="2" t="s">
        <v>1523</v>
      </c>
    </row>
    <row r="424" customFormat="false" ht="14.25" hidden="false" customHeight="false" outlineLevel="0" collapsed="false">
      <c r="A424" s="1556" t="n">
        <v>50</v>
      </c>
      <c r="B424" s="1556" t="s">
        <v>1551</v>
      </c>
      <c r="C424" s="1556" t="s">
        <v>605</v>
      </c>
      <c r="D424" s="1556" t="n">
        <v>50023</v>
      </c>
      <c r="E424" s="1556" t="n">
        <v>50023</v>
      </c>
      <c r="F424" s="1557" t="s">
        <v>1669</v>
      </c>
      <c r="G424" s="1558" t="n">
        <v>2</v>
      </c>
      <c r="H424" s="1556" t="s">
        <v>872</v>
      </c>
      <c r="I424" s="1556" t="n">
        <v>9020067</v>
      </c>
      <c r="K424" s="2" t="s">
        <v>2387</v>
      </c>
      <c r="L424" s="2" t="s">
        <v>1523</v>
      </c>
    </row>
    <row r="425" customFormat="false" ht="14.25" hidden="false" customHeight="false" outlineLevel="0" collapsed="false">
      <c r="A425" s="1556" t="n">
        <v>50</v>
      </c>
      <c r="B425" s="1556" t="s">
        <v>1553</v>
      </c>
      <c r="C425" s="1556" t="s">
        <v>605</v>
      </c>
      <c r="D425" s="1556" t="n">
        <v>50024</v>
      </c>
      <c r="E425" s="1556" t="n">
        <v>50024</v>
      </c>
      <c r="F425" s="1557" t="s">
        <v>1672</v>
      </c>
      <c r="G425" s="1558" t="n">
        <v>2</v>
      </c>
      <c r="H425" s="1556" t="s">
        <v>872</v>
      </c>
      <c r="I425" s="1556" t="n">
        <v>9020067</v>
      </c>
      <c r="K425" s="2" t="s">
        <v>2188</v>
      </c>
      <c r="L425" s="2" t="s">
        <v>1523</v>
      </c>
    </row>
    <row r="426" customFormat="false" ht="14.25" hidden="false" customHeight="false" outlineLevel="0" collapsed="false">
      <c r="A426" s="1556" t="n">
        <v>50</v>
      </c>
      <c r="B426" s="1556" t="s">
        <v>1995</v>
      </c>
      <c r="C426" s="1556" t="s">
        <v>605</v>
      </c>
      <c r="D426" s="1556" t="n">
        <v>50025</v>
      </c>
      <c r="E426" s="1556" t="n">
        <v>50025</v>
      </c>
      <c r="F426" s="1557" t="s">
        <v>1677</v>
      </c>
      <c r="G426" s="1558" t="n">
        <v>2</v>
      </c>
      <c r="H426" s="1556" t="s">
        <v>872</v>
      </c>
      <c r="I426" s="1556" t="n">
        <v>9020067</v>
      </c>
      <c r="K426" s="2" t="s">
        <v>2191</v>
      </c>
      <c r="L426" s="2" t="s">
        <v>1523</v>
      </c>
    </row>
    <row r="427" customFormat="false" ht="14.25" hidden="false" customHeight="false" outlineLevel="0" collapsed="false">
      <c r="A427" s="1556" t="n">
        <v>50</v>
      </c>
      <c r="B427" s="1556" t="s">
        <v>1997</v>
      </c>
      <c r="C427" s="1556" t="s">
        <v>605</v>
      </c>
      <c r="D427" s="1556" t="n">
        <v>50026</v>
      </c>
      <c r="E427" s="1556" t="n">
        <v>50026</v>
      </c>
      <c r="F427" s="1557" t="s">
        <v>1685</v>
      </c>
      <c r="G427" s="1558" t="n">
        <v>1</v>
      </c>
      <c r="H427" s="1556" t="s">
        <v>1523</v>
      </c>
      <c r="I427" s="1556" t="n">
        <v>9020066</v>
      </c>
      <c r="K427" s="2" t="s">
        <v>2193</v>
      </c>
      <c r="L427" s="2" t="s">
        <v>1523</v>
      </c>
    </row>
    <row r="428" customFormat="false" ht="14.25" hidden="false" customHeight="false" outlineLevel="0" collapsed="false">
      <c r="A428" s="1556" t="n">
        <v>50</v>
      </c>
      <c r="B428" s="1556" t="s">
        <v>1556</v>
      </c>
      <c r="C428" s="1556" t="s">
        <v>605</v>
      </c>
      <c r="D428" s="1556" t="n">
        <v>50027</v>
      </c>
      <c r="E428" s="1556" t="n">
        <v>50027</v>
      </c>
      <c r="F428" s="1557" t="s">
        <v>1693</v>
      </c>
      <c r="G428" s="1558" t="n">
        <v>1</v>
      </c>
      <c r="H428" s="1556" t="s">
        <v>1523</v>
      </c>
      <c r="I428" s="1556" t="n">
        <v>9020066</v>
      </c>
      <c r="K428" s="2" t="s">
        <v>2195</v>
      </c>
      <c r="L428" s="2" t="s">
        <v>1523</v>
      </c>
    </row>
    <row r="429" customFormat="false" ht="14.25" hidden="false" customHeight="false" outlineLevel="0" collapsed="false">
      <c r="A429" s="1556" t="n">
        <v>50</v>
      </c>
      <c r="B429" s="1556" t="s">
        <v>1559</v>
      </c>
      <c r="C429" s="1556" t="s">
        <v>605</v>
      </c>
      <c r="D429" s="1556" t="n">
        <v>50028</v>
      </c>
      <c r="E429" s="1556" t="n">
        <v>50028</v>
      </c>
      <c r="F429" s="1557" t="s">
        <v>1702</v>
      </c>
      <c r="G429" s="1558" t="n">
        <v>2</v>
      </c>
      <c r="H429" s="1556" t="s">
        <v>872</v>
      </c>
      <c r="I429" s="1556" t="n">
        <v>9020067</v>
      </c>
      <c r="K429" s="2" t="s">
        <v>2197</v>
      </c>
      <c r="L429" s="2" t="s">
        <v>1523</v>
      </c>
    </row>
    <row r="430" customFormat="false" ht="14.25" hidden="false" customHeight="false" outlineLevel="0" collapsed="false">
      <c r="A430" s="1556" t="n">
        <v>50</v>
      </c>
      <c r="B430" s="1556" t="s">
        <v>2001</v>
      </c>
      <c r="C430" s="1556" t="s">
        <v>605</v>
      </c>
      <c r="D430" s="1556" t="n">
        <v>50029</v>
      </c>
      <c r="E430" s="1556" t="n">
        <v>50029</v>
      </c>
      <c r="F430" s="1557" t="s">
        <v>1707</v>
      </c>
      <c r="G430" s="1558" t="n">
        <v>1</v>
      </c>
      <c r="H430" s="1556" t="s">
        <v>1523</v>
      </c>
      <c r="I430" s="1556" t="n">
        <v>9020066</v>
      </c>
      <c r="K430" s="2" t="s">
        <v>2199</v>
      </c>
      <c r="L430" s="2" t="s">
        <v>1523</v>
      </c>
    </row>
    <row r="431" customFormat="false" ht="14.25" hidden="false" customHeight="false" outlineLevel="0" collapsed="false">
      <c r="A431" s="1556" t="n">
        <v>50</v>
      </c>
      <c r="B431" s="1556" t="s">
        <v>1561</v>
      </c>
      <c r="C431" s="1556" t="s">
        <v>605</v>
      </c>
      <c r="D431" s="1556" t="n">
        <v>50030</v>
      </c>
      <c r="E431" s="1556" t="n">
        <v>50030</v>
      </c>
      <c r="F431" s="1557" t="s">
        <v>1714</v>
      </c>
      <c r="G431" s="1558" t="n">
        <v>1</v>
      </c>
      <c r="H431" s="1556" t="s">
        <v>1523</v>
      </c>
      <c r="I431" s="1556" t="n">
        <v>9020066</v>
      </c>
      <c r="K431" s="2" t="s">
        <v>1798</v>
      </c>
      <c r="L431" s="2" t="s">
        <v>1523</v>
      </c>
    </row>
    <row r="432" customFormat="false" ht="14.25" hidden="false" customHeight="false" outlineLevel="0" collapsed="false">
      <c r="A432" s="1556" t="n">
        <v>50</v>
      </c>
      <c r="B432" s="1556" t="s">
        <v>2003</v>
      </c>
      <c r="C432" s="1556" t="s">
        <v>605</v>
      </c>
      <c r="D432" s="1556" t="n">
        <v>50031</v>
      </c>
      <c r="E432" s="1556" t="n">
        <v>50031</v>
      </c>
      <c r="F432" s="1557" t="s">
        <v>1719</v>
      </c>
      <c r="G432" s="1558" t="n">
        <v>1</v>
      </c>
      <c r="H432" s="1556" t="s">
        <v>1523</v>
      </c>
      <c r="I432" s="1556" t="n">
        <v>9020066</v>
      </c>
      <c r="K432" s="2" t="s">
        <v>2388</v>
      </c>
      <c r="L432" s="2" t="s">
        <v>1523</v>
      </c>
    </row>
    <row r="433" customFormat="false" ht="14.25" hidden="false" customHeight="false" outlineLevel="0" collapsed="false">
      <c r="A433" s="1556" t="n">
        <v>50</v>
      </c>
      <c r="B433" s="1556" t="s">
        <v>1564</v>
      </c>
      <c r="C433" s="1556" t="s">
        <v>605</v>
      </c>
      <c r="D433" s="1556" t="n">
        <v>50032</v>
      </c>
      <c r="E433" s="1556" t="n">
        <v>50032</v>
      </c>
      <c r="F433" s="1557" t="s">
        <v>1722</v>
      </c>
      <c r="G433" s="1558" t="n">
        <v>1</v>
      </c>
      <c r="H433" s="1556" t="s">
        <v>1523</v>
      </c>
      <c r="I433" s="1556" t="n">
        <v>9020066</v>
      </c>
      <c r="K433" s="2" t="s">
        <v>1801</v>
      </c>
      <c r="L433" s="2" t="s">
        <v>872</v>
      </c>
    </row>
    <row r="434" customFormat="false" ht="14.25" hidden="false" customHeight="false" outlineLevel="0" collapsed="false">
      <c r="A434" s="1556" t="n">
        <v>50</v>
      </c>
      <c r="B434" s="1556" t="s">
        <v>2005</v>
      </c>
      <c r="C434" s="1556" t="s">
        <v>605</v>
      </c>
      <c r="D434" s="1556" t="n">
        <v>50033</v>
      </c>
      <c r="E434" s="1556" t="n">
        <v>50033</v>
      </c>
      <c r="F434" s="1557" t="s">
        <v>1728</v>
      </c>
      <c r="G434" s="1558" t="n">
        <v>2</v>
      </c>
      <c r="H434" s="1556" t="s">
        <v>872</v>
      </c>
      <c r="I434" s="1556" t="n">
        <v>9020067</v>
      </c>
      <c r="K434" s="2" t="s">
        <v>2389</v>
      </c>
      <c r="L434" s="2" t="s">
        <v>1523</v>
      </c>
    </row>
    <row r="435" customFormat="false" ht="14.25" hidden="false" customHeight="false" outlineLevel="0" collapsed="false">
      <c r="A435" s="1556" t="n">
        <v>50</v>
      </c>
      <c r="B435" s="1556" t="s">
        <v>1566</v>
      </c>
      <c r="C435" s="1556" t="s">
        <v>605</v>
      </c>
      <c r="D435" s="1556" t="n">
        <v>50034</v>
      </c>
      <c r="E435" s="1556" t="n">
        <v>50034</v>
      </c>
      <c r="F435" s="1557" t="s">
        <v>1745</v>
      </c>
      <c r="G435" s="1558" t="n">
        <v>2</v>
      </c>
      <c r="H435" s="1556" t="s">
        <v>872</v>
      </c>
      <c r="I435" s="1556" t="n">
        <v>9020067</v>
      </c>
      <c r="K435" s="2" t="s">
        <v>2390</v>
      </c>
      <c r="L435" s="2" t="s">
        <v>1523</v>
      </c>
    </row>
    <row r="436" customFormat="false" ht="14.25" hidden="false" customHeight="false" outlineLevel="0" collapsed="false">
      <c r="A436" s="1556" t="n">
        <v>50</v>
      </c>
      <c r="B436" s="1556" t="s">
        <v>1569</v>
      </c>
      <c r="C436" s="1556" t="s">
        <v>605</v>
      </c>
      <c r="D436" s="1556" t="n">
        <v>50035</v>
      </c>
      <c r="E436" s="1556" t="n">
        <v>50035</v>
      </c>
      <c r="F436" s="1557" t="s">
        <v>1748</v>
      </c>
      <c r="G436" s="1558" t="n">
        <v>1</v>
      </c>
      <c r="H436" s="1556" t="s">
        <v>1523</v>
      </c>
      <c r="I436" s="1556" t="n">
        <v>9020066</v>
      </c>
      <c r="K436" s="2" t="s">
        <v>2391</v>
      </c>
      <c r="L436" s="2" t="s">
        <v>1523</v>
      </c>
    </row>
    <row r="437" customFormat="false" ht="14.25" hidden="false" customHeight="false" outlineLevel="0" collapsed="false">
      <c r="A437" s="1556" t="n">
        <v>50</v>
      </c>
      <c r="B437" s="1556" t="s">
        <v>2007</v>
      </c>
      <c r="C437" s="1556" t="s">
        <v>605</v>
      </c>
      <c r="D437" s="1556" t="n">
        <v>50036</v>
      </c>
      <c r="E437" s="1556" t="n">
        <v>50036</v>
      </c>
      <c r="F437" s="1557" t="s">
        <v>1751</v>
      </c>
      <c r="G437" s="1558" t="n">
        <v>2</v>
      </c>
      <c r="H437" s="1556" t="s">
        <v>872</v>
      </c>
      <c r="I437" s="1556" t="n">
        <v>9020067</v>
      </c>
      <c r="K437" s="2" t="s">
        <v>2202</v>
      </c>
      <c r="L437" s="2" t="s">
        <v>1523</v>
      </c>
    </row>
    <row r="438" customFormat="false" ht="14.25" hidden="false" customHeight="false" outlineLevel="0" collapsed="false">
      <c r="A438" s="1556" t="n">
        <v>50</v>
      </c>
      <c r="B438" s="1556" t="s">
        <v>2008</v>
      </c>
      <c r="C438" s="1556" t="s">
        <v>605</v>
      </c>
      <c r="D438" s="1556" t="n">
        <v>50037</v>
      </c>
      <c r="E438" s="1556" t="n">
        <v>50037</v>
      </c>
      <c r="F438" s="1557" t="s">
        <v>1754</v>
      </c>
      <c r="G438" s="1558" t="n">
        <v>1</v>
      </c>
      <c r="H438" s="1556" t="s">
        <v>1523</v>
      </c>
      <c r="I438" s="1556" t="n">
        <v>9020066</v>
      </c>
      <c r="K438" s="2" t="s">
        <v>2204</v>
      </c>
      <c r="L438" s="2" t="s">
        <v>1523</v>
      </c>
    </row>
    <row r="439" customFormat="false" ht="14.25" hidden="false" customHeight="false" outlineLevel="0" collapsed="false">
      <c r="A439" s="1556" t="n">
        <v>50</v>
      </c>
      <c r="B439" s="1556" t="s">
        <v>1652</v>
      </c>
      <c r="C439" s="1556" t="s">
        <v>605</v>
      </c>
      <c r="D439" s="1556" t="n">
        <v>50038</v>
      </c>
      <c r="E439" s="1556" t="n">
        <v>50038</v>
      </c>
      <c r="F439" s="1557" t="s">
        <v>1757</v>
      </c>
      <c r="G439" s="1558" t="n">
        <v>1</v>
      </c>
      <c r="H439" s="1556" t="s">
        <v>1523</v>
      </c>
      <c r="I439" s="1556" t="n">
        <v>9020066</v>
      </c>
      <c r="K439" s="2" t="s">
        <v>2392</v>
      </c>
      <c r="L439" s="2" t="s">
        <v>1523</v>
      </c>
    </row>
    <row r="440" customFormat="false" ht="14.25" hidden="false" customHeight="false" outlineLevel="0" collapsed="false">
      <c r="A440" s="1556" t="n">
        <v>50</v>
      </c>
      <c r="B440" s="1556" t="s">
        <v>1572</v>
      </c>
      <c r="C440" s="1556" t="s">
        <v>605</v>
      </c>
      <c r="D440" s="1556" t="n">
        <v>50039</v>
      </c>
      <c r="E440" s="1556" t="n">
        <v>50039</v>
      </c>
      <c r="F440" s="1557" t="s">
        <v>1771</v>
      </c>
      <c r="G440" s="1558" t="n">
        <v>2</v>
      </c>
      <c r="H440" s="1556" t="s">
        <v>872</v>
      </c>
      <c r="I440" s="1556" t="n">
        <v>9020067</v>
      </c>
      <c r="K440" s="2" t="s">
        <v>1803</v>
      </c>
      <c r="L440" s="2" t="s">
        <v>1523</v>
      </c>
    </row>
    <row r="441" customFormat="false" ht="14.25" hidden="false" customHeight="false" outlineLevel="0" collapsed="false">
      <c r="A441" s="1556" t="n">
        <v>50</v>
      </c>
      <c r="B441" s="1556" t="s">
        <v>2012</v>
      </c>
      <c r="C441" s="1556" t="s">
        <v>605</v>
      </c>
      <c r="D441" s="1556" t="n">
        <v>50040</v>
      </c>
      <c r="E441" s="1556" t="n">
        <v>50040</v>
      </c>
      <c r="F441" s="1557" t="s">
        <v>1777</v>
      </c>
      <c r="G441" s="1558" t="n">
        <v>2</v>
      </c>
      <c r="H441" s="1556" t="s">
        <v>872</v>
      </c>
      <c r="I441" s="1556" t="n">
        <v>9020067</v>
      </c>
      <c r="K441" s="2" t="s">
        <v>2205</v>
      </c>
      <c r="L441" s="2" t="s">
        <v>1523</v>
      </c>
    </row>
    <row r="442" customFormat="false" ht="14.25" hidden="false" customHeight="false" outlineLevel="0" collapsed="false">
      <c r="A442" s="1556" t="n">
        <v>50</v>
      </c>
      <c r="B442" s="1556" t="s">
        <v>2014</v>
      </c>
      <c r="C442" s="1556" t="s">
        <v>605</v>
      </c>
      <c r="D442" s="1556" t="n">
        <v>50041</v>
      </c>
      <c r="E442" s="1556" t="n">
        <v>50041</v>
      </c>
      <c r="F442" s="1557" t="s">
        <v>1785</v>
      </c>
      <c r="G442" s="1558" t="n">
        <v>1</v>
      </c>
      <c r="H442" s="1556" t="s">
        <v>1523</v>
      </c>
      <c r="I442" s="1556" t="n">
        <v>9020066</v>
      </c>
      <c r="K442" s="2" t="s">
        <v>2207</v>
      </c>
      <c r="L442" s="2" t="s">
        <v>1523</v>
      </c>
    </row>
    <row r="443" customFormat="false" ht="14.25" hidden="false" customHeight="false" outlineLevel="0" collapsed="false">
      <c r="A443" s="1556" t="n">
        <v>50</v>
      </c>
      <c r="B443" s="1556" t="s">
        <v>2016</v>
      </c>
      <c r="C443" s="1556" t="s">
        <v>605</v>
      </c>
      <c r="D443" s="1556" t="n">
        <v>50042</v>
      </c>
      <c r="E443" s="1556" t="n">
        <v>50042</v>
      </c>
      <c r="F443" s="1557" t="s">
        <v>1790</v>
      </c>
      <c r="G443" s="1558" t="n">
        <v>1</v>
      </c>
      <c r="H443" s="1556" t="s">
        <v>1523</v>
      </c>
      <c r="I443" s="1556" t="n">
        <v>9020066</v>
      </c>
      <c r="K443" s="2" t="s">
        <v>2393</v>
      </c>
      <c r="L443" s="2" t="s">
        <v>1523</v>
      </c>
    </row>
    <row r="444" customFormat="false" ht="14.25" hidden="false" customHeight="false" outlineLevel="0" collapsed="false">
      <c r="A444" s="1556" t="n">
        <v>50</v>
      </c>
      <c r="B444" s="1556" t="s">
        <v>2018</v>
      </c>
      <c r="C444" s="1556" t="s">
        <v>605</v>
      </c>
      <c r="D444" s="1556" t="n">
        <v>50043</v>
      </c>
      <c r="E444" s="1556" t="n">
        <v>50043</v>
      </c>
      <c r="F444" s="1557" t="s">
        <v>1804</v>
      </c>
      <c r="G444" s="1558" t="n">
        <v>2</v>
      </c>
      <c r="H444" s="1556" t="s">
        <v>872</v>
      </c>
      <c r="I444" s="1556" t="n">
        <v>9020067</v>
      </c>
      <c r="K444" s="2" t="s">
        <v>1806</v>
      </c>
      <c r="L444" s="2" t="s">
        <v>1523</v>
      </c>
    </row>
    <row r="445" customFormat="false" ht="14.25" hidden="false" customHeight="false" outlineLevel="0" collapsed="false">
      <c r="A445" s="1556" t="n">
        <v>50</v>
      </c>
      <c r="B445" s="1556" t="s">
        <v>1575</v>
      </c>
      <c r="C445" s="1556" t="s">
        <v>605</v>
      </c>
      <c r="D445" s="1556" t="n">
        <v>50044</v>
      </c>
      <c r="E445" s="1556" t="n">
        <v>50044</v>
      </c>
      <c r="F445" s="1557" t="s">
        <v>1811</v>
      </c>
      <c r="G445" s="1558" t="n">
        <v>2</v>
      </c>
      <c r="H445" s="1556" t="s">
        <v>872</v>
      </c>
      <c r="I445" s="1556" t="n">
        <v>9020067</v>
      </c>
      <c r="K445" s="2" t="s">
        <v>2394</v>
      </c>
      <c r="L445" s="2" t="s">
        <v>1550</v>
      </c>
    </row>
    <row r="446" customFormat="false" ht="14.25" hidden="false" customHeight="false" outlineLevel="0" collapsed="false">
      <c r="A446" s="1556" t="n">
        <v>50</v>
      </c>
      <c r="B446" s="1556" t="s">
        <v>1578</v>
      </c>
      <c r="C446" s="1556" t="s">
        <v>605</v>
      </c>
      <c r="D446" s="1556" t="n">
        <v>50045</v>
      </c>
      <c r="E446" s="1556" t="n">
        <v>50045</v>
      </c>
      <c r="F446" s="1557" t="s">
        <v>1823</v>
      </c>
      <c r="G446" s="1558" t="n">
        <v>2</v>
      </c>
      <c r="H446" s="1556" t="s">
        <v>872</v>
      </c>
      <c r="I446" s="1556" t="n">
        <v>9020067</v>
      </c>
      <c r="K446" s="2" t="s">
        <v>2395</v>
      </c>
      <c r="L446" s="2" t="s">
        <v>1523</v>
      </c>
    </row>
    <row r="447" customFormat="false" ht="14.25" hidden="false" customHeight="false" outlineLevel="0" collapsed="false">
      <c r="A447" s="1556" t="n">
        <v>50</v>
      </c>
      <c r="B447" s="1556" t="s">
        <v>1581</v>
      </c>
      <c r="C447" s="1556" t="s">
        <v>605</v>
      </c>
      <c r="D447" s="1556" t="n">
        <v>50046</v>
      </c>
      <c r="E447" s="1556" t="n">
        <v>50046</v>
      </c>
      <c r="F447" s="1557" t="s">
        <v>1829</v>
      </c>
      <c r="G447" s="1558" t="n">
        <v>1</v>
      </c>
      <c r="H447" s="1556" t="s">
        <v>1523</v>
      </c>
      <c r="I447" s="1556" t="n">
        <v>9020066</v>
      </c>
      <c r="K447" s="2" t="s">
        <v>2210</v>
      </c>
      <c r="L447" s="2" t="s">
        <v>1523</v>
      </c>
    </row>
    <row r="448" customFormat="false" ht="14.25" hidden="false" customHeight="false" outlineLevel="0" collapsed="false">
      <c r="A448" s="1556" t="n">
        <v>50</v>
      </c>
      <c r="B448" s="1556" t="s">
        <v>2021</v>
      </c>
      <c r="C448" s="1556" t="s">
        <v>605</v>
      </c>
      <c r="D448" s="1556" t="n">
        <v>50047</v>
      </c>
      <c r="E448" s="1556" t="n">
        <v>50047</v>
      </c>
      <c r="F448" s="1557" t="s">
        <v>1841</v>
      </c>
      <c r="G448" s="1558" t="n">
        <v>1</v>
      </c>
      <c r="H448" s="1556" t="s">
        <v>1523</v>
      </c>
      <c r="I448" s="1556" t="n">
        <v>9020066</v>
      </c>
      <c r="K448" s="2" t="s">
        <v>2396</v>
      </c>
      <c r="L448" s="2" t="s">
        <v>872</v>
      </c>
    </row>
    <row r="449" customFormat="false" ht="14.25" hidden="false" customHeight="false" outlineLevel="0" collapsed="false">
      <c r="A449" s="1556" t="n">
        <v>50</v>
      </c>
      <c r="B449" s="1556" t="s">
        <v>2023</v>
      </c>
      <c r="C449" s="1556" t="s">
        <v>605</v>
      </c>
      <c r="D449" s="1556" t="n">
        <v>50048</v>
      </c>
      <c r="E449" s="1556" t="n">
        <v>50048</v>
      </c>
      <c r="F449" s="1557" t="s">
        <v>1847</v>
      </c>
      <c r="G449" s="1558" t="n">
        <v>1</v>
      </c>
      <c r="H449" s="1556" t="s">
        <v>1523</v>
      </c>
      <c r="I449" s="1556" t="n">
        <v>9020066</v>
      </c>
      <c r="K449" s="2" t="s">
        <v>2397</v>
      </c>
      <c r="L449" s="2" t="s">
        <v>872</v>
      </c>
    </row>
    <row r="450" customFormat="false" ht="14.25" hidden="false" customHeight="false" outlineLevel="0" collapsed="false">
      <c r="A450" s="1556" t="n">
        <v>50</v>
      </c>
      <c r="B450" s="1556" t="s">
        <v>1583</v>
      </c>
      <c r="C450" s="1556" t="s">
        <v>605</v>
      </c>
      <c r="D450" s="1556" t="n">
        <v>50049</v>
      </c>
      <c r="E450" s="1556" t="n">
        <v>50901</v>
      </c>
      <c r="F450" s="1557" t="s">
        <v>1853</v>
      </c>
      <c r="G450" s="1558" t="n">
        <v>1</v>
      </c>
      <c r="H450" s="1556" t="s">
        <v>1523</v>
      </c>
      <c r="I450" s="1556" t="n">
        <v>9020066</v>
      </c>
      <c r="K450" s="2" t="s">
        <v>1808</v>
      </c>
      <c r="L450" s="2" t="s">
        <v>872</v>
      </c>
    </row>
    <row r="451" customFormat="false" ht="14.25" hidden="false" customHeight="false" outlineLevel="0" collapsed="false">
      <c r="A451" s="1556" t="n">
        <v>50</v>
      </c>
      <c r="B451" s="1556" t="s">
        <v>1586</v>
      </c>
      <c r="C451" s="1556" t="s">
        <v>605</v>
      </c>
      <c r="D451" s="1556" t="n">
        <v>50050</v>
      </c>
      <c r="E451" s="1556" t="n">
        <v>50050</v>
      </c>
      <c r="F451" s="1557" t="s">
        <v>1862</v>
      </c>
      <c r="G451" s="1558" t="n">
        <v>1</v>
      </c>
      <c r="H451" s="1556" t="s">
        <v>1523</v>
      </c>
      <c r="I451" s="1556" t="n">
        <v>9020066</v>
      </c>
      <c r="K451" s="2" t="s">
        <v>2211</v>
      </c>
      <c r="L451" s="2" t="s">
        <v>1523</v>
      </c>
    </row>
    <row r="452" customFormat="false" ht="14.25" hidden="false" customHeight="false" outlineLevel="0" collapsed="false">
      <c r="A452" s="1556" t="n">
        <v>50</v>
      </c>
      <c r="B452" s="1556" t="s">
        <v>1589</v>
      </c>
      <c r="C452" s="1556" t="s">
        <v>605</v>
      </c>
      <c r="D452" s="1556" t="n">
        <v>50051</v>
      </c>
      <c r="E452" s="1556" t="n">
        <v>50051</v>
      </c>
      <c r="F452" s="1557" t="s">
        <v>1865</v>
      </c>
      <c r="G452" s="1558" t="n">
        <v>2</v>
      </c>
      <c r="H452" s="1556" t="s">
        <v>872</v>
      </c>
      <c r="I452" s="1556" t="n">
        <v>9020067</v>
      </c>
      <c r="K452" s="2" t="s">
        <v>1810</v>
      </c>
      <c r="L452" s="2" t="s">
        <v>1523</v>
      </c>
    </row>
    <row r="453" customFormat="false" ht="14.25" hidden="false" customHeight="false" outlineLevel="0" collapsed="false">
      <c r="A453" s="1556" t="n">
        <v>50</v>
      </c>
      <c r="B453" s="1556" t="s">
        <v>1592</v>
      </c>
      <c r="C453" s="1556" t="s">
        <v>605</v>
      </c>
      <c r="D453" s="1556" t="n">
        <v>50052</v>
      </c>
      <c r="E453" s="1556" t="n">
        <v>50052</v>
      </c>
      <c r="F453" s="1557" t="s">
        <v>1872</v>
      </c>
      <c r="G453" s="1558" t="n">
        <v>2</v>
      </c>
      <c r="H453" s="1556" t="s">
        <v>872</v>
      </c>
      <c r="I453" s="1556" t="n">
        <v>9020067</v>
      </c>
      <c r="K453" s="2" t="s">
        <v>2213</v>
      </c>
      <c r="L453" s="2" t="s">
        <v>1523</v>
      </c>
    </row>
    <row r="454" customFormat="false" ht="14.25" hidden="false" customHeight="false" outlineLevel="0" collapsed="false">
      <c r="A454" s="1556" t="n">
        <v>50</v>
      </c>
      <c r="B454" s="1556" t="s">
        <v>1597</v>
      </c>
      <c r="C454" s="1556" t="s">
        <v>605</v>
      </c>
      <c r="D454" s="1556" t="n">
        <v>50054</v>
      </c>
      <c r="E454" s="1556" t="n">
        <v>50054</v>
      </c>
      <c r="F454" s="1557" t="s">
        <v>1889</v>
      </c>
      <c r="G454" s="1558" t="n">
        <v>2</v>
      </c>
      <c r="H454" s="1556" t="s">
        <v>872</v>
      </c>
      <c r="I454" s="1556" t="n">
        <v>9020067</v>
      </c>
      <c r="K454" s="2" t="s">
        <v>2214</v>
      </c>
      <c r="L454" s="2" t="s">
        <v>1523</v>
      </c>
    </row>
    <row r="455" customFormat="false" ht="14.25" hidden="false" customHeight="false" outlineLevel="0" collapsed="false">
      <c r="A455" s="1556" t="n">
        <v>50</v>
      </c>
      <c r="B455" s="1556" t="s">
        <v>1600</v>
      </c>
      <c r="C455" s="1556" t="s">
        <v>605</v>
      </c>
      <c r="D455" s="1556" t="n">
        <v>50055</v>
      </c>
      <c r="E455" s="1556" t="n">
        <v>50055</v>
      </c>
      <c r="F455" s="1557" t="s">
        <v>1895</v>
      </c>
      <c r="G455" s="1558" t="n">
        <v>2</v>
      </c>
      <c r="H455" s="1556" t="s">
        <v>872</v>
      </c>
      <c r="I455" s="1556" t="n">
        <v>9020067</v>
      </c>
      <c r="K455" s="2" t="s">
        <v>2217</v>
      </c>
      <c r="L455" s="2" t="s">
        <v>1523</v>
      </c>
    </row>
    <row r="456" customFormat="false" ht="14.25" hidden="false" customHeight="false" outlineLevel="0" collapsed="false">
      <c r="A456" s="1556" t="n">
        <v>50</v>
      </c>
      <c r="B456" s="1556" t="s">
        <v>1603</v>
      </c>
      <c r="C456" s="1556" t="s">
        <v>605</v>
      </c>
      <c r="D456" s="1556" t="n">
        <v>50056</v>
      </c>
      <c r="E456" s="1556" t="n">
        <v>50056</v>
      </c>
      <c r="F456" s="1557" t="s">
        <v>1898</v>
      </c>
      <c r="G456" s="1558" t="n">
        <v>2</v>
      </c>
      <c r="H456" s="1556" t="s">
        <v>872</v>
      </c>
      <c r="I456" s="1556" t="n">
        <v>9020067</v>
      </c>
      <c r="K456" s="2" t="s">
        <v>1813</v>
      </c>
      <c r="L456" s="2" t="s">
        <v>872</v>
      </c>
    </row>
    <row r="457" customFormat="false" ht="14.25" hidden="false" customHeight="false" outlineLevel="0" collapsed="false">
      <c r="A457" s="1556" t="n">
        <v>50</v>
      </c>
      <c r="B457" s="1556" t="s">
        <v>2398</v>
      </c>
      <c r="C457" s="1556" t="s">
        <v>605</v>
      </c>
      <c r="D457" s="1556" t="n">
        <v>50057</v>
      </c>
      <c r="E457" s="1556" t="n">
        <v>50057</v>
      </c>
      <c r="F457" s="1557" t="s">
        <v>1901</v>
      </c>
      <c r="G457" s="1558" t="n">
        <v>1</v>
      </c>
      <c r="H457" s="1556" t="s">
        <v>1523</v>
      </c>
      <c r="I457" s="1556" t="n">
        <v>9020066</v>
      </c>
      <c r="K457" s="2" t="s">
        <v>1816</v>
      </c>
      <c r="L457" s="2" t="s">
        <v>1523</v>
      </c>
    </row>
    <row r="458" customFormat="false" ht="14.25" hidden="false" customHeight="false" outlineLevel="0" collapsed="false">
      <c r="A458" s="1556" t="n">
        <v>50</v>
      </c>
      <c r="B458" s="1556" t="s">
        <v>2399</v>
      </c>
      <c r="C458" s="1556" t="s">
        <v>605</v>
      </c>
      <c r="D458" s="1556" t="n">
        <v>50058</v>
      </c>
      <c r="E458" s="1556" t="n">
        <v>50058</v>
      </c>
      <c r="F458" s="1557" t="s">
        <v>1909</v>
      </c>
      <c r="G458" s="1558" t="n">
        <v>1</v>
      </c>
      <c r="H458" s="1556" t="s">
        <v>1523</v>
      </c>
      <c r="I458" s="1556" t="n">
        <v>9020066</v>
      </c>
      <c r="K458" s="2" t="s">
        <v>1819</v>
      </c>
      <c r="L458" s="2" t="s">
        <v>872</v>
      </c>
    </row>
    <row r="459" customFormat="false" ht="14.25" hidden="false" customHeight="false" outlineLevel="0" collapsed="false">
      <c r="A459" s="1556" t="n">
        <v>50</v>
      </c>
      <c r="B459" s="1556" t="s">
        <v>1605</v>
      </c>
      <c r="C459" s="1556" t="s">
        <v>605</v>
      </c>
      <c r="D459" s="1556" t="n">
        <v>50059</v>
      </c>
      <c r="E459" s="1556" t="n">
        <v>50059</v>
      </c>
      <c r="F459" s="1557" t="s">
        <v>1915</v>
      </c>
      <c r="G459" s="1558" t="n">
        <v>2</v>
      </c>
      <c r="H459" s="1556" t="s">
        <v>872</v>
      </c>
      <c r="I459" s="1556" t="n">
        <v>9020067</v>
      </c>
      <c r="K459" s="2" t="s">
        <v>1822</v>
      </c>
      <c r="L459" s="2" t="s">
        <v>1523</v>
      </c>
    </row>
    <row r="460" customFormat="false" ht="14.25" hidden="false" customHeight="false" outlineLevel="0" collapsed="false">
      <c r="A460" s="1556" t="n">
        <v>50</v>
      </c>
      <c r="B460" s="1556" t="s">
        <v>2033</v>
      </c>
      <c r="C460" s="1556" t="s">
        <v>605</v>
      </c>
      <c r="D460" s="1556" t="n">
        <v>50060</v>
      </c>
      <c r="E460" s="1556" t="n">
        <v>50060</v>
      </c>
      <c r="F460" s="1557" t="s">
        <v>1918</v>
      </c>
      <c r="G460" s="1558" t="n">
        <v>2</v>
      </c>
      <c r="H460" s="1556" t="s">
        <v>872</v>
      </c>
      <c r="I460" s="1556" t="n">
        <v>9020067</v>
      </c>
      <c r="K460" s="2" t="s">
        <v>2400</v>
      </c>
      <c r="L460" s="2" t="s">
        <v>872</v>
      </c>
    </row>
    <row r="461" customFormat="false" ht="14.25" hidden="false" customHeight="false" outlineLevel="0" collapsed="false">
      <c r="A461" s="1556" t="n">
        <v>50</v>
      </c>
      <c r="B461" s="1556" t="s">
        <v>1608</v>
      </c>
      <c r="C461" s="1556" t="s">
        <v>605</v>
      </c>
      <c r="D461" s="1556" t="n">
        <v>50061</v>
      </c>
      <c r="E461" s="1556" t="n">
        <v>50061</v>
      </c>
      <c r="F461" s="1557" t="s">
        <v>1924</v>
      </c>
      <c r="G461" s="1558" t="n">
        <v>2</v>
      </c>
      <c r="H461" s="1556" t="s">
        <v>872</v>
      </c>
      <c r="I461" s="1556" t="n">
        <v>9020067</v>
      </c>
      <c r="K461" s="2" t="s">
        <v>1825</v>
      </c>
      <c r="L461" s="2" t="s">
        <v>872</v>
      </c>
    </row>
    <row r="462" customFormat="false" ht="14.25" hidden="false" customHeight="false" outlineLevel="0" collapsed="false">
      <c r="A462" s="1556" t="n">
        <v>50</v>
      </c>
      <c r="B462" s="1556" t="s">
        <v>2038</v>
      </c>
      <c r="C462" s="1556" t="s">
        <v>605</v>
      </c>
      <c r="D462" s="1556" t="n">
        <v>50063</v>
      </c>
      <c r="E462" s="1556" t="n">
        <v>50063</v>
      </c>
      <c r="F462" s="1557" t="s">
        <v>1927</v>
      </c>
      <c r="G462" s="1558" t="n">
        <v>2</v>
      </c>
      <c r="H462" s="1556" t="s">
        <v>872</v>
      </c>
      <c r="I462" s="1556" t="n">
        <v>9020067</v>
      </c>
      <c r="K462" s="2" t="s">
        <v>2401</v>
      </c>
      <c r="L462" s="2" t="s">
        <v>872</v>
      </c>
    </row>
    <row r="463" customFormat="false" ht="14.25" hidden="false" customHeight="false" outlineLevel="0" collapsed="false">
      <c r="A463" s="1556" t="n">
        <v>50</v>
      </c>
      <c r="B463" s="1556" t="s">
        <v>1613</v>
      </c>
      <c r="C463" s="1556" t="s">
        <v>605</v>
      </c>
      <c r="D463" s="1556" t="n">
        <v>50065</v>
      </c>
      <c r="E463" s="1556" t="n">
        <v>50065</v>
      </c>
      <c r="F463" s="1557" t="s">
        <v>1930</v>
      </c>
      <c r="G463" s="1558" t="n">
        <v>2</v>
      </c>
      <c r="H463" s="1556" t="s">
        <v>872</v>
      </c>
      <c r="I463" s="1556" t="n">
        <v>9020067</v>
      </c>
      <c r="K463" s="2" t="s">
        <v>2402</v>
      </c>
      <c r="L463" s="2" t="s">
        <v>872</v>
      </c>
    </row>
    <row r="464" customFormat="false" ht="14.25" hidden="false" customHeight="false" outlineLevel="0" collapsed="false">
      <c r="A464" s="1556" t="n">
        <v>50</v>
      </c>
      <c r="B464" s="1556" t="s">
        <v>2042</v>
      </c>
      <c r="C464" s="1556" t="s">
        <v>605</v>
      </c>
      <c r="D464" s="1556" t="n">
        <v>50066</v>
      </c>
      <c r="E464" s="1556" t="n">
        <v>50066</v>
      </c>
      <c r="F464" s="1557" t="s">
        <v>1936</v>
      </c>
      <c r="G464" s="1558" t="n">
        <v>2</v>
      </c>
      <c r="H464" s="1556" t="s">
        <v>872</v>
      </c>
      <c r="I464" s="1556" t="n">
        <v>9020067</v>
      </c>
      <c r="K464" s="2" t="s">
        <v>2403</v>
      </c>
      <c r="L464" s="2" t="s">
        <v>1523</v>
      </c>
    </row>
    <row r="465" customFormat="false" ht="14.25" hidden="false" customHeight="false" outlineLevel="0" collapsed="false">
      <c r="A465" s="1556" t="n">
        <v>50</v>
      </c>
      <c r="B465" s="1556" t="s">
        <v>2047</v>
      </c>
      <c r="C465" s="1556" t="s">
        <v>605</v>
      </c>
      <c r="D465" s="1556" t="n">
        <v>50067</v>
      </c>
      <c r="E465" s="1556" t="n">
        <v>50067</v>
      </c>
      <c r="F465" s="1557" t="s">
        <v>1948</v>
      </c>
      <c r="G465" s="1558" t="n">
        <v>1</v>
      </c>
      <c r="H465" s="1556" t="s">
        <v>1523</v>
      </c>
      <c r="I465" s="1556" t="n">
        <v>9020066</v>
      </c>
      <c r="K465" s="2" t="s">
        <v>1828</v>
      </c>
      <c r="L465" s="2" t="s">
        <v>872</v>
      </c>
    </row>
    <row r="466" customFormat="false" ht="14.25" hidden="false" customHeight="false" outlineLevel="0" collapsed="false">
      <c r="A466" s="1556" t="n">
        <v>50</v>
      </c>
      <c r="B466" s="1556" t="s">
        <v>1615</v>
      </c>
      <c r="C466" s="1556" t="s">
        <v>605</v>
      </c>
      <c r="D466" s="1556" t="n">
        <v>50068</v>
      </c>
      <c r="E466" s="1556" t="n">
        <v>50068</v>
      </c>
      <c r="F466" s="1557" t="s">
        <v>1951</v>
      </c>
      <c r="G466" s="1558" t="n">
        <v>2</v>
      </c>
      <c r="H466" s="1556" t="s">
        <v>872</v>
      </c>
      <c r="I466" s="1556" t="n">
        <v>9020067</v>
      </c>
      <c r="K466" s="2" t="s">
        <v>2219</v>
      </c>
      <c r="L466" s="2" t="s">
        <v>1523</v>
      </c>
    </row>
    <row r="467" customFormat="false" ht="14.25" hidden="false" customHeight="false" outlineLevel="0" collapsed="false">
      <c r="A467" s="1556" t="n">
        <v>50</v>
      </c>
      <c r="B467" s="1556" t="s">
        <v>1618</v>
      </c>
      <c r="C467" s="1556" t="s">
        <v>605</v>
      </c>
      <c r="D467" s="1556" t="n">
        <v>50069</v>
      </c>
      <c r="E467" s="1556" t="n">
        <v>50069</v>
      </c>
      <c r="F467" s="1557" t="s">
        <v>1954</v>
      </c>
      <c r="G467" s="1558" t="n">
        <v>1</v>
      </c>
      <c r="H467" s="1556" t="s">
        <v>1523</v>
      </c>
      <c r="I467" s="1556" t="n">
        <v>9020066</v>
      </c>
      <c r="K467" s="2" t="s">
        <v>1831</v>
      </c>
      <c r="L467" s="2" t="s">
        <v>1523</v>
      </c>
    </row>
    <row r="468" customFormat="false" ht="14.25" hidden="false" customHeight="false" outlineLevel="0" collapsed="false">
      <c r="A468" s="1556" t="n">
        <v>50</v>
      </c>
      <c r="B468" s="1556" t="s">
        <v>2044</v>
      </c>
      <c r="C468" s="1556" t="s">
        <v>605</v>
      </c>
      <c r="D468" s="1556" t="n">
        <v>50070</v>
      </c>
      <c r="E468" s="1556" t="n">
        <v>50070</v>
      </c>
      <c r="F468" s="1557" t="s">
        <v>1959</v>
      </c>
      <c r="G468" s="1558" t="n">
        <v>1</v>
      </c>
      <c r="H468" s="1556" t="s">
        <v>1523</v>
      </c>
      <c r="I468" s="1556" t="n">
        <v>9020066</v>
      </c>
      <c r="K468" s="2" t="s">
        <v>2404</v>
      </c>
      <c r="L468" s="2" t="s">
        <v>872</v>
      </c>
    </row>
    <row r="469" customFormat="false" ht="14.25" hidden="false" customHeight="false" outlineLevel="0" collapsed="false">
      <c r="A469" s="1556" t="n">
        <v>50</v>
      </c>
      <c r="B469" s="1556" t="s">
        <v>1946</v>
      </c>
      <c r="C469" s="1556" t="s">
        <v>605</v>
      </c>
      <c r="D469" s="1556" t="n">
        <v>50071</v>
      </c>
      <c r="E469" s="1556" t="n">
        <v>50071</v>
      </c>
      <c r="F469" s="1557" t="s">
        <v>1972</v>
      </c>
      <c r="G469" s="1558" t="n">
        <v>1</v>
      </c>
      <c r="H469" s="1556" t="s">
        <v>1523</v>
      </c>
      <c r="I469" s="1556" t="n">
        <v>9020066</v>
      </c>
      <c r="K469" s="2" t="s">
        <v>2405</v>
      </c>
      <c r="L469" s="2" t="s">
        <v>872</v>
      </c>
    </row>
    <row r="470" customFormat="false" ht="14.25" hidden="false" customHeight="false" outlineLevel="0" collapsed="false">
      <c r="A470" s="1556" t="n">
        <v>50</v>
      </c>
      <c r="B470" s="1556" t="s">
        <v>1621</v>
      </c>
      <c r="C470" s="1556" t="s">
        <v>605</v>
      </c>
      <c r="D470" s="1556" t="n">
        <v>50072</v>
      </c>
      <c r="E470" s="1556" t="n">
        <v>50072</v>
      </c>
      <c r="F470" s="1557" t="s">
        <v>1984</v>
      </c>
      <c r="G470" s="1558" t="n">
        <v>1</v>
      </c>
      <c r="H470" s="1556" t="s">
        <v>1523</v>
      </c>
      <c r="I470" s="1556" t="n">
        <v>9020066</v>
      </c>
      <c r="K470" s="2" t="s">
        <v>2406</v>
      </c>
      <c r="L470" s="2" t="s">
        <v>872</v>
      </c>
    </row>
    <row r="471" customFormat="false" ht="14.25" hidden="false" customHeight="false" outlineLevel="0" collapsed="false">
      <c r="A471" s="1556" t="n">
        <v>50</v>
      </c>
      <c r="B471" s="1556" t="s">
        <v>1661</v>
      </c>
      <c r="C471" s="1556" t="s">
        <v>605</v>
      </c>
      <c r="D471" s="1556" t="n">
        <v>50073</v>
      </c>
      <c r="E471" s="1556" t="n">
        <v>50073</v>
      </c>
      <c r="F471" s="1557" t="s">
        <v>1986</v>
      </c>
      <c r="G471" s="1558" t="n">
        <v>2</v>
      </c>
      <c r="H471" s="1556" t="s">
        <v>872</v>
      </c>
      <c r="I471" s="1556" t="n">
        <v>9020067</v>
      </c>
      <c r="K471" s="2" t="s">
        <v>2221</v>
      </c>
      <c r="L471" s="2" t="s">
        <v>872</v>
      </c>
    </row>
    <row r="472" customFormat="false" ht="14.25" hidden="false" customHeight="false" outlineLevel="0" collapsed="false">
      <c r="A472" s="1556" t="n">
        <v>50</v>
      </c>
      <c r="B472" s="1556" t="s">
        <v>2050</v>
      </c>
      <c r="C472" s="1556" t="s">
        <v>605</v>
      </c>
      <c r="D472" s="1556" t="n">
        <v>50074</v>
      </c>
      <c r="E472" s="1556" t="n">
        <v>50074</v>
      </c>
      <c r="F472" s="1557" t="s">
        <v>1990</v>
      </c>
      <c r="G472" s="1558" t="n">
        <v>2</v>
      </c>
      <c r="H472" s="1556" t="s">
        <v>872</v>
      </c>
      <c r="I472" s="1556" t="n">
        <v>9020067</v>
      </c>
      <c r="K472" s="2" t="s">
        <v>2222</v>
      </c>
      <c r="L472" s="2" t="s">
        <v>1523</v>
      </c>
    </row>
    <row r="473" customFormat="false" ht="14.25" hidden="false" customHeight="false" outlineLevel="0" collapsed="false">
      <c r="A473" s="1556" t="n">
        <v>50</v>
      </c>
      <c r="B473" s="1556" t="s">
        <v>2052</v>
      </c>
      <c r="C473" s="1556" t="s">
        <v>605</v>
      </c>
      <c r="D473" s="1556" t="n">
        <v>50075</v>
      </c>
      <c r="E473" s="1556" t="n">
        <v>50075</v>
      </c>
      <c r="F473" s="1557" t="s">
        <v>1991</v>
      </c>
      <c r="G473" s="1558" t="n">
        <v>1</v>
      </c>
      <c r="H473" s="1556" t="s">
        <v>1523</v>
      </c>
      <c r="I473" s="1556" t="n">
        <v>9020066</v>
      </c>
      <c r="K473" s="2" t="s">
        <v>2407</v>
      </c>
      <c r="L473" s="2" t="s">
        <v>1523</v>
      </c>
    </row>
    <row r="474" customFormat="false" ht="14.25" hidden="false" customHeight="false" outlineLevel="0" collapsed="false">
      <c r="A474" s="1556" t="n">
        <v>50</v>
      </c>
      <c r="B474" s="1556" t="s">
        <v>2054</v>
      </c>
      <c r="C474" s="1556" t="s">
        <v>605</v>
      </c>
      <c r="D474" s="1556" t="n">
        <v>50076</v>
      </c>
      <c r="E474" s="1556" t="n">
        <v>50076</v>
      </c>
      <c r="F474" s="1557" t="s">
        <v>1993</v>
      </c>
      <c r="G474" s="1558" t="n">
        <v>1</v>
      </c>
      <c r="H474" s="1556" t="s">
        <v>1523</v>
      </c>
      <c r="I474" s="1556" t="n">
        <v>9020066</v>
      </c>
      <c r="K474" s="2" t="s">
        <v>2223</v>
      </c>
      <c r="L474" s="2" t="s">
        <v>1523</v>
      </c>
    </row>
    <row r="475" customFormat="false" ht="14.25" hidden="false" customHeight="false" outlineLevel="0" collapsed="false">
      <c r="A475" s="1556" t="n">
        <v>50</v>
      </c>
      <c r="B475" s="1556" t="s">
        <v>2056</v>
      </c>
      <c r="C475" s="1556" t="s">
        <v>605</v>
      </c>
      <c r="D475" s="1556" t="n">
        <v>50077</v>
      </c>
      <c r="E475" s="1556" t="n">
        <v>50077</v>
      </c>
      <c r="F475" s="1557" t="s">
        <v>1996</v>
      </c>
      <c r="G475" s="1558" t="n">
        <v>2</v>
      </c>
      <c r="H475" s="1556" t="s">
        <v>872</v>
      </c>
      <c r="I475" s="1556" t="n">
        <v>9020067</v>
      </c>
      <c r="K475" s="2" t="s">
        <v>1834</v>
      </c>
      <c r="L475" s="2" t="s">
        <v>872</v>
      </c>
    </row>
    <row r="476" customFormat="false" ht="14.25" hidden="false" customHeight="false" outlineLevel="0" collapsed="false">
      <c r="A476" s="1556" t="n">
        <v>50</v>
      </c>
      <c r="B476" s="1556" t="s">
        <v>2408</v>
      </c>
      <c r="C476" s="1556" t="s">
        <v>605</v>
      </c>
      <c r="D476" s="1556" t="n">
        <v>50078</v>
      </c>
      <c r="E476" s="1556" t="n">
        <v>50078</v>
      </c>
      <c r="F476" s="1557" t="s">
        <v>2006</v>
      </c>
      <c r="G476" s="1558" t="n">
        <v>2</v>
      </c>
      <c r="H476" s="1556" t="s">
        <v>872</v>
      </c>
      <c r="I476" s="1556" t="n">
        <v>9020067</v>
      </c>
      <c r="K476" s="2" t="s">
        <v>2225</v>
      </c>
      <c r="L476" s="2" t="s">
        <v>1523</v>
      </c>
    </row>
    <row r="477" customFormat="false" ht="14.25" hidden="false" customHeight="false" outlineLevel="0" collapsed="false">
      <c r="A477" s="1556" t="n">
        <v>50</v>
      </c>
      <c r="B477" s="1556" t="s">
        <v>1624</v>
      </c>
      <c r="C477" s="1556" t="s">
        <v>605</v>
      </c>
      <c r="D477" s="1556" t="n">
        <v>50079</v>
      </c>
      <c r="E477" s="1556" t="n">
        <v>50079</v>
      </c>
      <c r="F477" s="1557" t="s">
        <v>2015</v>
      </c>
      <c r="G477" s="1558" t="n">
        <v>3</v>
      </c>
      <c r="H477" s="1556" t="s">
        <v>1550</v>
      </c>
      <c r="I477" s="1556" t="n">
        <v>9020068</v>
      </c>
      <c r="K477" s="2" t="s">
        <v>2409</v>
      </c>
      <c r="L477" s="2" t="s">
        <v>872</v>
      </c>
    </row>
    <row r="478" customFormat="false" ht="14.25" hidden="false" customHeight="false" outlineLevel="0" collapsed="false">
      <c r="A478" s="1556" t="n">
        <v>50</v>
      </c>
      <c r="B478" s="1556" t="s">
        <v>1626</v>
      </c>
      <c r="C478" s="1556" t="s">
        <v>605</v>
      </c>
      <c r="D478" s="1556" t="n">
        <v>50080</v>
      </c>
      <c r="E478" s="1556" t="n">
        <v>50080</v>
      </c>
      <c r="F478" s="1557" t="s">
        <v>2017</v>
      </c>
      <c r="G478" s="1558" t="n">
        <v>1</v>
      </c>
      <c r="H478" s="1556" t="s">
        <v>1523</v>
      </c>
      <c r="I478" s="1556" t="n">
        <v>9020066</v>
      </c>
      <c r="K478" s="2" t="s">
        <v>2227</v>
      </c>
      <c r="L478" s="2" t="s">
        <v>1523</v>
      </c>
    </row>
    <row r="479" customFormat="false" ht="14.25" hidden="false" customHeight="false" outlineLevel="0" collapsed="false">
      <c r="A479" s="1556" t="n">
        <v>50</v>
      </c>
      <c r="B479" s="1556" t="s">
        <v>1629</v>
      </c>
      <c r="C479" s="1556" t="s">
        <v>605</v>
      </c>
      <c r="D479" s="1556" t="n">
        <v>50081</v>
      </c>
      <c r="E479" s="1556" t="n">
        <v>50081</v>
      </c>
      <c r="F479" s="1557" t="s">
        <v>2019</v>
      </c>
      <c r="G479" s="1558" t="n">
        <v>2</v>
      </c>
      <c r="H479" s="1556" t="s">
        <v>872</v>
      </c>
      <c r="I479" s="1556" t="n">
        <v>9020067</v>
      </c>
      <c r="K479" s="2" t="s">
        <v>2410</v>
      </c>
      <c r="L479" s="2" t="s">
        <v>872</v>
      </c>
    </row>
    <row r="480" customFormat="false" ht="14.25" hidden="false" customHeight="false" outlineLevel="0" collapsed="false">
      <c r="A480" s="1556" t="n">
        <v>50</v>
      </c>
      <c r="B480" s="1556" t="s">
        <v>1646</v>
      </c>
      <c r="C480" s="1556" t="s">
        <v>605</v>
      </c>
      <c r="D480" s="1556" t="n">
        <v>50092</v>
      </c>
      <c r="E480" s="1556" t="n">
        <v>50092</v>
      </c>
      <c r="F480" s="1557" t="s">
        <v>2020</v>
      </c>
      <c r="G480" s="1558" t="n">
        <v>2</v>
      </c>
      <c r="H480" s="1556" t="s">
        <v>872</v>
      </c>
      <c r="I480" s="1556" t="n">
        <v>9020067</v>
      </c>
      <c r="K480" s="2" t="s">
        <v>2411</v>
      </c>
      <c r="L480" s="2" t="s">
        <v>872</v>
      </c>
    </row>
    <row r="481" customFormat="false" ht="14.25" hidden="false" customHeight="false" outlineLevel="0" collapsed="false">
      <c r="A481" s="1556" t="n">
        <v>50</v>
      </c>
      <c r="B481" s="1556" t="s">
        <v>2412</v>
      </c>
      <c r="C481" s="1556" t="s">
        <v>605</v>
      </c>
      <c r="D481" s="1556" t="n">
        <v>50093</v>
      </c>
      <c r="E481" s="1556" t="n">
        <v>50093</v>
      </c>
      <c r="F481" s="1557" t="s">
        <v>2022</v>
      </c>
      <c r="G481" s="1558" t="n">
        <v>1</v>
      </c>
      <c r="H481" s="1556" t="s">
        <v>1523</v>
      </c>
      <c r="I481" s="1556" t="n">
        <v>9020066</v>
      </c>
      <c r="K481" s="2" t="s">
        <v>2413</v>
      </c>
      <c r="L481" s="2" t="s">
        <v>872</v>
      </c>
    </row>
    <row r="482" customFormat="false" ht="14.25" hidden="false" customHeight="false" outlineLevel="0" collapsed="false">
      <c r="A482" s="1556" t="n">
        <v>50</v>
      </c>
      <c r="B482" s="1556" t="s">
        <v>2414</v>
      </c>
      <c r="C482" s="1556" t="s">
        <v>605</v>
      </c>
      <c r="D482" s="1556" t="n">
        <v>50082</v>
      </c>
      <c r="E482" s="1556" t="n">
        <v>50082</v>
      </c>
      <c r="F482" s="1557" t="s">
        <v>2024</v>
      </c>
      <c r="G482" s="1558" t="n">
        <v>1</v>
      </c>
      <c r="H482" s="1556" t="s">
        <v>1523</v>
      </c>
      <c r="I482" s="1556" t="n">
        <v>9020066</v>
      </c>
      <c r="K482" s="2" t="s">
        <v>2415</v>
      </c>
      <c r="L482" s="2" t="s">
        <v>872</v>
      </c>
    </row>
    <row r="483" customFormat="false" ht="14.25" hidden="false" customHeight="false" outlineLevel="0" collapsed="false">
      <c r="A483" s="1556" t="n">
        <v>50</v>
      </c>
      <c r="B483" s="1556" t="s">
        <v>2416</v>
      </c>
      <c r="C483" s="1556" t="s">
        <v>605</v>
      </c>
      <c r="D483" s="1556" t="n">
        <v>50083</v>
      </c>
      <c r="E483" s="1556" t="n">
        <v>50083</v>
      </c>
      <c r="F483" s="1557" t="s">
        <v>2025</v>
      </c>
      <c r="G483" s="1558" t="n">
        <v>2</v>
      </c>
      <c r="H483" s="1556" t="s">
        <v>872</v>
      </c>
      <c r="I483" s="1556" t="n">
        <v>9020067</v>
      </c>
      <c r="K483" s="2" t="s">
        <v>1836</v>
      </c>
      <c r="L483" s="2" t="s">
        <v>1523</v>
      </c>
    </row>
    <row r="484" customFormat="false" ht="14.25" hidden="false" customHeight="false" outlineLevel="0" collapsed="false">
      <c r="A484" s="1556" t="n">
        <v>50</v>
      </c>
      <c r="B484" s="1556" t="s">
        <v>2059</v>
      </c>
      <c r="C484" s="1556" t="s">
        <v>605</v>
      </c>
      <c r="D484" s="1556" t="n">
        <v>50084</v>
      </c>
      <c r="E484" s="1556" t="n">
        <v>50084</v>
      </c>
      <c r="F484" s="1557" t="s">
        <v>2026</v>
      </c>
      <c r="G484" s="1558" t="n">
        <v>1</v>
      </c>
      <c r="H484" s="1556" t="s">
        <v>1523</v>
      </c>
      <c r="I484" s="1556" t="n">
        <v>9020066</v>
      </c>
      <c r="K484" s="2" t="s">
        <v>2230</v>
      </c>
      <c r="L484" s="2" t="s">
        <v>872</v>
      </c>
    </row>
    <row r="485" customFormat="false" ht="14.25" hidden="false" customHeight="false" outlineLevel="0" collapsed="false">
      <c r="A485" s="1556" t="n">
        <v>50</v>
      </c>
      <c r="B485" s="1556" t="s">
        <v>1631</v>
      </c>
      <c r="C485" s="1556" t="s">
        <v>605</v>
      </c>
      <c r="D485" s="1556" t="n">
        <v>50085</v>
      </c>
      <c r="E485" s="1556" t="n">
        <v>50085</v>
      </c>
      <c r="F485" s="1557" t="s">
        <v>2027</v>
      </c>
      <c r="G485" s="1558" t="n">
        <v>2</v>
      </c>
      <c r="H485" s="1556" t="s">
        <v>872</v>
      </c>
      <c r="I485" s="1556" t="n">
        <v>9020067</v>
      </c>
      <c r="K485" s="2" t="s">
        <v>2233</v>
      </c>
      <c r="L485" s="2" t="s">
        <v>1523</v>
      </c>
    </row>
    <row r="486" customFormat="false" ht="14.25" hidden="false" customHeight="false" outlineLevel="0" collapsed="false">
      <c r="A486" s="1556" t="n">
        <v>50</v>
      </c>
      <c r="B486" s="1556" t="s">
        <v>1634</v>
      </c>
      <c r="C486" s="1556" t="s">
        <v>605</v>
      </c>
      <c r="D486" s="1556" t="n">
        <v>50086</v>
      </c>
      <c r="E486" s="1556" t="n">
        <v>50086</v>
      </c>
      <c r="F486" s="1557" t="s">
        <v>2029</v>
      </c>
      <c r="G486" s="1558" t="n">
        <v>1</v>
      </c>
      <c r="H486" s="1556" t="s">
        <v>1523</v>
      </c>
      <c r="I486" s="1556" t="n">
        <v>9020066</v>
      </c>
      <c r="K486" s="2" t="s">
        <v>2417</v>
      </c>
      <c r="L486" s="2" t="s">
        <v>872</v>
      </c>
    </row>
    <row r="487" customFormat="false" ht="14.25" hidden="false" customHeight="false" outlineLevel="0" collapsed="false">
      <c r="A487" s="1556" t="n">
        <v>50</v>
      </c>
      <c r="B487" s="1556" t="s">
        <v>1637</v>
      </c>
      <c r="C487" s="1556" t="s">
        <v>605</v>
      </c>
      <c r="D487" s="1556" t="n">
        <v>50087</v>
      </c>
      <c r="E487" s="1556" t="n">
        <v>50087</v>
      </c>
      <c r="F487" s="1557" t="s">
        <v>2030</v>
      </c>
      <c r="G487" s="1558" t="n">
        <v>2</v>
      </c>
      <c r="H487" s="1556" t="s">
        <v>872</v>
      </c>
      <c r="I487" s="1556" t="n">
        <v>9020067</v>
      </c>
      <c r="K487" s="2" t="s">
        <v>1838</v>
      </c>
      <c r="L487" s="2" t="s">
        <v>1523</v>
      </c>
    </row>
    <row r="488" customFormat="false" ht="14.25" hidden="false" customHeight="false" outlineLevel="0" collapsed="false">
      <c r="A488" s="1556" t="n">
        <v>50</v>
      </c>
      <c r="B488" s="1556" t="s">
        <v>1905</v>
      </c>
      <c r="C488" s="1556" t="s">
        <v>605</v>
      </c>
      <c r="D488" s="1556" t="n">
        <v>50088</v>
      </c>
      <c r="E488" s="1556" t="n">
        <v>50088</v>
      </c>
      <c r="F488" s="1557" t="s">
        <v>2035</v>
      </c>
      <c r="G488" s="1558" t="n">
        <v>1</v>
      </c>
      <c r="H488" s="1556" t="s">
        <v>1523</v>
      </c>
      <c r="I488" s="1556" t="n">
        <v>9020066</v>
      </c>
      <c r="K488" s="2" t="s">
        <v>1840</v>
      </c>
      <c r="L488" s="2" t="s">
        <v>1523</v>
      </c>
    </row>
    <row r="489" customFormat="false" ht="14.25" hidden="false" customHeight="false" outlineLevel="0" collapsed="false">
      <c r="A489" s="1556" t="n">
        <v>50</v>
      </c>
      <c r="B489" s="1556" t="s">
        <v>1640</v>
      </c>
      <c r="C489" s="1556" t="s">
        <v>605</v>
      </c>
      <c r="D489" s="1556" t="n">
        <v>50089</v>
      </c>
      <c r="E489" s="1556" t="n">
        <v>50089</v>
      </c>
      <c r="F489" s="1557" t="s">
        <v>2040</v>
      </c>
      <c r="G489" s="1558" t="n">
        <v>2</v>
      </c>
      <c r="H489" s="1556" t="s">
        <v>872</v>
      </c>
      <c r="I489" s="1556" t="n">
        <v>9020067</v>
      </c>
      <c r="K489" s="2" t="s">
        <v>1843</v>
      </c>
      <c r="L489" s="2" t="s">
        <v>1523</v>
      </c>
    </row>
    <row r="490" customFormat="false" ht="14.25" hidden="false" customHeight="false" outlineLevel="0" collapsed="false">
      <c r="A490" s="1556" t="n">
        <v>50</v>
      </c>
      <c r="B490" s="1556" t="s">
        <v>1643</v>
      </c>
      <c r="C490" s="1556" t="s">
        <v>605</v>
      </c>
      <c r="D490" s="1556" t="n">
        <v>50090</v>
      </c>
      <c r="E490" s="1556" t="n">
        <v>50090</v>
      </c>
      <c r="F490" s="1557" t="s">
        <v>2043</v>
      </c>
      <c r="G490" s="1558" t="n">
        <v>1</v>
      </c>
      <c r="H490" s="1556" t="s">
        <v>1523</v>
      </c>
      <c r="I490" s="1556" t="n">
        <v>9020066</v>
      </c>
      <c r="K490" s="2" t="s">
        <v>2236</v>
      </c>
      <c r="L490" s="2" t="s">
        <v>1523</v>
      </c>
    </row>
    <row r="491" customFormat="false" ht="14.25" hidden="false" customHeight="false" outlineLevel="0" collapsed="false">
      <c r="A491" s="1556" t="n">
        <v>50</v>
      </c>
      <c r="B491" s="1556" t="s">
        <v>2065</v>
      </c>
      <c r="C491" s="1556" t="s">
        <v>605</v>
      </c>
      <c r="D491" s="1556" t="n">
        <v>50091</v>
      </c>
      <c r="E491" s="1556" t="n">
        <v>50091</v>
      </c>
      <c r="F491" s="1557" t="s">
        <v>2048</v>
      </c>
      <c r="G491" s="1558" t="n">
        <v>1</v>
      </c>
      <c r="H491" s="1556" t="s">
        <v>1523</v>
      </c>
      <c r="I491" s="1556" t="n">
        <v>9020066</v>
      </c>
      <c r="K491" s="2" t="s">
        <v>1846</v>
      </c>
      <c r="L491" s="2" t="s">
        <v>1523</v>
      </c>
    </row>
    <row r="492" customFormat="false" ht="14.25" hidden="false" customHeight="false" outlineLevel="0" collapsed="false">
      <c r="A492" s="1556" t="n">
        <v>50</v>
      </c>
      <c r="B492" s="1556" t="s">
        <v>1649</v>
      </c>
      <c r="C492" s="1556" t="s">
        <v>605</v>
      </c>
      <c r="D492" s="1556" t="n">
        <v>50094</v>
      </c>
      <c r="E492" s="1556" t="n">
        <v>50094</v>
      </c>
      <c r="F492" s="1557" t="s">
        <v>2055</v>
      </c>
      <c r="G492" s="1558" t="n">
        <v>1</v>
      </c>
      <c r="H492" s="1556" t="s">
        <v>1523</v>
      </c>
      <c r="I492" s="1556" t="n">
        <v>9020066</v>
      </c>
      <c r="K492" s="2" t="s">
        <v>2418</v>
      </c>
      <c r="L492" s="2" t="s">
        <v>1523</v>
      </c>
    </row>
    <row r="493" customFormat="false" ht="14.25" hidden="false" customHeight="false" outlineLevel="0" collapsed="false">
      <c r="A493" s="1556" t="n">
        <v>50</v>
      </c>
      <c r="B493" s="1556" t="s">
        <v>2419</v>
      </c>
      <c r="C493" s="1556" t="s">
        <v>605</v>
      </c>
      <c r="D493" s="1556" t="n">
        <v>50096</v>
      </c>
      <c r="E493" s="1556" t="n">
        <v>50096</v>
      </c>
      <c r="F493" s="1557" t="s">
        <v>2058</v>
      </c>
      <c r="G493" s="1558" t="n">
        <v>1</v>
      </c>
      <c r="H493" s="1556" t="s">
        <v>1523</v>
      </c>
      <c r="I493" s="1556" t="n">
        <v>9020066</v>
      </c>
      <c r="K493" s="2" t="s">
        <v>1849</v>
      </c>
      <c r="L493" s="2" t="s">
        <v>872</v>
      </c>
    </row>
    <row r="494" customFormat="false" ht="14.25" hidden="false" customHeight="false" outlineLevel="0" collapsed="false">
      <c r="A494" s="1556" t="n">
        <v>50</v>
      </c>
      <c r="B494" s="1556" t="s">
        <v>2069</v>
      </c>
      <c r="C494" s="1556" t="s">
        <v>605</v>
      </c>
      <c r="D494" s="1556" t="n">
        <v>50098</v>
      </c>
      <c r="E494" s="1556" t="n">
        <v>50098</v>
      </c>
      <c r="F494" s="1557" t="s">
        <v>2060</v>
      </c>
      <c r="G494" s="1558" t="n">
        <v>1</v>
      </c>
      <c r="H494" s="1556" t="s">
        <v>1523</v>
      </c>
      <c r="I494" s="1556" t="n">
        <v>9020066</v>
      </c>
      <c r="K494" s="2" t="s">
        <v>2420</v>
      </c>
      <c r="L494" s="2" t="s">
        <v>872</v>
      </c>
    </row>
    <row r="495" customFormat="false" ht="14.25" hidden="false" customHeight="false" outlineLevel="0" collapsed="false">
      <c r="A495" s="1556" t="n">
        <v>50</v>
      </c>
      <c r="B495" s="1556" t="s">
        <v>2421</v>
      </c>
      <c r="C495" s="1556" t="s">
        <v>605</v>
      </c>
      <c r="D495" s="1556" t="n">
        <v>50099</v>
      </c>
      <c r="E495" s="1556" t="n">
        <v>50099</v>
      </c>
      <c r="F495" s="1557" t="s">
        <v>2061</v>
      </c>
      <c r="G495" s="1558" t="n">
        <v>2</v>
      </c>
      <c r="H495" s="1556" t="s">
        <v>872</v>
      </c>
      <c r="I495" s="1556" t="n">
        <v>9020067</v>
      </c>
      <c r="K495" s="2" t="s">
        <v>2237</v>
      </c>
      <c r="L495" s="2" t="s">
        <v>1523</v>
      </c>
    </row>
    <row r="496" customFormat="false" ht="14.25" hidden="false" customHeight="false" outlineLevel="0" collapsed="false">
      <c r="A496" s="1556" t="n">
        <v>50</v>
      </c>
      <c r="B496" s="1556" t="s">
        <v>2070</v>
      </c>
      <c r="C496" s="1556" t="s">
        <v>605</v>
      </c>
      <c r="D496" s="1556" t="n">
        <v>50101</v>
      </c>
      <c r="E496" s="1556" t="n">
        <v>50101</v>
      </c>
      <c r="F496" s="1557" t="s">
        <v>2062</v>
      </c>
      <c r="G496" s="1558" t="n">
        <v>2</v>
      </c>
      <c r="H496" s="1556" t="s">
        <v>872</v>
      </c>
      <c r="I496" s="1556" t="n">
        <v>9020067</v>
      </c>
      <c r="K496" s="2" t="s">
        <v>2422</v>
      </c>
      <c r="L496" s="2" t="s">
        <v>872</v>
      </c>
    </row>
    <row r="497" customFormat="false" ht="14.25" hidden="false" customHeight="false" outlineLevel="0" collapsed="false">
      <c r="A497" s="1556" t="n">
        <v>50</v>
      </c>
      <c r="B497" s="1556" t="s">
        <v>1658</v>
      </c>
      <c r="C497" s="1556" t="s">
        <v>605</v>
      </c>
      <c r="D497" s="1556" t="n">
        <v>50103</v>
      </c>
      <c r="E497" s="1556" t="n">
        <v>50102</v>
      </c>
      <c r="F497" s="1557" t="s">
        <v>2068</v>
      </c>
      <c r="G497" s="1558" t="n">
        <v>2</v>
      </c>
      <c r="H497" s="1556" t="s">
        <v>872</v>
      </c>
      <c r="I497" s="1556" t="n">
        <v>9020067</v>
      </c>
      <c r="K497" s="2" t="s">
        <v>2423</v>
      </c>
      <c r="L497" s="2" t="s">
        <v>872</v>
      </c>
    </row>
    <row r="498" customFormat="false" ht="14.25" hidden="false" customHeight="false" outlineLevel="0" collapsed="false">
      <c r="A498" s="1556" t="n">
        <v>50</v>
      </c>
      <c r="B498" s="1556" t="s">
        <v>1664</v>
      </c>
      <c r="C498" s="1556" t="s">
        <v>605</v>
      </c>
      <c r="D498" s="1556" t="n">
        <v>50105</v>
      </c>
      <c r="E498" s="1556" t="n">
        <v>50104</v>
      </c>
      <c r="F498" s="1557" t="s">
        <v>2071</v>
      </c>
      <c r="G498" s="1558" t="n">
        <v>2</v>
      </c>
      <c r="H498" s="1556" t="s">
        <v>872</v>
      </c>
      <c r="I498" s="1556" t="n">
        <v>9020067</v>
      </c>
      <c r="K498" s="2" t="s">
        <v>2424</v>
      </c>
      <c r="L498" s="2" t="s">
        <v>872</v>
      </c>
    </row>
    <row r="499" customFormat="false" ht="14.25" hidden="false" customHeight="false" outlineLevel="0" collapsed="false">
      <c r="A499" s="1556" t="n">
        <v>50</v>
      </c>
      <c r="B499" s="1556" t="s">
        <v>2075</v>
      </c>
      <c r="C499" s="1556" t="s">
        <v>605</v>
      </c>
      <c r="D499" s="1556" t="n">
        <v>50106</v>
      </c>
      <c r="E499" s="1556" t="n">
        <v>50105</v>
      </c>
      <c r="F499" s="1557" t="s">
        <v>2073</v>
      </c>
      <c r="G499" s="1558" t="n">
        <v>1</v>
      </c>
      <c r="H499" s="1556" t="s">
        <v>1523</v>
      </c>
      <c r="I499" s="1556" t="n">
        <v>9020066</v>
      </c>
      <c r="K499" s="2" t="s">
        <v>2239</v>
      </c>
      <c r="L499" s="2" t="s">
        <v>1523</v>
      </c>
    </row>
    <row r="500" customFormat="false" ht="14.25" hidden="false" customHeight="false" outlineLevel="0" collapsed="false">
      <c r="A500" s="1556" t="n">
        <v>50</v>
      </c>
      <c r="B500" s="1556" t="s">
        <v>1667</v>
      </c>
      <c r="C500" s="1556" t="s">
        <v>605</v>
      </c>
      <c r="D500" s="1556" t="n">
        <v>50107</v>
      </c>
      <c r="E500" s="1556" t="n">
        <v>50106</v>
      </c>
      <c r="F500" s="1557" t="s">
        <v>2074</v>
      </c>
      <c r="G500" s="1558" t="n">
        <v>1</v>
      </c>
      <c r="H500" s="1556" t="s">
        <v>1523</v>
      </c>
      <c r="I500" s="1556" t="n">
        <v>9020066</v>
      </c>
      <c r="K500" s="2" t="s">
        <v>2240</v>
      </c>
      <c r="L500" s="2" t="s">
        <v>1523</v>
      </c>
    </row>
    <row r="501" customFormat="false" ht="14.25" hidden="false" customHeight="false" outlineLevel="0" collapsed="false">
      <c r="A501" s="1556" t="n">
        <v>50</v>
      </c>
      <c r="B501" s="1556" t="s">
        <v>1670</v>
      </c>
      <c r="C501" s="1556" t="s">
        <v>605</v>
      </c>
      <c r="D501" s="1556" t="n">
        <v>50109</v>
      </c>
      <c r="E501" s="1556" t="n">
        <v>50108</v>
      </c>
      <c r="F501" s="1557" t="s">
        <v>2080</v>
      </c>
      <c r="G501" s="1558" t="n">
        <v>1</v>
      </c>
      <c r="H501" s="1556" t="s">
        <v>1523</v>
      </c>
      <c r="I501" s="1556" t="n">
        <v>9020066</v>
      </c>
      <c r="K501" s="2" t="s">
        <v>1852</v>
      </c>
      <c r="L501" s="2" t="s">
        <v>872</v>
      </c>
    </row>
    <row r="502" customFormat="false" ht="14.25" hidden="false" customHeight="false" outlineLevel="0" collapsed="false">
      <c r="A502" s="1556" t="n">
        <v>50</v>
      </c>
      <c r="B502" s="1556" t="s">
        <v>2081</v>
      </c>
      <c r="C502" s="1556" t="s">
        <v>605</v>
      </c>
      <c r="D502" s="1556" t="n">
        <v>50110</v>
      </c>
      <c r="E502" s="1556" t="n">
        <v>50109</v>
      </c>
      <c r="F502" s="1557" t="s">
        <v>2095</v>
      </c>
      <c r="G502" s="1558" t="n">
        <v>1</v>
      </c>
      <c r="H502" s="1556" t="s">
        <v>1523</v>
      </c>
      <c r="I502" s="1556" t="n">
        <v>9020066</v>
      </c>
      <c r="K502" s="2" t="s">
        <v>2242</v>
      </c>
      <c r="L502" s="2" t="s">
        <v>1523</v>
      </c>
    </row>
    <row r="503" customFormat="false" ht="14.25" hidden="false" customHeight="false" outlineLevel="0" collapsed="false">
      <c r="A503" s="1556" t="n">
        <v>50</v>
      </c>
      <c r="B503" s="1556" t="s">
        <v>2083</v>
      </c>
      <c r="C503" s="1556" t="s">
        <v>605</v>
      </c>
      <c r="D503" s="1556" t="n">
        <v>50111</v>
      </c>
      <c r="E503" s="1556" t="n">
        <v>50110</v>
      </c>
      <c r="F503" s="1557" t="s">
        <v>2098</v>
      </c>
      <c r="G503" s="1558" t="n">
        <v>1</v>
      </c>
      <c r="H503" s="1556" t="s">
        <v>1523</v>
      </c>
      <c r="I503" s="1556" t="n">
        <v>9020066</v>
      </c>
      <c r="K503" s="2" t="s">
        <v>2425</v>
      </c>
      <c r="L503" s="2" t="s">
        <v>872</v>
      </c>
    </row>
    <row r="504" customFormat="false" ht="14.25" hidden="false" customHeight="false" outlineLevel="0" collapsed="false">
      <c r="A504" s="1556" t="n">
        <v>50</v>
      </c>
      <c r="B504" s="1556" t="s">
        <v>2085</v>
      </c>
      <c r="C504" s="1556" t="s">
        <v>605</v>
      </c>
      <c r="D504" s="1556" t="n">
        <v>50112</v>
      </c>
      <c r="E504" s="1556" t="n">
        <v>50111</v>
      </c>
      <c r="F504" s="1557" t="s">
        <v>2100</v>
      </c>
      <c r="G504" s="1558" t="n">
        <v>2</v>
      </c>
      <c r="H504" s="1556" t="s">
        <v>872</v>
      </c>
      <c r="I504" s="1556" t="n">
        <v>9020067</v>
      </c>
      <c r="K504" s="2" t="s">
        <v>2244</v>
      </c>
      <c r="L504" s="2" t="s">
        <v>1523</v>
      </c>
    </row>
    <row r="505" customFormat="false" ht="14.25" hidden="false" customHeight="false" outlineLevel="0" collapsed="false">
      <c r="A505" s="1556" t="n">
        <v>50</v>
      </c>
      <c r="B505" s="1556" t="s">
        <v>2088</v>
      </c>
      <c r="C505" s="1556" t="s">
        <v>605</v>
      </c>
      <c r="D505" s="1556" t="n">
        <v>50114</v>
      </c>
      <c r="E505" s="1556" t="n">
        <v>50113</v>
      </c>
      <c r="F505" s="1557" t="s">
        <v>2105</v>
      </c>
      <c r="G505" s="1558" t="n">
        <v>2</v>
      </c>
      <c r="H505" s="1556" t="s">
        <v>872</v>
      </c>
      <c r="I505" s="1556" t="n">
        <v>9020067</v>
      </c>
      <c r="K505" s="2" t="s">
        <v>2247</v>
      </c>
      <c r="L505" s="2" t="s">
        <v>1523</v>
      </c>
    </row>
    <row r="506" customFormat="false" ht="14.25" hidden="false" customHeight="false" outlineLevel="0" collapsed="false">
      <c r="A506" s="1556" t="n">
        <v>50</v>
      </c>
      <c r="B506" s="1556" t="s">
        <v>1675</v>
      </c>
      <c r="C506" s="1556" t="s">
        <v>605</v>
      </c>
      <c r="D506" s="1556" t="n">
        <v>50115</v>
      </c>
      <c r="E506" s="1556" t="n">
        <v>50114</v>
      </c>
      <c r="F506" s="1557" t="s">
        <v>2108</v>
      </c>
      <c r="G506" s="1558" t="n">
        <v>2</v>
      </c>
      <c r="H506" s="1556" t="s">
        <v>872</v>
      </c>
      <c r="I506" s="1556" t="n">
        <v>9020067</v>
      </c>
      <c r="K506" s="2" t="s">
        <v>2250</v>
      </c>
      <c r="L506" s="2" t="s">
        <v>1523</v>
      </c>
    </row>
    <row r="507" customFormat="false" ht="14.25" hidden="false" customHeight="false" outlineLevel="0" collapsed="false">
      <c r="A507" s="1556" t="n">
        <v>50</v>
      </c>
      <c r="B507" s="1556" t="s">
        <v>2091</v>
      </c>
      <c r="C507" s="1556" t="s">
        <v>605</v>
      </c>
      <c r="D507" s="1556" t="n">
        <v>50116</v>
      </c>
      <c r="E507" s="1556" t="n">
        <v>50115</v>
      </c>
      <c r="F507" s="1557" t="s">
        <v>2117</v>
      </c>
      <c r="G507" s="1558" t="n">
        <v>2</v>
      </c>
      <c r="H507" s="1556" t="s">
        <v>872</v>
      </c>
      <c r="I507" s="1556" t="n">
        <v>9020067</v>
      </c>
      <c r="K507" s="2" t="s">
        <v>2252</v>
      </c>
      <c r="L507" s="2" t="s">
        <v>1523</v>
      </c>
    </row>
    <row r="508" customFormat="false" ht="14.25" hidden="false" customHeight="false" outlineLevel="0" collapsed="false">
      <c r="A508" s="1556" t="n">
        <v>50</v>
      </c>
      <c r="B508" s="1556" t="s">
        <v>1678</v>
      </c>
      <c r="C508" s="1556" t="s">
        <v>605</v>
      </c>
      <c r="D508" s="1556" t="n">
        <v>50117</v>
      </c>
      <c r="E508" s="1556" t="n">
        <v>50116</v>
      </c>
      <c r="F508" s="1557" t="s">
        <v>2120</v>
      </c>
      <c r="G508" s="1558" t="n">
        <v>1</v>
      </c>
      <c r="H508" s="1556" t="s">
        <v>1523</v>
      </c>
      <c r="I508" s="1556" t="n">
        <v>9020066</v>
      </c>
      <c r="K508" s="2" t="s">
        <v>2426</v>
      </c>
      <c r="L508" s="2" t="s">
        <v>872</v>
      </c>
    </row>
    <row r="509" customFormat="false" ht="14.25" hidden="false" customHeight="false" outlineLevel="0" collapsed="false">
      <c r="A509" s="1556" t="n">
        <v>50</v>
      </c>
      <c r="B509" s="1556" t="s">
        <v>1680</v>
      </c>
      <c r="C509" s="1556" t="s">
        <v>605</v>
      </c>
      <c r="D509" s="1556" t="n">
        <v>50118</v>
      </c>
      <c r="E509" s="1556" t="n">
        <v>50117</v>
      </c>
      <c r="F509" s="1557" t="s">
        <v>2127</v>
      </c>
      <c r="G509" s="1558" t="n">
        <v>1</v>
      </c>
      <c r="H509" s="1556" t="s">
        <v>1523</v>
      </c>
      <c r="I509" s="1556" t="n">
        <v>9020066</v>
      </c>
      <c r="K509" s="2" t="s">
        <v>2427</v>
      </c>
      <c r="L509" s="2" t="s">
        <v>1523</v>
      </c>
    </row>
    <row r="510" customFormat="false" ht="14.25" hidden="false" customHeight="false" outlineLevel="0" collapsed="false">
      <c r="A510" s="1556" t="n">
        <v>50</v>
      </c>
      <c r="B510" s="1556" t="s">
        <v>1683</v>
      </c>
      <c r="C510" s="1556" t="s">
        <v>605</v>
      </c>
      <c r="D510" s="1556" t="n">
        <v>50120</v>
      </c>
      <c r="E510" s="1556" t="n">
        <v>50119</v>
      </c>
      <c r="F510" s="1557" t="s">
        <v>2136</v>
      </c>
      <c r="G510" s="1558" t="n">
        <v>2</v>
      </c>
      <c r="H510" s="1556" t="s">
        <v>872</v>
      </c>
      <c r="I510" s="1556" t="n">
        <v>9020067</v>
      </c>
      <c r="K510" s="2" t="s">
        <v>2428</v>
      </c>
      <c r="L510" s="2" t="s">
        <v>1523</v>
      </c>
    </row>
    <row r="511" customFormat="false" ht="14.25" hidden="false" customHeight="false" outlineLevel="0" collapsed="false">
      <c r="A511" s="1556" t="n">
        <v>50</v>
      </c>
      <c r="B511" s="1556" t="s">
        <v>1686</v>
      </c>
      <c r="C511" s="1556" t="s">
        <v>605</v>
      </c>
      <c r="D511" s="1556" t="n">
        <v>50121</v>
      </c>
      <c r="E511" s="1556" t="n">
        <v>50120</v>
      </c>
      <c r="F511" s="1557" t="s">
        <v>2143</v>
      </c>
      <c r="G511" s="1558" t="n">
        <v>1</v>
      </c>
      <c r="H511" s="1556" t="s">
        <v>1523</v>
      </c>
      <c r="I511" s="1556" t="n">
        <v>9020066</v>
      </c>
      <c r="K511" s="2" t="s">
        <v>1855</v>
      </c>
      <c r="L511" s="2" t="s">
        <v>1523</v>
      </c>
    </row>
    <row r="512" customFormat="false" ht="14.25" hidden="false" customHeight="false" outlineLevel="0" collapsed="false">
      <c r="A512" s="1556" t="n">
        <v>50</v>
      </c>
      <c r="B512" s="1556" t="s">
        <v>2102</v>
      </c>
      <c r="C512" s="1556" t="s">
        <v>605</v>
      </c>
      <c r="D512" s="1556" t="n">
        <v>50122</v>
      </c>
      <c r="E512" s="1556" t="n">
        <v>50121</v>
      </c>
      <c r="F512" s="1557" t="s">
        <v>2145</v>
      </c>
      <c r="G512" s="1558" t="n">
        <v>1</v>
      </c>
      <c r="H512" s="1556" t="s">
        <v>1523</v>
      </c>
      <c r="I512" s="1556" t="n">
        <v>9020066</v>
      </c>
      <c r="K512" s="2" t="s">
        <v>1857</v>
      </c>
      <c r="L512" s="2" t="s">
        <v>1523</v>
      </c>
    </row>
    <row r="513" customFormat="false" ht="14.25" hidden="false" customHeight="false" outlineLevel="0" collapsed="false">
      <c r="A513" s="1556" t="n">
        <v>50</v>
      </c>
      <c r="B513" s="1556" t="s">
        <v>1694</v>
      </c>
      <c r="C513" s="1556" t="s">
        <v>605</v>
      </c>
      <c r="D513" s="1556" t="n">
        <v>50123</v>
      </c>
      <c r="E513" s="1556" t="n">
        <v>50122</v>
      </c>
      <c r="F513" s="1557" t="s">
        <v>2151</v>
      </c>
      <c r="G513" s="1558" t="n">
        <v>1</v>
      </c>
      <c r="H513" s="1556" t="s">
        <v>1523</v>
      </c>
      <c r="I513" s="1556" t="n">
        <v>9020066</v>
      </c>
      <c r="K513" s="2" t="s">
        <v>1859</v>
      </c>
      <c r="L513" s="2" t="s">
        <v>872</v>
      </c>
    </row>
    <row r="514" customFormat="false" ht="14.25" hidden="false" customHeight="false" outlineLevel="0" collapsed="false">
      <c r="A514" s="1556" t="n">
        <v>50</v>
      </c>
      <c r="B514" s="1556" t="s">
        <v>2429</v>
      </c>
      <c r="C514" s="1556" t="s">
        <v>605</v>
      </c>
      <c r="D514" s="1556" t="n">
        <v>50124</v>
      </c>
      <c r="E514" s="1556" t="n">
        <v>50123</v>
      </c>
      <c r="F514" s="1557" t="s">
        <v>2154</v>
      </c>
      <c r="G514" s="1558" t="n">
        <v>2</v>
      </c>
      <c r="H514" s="1556" t="s">
        <v>872</v>
      </c>
      <c r="I514" s="1556" t="n">
        <v>9020067</v>
      </c>
      <c r="K514" s="2" t="s">
        <v>1861</v>
      </c>
      <c r="L514" s="2" t="s">
        <v>872</v>
      </c>
    </row>
    <row r="515" customFormat="false" ht="14.25" hidden="false" customHeight="false" outlineLevel="0" collapsed="false">
      <c r="A515" s="1556" t="n">
        <v>50</v>
      </c>
      <c r="B515" s="1556" t="s">
        <v>2106</v>
      </c>
      <c r="C515" s="1556" t="s">
        <v>605</v>
      </c>
      <c r="D515" s="1556" t="n">
        <v>50125</v>
      </c>
      <c r="E515" s="1556" t="n">
        <v>50124</v>
      </c>
      <c r="F515" s="1557" t="s">
        <v>2159</v>
      </c>
      <c r="G515" s="1558" t="n">
        <v>1</v>
      </c>
      <c r="H515" s="1556" t="s">
        <v>1523</v>
      </c>
      <c r="I515" s="1556" t="n">
        <v>9020066</v>
      </c>
      <c r="K515" s="2" t="s">
        <v>2253</v>
      </c>
      <c r="L515" s="2" t="s">
        <v>1523</v>
      </c>
    </row>
    <row r="516" customFormat="false" ht="14.25" hidden="false" customHeight="false" outlineLevel="0" collapsed="false">
      <c r="A516" s="1556" t="n">
        <v>50</v>
      </c>
      <c r="B516" s="1556" t="s">
        <v>2109</v>
      </c>
      <c r="C516" s="1556" t="s">
        <v>605</v>
      </c>
      <c r="D516" s="1556" t="n">
        <v>50126</v>
      </c>
      <c r="E516" s="1556" t="n">
        <v>50125</v>
      </c>
      <c r="F516" s="1557" t="s">
        <v>2173</v>
      </c>
      <c r="G516" s="1558" t="n">
        <v>1</v>
      </c>
      <c r="H516" s="1556" t="s">
        <v>1523</v>
      </c>
      <c r="I516" s="1556" t="n">
        <v>9020066</v>
      </c>
      <c r="K516" s="2" t="s">
        <v>2256</v>
      </c>
      <c r="L516" s="2" t="s">
        <v>1523</v>
      </c>
    </row>
    <row r="517" customFormat="false" ht="14.25" hidden="false" customHeight="false" outlineLevel="0" collapsed="false">
      <c r="A517" s="1556" t="n">
        <v>50</v>
      </c>
      <c r="B517" s="1556" t="s">
        <v>2111</v>
      </c>
      <c r="C517" s="1556" t="s">
        <v>605</v>
      </c>
      <c r="D517" s="1556" t="n">
        <v>50127</v>
      </c>
      <c r="E517" s="1556" t="n">
        <v>50126</v>
      </c>
      <c r="F517" s="1557" t="s">
        <v>2179</v>
      </c>
      <c r="G517" s="1558" t="n">
        <v>1</v>
      </c>
      <c r="H517" s="1556" t="s">
        <v>1523</v>
      </c>
      <c r="I517" s="1556" t="n">
        <v>9020066</v>
      </c>
      <c r="K517" s="2" t="s">
        <v>1864</v>
      </c>
      <c r="L517" s="2" t="s">
        <v>872</v>
      </c>
    </row>
    <row r="518" customFormat="false" ht="14.25" hidden="false" customHeight="false" outlineLevel="0" collapsed="false">
      <c r="A518" s="1556" t="n">
        <v>50</v>
      </c>
      <c r="B518" s="1556" t="s">
        <v>2115</v>
      </c>
      <c r="C518" s="1556" t="s">
        <v>605</v>
      </c>
      <c r="D518" s="1556" t="n">
        <v>50129</v>
      </c>
      <c r="E518" s="1556" t="n">
        <v>50128</v>
      </c>
      <c r="F518" s="1557" t="s">
        <v>2183</v>
      </c>
      <c r="G518" s="1558" t="n">
        <v>1</v>
      </c>
      <c r="H518" s="1556" t="s">
        <v>1523</v>
      </c>
      <c r="I518" s="1556" t="n">
        <v>9020066</v>
      </c>
      <c r="K518" s="2" t="s">
        <v>2430</v>
      </c>
      <c r="L518" s="2" t="s">
        <v>872</v>
      </c>
    </row>
    <row r="519" customFormat="false" ht="14.25" hidden="false" customHeight="false" outlineLevel="0" collapsed="false">
      <c r="A519" s="1556" t="n">
        <v>50</v>
      </c>
      <c r="B519" s="1556" t="s">
        <v>2118</v>
      </c>
      <c r="C519" s="1556" t="s">
        <v>605</v>
      </c>
      <c r="D519" s="1556" t="n">
        <v>50130</v>
      </c>
      <c r="E519" s="1556" t="n">
        <v>50129</v>
      </c>
      <c r="F519" s="1557" t="s">
        <v>2189</v>
      </c>
      <c r="G519" s="1558" t="n">
        <v>1</v>
      </c>
      <c r="H519" s="1556" t="s">
        <v>1523</v>
      </c>
      <c r="I519" s="1556" t="n">
        <v>9020066</v>
      </c>
      <c r="K519" s="2" t="s">
        <v>1867</v>
      </c>
      <c r="L519" s="2" t="s">
        <v>1523</v>
      </c>
    </row>
    <row r="520" customFormat="false" ht="14.25" hidden="false" customHeight="false" outlineLevel="0" collapsed="false">
      <c r="A520" s="1556" t="n">
        <v>50</v>
      </c>
      <c r="B520" s="1556" t="s">
        <v>2121</v>
      </c>
      <c r="C520" s="1556" t="s">
        <v>605</v>
      </c>
      <c r="D520" s="1556" t="n">
        <v>50131</v>
      </c>
      <c r="E520" s="1556" t="n">
        <v>50130</v>
      </c>
      <c r="F520" s="1557" t="s">
        <v>2192</v>
      </c>
      <c r="G520" s="1558" t="n">
        <v>1</v>
      </c>
      <c r="H520" s="1556" t="s">
        <v>1523</v>
      </c>
      <c r="I520" s="1556" t="n">
        <v>9020066</v>
      </c>
      <c r="K520" s="2" t="s">
        <v>2431</v>
      </c>
      <c r="L520" s="2" t="s">
        <v>1523</v>
      </c>
    </row>
    <row r="521" customFormat="false" ht="14.25" hidden="false" customHeight="false" outlineLevel="0" collapsed="false">
      <c r="A521" s="1556" t="n">
        <v>50</v>
      </c>
      <c r="B521" s="1556" t="s">
        <v>2123</v>
      </c>
      <c r="C521" s="1556" t="s">
        <v>605</v>
      </c>
      <c r="D521" s="1556" t="n">
        <v>50132</v>
      </c>
      <c r="E521" s="1556" t="n">
        <v>50131</v>
      </c>
      <c r="F521" s="1557" t="s">
        <v>2200</v>
      </c>
      <c r="G521" s="1558" t="n">
        <v>1</v>
      </c>
      <c r="H521" s="1556" t="s">
        <v>1523</v>
      </c>
      <c r="I521" s="1556" t="n">
        <v>9020066</v>
      </c>
      <c r="K521" s="2" t="s">
        <v>2258</v>
      </c>
      <c r="L521" s="2" t="s">
        <v>872</v>
      </c>
    </row>
    <row r="522" customFormat="false" ht="14.25" hidden="false" customHeight="false" outlineLevel="0" collapsed="false">
      <c r="A522" s="1556" t="n">
        <v>50</v>
      </c>
      <c r="B522" s="1556" t="s">
        <v>1691</v>
      </c>
      <c r="C522" s="1556" t="s">
        <v>605</v>
      </c>
      <c r="D522" s="1556" t="n">
        <v>50134</v>
      </c>
      <c r="E522" s="1556" t="n">
        <v>50133</v>
      </c>
      <c r="F522" s="1557" t="s">
        <v>2208</v>
      </c>
      <c r="G522" s="1558" t="n">
        <v>2</v>
      </c>
      <c r="H522" s="1556" t="s">
        <v>872</v>
      </c>
      <c r="I522" s="1556" t="n">
        <v>9020067</v>
      </c>
      <c r="K522" s="2" t="s">
        <v>2432</v>
      </c>
      <c r="L522" s="2" t="s">
        <v>872</v>
      </c>
    </row>
    <row r="523" customFormat="false" ht="14.25" hidden="false" customHeight="false" outlineLevel="0" collapsed="false">
      <c r="A523" s="1556" t="n">
        <v>50</v>
      </c>
      <c r="B523" s="1556" t="s">
        <v>2128</v>
      </c>
      <c r="C523" s="1556" t="s">
        <v>605</v>
      </c>
      <c r="D523" s="1556" t="n">
        <v>50135</v>
      </c>
      <c r="E523" s="1556" t="n">
        <v>50134</v>
      </c>
      <c r="F523" s="1557" t="s">
        <v>2215</v>
      </c>
      <c r="G523" s="1558" t="n">
        <v>2</v>
      </c>
      <c r="H523" s="1556" t="s">
        <v>872</v>
      </c>
      <c r="I523" s="1556" t="n">
        <v>9020067</v>
      </c>
      <c r="K523" s="2" t="s">
        <v>2261</v>
      </c>
      <c r="L523" s="2" t="s">
        <v>1550</v>
      </c>
    </row>
    <row r="524" customFormat="false" ht="14.25" hidden="false" customHeight="false" outlineLevel="0" collapsed="false">
      <c r="A524" s="1556" t="n">
        <v>50</v>
      </c>
      <c r="B524" s="1556" t="s">
        <v>2130</v>
      </c>
      <c r="C524" s="1556" t="s">
        <v>605</v>
      </c>
      <c r="D524" s="1556" t="n">
        <v>50136</v>
      </c>
      <c r="E524" s="1556" t="n">
        <v>50135</v>
      </c>
      <c r="F524" s="1557" t="s">
        <v>2228</v>
      </c>
      <c r="G524" s="1558" t="n">
        <v>2</v>
      </c>
      <c r="H524" s="1556" t="s">
        <v>872</v>
      </c>
      <c r="I524" s="1556" t="n">
        <v>9020067</v>
      </c>
      <c r="K524" s="2" t="s">
        <v>1869</v>
      </c>
      <c r="L524" s="2" t="s">
        <v>872</v>
      </c>
    </row>
    <row r="525" customFormat="false" ht="14.25" hidden="false" customHeight="false" outlineLevel="0" collapsed="false">
      <c r="A525" s="1556" t="n">
        <v>50</v>
      </c>
      <c r="B525" s="1556" t="s">
        <v>2132</v>
      </c>
      <c r="C525" s="1556" t="s">
        <v>605</v>
      </c>
      <c r="D525" s="1556" t="n">
        <v>50137</v>
      </c>
      <c r="E525" s="1556" t="n">
        <v>50136</v>
      </c>
      <c r="F525" s="1557" t="s">
        <v>2231</v>
      </c>
      <c r="G525" s="1558" t="n">
        <v>2</v>
      </c>
      <c r="H525" s="1556" t="s">
        <v>872</v>
      </c>
      <c r="I525" s="1556" t="n">
        <v>9020067</v>
      </c>
      <c r="K525" s="2" t="s">
        <v>1871</v>
      </c>
      <c r="L525" s="2" t="s">
        <v>1523</v>
      </c>
    </row>
    <row r="526" customFormat="false" ht="14.25" hidden="false" customHeight="false" outlineLevel="0" collapsed="false">
      <c r="A526" s="1556" t="n">
        <v>50</v>
      </c>
      <c r="B526" s="1556" t="s">
        <v>2134</v>
      </c>
      <c r="C526" s="1556" t="s">
        <v>605</v>
      </c>
      <c r="D526" s="1556" t="n">
        <v>50139</v>
      </c>
      <c r="E526" s="1556" t="n">
        <v>50138</v>
      </c>
      <c r="F526" s="1557" t="s">
        <v>2234</v>
      </c>
      <c r="G526" s="1558" t="n">
        <v>2</v>
      </c>
      <c r="H526" s="1556" t="s">
        <v>872</v>
      </c>
      <c r="I526" s="1556" t="n">
        <v>9020067</v>
      </c>
      <c r="K526" s="2" t="s">
        <v>2433</v>
      </c>
      <c r="L526" s="2" t="s">
        <v>1523</v>
      </c>
    </row>
    <row r="527" customFormat="false" ht="14.25" hidden="false" customHeight="false" outlineLevel="0" collapsed="false">
      <c r="A527" s="1556" t="n">
        <v>50</v>
      </c>
      <c r="B527" s="1556" t="s">
        <v>2434</v>
      </c>
      <c r="C527" s="1556" t="s">
        <v>605</v>
      </c>
      <c r="D527" s="1556" t="n">
        <v>50138</v>
      </c>
      <c r="E527" s="1556" t="n">
        <v>50137</v>
      </c>
      <c r="F527" s="1557" t="s">
        <v>784</v>
      </c>
      <c r="G527" s="1558" t="n">
        <v>2</v>
      </c>
      <c r="H527" s="1556" t="s">
        <v>872</v>
      </c>
      <c r="I527" s="1556" t="n">
        <v>9020067</v>
      </c>
      <c r="K527" s="2" t="s">
        <v>2263</v>
      </c>
      <c r="L527" s="2" t="s">
        <v>1523</v>
      </c>
    </row>
    <row r="528" customFormat="false" ht="14.25" hidden="false" customHeight="false" outlineLevel="0" collapsed="false">
      <c r="A528" s="1556" t="n">
        <v>50</v>
      </c>
      <c r="B528" s="1556" t="s">
        <v>2137</v>
      </c>
      <c r="C528" s="1556" t="s">
        <v>605</v>
      </c>
      <c r="D528" s="1556" t="n">
        <v>50140</v>
      </c>
      <c r="E528" s="1556" t="n">
        <v>50139</v>
      </c>
      <c r="F528" s="1557" t="s">
        <v>2238</v>
      </c>
      <c r="G528" s="1558" t="n">
        <v>2</v>
      </c>
      <c r="H528" s="1556" t="s">
        <v>872</v>
      </c>
      <c r="I528" s="1556" t="n">
        <v>9020067</v>
      </c>
      <c r="K528" s="2" t="s">
        <v>2435</v>
      </c>
      <c r="L528" s="2" t="s">
        <v>872</v>
      </c>
    </row>
    <row r="529" customFormat="false" ht="14.25" hidden="false" customHeight="false" outlineLevel="0" collapsed="false">
      <c r="A529" s="1556" t="n">
        <v>50</v>
      </c>
      <c r="B529" s="1556" t="s">
        <v>2436</v>
      </c>
      <c r="C529" s="1556" t="s">
        <v>605</v>
      </c>
      <c r="D529" s="1556" t="n">
        <v>50141</v>
      </c>
      <c r="E529" s="1556" t="n">
        <v>50140</v>
      </c>
      <c r="F529" s="1557" t="s">
        <v>2245</v>
      </c>
      <c r="G529" s="1558" t="n">
        <v>1</v>
      </c>
      <c r="H529" s="1556" t="s">
        <v>1523</v>
      </c>
      <c r="I529" s="1556" t="n">
        <v>9020066</v>
      </c>
      <c r="K529" s="2" t="s">
        <v>1874</v>
      </c>
      <c r="L529" s="2" t="s">
        <v>1523</v>
      </c>
    </row>
    <row r="530" customFormat="false" ht="14.25" hidden="false" customHeight="false" outlineLevel="0" collapsed="false">
      <c r="A530" s="1556" t="n">
        <v>50</v>
      </c>
      <c r="B530" s="1556" t="s">
        <v>2139</v>
      </c>
      <c r="C530" s="1556" t="s">
        <v>605</v>
      </c>
      <c r="D530" s="1556" t="n">
        <v>50142</v>
      </c>
      <c r="E530" s="1556" t="n">
        <v>50141</v>
      </c>
      <c r="F530" s="1557" t="s">
        <v>2248</v>
      </c>
      <c r="G530" s="1558" t="n">
        <v>1</v>
      </c>
      <c r="H530" s="1556" t="s">
        <v>1523</v>
      </c>
      <c r="I530" s="1556" t="n">
        <v>9020066</v>
      </c>
      <c r="K530" s="2" t="s">
        <v>2437</v>
      </c>
      <c r="L530" s="2" t="s">
        <v>1523</v>
      </c>
    </row>
    <row r="531" customFormat="false" ht="14.25" hidden="false" customHeight="false" outlineLevel="0" collapsed="false">
      <c r="A531" s="1556" t="n">
        <v>50</v>
      </c>
      <c r="B531" s="1556" t="s">
        <v>2141</v>
      </c>
      <c r="C531" s="1556" t="s">
        <v>605</v>
      </c>
      <c r="D531" s="1556" t="n">
        <v>50143</v>
      </c>
      <c r="E531" s="1556" t="n">
        <v>50142</v>
      </c>
      <c r="F531" s="1557" t="s">
        <v>2254</v>
      </c>
      <c r="G531" s="1558" t="n">
        <v>1</v>
      </c>
      <c r="H531" s="1556" t="s">
        <v>1523</v>
      </c>
      <c r="I531" s="1556" t="n">
        <v>9020066</v>
      </c>
      <c r="K531" s="2" t="s">
        <v>1877</v>
      </c>
      <c r="L531" s="2" t="s">
        <v>1523</v>
      </c>
    </row>
    <row r="532" customFormat="false" ht="14.25" hidden="false" customHeight="false" outlineLevel="0" collapsed="false">
      <c r="A532" s="1556" t="n">
        <v>50</v>
      </c>
      <c r="B532" s="1556" t="s">
        <v>1697</v>
      </c>
      <c r="C532" s="1556" t="s">
        <v>605</v>
      </c>
      <c r="D532" s="1556" t="n">
        <v>50144</v>
      </c>
      <c r="E532" s="1556" t="n">
        <v>50143</v>
      </c>
      <c r="F532" s="1557" t="s">
        <v>2257</v>
      </c>
      <c r="G532" s="1558" t="n">
        <v>2</v>
      </c>
      <c r="H532" s="1556" t="s">
        <v>872</v>
      </c>
      <c r="I532" s="1556" t="n">
        <v>9020067</v>
      </c>
      <c r="K532" s="2" t="s">
        <v>2438</v>
      </c>
      <c r="L532" s="2" t="s">
        <v>1523</v>
      </c>
    </row>
    <row r="533" customFormat="false" ht="14.25" hidden="false" customHeight="false" outlineLevel="0" collapsed="false">
      <c r="A533" s="1556" t="n">
        <v>50</v>
      </c>
      <c r="B533" s="1556" t="s">
        <v>1700</v>
      </c>
      <c r="C533" s="1556" t="s">
        <v>605</v>
      </c>
      <c r="D533" s="1556" t="n">
        <v>50145</v>
      </c>
      <c r="E533" s="1556" t="n">
        <v>50144</v>
      </c>
      <c r="F533" s="1557" t="s">
        <v>2259</v>
      </c>
      <c r="G533" s="1558" t="n">
        <v>1</v>
      </c>
      <c r="H533" s="1556" t="s">
        <v>1523</v>
      </c>
      <c r="I533" s="1556" t="n">
        <v>9020066</v>
      </c>
      <c r="K533" s="2" t="s">
        <v>2265</v>
      </c>
      <c r="L533" s="2" t="s">
        <v>1523</v>
      </c>
    </row>
    <row r="534" customFormat="false" ht="14.25" hidden="false" customHeight="false" outlineLevel="0" collapsed="false">
      <c r="A534" s="1556" t="n">
        <v>50</v>
      </c>
      <c r="B534" s="1556" t="s">
        <v>1703</v>
      </c>
      <c r="C534" s="1556" t="s">
        <v>605</v>
      </c>
      <c r="D534" s="1556" t="n">
        <v>50147</v>
      </c>
      <c r="E534" s="1556" t="n">
        <v>50146</v>
      </c>
      <c r="F534" s="1557" t="s">
        <v>2268</v>
      </c>
      <c r="G534" s="1558" t="n">
        <v>2</v>
      </c>
      <c r="H534" s="1556" t="s">
        <v>872</v>
      </c>
      <c r="I534" s="1556" t="n">
        <v>9020067</v>
      </c>
      <c r="K534" s="2" t="s">
        <v>2267</v>
      </c>
      <c r="L534" s="2" t="s">
        <v>1523</v>
      </c>
    </row>
    <row r="535" customFormat="false" ht="14.25" hidden="false" customHeight="false" outlineLevel="0" collapsed="false">
      <c r="A535" s="1556" t="n">
        <v>50</v>
      </c>
      <c r="B535" s="1556" t="s">
        <v>1708</v>
      </c>
      <c r="C535" s="1556" t="s">
        <v>605</v>
      </c>
      <c r="D535" s="1556" t="n">
        <v>50149</v>
      </c>
      <c r="E535" s="1556" t="n">
        <v>50148</v>
      </c>
      <c r="F535" s="1557" t="s">
        <v>2271</v>
      </c>
      <c r="G535" s="1558" t="n">
        <v>1</v>
      </c>
      <c r="H535" s="1556" t="s">
        <v>1523</v>
      </c>
      <c r="I535" s="1556" t="n">
        <v>9020066</v>
      </c>
      <c r="K535" s="2" t="s">
        <v>2439</v>
      </c>
      <c r="L535" s="2" t="s">
        <v>1523</v>
      </c>
    </row>
    <row r="536" customFormat="false" ht="14.25" hidden="false" customHeight="false" outlineLevel="0" collapsed="false">
      <c r="A536" s="1556" t="n">
        <v>50</v>
      </c>
      <c r="B536" s="1556" t="s">
        <v>2149</v>
      </c>
      <c r="C536" s="1556" t="s">
        <v>605</v>
      </c>
      <c r="D536" s="1556" t="n">
        <v>50150</v>
      </c>
      <c r="E536" s="1556" t="n">
        <v>50149</v>
      </c>
      <c r="F536" s="1557" t="s">
        <v>2274</v>
      </c>
      <c r="G536" s="1558" t="n">
        <v>1</v>
      </c>
      <c r="H536" s="1556" t="s">
        <v>1523</v>
      </c>
      <c r="I536" s="1556" t="n">
        <v>9020066</v>
      </c>
      <c r="K536" s="2" t="s">
        <v>1879</v>
      </c>
      <c r="L536" s="2" t="s">
        <v>1523</v>
      </c>
    </row>
    <row r="537" customFormat="false" ht="14.25" hidden="false" customHeight="false" outlineLevel="0" collapsed="false">
      <c r="A537" s="1556" t="n">
        <v>50</v>
      </c>
      <c r="B537" s="1556" t="s">
        <v>2152</v>
      </c>
      <c r="C537" s="1556" t="s">
        <v>605</v>
      </c>
      <c r="D537" s="1556" t="n">
        <v>50151</v>
      </c>
      <c r="E537" s="1556" t="n">
        <v>50150</v>
      </c>
      <c r="F537" s="1557" t="s">
        <v>2277</v>
      </c>
      <c r="G537" s="1558" t="n">
        <v>2</v>
      </c>
      <c r="H537" s="1556" t="s">
        <v>872</v>
      </c>
      <c r="I537" s="1556" t="n">
        <v>9020067</v>
      </c>
      <c r="K537" s="2" t="s">
        <v>1882</v>
      </c>
      <c r="L537" s="2" t="s">
        <v>1523</v>
      </c>
    </row>
    <row r="538" customFormat="false" ht="14.25" hidden="false" customHeight="false" outlineLevel="0" collapsed="false">
      <c r="A538" s="1556" t="n">
        <v>50</v>
      </c>
      <c r="B538" s="1556" t="s">
        <v>1710</v>
      </c>
      <c r="C538" s="1556" t="s">
        <v>605</v>
      </c>
      <c r="D538" s="1556" t="n">
        <v>50152</v>
      </c>
      <c r="E538" s="1556" t="n">
        <v>50151</v>
      </c>
      <c r="F538" s="1557" t="s">
        <v>2279</v>
      </c>
      <c r="G538" s="1558" t="n">
        <v>2</v>
      </c>
      <c r="H538" s="1556" t="s">
        <v>872</v>
      </c>
      <c r="I538" s="1556" t="n">
        <v>9020067</v>
      </c>
      <c r="K538" s="2" t="s">
        <v>2440</v>
      </c>
      <c r="L538" s="2" t="s">
        <v>1523</v>
      </c>
    </row>
    <row r="539" customFormat="false" ht="14.25" hidden="false" customHeight="false" outlineLevel="0" collapsed="false">
      <c r="A539" s="1556" t="n">
        <v>50</v>
      </c>
      <c r="B539" s="1556" t="s">
        <v>1712</v>
      </c>
      <c r="C539" s="1556" t="s">
        <v>605</v>
      </c>
      <c r="D539" s="1556" t="n">
        <v>50153</v>
      </c>
      <c r="E539" s="1556" t="n">
        <v>50152</v>
      </c>
      <c r="F539" s="1557" t="s">
        <v>2283</v>
      </c>
      <c r="G539" s="1558" t="n">
        <v>2</v>
      </c>
      <c r="H539" s="1556" t="s">
        <v>872</v>
      </c>
      <c r="I539" s="1556" t="n">
        <v>9020067</v>
      </c>
      <c r="K539" s="2" t="s">
        <v>2270</v>
      </c>
      <c r="L539" s="2" t="s">
        <v>1523</v>
      </c>
    </row>
    <row r="540" customFormat="false" ht="14.25" hidden="false" customHeight="false" outlineLevel="0" collapsed="false">
      <c r="A540" s="1556" t="n">
        <v>50</v>
      </c>
      <c r="B540" s="1556" t="s">
        <v>1715</v>
      </c>
      <c r="C540" s="1556" t="s">
        <v>605</v>
      </c>
      <c r="D540" s="1556" t="n">
        <v>50154</v>
      </c>
      <c r="E540" s="1556" t="n">
        <v>50153</v>
      </c>
      <c r="F540" s="1557" t="s">
        <v>2285</v>
      </c>
      <c r="G540" s="1558" t="n">
        <v>2</v>
      </c>
      <c r="H540" s="1556" t="s">
        <v>872</v>
      </c>
      <c r="I540" s="1556" t="n">
        <v>9020067</v>
      </c>
      <c r="K540" s="2" t="s">
        <v>2441</v>
      </c>
      <c r="L540" s="2" t="s">
        <v>872</v>
      </c>
    </row>
    <row r="541" customFormat="false" ht="14.25" hidden="false" customHeight="false" outlineLevel="0" collapsed="false">
      <c r="A541" s="1556" t="n">
        <v>50</v>
      </c>
      <c r="B541" s="1556" t="s">
        <v>1717</v>
      </c>
      <c r="C541" s="1556" t="s">
        <v>605</v>
      </c>
      <c r="D541" s="1556" t="n">
        <v>50155</v>
      </c>
      <c r="E541" s="1556" t="n">
        <v>50154</v>
      </c>
      <c r="F541" s="1557" t="s">
        <v>2289</v>
      </c>
      <c r="G541" s="1558" t="n">
        <v>2</v>
      </c>
      <c r="H541" s="1556" t="s">
        <v>872</v>
      </c>
      <c r="I541" s="1556" t="n">
        <v>9020067</v>
      </c>
      <c r="K541" s="2" t="s">
        <v>1884</v>
      </c>
      <c r="L541" s="2" t="s">
        <v>1523</v>
      </c>
    </row>
    <row r="542" customFormat="false" ht="14.25" hidden="false" customHeight="false" outlineLevel="0" collapsed="false">
      <c r="A542" s="1556" t="n">
        <v>50</v>
      </c>
      <c r="B542" s="1556" t="s">
        <v>2442</v>
      </c>
      <c r="C542" s="1556" t="s">
        <v>605</v>
      </c>
      <c r="D542" s="1556" t="n">
        <v>50156</v>
      </c>
      <c r="E542" s="1556" t="n">
        <v>50155</v>
      </c>
      <c r="F542" s="1557" t="s">
        <v>2292</v>
      </c>
      <c r="G542" s="1558" t="n">
        <v>1</v>
      </c>
      <c r="H542" s="1556" t="s">
        <v>1523</v>
      </c>
      <c r="I542" s="1556" t="n">
        <v>9020066</v>
      </c>
      <c r="K542" s="2" t="s">
        <v>2443</v>
      </c>
      <c r="L542" s="2" t="s">
        <v>1523</v>
      </c>
    </row>
    <row r="543" customFormat="false" ht="14.25" hidden="false" customHeight="false" outlineLevel="0" collapsed="false">
      <c r="A543" s="1556" t="n">
        <v>50</v>
      </c>
      <c r="B543" s="1556" t="s">
        <v>2160</v>
      </c>
      <c r="C543" s="1556" t="s">
        <v>605</v>
      </c>
      <c r="D543" s="1556" t="n">
        <v>50157</v>
      </c>
      <c r="E543" s="1556" t="n">
        <v>50156</v>
      </c>
      <c r="F543" s="1557" t="s">
        <v>2294</v>
      </c>
      <c r="G543" s="1558" t="n">
        <v>2</v>
      </c>
      <c r="H543" s="1556" t="s">
        <v>872</v>
      </c>
      <c r="I543" s="1556" t="n">
        <v>9020067</v>
      </c>
      <c r="K543" s="2" t="s">
        <v>2273</v>
      </c>
      <c r="L543" s="2" t="s">
        <v>1523</v>
      </c>
    </row>
    <row r="544" customFormat="false" ht="14.25" hidden="false" customHeight="false" outlineLevel="0" collapsed="false">
      <c r="A544" s="1556" t="n">
        <v>50</v>
      </c>
      <c r="B544" s="1556" t="s">
        <v>2162</v>
      </c>
      <c r="C544" s="1556" t="s">
        <v>605</v>
      </c>
      <c r="D544" s="1556" t="n">
        <v>50158</v>
      </c>
      <c r="E544" s="1556" t="n">
        <v>50157</v>
      </c>
      <c r="F544" s="1557" t="s">
        <v>2297</v>
      </c>
      <c r="G544" s="1558" t="n">
        <v>2</v>
      </c>
      <c r="H544" s="1556" t="s">
        <v>872</v>
      </c>
      <c r="I544" s="1556" t="n">
        <v>9020067</v>
      </c>
      <c r="K544" s="2" t="s">
        <v>1886</v>
      </c>
      <c r="L544" s="2" t="s">
        <v>1523</v>
      </c>
    </row>
    <row r="545" customFormat="false" ht="14.25" hidden="false" customHeight="false" outlineLevel="0" collapsed="false">
      <c r="A545" s="1556" t="n">
        <v>50</v>
      </c>
      <c r="B545" s="1556" t="s">
        <v>1723</v>
      </c>
      <c r="C545" s="1556" t="s">
        <v>605</v>
      </c>
      <c r="D545" s="1556" t="n">
        <v>50160</v>
      </c>
      <c r="E545" s="1556" t="n">
        <v>50159</v>
      </c>
      <c r="F545" s="1557" t="s">
        <v>2300</v>
      </c>
      <c r="G545" s="1558" t="n">
        <v>1</v>
      </c>
      <c r="H545" s="1556" t="s">
        <v>1523</v>
      </c>
      <c r="I545" s="1556" t="n">
        <v>9020066</v>
      </c>
      <c r="K545" s="2" t="s">
        <v>1888</v>
      </c>
      <c r="L545" s="2" t="s">
        <v>872</v>
      </c>
    </row>
    <row r="546" customFormat="false" ht="14.25" hidden="false" customHeight="false" outlineLevel="0" collapsed="false">
      <c r="A546" s="1556" t="n">
        <v>50</v>
      </c>
      <c r="B546" s="1556" t="s">
        <v>2168</v>
      </c>
      <c r="C546" s="1556" t="s">
        <v>605</v>
      </c>
      <c r="D546" s="1556" t="n">
        <v>50162</v>
      </c>
      <c r="E546" s="1556" t="n">
        <v>50161</v>
      </c>
      <c r="F546" s="1557" t="s">
        <v>2303</v>
      </c>
      <c r="G546" s="1558" t="n">
        <v>1</v>
      </c>
      <c r="H546" s="1556" t="s">
        <v>1523</v>
      </c>
      <c r="I546" s="1556" t="n">
        <v>9020066</v>
      </c>
      <c r="K546" s="2" t="s">
        <v>1891</v>
      </c>
      <c r="L546" s="2" t="s">
        <v>872</v>
      </c>
    </row>
    <row r="547" customFormat="false" ht="14.25" hidden="false" customHeight="false" outlineLevel="0" collapsed="false">
      <c r="A547" s="1556" t="n">
        <v>50</v>
      </c>
      <c r="B547" s="1556" t="s">
        <v>1729</v>
      </c>
      <c r="C547" s="1556" t="s">
        <v>605</v>
      </c>
      <c r="D547" s="1556" t="n">
        <v>50163</v>
      </c>
      <c r="E547" s="1556" t="n">
        <v>50162</v>
      </c>
      <c r="F547" s="1557" t="s">
        <v>2308</v>
      </c>
      <c r="G547" s="1558" t="n">
        <v>1</v>
      </c>
      <c r="H547" s="1556" t="s">
        <v>1523</v>
      </c>
      <c r="I547" s="1556" t="n">
        <v>9020066</v>
      </c>
      <c r="K547" s="2" t="s">
        <v>2276</v>
      </c>
      <c r="L547" s="2" t="s">
        <v>1523</v>
      </c>
    </row>
    <row r="548" customFormat="false" ht="14.25" hidden="false" customHeight="false" outlineLevel="0" collapsed="false">
      <c r="A548" s="1556" t="n">
        <v>50</v>
      </c>
      <c r="B548" s="1556" t="s">
        <v>2171</v>
      </c>
      <c r="C548" s="1556" t="s">
        <v>605</v>
      </c>
      <c r="D548" s="1556" t="n">
        <v>50164</v>
      </c>
      <c r="E548" s="1556" t="n">
        <v>50163</v>
      </c>
      <c r="F548" s="1557" t="s">
        <v>2310</v>
      </c>
      <c r="G548" s="1558" t="n">
        <v>2</v>
      </c>
      <c r="H548" s="1556" t="s">
        <v>872</v>
      </c>
      <c r="I548" s="1556" t="n">
        <v>9020067</v>
      </c>
      <c r="K548" s="2" t="s">
        <v>1894</v>
      </c>
      <c r="L548" s="2" t="s">
        <v>872</v>
      </c>
    </row>
    <row r="549" customFormat="false" ht="14.25" hidden="false" customHeight="false" outlineLevel="0" collapsed="false">
      <c r="A549" s="1556" t="n">
        <v>50</v>
      </c>
      <c r="B549" s="1556" t="s">
        <v>1893</v>
      </c>
      <c r="C549" s="1556" t="s">
        <v>605</v>
      </c>
      <c r="D549" s="1556" t="n">
        <v>50305</v>
      </c>
      <c r="E549" s="1556" t="n">
        <v>50902</v>
      </c>
      <c r="F549" s="1557" t="s">
        <v>2312</v>
      </c>
      <c r="G549" s="1558" t="n">
        <v>2</v>
      </c>
      <c r="H549" s="1556" t="s">
        <v>872</v>
      </c>
      <c r="I549" s="1556" t="n">
        <v>9020067</v>
      </c>
      <c r="K549" s="2" t="s">
        <v>2444</v>
      </c>
      <c r="L549" s="2" t="s">
        <v>1523</v>
      </c>
    </row>
    <row r="550" customFormat="false" ht="14.25" hidden="false" customHeight="false" outlineLevel="0" collapsed="false">
      <c r="A550" s="1556" t="n">
        <v>50</v>
      </c>
      <c r="B550" s="1556" t="s">
        <v>2174</v>
      </c>
      <c r="C550" s="1556" t="s">
        <v>605</v>
      </c>
      <c r="D550" s="1556" t="n">
        <v>50165</v>
      </c>
      <c r="E550" s="1556" t="n">
        <v>50164</v>
      </c>
      <c r="F550" s="1557" t="s">
        <v>2319</v>
      </c>
      <c r="G550" s="1558" t="n">
        <v>2</v>
      </c>
      <c r="H550" s="1556" t="s">
        <v>872</v>
      </c>
      <c r="I550" s="1556" t="n">
        <v>9020067</v>
      </c>
      <c r="K550" s="2" t="s">
        <v>1897</v>
      </c>
      <c r="L550" s="2" t="s">
        <v>1523</v>
      </c>
    </row>
    <row r="551" customFormat="false" ht="14.25" hidden="false" customHeight="false" outlineLevel="0" collapsed="false">
      <c r="A551" s="1556" t="n">
        <v>50</v>
      </c>
      <c r="B551" s="1556" t="s">
        <v>2445</v>
      </c>
      <c r="C551" s="1556" t="s">
        <v>605</v>
      </c>
      <c r="D551" s="1556" t="n">
        <v>50166</v>
      </c>
      <c r="E551" s="1556" t="n">
        <v>50165</v>
      </c>
      <c r="F551" s="1557" t="s">
        <v>2322</v>
      </c>
      <c r="G551" s="1558" t="n">
        <v>1</v>
      </c>
      <c r="H551" s="1556" t="s">
        <v>1523</v>
      </c>
      <c r="I551" s="1556" t="n">
        <v>9020066</v>
      </c>
      <c r="K551" s="2" t="s">
        <v>2446</v>
      </c>
      <c r="L551" s="2" t="s">
        <v>872</v>
      </c>
    </row>
    <row r="552" customFormat="false" ht="14.25" hidden="false" customHeight="false" outlineLevel="0" collapsed="false">
      <c r="A552" s="1556" t="n">
        <v>50</v>
      </c>
      <c r="B552" s="1556" t="s">
        <v>1731</v>
      </c>
      <c r="C552" s="1556" t="s">
        <v>605</v>
      </c>
      <c r="D552" s="1556" t="n">
        <v>50167</v>
      </c>
      <c r="E552" s="1556" t="n">
        <v>50166</v>
      </c>
      <c r="F552" s="1557" t="s">
        <v>2324</v>
      </c>
      <c r="G552" s="1558" t="n">
        <v>1</v>
      </c>
      <c r="H552" s="1556" t="s">
        <v>1523</v>
      </c>
      <c r="I552" s="1556" t="n">
        <v>9020066</v>
      </c>
      <c r="K552" s="2" t="s">
        <v>1900</v>
      </c>
      <c r="L552" s="2" t="s">
        <v>872</v>
      </c>
    </row>
    <row r="553" customFormat="false" ht="14.25" hidden="false" customHeight="false" outlineLevel="0" collapsed="false">
      <c r="A553" s="1556" t="n">
        <v>50</v>
      </c>
      <c r="B553" s="1556" t="s">
        <v>1937</v>
      </c>
      <c r="C553" s="1556" t="s">
        <v>605</v>
      </c>
      <c r="D553" s="1556" t="n">
        <v>50168</v>
      </c>
      <c r="E553" s="1556" t="n">
        <v>50167</v>
      </c>
      <c r="F553" s="1557" t="s">
        <v>2326</v>
      </c>
      <c r="G553" s="1558" t="n">
        <v>2</v>
      </c>
      <c r="H553" s="1556" t="s">
        <v>872</v>
      </c>
      <c r="I553" s="1556" t="n">
        <v>9020067</v>
      </c>
      <c r="K553" s="2" t="s">
        <v>2447</v>
      </c>
      <c r="L553" s="2" t="s">
        <v>1523</v>
      </c>
    </row>
    <row r="554" customFormat="false" ht="14.25" hidden="false" customHeight="false" outlineLevel="0" collapsed="false">
      <c r="A554" s="1556" t="n">
        <v>50</v>
      </c>
      <c r="B554" s="1556" t="s">
        <v>1736</v>
      </c>
      <c r="C554" s="1556" t="s">
        <v>605</v>
      </c>
      <c r="D554" s="1556" t="n">
        <v>50169</v>
      </c>
      <c r="E554" s="1556" t="n">
        <v>50168</v>
      </c>
      <c r="F554" s="1557" t="s">
        <v>2331</v>
      </c>
      <c r="G554" s="1558" t="n">
        <v>1</v>
      </c>
      <c r="H554" s="1556" t="s">
        <v>1523</v>
      </c>
      <c r="I554" s="1556" t="n">
        <v>9020066</v>
      </c>
      <c r="K554" s="2" t="s">
        <v>2278</v>
      </c>
      <c r="L554" s="2" t="s">
        <v>1523</v>
      </c>
    </row>
    <row r="555" customFormat="false" ht="14.25" hidden="false" customHeight="false" outlineLevel="0" collapsed="false">
      <c r="A555" s="1556" t="n">
        <v>50</v>
      </c>
      <c r="B555" s="1556" t="s">
        <v>1734</v>
      </c>
      <c r="C555" s="1556" t="s">
        <v>605</v>
      </c>
      <c r="D555" s="1556" t="n">
        <v>50170</v>
      </c>
      <c r="E555" s="1556" t="n">
        <v>50169</v>
      </c>
      <c r="F555" s="1557" t="s">
        <v>2334</v>
      </c>
      <c r="G555" s="1558" t="n">
        <v>2</v>
      </c>
      <c r="H555" s="1556" t="s">
        <v>872</v>
      </c>
      <c r="I555" s="1556" t="n">
        <v>9020067</v>
      </c>
      <c r="K555" s="2" t="s">
        <v>2448</v>
      </c>
      <c r="L555" s="2" t="s">
        <v>1523</v>
      </c>
    </row>
    <row r="556" customFormat="false" ht="14.25" hidden="false" customHeight="false" outlineLevel="0" collapsed="false">
      <c r="A556" s="1556" t="n">
        <v>50</v>
      </c>
      <c r="B556" s="1556" t="s">
        <v>1878</v>
      </c>
      <c r="C556" s="1556" t="s">
        <v>605</v>
      </c>
      <c r="D556" s="1556" t="n">
        <v>50171</v>
      </c>
      <c r="E556" s="1556" t="n">
        <v>50170</v>
      </c>
      <c r="F556" s="1557" t="s">
        <v>2342</v>
      </c>
      <c r="G556" s="1558" t="n">
        <v>2</v>
      </c>
      <c r="H556" s="1556" t="s">
        <v>872</v>
      </c>
      <c r="I556" s="1556" t="n">
        <v>9020067</v>
      </c>
      <c r="K556" s="2" t="s">
        <v>1903</v>
      </c>
      <c r="L556" s="2" t="s">
        <v>1523</v>
      </c>
    </row>
    <row r="557" customFormat="false" ht="14.25" hidden="false" customHeight="false" outlineLevel="0" collapsed="false">
      <c r="A557" s="1556" t="n">
        <v>50</v>
      </c>
      <c r="B557" s="1556" t="s">
        <v>2181</v>
      </c>
      <c r="C557" s="1556" t="s">
        <v>605</v>
      </c>
      <c r="D557" s="1556" t="n">
        <v>50172</v>
      </c>
      <c r="E557" s="1556" t="n">
        <v>50171</v>
      </c>
      <c r="F557" s="1557" t="s">
        <v>2345</v>
      </c>
      <c r="G557" s="1558" t="n">
        <v>1</v>
      </c>
      <c r="H557" s="1556" t="s">
        <v>1523</v>
      </c>
      <c r="I557" s="1556" t="n">
        <v>9020066</v>
      </c>
      <c r="K557" s="2" t="s">
        <v>2449</v>
      </c>
      <c r="L557" s="2" t="s">
        <v>1523</v>
      </c>
    </row>
    <row r="558" customFormat="false" ht="14.25" hidden="false" customHeight="false" outlineLevel="0" collapsed="false">
      <c r="A558" s="1556" t="n">
        <v>50</v>
      </c>
      <c r="B558" s="1556" t="s">
        <v>2184</v>
      </c>
      <c r="C558" s="1556" t="s">
        <v>605</v>
      </c>
      <c r="D558" s="1556" t="n">
        <v>50173</v>
      </c>
      <c r="E558" s="1556" t="n">
        <v>50172</v>
      </c>
      <c r="F558" s="1557" t="s">
        <v>2350</v>
      </c>
      <c r="G558" s="1558" t="n">
        <v>2</v>
      </c>
      <c r="H558" s="1556" t="s">
        <v>872</v>
      </c>
      <c r="I558" s="1556" t="n">
        <v>9020067</v>
      </c>
      <c r="K558" s="2" t="s">
        <v>1906</v>
      </c>
      <c r="L558" s="2" t="s">
        <v>872</v>
      </c>
    </row>
    <row r="559" customFormat="false" ht="14.25" hidden="false" customHeight="false" outlineLevel="0" collapsed="false">
      <c r="A559" s="1556" t="n">
        <v>50</v>
      </c>
      <c r="B559" s="1556" t="s">
        <v>1740</v>
      </c>
      <c r="C559" s="1556" t="s">
        <v>605</v>
      </c>
      <c r="D559" s="1556" t="n">
        <v>50174</v>
      </c>
      <c r="E559" s="1556" t="n">
        <v>50173</v>
      </c>
      <c r="F559" s="1557" t="s">
        <v>2359</v>
      </c>
      <c r="G559" s="1558" t="n">
        <v>1</v>
      </c>
      <c r="H559" s="1556" t="s">
        <v>1523</v>
      </c>
      <c r="I559" s="1556" t="n">
        <v>9020066</v>
      </c>
      <c r="K559" s="2" t="s">
        <v>2450</v>
      </c>
      <c r="L559" s="2" t="s">
        <v>1523</v>
      </c>
    </row>
    <row r="560" customFormat="false" ht="14.25" hidden="false" customHeight="false" outlineLevel="0" collapsed="false">
      <c r="A560" s="1556" t="n">
        <v>50</v>
      </c>
      <c r="B560" s="1556" t="s">
        <v>1743</v>
      </c>
      <c r="C560" s="1556" t="s">
        <v>605</v>
      </c>
      <c r="D560" s="1556" t="n">
        <v>50175</v>
      </c>
      <c r="E560" s="1556" t="n">
        <v>50174</v>
      </c>
      <c r="F560" s="1557" t="s">
        <v>2362</v>
      </c>
      <c r="G560" s="1558" t="n">
        <v>1</v>
      </c>
      <c r="H560" s="1556" t="s">
        <v>1523</v>
      </c>
      <c r="I560" s="1556" t="n">
        <v>9020066</v>
      </c>
      <c r="K560" s="2" t="s">
        <v>2451</v>
      </c>
      <c r="L560" s="2" t="s">
        <v>1523</v>
      </c>
    </row>
    <row r="561" customFormat="false" ht="14.25" hidden="false" customHeight="false" outlineLevel="0" collapsed="false">
      <c r="A561" s="1556" t="n">
        <v>50</v>
      </c>
      <c r="B561" s="1556" t="s">
        <v>2187</v>
      </c>
      <c r="C561" s="1556" t="s">
        <v>605</v>
      </c>
      <c r="D561" s="1556" t="n">
        <v>50176</v>
      </c>
      <c r="E561" s="1556" t="n">
        <v>50175</v>
      </c>
      <c r="F561" s="1557" t="s">
        <v>2365</v>
      </c>
      <c r="G561" s="1558" t="n">
        <v>1</v>
      </c>
      <c r="H561" s="1556" t="s">
        <v>1523</v>
      </c>
      <c r="I561" s="1556" t="n">
        <v>9020066</v>
      </c>
      <c r="K561" s="2" t="s">
        <v>2452</v>
      </c>
      <c r="L561" s="2" t="s">
        <v>1523</v>
      </c>
    </row>
    <row r="562" customFormat="false" ht="14.25" hidden="false" customHeight="false" outlineLevel="0" collapsed="false">
      <c r="A562" s="1556" t="n">
        <v>50</v>
      </c>
      <c r="B562" s="1556" t="s">
        <v>2190</v>
      </c>
      <c r="C562" s="1556" t="s">
        <v>605</v>
      </c>
      <c r="D562" s="1556" t="n">
        <v>50177</v>
      </c>
      <c r="E562" s="1556" t="n">
        <v>50176</v>
      </c>
      <c r="F562" s="1557" t="s">
        <v>2367</v>
      </c>
      <c r="G562" s="1558" t="n">
        <v>1</v>
      </c>
      <c r="H562" s="1556" t="s">
        <v>1523</v>
      </c>
      <c r="I562" s="1556" t="n">
        <v>9020066</v>
      </c>
      <c r="K562" s="2" t="s">
        <v>1908</v>
      </c>
      <c r="L562" s="2" t="s">
        <v>872</v>
      </c>
    </row>
    <row r="563" customFormat="false" ht="14.25" hidden="false" customHeight="false" outlineLevel="0" collapsed="false">
      <c r="A563" s="1556" t="n">
        <v>50</v>
      </c>
      <c r="B563" s="1556" t="s">
        <v>1749</v>
      </c>
      <c r="C563" s="1556" t="s">
        <v>605</v>
      </c>
      <c r="D563" s="1556" t="n">
        <v>50178</v>
      </c>
      <c r="E563" s="1556" t="n">
        <v>50177</v>
      </c>
      <c r="F563" s="1557" t="s">
        <v>2370</v>
      </c>
      <c r="G563" s="1558" t="n">
        <v>1</v>
      </c>
      <c r="H563" s="1556" t="s">
        <v>1523</v>
      </c>
      <c r="I563" s="1556" t="n">
        <v>9020066</v>
      </c>
      <c r="K563" s="2" t="s">
        <v>2453</v>
      </c>
      <c r="L563" s="2" t="s">
        <v>872</v>
      </c>
    </row>
    <row r="564" customFormat="false" ht="14.25" hidden="false" customHeight="false" outlineLevel="0" collapsed="false">
      <c r="A564" s="1556" t="n">
        <v>50</v>
      </c>
      <c r="B564" s="1556" t="s">
        <v>1752</v>
      </c>
      <c r="C564" s="1556" t="s">
        <v>605</v>
      </c>
      <c r="D564" s="1556" t="n">
        <v>50179</v>
      </c>
      <c r="E564" s="1556" t="n">
        <v>50178</v>
      </c>
      <c r="F564" s="1557" t="s">
        <v>2373</v>
      </c>
      <c r="G564" s="1558" t="n">
        <v>1</v>
      </c>
      <c r="H564" s="1556" t="s">
        <v>1523</v>
      </c>
      <c r="I564" s="1556" t="n">
        <v>9020066</v>
      </c>
      <c r="K564" s="2" t="s">
        <v>1911</v>
      </c>
      <c r="L564" s="2" t="s">
        <v>1523</v>
      </c>
    </row>
    <row r="565" customFormat="false" ht="14.25" hidden="false" customHeight="false" outlineLevel="0" collapsed="false">
      <c r="A565" s="1556" t="n">
        <v>50</v>
      </c>
      <c r="B565" s="1556" t="s">
        <v>2194</v>
      </c>
      <c r="C565" s="1556" t="s">
        <v>605</v>
      </c>
      <c r="D565" s="1556" t="n">
        <v>50180</v>
      </c>
      <c r="E565" s="1556" t="n">
        <v>50179</v>
      </c>
      <c r="F565" s="1557" t="s">
        <v>2375</v>
      </c>
      <c r="G565" s="1558" t="n">
        <v>2</v>
      </c>
      <c r="H565" s="1556" t="s">
        <v>872</v>
      </c>
      <c r="I565" s="1556" t="n">
        <v>9020067</v>
      </c>
      <c r="K565" s="2" t="s">
        <v>2454</v>
      </c>
      <c r="L565" s="2" t="s">
        <v>1523</v>
      </c>
    </row>
    <row r="566" customFormat="false" ht="14.25" hidden="false" customHeight="false" outlineLevel="0" collapsed="false">
      <c r="A566" s="1556" t="n">
        <v>50</v>
      </c>
      <c r="B566" s="1556" t="s">
        <v>2196</v>
      </c>
      <c r="C566" s="1556" t="s">
        <v>605</v>
      </c>
      <c r="D566" s="1556" t="n">
        <v>50181</v>
      </c>
      <c r="E566" s="1556" t="n">
        <v>50180</v>
      </c>
      <c r="F566" s="1557" t="s">
        <v>2376</v>
      </c>
      <c r="G566" s="1558" t="n">
        <v>2</v>
      </c>
      <c r="H566" s="1556" t="s">
        <v>872</v>
      </c>
      <c r="I566" s="1556" t="n">
        <v>9020067</v>
      </c>
      <c r="K566" s="2" t="s">
        <v>2281</v>
      </c>
      <c r="L566" s="2" t="s">
        <v>1523</v>
      </c>
    </row>
    <row r="567" customFormat="false" ht="14.25" hidden="false" customHeight="false" outlineLevel="0" collapsed="false">
      <c r="A567" s="1556" t="n">
        <v>50</v>
      </c>
      <c r="B567" s="1556" t="s">
        <v>2198</v>
      </c>
      <c r="C567" s="1556" t="s">
        <v>605</v>
      </c>
      <c r="D567" s="1556" t="n">
        <v>50182</v>
      </c>
      <c r="E567" s="1556" t="n">
        <v>50181</v>
      </c>
      <c r="F567" s="1557" t="s">
        <v>2377</v>
      </c>
      <c r="G567" s="1558" t="n">
        <v>2</v>
      </c>
      <c r="H567" s="1556" t="s">
        <v>872</v>
      </c>
      <c r="I567" s="1556" t="n">
        <v>9020067</v>
      </c>
      <c r="K567" s="2" t="s">
        <v>715</v>
      </c>
      <c r="L567" s="2" t="s">
        <v>1523</v>
      </c>
    </row>
    <row r="568" customFormat="false" ht="14.25" hidden="false" customHeight="false" outlineLevel="0" collapsed="false">
      <c r="A568" s="1556" t="n">
        <v>50</v>
      </c>
      <c r="B568" s="1556" t="s">
        <v>2201</v>
      </c>
      <c r="C568" s="1556" t="s">
        <v>605</v>
      </c>
      <c r="D568" s="1556" t="n">
        <v>50183</v>
      </c>
      <c r="E568" s="1556" t="n">
        <v>50182</v>
      </c>
      <c r="F568" s="1557" t="s">
        <v>2378</v>
      </c>
      <c r="G568" s="1558" t="n">
        <v>2</v>
      </c>
      <c r="H568" s="1556" t="s">
        <v>872</v>
      </c>
      <c r="I568" s="1556" t="n">
        <v>9020067</v>
      </c>
      <c r="K568" s="2" t="s">
        <v>2455</v>
      </c>
      <c r="L568" s="2" t="s">
        <v>1523</v>
      </c>
    </row>
    <row r="569" customFormat="false" ht="14.25" hidden="false" customHeight="false" outlineLevel="0" collapsed="false">
      <c r="A569" s="1556" t="n">
        <v>50</v>
      </c>
      <c r="B569" s="1556" t="s">
        <v>2203</v>
      </c>
      <c r="C569" s="1556" t="s">
        <v>605</v>
      </c>
      <c r="D569" s="1556" t="n">
        <v>50184</v>
      </c>
      <c r="E569" s="1556" t="n">
        <v>50183</v>
      </c>
      <c r="F569" s="1557" t="s">
        <v>2379</v>
      </c>
      <c r="G569" s="1558" t="n">
        <v>1</v>
      </c>
      <c r="H569" s="1556" t="s">
        <v>1523</v>
      </c>
      <c r="I569" s="1556" t="n">
        <v>9020066</v>
      </c>
      <c r="K569" s="2" t="s">
        <v>1914</v>
      </c>
      <c r="L569" s="2" t="s">
        <v>872</v>
      </c>
    </row>
    <row r="570" customFormat="false" ht="14.25" hidden="false" customHeight="false" outlineLevel="0" collapsed="false">
      <c r="A570" s="1556" t="n">
        <v>50</v>
      </c>
      <c r="B570" s="1556" t="s">
        <v>1755</v>
      </c>
      <c r="C570" s="1556" t="s">
        <v>605</v>
      </c>
      <c r="D570" s="1556" t="n">
        <v>50185</v>
      </c>
      <c r="E570" s="1556" t="n">
        <v>50184</v>
      </c>
      <c r="F570" s="1557" t="s">
        <v>2380</v>
      </c>
      <c r="G570" s="1558" t="n">
        <v>1</v>
      </c>
      <c r="H570" s="1556" t="s">
        <v>1523</v>
      </c>
      <c r="I570" s="1556" t="n">
        <v>9020066</v>
      </c>
      <c r="K570" s="2" t="s">
        <v>2456</v>
      </c>
      <c r="L570" s="2" t="s">
        <v>1523</v>
      </c>
    </row>
    <row r="571" customFormat="false" ht="14.25" hidden="false" customHeight="false" outlineLevel="0" collapsed="false">
      <c r="A571" s="1556" t="n">
        <v>50</v>
      </c>
      <c r="B571" s="1556" t="s">
        <v>2206</v>
      </c>
      <c r="C571" s="1556" t="s">
        <v>605</v>
      </c>
      <c r="D571" s="1556" t="n">
        <v>50186</v>
      </c>
      <c r="E571" s="1556" t="n">
        <v>50185</v>
      </c>
      <c r="F571" s="1557" t="s">
        <v>2381</v>
      </c>
      <c r="G571" s="1558" t="n">
        <v>1</v>
      </c>
      <c r="H571" s="1556" t="s">
        <v>1523</v>
      </c>
      <c r="I571" s="1556" t="n">
        <v>9020066</v>
      </c>
      <c r="K571" s="2" t="s">
        <v>1917</v>
      </c>
      <c r="L571" s="2" t="s">
        <v>1523</v>
      </c>
    </row>
    <row r="572" customFormat="false" ht="14.25" hidden="false" customHeight="false" outlineLevel="0" collapsed="false">
      <c r="A572" s="1556" t="n">
        <v>50</v>
      </c>
      <c r="B572" s="1556" t="s">
        <v>2209</v>
      </c>
      <c r="C572" s="1556" t="s">
        <v>605</v>
      </c>
      <c r="D572" s="1556" t="n">
        <v>50187</v>
      </c>
      <c r="E572" s="1556" t="n">
        <v>50186</v>
      </c>
      <c r="F572" s="1557" t="s">
        <v>2382</v>
      </c>
      <c r="G572" s="1558" t="n">
        <v>3</v>
      </c>
      <c r="H572" s="1556" t="s">
        <v>1550</v>
      </c>
      <c r="I572" s="1556" t="n">
        <v>9020068</v>
      </c>
      <c r="K572" s="2" t="s">
        <v>2284</v>
      </c>
      <c r="L572" s="2" t="s">
        <v>1523</v>
      </c>
    </row>
    <row r="573" customFormat="false" ht="14.25" hidden="false" customHeight="false" outlineLevel="0" collapsed="false">
      <c r="A573" s="1556" t="n">
        <v>50</v>
      </c>
      <c r="B573" s="1556" t="s">
        <v>2457</v>
      </c>
      <c r="C573" s="1556" t="s">
        <v>605</v>
      </c>
      <c r="D573" s="1556" t="n">
        <v>50188</v>
      </c>
      <c r="E573" s="1556" t="n">
        <v>50187</v>
      </c>
      <c r="F573" s="1557" t="s">
        <v>2383</v>
      </c>
      <c r="G573" s="1558" t="n">
        <v>1</v>
      </c>
      <c r="H573" s="1556" t="s">
        <v>1523</v>
      </c>
      <c r="I573" s="1556" t="n">
        <v>9020066</v>
      </c>
      <c r="K573" s="2" t="s">
        <v>1920</v>
      </c>
      <c r="L573" s="2" t="s">
        <v>1523</v>
      </c>
    </row>
    <row r="574" customFormat="false" ht="14.25" hidden="false" customHeight="false" outlineLevel="0" collapsed="false">
      <c r="A574" s="1556" t="n">
        <v>50</v>
      </c>
      <c r="B574" s="1556" t="s">
        <v>1758</v>
      </c>
      <c r="C574" s="1556" t="s">
        <v>605</v>
      </c>
      <c r="D574" s="1556" t="n">
        <v>50189</v>
      </c>
      <c r="E574" s="1556" t="n">
        <v>50188</v>
      </c>
      <c r="F574" s="1557" t="s">
        <v>2384</v>
      </c>
      <c r="G574" s="1558" t="n">
        <v>2</v>
      </c>
      <c r="H574" s="1556" t="s">
        <v>872</v>
      </c>
      <c r="I574" s="1556" t="n">
        <v>9020067</v>
      </c>
      <c r="K574" s="2" t="s">
        <v>2286</v>
      </c>
      <c r="L574" s="2" t="s">
        <v>1523</v>
      </c>
    </row>
    <row r="575" customFormat="false" ht="14.25" hidden="false" customHeight="false" outlineLevel="0" collapsed="false">
      <c r="A575" s="1556" t="n">
        <v>50</v>
      </c>
      <c r="B575" s="1556" t="s">
        <v>2212</v>
      </c>
      <c r="C575" s="1556" t="s">
        <v>605</v>
      </c>
      <c r="D575" s="1556" t="n">
        <v>50190</v>
      </c>
      <c r="E575" s="1556" t="n">
        <v>50189</v>
      </c>
      <c r="F575" s="1557" t="s">
        <v>2385</v>
      </c>
      <c r="G575" s="1558" t="n">
        <v>1</v>
      </c>
      <c r="H575" s="1556" t="s">
        <v>1523</v>
      </c>
      <c r="I575" s="1556" t="n">
        <v>9020066</v>
      </c>
      <c r="K575" s="2" t="s">
        <v>2288</v>
      </c>
      <c r="L575" s="2" t="s">
        <v>1523</v>
      </c>
    </row>
    <row r="576" customFormat="false" ht="14.25" hidden="false" customHeight="false" outlineLevel="0" collapsed="false">
      <c r="A576" s="1556" t="n">
        <v>50</v>
      </c>
      <c r="B576" s="1556" t="s">
        <v>1760</v>
      </c>
      <c r="C576" s="1556" t="s">
        <v>605</v>
      </c>
      <c r="D576" s="1556" t="n">
        <v>50191</v>
      </c>
      <c r="E576" s="1556" t="n">
        <v>50190</v>
      </c>
      <c r="F576" s="1557" t="s">
        <v>2386</v>
      </c>
      <c r="G576" s="1558" t="n">
        <v>2</v>
      </c>
      <c r="H576" s="1556" t="s">
        <v>872</v>
      </c>
      <c r="I576" s="1556" t="n">
        <v>9020067</v>
      </c>
      <c r="K576" s="2" t="s">
        <v>1923</v>
      </c>
      <c r="L576" s="2" t="s">
        <v>872</v>
      </c>
    </row>
    <row r="577" customFormat="false" ht="14.25" hidden="false" customHeight="false" outlineLevel="0" collapsed="false">
      <c r="A577" s="1556" t="n">
        <v>50</v>
      </c>
      <c r="B577" s="1556" t="s">
        <v>1763</v>
      </c>
      <c r="C577" s="1556" t="s">
        <v>605</v>
      </c>
      <c r="D577" s="1556" t="n">
        <v>50193</v>
      </c>
      <c r="E577" s="1556" t="n">
        <v>50192</v>
      </c>
      <c r="F577" s="1557" t="s">
        <v>2387</v>
      </c>
      <c r="G577" s="1558" t="n">
        <v>1</v>
      </c>
      <c r="H577" s="1556" t="s">
        <v>1523</v>
      </c>
      <c r="I577" s="1556" t="n">
        <v>9020066</v>
      </c>
      <c r="K577" s="2" t="s">
        <v>2458</v>
      </c>
      <c r="L577" s="2" t="s">
        <v>1523</v>
      </c>
    </row>
    <row r="578" customFormat="false" ht="14.25" hidden="false" customHeight="false" outlineLevel="0" collapsed="false">
      <c r="A578" s="1556" t="n">
        <v>50</v>
      </c>
      <c r="B578" s="1556" t="s">
        <v>2220</v>
      </c>
      <c r="C578" s="1556" t="s">
        <v>605</v>
      </c>
      <c r="D578" s="1556" t="n">
        <v>50195</v>
      </c>
      <c r="E578" s="1556" t="n">
        <v>50194</v>
      </c>
      <c r="F578" s="1557" t="s">
        <v>2388</v>
      </c>
      <c r="G578" s="1558" t="n">
        <v>1</v>
      </c>
      <c r="H578" s="1556" t="s">
        <v>1523</v>
      </c>
      <c r="I578" s="1556" t="n">
        <v>9020066</v>
      </c>
      <c r="K578" s="2" t="s">
        <v>2291</v>
      </c>
      <c r="L578" s="2" t="s">
        <v>1523</v>
      </c>
    </row>
    <row r="579" customFormat="false" ht="14.25" hidden="false" customHeight="false" outlineLevel="0" collapsed="false">
      <c r="A579" s="1556" t="n">
        <v>50</v>
      </c>
      <c r="B579" s="1556" t="s">
        <v>1765</v>
      </c>
      <c r="C579" s="1556" t="s">
        <v>605</v>
      </c>
      <c r="D579" s="1556" t="n">
        <v>50196</v>
      </c>
      <c r="E579" s="1556" t="n">
        <v>50195</v>
      </c>
      <c r="F579" s="1557" t="s">
        <v>2389</v>
      </c>
      <c r="G579" s="1558" t="n">
        <v>1</v>
      </c>
      <c r="H579" s="1556" t="s">
        <v>1523</v>
      </c>
      <c r="I579" s="1556" t="n">
        <v>9020066</v>
      </c>
      <c r="K579" s="2" t="s">
        <v>2459</v>
      </c>
      <c r="L579" s="2" t="s">
        <v>1523</v>
      </c>
    </row>
    <row r="580" customFormat="false" ht="14.25" hidden="false" customHeight="false" outlineLevel="0" collapsed="false">
      <c r="A580" s="1556" t="n">
        <v>50</v>
      </c>
      <c r="B580" s="1556" t="s">
        <v>1767</v>
      </c>
      <c r="C580" s="1556" t="s">
        <v>605</v>
      </c>
      <c r="D580" s="1556" t="n">
        <v>50197</v>
      </c>
      <c r="E580" s="1556" t="n">
        <v>50196</v>
      </c>
      <c r="F580" s="1557" t="s">
        <v>2390</v>
      </c>
      <c r="G580" s="1558" t="n">
        <v>1</v>
      </c>
      <c r="H580" s="1556" t="s">
        <v>1523</v>
      </c>
      <c r="I580" s="1556" t="n">
        <v>9020066</v>
      </c>
      <c r="K580" s="2" t="s">
        <v>2460</v>
      </c>
      <c r="L580" s="2" t="s">
        <v>872</v>
      </c>
    </row>
    <row r="581" customFormat="false" ht="14.25" hidden="false" customHeight="false" outlineLevel="0" collapsed="false">
      <c r="A581" s="1556" t="n">
        <v>50</v>
      </c>
      <c r="B581" s="1556" t="s">
        <v>1769</v>
      </c>
      <c r="C581" s="1556" t="s">
        <v>605</v>
      </c>
      <c r="D581" s="1556" t="n">
        <v>50198</v>
      </c>
      <c r="E581" s="1556" t="n">
        <v>50197</v>
      </c>
      <c r="F581" s="1557" t="s">
        <v>2391</v>
      </c>
      <c r="G581" s="1558" t="n">
        <v>1</v>
      </c>
      <c r="H581" s="1556" t="s">
        <v>1523</v>
      </c>
      <c r="I581" s="1556" t="n">
        <v>9020066</v>
      </c>
      <c r="K581" s="2" t="s">
        <v>2293</v>
      </c>
      <c r="L581" s="2" t="s">
        <v>1523</v>
      </c>
    </row>
    <row r="582" customFormat="false" ht="14.25" hidden="false" customHeight="false" outlineLevel="0" collapsed="false">
      <c r="A582" s="1556" t="n">
        <v>50</v>
      </c>
      <c r="B582" s="1556" t="s">
        <v>1772</v>
      </c>
      <c r="C582" s="1556" t="s">
        <v>605</v>
      </c>
      <c r="D582" s="1556" t="n">
        <v>50199</v>
      </c>
      <c r="E582" s="1556" t="n">
        <v>50198</v>
      </c>
      <c r="F582" s="1557" t="s">
        <v>2392</v>
      </c>
      <c r="G582" s="1558" t="n">
        <v>1</v>
      </c>
      <c r="H582" s="1556" t="s">
        <v>1523</v>
      </c>
      <c r="I582" s="1556" t="n">
        <v>9020066</v>
      </c>
      <c r="K582" s="2" t="s">
        <v>2296</v>
      </c>
      <c r="L582" s="2" t="s">
        <v>1523</v>
      </c>
    </row>
    <row r="583" customFormat="false" ht="14.25" hidden="false" customHeight="false" outlineLevel="0" collapsed="false">
      <c r="A583" s="1556" t="n">
        <v>50</v>
      </c>
      <c r="B583" s="1556" t="s">
        <v>2226</v>
      </c>
      <c r="C583" s="1556" t="s">
        <v>605</v>
      </c>
      <c r="D583" s="1556" t="n">
        <v>50201</v>
      </c>
      <c r="E583" s="1556" t="n">
        <v>50200</v>
      </c>
      <c r="F583" s="1557" t="s">
        <v>2393</v>
      </c>
      <c r="G583" s="1558" t="n">
        <v>1</v>
      </c>
      <c r="H583" s="1556" t="s">
        <v>1523</v>
      </c>
      <c r="I583" s="1556" t="n">
        <v>9020066</v>
      </c>
      <c r="K583" s="2" t="s">
        <v>2299</v>
      </c>
      <c r="L583" s="2" t="s">
        <v>872</v>
      </c>
    </row>
    <row r="584" customFormat="false" ht="14.25" hidden="false" customHeight="false" outlineLevel="0" collapsed="false">
      <c r="A584" s="1556" t="n">
        <v>50</v>
      </c>
      <c r="B584" s="1556" t="s">
        <v>2229</v>
      </c>
      <c r="C584" s="1556" t="s">
        <v>605</v>
      </c>
      <c r="D584" s="1556" t="n">
        <v>50202</v>
      </c>
      <c r="E584" s="1556" t="n">
        <v>50201</v>
      </c>
      <c r="F584" s="1557" t="s">
        <v>2394</v>
      </c>
      <c r="G584" s="1558" t="n">
        <v>3</v>
      </c>
      <c r="H584" s="1556" t="s">
        <v>1550</v>
      </c>
      <c r="I584" s="1556" t="n">
        <v>9020068</v>
      </c>
      <c r="K584" s="2" t="s">
        <v>1926</v>
      </c>
      <c r="L584" s="2" t="s">
        <v>1523</v>
      </c>
    </row>
    <row r="585" customFormat="false" ht="14.25" hidden="false" customHeight="false" outlineLevel="0" collapsed="false">
      <c r="A585" s="1556" t="n">
        <v>50</v>
      </c>
      <c r="B585" s="1556" t="s">
        <v>2232</v>
      </c>
      <c r="C585" s="1556" t="s">
        <v>605</v>
      </c>
      <c r="D585" s="1556" t="n">
        <v>50203</v>
      </c>
      <c r="E585" s="1556" t="n">
        <v>50202</v>
      </c>
      <c r="F585" s="1557" t="s">
        <v>2395</v>
      </c>
      <c r="G585" s="1558" t="n">
        <v>1</v>
      </c>
      <c r="H585" s="1556" t="s">
        <v>1523</v>
      </c>
      <c r="I585" s="1556" t="n">
        <v>9020066</v>
      </c>
      <c r="K585" s="2" t="s">
        <v>2302</v>
      </c>
      <c r="L585" s="2" t="s">
        <v>1523</v>
      </c>
    </row>
    <row r="586" customFormat="false" ht="14.25" hidden="false" customHeight="false" outlineLevel="0" collapsed="false">
      <c r="A586" s="1556" t="n">
        <v>50</v>
      </c>
      <c r="B586" s="1556" t="s">
        <v>1775</v>
      </c>
      <c r="C586" s="1556" t="s">
        <v>605</v>
      </c>
      <c r="D586" s="1556" t="n">
        <v>50205</v>
      </c>
      <c r="E586" s="1556" t="n">
        <v>50204</v>
      </c>
      <c r="F586" s="1557" t="s">
        <v>2396</v>
      </c>
      <c r="G586" s="1558" t="n">
        <v>2</v>
      </c>
      <c r="H586" s="1556" t="s">
        <v>872</v>
      </c>
      <c r="I586" s="1556" t="n">
        <v>9020067</v>
      </c>
      <c r="K586" s="2" t="s">
        <v>2305</v>
      </c>
      <c r="L586" s="2" t="s">
        <v>872</v>
      </c>
    </row>
    <row r="587" customFormat="false" ht="14.25" hidden="false" customHeight="false" outlineLevel="0" collapsed="false">
      <c r="A587" s="1556" t="n">
        <v>50</v>
      </c>
      <c r="B587" s="1556" t="s">
        <v>1778</v>
      </c>
      <c r="C587" s="1556" t="s">
        <v>605</v>
      </c>
      <c r="D587" s="1556" t="n">
        <v>50206</v>
      </c>
      <c r="E587" s="1556" t="n">
        <v>50205</v>
      </c>
      <c r="F587" s="1557" t="s">
        <v>2397</v>
      </c>
      <c r="G587" s="1558" t="n">
        <v>2</v>
      </c>
      <c r="H587" s="1556" t="s">
        <v>872</v>
      </c>
      <c r="I587" s="1556" t="n">
        <v>9020067</v>
      </c>
      <c r="K587" s="2" t="s">
        <v>2307</v>
      </c>
      <c r="L587" s="2" t="s">
        <v>1523</v>
      </c>
    </row>
    <row r="588" customFormat="false" ht="14.25" hidden="false" customHeight="false" outlineLevel="0" collapsed="false">
      <c r="A588" s="1556" t="n">
        <v>50</v>
      </c>
      <c r="B588" s="1556" t="s">
        <v>1780</v>
      </c>
      <c r="C588" s="1556" t="s">
        <v>605</v>
      </c>
      <c r="D588" s="1556" t="n">
        <v>50207</v>
      </c>
      <c r="E588" s="1556" t="n">
        <v>50206</v>
      </c>
      <c r="F588" s="1557" t="s">
        <v>2400</v>
      </c>
      <c r="G588" s="1558" t="n">
        <v>2</v>
      </c>
      <c r="H588" s="1556" t="s">
        <v>872</v>
      </c>
      <c r="I588" s="1556" t="n">
        <v>9020067</v>
      </c>
      <c r="K588" s="2" t="s">
        <v>2461</v>
      </c>
      <c r="L588" s="2" t="s">
        <v>872</v>
      </c>
    </row>
    <row r="589" customFormat="false" ht="14.25" hidden="false" customHeight="false" outlineLevel="0" collapsed="false">
      <c r="A589" s="1556" t="n">
        <v>50</v>
      </c>
      <c r="B589" s="1556" t="s">
        <v>1783</v>
      </c>
      <c r="C589" s="1556" t="s">
        <v>605</v>
      </c>
      <c r="D589" s="1556" t="n">
        <v>50208</v>
      </c>
      <c r="E589" s="1556" t="n">
        <v>50207</v>
      </c>
      <c r="F589" s="1557" t="s">
        <v>2401</v>
      </c>
      <c r="G589" s="1558" t="n">
        <v>2</v>
      </c>
      <c r="H589" s="1556" t="s">
        <v>872</v>
      </c>
      <c r="I589" s="1556" t="n">
        <v>9020067</v>
      </c>
      <c r="K589" s="2" t="s">
        <v>2309</v>
      </c>
      <c r="L589" s="2" t="s">
        <v>1523</v>
      </c>
    </row>
    <row r="590" customFormat="false" ht="14.25" hidden="false" customHeight="false" outlineLevel="0" collapsed="false">
      <c r="A590" s="1556" t="n">
        <v>50</v>
      </c>
      <c r="B590" s="1556" t="s">
        <v>2241</v>
      </c>
      <c r="C590" s="1556" t="s">
        <v>605</v>
      </c>
      <c r="D590" s="1556" t="n">
        <v>50209</v>
      </c>
      <c r="E590" s="1556" t="n">
        <v>50208</v>
      </c>
      <c r="F590" s="1557" t="s">
        <v>2402</v>
      </c>
      <c r="G590" s="1558" t="n">
        <v>2</v>
      </c>
      <c r="H590" s="1556" t="s">
        <v>872</v>
      </c>
      <c r="I590" s="1556" t="n">
        <v>9020067</v>
      </c>
      <c r="K590" s="2" t="s">
        <v>2462</v>
      </c>
      <c r="L590" s="2" t="s">
        <v>1523</v>
      </c>
    </row>
    <row r="591" customFormat="false" ht="14.25" hidden="false" customHeight="false" outlineLevel="0" collapsed="false">
      <c r="A591" s="1556" t="n">
        <v>50</v>
      </c>
      <c r="B591" s="1556" t="s">
        <v>2246</v>
      </c>
      <c r="C591" s="1556" t="s">
        <v>605</v>
      </c>
      <c r="D591" s="1556" t="n">
        <v>50211</v>
      </c>
      <c r="E591" s="1556" t="n">
        <v>50210</v>
      </c>
      <c r="F591" s="1557" t="s">
        <v>2403</v>
      </c>
      <c r="G591" s="1558" t="n">
        <v>1</v>
      </c>
      <c r="H591" s="1556" t="s">
        <v>1523</v>
      </c>
      <c r="I591" s="1556" t="n">
        <v>9020066</v>
      </c>
      <c r="K591" s="2" t="s">
        <v>2463</v>
      </c>
      <c r="L591" s="2" t="s">
        <v>1550</v>
      </c>
    </row>
    <row r="592" customFormat="false" ht="14.25" hidden="false" customHeight="false" outlineLevel="0" collapsed="false">
      <c r="A592" s="1556" t="n">
        <v>50</v>
      </c>
      <c r="B592" s="1556" t="s">
        <v>2249</v>
      </c>
      <c r="C592" s="1556" t="s">
        <v>605</v>
      </c>
      <c r="D592" s="1556" t="n">
        <v>50212</v>
      </c>
      <c r="E592" s="1556" t="n">
        <v>50211</v>
      </c>
      <c r="F592" s="1557" t="s">
        <v>2404</v>
      </c>
      <c r="G592" s="1558" t="n">
        <v>2</v>
      </c>
      <c r="H592" s="1556" t="s">
        <v>872</v>
      </c>
      <c r="I592" s="1556" t="n">
        <v>9020067</v>
      </c>
      <c r="K592" s="2" t="s">
        <v>2311</v>
      </c>
      <c r="L592" s="2" t="s">
        <v>1523</v>
      </c>
    </row>
    <row r="593" customFormat="false" ht="14.25" hidden="false" customHeight="false" outlineLevel="0" collapsed="false">
      <c r="A593" s="1556" t="n">
        <v>50</v>
      </c>
      <c r="B593" s="1556" t="s">
        <v>2251</v>
      </c>
      <c r="C593" s="1556" t="s">
        <v>605</v>
      </c>
      <c r="D593" s="1556" t="n">
        <v>50213</v>
      </c>
      <c r="E593" s="1556" t="n">
        <v>50212</v>
      </c>
      <c r="F593" s="1557" t="s">
        <v>2405</v>
      </c>
      <c r="G593" s="1558" t="n">
        <v>2</v>
      </c>
      <c r="H593" s="1556" t="s">
        <v>872</v>
      </c>
      <c r="I593" s="1556" t="n">
        <v>9020067</v>
      </c>
      <c r="K593" s="2" t="s">
        <v>1929</v>
      </c>
      <c r="L593" s="2" t="s">
        <v>872</v>
      </c>
    </row>
    <row r="594" customFormat="false" ht="14.25" hidden="false" customHeight="false" outlineLevel="0" collapsed="false">
      <c r="A594" s="1556" t="n">
        <v>50</v>
      </c>
      <c r="B594" s="1556" t="s">
        <v>2464</v>
      </c>
      <c r="C594" s="1556" t="s">
        <v>605</v>
      </c>
      <c r="D594" s="1556" t="n">
        <v>50214</v>
      </c>
      <c r="E594" s="1556" t="n">
        <v>50213</v>
      </c>
      <c r="F594" s="1557" t="s">
        <v>2406</v>
      </c>
      <c r="G594" s="1558" t="n">
        <v>2</v>
      </c>
      <c r="H594" s="1556" t="s">
        <v>872</v>
      </c>
      <c r="I594" s="1556" t="n">
        <v>9020067</v>
      </c>
      <c r="K594" s="2" t="s">
        <v>2313</v>
      </c>
      <c r="L594" s="2" t="s">
        <v>1523</v>
      </c>
    </row>
    <row r="595" customFormat="false" ht="14.25" hidden="false" customHeight="false" outlineLevel="0" collapsed="false">
      <c r="A595" s="1556" t="n">
        <v>50</v>
      </c>
      <c r="B595" s="1556" t="s">
        <v>1786</v>
      </c>
      <c r="C595" s="1556" t="s">
        <v>605</v>
      </c>
      <c r="D595" s="1556" t="n">
        <v>50215</v>
      </c>
      <c r="E595" s="1556" t="n">
        <v>50214</v>
      </c>
      <c r="F595" s="1557" t="s">
        <v>2407</v>
      </c>
      <c r="G595" s="1558" t="n">
        <v>1</v>
      </c>
      <c r="H595" s="1556" t="s">
        <v>1523</v>
      </c>
      <c r="I595" s="1556" t="n">
        <v>9020066</v>
      </c>
      <c r="K595" s="2" t="s">
        <v>2465</v>
      </c>
      <c r="L595" s="2" t="s">
        <v>872</v>
      </c>
    </row>
    <row r="596" customFormat="false" ht="14.25" hidden="false" customHeight="false" outlineLevel="0" collapsed="false">
      <c r="A596" s="1556" t="n">
        <v>50</v>
      </c>
      <c r="B596" s="1556" t="s">
        <v>2255</v>
      </c>
      <c r="C596" s="1556" t="s">
        <v>605</v>
      </c>
      <c r="D596" s="1556" t="n">
        <v>50216</v>
      </c>
      <c r="E596" s="1556" t="n">
        <v>50215</v>
      </c>
      <c r="F596" s="1557" t="s">
        <v>2409</v>
      </c>
      <c r="G596" s="1558" t="n">
        <v>2</v>
      </c>
      <c r="H596" s="1556" t="s">
        <v>872</v>
      </c>
      <c r="I596" s="1556" t="n">
        <v>9020067</v>
      </c>
      <c r="K596" s="2" t="s">
        <v>2314</v>
      </c>
      <c r="L596" s="2" t="s">
        <v>1550</v>
      </c>
    </row>
    <row r="597" customFormat="false" ht="14.25" hidden="false" customHeight="false" outlineLevel="0" collapsed="false">
      <c r="A597" s="1556" t="n">
        <v>50</v>
      </c>
      <c r="B597" s="1556" t="s">
        <v>1788</v>
      </c>
      <c r="C597" s="1556" t="s">
        <v>605</v>
      </c>
      <c r="D597" s="1556" t="n">
        <v>50217</v>
      </c>
      <c r="E597" s="1556" t="n">
        <v>50216</v>
      </c>
      <c r="F597" s="1557" t="s">
        <v>2410</v>
      </c>
      <c r="G597" s="1558" t="n">
        <v>2</v>
      </c>
      <c r="H597" s="1556" t="s">
        <v>872</v>
      </c>
      <c r="I597" s="1556" t="n">
        <v>9020067</v>
      </c>
      <c r="K597" s="2" t="s">
        <v>2315</v>
      </c>
      <c r="L597" s="2" t="s">
        <v>1523</v>
      </c>
    </row>
    <row r="598" customFormat="false" ht="14.25" hidden="false" customHeight="false" outlineLevel="0" collapsed="false">
      <c r="A598" s="1556" t="n">
        <v>50</v>
      </c>
      <c r="B598" s="1556" t="s">
        <v>2260</v>
      </c>
      <c r="C598" s="1556" t="s">
        <v>605</v>
      </c>
      <c r="D598" s="1556" t="n">
        <v>50218</v>
      </c>
      <c r="E598" s="1556" t="n">
        <v>50217</v>
      </c>
      <c r="F598" s="1557" t="s">
        <v>2411</v>
      </c>
      <c r="G598" s="1558" t="n">
        <v>2</v>
      </c>
      <c r="H598" s="1556" t="s">
        <v>872</v>
      </c>
      <c r="I598" s="1556" t="n">
        <v>9020067</v>
      </c>
      <c r="K598" s="2" t="s">
        <v>2466</v>
      </c>
      <c r="L598" s="2" t="s">
        <v>1523</v>
      </c>
    </row>
    <row r="599" customFormat="false" ht="14.25" hidden="false" customHeight="false" outlineLevel="0" collapsed="false">
      <c r="A599" s="1556" t="n">
        <v>50</v>
      </c>
      <c r="B599" s="1556" t="s">
        <v>2262</v>
      </c>
      <c r="C599" s="1556" t="s">
        <v>605</v>
      </c>
      <c r="D599" s="1556" t="n">
        <v>50219</v>
      </c>
      <c r="E599" s="1556" t="n">
        <v>50218</v>
      </c>
      <c r="F599" s="1557" t="s">
        <v>2413</v>
      </c>
      <c r="G599" s="1558" t="n">
        <v>2</v>
      </c>
      <c r="H599" s="1556" t="s">
        <v>872</v>
      </c>
      <c r="I599" s="1556" t="n">
        <v>9020067</v>
      </c>
      <c r="K599" s="2" t="s">
        <v>2316</v>
      </c>
      <c r="L599" s="2" t="s">
        <v>1523</v>
      </c>
    </row>
    <row r="600" customFormat="false" ht="14.25" hidden="false" customHeight="false" outlineLevel="0" collapsed="false">
      <c r="A600" s="1556" t="n">
        <v>50</v>
      </c>
      <c r="B600" s="1556" t="s">
        <v>2264</v>
      </c>
      <c r="C600" s="1556" t="s">
        <v>605</v>
      </c>
      <c r="D600" s="1556" t="n">
        <v>50220</v>
      </c>
      <c r="E600" s="1556" t="n">
        <v>50219</v>
      </c>
      <c r="F600" s="1557" t="s">
        <v>2415</v>
      </c>
      <c r="G600" s="1558" t="n">
        <v>2</v>
      </c>
      <c r="H600" s="1556" t="s">
        <v>872</v>
      </c>
      <c r="I600" s="1556" t="n">
        <v>9020067</v>
      </c>
      <c r="K600" s="2" t="s">
        <v>2467</v>
      </c>
      <c r="L600" s="2" t="s">
        <v>1523</v>
      </c>
    </row>
    <row r="601" customFormat="false" ht="14.25" hidden="false" customHeight="false" outlineLevel="0" collapsed="false">
      <c r="A601" s="1556" t="n">
        <v>50</v>
      </c>
      <c r="B601" s="1556" t="s">
        <v>2266</v>
      </c>
      <c r="C601" s="1556" t="s">
        <v>605</v>
      </c>
      <c r="D601" s="1556" t="n">
        <v>50221</v>
      </c>
      <c r="E601" s="1556" t="n">
        <v>50220</v>
      </c>
      <c r="F601" s="1557" t="s">
        <v>2417</v>
      </c>
      <c r="G601" s="1558" t="n">
        <v>2</v>
      </c>
      <c r="H601" s="1556" t="s">
        <v>872</v>
      </c>
      <c r="I601" s="1556" t="n">
        <v>9020067</v>
      </c>
      <c r="K601" s="2" t="s">
        <v>2318</v>
      </c>
      <c r="L601" s="2" t="s">
        <v>1523</v>
      </c>
    </row>
    <row r="602" customFormat="false" ht="14.25" hidden="false" customHeight="false" outlineLevel="0" collapsed="false">
      <c r="A602" s="1556" t="n">
        <v>50</v>
      </c>
      <c r="B602" s="1556" t="s">
        <v>2269</v>
      </c>
      <c r="C602" s="1556" t="s">
        <v>605</v>
      </c>
      <c r="D602" s="1556" t="n">
        <v>50223</v>
      </c>
      <c r="E602" s="1556" t="n">
        <v>50221</v>
      </c>
      <c r="F602" s="1557" t="s">
        <v>2418</v>
      </c>
      <c r="G602" s="1558" t="n">
        <v>1</v>
      </c>
      <c r="H602" s="1556" t="s">
        <v>1523</v>
      </c>
      <c r="I602" s="1556" t="n">
        <v>9020066</v>
      </c>
      <c r="K602" s="2" t="s">
        <v>2321</v>
      </c>
      <c r="L602" s="2" t="s">
        <v>1523</v>
      </c>
    </row>
    <row r="603" customFormat="false" ht="14.25" hidden="false" customHeight="false" outlineLevel="0" collapsed="false">
      <c r="A603" s="1556" t="n">
        <v>50</v>
      </c>
      <c r="B603" s="1556" t="s">
        <v>2272</v>
      </c>
      <c r="C603" s="1556" t="s">
        <v>605</v>
      </c>
      <c r="D603" s="1556" t="n">
        <v>50224</v>
      </c>
      <c r="E603" s="1556" t="n">
        <v>50222</v>
      </c>
      <c r="F603" s="1557" t="s">
        <v>2420</v>
      </c>
      <c r="G603" s="1558" t="n">
        <v>2</v>
      </c>
      <c r="H603" s="1556" t="s">
        <v>872</v>
      </c>
      <c r="I603" s="1556" t="n">
        <v>9020067</v>
      </c>
      <c r="K603" s="2" t="s">
        <v>2468</v>
      </c>
      <c r="L603" s="2" t="s">
        <v>1523</v>
      </c>
    </row>
    <row r="604" customFormat="false" ht="14.25" hidden="false" customHeight="false" outlineLevel="0" collapsed="false">
      <c r="A604" s="1556" t="n">
        <v>50</v>
      </c>
      <c r="B604" s="1556" t="s">
        <v>2275</v>
      </c>
      <c r="C604" s="1556" t="s">
        <v>605</v>
      </c>
      <c r="D604" s="1556" t="n">
        <v>50225</v>
      </c>
      <c r="E604" s="1556" t="n">
        <v>50223</v>
      </c>
      <c r="F604" s="1557" t="s">
        <v>2422</v>
      </c>
      <c r="G604" s="1558" t="n">
        <v>2</v>
      </c>
      <c r="H604" s="1556" t="s">
        <v>872</v>
      </c>
      <c r="I604" s="1556" t="n">
        <v>9020067</v>
      </c>
      <c r="K604" s="2" t="s">
        <v>2469</v>
      </c>
      <c r="L604" s="2" t="s">
        <v>1523</v>
      </c>
    </row>
    <row r="605" customFormat="false" ht="14.25" hidden="false" customHeight="false" outlineLevel="0" collapsed="false">
      <c r="A605" s="1556" t="n">
        <v>50</v>
      </c>
      <c r="B605" s="1556" t="s">
        <v>1793</v>
      </c>
      <c r="C605" s="1556" t="s">
        <v>605</v>
      </c>
      <c r="D605" s="1556" t="n">
        <v>50226</v>
      </c>
      <c r="E605" s="1556" t="n">
        <v>50224</v>
      </c>
      <c r="F605" s="1557" t="s">
        <v>2423</v>
      </c>
      <c r="G605" s="1558" t="n">
        <v>2</v>
      </c>
      <c r="H605" s="1556" t="s">
        <v>872</v>
      </c>
      <c r="I605" s="1556" t="n">
        <v>9020067</v>
      </c>
      <c r="K605" s="2" t="s">
        <v>2323</v>
      </c>
      <c r="L605" s="2" t="s">
        <v>1523</v>
      </c>
    </row>
    <row r="606" customFormat="false" ht="14.25" hidden="false" customHeight="false" outlineLevel="0" collapsed="false">
      <c r="A606" s="1556" t="n">
        <v>50</v>
      </c>
      <c r="B606" s="1556" t="s">
        <v>1795</v>
      </c>
      <c r="C606" s="1556" t="s">
        <v>605</v>
      </c>
      <c r="D606" s="1556" t="n">
        <v>50227</v>
      </c>
      <c r="E606" s="1556" t="n">
        <v>50225</v>
      </c>
      <c r="F606" s="1557" t="s">
        <v>2424</v>
      </c>
      <c r="G606" s="1558" t="n">
        <v>2</v>
      </c>
      <c r="H606" s="1556" t="s">
        <v>872</v>
      </c>
      <c r="I606" s="1556" t="n">
        <v>9020067</v>
      </c>
      <c r="K606" s="2" t="s">
        <v>2470</v>
      </c>
      <c r="L606" s="2" t="s">
        <v>1523</v>
      </c>
    </row>
    <row r="607" customFormat="false" ht="14.25" hidden="false" customHeight="false" outlineLevel="0" collapsed="false">
      <c r="A607" s="1556" t="n">
        <v>50</v>
      </c>
      <c r="B607" s="1556" t="s">
        <v>2471</v>
      </c>
      <c r="C607" s="1556" t="s">
        <v>605</v>
      </c>
      <c r="D607" s="1556" t="n">
        <v>50229</v>
      </c>
      <c r="E607" s="1556" t="n">
        <v>50227</v>
      </c>
      <c r="F607" s="1557" t="s">
        <v>2425</v>
      </c>
      <c r="G607" s="1558" t="n">
        <v>2</v>
      </c>
      <c r="H607" s="1556" t="s">
        <v>872</v>
      </c>
      <c r="I607" s="1556" t="n">
        <v>9020067</v>
      </c>
      <c r="K607" s="2" t="s">
        <v>2472</v>
      </c>
      <c r="L607" s="2" t="s">
        <v>1523</v>
      </c>
    </row>
    <row r="608" customFormat="false" ht="14.25" hidden="false" customHeight="false" outlineLevel="0" collapsed="false">
      <c r="A608" s="1556" t="n">
        <v>50</v>
      </c>
      <c r="B608" s="1556" t="s">
        <v>1797</v>
      </c>
      <c r="C608" s="1556" t="s">
        <v>605</v>
      </c>
      <c r="D608" s="1556" t="n">
        <v>50230</v>
      </c>
      <c r="E608" s="1556" t="n">
        <v>50228</v>
      </c>
      <c r="F608" s="1557" t="s">
        <v>2426</v>
      </c>
      <c r="G608" s="1558" t="n">
        <v>2</v>
      </c>
      <c r="H608" s="1556" t="s">
        <v>872</v>
      </c>
      <c r="I608" s="1556" t="n">
        <v>9020067</v>
      </c>
      <c r="K608" s="2" t="s">
        <v>2325</v>
      </c>
      <c r="L608" s="2" t="s">
        <v>872</v>
      </c>
    </row>
    <row r="609" customFormat="false" ht="14.25" hidden="false" customHeight="false" outlineLevel="0" collapsed="false">
      <c r="A609" s="1556" t="n">
        <v>50</v>
      </c>
      <c r="B609" s="1556" t="s">
        <v>1800</v>
      </c>
      <c r="C609" s="1556" t="s">
        <v>605</v>
      </c>
      <c r="D609" s="1556" t="n">
        <v>50231</v>
      </c>
      <c r="E609" s="1556" t="n">
        <v>50229</v>
      </c>
      <c r="F609" s="1557" t="s">
        <v>2427</v>
      </c>
      <c r="G609" s="1558" t="n">
        <v>1</v>
      </c>
      <c r="H609" s="1556" t="s">
        <v>1523</v>
      </c>
      <c r="I609" s="1556" t="n">
        <v>9020066</v>
      </c>
      <c r="K609" s="2" t="s">
        <v>2473</v>
      </c>
      <c r="L609" s="2" t="s">
        <v>872</v>
      </c>
    </row>
    <row r="610" customFormat="false" ht="14.25" hidden="false" customHeight="false" outlineLevel="0" collapsed="false">
      <c r="A610" s="1556" t="n">
        <v>50</v>
      </c>
      <c r="B610" s="1556" t="s">
        <v>1818</v>
      </c>
      <c r="C610" s="1556" t="s">
        <v>605</v>
      </c>
      <c r="D610" s="1556" t="n">
        <v>50244</v>
      </c>
      <c r="E610" s="1556" t="n">
        <v>50241</v>
      </c>
      <c r="F610" s="1557" t="s">
        <v>2428</v>
      </c>
      <c r="G610" s="1558" t="n">
        <v>1</v>
      </c>
      <c r="H610" s="1556" t="s">
        <v>1523</v>
      </c>
      <c r="I610" s="1556" t="n">
        <v>9020066</v>
      </c>
      <c r="K610" s="2" t="s">
        <v>2474</v>
      </c>
      <c r="L610" s="2" t="s">
        <v>1523</v>
      </c>
    </row>
    <row r="611" customFormat="false" ht="14.25" hidden="false" customHeight="false" outlineLevel="0" collapsed="false">
      <c r="A611" s="1556" t="n">
        <v>50</v>
      </c>
      <c r="B611" s="1556" t="s">
        <v>2304</v>
      </c>
      <c r="C611" s="1556" t="s">
        <v>605</v>
      </c>
      <c r="D611" s="1556" t="n">
        <v>50234</v>
      </c>
      <c r="E611" s="1556" t="n">
        <v>50231</v>
      </c>
      <c r="F611" s="1557" t="s">
        <v>2430</v>
      </c>
      <c r="G611" s="1558" t="n">
        <v>2</v>
      </c>
      <c r="H611" s="1556" t="s">
        <v>872</v>
      </c>
      <c r="I611" s="1556" t="n">
        <v>9020067</v>
      </c>
      <c r="K611" s="2" t="s">
        <v>2475</v>
      </c>
      <c r="L611" s="2" t="s">
        <v>1523</v>
      </c>
    </row>
    <row r="612" customFormat="false" ht="14.25" hidden="false" customHeight="false" outlineLevel="0" collapsed="false">
      <c r="A612" s="1556" t="n">
        <v>50</v>
      </c>
      <c r="B612" s="1556" t="s">
        <v>2306</v>
      </c>
      <c r="C612" s="1556" t="s">
        <v>605</v>
      </c>
      <c r="D612" s="1556" t="n">
        <v>50235</v>
      </c>
      <c r="E612" s="1556" t="n">
        <v>50232</v>
      </c>
      <c r="F612" s="1557" t="s">
        <v>2431</v>
      </c>
      <c r="G612" s="1558" t="n">
        <v>1</v>
      </c>
      <c r="H612" s="1556" t="s">
        <v>1523</v>
      </c>
      <c r="I612" s="1556" t="n">
        <v>9020066</v>
      </c>
      <c r="K612" s="2" t="s">
        <v>2328</v>
      </c>
      <c r="L612" s="2" t="s">
        <v>1523</v>
      </c>
    </row>
    <row r="613" customFormat="false" ht="14.25" hidden="false" customHeight="false" outlineLevel="0" collapsed="false">
      <c r="A613" s="1556" t="n">
        <v>50</v>
      </c>
      <c r="B613" s="1556" t="s">
        <v>1802</v>
      </c>
      <c r="C613" s="1556" t="s">
        <v>605</v>
      </c>
      <c r="D613" s="1556" t="n">
        <v>50236</v>
      </c>
      <c r="E613" s="1556" t="n">
        <v>50233</v>
      </c>
      <c r="F613" s="1557" t="s">
        <v>2432</v>
      </c>
      <c r="G613" s="1558" t="n">
        <v>2</v>
      </c>
      <c r="H613" s="1556" t="s">
        <v>872</v>
      </c>
      <c r="I613" s="1556" t="n">
        <v>9020067</v>
      </c>
      <c r="K613" s="2" t="s">
        <v>2476</v>
      </c>
      <c r="L613" s="2" t="s">
        <v>1523</v>
      </c>
    </row>
    <row r="614" customFormat="false" ht="14.25" hidden="false" customHeight="false" outlineLevel="0" collapsed="false">
      <c r="A614" s="1556" t="n">
        <v>50</v>
      </c>
      <c r="B614" s="1556" t="s">
        <v>2295</v>
      </c>
      <c r="C614" s="1556" t="s">
        <v>605</v>
      </c>
      <c r="D614" s="1556" t="n">
        <v>50237</v>
      </c>
      <c r="E614" s="1556" t="n">
        <v>50234</v>
      </c>
      <c r="F614" s="1557" t="s">
        <v>2433</v>
      </c>
      <c r="G614" s="1558" t="n">
        <v>1</v>
      </c>
      <c r="H614" s="1556" t="s">
        <v>1523</v>
      </c>
      <c r="I614" s="1556" t="n">
        <v>9020066</v>
      </c>
      <c r="K614" s="2" t="s">
        <v>2330</v>
      </c>
      <c r="L614" s="2" t="s">
        <v>1523</v>
      </c>
    </row>
    <row r="615" customFormat="false" ht="14.25" hidden="false" customHeight="false" outlineLevel="0" collapsed="false">
      <c r="A615" s="1556" t="n">
        <v>50</v>
      </c>
      <c r="B615" s="1556" t="s">
        <v>2298</v>
      </c>
      <c r="C615" s="1556" t="s">
        <v>605</v>
      </c>
      <c r="D615" s="1556" t="n">
        <v>50238</v>
      </c>
      <c r="E615" s="1556" t="n">
        <v>50235</v>
      </c>
      <c r="F615" s="1557" t="s">
        <v>2435</v>
      </c>
      <c r="G615" s="1558" t="n">
        <v>2</v>
      </c>
      <c r="H615" s="1556" t="s">
        <v>872</v>
      </c>
      <c r="I615" s="1556" t="n">
        <v>9020067</v>
      </c>
      <c r="K615" s="2" t="s">
        <v>2333</v>
      </c>
      <c r="L615" s="2" t="s">
        <v>1550</v>
      </c>
    </row>
    <row r="616" customFormat="false" ht="14.25" hidden="false" customHeight="false" outlineLevel="0" collapsed="false">
      <c r="A616" s="1556" t="n">
        <v>50</v>
      </c>
      <c r="B616" s="1556" t="s">
        <v>1805</v>
      </c>
      <c r="C616" s="1556" t="s">
        <v>605</v>
      </c>
      <c r="D616" s="1556" t="n">
        <v>50239</v>
      </c>
      <c r="E616" s="1556" t="n">
        <v>50236</v>
      </c>
      <c r="F616" s="1557" t="s">
        <v>2437</v>
      </c>
      <c r="G616" s="1558" t="n">
        <v>1</v>
      </c>
      <c r="H616" s="1556" t="s">
        <v>1523</v>
      </c>
      <c r="I616" s="1556" t="n">
        <v>9020066</v>
      </c>
      <c r="K616" s="2" t="s">
        <v>2336</v>
      </c>
      <c r="L616" s="2" t="s">
        <v>872</v>
      </c>
    </row>
    <row r="617" customFormat="false" ht="14.25" hidden="false" customHeight="false" outlineLevel="0" collapsed="false">
      <c r="A617" s="1556" t="n">
        <v>50</v>
      </c>
      <c r="B617" s="1556" t="s">
        <v>2301</v>
      </c>
      <c r="C617" s="1556" t="s">
        <v>605</v>
      </c>
      <c r="D617" s="1556" t="n">
        <v>50240</v>
      </c>
      <c r="E617" s="1556" t="n">
        <v>50237</v>
      </c>
      <c r="F617" s="1557" t="s">
        <v>2438</v>
      </c>
      <c r="G617" s="1558" t="n">
        <v>1</v>
      </c>
      <c r="H617" s="1556" t="s">
        <v>1523</v>
      </c>
      <c r="I617" s="1556" t="n">
        <v>9020066</v>
      </c>
      <c r="K617" s="2" t="s">
        <v>2338</v>
      </c>
      <c r="L617" s="2" t="s">
        <v>1523</v>
      </c>
    </row>
    <row r="618" customFormat="false" ht="14.25" hidden="false" customHeight="false" outlineLevel="0" collapsed="false">
      <c r="A618" s="1556" t="n">
        <v>50</v>
      </c>
      <c r="B618" s="1556" t="s">
        <v>1807</v>
      </c>
      <c r="C618" s="1556" t="s">
        <v>605</v>
      </c>
      <c r="D618" s="1556" t="n">
        <v>50241</v>
      </c>
      <c r="E618" s="1556" t="n">
        <v>50238</v>
      </c>
      <c r="F618" s="1557" t="s">
        <v>2439</v>
      </c>
      <c r="G618" s="1558" t="n">
        <v>1</v>
      </c>
      <c r="H618" s="1556" t="s">
        <v>1523</v>
      </c>
      <c r="I618" s="1556" t="n">
        <v>9020066</v>
      </c>
      <c r="K618" s="2" t="s">
        <v>2477</v>
      </c>
      <c r="L618" s="2" t="s">
        <v>1523</v>
      </c>
    </row>
    <row r="619" customFormat="false" ht="14.25" hidden="false" customHeight="false" outlineLevel="0" collapsed="false">
      <c r="A619" s="1556" t="n">
        <v>50</v>
      </c>
      <c r="B619" s="1556" t="s">
        <v>1812</v>
      </c>
      <c r="C619" s="1556" t="s">
        <v>605</v>
      </c>
      <c r="D619" s="1556" t="n">
        <v>50242</v>
      </c>
      <c r="E619" s="1556" t="n">
        <v>50239</v>
      </c>
      <c r="F619" s="1557" t="s">
        <v>2440</v>
      </c>
      <c r="G619" s="1558" t="n">
        <v>1</v>
      </c>
      <c r="H619" s="1556" t="s">
        <v>1523</v>
      </c>
      <c r="I619" s="1556" t="n">
        <v>9020066</v>
      </c>
      <c r="K619" s="2" t="s">
        <v>2340</v>
      </c>
      <c r="L619" s="2" t="s">
        <v>1523</v>
      </c>
    </row>
    <row r="620" customFormat="false" ht="14.25" hidden="false" customHeight="false" outlineLevel="0" collapsed="false">
      <c r="A620" s="1556" t="n">
        <v>50</v>
      </c>
      <c r="B620" s="1556" t="s">
        <v>1815</v>
      </c>
      <c r="C620" s="1556" t="s">
        <v>605</v>
      </c>
      <c r="D620" s="1556" t="n">
        <v>50243</v>
      </c>
      <c r="E620" s="1556" t="n">
        <v>50240</v>
      </c>
      <c r="F620" s="1557" t="s">
        <v>2441</v>
      </c>
      <c r="G620" s="1558" t="n">
        <v>2</v>
      </c>
      <c r="H620" s="1556" t="s">
        <v>872</v>
      </c>
      <c r="I620" s="1556" t="n">
        <v>9020067</v>
      </c>
      <c r="K620" s="2" t="s">
        <v>2341</v>
      </c>
      <c r="L620" s="2" t="s">
        <v>872</v>
      </c>
    </row>
    <row r="621" customFormat="false" ht="14.25" hidden="false" customHeight="false" outlineLevel="0" collapsed="false">
      <c r="A621" s="1556" t="n">
        <v>50</v>
      </c>
      <c r="B621" s="1556" t="s">
        <v>1821</v>
      </c>
      <c r="C621" s="1556" t="s">
        <v>605</v>
      </c>
      <c r="D621" s="1556" t="n">
        <v>50245</v>
      </c>
      <c r="E621" s="1556" t="n">
        <v>50242</v>
      </c>
      <c r="F621" s="1557" t="s">
        <v>2443</v>
      </c>
      <c r="G621" s="1558" t="n">
        <v>1</v>
      </c>
      <c r="H621" s="1556" t="s">
        <v>1523</v>
      </c>
      <c r="I621" s="1556" t="n">
        <v>9020066</v>
      </c>
      <c r="K621" s="2" t="s">
        <v>2343</v>
      </c>
      <c r="L621" s="2" t="s">
        <v>1523</v>
      </c>
    </row>
    <row r="622" customFormat="false" ht="14.25" hidden="false" customHeight="false" outlineLevel="0" collapsed="false">
      <c r="A622" s="1556" t="n">
        <v>50</v>
      </c>
      <c r="B622" s="1556" t="s">
        <v>1824</v>
      </c>
      <c r="C622" s="1556" t="s">
        <v>605</v>
      </c>
      <c r="D622" s="1556" t="n">
        <v>50246</v>
      </c>
      <c r="E622" s="1556" t="n">
        <v>50243</v>
      </c>
      <c r="F622" s="1557" t="s">
        <v>2444</v>
      </c>
      <c r="G622" s="1558" t="n">
        <v>1</v>
      </c>
      <c r="H622" s="1556" t="s">
        <v>1523</v>
      </c>
      <c r="I622" s="1556" t="n">
        <v>9020066</v>
      </c>
      <c r="K622" s="2" t="s">
        <v>1932</v>
      </c>
      <c r="L622" s="2" t="s">
        <v>872</v>
      </c>
    </row>
    <row r="623" customFormat="false" ht="14.25" hidden="false" customHeight="false" outlineLevel="0" collapsed="false">
      <c r="A623" s="1556" t="n">
        <v>50</v>
      </c>
      <c r="B623" s="1556" t="s">
        <v>2317</v>
      </c>
      <c r="C623" s="1556" t="s">
        <v>605</v>
      </c>
      <c r="D623" s="1556" t="n">
        <v>50247</v>
      </c>
      <c r="E623" s="1556" t="n">
        <v>50244</v>
      </c>
      <c r="F623" s="1557" t="s">
        <v>2446</v>
      </c>
      <c r="G623" s="1558" t="n">
        <v>2</v>
      </c>
      <c r="H623" s="1556" t="s">
        <v>872</v>
      </c>
      <c r="I623" s="1556" t="n">
        <v>9020067</v>
      </c>
      <c r="K623" s="2" t="s">
        <v>2344</v>
      </c>
      <c r="L623" s="2" t="s">
        <v>872</v>
      </c>
    </row>
    <row r="624" customFormat="false" ht="14.25" hidden="false" customHeight="false" outlineLevel="0" collapsed="false">
      <c r="A624" s="1556" t="n">
        <v>50</v>
      </c>
      <c r="B624" s="1556" t="s">
        <v>2320</v>
      </c>
      <c r="C624" s="1556" t="s">
        <v>605</v>
      </c>
      <c r="D624" s="1556" t="n">
        <v>50248</v>
      </c>
      <c r="E624" s="1556" t="n">
        <v>50245</v>
      </c>
      <c r="F624" s="1557" t="s">
        <v>2447</v>
      </c>
      <c r="G624" s="1558" t="n">
        <v>1</v>
      </c>
      <c r="H624" s="1556" t="s">
        <v>1523</v>
      </c>
      <c r="I624" s="1556" t="n">
        <v>9020066</v>
      </c>
      <c r="K624" s="2" t="s">
        <v>1935</v>
      </c>
      <c r="L624" s="2" t="s">
        <v>1523</v>
      </c>
    </row>
    <row r="625" customFormat="false" ht="14.25" hidden="false" customHeight="false" outlineLevel="0" collapsed="false">
      <c r="A625" s="1556" t="n">
        <v>50</v>
      </c>
      <c r="B625" s="1556" t="s">
        <v>1827</v>
      </c>
      <c r="C625" s="1556" t="s">
        <v>605</v>
      </c>
      <c r="D625" s="1556" t="n">
        <v>50249</v>
      </c>
      <c r="E625" s="1556" t="n">
        <v>50246</v>
      </c>
      <c r="F625" s="1557" t="s">
        <v>2448</v>
      </c>
      <c r="G625" s="1558" t="n">
        <v>1</v>
      </c>
      <c r="H625" s="1556" t="s">
        <v>1523</v>
      </c>
      <c r="I625" s="1556" t="n">
        <v>9020066</v>
      </c>
      <c r="K625" s="2" t="s">
        <v>1938</v>
      </c>
      <c r="L625" s="2" t="s">
        <v>1523</v>
      </c>
    </row>
    <row r="626" customFormat="false" ht="14.25" hidden="false" customHeight="false" outlineLevel="0" collapsed="false">
      <c r="A626" s="1556" t="n">
        <v>50</v>
      </c>
      <c r="B626" s="1556" t="s">
        <v>2327</v>
      </c>
      <c r="C626" s="1556" t="s">
        <v>605</v>
      </c>
      <c r="D626" s="1556" t="n">
        <v>50251</v>
      </c>
      <c r="E626" s="1556" t="n">
        <v>50248</v>
      </c>
      <c r="F626" s="1557" t="s">
        <v>2449</v>
      </c>
      <c r="G626" s="1558" t="n">
        <v>1</v>
      </c>
      <c r="H626" s="1556" t="s">
        <v>1523</v>
      </c>
      <c r="I626" s="1556" t="n">
        <v>9020066</v>
      </c>
      <c r="K626" s="2" t="s">
        <v>1941</v>
      </c>
      <c r="L626" s="2" t="s">
        <v>1523</v>
      </c>
    </row>
    <row r="627" customFormat="false" ht="14.25" hidden="false" customHeight="false" outlineLevel="0" collapsed="false">
      <c r="A627" s="1556" t="n">
        <v>50</v>
      </c>
      <c r="B627" s="1556" t="s">
        <v>2329</v>
      </c>
      <c r="C627" s="1556" t="s">
        <v>605</v>
      </c>
      <c r="D627" s="1556" t="n">
        <v>50252</v>
      </c>
      <c r="E627" s="1556" t="n">
        <v>50249</v>
      </c>
      <c r="F627" s="1557" t="s">
        <v>2450</v>
      </c>
      <c r="G627" s="1558" t="n">
        <v>1</v>
      </c>
      <c r="H627" s="1556" t="s">
        <v>1523</v>
      </c>
      <c r="I627" s="1556" t="n">
        <v>9020066</v>
      </c>
      <c r="K627" s="2" t="s">
        <v>2347</v>
      </c>
      <c r="L627" s="2" t="s">
        <v>1523</v>
      </c>
    </row>
    <row r="628" customFormat="false" ht="14.25" hidden="false" customHeight="false" outlineLevel="0" collapsed="false">
      <c r="A628" s="1556" t="n">
        <v>50</v>
      </c>
      <c r="B628" s="1556" t="s">
        <v>2332</v>
      </c>
      <c r="C628" s="1556" t="s">
        <v>605</v>
      </c>
      <c r="D628" s="1556" t="n">
        <v>50253</v>
      </c>
      <c r="E628" s="1556" t="n">
        <v>50250</v>
      </c>
      <c r="F628" s="1557" t="s">
        <v>2451</v>
      </c>
      <c r="G628" s="1558" t="n">
        <v>1</v>
      </c>
      <c r="H628" s="1556" t="s">
        <v>1523</v>
      </c>
      <c r="I628" s="1556" t="n">
        <v>9020066</v>
      </c>
      <c r="K628" s="2" t="s">
        <v>2478</v>
      </c>
      <c r="L628" s="2" t="s">
        <v>872</v>
      </c>
    </row>
    <row r="629" customFormat="false" ht="14.25" hidden="false" customHeight="false" outlineLevel="0" collapsed="false">
      <c r="A629" s="1556" t="n">
        <v>50</v>
      </c>
      <c r="B629" s="1556" t="s">
        <v>2335</v>
      </c>
      <c r="C629" s="1556" t="s">
        <v>605</v>
      </c>
      <c r="D629" s="1556" t="n">
        <v>50254</v>
      </c>
      <c r="E629" s="1556" t="n">
        <v>50251</v>
      </c>
      <c r="F629" s="1557" t="s">
        <v>2452</v>
      </c>
      <c r="G629" s="1558" t="n">
        <v>1</v>
      </c>
      <c r="H629" s="1556" t="s">
        <v>1523</v>
      </c>
      <c r="I629" s="1556" t="n">
        <v>9020066</v>
      </c>
      <c r="K629" s="2" t="s">
        <v>2479</v>
      </c>
      <c r="L629" s="2" t="s">
        <v>872</v>
      </c>
    </row>
    <row r="630" customFormat="false" ht="14.25" hidden="false" customHeight="false" outlineLevel="0" collapsed="false">
      <c r="A630" s="1556" t="n">
        <v>50</v>
      </c>
      <c r="B630" s="1556" t="s">
        <v>1833</v>
      </c>
      <c r="C630" s="1556" t="s">
        <v>605</v>
      </c>
      <c r="D630" s="1556" t="n">
        <v>50255</v>
      </c>
      <c r="E630" s="1556" t="n">
        <v>50252</v>
      </c>
      <c r="F630" s="1557" t="s">
        <v>2453</v>
      </c>
      <c r="G630" s="1558" t="n">
        <v>2</v>
      </c>
      <c r="H630" s="1556" t="s">
        <v>872</v>
      </c>
      <c r="I630" s="1556" t="n">
        <v>9020067</v>
      </c>
      <c r="K630" s="2" t="s">
        <v>2480</v>
      </c>
      <c r="L630" s="2" t="s">
        <v>1523</v>
      </c>
    </row>
    <row r="631" customFormat="false" ht="14.25" hidden="false" customHeight="false" outlineLevel="0" collapsed="false">
      <c r="A631" s="1556" t="n">
        <v>50</v>
      </c>
      <c r="B631" s="1556" t="s">
        <v>1835</v>
      </c>
      <c r="C631" s="1556" t="s">
        <v>605</v>
      </c>
      <c r="D631" s="1556" t="n">
        <v>50256</v>
      </c>
      <c r="E631" s="1556" t="n">
        <v>50253</v>
      </c>
      <c r="F631" s="1557" t="s">
        <v>2454</v>
      </c>
      <c r="G631" s="1558" t="n">
        <v>1</v>
      </c>
      <c r="H631" s="1556" t="s">
        <v>1523</v>
      </c>
      <c r="I631" s="1556" t="n">
        <v>9020066</v>
      </c>
      <c r="K631" s="2" t="s">
        <v>2349</v>
      </c>
      <c r="L631" s="2" t="s">
        <v>1523</v>
      </c>
    </row>
    <row r="632" customFormat="false" ht="14.25" hidden="false" customHeight="false" outlineLevel="0" collapsed="false">
      <c r="A632" s="1556" t="n">
        <v>50</v>
      </c>
      <c r="B632" s="1556" t="s">
        <v>2337</v>
      </c>
      <c r="C632" s="1556" t="s">
        <v>605</v>
      </c>
      <c r="D632" s="1556" t="n">
        <v>50257</v>
      </c>
      <c r="E632" s="1556" t="n">
        <v>50254</v>
      </c>
      <c r="F632" s="1557" t="s">
        <v>2455</v>
      </c>
      <c r="G632" s="1558" t="n">
        <v>1</v>
      </c>
      <c r="H632" s="1556" t="s">
        <v>1523</v>
      </c>
      <c r="I632" s="1556" t="n">
        <v>9020066</v>
      </c>
      <c r="K632" s="2" t="s">
        <v>1944</v>
      </c>
      <c r="L632" s="2" t="s">
        <v>872</v>
      </c>
    </row>
    <row r="633" customFormat="false" ht="14.25" hidden="false" customHeight="false" outlineLevel="0" collapsed="false">
      <c r="A633" s="1556" t="n">
        <v>50</v>
      </c>
      <c r="B633" s="1556" t="s">
        <v>1837</v>
      </c>
      <c r="C633" s="1556" t="s">
        <v>605</v>
      </c>
      <c r="D633" s="1556" t="n">
        <v>50259</v>
      </c>
      <c r="E633" s="1556" t="n">
        <v>50255</v>
      </c>
      <c r="F633" s="1557" t="s">
        <v>2456</v>
      </c>
      <c r="G633" s="1558" t="n">
        <v>1</v>
      </c>
      <c r="H633" s="1556" t="s">
        <v>1523</v>
      </c>
      <c r="I633" s="1556" t="n">
        <v>9020066</v>
      </c>
      <c r="K633" s="2" t="s">
        <v>2481</v>
      </c>
      <c r="L633" s="2" t="s">
        <v>872</v>
      </c>
    </row>
    <row r="634" customFormat="false" ht="14.25" hidden="false" customHeight="false" outlineLevel="0" collapsed="false">
      <c r="A634" s="1556" t="n">
        <v>50</v>
      </c>
      <c r="B634" s="1556" t="s">
        <v>1842</v>
      </c>
      <c r="C634" s="1556" t="s">
        <v>605</v>
      </c>
      <c r="D634" s="1556" t="n">
        <v>50260</v>
      </c>
      <c r="E634" s="1556" t="n">
        <v>50256</v>
      </c>
      <c r="F634" s="1557" t="s">
        <v>2458</v>
      </c>
      <c r="G634" s="1558" t="n">
        <v>1</v>
      </c>
      <c r="H634" s="1556" t="s">
        <v>1523</v>
      </c>
      <c r="I634" s="1556" t="n">
        <v>9020066</v>
      </c>
      <c r="K634" s="2" t="s">
        <v>2482</v>
      </c>
      <c r="L634" s="2" t="s">
        <v>1523</v>
      </c>
    </row>
    <row r="635" customFormat="false" ht="14.25" hidden="false" customHeight="false" outlineLevel="0" collapsed="false">
      <c r="A635" s="1556" t="n">
        <v>50</v>
      </c>
      <c r="B635" s="1556" t="s">
        <v>1845</v>
      </c>
      <c r="C635" s="1556" t="s">
        <v>605</v>
      </c>
      <c r="D635" s="1556" t="n">
        <v>50261</v>
      </c>
      <c r="E635" s="1556" t="n">
        <v>50257</v>
      </c>
      <c r="F635" s="1557" t="s">
        <v>2459</v>
      </c>
      <c r="G635" s="1558" t="n">
        <v>1</v>
      </c>
      <c r="H635" s="1556" t="s">
        <v>1523</v>
      </c>
      <c r="I635" s="1556" t="n">
        <v>9020066</v>
      </c>
      <c r="K635" s="2" t="s">
        <v>2483</v>
      </c>
      <c r="L635" s="2" t="s">
        <v>872</v>
      </c>
    </row>
    <row r="636" customFormat="false" ht="14.25" hidden="false" customHeight="false" outlineLevel="0" collapsed="false">
      <c r="A636" s="1556" t="n">
        <v>50</v>
      </c>
      <c r="B636" s="1556" t="s">
        <v>2484</v>
      </c>
      <c r="C636" s="1556" t="s">
        <v>605</v>
      </c>
      <c r="D636" s="1556" t="n">
        <v>50262</v>
      </c>
      <c r="E636" s="1556" t="n">
        <v>50258</v>
      </c>
      <c r="F636" s="1557" t="s">
        <v>2460</v>
      </c>
      <c r="G636" s="1558" t="n">
        <v>2</v>
      </c>
      <c r="H636" s="1556" t="s">
        <v>872</v>
      </c>
      <c r="I636" s="1556" t="n">
        <v>9020067</v>
      </c>
      <c r="K636" s="2" t="s">
        <v>1947</v>
      </c>
      <c r="L636" s="2" t="s">
        <v>1523</v>
      </c>
    </row>
    <row r="637" customFormat="false" ht="14.25" hidden="false" customHeight="false" outlineLevel="0" collapsed="false">
      <c r="A637" s="1556" t="n">
        <v>50</v>
      </c>
      <c r="B637" s="1556" t="s">
        <v>2346</v>
      </c>
      <c r="C637" s="1556" t="s">
        <v>605</v>
      </c>
      <c r="D637" s="1556" t="n">
        <v>50263</v>
      </c>
      <c r="E637" s="1556" t="n">
        <v>50259</v>
      </c>
      <c r="F637" s="1557" t="s">
        <v>2461</v>
      </c>
      <c r="G637" s="1558" t="n">
        <v>2</v>
      </c>
      <c r="H637" s="1556" t="s">
        <v>872</v>
      </c>
      <c r="I637" s="1556" t="n">
        <v>9020067</v>
      </c>
      <c r="K637" s="2" t="s">
        <v>1950</v>
      </c>
      <c r="L637" s="2" t="s">
        <v>1523</v>
      </c>
    </row>
    <row r="638" customFormat="false" ht="14.25" hidden="false" customHeight="false" outlineLevel="0" collapsed="false">
      <c r="A638" s="1556" t="n">
        <v>50</v>
      </c>
      <c r="B638" s="1556" t="s">
        <v>2348</v>
      </c>
      <c r="C638" s="1556" t="s">
        <v>605</v>
      </c>
      <c r="D638" s="1556" t="n">
        <v>50264</v>
      </c>
      <c r="E638" s="1556" t="n">
        <v>50260</v>
      </c>
      <c r="F638" s="1557" t="s">
        <v>2462</v>
      </c>
      <c r="G638" s="1558" t="n">
        <v>1</v>
      </c>
      <c r="H638" s="1556" t="s">
        <v>1523</v>
      </c>
      <c r="I638" s="1556" t="n">
        <v>9020066</v>
      </c>
      <c r="K638" s="2" t="s">
        <v>1953</v>
      </c>
      <c r="L638" s="2" t="s">
        <v>872</v>
      </c>
    </row>
    <row r="639" customFormat="false" ht="14.25" hidden="false" customHeight="false" outlineLevel="0" collapsed="false">
      <c r="A639" s="1556" t="n">
        <v>50</v>
      </c>
      <c r="B639" s="1556" t="s">
        <v>2351</v>
      </c>
      <c r="C639" s="1556" t="s">
        <v>605</v>
      </c>
      <c r="D639" s="1556" t="n">
        <v>50265</v>
      </c>
      <c r="E639" s="1556" t="n">
        <v>50261</v>
      </c>
      <c r="F639" s="1557" t="s">
        <v>2463</v>
      </c>
      <c r="G639" s="1558" t="n">
        <v>3</v>
      </c>
      <c r="H639" s="1556" t="s">
        <v>1550</v>
      </c>
      <c r="I639" s="1556" t="n">
        <v>9020068</v>
      </c>
      <c r="K639" s="2" t="s">
        <v>2485</v>
      </c>
      <c r="L639" s="2" t="s">
        <v>872</v>
      </c>
    </row>
    <row r="640" customFormat="false" ht="14.25" hidden="false" customHeight="false" outlineLevel="0" collapsed="false">
      <c r="A640" s="1556" t="n">
        <v>50</v>
      </c>
      <c r="B640" s="1556" t="s">
        <v>1848</v>
      </c>
      <c r="C640" s="1556" t="s">
        <v>605</v>
      </c>
      <c r="D640" s="1556" t="n">
        <v>50266</v>
      </c>
      <c r="E640" s="1556" t="n">
        <v>50262</v>
      </c>
      <c r="F640" s="1557" t="s">
        <v>2465</v>
      </c>
      <c r="G640" s="1558" t="n">
        <v>2</v>
      </c>
      <c r="H640" s="1556" t="s">
        <v>872</v>
      </c>
      <c r="I640" s="1556" t="n">
        <v>9020067</v>
      </c>
      <c r="K640" s="2" t="s">
        <v>2486</v>
      </c>
      <c r="L640" s="2" t="s">
        <v>872</v>
      </c>
    </row>
    <row r="641" customFormat="false" ht="14.25" hidden="false" customHeight="false" outlineLevel="0" collapsed="false">
      <c r="A641" s="1556" t="n">
        <v>50</v>
      </c>
      <c r="B641" s="1556" t="s">
        <v>2487</v>
      </c>
      <c r="C641" s="1556" t="s">
        <v>605</v>
      </c>
      <c r="D641" s="1556" t="n">
        <v>50267</v>
      </c>
      <c r="E641" s="1556" t="n">
        <v>50263</v>
      </c>
      <c r="F641" s="1557" t="s">
        <v>2466</v>
      </c>
      <c r="G641" s="1558" t="n">
        <v>1</v>
      </c>
      <c r="H641" s="1556" t="s">
        <v>1523</v>
      </c>
      <c r="I641" s="1556" t="n">
        <v>9020066</v>
      </c>
      <c r="K641" s="2" t="s">
        <v>2488</v>
      </c>
      <c r="L641" s="2" t="s">
        <v>1523</v>
      </c>
    </row>
    <row r="642" customFormat="false" ht="14.25" hidden="false" customHeight="false" outlineLevel="0" collapsed="false">
      <c r="A642" s="1556" t="n">
        <v>50</v>
      </c>
      <c r="B642" s="1556" t="s">
        <v>2489</v>
      </c>
      <c r="C642" s="1556" t="s">
        <v>605</v>
      </c>
      <c r="D642" s="1556" t="n">
        <v>50268</v>
      </c>
      <c r="E642" s="1556" t="n">
        <v>50264</v>
      </c>
      <c r="F642" s="1557" t="s">
        <v>2467</v>
      </c>
      <c r="G642" s="1558" t="n">
        <v>1</v>
      </c>
      <c r="H642" s="1556" t="s">
        <v>1523</v>
      </c>
      <c r="I642" s="1556" t="n">
        <v>9020066</v>
      </c>
      <c r="K642" s="2" t="s">
        <v>2490</v>
      </c>
      <c r="L642" s="2" t="s">
        <v>872</v>
      </c>
    </row>
    <row r="643" customFormat="false" ht="14.25" hidden="false" customHeight="false" outlineLevel="0" collapsed="false">
      <c r="A643" s="1556" t="n">
        <v>50</v>
      </c>
      <c r="B643" s="1556" t="s">
        <v>2491</v>
      </c>
      <c r="C643" s="1556" t="s">
        <v>605</v>
      </c>
      <c r="D643" s="1556" t="n">
        <v>50269</v>
      </c>
      <c r="E643" s="1556" t="n">
        <v>50265</v>
      </c>
      <c r="F643" s="1557" t="s">
        <v>2468</v>
      </c>
      <c r="G643" s="1558" t="n">
        <v>1</v>
      </c>
      <c r="H643" s="1556" t="s">
        <v>1523</v>
      </c>
      <c r="I643" s="1556" t="n">
        <v>9020066</v>
      </c>
      <c r="K643" s="2" t="s">
        <v>2352</v>
      </c>
      <c r="L643" s="2" t="s">
        <v>1523</v>
      </c>
    </row>
    <row r="644" customFormat="false" ht="14.25" hidden="false" customHeight="false" outlineLevel="0" collapsed="false">
      <c r="A644" s="1556" t="n">
        <v>50</v>
      </c>
      <c r="B644" s="1556" t="s">
        <v>1809</v>
      </c>
      <c r="C644" s="1556" t="s">
        <v>605</v>
      </c>
      <c r="D644" s="1556" t="n">
        <v>50270</v>
      </c>
      <c r="E644" s="1556" t="n">
        <v>50266</v>
      </c>
      <c r="F644" s="1557" t="s">
        <v>2469</v>
      </c>
      <c r="G644" s="1558" t="n">
        <v>1</v>
      </c>
      <c r="H644" s="1556" t="s">
        <v>1523</v>
      </c>
      <c r="I644" s="1556" t="n">
        <v>9020066</v>
      </c>
      <c r="K644" s="2" t="s">
        <v>2353</v>
      </c>
      <c r="L644" s="2" t="s">
        <v>872</v>
      </c>
    </row>
    <row r="645" customFormat="false" ht="14.25" hidden="false" customHeight="false" outlineLevel="0" collapsed="false">
      <c r="A645" s="1556" t="n">
        <v>50</v>
      </c>
      <c r="B645" s="1556" t="s">
        <v>1851</v>
      </c>
      <c r="C645" s="1556" t="s">
        <v>605</v>
      </c>
      <c r="D645" s="1556" t="n">
        <v>50271</v>
      </c>
      <c r="E645" s="1556" t="n">
        <v>50267</v>
      </c>
      <c r="F645" s="1557" t="s">
        <v>2470</v>
      </c>
      <c r="G645" s="1558" t="n">
        <v>1</v>
      </c>
      <c r="H645" s="1556" t="s">
        <v>1523</v>
      </c>
      <c r="I645" s="1556" t="n">
        <v>9020066</v>
      </c>
      <c r="K645" s="2" t="s">
        <v>2492</v>
      </c>
      <c r="L645" s="2" t="s">
        <v>1523</v>
      </c>
    </row>
    <row r="646" customFormat="false" ht="14.25" hidden="false" customHeight="false" outlineLevel="0" collapsed="false">
      <c r="A646" s="1556" t="n">
        <v>50</v>
      </c>
      <c r="B646" s="1556" t="s">
        <v>1746</v>
      </c>
      <c r="C646" s="1556" t="s">
        <v>605</v>
      </c>
      <c r="D646" s="1556" t="n">
        <v>50272</v>
      </c>
      <c r="E646" s="1556" t="n">
        <v>50268</v>
      </c>
      <c r="F646" s="1557" t="s">
        <v>2472</v>
      </c>
      <c r="G646" s="1558" t="n">
        <v>1</v>
      </c>
      <c r="H646" s="1556" t="s">
        <v>1523</v>
      </c>
      <c r="I646" s="1556" t="n">
        <v>9020066</v>
      </c>
      <c r="K646" s="2" t="s">
        <v>2493</v>
      </c>
      <c r="L646" s="2" t="s">
        <v>1523</v>
      </c>
    </row>
    <row r="647" customFormat="false" ht="14.25" hidden="false" customHeight="false" outlineLevel="0" collapsed="false">
      <c r="A647" s="1556" t="n">
        <v>50</v>
      </c>
      <c r="B647" s="1556" t="s">
        <v>2357</v>
      </c>
      <c r="C647" s="1556" t="s">
        <v>605</v>
      </c>
      <c r="D647" s="1556" t="n">
        <v>50274</v>
      </c>
      <c r="E647" s="1556" t="n">
        <v>50269</v>
      </c>
      <c r="F647" s="1557" t="s">
        <v>2473</v>
      </c>
      <c r="G647" s="1558" t="n">
        <v>2</v>
      </c>
      <c r="H647" s="1556" t="s">
        <v>872</v>
      </c>
      <c r="I647" s="1556" t="n">
        <v>9020067</v>
      </c>
      <c r="K647" s="2" t="s">
        <v>2494</v>
      </c>
      <c r="L647" s="2" t="s">
        <v>872</v>
      </c>
    </row>
    <row r="648" customFormat="false" ht="14.25" hidden="false" customHeight="false" outlineLevel="0" collapsed="false">
      <c r="A648" s="1556" t="n">
        <v>50</v>
      </c>
      <c r="B648" s="1556" t="s">
        <v>1854</v>
      </c>
      <c r="C648" s="1556" t="s">
        <v>605</v>
      </c>
      <c r="D648" s="1556" t="n">
        <v>50275</v>
      </c>
      <c r="E648" s="1556" t="n">
        <v>50270</v>
      </c>
      <c r="F648" s="1557" t="s">
        <v>2474</v>
      </c>
      <c r="G648" s="1558" t="n">
        <v>1</v>
      </c>
      <c r="H648" s="1556" t="s">
        <v>1523</v>
      </c>
      <c r="I648" s="1556" t="n">
        <v>9020066</v>
      </c>
      <c r="K648" s="2" t="s">
        <v>1956</v>
      </c>
      <c r="L648" s="2" t="s">
        <v>1523</v>
      </c>
    </row>
    <row r="649" customFormat="false" ht="14.25" hidden="false" customHeight="false" outlineLevel="0" collapsed="false">
      <c r="A649" s="1556" t="n">
        <v>50</v>
      </c>
      <c r="B649" s="1556" t="s">
        <v>1856</v>
      </c>
      <c r="C649" s="1556" t="s">
        <v>605</v>
      </c>
      <c r="D649" s="1556" t="n">
        <v>50276</v>
      </c>
      <c r="E649" s="1556" t="n">
        <v>50271</v>
      </c>
      <c r="F649" s="1557" t="s">
        <v>2475</v>
      </c>
      <c r="G649" s="1558" t="n">
        <v>1</v>
      </c>
      <c r="H649" s="1556" t="s">
        <v>1523</v>
      </c>
      <c r="I649" s="1556" t="n">
        <v>9020066</v>
      </c>
      <c r="K649" s="2" t="s">
        <v>1958</v>
      </c>
      <c r="L649" s="2" t="s">
        <v>1523</v>
      </c>
    </row>
    <row r="650" customFormat="false" ht="14.25" hidden="false" customHeight="false" outlineLevel="0" collapsed="false">
      <c r="A650" s="1556" t="n">
        <v>50</v>
      </c>
      <c r="B650" s="1556" t="s">
        <v>1863</v>
      </c>
      <c r="C650" s="1556" t="s">
        <v>605</v>
      </c>
      <c r="D650" s="1556" t="n">
        <v>50279</v>
      </c>
      <c r="E650" s="1556" t="n">
        <v>50274</v>
      </c>
      <c r="F650" s="1557" t="s">
        <v>2476</v>
      </c>
      <c r="G650" s="1558" t="n">
        <v>1</v>
      </c>
      <c r="H650" s="1556" t="s">
        <v>1523</v>
      </c>
      <c r="I650" s="1556" t="n">
        <v>9020066</v>
      </c>
      <c r="K650" s="2" t="s">
        <v>2495</v>
      </c>
      <c r="L650" s="2" t="s">
        <v>872</v>
      </c>
    </row>
    <row r="651" customFormat="false" ht="14.25" hidden="false" customHeight="false" outlineLevel="0" collapsed="false">
      <c r="A651" s="1556" t="n">
        <v>50</v>
      </c>
      <c r="B651" s="1556" t="s">
        <v>1860</v>
      </c>
      <c r="C651" s="1556" t="s">
        <v>605</v>
      </c>
      <c r="D651" s="1556" t="n">
        <v>50278</v>
      </c>
      <c r="E651" s="1556" t="n">
        <v>50273</v>
      </c>
      <c r="F651" s="1557" t="s">
        <v>2477</v>
      </c>
      <c r="G651" s="1558" t="n">
        <v>1</v>
      </c>
      <c r="H651" s="1556" t="s">
        <v>1523</v>
      </c>
      <c r="I651" s="1556" t="n">
        <v>9020066</v>
      </c>
      <c r="K651" s="2" t="s">
        <v>2496</v>
      </c>
      <c r="L651" s="2" t="s">
        <v>872</v>
      </c>
    </row>
    <row r="652" customFormat="false" ht="14.25" hidden="false" customHeight="false" outlineLevel="0" collapsed="false">
      <c r="A652" s="1556" t="n">
        <v>50</v>
      </c>
      <c r="B652" s="1556" t="s">
        <v>2368</v>
      </c>
      <c r="C652" s="1556" t="s">
        <v>605</v>
      </c>
      <c r="D652" s="1556" t="n">
        <v>50280</v>
      </c>
      <c r="E652" s="1556" t="n">
        <v>50275</v>
      </c>
      <c r="F652" s="1557" t="s">
        <v>2478</v>
      </c>
      <c r="G652" s="1558" t="n">
        <v>2</v>
      </c>
      <c r="H652" s="1556" t="s">
        <v>872</v>
      </c>
      <c r="I652" s="1556" t="n">
        <v>9020067</v>
      </c>
      <c r="K652" s="2" t="s">
        <v>2497</v>
      </c>
      <c r="L652" s="2" t="s">
        <v>1523</v>
      </c>
    </row>
    <row r="653" customFormat="false" ht="14.25" hidden="false" customHeight="false" outlineLevel="0" collapsed="false">
      <c r="A653" s="1556" t="n">
        <v>50</v>
      </c>
      <c r="B653" s="1556" t="s">
        <v>2371</v>
      </c>
      <c r="C653" s="1556" t="s">
        <v>605</v>
      </c>
      <c r="D653" s="1556" t="n">
        <v>50281</v>
      </c>
      <c r="E653" s="1556" t="n">
        <v>50276</v>
      </c>
      <c r="F653" s="1557" t="s">
        <v>2479</v>
      </c>
      <c r="G653" s="1558" t="n">
        <v>2</v>
      </c>
      <c r="H653" s="1556" t="s">
        <v>872</v>
      </c>
      <c r="I653" s="1556" t="n">
        <v>9020067</v>
      </c>
      <c r="K653" s="2" t="s">
        <v>1961</v>
      </c>
      <c r="L653" s="2" t="s">
        <v>872</v>
      </c>
    </row>
    <row r="654" customFormat="false" ht="14.25" hidden="false" customHeight="false" outlineLevel="0" collapsed="false">
      <c r="A654" s="1556" t="n">
        <v>50</v>
      </c>
      <c r="B654" s="1556" t="s">
        <v>1866</v>
      </c>
      <c r="C654" s="1556" t="s">
        <v>605</v>
      </c>
      <c r="D654" s="1556" t="n">
        <v>50282</v>
      </c>
      <c r="E654" s="1556" t="n">
        <v>50277</v>
      </c>
      <c r="F654" s="1557" t="s">
        <v>2480</v>
      </c>
      <c r="G654" s="1558" t="n">
        <v>1</v>
      </c>
      <c r="H654" s="1556" t="s">
        <v>1523</v>
      </c>
      <c r="I654" s="1556" t="n">
        <v>9020066</v>
      </c>
      <c r="K654" s="2" t="s">
        <v>2354</v>
      </c>
      <c r="L654" s="2" t="s">
        <v>1523</v>
      </c>
    </row>
    <row r="655" customFormat="false" ht="14.25" hidden="false" customHeight="false" outlineLevel="0" collapsed="false">
      <c r="A655" s="1556" t="n">
        <v>50</v>
      </c>
      <c r="B655" s="1556" t="s">
        <v>1868</v>
      </c>
      <c r="C655" s="1556" t="s">
        <v>605</v>
      </c>
      <c r="D655" s="1556" t="n">
        <v>50283</v>
      </c>
      <c r="E655" s="1556" t="n">
        <v>50278</v>
      </c>
      <c r="F655" s="1557" t="s">
        <v>2481</v>
      </c>
      <c r="G655" s="1558" t="n">
        <v>2</v>
      </c>
      <c r="H655" s="1556" t="s">
        <v>872</v>
      </c>
      <c r="I655" s="1556" t="n">
        <v>9020067</v>
      </c>
      <c r="K655" s="2" t="s">
        <v>2498</v>
      </c>
      <c r="L655" s="2" t="s">
        <v>872</v>
      </c>
    </row>
    <row r="656" customFormat="false" ht="14.25" hidden="false" customHeight="false" outlineLevel="0" collapsed="false">
      <c r="A656" s="1556" t="n">
        <v>50</v>
      </c>
      <c r="B656" s="1556" t="s">
        <v>2499</v>
      </c>
      <c r="C656" s="1556" t="s">
        <v>605</v>
      </c>
      <c r="D656" s="1556" t="n">
        <v>50284</v>
      </c>
      <c r="E656" s="1556" t="n">
        <v>50279</v>
      </c>
      <c r="F656" s="1557" t="s">
        <v>2482</v>
      </c>
      <c r="G656" s="1558" t="n">
        <v>1</v>
      </c>
      <c r="H656" s="1556" t="s">
        <v>1523</v>
      </c>
      <c r="I656" s="1556" t="n">
        <v>9020066</v>
      </c>
      <c r="K656" s="2" t="s">
        <v>2355</v>
      </c>
      <c r="L656" s="2" t="s">
        <v>1523</v>
      </c>
    </row>
    <row r="657" customFormat="false" ht="14.25" hidden="false" customHeight="false" outlineLevel="0" collapsed="false">
      <c r="A657" s="1556" t="n">
        <v>50</v>
      </c>
      <c r="B657" s="1556" t="s">
        <v>1870</v>
      </c>
      <c r="C657" s="1556" t="s">
        <v>605</v>
      </c>
      <c r="D657" s="1556" t="n">
        <v>50285</v>
      </c>
      <c r="E657" s="1556" t="n">
        <v>50280</v>
      </c>
      <c r="F657" s="1557" t="s">
        <v>2483</v>
      </c>
      <c r="G657" s="1558" t="n">
        <v>2</v>
      </c>
      <c r="H657" s="1556" t="s">
        <v>872</v>
      </c>
      <c r="I657" s="1556" t="n">
        <v>9020067</v>
      </c>
      <c r="K657" s="2" t="s">
        <v>2356</v>
      </c>
      <c r="L657" s="2" t="s">
        <v>1523</v>
      </c>
    </row>
    <row r="658" customFormat="false" ht="14.25" hidden="false" customHeight="false" outlineLevel="0" collapsed="false">
      <c r="A658" s="1556" t="n">
        <v>50</v>
      </c>
      <c r="B658" s="1556" t="s">
        <v>1873</v>
      </c>
      <c r="C658" s="1556" t="s">
        <v>605</v>
      </c>
      <c r="D658" s="1556" t="n">
        <v>50286</v>
      </c>
      <c r="E658" s="1556" t="n">
        <v>50281</v>
      </c>
      <c r="F658" s="1557" t="s">
        <v>2485</v>
      </c>
      <c r="G658" s="1558" t="n">
        <v>2</v>
      </c>
      <c r="H658" s="1556" t="s">
        <v>872</v>
      </c>
      <c r="I658" s="1556" t="n">
        <v>9020067</v>
      </c>
      <c r="K658" s="2" t="s">
        <v>2358</v>
      </c>
      <c r="L658" s="2" t="s">
        <v>1523</v>
      </c>
    </row>
    <row r="659" customFormat="false" ht="14.25" hidden="false" customHeight="false" outlineLevel="0" collapsed="false">
      <c r="A659" s="1556" t="n">
        <v>50</v>
      </c>
      <c r="B659" s="1556" t="s">
        <v>1839</v>
      </c>
      <c r="C659" s="1556" t="s">
        <v>605</v>
      </c>
      <c r="D659" s="1556" t="n">
        <v>50288</v>
      </c>
      <c r="E659" s="1556" t="n">
        <v>50283</v>
      </c>
      <c r="F659" s="1557" t="s">
        <v>2486</v>
      </c>
      <c r="G659" s="1558" t="n">
        <v>2</v>
      </c>
      <c r="H659" s="1556" t="s">
        <v>872</v>
      </c>
      <c r="I659" s="1556" t="n">
        <v>9020067</v>
      </c>
      <c r="K659" s="2" t="s">
        <v>2360</v>
      </c>
      <c r="L659" s="2" t="s">
        <v>1523</v>
      </c>
    </row>
    <row r="660" customFormat="false" ht="14.25" hidden="false" customHeight="false" outlineLevel="0" collapsed="false">
      <c r="A660" s="1556" t="n">
        <v>50</v>
      </c>
      <c r="B660" s="1556" t="s">
        <v>2500</v>
      </c>
      <c r="C660" s="1556" t="s">
        <v>605</v>
      </c>
      <c r="D660" s="1556" t="n">
        <v>50289</v>
      </c>
      <c r="E660" s="1556" t="n">
        <v>50284</v>
      </c>
      <c r="F660" s="1557" t="s">
        <v>2488</v>
      </c>
      <c r="G660" s="1558" t="n">
        <v>1</v>
      </c>
      <c r="H660" s="1556" t="s">
        <v>1523</v>
      </c>
      <c r="I660" s="1556" t="n">
        <v>9020066</v>
      </c>
      <c r="K660" s="2" t="s">
        <v>2501</v>
      </c>
      <c r="L660" s="2" t="s">
        <v>1523</v>
      </c>
    </row>
    <row r="661" customFormat="false" ht="14.25" hidden="false" customHeight="false" outlineLevel="0" collapsed="false">
      <c r="A661" s="1556" t="n">
        <v>50</v>
      </c>
      <c r="B661" s="1556" t="s">
        <v>2502</v>
      </c>
      <c r="C661" s="1556" t="s">
        <v>605</v>
      </c>
      <c r="D661" s="1556" t="n">
        <v>50290</v>
      </c>
      <c r="E661" s="1556" t="n">
        <v>50285</v>
      </c>
      <c r="F661" s="1557" t="s">
        <v>2490</v>
      </c>
      <c r="G661" s="1558" t="n">
        <v>2</v>
      </c>
      <c r="H661" s="1556" t="s">
        <v>872</v>
      </c>
      <c r="I661" s="1556" t="n">
        <v>9020067</v>
      </c>
      <c r="K661" s="2" t="s">
        <v>2503</v>
      </c>
      <c r="L661" s="2" t="s">
        <v>1523</v>
      </c>
    </row>
    <row r="662" customFormat="false" ht="14.25" hidden="false" customHeight="false" outlineLevel="0" collapsed="false">
      <c r="A662" s="1556" t="n">
        <v>50</v>
      </c>
      <c r="B662" s="1556" t="s">
        <v>1881</v>
      </c>
      <c r="C662" s="1556" t="s">
        <v>605</v>
      </c>
      <c r="D662" s="1556" t="n">
        <v>50291</v>
      </c>
      <c r="E662" s="1556" t="n">
        <v>50286</v>
      </c>
      <c r="F662" s="1557" t="s">
        <v>2492</v>
      </c>
      <c r="G662" s="1558" t="n">
        <v>1</v>
      </c>
      <c r="H662" s="1556" t="s">
        <v>1523</v>
      </c>
      <c r="I662" s="1556" t="n">
        <v>9020066</v>
      </c>
      <c r="K662" s="2" t="s">
        <v>2361</v>
      </c>
      <c r="L662" s="2" t="s">
        <v>1523</v>
      </c>
    </row>
    <row r="663" customFormat="false" ht="14.25" hidden="false" customHeight="false" outlineLevel="0" collapsed="false">
      <c r="A663" s="1556" t="n">
        <v>50</v>
      </c>
      <c r="B663" s="1556" t="s">
        <v>2504</v>
      </c>
      <c r="C663" s="1556" t="s">
        <v>605</v>
      </c>
      <c r="D663" s="1556" t="n">
        <v>50292</v>
      </c>
      <c r="E663" s="1556" t="n">
        <v>50287</v>
      </c>
      <c r="F663" s="1557" t="s">
        <v>2493</v>
      </c>
      <c r="G663" s="1558" t="n">
        <v>1</v>
      </c>
      <c r="H663" s="1556" t="s">
        <v>1523</v>
      </c>
      <c r="I663" s="1556" t="n">
        <v>9020066</v>
      </c>
      <c r="K663" s="2" t="s">
        <v>2505</v>
      </c>
      <c r="L663" s="2" t="s">
        <v>872</v>
      </c>
    </row>
    <row r="664" customFormat="false" ht="14.25" hidden="false" customHeight="false" outlineLevel="0" collapsed="false">
      <c r="A664" s="1556" t="n">
        <v>50</v>
      </c>
      <c r="B664" s="1556" t="s">
        <v>1896</v>
      </c>
      <c r="C664" s="1556" t="s">
        <v>605</v>
      </c>
      <c r="D664" s="1556" t="n">
        <v>50306</v>
      </c>
      <c r="E664" s="1556" t="n">
        <v>50903</v>
      </c>
      <c r="F664" s="1557" t="s">
        <v>2494</v>
      </c>
      <c r="G664" s="1558" t="n">
        <v>2</v>
      </c>
      <c r="H664" s="1556" t="s">
        <v>872</v>
      </c>
      <c r="I664" s="1556" t="n">
        <v>9020067</v>
      </c>
      <c r="K664" s="2" t="s">
        <v>2363</v>
      </c>
      <c r="L664" s="2" t="s">
        <v>1523</v>
      </c>
    </row>
    <row r="665" customFormat="false" ht="14.25" hidden="false" customHeight="false" outlineLevel="0" collapsed="false">
      <c r="A665" s="1556" t="n">
        <v>50</v>
      </c>
      <c r="B665" s="1556" t="s">
        <v>2506</v>
      </c>
      <c r="C665" s="1556" t="s">
        <v>605</v>
      </c>
      <c r="D665" s="1556" t="n">
        <v>50293</v>
      </c>
      <c r="E665" s="1556" t="n">
        <v>50288</v>
      </c>
      <c r="F665" s="1557" t="s">
        <v>2495</v>
      </c>
      <c r="G665" s="1558" t="n">
        <v>2</v>
      </c>
      <c r="H665" s="1556" t="s">
        <v>872</v>
      </c>
      <c r="I665" s="1556" t="n">
        <v>9020067</v>
      </c>
      <c r="K665" s="2" t="s">
        <v>2364</v>
      </c>
      <c r="L665" s="2" t="s">
        <v>1523</v>
      </c>
    </row>
    <row r="666" customFormat="false" ht="14.25" hidden="false" customHeight="false" outlineLevel="0" collapsed="false">
      <c r="A666" s="1556" t="n">
        <v>50</v>
      </c>
      <c r="B666" s="1556" t="s">
        <v>2507</v>
      </c>
      <c r="C666" s="1556" t="s">
        <v>605</v>
      </c>
      <c r="D666" s="1556" t="n">
        <v>50295</v>
      </c>
      <c r="E666" s="1556" t="n">
        <v>50290</v>
      </c>
      <c r="F666" s="1557" t="s">
        <v>2496</v>
      </c>
      <c r="G666" s="1558" t="n">
        <v>2</v>
      </c>
      <c r="H666" s="1556" t="s">
        <v>872</v>
      </c>
      <c r="I666" s="1556" t="n">
        <v>9020067</v>
      </c>
      <c r="K666" s="2" t="s">
        <v>2508</v>
      </c>
      <c r="L666" s="2" t="s">
        <v>1523</v>
      </c>
    </row>
    <row r="667" customFormat="false" ht="14.25" hidden="false" customHeight="false" outlineLevel="0" collapsed="false">
      <c r="A667" s="1556" t="n">
        <v>50</v>
      </c>
      <c r="B667" s="1556" t="s">
        <v>2509</v>
      </c>
      <c r="C667" s="1556" t="s">
        <v>605</v>
      </c>
      <c r="D667" s="1556" t="n">
        <v>50294</v>
      </c>
      <c r="E667" s="1556" t="n">
        <v>50289</v>
      </c>
      <c r="F667" s="1557" t="s">
        <v>2497</v>
      </c>
      <c r="G667" s="1558" t="n">
        <v>1</v>
      </c>
      <c r="H667" s="1556" t="s">
        <v>1523</v>
      </c>
      <c r="I667" s="1556" t="n">
        <v>9020066</v>
      </c>
      <c r="K667" s="2" t="s">
        <v>2366</v>
      </c>
      <c r="L667" s="2" t="s">
        <v>872</v>
      </c>
    </row>
    <row r="668" customFormat="false" ht="14.25" hidden="false" customHeight="false" outlineLevel="0" collapsed="false">
      <c r="A668" s="1556" t="n">
        <v>50</v>
      </c>
      <c r="B668" s="1556" t="s">
        <v>2510</v>
      </c>
      <c r="C668" s="1556" t="s">
        <v>605</v>
      </c>
      <c r="D668" s="1556" t="n">
        <v>50296</v>
      </c>
      <c r="E668" s="1556" t="n">
        <v>50291</v>
      </c>
      <c r="F668" s="1557" t="s">
        <v>2498</v>
      </c>
      <c r="G668" s="1558" t="n">
        <v>2</v>
      </c>
      <c r="H668" s="1556" t="s">
        <v>872</v>
      </c>
      <c r="I668" s="1556" t="n">
        <v>9020067</v>
      </c>
      <c r="K668" s="2" t="s">
        <v>2369</v>
      </c>
      <c r="L668" s="2" t="s">
        <v>1523</v>
      </c>
    </row>
    <row r="669" customFormat="false" ht="14.25" hidden="false" customHeight="false" outlineLevel="0" collapsed="false">
      <c r="A669" s="1556" t="n">
        <v>50</v>
      </c>
      <c r="B669" s="1556" t="s">
        <v>2511</v>
      </c>
      <c r="C669" s="1556" t="s">
        <v>605</v>
      </c>
      <c r="D669" s="1556" t="n">
        <v>50297</v>
      </c>
      <c r="E669" s="1556" t="n">
        <v>50292</v>
      </c>
      <c r="F669" s="1557" t="s">
        <v>2501</v>
      </c>
      <c r="G669" s="1558" t="n">
        <v>1</v>
      </c>
      <c r="H669" s="1556" t="s">
        <v>1523</v>
      </c>
      <c r="I669" s="1556" t="n">
        <v>9020066</v>
      </c>
      <c r="K669" s="2" t="s">
        <v>2512</v>
      </c>
      <c r="L669" s="2" t="s">
        <v>1523</v>
      </c>
    </row>
    <row r="670" customFormat="false" ht="14.25" hidden="false" customHeight="false" outlineLevel="0" collapsed="false">
      <c r="A670" s="1556" t="n">
        <v>50</v>
      </c>
      <c r="B670" s="1556" t="s">
        <v>1883</v>
      </c>
      <c r="C670" s="1556" t="s">
        <v>605</v>
      </c>
      <c r="D670" s="1556" t="n">
        <v>50298</v>
      </c>
      <c r="E670" s="1556" t="n">
        <v>50293</v>
      </c>
      <c r="F670" s="1557" t="s">
        <v>2503</v>
      </c>
      <c r="G670" s="1558" t="n">
        <v>1</v>
      </c>
      <c r="H670" s="1556" t="s">
        <v>1523</v>
      </c>
      <c r="I670" s="1556" t="n">
        <v>9020066</v>
      </c>
      <c r="K670" s="2" t="s">
        <v>2372</v>
      </c>
      <c r="L670" s="2" t="s">
        <v>1523</v>
      </c>
    </row>
    <row r="671" customFormat="false" ht="14.25" hidden="false" customHeight="false" outlineLevel="0" collapsed="false">
      <c r="A671" s="1556" t="n">
        <v>50</v>
      </c>
      <c r="B671" s="1556" t="s">
        <v>1885</v>
      </c>
      <c r="C671" s="1556" t="s">
        <v>605</v>
      </c>
      <c r="D671" s="1556" t="n">
        <v>50299</v>
      </c>
      <c r="E671" s="1556" t="n">
        <v>50294</v>
      </c>
      <c r="F671" s="1557" t="s">
        <v>2505</v>
      </c>
      <c r="G671" s="1558" t="n">
        <v>2</v>
      </c>
      <c r="H671" s="1556" t="s">
        <v>872</v>
      </c>
      <c r="I671" s="1556" t="n">
        <v>9020067</v>
      </c>
      <c r="K671" s="2" t="s">
        <v>1964</v>
      </c>
      <c r="L671" s="2" t="s">
        <v>1523</v>
      </c>
    </row>
    <row r="672" customFormat="false" ht="14.25" hidden="false" customHeight="false" outlineLevel="0" collapsed="false">
      <c r="A672" s="1556" t="n">
        <v>50</v>
      </c>
      <c r="B672" s="1556" t="s">
        <v>1876</v>
      </c>
      <c r="C672" s="1556" t="s">
        <v>605</v>
      </c>
      <c r="D672" s="1556" t="n">
        <v>50287</v>
      </c>
      <c r="E672" s="1556" t="n">
        <v>50282</v>
      </c>
      <c r="F672" s="1557" t="s">
        <v>2508</v>
      </c>
      <c r="G672" s="1558" t="n">
        <v>1</v>
      </c>
      <c r="H672" s="1556" t="s">
        <v>1523</v>
      </c>
      <c r="I672" s="1556" t="n">
        <v>9020066</v>
      </c>
      <c r="K672" s="2" t="s">
        <v>1967</v>
      </c>
      <c r="L672" s="2" t="s">
        <v>1523</v>
      </c>
    </row>
    <row r="673" customFormat="false" ht="14.25" hidden="false" customHeight="false" outlineLevel="0" collapsed="false">
      <c r="A673" s="1556" t="n">
        <v>50</v>
      </c>
      <c r="B673" s="1556" t="s">
        <v>2513</v>
      </c>
      <c r="C673" s="1556" t="s">
        <v>605</v>
      </c>
      <c r="D673" s="1556" t="n">
        <v>50300</v>
      </c>
      <c r="E673" s="1556" t="n">
        <v>50295</v>
      </c>
      <c r="F673" s="1557" t="s">
        <v>2512</v>
      </c>
      <c r="G673" s="1558" t="n">
        <v>1</v>
      </c>
      <c r="H673" s="1556" t="s">
        <v>1523</v>
      </c>
      <c r="I673" s="1556" t="n">
        <v>9020066</v>
      </c>
      <c r="K673" s="2" t="s">
        <v>2514</v>
      </c>
      <c r="L673" s="2" t="s">
        <v>872</v>
      </c>
    </row>
    <row r="674" customFormat="false" ht="14.25" hidden="false" customHeight="false" outlineLevel="0" collapsed="false">
      <c r="A674" s="1556" t="n">
        <v>50</v>
      </c>
      <c r="B674" s="1556" t="s">
        <v>2515</v>
      </c>
      <c r="C674" s="1556" t="s">
        <v>605</v>
      </c>
      <c r="D674" s="1556" t="n">
        <v>50302</v>
      </c>
      <c r="E674" s="1556" t="n">
        <v>50296</v>
      </c>
      <c r="F674" s="1557" t="s">
        <v>2514</v>
      </c>
      <c r="G674" s="1558" t="n">
        <v>2</v>
      </c>
      <c r="H674" s="1556" t="s">
        <v>872</v>
      </c>
      <c r="I674" s="1556" t="n">
        <v>9020067</v>
      </c>
      <c r="K674" s="2" t="s">
        <v>2374</v>
      </c>
      <c r="L674" s="2" t="s">
        <v>1523</v>
      </c>
    </row>
    <row r="675" customFormat="false" ht="14.25" hidden="false" customHeight="false" outlineLevel="0" collapsed="false">
      <c r="A675" s="1556" t="n">
        <v>50</v>
      </c>
      <c r="B675" s="1556" t="s">
        <v>2516</v>
      </c>
      <c r="C675" s="1556" t="s">
        <v>605</v>
      </c>
      <c r="D675" s="1556" t="n">
        <v>50304</v>
      </c>
      <c r="E675" s="1556" t="n">
        <v>50298</v>
      </c>
      <c r="F675" s="1557" t="s">
        <v>2517</v>
      </c>
      <c r="G675" s="1558" t="n">
        <v>2</v>
      </c>
      <c r="H675" s="1556" t="s">
        <v>872</v>
      </c>
      <c r="I675" s="1556" t="n">
        <v>9020067</v>
      </c>
      <c r="K675" s="2" t="s">
        <v>2517</v>
      </c>
      <c r="L675" s="2" t="s">
        <v>872</v>
      </c>
    </row>
  </sheetData>
  <sheetProtection sheet="true" password="cc9e" objects="true" scenarios="true"/>
  <autoFilter ref="F1:F675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301"/>
  <sheetViews>
    <sheetView showFormulas="false" showGridLines="true" showRowColHeaders="true" showZeros="true" rightToLeft="false" tabSelected="false" showOutlineSymbols="true" defaultGridColor="true" view="normal" topLeftCell="A103" colorId="64" zoomScale="65" zoomScaleNormal="65" zoomScalePageLayoutView="100" workbookViewId="0">
      <selection pane="topLeft" activeCell="J12" activeCellId="0" sqref="J12"/>
    </sheetView>
  </sheetViews>
  <sheetFormatPr defaultColWidth="12.8828125" defaultRowHeight="14.25" zeroHeight="false" outlineLevelRow="0" outlineLevelCol="0"/>
  <cols>
    <col collapsed="false" customWidth="true" hidden="false" outlineLevel="0" max="1" min="1" style="2" width="5.63"/>
    <col collapsed="false" customWidth="true" hidden="false" outlineLevel="0" max="2" min="2" style="2" width="4.38"/>
    <col collapsed="false" customWidth="true" hidden="false" outlineLevel="0" max="3" min="3" style="2" width="61.88"/>
    <col collapsed="false" customWidth="true" hidden="false" outlineLevel="0" max="11" min="4" style="2" width="14.63"/>
    <col collapsed="false" customWidth="true" hidden="false" outlineLevel="0" max="12" min="12" style="2" width="1.88"/>
    <col collapsed="false" customWidth="true" hidden="false" outlineLevel="0" max="13" min="13" style="2" width="19.25"/>
    <col collapsed="false" customWidth="true" hidden="false" outlineLevel="0" max="14" min="14" style="2" width="10.63"/>
    <col collapsed="false" customWidth="true" hidden="false" outlineLevel="0" max="15" min="15" style="2" width="11.88"/>
    <col collapsed="false" customWidth="true" hidden="false" outlineLevel="0" max="16" min="16" style="2" width="13.25"/>
    <col collapsed="false" customWidth="true" hidden="false" outlineLevel="0" max="17" min="17" style="2" width="8.25"/>
    <col collapsed="false" customWidth="true" hidden="false" outlineLevel="0" max="18" min="18" style="2" width="13.25"/>
    <col collapsed="false" customWidth="true" hidden="false" outlineLevel="0" max="19" min="19" style="2" width="9"/>
    <col collapsed="false" customWidth="true" hidden="false" outlineLevel="0" max="24" min="24" style="2" width="61.88"/>
    <col collapsed="false" customWidth="true" hidden="false" outlineLevel="0" max="25" min="25" style="2" width="4.38"/>
  </cols>
  <sheetData>
    <row r="1" customFormat="false" ht="1.45" hidden="false" customHeight="false" outlineLevel="0" collapsed="false">
      <c r="A1" s="1559"/>
      <c r="B1" s="1560" t="s">
        <v>2518</v>
      </c>
      <c r="C1" s="1561"/>
      <c r="D1" s="1562" t="s">
        <v>2519</v>
      </c>
      <c r="E1" s="1562" t="s">
        <v>2519</v>
      </c>
      <c r="F1" s="1563" t="s">
        <v>29</v>
      </c>
      <c r="G1" s="1563" t="s">
        <v>29</v>
      </c>
      <c r="H1" s="1564" t="s">
        <v>2520</v>
      </c>
      <c r="I1" s="1564" t="s">
        <v>2520</v>
      </c>
      <c r="J1" s="1565" t="s">
        <v>2521</v>
      </c>
      <c r="K1" s="1566" t="s">
        <v>2521</v>
      </c>
      <c r="L1" s="1567"/>
      <c r="M1" s="1566"/>
      <c r="N1" s="1568"/>
      <c r="O1" s="1569"/>
      <c r="P1" s="1570"/>
      <c r="Q1" s="1559"/>
      <c r="R1" s="1559"/>
      <c r="S1" s="1559"/>
      <c r="T1" s="1559"/>
      <c r="U1" s="1559"/>
      <c r="V1" s="1559"/>
      <c r="W1" s="1559"/>
      <c r="X1" s="1559"/>
      <c r="Y1" s="1559"/>
    </row>
    <row r="2" customFormat="false" ht="52.2" hidden="false" customHeight="false" outlineLevel="0" collapsed="false">
      <c r="A2" s="1571"/>
      <c r="B2" s="1572"/>
      <c r="C2" s="1573"/>
      <c r="D2" s="1574" t="s">
        <v>2522</v>
      </c>
      <c r="E2" s="1574" t="s">
        <v>2523</v>
      </c>
      <c r="F2" s="1574" t="s">
        <v>967</v>
      </c>
      <c r="G2" s="1574" t="s">
        <v>968</v>
      </c>
      <c r="H2" s="1574" t="s">
        <v>969</v>
      </c>
      <c r="I2" s="1574" t="s">
        <v>970</v>
      </c>
      <c r="J2" s="1574" t="s">
        <v>971</v>
      </c>
      <c r="K2" s="1574" t="s">
        <v>972</v>
      </c>
      <c r="L2" s="1574" t="s">
        <v>2524</v>
      </c>
      <c r="M2" s="1574"/>
      <c r="N2" s="1574"/>
      <c r="O2" s="1574"/>
      <c r="P2" s="1575"/>
      <c r="Q2" s="1571"/>
      <c r="R2" s="1571"/>
      <c r="S2" s="1571"/>
      <c r="T2" s="1571"/>
      <c r="U2" s="1571"/>
      <c r="V2" s="1571"/>
      <c r="W2" s="1571"/>
      <c r="X2" s="1571"/>
      <c r="Y2" s="1571"/>
    </row>
    <row r="3" customFormat="false" ht="64.5" hidden="false" customHeight="true" outlineLevel="0" collapsed="false">
      <c r="A3" s="1514"/>
      <c r="B3" s="1560"/>
      <c r="C3" s="1576"/>
      <c r="D3" s="1577" t="s">
        <v>37</v>
      </c>
      <c r="E3" s="1578" t="s">
        <v>38</v>
      </c>
      <c r="F3" s="1579" t="s">
        <v>37</v>
      </c>
      <c r="G3" s="1579" t="s">
        <v>38</v>
      </c>
      <c r="H3" s="1580" t="s">
        <v>37</v>
      </c>
      <c r="I3" s="1580" t="s">
        <v>38</v>
      </c>
      <c r="J3" s="1581" t="s">
        <v>37</v>
      </c>
      <c r="K3" s="1581" t="s">
        <v>38</v>
      </c>
      <c r="L3" s="1582"/>
      <c r="M3" s="1582"/>
      <c r="N3" s="1583"/>
      <c r="O3" s="1584"/>
      <c r="P3" s="1570"/>
      <c r="Q3" s="1514"/>
      <c r="R3" s="1514"/>
      <c r="S3" s="1514"/>
      <c r="T3" s="1514"/>
      <c r="U3" s="1514"/>
      <c r="V3" s="1514"/>
      <c r="W3" s="1514"/>
      <c r="X3" s="1514"/>
      <c r="Y3" s="1514"/>
    </row>
    <row r="4" customFormat="false" ht="15" hidden="false" customHeight="false" outlineLevel="0" collapsed="false">
      <c r="A4" s="2" t="n">
        <v>2023</v>
      </c>
      <c r="B4" s="119" t="n">
        <v>25</v>
      </c>
      <c r="C4" s="1585" t="s">
        <v>2525</v>
      </c>
      <c r="D4" s="1586" t="n">
        <v>119</v>
      </c>
      <c r="E4" s="1587" t="n">
        <v>119</v>
      </c>
      <c r="F4" s="1588" t="n">
        <v>48.08</v>
      </c>
      <c r="G4" s="1588" t="n">
        <v>150.25</v>
      </c>
      <c r="H4" s="1589" t="n">
        <v>119</v>
      </c>
      <c r="I4" s="1590" t="n">
        <v>256</v>
      </c>
      <c r="J4" s="1591" t="n">
        <f aca="false" t="array" ref="J4:J4">F4/(0.7*RR)</f>
        <v>0.00198374247127854</v>
      </c>
      <c r="K4" s="1591" t="e">
        <f aca="false">G4/(0.7*_xlfn.single(RR))</f>
        <v>#NAME?</v>
      </c>
      <c r="L4" s="1592"/>
      <c r="M4" s="1592"/>
      <c r="N4" s="1593"/>
      <c r="O4" s="1594"/>
      <c r="P4" s="1595" t="s">
        <v>2524</v>
      </c>
      <c r="Q4" s="1591" t="e">
        <f aca="false">F4/(0.7*_xlfn.single(RR))</f>
        <v>#NAME?</v>
      </c>
      <c r="R4" s="2" t="e">
        <f aca="false">G4/(0.7*_xlfn.single(RR))</f>
        <v>#NAME?</v>
      </c>
      <c r="S4" s="1596" t="e">
        <f aca="false">(0.7*_xlfn.single(RR))/F4</f>
        <v>#NAME?</v>
      </c>
      <c r="X4" s="1585" t="s">
        <v>2525</v>
      </c>
      <c r="Y4" s="119" t="n">
        <v>25</v>
      </c>
    </row>
    <row r="5" customFormat="false" ht="15" hidden="false" customHeight="false" outlineLevel="0" collapsed="false">
      <c r="A5" s="2" t="n">
        <v>2023</v>
      </c>
      <c r="B5" s="119" t="n">
        <v>296</v>
      </c>
      <c r="C5" s="1585" t="s">
        <v>2526</v>
      </c>
      <c r="D5" s="1597" t="n">
        <v>0</v>
      </c>
      <c r="E5" s="1598" t="n">
        <v>0</v>
      </c>
      <c r="F5" s="1599" t="n">
        <v>1E-005</v>
      </c>
      <c r="G5" s="1599" t="n">
        <v>1E-005</v>
      </c>
      <c r="H5" s="1600" t="n">
        <v>0</v>
      </c>
      <c r="I5" s="1601" t="n">
        <v>0</v>
      </c>
      <c r="J5" s="1591" t="e">
        <f aca="false">F5/(0.7*_xlfn.single(RR))</f>
        <v>#NAME?</v>
      </c>
      <c r="K5" s="1591" t="e">
        <f aca="false">G5/(0.7*_xlfn.single(RR))</f>
        <v>#NAME?</v>
      </c>
      <c r="L5" s="1592"/>
      <c r="M5" s="1592"/>
      <c r="N5" s="1593"/>
      <c r="O5" s="1594"/>
      <c r="P5" s="1595"/>
      <c r="X5" s="1585" t="s">
        <v>2526</v>
      </c>
      <c r="Y5" s="119" t="n">
        <v>296</v>
      </c>
    </row>
    <row r="6" customFormat="false" ht="15" hidden="false" customHeight="false" outlineLevel="0" collapsed="false">
      <c r="A6" s="2" t="n">
        <v>2023</v>
      </c>
      <c r="B6" s="119" t="n">
        <v>228</v>
      </c>
      <c r="C6" s="1585" t="s">
        <v>2527</v>
      </c>
      <c r="D6" s="1586" t="n">
        <v>0</v>
      </c>
      <c r="E6" s="1587" t="n">
        <v>0</v>
      </c>
      <c r="F6" s="1599" t="n">
        <v>1E-005</v>
      </c>
      <c r="G6" s="1599" t="n">
        <v>1E-005</v>
      </c>
      <c r="H6" s="1589" t="n">
        <v>0</v>
      </c>
      <c r="I6" s="1590" t="n">
        <v>0</v>
      </c>
      <c r="J6" s="1591" t="e">
        <f aca="false">F6/(0.7*_xlfn.single(RR))</f>
        <v>#NAME?</v>
      </c>
      <c r="K6" s="1591" t="e">
        <f aca="false">G6/(0.7*_xlfn.single(RR))</f>
        <v>#NAME?</v>
      </c>
      <c r="L6" s="1592"/>
      <c r="M6" s="1592"/>
      <c r="N6" s="1593"/>
      <c r="O6" s="1594"/>
      <c r="P6" s="1595"/>
      <c r="X6" s="1585" t="s">
        <v>2527</v>
      </c>
      <c r="Y6" s="119" t="n">
        <v>228</v>
      </c>
    </row>
    <row r="7" customFormat="false" ht="15" hidden="false" customHeight="false" outlineLevel="0" collapsed="false">
      <c r="A7" s="2" t="n">
        <v>2023</v>
      </c>
      <c r="B7" s="119" t="n">
        <v>166</v>
      </c>
      <c r="C7" s="1585" t="s">
        <v>1138</v>
      </c>
      <c r="D7" s="1586" t="n">
        <v>4105</v>
      </c>
      <c r="E7" s="1587" t="n">
        <v>4105</v>
      </c>
      <c r="F7" s="1588" t="n">
        <v>360.61</v>
      </c>
      <c r="G7" s="1588" t="n">
        <v>1352.28</v>
      </c>
      <c r="H7" s="1589" t="n">
        <v>0</v>
      </c>
      <c r="I7" s="1590" t="n">
        <v>7200</v>
      </c>
      <c r="J7" s="1591" t="e">
        <f aca="false">F7/(0.7*_xlfn.single(RR))</f>
        <v>#NAME?</v>
      </c>
      <c r="K7" s="1591" t="e">
        <f aca="false">G7/(0.7*_xlfn.single(RR))</f>
        <v>#NAME?</v>
      </c>
      <c r="L7" s="1592"/>
      <c r="M7" s="1592"/>
      <c r="N7" s="1593"/>
      <c r="O7" s="1594"/>
      <c r="P7" s="1595" t="s">
        <v>2524</v>
      </c>
      <c r="X7" s="1585" t="s">
        <v>1138</v>
      </c>
      <c r="Y7" s="119" t="n">
        <v>166</v>
      </c>
    </row>
    <row r="8" customFormat="false" ht="15" hidden="false" customHeight="false" outlineLevel="0" collapsed="false">
      <c r="A8" s="2" t="n">
        <v>2023</v>
      </c>
      <c r="B8" s="119" t="n">
        <v>181</v>
      </c>
      <c r="C8" s="1585" t="s">
        <v>1190</v>
      </c>
      <c r="D8" s="1586" t="n">
        <v>4105</v>
      </c>
      <c r="E8" s="1587" t="n">
        <v>4105</v>
      </c>
      <c r="F8" s="1588" t="n">
        <v>360.61</v>
      </c>
      <c r="G8" s="1588" t="n">
        <v>1352.28</v>
      </c>
      <c r="H8" s="1589" t="n">
        <v>0</v>
      </c>
      <c r="I8" s="1590" t="n">
        <v>5200</v>
      </c>
      <c r="J8" s="1591" t="e">
        <f aca="false">F8/(0.7*_xlfn.single(RR))</f>
        <v>#NAME?</v>
      </c>
      <c r="K8" s="1591" t="e">
        <f aca="false">G8/(0.7*_xlfn.single(RR))</f>
        <v>#NAME?</v>
      </c>
      <c r="L8" s="1592"/>
      <c r="M8" s="1592"/>
      <c r="N8" s="1593"/>
      <c r="O8" s="1594"/>
      <c r="P8" s="1595" t="s">
        <v>2524</v>
      </c>
      <c r="X8" s="1585" t="s">
        <v>1190</v>
      </c>
      <c r="Y8" s="119" t="n">
        <v>181</v>
      </c>
    </row>
    <row r="9" customFormat="false" ht="15" hidden="false" customHeight="false" outlineLevel="0" collapsed="false">
      <c r="A9" s="2" t="n">
        <v>2023</v>
      </c>
      <c r="B9" s="119" t="n">
        <v>138</v>
      </c>
      <c r="C9" s="1585" t="s">
        <v>1075</v>
      </c>
      <c r="D9" s="1586" t="n">
        <v>4105</v>
      </c>
      <c r="E9" s="1587" t="n">
        <v>4105</v>
      </c>
      <c r="F9" s="1588" t="n">
        <v>114.19</v>
      </c>
      <c r="G9" s="1588" t="n">
        <v>240.4</v>
      </c>
      <c r="H9" s="1589" t="n">
        <v>0</v>
      </c>
      <c r="I9" s="1590" t="n">
        <v>5200</v>
      </c>
      <c r="J9" s="1591" t="e">
        <f aca="false">F9/(0.7*_xlfn.single(RR))</f>
        <v>#NAME?</v>
      </c>
      <c r="K9" s="1591" t="e">
        <f aca="false">G9/(0.7*_xlfn.single(RR))</f>
        <v>#NAME?</v>
      </c>
      <c r="L9" s="1592"/>
      <c r="M9" s="1592"/>
      <c r="N9" s="1593"/>
      <c r="O9" s="1594"/>
      <c r="P9" s="1595"/>
      <c r="X9" s="1585" t="s">
        <v>1075</v>
      </c>
      <c r="Y9" s="119" t="n">
        <v>138</v>
      </c>
    </row>
    <row r="10" customFormat="false" ht="15" hidden="false" customHeight="false" outlineLevel="0" collapsed="false">
      <c r="A10" s="2" t="n">
        <v>2023</v>
      </c>
      <c r="B10" s="119" t="n">
        <v>308</v>
      </c>
      <c r="C10" s="1585" t="s">
        <v>2528</v>
      </c>
      <c r="D10" s="1586" t="n">
        <v>391</v>
      </c>
      <c r="E10" s="1587" t="n">
        <v>391</v>
      </c>
      <c r="F10" s="1588" t="n">
        <v>114.19</v>
      </c>
      <c r="G10" s="1588" t="n">
        <v>240.4</v>
      </c>
      <c r="H10" s="1589" t="n">
        <v>1000</v>
      </c>
      <c r="I10" s="1590" t="n">
        <v>3800</v>
      </c>
      <c r="J10" s="1591" t="e">
        <f aca="false">F10/(0.7*_xlfn.single(RR))</f>
        <v>#NAME?</v>
      </c>
      <c r="K10" s="1591" t="e">
        <f aca="false">G10/(0.7*_xlfn.single(RR))</f>
        <v>#NAME?</v>
      </c>
      <c r="L10" s="1592"/>
      <c r="M10" s="1592"/>
      <c r="N10" s="1593"/>
      <c r="O10" s="1594"/>
      <c r="P10" s="1595"/>
      <c r="X10" s="1585" t="s">
        <v>2528</v>
      </c>
      <c r="Y10" s="119" t="n">
        <v>308</v>
      </c>
    </row>
    <row r="11" customFormat="false" ht="15" hidden="false" customHeight="false" outlineLevel="0" collapsed="false">
      <c r="A11" s="2" t="n">
        <v>2023</v>
      </c>
      <c r="B11" s="119" t="n">
        <v>70</v>
      </c>
      <c r="C11" s="1585" t="s">
        <v>1029</v>
      </c>
      <c r="D11" s="1586" t="n">
        <v>2558</v>
      </c>
      <c r="E11" s="1587" t="n">
        <v>2558</v>
      </c>
      <c r="F11" s="1588" t="n">
        <v>114.19</v>
      </c>
      <c r="G11" s="1588" t="n">
        <v>270.46</v>
      </c>
      <c r="H11" s="1589" t="n">
        <v>769.21</v>
      </c>
      <c r="I11" s="1590" t="n">
        <v>2400</v>
      </c>
      <c r="J11" s="1591" t="e">
        <f aca="false">F11/(0.7*_xlfn.single(RR))</f>
        <v>#NAME?</v>
      </c>
      <c r="K11" s="1591" t="e">
        <f aca="false">G11/(0.7*_xlfn.single(RR))</f>
        <v>#NAME?</v>
      </c>
      <c r="L11" s="1592"/>
      <c r="M11" s="1592"/>
      <c r="N11" s="1593"/>
      <c r="O11" s="1594"/>
      <c r="P11" s="1595"/>
      <c r="X11" s="1585" t="s">
        <v>1029</v>
      </c>
      <c r="Y11" s="119" t="n">
        <v>70</v>
      </c>
    </row>
    <row r="12" customFormat="false" ht="15" hidden="false" customHeight="false" outlineLevel="0" collapsed="false">
      <c r="A12" s="2" t="n">
        <v>2023</v>
      </c>
      <c r="B12" s="119" t="n">
        <v>229</v>
      </c>
      <c r="C12" s="1585" t="s">
        <v>2529</v>
      </c>
      <c r="D12" s="1586" t="n">
        <v>0</v>
      </c>
      <c r="E12" s="1587" t="n">
        <v>0</v>
      </c>
      <c r="F12" s="1599" t="n">
        <v>1E-005</v>
      </c>
      <c r="G12" s="1599" t="n">
        <v>1E-005</v>
      </c>
      <c r="H12" s="1589" t="n">
        <v>0</v>
      </c>
      <c r="I12" s="1590" t="n">
        <v>0</v>
      </c>
      <c r="J12" s="1591" t="e">
        <f aca="false">F12/(0.7*_xlfn.single(RR))</f>
        <v>#NAME?</v>
      </c>
      <c r="K12" s="1591" t="e">
        <f aca="false">G12/(0.7*_xlfn.single(RR))</f>
        <v>#NAME?</v>
      </c>
      <c r="L12" s="1592"/>
      <c r="M12" s="1592"/>
      <c r="N12" s="1593"/>
      <c r="O12" s="1594"/>
      <c r="P12" s="1595"/>
      <c r="X12" s="1585" t="s">
        <v>2529</v>
      </c>
      <c r="Y12" s="119" t="n">
        <v>229</v>
      </c>
    </row>
    <row r="13" customFormat="false" ht="15" hidden="false" customHeight="false" outlineLevel="0" collapsed="false">
      <c r="A13" s="2" t="n">
        <v>2023</v>
      </c>
      <c r="B13" s="119" t="n">
        <v>251</v>
      </c>
      <c r="C13" s="1585" t="s">
        <v>1297</v>
      </c>
      <c r="D13" s="1586" t="n">
        <v>391</v>
      </c>
      <c r="E13" s="1587" t="n">
        <v>391</v>
      </c>
      <c r="F13" s="1588" t="n">
        <v>114.19</v>
      </c>
      <c r="G13" s="1588" t="n">
        <v>240.4</v>
      </c>
      <c r="H13" s="1589" t="n">
        <v>1000</v>
      </c>
      <c r="I13" s="1590" t="n">
        <v>3800</v>
      </c>
      <c r="J13" s="1591" t="e">
        <f aca="false">F13/(0.7*_xlfn.single(RR))</f>
        <v>#NAME?</v>
      </c>
      <c r="K13" s="1591" t="e">
        <f aca="false">G13/(0.7*_xlfn.single(RR))</f>
        <v>#NAME?</v>
      </c>
      <c r="L13" s="1592"/>
      <c r="M13" s="1592"/>
      <c r="N13" s="1593"/>
      <c r="O13" s="1594"/>
      <c r="P13" s="1595"/>
      <c r="X13" s="1585" t="s">
        <v>1297</v>
      </c>
      <c r="Y13" s="119" t="n">
        <v>251</v>
      </c>
    </row>
    <row r="14" customFormat="false" ht="15" hidden="false" customHeight="false" outlineLevel="0" collapsed="false">
      <c r="A14" s="2" t="n">
        <v>2023</v>
      </c>
      <c r="B14" s="119" t="n">
        <v>284</v>
      </c>
      <c r="C14" s="1585" t="s">
        <v>1332</v>
      </c>
      <c r="D14" s="1586" t="n">
        <v>471</v>
      </c>
      <c r="E14" s="1587" t="n">
        <v>471</v>
      </c>
      <c r="F14" s="1588" t="n">
        <v>450.76</v>
      </c>
      <c r="G14" s="1588" t="n">
        <v>721.21</v>
      </c>
      <c r="H14" s="1589" t="n">
        <v>1000</v>
      </c>
      <c r="I14" s="1590" t="n">
        <v>3800</v>
      </c>
      <c r="J14" s="1591" t="e">
        <f aca="false">F14/(0.7*_xlfn.single(RR))</f>
        <v>#NAME?</v>
      </c>
      <c r="K14" s="1591" t="e">
        <f aca="false">G14/(0.7*_xlfn.single(RR))</f>
        <v>#NAME?</v>
      </c>
      <c r="L14" s="1592"/>
      <c r="M14" s="1592"/>
      <c r="N14" s="1593"/>
      <c r="O14" s="1594"/>
      <c r="P14" s="1595" t="s">
        <v>2524</v>
      </c>
      <c r="X14" s="1585" t="s">
        <v>1332</v>
      </c>
      <c r="Y14" s="119" t="n">
        <v>284</v>
      </c>
    </row>
    <row r="15" customFormat="false" ht="15" hidden="false" customHeight="false" outlineLevel="0" collapsed="false">
      <c r="A15" s="2" t="n">
        <v>2023</v>
      </c>
      <c r="B15" s="119" t="n">
        <v>169</v>
      </c>
      <c r="C15" s="1585" t="s">
        <v>1150</v>
      </c>
      <c r="D15" s="1586" t="n">
        <v>4105</v>
      </c>
      <c r="E15" s="1587" t="n">
        <v>4105</v>
      </c>
      <c r="F15" s="1588" t="n">
        <v>360.61</v>
      </c>
      <c r="G15" s="1588" t="n">
        <v>1352.28</v>
      </c>
      <c r="H15" s="1589" t="n">
        <v>0</v>
      </c>
      <c r="I15" s="1590" t="n">
        <v>7200</v>
      </c>
      <c r="J15" s="1591" t="e">
        <f aca="false">F15/(0.7*_xlfn.single(RR))</f>
        <v>#NAME?</v>
      </c>
      <c r="K15" s="1591" t="e">
        <f aca="false">G15/(0.7*_xlfn.single(RR))</f>
        <v>#NAME?</v>
      </c>
      <c r="L15" s="1592"/>
      <c r="M15" s="1592"/>
      <c r="N15" s="1593"/>
      <c r="O15" s="1594"/>
      <c r="P15" s="1595" t="s">
        <v>2524</v>
      </c>
      <c r="X15" s="1585" t="s">
        <v>1150</v>
      </c>
      <c r="Y15" s="119" t="n">
        <v>169</v>
      </c>
    </row>
    <row r="16" customFormat="false" ht="15" hidden="false" customHeight="false" outlineLevel="0" collapsed="false">
      <c r="A16" s="2" t="n">
        <v>2023</v>
      </c>
      <c r="B16" s="119" t="n">
        <v>264</v>
      </c>
      <c r="C16" s="1585" t="s">
        <v>1309</v>
      </c>
      <c r="D16" s="1586" t="n">
        <v>2558</v>
      </c>
      <c r="E16" s="1587" t="n">
        <v>2558</v>
      </c>
      <c r="F16" s="1588" t="n">
        <v>114.19</v>
      </c>
      <c r="G16" s="1588" t="n">
        <v>240.4</v>
      </c>
      <c r="H16" s="1589" t="n">
        <v>1000</v>
      </c>
      <c r="I16" s="1590" t="n">
        <v>3800</v>
      </c>
      <c r="J16" s="1591" t="e">
        <f aca="false">F16/(0.7*_xlfn.single(RR))</f>
        <v>#NAME?</v>
      </c>
      <c r="K16" s="1591" t="e">
        <f aca="false">G16/(0.7*_xlfn.single(RR))</f>
        <v>#NAME?</v>
      </c>
      <c r="L16" s="1592"/>
      <c r="M16" s="1592"/>
      <c r="N16" s="1593"/>
      <c r="O16" s="1594"/>
      <c r="P16" s="1595" t="s">
        <v>2524</v>
      </c>
      <c r="X16" s="1585" t="s">
        <v>1309</v>
      </c>
      <c r="Y16" s="119" t="n">
        <v>264</v>
      </c>
    </row>
    <row r="17" customFormat="false" ht="15" hidden="false" customHeight="false" outlineLevel="0" collapsed="false">
      <c r="A17" s="2" t="n">
        <v>2023</v>
      </c>
      <c r="B17" s="119" t="n">
        <v>107</v>
      </c>
      <c r="C17" s="1585" t="s">
        <v>2530</v>
      </c>
      <c r="D17" s="1586" t="n">
        <v>2558</v>
      </c>
      <c r="E17" s="1587" t="n">
        <v>2558</v>
      </c>
      <c r="F17" s="1588" t="n">
        <v>480.81</v>
      </c>
      <c r="G17" s="1588" t="n">
        <v>1442.43</v>
      </c>
      <c r="H17" s="1589" t="n">
        <v>3000</v>
      </c>
      <c r="I17" s="1590" t="n">
        <v>8000</v>
      </c>
      <c r="J17" s="1591" t="e">
        <f aca="false">F17/(0.7*_xlfn.single(RR))</f>
        <v>#NAME?</v>
      </c>
      <c r="K17" s="1591" t="e">
        <f aca="false">G17/(0.7*_xlfn.single(RR))</f>
        <v>#NAME?</v>
      </c>
      <c r="L17" s="1592"/>
      <c r="M17" s="1592"/>
      <c r="N17" s="1593"/>
      <c r="O17" s="1594"/>
      <c r="P17" s="1595" t="s">
        <v>2524</v>
      </c>
      <c r="X17" s="1585" t="s">
        <v>2530</v>
      </c>
      <c r="Y17" s="119" t="n">
        <v>107</v>
      </c>
    </row>
    <row r="18" customFormat="false" ht="15" hidden="false" customHeight="false" outlineLevel="0" collapsed="false">
      <c r="A18" s="2" t="n">
        <v>2023</v>
      </c>
      <c r="B18" s="119" t="n">
        <v>250</v>
      </c>
      <c r="C18" s="1585" t="s">
        <v>2531</v>
      </c>
      <c r="D18" s="1586" t="n">
        <v>391</v>
      </c>
      <c r="E18" s="1587" t="n">
        <v>391</v>
      </c>
      <c r="F18" s="1588" t="n">
        <v>114.19</v>
      </c>
      <c r="G18" s="1588" t="n">
        <v>240.4</v>
      </c>
      <c r="H18" s="1589" t="n">
        <v>500</v>
      </c>
      <c r="I18" s="1590" t="n">
        <v>1500</v>
      </c>
      <c r="J18" s="1591" t="e">
        <f aca="false">F18/(0.7*_xlfn.single(RR))</f>
        <v>#NAME?</v>
      </c>
      <c r="K18" s="1591" t="e">
        <f aca="false">G18/(0.7*_xlfn.single(RR))</f>
        <v>#NAME?</v>
      </c>
      <c r="L18" s="1592"/>
      <c r="M18" s="1592"/>
      <c r="N18" s="1593"/>
      <c r="O18" s="1594"/>
      <c r="P18" s="1595"/>
      <c r="X18" s="1585" t="s">
        <v>2531</v>
      </c>
      <c r="Y18" s="119" t="n">
        <v>250</v>
      </c>
    </row>
    <row r="19" customFormat="false" ht="15" hidden="false" customHeight="false" outlineLevel="0" collapsed="false">
      <c r="A19" s="2" t="n">
        <v>2023</v>
      </c>
      <c r="B19" s="119" t="n">
        <v>164</v>
      </c>
      <c r="C19" s="1585" t="s">
        <v>1130</v>
      </c>
      <c r="D19" s="1586" t="n">
        <v>4105</v>
      </c>
      <c r="E19" s="1587" t="n">
        <v>4105</v>
      </c>
      <c r="F19" s="1588" t="n">
        <v>360.61</v>
      </c>
      <c r="G19" s="1588" t="n">
        <v>1352.28</v>
      </c>
      <c r="H19" s="1589" t="n">
        <v>0</v>
      </c>
      <c r="I19" s="1590" t="n">
        <v>10500</v>
      </c>
      <c r="J19" s="1591" t="e">
        <f aca="false">F19/(0.7*_xlfn.single(RR))</f>
        <v>#NAME?</v>
      </c>
      <c r="K19" s="1591" t="e">
        <f aca="false">G19/(0.7*_xlfn.single(RR))</f>
        <v>#NAME?</v>
      </c>
      <c r="L19" s="1592"/>
      <c r="M19" s="1592"/>
      <c r="N19" s="1593"/>
      <c r="O19" s="1594"/>
      <c r="P19" s="1595" t="s">
        <v>2524</v>
      </c>
      <c r="X19" s="1585" t="s">
        <v>1130</v>
      </c>
      <c r="Y19" s="119" t="n">
        <v>164</v>
      </c>
    </row>
    <row r="20" customFormat="false" ht="15" hidden="false" customHeight="false" outlineLevel="0" collapsed="false">
      <c r="A20" s="2" t="n">
        <v>2023</v>
      </c>
      <c r="B20" s="119" t="n">
        <v>283</v>
      </c>
      <c r="C20" s="1585" t="s">
        <v>1330</v>
      </c>
      <c r="D20" s="1586" t="n">
        <v>2558</v>
      </c>
      <c r="E20" s="1587" t="n">
        <v>2558</v>
      </c>
      <c r="F20" s="1588" t="n">
        <v>360.61</v>
      </c>
      <c r="G20" s="1588" t="n">
        <v>1352.28</v>
      </c>
      <c r="H20" s="1589" t="n">
        <v>1000</v>
      </c>
      <c r="I20" s="1590" t="n">
        <v>3800</v>
      </c>
      <c r="J20" s="1591" t="e">
        <f aca="false">F20/(0.7*_xlfn.single(RR))</f>
        <v>#NAME?</v>
      </c>
      <c r="K20" s="1591" t="e">
        <f aca="false">G20/(0.7*_xlfn.single(RR))</f>
        <v>#NAME?</v>
      </c>
      <c r="L20" s="1592"/>
      <c r="M20" s="1592"/>
      <c r="N20" s="1593"/>
      <c r="O20" s="1594"/>
      <c r="P20" s="1595" t="s">
        <v>2524</v>
      </c>
      <c r="X20" s="1585" t="s">
        <v>1330</v>
      </c>
      <c r="Y20" s="119" t="n">
        <v>283</v>
      </c>
    </row>
    <row r="21" customFormat="false" ht="15" hidden="false" customHeight="false" outlineLevel="0" collapsed="false">
      <c r="A21" s="2" t="n">
        <v>2023</v>
      </c>
      <c r="B21" s="119" t="n">
        <v>295</v>
      </c>
      <c r="C21" s="1585" t="s">
        <v>2532</v>
      </c>
      <c r="D21" s="1586" t="n">
        <v>0</v>
      </c>
      <c r="E21" s="1587" t="n">
        <v>0</v>
      </c>
      <c r="F21" s="1599" t="n">
        <v>1E-005</v>
      </c>
      <c r="G21" s="1599" t="n">
        <v>1E-005</v>
      </c>
      <c r="H21" s="1589" t="n">
        <v>0</v>
      </c>
      <c r="I21" s="1590" t="n">
        <v>0</v>
      </c>
      <c r="J21" s="1591" t="e">
        <f aca="false">F21/(0.7*_xlfn.single(RR))</f>
        <v>#NAME?</v>
      </c>
      <c r="K21" s="1591" t="e">
        <f aca="false">G21/(0.7*_xlfn.single(RR))</f>
        <v>#NAME?</v>
      </c>
      <c r="L21" s="1592"/>
      <c r="M21" s="1592"/>
      <c r="N21" s="1593"/>
      <c r="O21" s="1594"/>
      <c r="P21" s="1595"/>
      <c r="X21" s="1585" t="s">
        <v>2532</v>
      </c>
      <c r="Y21" s="119" t="n">
        <v>295</v>
      </c>
    </row>
    <row r="22" customFormat="false" ht="15" hidden="false" customHeight="false" outlineLevel="0" collapsed="false">
      <c r="A22" s="1602" t="n">
        <v>2023</v>
      </c>
      <c r="B22" s="1603" t="n">
        <v>60</v>
      </c>
      <c r="C22" s="1604" t="s">
        <v>1022</v>
      </c>
      <c r="D22" s="1605" t="n">
        <v>520</v>
      </c>
      <c r="E22" s="1606" t="n">
        <v>520</v>
      </c>
      <c r="F22" s="1588" t="n">
        <v>114.19</v>
      </c>
      <c r="G22" s="1588" t="n">
        <v>480.81</v>
      </c>
      <c r="H22" s="1607" t="n">
        <v>800</v>
      </c>
      <c r="I22" s="1608" t="n">
        <v>2000</v>
      </c>
      <c r="J22" s="1591" t="e">
        <f aca="false">F22/(0.7*_xlfn.single(RR))</f>
        <v>#NAME?</v>
      </c>
      <c r="K22" s="1591" t="e">
        <f aca="false">G22/(0.7*_xlfn.single(RR))</f>
        <v>#NAME?</v>
      </c>
      <c r="L22" s="1592"/>
      <c r="M22" s="1592"/>
      <c r="N22" s="1593"/>
      <c r="O22" s="1594"/>
      <c r="P22" s="1609" t="s">
        <v>2524</v>
      </c>
      <c r="Q22" s="1602"/>
      <c r="R22" s="1602"/>
      <c r="S22" s="1602"/>
      <c r="T22" s="1602"/>
      <c r="U22" s="1602"/>
      <c r="V22" s="1602"/>
      <c r="W22" s="1602"/>
      <c r="X22" s="1604" t="s">
        <v>1022</v>
      </c>
      <c r="Y22" s="1603" t="n">
        <v>60</v>
      </c>
    </row>
    <row r="23" customFormat="false" ht="15" hidden="false" customHeight="false" outlineLevel="0" collapsed="false">
      <c r="A23" s="2" t="n">
        <v>2023</v>
      </c>
      <c r="B23" s="119" t="n">
        <v>9</v>
      </c>
      <c r="C23" s="1585" t="s">
        <v>2533</v>
      </c>
      <c r="D23" s="1586" t="n">
        <v>391</v>
      </c>
      <c r="E23" s="1587" t="n">
        <v>391</v>
      </c>
      <c r="F23" s="1588" t="n">
        <v>114.19</v>
      </c>
      <c r="G23" s="1588" t="n">
        <v>240.4</v>
      </c>
      <c r="H23" s="1589" t="n">
        <v>265.73</v>
      </c>
      <c r="I23" s="1590" t="n">
        <v>500</v>
      </c>
      <c r="J23" s="1591" t="e">
        <f aca="false">F23/(0.7*_xlfn.single(RR))</f>
        <v>#NAME?</v>
      </c>
      <c r="K23" s="1591" t="e">
        <f aca="false">G23/(0.7*_xlfn.single(RR))</f>
        <v>#NAME?</v>
      </c>
      <c r="L23" s="1592"/>
      <c r="M23" s="1592"/>
      <c r="N23" s="1593"/>
      <c r="O23" s="1594"/>
      <c r="P23" s="1595"/>
      <c r="X23" s="1585" t="s">
        <v>2533</v>
      </c>
      <c r="Y23" s="119" t="n">
        <v>9</v>
      </c>
    </row>
    <row r="24" customFormat="false" ht="15" hidden="false" customHeight="false" outlineLevel="0" collapsed="false">
      <c r="A24" s="2" t="n">
        <v>2023</v>
      </c>
      <c r="B24" s="119" t="n">
        <v>248</v>
      </c>
      <c r="C24" s="1585" t="s">
        <v>1294</v>
      </c>
      <c r="D24" s="1586" t="n">
        <v>391</v>
      </c>
      <c r="E24" s="1587" t="n">
        <v>391</v>
      </c>
      <c r="F24" s="1588" t="n">
        <v>450.76</v>
      </c>
      <c r="G24" s="1588" t="n">
        <v>721.21</v>
      </c>
      <c r="H24" s="1589" t="n">
        <v>721.21</v>
      </c>
      <c r="I24" s="1590" t="n">
        <v>1500</v>
      </c>
      <c r="J24" s="1591" t="e">
        <f aca="false">F24/(0.7*_xlfn.single(RR))</f>
        <v>#NAME?</v>
      </c>
      <c r="K24" s="1591" t="e">
        <f aca="false">G24/(0.7*_xlfn.single(RR))</f>
        <v>#NAME?</v>
      </c>
      <c r="L24" s="1592"/>
      <c r="M24" s="1592"/>
      <c r="N24" s="1593"/>
      <c r="O24" s="1594"/>
      <c r="P24" s="1595"/>
      <c r="X24" s="1585" t="s">
        <v>1294</v>
      </c>
      <c r="Y24" s="119" t="n">
        <v>248</v>
      </c>
    </row>
    <row r="25" customFormat="false" ht="15" hidden="false" customHeight="false" outlineLevel="0" collapsed="false">
      <c r="A25" s="2" t="n">
        <v>2023</v>
      </c>
      <c r="B25" s="119" t="n">
        <v>122</v>
      </c>
      <c r="C25" s="1585" t="s">
        <v>1069</v>
      </c>
      <c r="D25" s="1586" t="n">
        <v>391</v>
      </c>
      <c r="E25" s="1587" t="n">
        <v>391</v>
      </c>
      <c r="F25" s="1588" t="n">
        <v>450.76</v>
      </c>
      <c r="G25" s="1588" t="n">
        <v>721.21</v>
      </c>
      <c r="H25" s="1589" t="n">
        <v>721.21</v>
      </c>
      <c r="I25" s="1590" t="n">
        <v>1500</v>
      </c>
      <c r="J25" s="1591" t="e">
        <f aca="false">F25/(0.7*_xlfn.single(RR))</f>
        <v>#NAME?</v>
      </c>
      <c r="K25" s="1591" t="e">
        <f aca="false">G25/(0.7*_xlfn.single(RR))</f>
        <v>#NAME?</v>
      </c>
      <c r="L25" s="1592"/>
      <c r="M25" s="1592"/>
      <c r="N25" s="1593"/>
      <c r="O25" s="1594"/>
      <c r="P25" s="1595"/>
      <c r="X25" s="1585" t="s">
        <v>1069</v>
      </c>
      <c r="Y25" s="119" t="n">
        <v>122</v>
      </c>
    </row>
    <row r="26" customFormat="false" ht="15" hidden="false" customHeight="false" outlineLevel="0" collapsed="false">
      <c r="A26" s="2" t="n">
        <v>2023</v>
      </c>
      <c r="B26" s="119" t="n">
        <v>81</v>
      </c>
      <c r="C26" s="1585" t="s">
        <v>2534</v>
      </c>
      <c r="D26" s="1586" t="n">
        <v>0</v>
      </c>
      <c r="E26" s="1587" t="n">
        <v>0</v>
      </c>
      <c r="F26" s="1599" t="n">
        <v>1E-005</v>
      </c>
      <c r="G26" s="1599" t="n">
        <v>1E-005</v>
      </c>
      <c r="H26" s="1589" t="n">
        <v>0</v>
      </c>
      <c r="I26" s="1590" t="n">
        <v>600</v>
      </c>
      <c r="J26" s="1591" t="e">
        <f aca="false">F26/(0.7*_xlfn.single(RR))</f>
        <v>#NAME?</v>
      </c>
      <c r="K26" s="1591" t="e">
        <f aca="false">G26/(0.7*_xlfn.single(RR))</f>
        <v>#NAME?</v>
      </c>
      <c r="L26" s="1592"/>
      <c r="M26" s="1592"/>
      <c r="N26" s="1593"/>
      <c r="O26" s="1594"/>
      <c r="P26" s="1595"/>
      <c r="X26" s="1585" t="s">
        <v>2534</v>
      </c>
      <c r="Y26" s="119" t="n">
        <v>81</v>
      </c>
    </row>
    <row r="27" customFormat="false" ht="15" hidden="false" customHeight="false" outlineLevel="0" collapsed="false">
      <c r="A27" s="2" t="n">
        <v>2023</v>
      </c>
      <c r="B27" s="119" t="n">
        <v>61</v>
      </c>
      <c r="C27" s="1585" t="s">
        <v>1023</v>
      </c>
      <c r="D27" s="1586" t="n">
        <v>391</v>
      </c>
      <c r="E27" s="1587" t="n">
        <v>391</v>
      </c>
      <c r="F27" s="1588" t="n">
        <v>114.19</v>
      </c>
      <c r="G27" s="1588" t="n">
        <v>240.4</v>
      </c>
      <c r="H27" s="1589" t="n">
        <v>700</v>
      </c>
      <c r="I27" s="1590" t="n">
        <v>1800</v>
      </c>
      <c r="J27" s="1591" t="e">
        <f aca="false">F27/(0.7*_xlfn.single(RR))</f>
        <v>#NAME?</v>
      </c>
      <c r="K27" s="1591" t="e">
        <f aca="false">G27/(0.7*_xlfn.single(RR))</f>
        <v>#NAME?</v>
      </c>
      <c r="L27" s="1592"/>
      <c r="M27" s="1592"/>
      <c r="N27" s="1593"/>
      <c r="O27" s="1594"/>
      <c r="P27" s="1595"/>
      <c r="X27" s="1585" t="s">
        <v>1023</v>
      </c>
      <c r="Y27" s="119" t="n">
        <v>61</v>
      </c>
    </row>
    <row r="28" customFormat="false" ht="15" hidden="false" customHeight="false" outlineLevel="0" collapsed="false">
      <c r="A28" s="2" t="n">
        <v>2023</v>
      </c>
      <c r="B28" s="119" t="n">
        <v>104</v>
      </c>
      <c r="C28" s="1585" t="s">
        <v>2535</v>
      </c>
      <c r="D28" s="1586" t="n">
        <v>471</v>
      </c>
      <c r="E28" s="1587" t="n">
        <v>471</v>
      </c>
      <c r="F28" s="1588" t="n">
        <v>405.68</v>
      </c>
      <c r="G28" s="1588" t="n">
        <v>1352.28</v>
      </c>
      <c r="H28" s="1589" t="n">
        <v>678.7</v>
      </c>
      <c r="I28" s="1590" t="n">
        <v>5000</v>
      </c>
      <c r="J28" s="1591" t="e">
        <f aca="false">F28/(0.7*_xlfn.single(RR))</f>
        <v>#NAME?</v>
      </c>
      <c r="K28" s="1591" t="e">
        <f aca="false">G28/(0.7*_xlfn.single(RR))</f>
        <v>#NAME?</v>
      </c>
      <c r="L28" s="1592"/>
      <c r="M28" s="1592"/>
      <c r="N28" s="1593"/>
      <c r="O28" s="1594"/>
      <c r="P28" s="1595" t="s">
        <v>2524</v>
      </c>
      <c r="X28" s="1585" t="s">
        <v>2535</v>
      </c>
      <c r="Y28" s="119" t="n">
        <v>104</v>
      </c>
    </row>
    <row r="29" customFormat="false" ht="15" hidden="false" customHeight="false" outlineLevel="0" collapsed="false">
      <c r="A29" s="2" t="n">
        <v>2023</v>
      </c>
      <c r="B29" s="119" t="n">
        <v>239</v>
      </c>
      <c r="C29" s="1585" t="s">
        <v>1284</v>
      </c>
      <c r="D29" s="1586" t="n">
        <v>391</v>
      </c>
      <c r="E29" s="1587" t="n">
        <v>391</v>
      </c>
      <c r="F29" s="1588" t="n">
        <v>114.19</v>
      </c>
      <c r="G29" s="1588" t="n">
        <v>240.4</v>
      </c>
      <c r="H29" s="1589" t="n">
        <v>186.91</v>
      </c>
      <c r="I29" s="1590" t="n">
        <v>540.36</v>
      </c>
      <c r="J29" s="1591" t="e">
        <f aca="false">F29/(0.7*_xlfn.single(RR))</f>
        <v>#NAME?</v>
      </c>
      <c r="K29" s="1591" t="e">
        <f aca="false">G29/(0.7*_xlfn.single(RR))</f>
        <v>#NAME?</v>
      </c>
      <c r="L29" s="1592"/>
      <c r="M29" s="1592"/>
      <c r="N29" s="1593"/>
      <c r="O29" s="1594"/>
      <c r="P29" s="1595"/>
      <c r="X29" s="1585" t="s">
        <v>1284</v>
      </c>
      <c r="Y29" s="119" t="n">
        <v>239</v>
      </c>
    </row>
    <row r="30" customFormat="false" ht="15" hidden="false" customHeight="false" outlineLevel="0" collapsed="false">
      <c r="A30" s="2" t="n">
        <v>2023</v>
      </c>
      <c r="B30" s="119" t="n">
        <v>290</v>
      </c>
      <c r="C30" s="1585" t="s">
        <v>2536</v>
      </c>
      <c r="D30" s="1586" t="n">
        <v>391</v>
      </c>
      <c r="E30" s="1587" t="n">
        <v>391</v>
      </c>
      <c r="F30" s="1588" t="n">
        <v>114.19</v>
      </c>
      <c r="G30" s="1588" t="n">
        <v>240.4</v>
      </c>
      <c r="H30" s="1589" t="n">
        <v>1000</v>
      </c>
      <c r="I30" s="1590" t="n">
        <v>3800</v>
      </c>
      <c r="J30" s="1591" t="e">
        <f aca="false">F30/(0.7*_xlfn.single(RR))</f>
        <v>#NAME?</v>
      </c>
      <c r="K30" s="1591" t="e">
        <f aca="false">G30/(0.7*_xlfn.single(RR))</f>
        <v>#NAME?</v>
      </c>
      <c r="L30" s="1592"/>
      <c r="M30" s="1592"/>
      <c r="N30" s="1593"/>
      <c r="O30" s="1594"/>
      <c r="P30" s="1595"/>
      <c r="X30" s="1585" t="s">
        <v>2536</v>
      </c>
      <c r="Y30" s="119" t="n">
        <v>290</v>
      </c>
    </row>
    <row r="31" customFormat="false" ht="15" hidden="false" customHeight="false" outlineLevel="0" collapsed="false">
      <c r="A31" s="2" t="n">
        <v>2023</v>
      </c>
      <c r="B31" s="119" t="n">
        <v>11</v>
      </c>
      <c r="C31" s="1585" t="s">
        <v>1003</v>
      </c>
      <c r="D31" s="1586" t="n">
        <v>391</v>
      </c>
      <c r="E31" s="1587" t="n">
        <v>391</v>
      </c>
      <c r="F31" s="1588" t="n">
        <v>114.19</v>
      </c>
      <c r="G31" s="1588" t="n">
        <v>240.4</v>
      </c>
      <c r="H31" s="1589" t="n">
        <v>365.73</v>
      </c>
      <c r="I31" s="1590" t="n">
        <v>600</v>
      </c>
      <c r="J31" s="1591" t="e">
        <f aca="false">F31/(0.7*_xlfn.single(RR))</f>
        <v>#NAME?</v>
      </c>
      <c r="K31" s="1591" t="e">
        <f aca="false">G31/(0.7*_xlfn.single(RR))</f>
        <v>#NAME?</v>
      </c>
      <c r="L31" s="1592"/>
      <c r="M31" s="1592"/>
      <c r="N31" s="1593"/>
      <c r="O31" s="1594"/>
      <c r="P31" s="1595"/>
      <c r="X31" s="1585" t="s">
        <v>1003</v>
      </c>
      <c r="Y31" s="119" t="n">
        <v>11</v>
      </c>
    </row>
    <row r="32" customFormat="false" ht="15" hidden="false" customHeight="false" outlineLevel="0" collapsed="false">
      <c r="A32" s="2" t="n">
        <v>2023</v>
      </c>
      <c r="B32" s="119" t="n">
        <v>238</v>
      </c>
      <c r="C32" s="1585" t="s">
        <v>2537</v>
      </c>
      <c r="D32" s="1586" t="n">
        <v>391</v>
      </c>
      <c r="E32" s="1587" t="n">
        <v>391</v>
      </c>
      <c r="F32" s="1588" t="n">
        <v>114.19</v>
      </c>
      <c r="G32" s="1588" t="n">
        <v>240.4</v>
      </c>
      <c r="H32" s="1589" t="n">
        <v>186.91</v>
      </c>
      <c r="I32" s="1590" t="n">
        <v>540.36</v>
      </c>
      <c r="J32" s="1591" t="e">
        <f aca="false">F32/(0.7*_xlfn.single(RR))</f>
        <v>#NAME?</v>
      </c>
      <c r="K32" s="1591" t="e">
        <f aca="false">G32/(0.7*_xlfn.single(RR))</f>
        <v>#NAME?</v>
      </c>
      <c r="L32" s="1592"/>
      <c r="M32" s="1592"/>
      <c r="N32" s="1593"/>
      <c r="O32" s="1594"/>
      <c r="P32" s="1595"/>
      <c r="X32" s="1585" t="s">
        <v>2537</v>
      </c>
      <c r="Y32" s="119" t="n">
        <v>238</v>
      </c>
    </row>
    <row r="33" customFormat="false" ht="15" hidden="false" customHeight="false" outlineLevel="0" collapsed="false">
      <c r="A33" s="2" t="n">
        <v>2023</v>
      </c>
      <c r="B33" s="119" t="n">
        <v>43</v>
      </c>
      <c r="C33" s="1585" t="s">
        <v>2538</v>
      </c>
      <c r="D33" s="1586" t="n">
        <v>391</v>
      </c>
      <c r="E33" s="1587" t="n">
        <v>391</v>
      </c>
      <c r="F33" s="1588" t="n">
        <v>114.19</v>
      </c>
      <c r="G33" s="1588" t="n">
        <v>240.4</v>
      </c>
      <c r="H33" s="1589" t="n">
        <v>350</v>
      </c>
      <c r="I33" s="1590" t="n">
        <v>750</v>
      </c>
      <c r="J33" s="1591" t="e">
        <f aca="false">F33/(0.7*_xlfn.single(RR))</f>
        <v>#NAME?</v>
      </c>
      <c r="K33" s="1591" t="e">
        <f aca="false">G33/(0.7*_xlfn.single(RR))</f>
        <v>#NAME?</v>
      </c>
      <c r="L33" s="1592"/>
      <c r="M33" s="1592"/>
      <c r="N33" s="1593"/>
      <c r="O33" s="1594"/>
      <c r="P33" s="1595"/>
      <c r="X33" s="1585" t="s">
        <v>2538</v>
      </c>
      <c r="Y33" s="119" t="n">
        <v>43</v>
      </c>
    </row>
    <row r="34" customFormat="false" ht="15" hidden="false" customHeight="false" outlineLevel="0" collapsed="false">
      <c r="A34" s="2" t="n">
        <v>2023</v>
      </c>
      <c r="B34" s="119" t="n">
        <v>49</v>
      </c>
      <c r="C34" s="1585" t="s">
        <v>2539</v>
      </c>
      <c r="D34" s="1586" t="n">
        <v>391</v>
      </c>
      <c r="E34" s="1587" t="n">
        <v>391</v>
      </c>
      <c r="F34" s="1588" t="n">
        <v>114.19</v>
      </c>
      <c r="G34" s="1588" t="n">
        <v>240.4</v>
      </c>
      <c r="H34" s="1589" t="n">
        <v>350</v>
      </c>
      <c r="I34" s="1590" t="n">
        <v>750</v>
      </c>
      <c r="J34" s="1591" t="e">
        <f aca="false">F34/(0.7*_xlfn.single(RR))</f>
        <v>#NAME?</v>
      </c>
      <c r="K34" s="1591" t="e">
        <f aca="false">G34/(0.7*_xlfn.single(RR))</f>
        <v>#NAME?</v>
      </c>
      <c r="L34" s="1592"/>
      <c r="M34" s="1592"/>
      <c r="N34" s="1593"/>
      <c r="O34" s="1594"/>
      <c r="P34" s="1595" t="s">
        <v>2524</v>
      </c>
      <c r="X34" s="1585" t="s">
        <v>2539</v>
      </c>
      <c r="Y34" s="119" t="n">
        <v>49</v>
      </c>
    </row>
    <row r="35" customFormat="false" ht="15" hidden="false" customHeight="false" outlineLevel="0" collapsed="false">
      <c r="A35" s="2" t="n">
        <v>2023</v>
      </c>
      <c r="B35" s="119" t="n">
        <v>249</v>
      </c>
      <c r="C35" s="1585" t="s">
        <v>1295</v>
      </c>
      <c r="D35" s="1586" t="n">
        <v>391</v>
      </c>
      <c r="E35" s="1587" t="n">
        <v>391</v>
      </c>
      <c r="F35" s="1588" t="n">
        <v>114.19</v>
      </c>
      <c r="G35" s="1588" t="n">
        <v>240.4</v>
      </c>
      <c r="H35" s="1589" t="n">
        <v>500</v>
      </c>
      <c r="I35" s="1590" t="n">
        <v>1500</v>
      </c>
      <c r="J35" s="1591" t="e">
        <f aca="false">F35/(0.7*_xlfn.single(RR))</f>
        <v>#NAME?</v>
      </c>
      <c r="K35" s="1591" t="e">
        <f aca="false">G35/(0.7*_xlfn.single(RR))</f>
        <v>#NAME?</v>
      </c>
      <c r="L35" s="1592"/>
      <c r="M35" s="1592"/>
      <c r="N35" s="1593"/>
      <c r="O35" s="1594"/>
      <c r="P35" s="1595"/>
      <c r="X35" s="1585" t="s">
        <v>1295</v>
      </c>
      <c r="Y35" s="119" t="n">
        <v>249</v>
      </c>
    </row>
    <row r="36" customFormat="false" ht="15" hidden="false" customHeight="false" outlineLevel="0" collapsed="false">
      <c r="A36" s="2" t="n">
        <v>2023</v>
      </c>
      <c r="B36" s="119" t="n">
        <v>329</v>
      </c>
      <c r="C36" s="1585" t="s">
        <v>1354</v>
      </c>
      <c r="D36" s="1586" t="n">
        <v>391</v>
      </c>
      <c r="E36" s="1587" t="n">
        <v>391</v>
      </c>
      <c r="F36" s="1588" t="n">
        <v>114.19</v>
      </c>
      <c r="G36" s="1588" t="n">
        <v>240.4</v>
      </c>
      <c r="H36" s="1589" t="n">
        <v>522.73</v>
      </c>
      <c r="I36" s="1590" t="n">
        <v>1000</v>
      </c>
      <c r="J36" s="1591" t="e">
        <f aca="false">F36/(0.7*_xlfn.single(RR))</f>
        <v>#NAME?</v>
      </c>
      <c r="K36" s="1591" t="e">
        <f aca="false">G36/(0.7*_xlfn.single(RR))</f>
        <v>#NAME?</v>
      </c>
      <c r="L36" s="1592"/>
      <c r="M36" s="1592"/>
      <c r="N36" s="1593"/>
      <c r="O36" s="1594"/>
      <c r="P36" s="1595"/>
      <c r="X36" s="1585" t="s">
        <v>1354</v>
      </c>
      <c r="Y36" s="119" t="n">
        <v>329</v>
      </c>
    </row>
    <row r="37" customFormat="false" ht="15" hidden="false" customHeight="false" outlineLevel="0" collapsed="false">
      <c r="A37" s="2" t="n">
        <v>2023</v>
      </c>
      <c r="B37" s="119" t="n">
        <v>253</v>
      </c>
      <c r="C37" s="1585" t="s">
        <v>1299</v>
      </c>
      <c r="D37" s="1586" t="n">
        <v>391</v>
      </c>
      <c r="E37" s="1587" t="n">
        <v>391</v>
      </c>
      <c r="F37" s="1588" t="n">
        <v>114.19</v>
      </c>
      <c r="G37" s="1588" t="n">
        <v>240.4</v>
      </c>
      <c r="H37" s="1589" t="n">
        <v>1000</v>
      </c>
      <c r="I37" s="1590" t="n">
        <v>3800</v>
      </c>
      <c r="J37" s="1591" t="e">
        <f aca="false">F37/(0.7*_xlfn.single(RR))</f>
        <v>#NAME?</v>
      </c>
      <c r="K37" s="1591" t="e">
        <f aca="false">G37/(0.7*_xlfn.single(RR))</f>
        <v>#NAME?</v>
      </c>
      <c r="L37" s="1592"/>
      <c r="M37" s="1592"/>
      <c r="N37" s="1593"/>
      <c r="O37" s="1594"/>
      <c r="P37" s="1595"/>
      <c r="X37" s="1585" t="s">
        <v>1299</v>
      </c>
      <c r="Y37" s="119" t="n">
        <v>253</v>
      </c>
    </row>
    <row r="38" customFormat="false" ht="15" hidden="false" customHeight="false" outlineLevel="0" collapsed="false">
      <c r="A38" s="2" t="n">
        <v>2023</v>
      </c>
      <c r="B38" s="119" t="n">
        <v>158</v>
      </c>
      <c r="C38" s="1585" t="s">
        <v>1110</v>
      </c>
      <c r="D38" s="1586" t="n">
        <v>3131</v>
      </c>
      <c r="E38" s="1587" t="n">
        <v>3131</v>
      </c>
      <c r="F38" s="1588" t="n">
        <v>360.61</v>
      </c>
      <c r="G38" s="1588" t="n">
        <v>1352.28</v>
      </c>
      <c r="H38" s="1589" t="n">
        <v>0</v>
      </c>
      <c r="I38" s="1590" t="n">
        <v>5200</v>
      </c>
      <c r="J38" s="1591" t="e">
        <f aca="false">F38/(0.7*_xlfn.single(RR))</f>
        <v>#NAME?</v>
      </c>
      <c r="K38" s="1591" t="e">
        <f aca="false">G38/(0.7*_xlfn.single(RR))</f>
        <v>#NAME?</v>
      </c>
      <c r="L38" s="1592"/>
      <c r="M38" s="1592"/>
      <c r="N38" s="1593"/>
      <c r="O38" s="1594"/>
      <c r="P38" s="1595" t="s">
        <v>2524</v>
      </c>
      <c r="X38" s="1585" t="s">
        <v>1110</v>
      </c>
      <c r="Y38" s="119" t="n">
        <v>158</v>
      </c>
    </row>
    <row r="39" customFormat="false" ht="15" hidden="false" customHeight="false" outlineLevel="0" collapsed="false">
      <c r="A39" s="2" t="n">
        <v>2023</v>
      </c>
      <c r="B39" s="119" t="n">
        <v>216</v>
      </c>
      <c r="C39" s="1585" t="s">
        <v>1262</v>
      </c>
      <c r="D39" s="1586" t="n">
        <v>1196</v>
      </c>
      <c r="E39" s="1587" t="n">
        <v>1196</v>
      </c>
      <c r="F39" s="1588" t="n">
        <v>450.76</v>
      </c>
      <c r="G39" s="1588" t="n">
        <v>721.21</v>
      </c>
      <c r="H39" s="1589" t="n">
        <v>0</v>
      </c>
      <c r="I39" s="1590" t="n">
        <v>3800</v>
      </c>
      <c r="J39" s="1591" t="e">
        <f aca="false">F39/(0.7*_xlfn.single(RR))</f>
        <v>#NAME?</v>
      </c>
      <c r="K39" s="1591" t="e">
        <f aca="false">G39/(0.7*_xlfn.single(RR))</f>
        <v>#NAME?</v>
      </c>
      <c r="L39" s="1592"/>
      <c r="M39" s="1592"/>
      <c r="N39" s="1593"/>
      <c r="O39" s="1594"/>
      <c r="P39" s="1595" t="s">
        <v>2524</v>
      </c>
      <c r="X39" s="1585" t="s">
        <v>1262</v>
      </c>
      <c r="Y39" s="119" t="n">
        <v>216</v>
      </c>
    </row>
    <row r="40" customFormat="false" ht="15" hidden="false" customHeight="false" outlineLevel="0" collapsed="false">
      <c r="A40" s="2" t="n">
        <v>2023</v>
      </c>
      <c r="B40" s="119" t="n">
        <v>71</v>
      </c>
      <c r="C40" s="1585" t="s">
        <v>1030</v>
      </c>
      <c r="D40" s="1586" t="n">
        <v>391</v>
      </c>
      <c r="E40" s="1587" t="n">
        <v>391</v>
      </c>
      <c r="F40" s="1588" t="n">
        <v>114.19</v>
      </c>
      <c r="G40" s="1588" t="n">
        <v>270.46</v>
      </c>
      <c r="H40" s="1589" t="n">
        <v>700</v>
      </c>
      <c r="I40" s="1590" t="n">
        <v>1800</v>
      </c>
      <c r="J40" s="1591" t="e">
        <f aca="false">F40/(0.7*_xlfn.single(RR))</f>
        <v>#NAME?</v>
      </c>
      <c r="K40" s="1591" t="e">
        <f aca="false">G40/(0.7*_xlfn.single(RR))</f>
        <v>#NAME?</v>
      </c>
      <c r="L40" s="1592"/>
      <c r="M40" s="1592"/>
      <c r="N40" s="1593"/>
      <c r="O40" s="1594"/>
      <c r="P40" s="1595"/>
      <c r="X40" s="1585" t="s">
        <v>1030</v>
      </c>
      <c r="Y40" s="119" t="n">
        <v>71</v>
      </c>
    </row>
    <row r="41" customFormat="false" ht="15" hidden="false" customHeight="false" outlineLevel="0" collapsed="false">
      <c r="A41" s="2" t="n">
        <v>2023</v>
      </c>
      <c r="B41" s="119" t="n">
        <v>80</v>
      </c>
      <c r="C41" s="1585" t="s">
        <v>1037</v>
      </c>
      <c r="D41" s="1586" t="n">
        <v>1196</v>
      </c>
      <c r="E41" s="1587" t="n">
        <v>1196</v>
      </c>
      <c r="F41" s="1588" t="n">
        <v>450.76</v>
      </c>
      <c r="G41" s="1588" t="n">
        <v>450.76</v>
      </c>
      <c r="H41" s="1589" t="n">
        <v>0</v>
      </c>
      <c r="I41" s="1590" t="n">
        <v>1500</v>
      </c>
      <c r="J41" s="1591" t="e">
        <f aca="false">F41/(0.7*_xlfn.single(RR))</f>
        <v>#NAME?</v>
      </c>
      <c r="K41" s="1591" t="e">
        <f aca="false">G41/(0.7*_xlfn.single(RR))</f>
        <v>#NAME?</v>
      </c>
      <c r="L41" s="1592"/>
      <c r="M41" s="1592"/>
      <c r="N41" s="1593"/>
      <c r="O41" s="1594"/>
      <c r="P41" s="1595" t="s">
        <v>2524</v>
      </c>
      <c r="X41" s="1585" t="s">
        <v>1037</v>
      </c>
      <c r="Y41" s="119" t="n">
        <v>80</v>
      </c>
    </row>
    <row r="42" customFormat="false" ht="15" hidden="false" customHeight="false" outlineLevel="0" collapsed="false">
      <c r="A42" s="2" t="n">
        <v>2023</v>
      </c>
      <c r="B42" s="119" t="n">
        <v>257</v>
      </c>
      <c r="C42" s="1585" t="s">
        <v>1302</v>
      </c>
      <c r="D42" s="1586" t="n">
        <v>391</v>
      </c>
      <c r="E42" s="1587" t="n">
        <v>391</v>
      </c>
      <c r="F42" s="1588" t="n">
        <v>114.19</v>
      </c>
      <c r="G42" s="1588" t="n">
        <v>240.4</v>
      </c>
      <c r="H42" s="1589" t="n">
        <v>1000</v>
      </c>
      <c r="I42" s="1590" t="n">
        <v>3800</v>
      </c>
      <c r="J42" s="1591" t="e">
        <f aca="false">F42/(0.7*_xlfn.single(RR))</f>
        <v>#NAME?</v>
      </c>
      <c r="K42" s="1591" t="e">
        <f aca="false">G42/(0.7*_xlfn.single(RR))</f>
        <v>#NAME?</v>
      </c>
      <c r="L42" s="1592"/>
      <c r="M42" s="1592"/>
      <c r="N42" s="1593"/>
      <c r="O42" s="1594"/>
      <c r="P42" s="1595" t="s">
        <v>2524</v>
      </c>
      <c r="X42" s="1585" t="s">
        <v>1302</v>
      </c>
      <c r="Y42" s="119" t="n">
        <v>257</v>
      </c>
    </row>
    <row r="43" customFormat="false" ht="15" hidden="false" customHeight="false" outlineLevel="0" collapsed="false">
      <c r="A43" s="2" t="n">
        <v>2023</v>
      </c>
      <c r="B43" s="119" t="n">
        <v>123</v>
      </c>
      <c r="C43" s="1585" t="s">
        <v>1070</v>
      </c>
      <c r="D43" s="1586" t="n">
        <v>1196</v>
      </c>
      <c r="E43" s="1587" t="n">
        <v>1196</v>
      </c>
      <c r="F43" s="1588" t="n">
        <v>450.76</v>
      </c>
      <c r="G43" s="1588" t="n">
        <v>721.21</v>
      </c>
      <c r="H43" s="1589" t="n">
        <v>500</v>
      </c>
      <c r="I43" s="1590" t="n">
        <v>1500</v>
      </c>
      <c r="J43" s="1591" t="e">
        <f aca="false">F43/(0.7*_xlfn.single(RR))</f>
        <v>#NAME?</v>
      </c>
      <c r="K43" s="1591" t="e">
        <f aca="false">G43/(0.7*_xlfn.single(RR))</f>
        <v>#NAME?</v>
      </c>
      <c r="L43" s="1592"/>
      <c r="M43" s="1592"/>
      <c r="N43" s="1593"/>
      <c r="O43" s="1594"/>
      <c r="P43" s="1595" t="s">
        <v>2524</v>
      </c>
      <c r="X43" s="1585" t="s">
        <v>1070</v>
      </c>
      <c r="Y43" s="119" t="n">
        <v>123</v>
      </c>
    </row>
    <row r="44" customFormat="false" ht="15" hidden="false" customHeight="false" outlineLevel="0" collapsed="false">
      <c r="A44" s="2" t="n">
        <v>2023</v>
      </c>
      <c r="B44" s="119" t="n">
        <v>8</v>
      </c>
      <c r="C44" s="1585" t="s">
        <v>1000</v>
      </c>
      <c r="D44" s="1586" t="n">
        <v>391</v>
      </c>
      <c r="E44" s="1587" t="n">
        <v>391</v>
      </c>
      <c r="F44" s="1588" t="n">
        <v>114.19</v>
      </c>
      <c r="G44" s="1588" t="n">
        <v>240.4</v>
      </c>
      <c r="H44" s="1589" t="n">
        <v>294.04</v>
      </c>
      <c r="I44" s="1590" t="n">
        <v>600</v>
      </c>
      <c r="J44" s="1591" t="e">
        <f aca="false">F44/(0.7*_xlfn.single(RR))</f>
        <v>#NAME?</v>
      </c>
      <c r="K44" s="1591" t="e">
        <f aca="false">G44/(0.7*_xlfn.single(RR))</f>
        <v>#NAME?</v>
      </c>
      <c r="L44" s="1592"/>
      <c r="M44" s="1592"/>
      <c r="N44" s="1593"/>
      <c r="O44" s="1594"/>
      <c r="P44" s="1595" t="s">
        <v>2524</v>
      </c>
      <c r="X44" s="1585" t="s">
        <v>1000</v>
      </c>
      <c r="Y44" s="119" t="n">
        <v>8</v>
      </c>
    </row>
    <row r="45" customFormat="false" ht="15" hidden="false" customHeight="false" outlineLevel="0" collapsed="false">
      <c r="A45" s="2" t="n">
        <v>2023</v>
      </c>
      <c r="B45" s="119" t="n">
        <v>262</v>
      </c>
      <c r="C45" s="1585" t="s">
        <v>1307</v>
      </c>
      <c r="D45" s="1586" t="n">
        <v>2676</v>
      </c>
      <c r="E45" s="1587" t="n">
        <v>2676</v>
      </c>
      <c r="F45" s="1588" t="n">
        <v>2000</v>
      </c>
      <c r="G45" s="1588" t="n">
        <v>2500</v>
      </c>
      <c r="H45" s="1610" t="n">
        <v>5431.36</v>
      </c>
      <c r="I45" s="1611" t="n">
        <v>12000</v>
      </c>
      <c r="J45" s="1591" t="e">
        <f aca="false">F45/(0.7*_xlfn.single(RR))</f>
        <v>#NAME?</v>
      </c>
      <c r="K45" s="1591" t="e">
        <f aca="false">G45/(0.7*_xlfn.single(RR))</f>
        <v>#NAME?</v>
      </c>
      <c r="L45" s="1592"/>
      <c r="M45" s="1592"/>
      <c r="N45" s="1593"/>
      <c r="O45" s="1594"/>
      <c r="P45" s="1595" t="s">
        <v>2524</v>
      </c>
      <c r="X45" s="1585" t="s">
        <v>1307</v>
      </c>
      <c r="Y45" s="119" t="n">
        <v>262</v>
      </c>
    </row>
    <row r="46" customFormat="false" ht="15" hidden="false" customHeight="false" outlineLevel="0" collapsed="false">
      <c r="A46" s="2" t="n">
        <v>2023</v>
      </c>
      <c r="B46" s="119" t="n">
        <v>23</v>
      </c>
      <c r="C46" s="1612" t="s">
        <v>1009</v>
      </c>
      <c r="D46" s="1586" t="n">
        <v>119</v>
      </c>
      <c r="E46" s="1587" t="n">
        <v>119</v>
      </c>
      <c r="F46" s="1588" t="n">
        <v>48.08</v>
      </c>
      <c r="G46" s="1588" t="n">
        <v>150.25</v>
      </c>
      <c r="H46" s="1589" t="n">
        <v>119</v>
      </c>
      <c r="I46" s="1590" t="n">
        <v>256</v>
      </c>
      <c r="J46" s="1591" t="e">
        <f aca="false">F46/(0.7*_xlfn.single(RR))</f>
        <v>#NAME?</v>
      </c>
      <c r="K46" s="1591" t="e">
        <f aca="false">G46/(0.7*_xlfn.single(RR))</f>
        <v>#NAME?</v>
      </c>
      <c r="L46" s="1592"/>
      <c r="M46" s="1592"/>
      <c r="N46" s="1593"/>
      <c r="O46" s="1594"/>
      <c r="P46" s="1595" t="s">
        <v>2524</v>
      </c>
      <c r="X46" s="1612" t="s">
        <v>1009</v>
      </c>
      <c r="Y46" s="119" t="n">
        <v>23</v>
      </c>
    </row>
    <row r="47" customFormat="false" ht="15" hidden="false" customHeight="false" outlineLevel="0" collapsed="false">
      <c r="A47" s="2" t="n">
        <v>2023</v>
      </c>
      <c r="B47" s="119" t="n">
        <v>21</v>
      </c>
      <c r="C47" s="1585" t="s">
        <v>2540</v>
      </c>
      <c r="D47" s="1586" t="n">
        <v>119</v>
      </c>
      <c r="E47" s="1587" t="n">
        <v>119</v>
      </c>
      <c r="F47" s="1588" t="n">
        <v>48.08</v>
      </c>
      <c r="G47" s="1588" t="n">
        <v>150.25</v>
      </c>
      <c r="H47" s="1589" t="n">
        <v>119</v>
      </c>
      <c r="I47" s="1590" t="n">
        <v>256</v>
      </c>
      <c r="J47" s="1591" t="e">
        <f aca="false">F47/(0.7*_xlfn.single(RR))</f>
        <v>#NAME?</v>
      </c>
      <c r="K47" s="1591" t="e">
        <f aca="false">G47/(0.7*_xlfn.single(RR))</f>
        <v>#NAME?</v>
      </c>
      <c r="L47" s="1592"/>
      <c r="M47" s="1592"/>
      <c r="N47" s="1593"/>
      <c r="O47" s="1594"/>
      <c r="P47" s="1595" t="s">
        <v>2524</v>
      </c>
      <c r="X47" s="1585" t="s">
        <v>2540</v>
      </c>
      <c r="Y47" s="119" t="n">
        <v>21</v>
      </c>
    </row>
    <row r="48" customFormat="false" ht="15" hidden="false" customHeight="false" outlineLevel="0" collapsed="false">
      <c r="A48" s="2" t="n">
        <v>2023</v>
      </c>
      <c r="B48" s="119" t="n">
        <v>334</v>
      </c>
      <c r="C48" s="1585" t="s">
        <v>2541</v>
      </c>
      <c r="D48" s="1586" t="n">
        <v>119</v>
      </c>
      <c r="E48" s="1587" t="n">
        <v>119</v>
      </c>
      <c r="F48" s="1588" t="n">
        <v>48.08</v>
      </c>
      <c r="G48" s="1588" t="n">
        <v>150.25</v>
      </c>
      <c r="H48" s="1589" t="n">
        <v>119</v>
      </c>
      <c r="I48" s="1590" t="n">
        <v>256</v>
      </c>
      <c r="J48" s="1591" t="e">
        <f aca="false">F48/(0.7*_xlfn.single(RR))</f>
        <v>#NAME?</v>
      </c>
      <c r="K48" s="1591" t="e">
        <f aca="false">G48/(0.7*_xlfn.single(RR))</f>
        <v>#NAME?</v>
      </c>
      <c r="L48" s="1592"/>
      <c r="M48" s="1592"/>
      <c r="N48" s="1593"/>
      <c r="O48" s="1594"/>
      <c r="P48" s="1595" t="s">
        <v>2524</v>
      </c>
      <c r="X48" s="1585" t="s">
        <v>2541</v>
      </c>
      <c r="Y48" s="119" t="n">
        <v>334</v>
      </c>
    </row>
    <row r="49" customFormat="false" ht="15" hidden="false" customHeight="false" outlineLevel="0" collapsed="false">
      <c r="A49" s="2" t="n">
        <v>2023</v>
      </c>
      <c r="B49" s="119" t="n">
        <v>24</v>
      </c>
      <c r="C49" s="1612" t="s">
        <v>2542</v>
      </c>
      <c r="D49" s="1586" t="n">
        <v>119</v>
      </c>
      <c r="E49" s="1587" t="n">
        <v>119</v>
      </c>
      <c r="F49" s="1588" t="n">
        <v>48.08</v>
      </c>
      <c r="G49" s="1588" t="n">
        <v>150.25</v>
      </c>
      <c r="H49" s="1589" t="n">
        <v>119</v>
      </c>
      <c r="I49" s="1590" t="n">
        <v>256</v>
      </c>
      <c r="J49" s="1591" t="e">
        <f aca="false">F49/(0.7*_xlfn.single(RR))</f>
        <v>#NAME?</v>
      </c>
      <c r="K49" s="1591" t="e">
        <f aca="false">G49/(0.7*_xlfn.single(RR))</f>
        <v>#NAME?</v>
      </c>
      <c r="L49" s="1592"/>
      <c r="M49" s="1592"/>
      <c r="N49" s="1593"/>
      <c r="O49" s="1594"/>
      <c r="P49" s="1595" t="s">
        <v>2524</v>
      </c>
      <c r="X49" s="1612" t="s">
        <v>2542</v>
      </c>
      <c r="Y49" s="119" t="n">
        <v>24</v>
      </c>
    </row>
    <row r="50" customFormat="false" ht="15" hidden="false" customHeight="false" outlineLevel="0" collapsed="false">
      <c r="A50" s="2" t="n">
        <v>2023</v>
      </c>
      <c r="B50" s="119" t="n">
        <v>20</v>
      </c>
      <c r="C50" s="1612" t="s">
        <v>1008</v>
      </c>
      <c r="D50" s="1586" t="n">
        <v>119</v>
      </c>
      <c r="E50" s="1587" t="n">
        <v>119</v>
      </c>
      <c r="F50" s="1588" t="n">
        <v>48.08</v>
      </c>
      <c r="G50" s="1588" t="n">
        <v>150.25</v>
      </c>
      <c r="H50" s="1589" t="n">
        <v>119</v>
      </c>
      <c r="I50" s="1590" t="n">
        <v>256</v>
      </c>
      <c r="J50" s="1591" t="e">
        <f aca="false">F50/(0.7*_xlfn.single(RR))</f>
        <v>#NAME?</v>
      </c>
      <c r="K50" s="1591" t="e">
        <f aca="false">G50/(0.7*_xlfn.single(RR))</f>
        <v>#NAME?</v>
      </c>
      <c r="L50" s="1592"/>
      <c r="M50" s="1592"/>
      <c r="N50" s="1593"/>
      <c r="O50" s="1594"/>
      <c r="P50" s="1595" t="s">
        <v>2524</v>
      </c>
      <c r="X50" s="1612" t="s">
        <v>1008</v>
      </c>
      <c r="Y50" s="119" t="n">
        <v>20</v>
      </c>
    </row>
    <row r="51" customFormat="false" ht="15" hidden="false" customHeight="false" outlineLevel="0" collapsed="false">
      <c r="A51" s="2" t="n">
        <v>2023</v>
      </c>
      <c r="B51" s="119" t="n">
        <v>309</v>
      </c>
      <c r="C51" s="1585" t="s">
        <v>2543</v>
      </c>
      <c r="D51" s="1586" t="n">
        <v>391</v>
      </c>
      <c r="E51" s="1587" t="n">
        <v>391</v>
      </c>
      <c r="F51" s="1588" t="n">
        <v>114.19</v>
      </c>
      <c r="G51" s="1588" t="n">
        <v>240.4</v>
      </c>
      <c r="H51" s="1589" t="n">
        <v>1000</v>
      </c>
      <c r="I51" s="1590" t="n">
        <v>3800</v>
      </c>
      <c r="J51" s="1591" t="e">
        <f aca="false">F51/(0.7*_xlfn.single(RR))</f>
        <v>#NAME?</v>
      </c>
      <c r="K51" s="1591" t="e">
        <f aca="false">G51/(0.7*_xlfn.single(RR))</f>
        <v>#NAME?</v>
      </c>
      <c r="L51" s="1592"/>
      <c r="M51" s="1592"/>
      <c r="N51" s="1593"/>
      <c r="O51" s="1594"/>
      <c r="P51" s="1595"/>
      <c r="X51" s="1585" t="s">
        <v>2543</v>
      </c>
      <c r="Y51" s="119" t="n">
        <v>309</v>
      </c>
    </row>
    <row r="52" customFormat="false" ht="15" hidden="false" customHeight="false" outlineLevel="0" collapsed="false">
      <c r="A52" s="2" t="n">
        <v>2023</v>
      </c>
      <c r="B52" s="119" t="n">
        <v>162</v>
      </c>
      <c r="C52" s="1612" t="s">
        <v>1122</v>
      </c>
      <c r="D52" s="1586" t="n">
        <v>3131</v>
      </c>
      <c r="E52" s="1587" t="n">
        <v>3131</v>
      </c>
      <c r="F52" s="1588" t="n">
        <v>360.61</v>
      </c>
      <c r="G52" s="1588" t="n">
        <v>1352.28</v>
      </c>
      <c r="H52" s="1600" t="n">
        <v>0</v>
      </c>
      <c r="I52" s="1590" t="n">
        <v>7200</v>
      </c>
      <c r="J52" s="1591" t="e">
        <f aca="false">F52/(0.7*_xlfn.single(RR))</f>
        <v>#NAME?</v>
      </c>
      <c r="K52" s="1591" t="e">
        <f aca="false">G52/(0.7*_xlfn.single(RR))</f>
        <v>#NAME?</v>
      </c>
      <c r="L52" s="1592"/>
      <c r="M52" s="1592"/>
      <c r="N52" s="1593"/>
      <c r="O52" s="1594"/>
      <c r="P52" s="1595" t="s">
        <v>2524</v>
      </c>
      <c r="X52" s="1612" t="s">
        <v>1122</v>
      </c>
      <c r="Y52" s="119" t="n">
        <v>162</v>
      </c>
    </row>
    <row r="53" customFormat="false" ht="15" hidden="false" customHeight="false" outlineLevel="0" collapsed="false">
      <c r="A53" s="2" t="n">
        <v>2023</v>
      </c>
      <c r="B53" s="119" t="n">
        <v>191</v>
      </c>
      <c r="C53" s="1612" t="s">
        <v>2544</v>
      </c>
      <c r="D53" s="1586" t="n">
        <v>3131</v>
      </c>
      <c r="E53" s="1587" t="n">
        <v>3131</v>
      </c>
      <c r="F53" s="1588" t="n">
        <v>360.61</v>
      </c>
      <c r="G53" s="1588" t="n">
        <v>1352.28</v>
      </c>
      <c r="H53" s="1589" t="n">
        <v>0</v>
      </c>
      <c r="I53" s="1590" t="n">
        <v>5200</v>
      </c>
      <c r="J53" s="1591" t="e">
        <f aca="false">F53/(0.7*_xlfn.single(RR))</f>
        <v>#NAME?</v>
      </c>
      <c r="K53" s="1591" t="e">
        <f aca="false">G53/(0.7*_xlfn.single(RR))</f>
        <v>#NAME?</v>
      </c>
      <c r="L53" s="1592"/>
      <c r="M53" s="1592"/>
      <c r="N53" s="1593"/>
      <c r="O53" s="1594"/>
      <c r="P53" s="1595"/>
      <c r="X53" s="1612" t="s">
        <v>2544</v>
      </c>
      <c r="Y53" s="119" t="n">
        <v>191</v>
      </c>
    </row>
    <row r="54" customFormat="false" ht="15" hidden="false" customHeight="false" outlineLevel="0" collapsed="false">
      <c r="A54" s="2" t="n">
        <v>2023</v>
      </c>
      <c r="B54" s="119" t="n">
        <v>175</v>
      </c>
      <c r="C54" s="1612" t="s">
        <v>1170</v>
      </c>
      <c r="D54" s="1586" t="n">
        <v>3131</v>
      </c>
      <c r="E54" s="1587" t="n">
        <v>3131</v>
      </c>
      <c r="F54" s="1588" t="n">
        <v>360.61</v>
      </c>
      <c r="G54" s="1588" t="n">
        <v>1352.28</v>
      </c>
      <c r="H54" s="1589" t="n">
        <v>0</v>
      </c>
      <c r="I54" s="1590" t="n">
        <v>5200</v>
      </c>
      <c r="J54" s="1591" t="e">
        <f aca="false">F54/(0.7*_xlfn.single(RR))</f>
        <v>#NAME?</v>
      </c>
      <c r="K54" s="1591" t="e">
        <f aca="false">G54/(0.7*_xlfn.single(RR))</f>
        <v>#NAME?</v>
      </c>
      <c r="L54" s="1592"/>
      <c r="M54" s="1592"/>
      <c r="N54" s="1593"/>
      <c r="O54" s="1594"/>
      <c r="P54" s="1595"/>
      <c r="X54" s="1612" t="s">
        <v>1170</v>
      </c>
      <c r="Y54" s="119" t="n">
        <v>175</v>
      </c>
    </row>
    <row r="55" customFormat="false" ht="15" hidden="false" customHeight="false" outlineLevel="0" collapsed="false">
      <c r="A55" s="2" t="n">
        <v>2023</v>
      </c>
      <c r="B55" s="119" t="n">
        <v>121</v>
      </c>
      <c r="C55" s="1612" t="s">
        <v>1066</v>
      </c>
      <c r="D55" s="1586" t="n">
        <v>1196</v>
      </c>
      <c r="E55" s="1587" t="n">
        <v>1196</v>
      </c>
      <c r="F55" s="1588" t="n">
        <v>450.76</v>
      </c>
      <c r="G55" s="1588" t="n">
        <v>1202.02</v>
      </c>
      <c r="H55" s="1589" t="n">
        <v>1739.31</v>
      </c>
      <c r="I55" s="1590" t="n">
        <v>5200</v>
      </c>
      <c r="J55" s="1591" t="e">
        <f aca="false">F55/(0.7*_xlfn.single(RR))</f>
        <v>#NAME?</v>
      </c>
      <c r="K55" s="1591" t="e">
        <f aca="false">G55/(0.7*_xlfn.single(RR))</f>
        <v>#NAME?</v>
      </c>
      <c r="L55" s="1592"/>
      <c r="M55" s="1592"/>
      <c r="N55" s="1593"/>
      <c r="O55" s="1594"/>
      <c r="P55" s="1595" t="s">
        <v>2524</v>
      </c>
      <c r="X55" s="1612" t="s">
        <v>1066</v>
      </c>
      <c r="Y55" s="119" t="n">
        <v>121</v>
      </c>
    </row>
    <row r="56" customFormat="false" ht="15" hidden="false" customHeight="false" outlineLevel="0" collapsed="false">
      <c r="A56" s="2" t="n">
        <v>2023</v>
      </c>
      <c r="B56" s="119" t="n">
        <v>187</v>
      </c>
      <c r="C56" s="1612" t="s">
        <v>1214</v>
      </c>
      <c r="D56" s="1586" t="n">
        <v>3131</v>
      </c>
      <c r="E56" s="1587" t="n">
        <v>3131</v>
      </c>
      <c r="F56" s="1588" t="n">
        <v>360.61</v>
      </c>
      <c r="G56" s="1588" t="n">
        <v>1352.28</v>
      </c>
      <c r="H56" s="1589" t="n">
        <v>0</v>
      </c>
      <c r="I56" s="1590" t="n">
        <v>8200</v>
      </c>
      <c r="J56" s="1591" t="e">
        <f aca="false">F56/(0.7*_xlfn.single(RR))</f>
        <v>#NAME?</v>
      </c>
      <c r="K56" s="1591" t="e">
        <f aca="false">G56/(0.7*_xlfn.single(RR))</f>
        <v>#NAME?</v>
      </c>
      <c r="L56" s="1592"/>
      <c r="M56" s="1592"/>
      <c r="N56" s="1593"/>
      <c r="O56" s="1594"/>
      <c r="P56" s="1595" t="s">
        <v>2524</v>
      </c>
      <c r="X56" s="1612" t="s">
        <v>1214</v>
      </c>
      <c r="Y56" s="119" t="n">
        <v>187</v>
      </c>
    </row>
    <row r="57" customFormat="false" ht="15" hidden="false" customHeight="false" outlineLevel="0" collapsed="false">
      <c r="A57" s="2" t="n">
        <v>2023</v>
      </c>
      <c r="B57" s="119" t="n">
        <v>901</v>
      </c>
      <c r="C57" s="1585" t="s">
        <v>2545</v>
      </c>
      <c r="D57" s="1586" t="n">
        <v>391</v>
      </c>
      <c r="E57" s="1587" t="n">
        <v>391</v>
      </c>
      <c r="F57" s="1588" t="n">
        <v>114.19</v>
      </c>
      <c r="G57" s="1588" t="n">
        <v>240.4</v>
      </c>
      <c r="H57" s="1589" t="n">
        <v>186.91</v>
      </c>
      <c r="I57" s="1590" t="n">
        <v>540.36</v>
      </c>
      <c r="J57" s="1591" t="e">
        <f aca="false">F57/(0.7*_xlfn.single(RR))</f>
        <v>#NAME?</v>
      </c>
      <c r="K57" s="1591" t="e">
        <f aca="false">G57/(0.7*_xlfn.single(RR))</f>
        <v>#NAME?</v>
      </c>
      <c r="L57" s="1592"/>
      <c r="M57" s="1592"/>
      <c r="N57" s="1593"/>
      <c r="O57" s="1594"/>
      <c r="P57" s="1595"/>
      <c r="X57" s="1585" t="s">
        <v>2545</v>
      </c>
      <c r="Y57" s="119" t="n">
        <v>901</v>
      </c>
    </row>
    <row r="58" customFormat="false" ht="15" hidden="false" customHeight="false" outlineLevel="0" collapsed="false">
      <c r="A58" s="2" t="n">
        <v>2023</v>
      </c>
      <c r="B58" s="119" t="n">
        <v>902</v>
      </c>
      <c r="C58" s="1585" t="s">
        <v>2546</v>
      </c>
      <c r="D58" s="1586" t="n">
        <v>391</v>
      </c>
      <c r="E58" s="1587" t="n">
        <v>391</v>
      </c>
      <c r="F58" s="1588" t="n">
        <v>114.19</v>
      </c>
      <c r="G58" s="1588" t="n">
        <v>240.4</v>
      </c>
      <c r="H58" s="1589" t="n">
        <v>1000</v>
      </c>
      <c r="I58" s="1590" t="n">
        <v>3800</v>
      </c>
      <c r="J58" s="1591" t="e">
        <f aca="false">F58/(0.7*_xlfn.single(RR))</f>
        <v>#NAME?</v>
      </c>
      <c r="K58" s="1591" t="e">
        <f aca="false">G58/(0.7*_xlfn.single(RR))</f>
        <v>#NAME?</v>
      </c>
      <c r="L58" s="1592"/>
      <c r="M58" s="1592"/>
      <c r="N58" s="1593"/>
      <c r="O58" s="1594"/>
      <c r="P58" s="1595"/>
      <c r="X58" s="1585" t="s">
        <v>2546</v>
      </c>
      <c r="Y58" s="119" t="n">
        <v>902</v>
      </c>
    </row>
    <row r="59" customFormat="false" ht="15" hidden="false" customHeight="false" outlineLevel="0" collapsed="false">
      <c r="A59" s="2" t="n">
        <v>2023</v>
      </c>
      <c r="B59" s="119" t="n">
        <v>154</v>
      </c>
      <c r="C59" s="1585" t="s">
        <v>2547</v>
      </c>
      <c r="D59" s="1586" t="n">
        <v>3131</v>
      </c>
      <c r="E59" s="1587" t="n">
        <v>3131</v>
      </c>
      <c r="F59" s="1588" t="n">
        <v>360.61</v>
      </c>
      <c r="G59" s="1588" t="n">
        <v>1352.28</v>
      </c>
      <c r="H59" s="1589" t="n">
        <v>0</v>
      </c>
      <c r="I59" s="1590" t="n">
        <v>5200</v>
      </c>
      <c r="J59" s="1591" t="e">
        <f aca="false">F59/(0.7*_xlfn.single(RR))</f>
        <v>#NAME?</v>
      </c>
      <c r="K59" s="1591" t="e">
        <f aca="false">G59/(0.7*_xlfn.single(RR))</f>
        <v>#NAME?</v>
      </c>
      <c r="L59" s="1592"/>
      <c r="M59" s="1592"/>
      <c r="N59" s="1593"/>
      <c r="O59" s="1594"/>
      <c r="P59" s="1595" t="s">
        <v>2524</v>
      </c>
      <c r="X59" s="1585" t="s">
        <v>2547</v>
      </c>
      <c r="Y59" s="119" t="n">
        <v>154</v>
      </c>
    </row>
    <row r="60" customFormat="false" ht="15" hidden="false" customHeight="false" outlineLevel="0" collapsed="false">
      <c r="A60" s="2" t="n">
        <v>2023</v>
      </c>
      <c r="B60" s="119" t="n">
        <v>335</v>
      </c>
      <c r="C60" s="1585" t="s">
        <v>2548</v>
      </c>
      <c r="D60" s="1586" t="n">
        <v>0</v>
      </c>
      <c r="E60" s="1587" t="n">
        <v>0</v>
      </c>
      <c r="F60" s="1599" t="n">
        <v>1E-005</v>
      </c>
      <c r="G60" s="1599" t="n">
        <v>1E-005</v>
      </c>
      <c r="H60" s="1589" t="n">
        <v>0</v>
      </c>
      <c r="I60" s="1590" t="n">
        <v>0</v>
      </c>
      <c r="J60" s="1591" t="e">
        <f aca="false">F60/(0.7*_xlfn.single(RR))</f>
        <v>#NAME?</v>
      </c>
      <c r="K60" s="1591" t="e">
        <f aca="false">G60/(0.7*_xlfn.single(RR))</f>
        <v>#NAME?</v>
      </c>
      <c r="L60" s="1592"/>
      <c r="M60" s="1592"/>
      <c r="N60" s="1593"/>
      <c r="O60" s="1594"/>
      <c r="P60" s="1595"/>
      <c r="X60" s="1585" t="s">
        <v>2548</v>
      </c>
      <c r="Y60" s="119" t="n">
        <v>335</v>
      </c>
    </row>
    <row r="61" customFormat="false" ht="15" hidden="false" customHeight="false" outlineLevel="0" collapsed="false">
      <c r="A61" s="2" t="n">
        <v>2023</v>
      </c>
      <c r="B61" s="119" t="n">
        <v>87</v>
      </c>
      <c r="C61" s="1585" t="s">
        <v>1042</v>
      </c>
      <c r="D61" s="1586" t="n">
        <v>0</v>
      </c>
      <c r="E61" s="1587" t="n">
        <v>0</v>
      </c>
      <c r="F61" s="1599" t="n">
        <v>1E-005</v>
      </c>
      <c r="G61" s="1599" t="n">
        <v>1E-005</v>
      </c>
      <c r="H61" s="1589" t="n">
        <v>186.91</v>
      </c>
      <c r="I61" s="1590" t="n">
        <v>540.36</v>
      </c>
      <c r="J61" s="1591" t="e">
        <f aca="false">F61/(0.7*_xlfn.single(RR))</f>
        <v>#NAME?</v>
      </c>
      <c r="K61" s="1591" t="e">
        <f aca="false">G61/(0.7*_xlfn.single(RR))</f>
        <v>#NAME?</v>
      </c>
      <c r="L61" s="1592"/>
      <c r="M61" s="1592"/>
      <c r="N61" s="1593"/>
      <c r="O61" s="1594"/>
      <c r="P61" s="1595"/>
      <c r="X61" s="1585" t="s">
        <v>1042</v>
      </c>
      <c r="Y61" s="119" t="n">
        <v>87</v>
      </c>
    </row>
    <row r="62" customFormat="false" ht="15" hidden="false" customHeight="false" outlineLevel="0" collapsed="false">
      <c r="A62" s="2" t="n">
        <v>2023</v>
      </c>
      <c r="B62" s="119" t="n">
        <v>291</v>
      </c>
      <c r="C62" s="1585" t="s">
        <v>2549</v>
      </c>
      <c r="D62" s="1586" t="n">
        <v>0</v>
      </c>
      <c r="E62" s="1587" t="n">
        <v>0</v>
      </c>
      <c r="F62" s="1588" t="n">
        <v>450.76</v>
      </c>
      <c r="G62" s="1588" t="n">
        <v>721.21</v>
      </c>
      <c r="H62" s="1589" t="n">
        <v>0</v>
      </c>
      <c r="I62" s="1590" t="n">
        <v>3800</v>
      </c>
      <c r="J62" s="1591" t="e">
        <f aca="false">F62/(0.7*_xlfn.single(RR))</f>
        <v>#NAME?</v>
      </c>
      <c r="K62" s="1591" t="e">
        <f aca="false">G62/(0.7*_xlfn.single(RR))</f>
        <v>#NAME?</v>
      </c>
      <c r="L62" s="1592"/>
      <c r="M62" s="1592"/>
      <c r="N62" s="1593"/>
      <c r="O62" s="1594"/>
      <c r="P62" s="1595"/>
      <c r="X62" s="1585" t="s">
        <v>2549</v>
      </c>
      <c r="Y62" s="119" t="n">
        <v>291</v>
      </c>
    </row>
    <row r="63" customFormat="false" ht="15" hidden="false" customHeight="false" outlineLevel="0" collapsed="false">
      <c r="A63" s="2" t="n">
        <v>2023</v>
      </c>
      <c r="B63" s="119" t="n">
        <v>163</v>
      </c>
      <c r="C63" s="1585" t="s">
        <v>2550</v>
      </c>
      <c r="D63" s="1586" t="n">
        <v>3131</v>
      </c>
      <c r="E63" s="1587" t="n">
        <v>3131</v>
      </c>
      <c r="F63" s="1588" t="n">
        <v>360.61</v>
      </c>
      <c r="G63" s="1588" t="n">
        <v>1352.28</v>
      </c>
      <c r="H63" s="1589" t="n">
        <v>0</v>
      </c>
      <c r="I63" s="1590" t="n">
        <v>8200</v>
      </c>
      <c r="J63" s="1591" t="e">
        <f aca="false">F63/(0.7*_xlfn.single(RR))</f>
        <v>#NAME?</v>
      </c>
      <c r="K63" s="1591" t="e">
        <f aca="false">G63/(0.7*_xlfn.single(RR))</f>
        <v>#NAME?</v>
      </c>
      <c r="L63" s="1592"/>
      <c r="M63" s="1592"/>
      <c r="N63" s="1593"/>
      <c r="O63" s="1594"/>
      <c r="P63" s="1595" t="s">
        <v>2524</v>
      </c>
      <c r="X63" s="1585" t="s">
        <v>2550</v>
      </c>
      <c r="Y63" s="119" t="n">
        <v>163</v>
      </c>
    </row>
    <row r="64" customFormat="false" ht="15" hidden="false" customHeight="false" outlineLevel="0" collapsed="false">
      <c r="A64" s="2" t="n">
        <v>2023</v>
      </c>
      <c r="B64" s="119" t="n">
        <v>185</v>
      </c>
      <c r="C64" s="1612" t="s">
        <v>1206</v>
      </c>
      <c r="D64" s="1586" t="n">
        <v>3131</v>
      </c>
      <c r="E64" s="1587" t="n">
        <v>3131</v>
      </c>
      <c r="F64" s="1588" t="n">
        <v>360.61</v>
      </c>
      <c r="G64" s="1588" t="n">
        <v>1352.28</v>
      </c>
      <c r="H64" s="1589" t="n">
        <v>0</v>
      </c>
      <c r="I64" s="1590" t="n">
        <v>5200</v>
      </c>
      <c r="J64" s="1591" t="e">
        <f aca="false">F64/(0.7*_xlfn.single(RR))</f>
        <v>#NAME?</v>
      </c>
      <c r="K64" s="1591" t="e">
        <f aca="false">G64/(0.7*_xlfn.single(RR))</f>
        <v>#NAME?</v>
      </c>
      <c r="L64" s="1592"/>
      <c r="M64" s="1592"/>
      <c r="N64" s="1593"/>
      <c r="O64" s="1594"/>
      <c r="P64" s="1595" t="s">
        <v>2524</v>
      </c>
      <c r="X64" s="1612" t="s">
        <v>1206</v>
      </c>
      <c r="Y64" s="119" t="n">
        <v>185</v>
      </c>
    </row>
    <row r="65" customFormat="false" ht="15" hidden="false" customHeight="false" outlineLevel="0" collapsed="false">
      <c r="A65" s="2" t="n">
        <v>2023</v>
      </c>
      <c r="B65" s="119" t="n">
        <v>186</v>
      </c>
      <c r="C65" s="1612" t="s">
        <v>1210</v>
      </c>
      <c r="D65" s="1586" t="n">
        <v>3131</v>
      </c>
      <c r="E65" s="1587" t="n">
        <v>3131</v>
      </c>
      <c r="F65" s="1588" t="n">
        <v>360.61</v>
      </c>
      <c r="G65" s="1588" t="n">
        <v>1352.28</v>
      </c>
      <c r="H65" s="1589" t="n">
        <v>0</v>
      </c>
      <c r="I65" s="1590" t="n">
        <v>5200</v>
      </c>
      <c r="J65" s="1591" t="e">
        <f aca="false">F65/(0.7*_xlfn.single(RR))</f>
        <v>#NAME?</v>
      </c>
      <c r="K65" s="1591" t="e">
        <f aca="false">G65/(0.7*_xlfn.single(RR))</f>
        <v>#NAME?</v>
      </c>
      <c r="L65" s="1592"/>
      <c r="M65" s="1592"/>
      <c r="N65" s="1593"/>
      <c r="O65" s="1594"/>
      <c r="P65" s="1595" t="s">
        <v>2524</v>
      </c>
      <c r="X65" s="1612" t="s">
        <v>1210</v>
      </c>
      <c r="Y65" s="119" t="n">
        <v>186</v>
      </c>
    </row>
    <row r="66" customFormat="false" ht="15" hidden="false" customHeight="false" outlineLevel="0" collapsed="false">
      <c r="A66" s="2" t="n">
        <v>2023</v>
      </c>
      <c r="B66" s="119" t="n">
        <v>272</v>
      </c>
      <c r="C66" s="1585" t="s">
        <v>1317</v>
      </c>
      <c r="D66" s="1586" t="n">
        <v>391</v>
      </c>
      <c r="E66" s="1587" t="n">
        <v>391</v>
      </c>
      <c r="F66" s="1588" t="n">
        <v>114.19</v>
      </c>
      <c r="G66" s="1588" t="n">
        <v>240.4</v>
      </c>
      <c r="H66" s="1589" t="n">
        <v>1000</v>
      </c>
      <c r="I66" s="1590" t="n">
        <v>3800</v>
      </c>
      <c r="J66" s="1591" t="e">
        <f aca="false">F66/(0.7*_xlfn.single(RR))</f>
        <v>#NAME?</v>
      </c>
      <c r="K66" s="1591" t="e">
        <f aca="false">G66/(0.7*_xlfn.single(RR))</f>
        <v>#NAME?</v>
      </c>
      <c r="L66" s="1592"/>
      <c r="M66" s="1592"/>
      <c r="N66" s="1593"/>
      <c r="O66" s="1594"/>
      <c r="P66" s="1595"/>
      <c r="X66" s="1585" t="s">
        <v>1317</v>
      </c>
      <c r="Y66" s="119" t="n">
        <v>272</v>
      </c>
    </row>
    <row r="67" customFormat="false" ht="15" hidden="false" customHeight="false" outlineLevel="0" collapsed="false">
      <c r="A67" s="2" t="n">
        <v>2023</v>
      </c>
      <c r="B67" s="119" t="n">
        <v>36</v>
      </c>
      <c r="C67" s="1612" t="s">
        <v>1013</v>
      </c>
      <c r="D67" s="1586" t="n">
        <v>391</v>
      </c>
      <c r="E67" s="1587" t="n">
        <v>391</v>
      </c>
      <c r="F67" s="1588" t="n">
        <v>114.19</v>
      </c>
      <c r="G67" s="1588" t="n">
        <v>240.4</v>
      </c>
      <c r="H67" s="1589" t="n">
        <v>186.91</v>
      </c>
      <c r="I67" s="1590" t="n">
        <v>840.36</v>
      </c>
      <c r="J67" s="1591" t="e">
        <f aca="false">F67/(0.7*_xlfn.single(RR))</f>
        <v>#NAME?</v>
      </c>
      <c r="K67" s="1591" t="e">
        <f aca="false">G67/(0.7*_xlfn.single(RR))</f>
        <v>#NAME?</v>
      </c>
      <c r="L67" s="1592"/>
      <c r="M67" s="1592"/>
      <c r="N67" s="1593"/>
      <c r="O67" s="1594"/>
      <c r="P67" s="1595"/>
      <c r="X67" s="1612" t="s">
        <v>1013</v>
      </c>
      <c r="Y67" s="119" t="n">
        <v>36</v>
      </c>
    </row>
    <row r="68" customFormat="false" ht="15" hidden="false" customHeight="false" outlineLevel="0" collapsed="false">
      <c r="A68" s="2" t="n">
        <v>2023</v>
      </c>
      <c r="B68" s="119" t="n">
        <v>236</v>
      </c>
      <c r="C68" s="1585" t="s">
        <v>2551</v>
      </c>
      <c r="D68" s="1586" t="n">
        <v>391</v>
      </c>
      <c r="E68" s="1587" t="n">
        <v>391</v>
      </c>
      <c r="F68" s="1588" t="n">
        <v>114.19</v>
      </c>
      <c r="G68" s="1588" t="n">
        <v>240.4</v>
      </c>
      <c r="H68" s="1589" t="n">
        <v>0</v>
      </c>
      <c r="I68" s="1590" t="n">
        <v>1000</v>
      </c>
      <c r="J68" s="1591" t="e">
        <f aca="false">F68/(0.7*_xlfn.single(RR))</f>
        <v>#NAME?</v>
      </c>
      <c r="K68" s="1591" t="e">
        <f aca="false">G68/(0.7*_xlfn.single(RR))</f>
        <v>#NAME?</v>
      </c>
      <c r="L68" s="1592"/>
      <c r="M68" s="1592"/>
      <c r="N68" s="1593"/>
      <c r="O68" s="1594"/>
      <c r="P68" s="1595"/>
      <c r="X68" s="1585" t="s">
        <v>2551</v>
      </c>
      <c r="Y68" s="119" t="n">
        <v>236</v>
      </c>
    </row>
    <row r="69" customFormat="false" ht="15" hidden="false" customHeight="false" outlineLevel="0" collapsed="false">
      <c r="A69" s="2" t="n">
        <v>2023</v>
      </c>
      <c r="B69" s="119" t="n">
        <v>220</v>
      </c>
      <c r="C69" s="1585" t="s">
        <v>2552</v>
      </c>
      <c r="D69" s="1586" t="n">
        <v>391</v>
      </c>
      <c r="E69" s="1587" t="n">
        <v>391</v>
      </c>
      <c r="F69" s="1588" t="n">
        <v>114.19</v>
      </c>
      <c r="G69" s="1588" t="n">
        <v>240.4</v>
      </c>
      <c r="H69" s="1589" t="n">
        <v>270.46</v>
      </c>
      <c r="I69" s="1590" t="n">
        <v>600</v>
      </c>
      <c r="J69" s="1591" t="e">
        <f aca="false">F69/(0.7*_xlfn.single(RR))</f>
        <v>#NAME?</v>
      </c>
      <c r="K69" s="1591" t="e">
        <f aca="false">G69/(0.7*_xlfn.single(RR))</f>
        <v>#NAME?</v>
      </c>
      <c r="L69" s="1592"/>
      <c r="M69" s="1592"/>
      <c r="N69" s="1593"/>
      <c r="O69" s="1594"/>
      <c r="P69" s="1595"/>
      <c r="X69" s="1585" t="s">
        <v>2552</v>
      </c>
      <c r="Y69" s="119" t="n">
        <v>220</v>
      </c>
    </row>
    <row r="70" customFormat="false" ht="15" hidden="false" customHeight="false" outlineLevel="0" collapsed="false">
      <c r="A70" s="2" t="n">
        <v>2023</v>
      </c>
      <c r="B70" s="119" t="n">
        <v>86</v>
      </c>
      <c r="C70" s="1585" t="s">
        <v>2553</v>
      </c>
      <c r="D70" s="1586" t="n">
        <v>413</v>
      </c>
      <c r="E70" s="1587" t="n">
        <v>413</v>
      </c>
      <c r="F70" s="1613" t="n">
        <v>270.46</v>
      </c>
      <c r="G70" s="1613" t="n">
        <v>330.56</v>
      </c>
      <c r="H70" s="1589" t="n">
        <v>270.46</v>
      </c>
      <c r="I70" s="1590" t="n">
        <v>600</v>
      </c>
      <c r="J70" s="1591" t="e">
        <f aca="false">F70/(0.7*_xlfn.single(RR))</f>
        <v>#NAME?</v>
      </c>
      <c r="K70" s="1591" t="e">
        <f aca="false">G70/(0.7*_xlfn.single(RR))</f>
        <v>#NAME?</v>
      </c>
      <c r="L70" s="1592"/>
      <c r="M70" s="1592"/>
      <c r="N70" s="1593"/>
      <c r="O70" s="1594"/>
      <c r="P70" s="1595" t="s">
        <v>2524</v>
      </c>
      <c r="X70" s="1585" t="s">
        <v>2553</v>
      </c>
      <c r="Y70" s="119" t="n">
        <v>86</v>
      </c>
    </row>
    <row r="71" customFormat="false" ht="15" hidden="false" customHeight="false" outlineLevel="0" collapsed="false">
      <c r="A71" s="2" t="n">
        <v>2023</v>
      </c>
      <c r="B71" s="119" t="n">
        <v>213</v>
      </c>
      <c r="C71" s="1585" t="s">
        <v>1257</v>
      </c>
      <c r="D71" s="1586" t="n">
        <v>2558</v>
      </c>
      <c r="E71" s="1587" t="n">
        <v>2558</v>
      </c>
      <c r="F71" s="1588" t="n">
        <v>480.81</v>
      </c>
      <c r="G71" s="1588" t="n">
        <v>1442.43</v>
      </c>
      <c r="H71" s="1589" t="n">
        <v>939.72</v>
      </c>
      <c r="I71" s="1590" t="n">
        <v>2300</v>
      </c>
      <c r="J71" s="1591" t="e">
        <f aca="false">F71/(0.7*_xlfn.single(RR))</f>
        <v>#NAME?</v>
      </c>
      <c r="K71" s="1591" t="e">
        <f aca="false">G71/(0.7*_xlfn.single(RR))</f>
        <v>#NAME?</v>
      </c>
      <c r="L71" s="1592"/>
      <c r="M71" s="1592"/>
      <c r="N71" s="1593"/>
      <c r="O71" s="1594"/>
      <c r="P71" s="1595" t="s">
        <v>2524</v>
      </c>
      <c r="X71" s="1585" t="s">
        <v>1257</v>
      </c>
      <c r="Y71" s="119" t="n">
        <v>213</v>
      </c>
    </row>
    <row r="72" customFormat="false" ht="15" hidden="false" customHeight="false" outlineLevel="0" collapsed="false">
      <c r="A72" s="2" t="n">
        <v>2023</v>
      </c>
      <c r="B72" s="119" t="n">
        <v>184</v>
      </c>
      <c r="C72" s="1585" t="s">
        <v>2554</v>
      </c>
      <c r="D72" s="1586" t="n">
        <v>3131</v>
      </c>
      <c r="E72" s="1587" t="n">
        <v>3131</v>
      </c>
      <c r="F72" s="1588" t="n">
        <v>360.61</v>
      </c>
      <c r="G72" s="1588" t="n">
        <v>1352.28</v>
      </c>
      <c r="H72" s="1589" t="n">
        <v>0</v>
      </c>
      <c r="I72" s="1590" t="n">
        <v>5200</v>
      </c>
      <c r="J72" s="1591" t="e">
        <f aca="false">F72/(0.7*_xlfn.single(RR))</f>
        <v>#NAME?</v>
      </c>
      <c r="K72" s="1591" t="e">
        <f aca="false">G72/(0.7*_xlfn.single(RR))</f>
        <v>#NAME?</v>
      </c>
      <c r="L72" s="1592"/>
      <c r="M72" s="1592"/>
      <c r="N72" s="1593"/>
      <c r="O72" s="1594"/>
      <c r="P72" s="1595" t="s">
        <v>2524</v>
      </c>
      <c r="X72" s="1585" t="s">
        <v>2554</v>
      </c>
      <c r="Y72" s="119" t="n">
        <v>184</v>
      </c>
    </row>
    <row r="73" customFormat="false" ht="15" hidden="false" customHeight="false" outlineLevel="0" collapsed="false">
      <c r="A73" s="2" t="n">
        <v>2023</v>
      </c>
      <c r="B73" s="119" t="n">
        <v>88</v>
      </c>
      <c r="C73" s="1585" t="s">
        <v>2555</v>
      </c>
      <c r="D73" s="1586" t="n">
        <v>391</v>
      </c>
      <c r="E73" s="1587" t="n">
        <v>391</v>
      </c>
      <c r="F73" s="1588" t="n">
        <v>114.19</v>
      </c>
      <c r="G73" s="1588" t="n">
        <v>240.4</v>
      </c>
      <c r="H73" s="1589" t="n">
        <v>186.91</v>
      </c>
      <c r="I73" s="1590" t="n">
        <v>540.36</v>
      </c>
      <c r="J73" s="1591" t="e">
        <f aca="false">F73/(0.7*_xlfn.single(RR))</f>
        <v>#NAME?</v>
      </c>
      <c r="K73" s="1591" t="e">
        <f aca="false">G73/(0.7*_xlfn.single(RR))</f>
        <v>#NAME?</v>
      </c>
      <c r="L73" s="1592"/>
      <c r="M73" s="1592"/>
      <c r="N73" s="1593"/>
      <c r="O73" s="1594"/>
      <c r="P73" s="1595" t="s">
        <v>2524</v>
      </c>
      <c r="X73" s="1585" t="s">
        <v>2555</v>
      </c>
      <c r="Y73" s="119" t="n">
        <v>88</v>
      </c>
    </row>
    <row r="74" customFormat="false" ht="15" hidden="false" customHeight="false" outlineLevel="0" collapsed="false">
      <c r="A74" s="2" t="n">
        <v>2023</v>
      </c>
      <c r="B74" s="119" t="n">
        <v>234</v>
      </c>
      <c r="C74" s="1585" t="s">
        <v>2556</v>
      </c>
      <c r="D74" s="1586" t="n">
        <v>0</v>
      </c>
      <c r="E74" s="1587" t="n">
        <v>0</v>
      </c>
      <c r="F74" s="1599" t="n">
        <v>1E-005</v>
      </c>
      <c r="G74" s="1599" t="n">
        <v>1E-005</v>
      </c>
      <c r="H74" s="1589" t="n">
        <v>0</v>
      </c>
      <c r="I74" s="1590" t="n">
        <v>0</v>
      </c>
      <c r="J74" s="1591" t="e">
        <f aca="false">F74/(0.7*_xlfn.single(RR))</f>
        <v>#NAME?</v>
      </c>
      <c r="K74" s="1591" t="e">
        <f aca="false">G74/(0.7*_xlfn.single(RR))</f>
        <v>#NAME?</v>
      </c>
      <c r="L74" s="1592"/>
      <c r="M74" s="1592"/>
      <c r="N74" s="1593"/>
      <c r="O74" s="1594"/>
      <c r="P74" s="1595"/>
      <c r="X74" s="1585" t="s">
        <v>2556</v>
      </c>
      <c r="Y74" s="119" t="n">
        <v>234</v>
      </c>
    </row>
    <row r="75" customFormat="false" ht="15" hidden="false" customHeight="false" outlineLevel="0" collapsed="false">
      <c r="A75" s="2" t="n">
        <v>2023</v>
      </c>
      <c r="B75" s="119" t="n">
        <v>117</v>
      </c>
      <c r="C75" s="1585" t="s">
        <v>2557</v>
      </c>
      <c r="D75" s="1586" t="n">
        <v>1196</v>
      </c>
      <c r="E75" s="1587" t="n">
        <v>1196</v>
      </c>
      <c r="F75" s="1588" t="n">
        <v>450.76</v>
      </c>
      <c r="G75" s="1588" t="n">
        <v>721.71</v>
      </c>
      <c r="H75" s="1589" t="n">
        <v>0</v>
      </c>
      <c r="I75" s="1590" t="n">
        <v>0</v>
      </c>
      <c r="J75" s="1591" t="e">
        <f aca="false">F75/(0.7*_xlfn.single(RR))</f>
        <v>#NAME?</v>
      </c>
      <c r="K75" s="1591" t="e">
        <f aca="false">G75/(0.7*_xlfn.single(RR))</f>
        <v>#NAME?</v>
      </c>
      <c r="L75" s="1592"/>
      <c r="M75" s="1592"/>
      <c r="N75" s="1593"/>
      <c r="O75" s="1594"/>
      <c r="P75" s="1595"/>
      <c r="X75" s="1585" t="s">
        <v>2557</v>
      </c>
      <c r="Y75" s="119" t="n">
        <v>117</v>
      </c>
    </row>
    <row r="76" customFormat="false" ht="15" hidden="false" customHeight="false" outlineLevel="0" collapsed="false">
      <c r="A76" s="2" t="n">
        <v>2023</v>
      </c>
      <c r="B76" s="119" t="n">
        <v>5</v>
      </c>
      <c r="C76" s="1585" t="s">
        <v>997</v>
      </c>
      <c r="D76" s="1586" t="n">
        <v>391</v>
      </c>
      <c r="E76" s="1587" t="n">
        <v>391</v>
      </c>
      <c r="F76" s="1588" t="n">
        <v>114.19</v>
      </c>
      <c r="G76" s="1588" t="n">
        <v>240.4</v>
      </c>
      <c r="H76" s="1589" t="n">
        <v>400</v>
      </c>
      <c r="I76" s="1590" t="n">
        <v>800</v>
      </c>
      <c r="J76" s="1591" t="e">
        <f aca="false">F76/(0.7*_xlfn.single(RR))</f>
        <v>#NAME?</v>
      </c>
      <c r="K76" s="1591" t="e">
        <f aca="false">G76/(0.7*_xlfn.single(RR))</f>
        <v>#NAME?</v>
      </c>
      <c r="L76" s="1592"/>
      <c r="M76" s="1592"/>
      <c r="N76" s="1593"/>
      <c r="O76" s="1594"/>
      <c r="P76" s="1595" t="s">
        <v>2524</v>
      </c>
      <c r="X76" s="1585" t="s">
        <v>997</v>
      </c>
      <c r="Y76" s="119" t="n">
        <v>5</v>
      </c>
    </row>
    <row r="77" customFormat="false" ht="15" hidden="false" customHeight="false" outlineLevel="0" collapsed="false">
      <c r="A77" s="2" t="n">
        <v>2023</v>
      </c>
      <c r="B77" s="119" t="n">
        <v>157</v>
      </c>
      <c r="C77" s="1585" t="s">
        <v>1106</v>
      </c>
      <c r="D77" s="1586" t="n">
        <v>3131</v>
      </c>
      <c r="E77" s="1587" t="n">
        <v>3131</v>
      </c>
      <c r="F77" s="1588" t="n">
        <v>360.61</v>
      </c>
      <c r="G77" s="1588" t="n">
        <v>1352.28</v>
      </c>
      <c r="H77" s="1589" t="n">
        <v>575</v>
      </c>
      <c r="I77" s="1590" t="n">
        <v>8500</v>
      </c>
      <c r="J77" s="1591" t="e">
        <f aca="false">F77/(0.7*_xlfn.single(RR))</f>
        <v>#NAME?</v>
      </c>
      <c r="K77" s="1591" t="e">
        <f aca="false">G77/(0.7*_xlfn.single(RR))</f>
        <v>#NAME?</v>
      </c>
      <c r="L77" s="1592"/>
      <c r="M77" s="1592"/>
      <c r="N77" s="1593"/>
      <c r="O77" s="1594"/>
      <c r="P77" s="1595" t="s">
        <v>2524</v>
      </c>
      <c r="X77" s="1585" t="s">
        <v>1106</v>
      </c>
      <c r="Y77" s="119" t="n">
        <v>157</v>
      </c>
    </row>
    <row r="78" customFormat="false" ht="15" hidden="false" customHeight="false" outlineLevel="0" collapsed="false">
      <c r="A78" s="2" t="n">
        <v>2023</v>
      </c>
      <c r="B78" s="119" t="n">
        <v>167</v>
      </c>
      <c r="C78" s="1585" t="s">
        <v>1142</v>
      </c>
      <c r="D78" s="1586" t="n">
        <v>3131</v>
      </c>
      <c r="E78" s="1587" t="n">
        <v>3131</v>
      </c>
      <c r="F78" s="1588" t="n">
        <v>360.61</v>
      </c>
      <c r="G78" s="1588" t="n">
        <v>1352.28</v>
      </c>
      <c r="H78" s="1589" t="n">
        <v>0</v>
      </c>
      <c r="I78" s="1590" t="n">
        <v>7200</v>
      </c>
      <c r="J78" s="1591" t="e">
        <f aca="false">F78/(0.7*_xlfn.single(RR))</f>
        <v>#NAME?</v>
      </c>
      <c r="K78" s="1591" t="e">
        <f aca="false">G78/(0.7*_xlfn.single(RR))</f>
        <v>#NAME?</v>
      </c>
      <c r="L78" s="1592"/>
      <c r="M78" s="1592"/>
      <c r="N78" s="1593"/>
      <c r="O78" s="1594"/>
      <c r="P78" s="1595" t="s">
        <v>2524</v>
      </c>
      <c r="X78" s="1585" t="s">
        <v>1142</v>
      </c>
      <c r="Y78" s="119" t="n">
        <v>167</v>
      </c>
    </row>
    <row r="79" customFormat="false" ht="15" hidden="false" customHeight="false" outlineLevel="0" collapsed="false">
      <c r="A79" s="2" t="n">
        <v>2023</v>
      </c>
      <c r="B79" s="119" t="n">
        <v>6</v>
      </c>
      <c r="C79" s="1585" t="s">
        <v>998</v>
      </c>
      <c r="D79" s="1586" t="n">
        <v>391</v>
      </c>
      <c r="E79" s="1587" t="n">
        <v>391</v>
      </c>
      <c r="F79" s="1588" t="n">
        <v>114.19</v>
      </c>
      <c r="G79" s="1588" t="n">
        <v>240.4</v>
      </c>
      <c r="H79" s="1589" t="n">
        <v>364.22</v>
      </c>
      <c r="I79" s="1590" t="n">
        <v>600</v>
      </c>
      <c r="J79" s="1591" t="e">
        <f aca="false">F79/(0.7*_xlfn.single(RR))</f>
        <v>#NAME?</v>
      </c>
      <c r="K79" s="1591" t="e">
        <f aca="false">G79/(0.7*_xlfn.single(RR))</f>
        <v>#NAME?</v>
      </c>
      <c r="L79" s="1592"/>
      <c r="M79" s="1592"/>
      <c r="N79" s="1593"/>
      <c r="O79" s="1594"/>
      <c r="P79" s="1595" t="s">
        <v>2524</v>
      </c>
      <c r="X79" s="1585" t="s">
        <v>998</v>
      </c>
      <c r="Y79" s="119" t="n">
        <v>6</v>
      </c>
    </row>
    <row r="80" customFormat="false" ht="15" hidden="false" customHeight="false" outlineLevel="0" collapsed="false">
      <c r="A80" s="2" t="n">
        <v>2023</v>
      </c>
      <c r="B80" s="119" t="n">
        <v>110</v>
      </c>
      <c r="C80" s="1585" t="s">
        <v>2558</v>
      </c>
      <c r="D80" s="1586" t="n">
        <v>2558</v>
      </c>
      <c r="E80" s="1587" t="n">
        <v>2558</v>
      </c>
      <c r="F80" s="1588" t="n">
        <v>480.81</v>
      </c>
      <c r="G80" s="1588" t="n">
        <v>1442.43</v>
      </c>
      <c r="H80" s="1589" t="n">
        <v>2439.65</v>
      </c>
      <c r="I80" s="1590" t="n">
        <v>7000</v>
      </c>
      <c r="J80" s="1591" t="e">
        <f aca="false">F80/(0.7*_xlfn.single(RR))</f>
        <v>#NAME?</v>
      </c>
      <c r="K80" s="1591" t="e">
        <f aca="false">G80/(0.7*_xlfn.single(RR))</f>
        <v>#NAME?</v>
      </c>
      <c r="L80" s="1592"/>
      <c r="M80" s="1592"/>
      <c r="N80" s="1593"/>
      <c r="O80" s="1594"/>
      <c r="P80" s="1595" t="s">
        <v>2524</v>
      </c>
      <c r="X80" s="1585" t="s">
        <v>2558</v>
      </c>
      <c r="Y80" s="119" t="n">
        <v>110</v>
      </c>
    </row>
    <row r="81" customFormat="false" ht="15" hidden="false" customHeight="false" outlineLevel="0" collapsed="false">
      <c r="A81" s="2" t="n">
        <v>2023</v>
      </c>
      <c r="B81" s="119" t="n">
        <v>168</v>
      </c>
      <c r="C81" s="1585" t="s">
        <v>1146</v>
      </c>
      <c r="D81" s="1586" t="n">
        <v>3131</v>
      </c>
      <c r="E81" s="1587" t="n">
        <v>3131</v>
      </c>
      <c r="F81" s="1588" t="n">
        <v>360.61</v>
      </c>
      <c r="G81" s="1588" t="n">
        <v>1352.28</v>
      </c>
      <c r="H81" s="1589" t="n">
        <v>0</v>
      </c>
      <c r="I81" s="1590" t="n">
        <v>5200</v>
      </c>
      <c r="J81" s="1591" t="e">
        <f aca="false">F81/(0.7*_xlfn.single(RR))</f>
        <v>#NAME?</v>
      </c>
      <c r="K81" s="1591" t="e">
        <f aca="false">G81/(0.7*_xlfn.single(RR))</f>
        <v>#NAME?</v>
      </c>
      <c r="L81" s="1592"/>
      <c r="M81" s="1592"/>
      <c r="N81" s="1593"/>
      <c r="O81" s="1594"/>
      <c r="P81" s="1595"/>
      <c r="X81" s="1585" t="s">
        <v>1146</v>
      </c>
      <c r="Y81" s="119" t="n">
        <v>168</v>
      </c>
    </row>
    <row r="82" customFormat="false" ht="15" hidden="false" customHeight="false" outlineLevel="0" collapsed="false">
      <c r="A82" s="2" t="n">
        <v>2023</v>
      </c>
      <c r="B82" s="119" t="n">
        <v>194</v>
      </c>
      <c r="C82" s="1585" t="s">
        <v>2559</v>
      </c>
      <c r="D82" s="1586" t="n">
        <v>0</v>
      </c>
      <c r="E82" s="1587" t="n">
        <v>306000</v>
      </c>
      <c r="F82" s="1599" t="n">
        <v>1E-005</v>
      </c>
      <c r="G82" s="1588" t="n">
        <v>150000</v>
      </c>
      <c r="H82" s="1589" t="n">
        <v>0</v>
      </c>
      <c r="I82" s="1590" t="n">
        <v>306000</v>
      </c>
      <c r="J82" s="1591" t="e">
        <f aca="false">F82/(0.7*_xlfn.single(RR))</f>
        <v>#NAME?</v>
      </c>
      <c r="K82" s="1591" t="e">
        <f aca="false">G82/(0.7*_xlfn.single(RR))</f>
        <v>#NAME?</v>
      </c>
      <c r="L82" s="1592"/>
      <c r="M82" s="1592"/>
      <c r="N82" s="1593"/>
      <c r="O82" s="1594"/>
      <c r="P82" s="1595" t="s">
        <v>2524</v>
      </c>
      <c r="X82" s="1585" t="s">
        <v>2559</v>
      </c>
      <c r="Y82" s="119" t="n">
        <v>194</v>
      </c>
    </row>
    <row r="83" customFormat="false" ht="15" hidden="false" customHeight="false" outlineLevel="0" collapsed="false">
      <c r="A83" s="2" t="n">
        <v>2023</v>
      </c>
      <c r="B83" s="119" t="n">
        <v>171</v>
      </c>
      <c r="C83" s="1585" t="s">
        <v>1154</v>
      </c>
      <c r="D83" s="1586" t="n">
        <v>3131</v>
      </c>
      <c r="E83" s="1587" t="n">
        <v>3131</v>
      </c>
      <c r="F83" s="1588" t="n">
        <v>360.61</v>
      </c>
      <c r="G83" s="1588" t="n">
        <v>1352.28</v>
      </c>
      <c r="H83" s="1589" t="n">
        <v>0</v>
      </c>
      <c r="I83" s="1590" t="n">
        <v>5200</v>
      </c>
      <c r="J83" s="1591" t="e">
        <f aca="false">F83/(0.7*_xlfn.single(RR))</f>
        <v>#NAME?</v>
      </c>
      <c r="K83" s="1591" t="e">
        <f aca="false">G83/(0.7*_xlfn.single(RR))</f>
        <v>#NAME?</v>
      </c>
      <c r="L83" s="1592"/>
      <c r="M83" s="1592"/>
      <c r="N83" s="1593"/>
      <c r="O83" s="1594"/>
      <c r="P83" s="1595" t="s">
        <v>2524</v>
      </c>
      <c r="X83" s="1585" t="s">
        <v>1154</v>
      </c>
      <c r="Y83" s="119" t="n">
        <v>171</v>
      </c>
    </row>
    <row r="84" customFormat="false" ht="15" hidden="false" customHeight="false" outlineLevel="0" collapsed="false">
      <c r="A84" s="2" t="n">
        <v>2023</v>
      </c>
      <c r="B84" s="119" t="n">
        <v>116</v>
      </c>
      <c r="C84" s="1585" t="s">
        <v>2560</v>
      </c>
      <c r="D84" s="1586" t="n">
        <v>2692</v>
      </c>
      <c r="E84" s="1587" t="n">
        <v>2692</v>
      </c>
      <c r="F84" s="1588" t="n">
        <v>390.66</v>
      </c>
      <c r="G84" s="1588" t="n">
        <v>390.66</v>
      </c>
      <c r="H84" s="1589" t="n">
        <v>0</v>
      </c>
      <c r="I84" s="1590" t="n">
        <v>0</v>
      </c>
      <c r="J84" s="1591" t="e">
        <f aca="false">F84/(0.7*_xlfn.single(RR))</f>
        <v>#NAME?</v>
      </c>
      <c r="K84" s="1591" t="e">
        <f aca="false">G84/(0.7*_xlfn.single(RR))</f>
        <v>#NAME?</v>
      </c>
      <c r="L84" s="1592"/>
      <c r="M84" s="1592"/>
      <c r="N84" s="1593"/>
      <c r="O84" s="1594"/>
      <c r="P84" s="1595"/>
      <c r="X84" s="1585" t="s">
        <v>2560</v>
      </c>
      <c r="Y84" s="119" t="n">
        <v>116</v>
      </c>
    </row>
    <row r="85" customFormat="false" ht="15" hidden="false" customHeight="false" outlineLevel="0" collapsed="false">
      <c r="A85" s="2" t="n">
        <v>2023</v>
      </c>
      <c r="B85" s="119" t="n">
        <v>89</v>
      </c>
      <c r="C85" s="1585" t="s">
        <v>2561</v>
      </c>
      <c r="D85" s="1586" t="n">
        <v>1196</v>
      </c>
      <c r="E85" s="1587" t="n">
        <v>1196</v>
      </c>
      <c r="F85" s="1588" t="n">
        <v>450.76</v>
      </c>
      <c r="G85" s="1588" t="n">
        <v>1202.02</v>
      </c>
      <c r="H85" s="1589" t="n">
        <v>500</v>
      </c>
      <c r="I85" s="1590" t="n">
        <v>1500</v>
      </c>
      <c r="J85" s="1591" t="e">
        <f aca="false">F85/(0.7*_xlfn.single(RR))</f>
        <v>#NAME?</v>
      </c>
      <c r="K85" s="1591" t="e">
        <f aca="false">G85/(0.7*_xlfn.single(RR))</f>
        <v>#NAME?</v>
      </c>
      <c r="L85" s="1592"/>
      <c r="M85" s="1592"/>
      <c r="N85" s="1593"/>
      <c r="O85" s="1594"/>
      <c r="P85" s="1595"/>
      <c r="X85" s="1585" t="s">
        <v>2561</v>
      </c>
      <c r="Y85" s="119" t="n">
        <v>89</v>
      </c>
    </row>
    <row r="86" customFormat="false" ht="15" hidden="false" customHeight="false" outlineLevel="0" collapsed="false">
      <c r="A86" s="2" t="n">
        <v>2023</v>
      </c>
      <c r="B86" s="119" t="n">
        <v>252</v>
      </c>
      <c r="C86" s="1585" t="s">
        <v>1298</v>
      </c>
      <c r="D86" s="1586" t="n">
        <v>391</v>
      </c>
      <c r="E86" s="1587" t="n">
        <v>391</v>
      </c>
      <c r="F86" s="1588" t="n">
        <v>114.19</v>
      </c>
      <c r="G86" s="1588" t="n">
        <v>240.4</v>
      </c>
      <c r="H86" s="1589" t="n">
        <v>1000</v>
      </c>
      <c r="I86" s="1590" t="n">
        <v>3800</v>
      </c>
      <c r="J86" s="1591" t="e">
        <f aca="false">F86/(0.7*_xlfn.single(RR))</f>
        <v>#NAME?</v>
      </c>
      <c r="K86" s="1591" t="e">
        <f aca="false">G86/(0.7*_xlfn.single(RR))</f>
        <v>#NAME?</v>
      </c>
      <c r="L86" s="1592"/>
      <c r="M86" s="1592"/>
      <c r="N86" s="1593"/>
      <c r="O86" s="1594"/>
      <c r="P86" s="1595" t="s">
        <v>2524</v>
      </c>
      <c r="X86" s="1585" t="s">
        <v>1298</v>
      </c>
      <c r="Y86" s="119" t="n">
        <v>252</v>
      </c>
    </row>
    <row r="87" customFormat="false" ht="15" hidden="false" customHeight="false" outlineLevel="0" collapsed="false">
      <c r="A87" s="2" t="n">
        <v>2023</v>
      </c>
      <c r="B87" s="119" t="n">
        <v>111</v>
      </c>
      <c r="C87" s="1585" t="s">
        <v>2562</v>
      </c>
      <c r="D87" s="1586" t="n">
        <v>2558</v>
      </c>
      <c r="E87" s="1587" t="n">
        <v>2558</v>
      </c>
      <c r="F87" s="1588" t="n">
        <v>480.81</v>
      </c>
      <c r="G87" s="1588" t="n">
        <v>1442.43</v>
      </c>
      <c r="H87" s="1589" t="n">
        <v>2151.03</v>
      </c>
      <c r="I87" s="1590" t="n">
        <v>7000</v>
      </c>
      <c r="J87" s="1591" t="e">
        <f aca="false">F87/(0.7*_xlfn.single(RR))</f>
        <v>#NAME?</v>
      </c>
      <c r="K87" s="1591" t="e">
        <f aca="false">G87/(0.7*_xlfn.single(RR))</f>
        <v>#NAME?</v>
      </c>
      <c r="L87" s="1592"/>
      <c r="M87" s="1592"/>
      <c r="N87" s="1593"/>
      <c r="O87" s="1594"/>
      <c r="P87" s="1595" t="s">
        <v>2524</v>
      </c>
      <c r="X87" s="1585" t="s">
        <v>2562</v>
      </c>
      <c r="Y87" s="119" t="n">
        <v>111</v>
      </c>
    </row>
    <row r="88" customFormat="false" ht="15" hidden="false" customHeight="false" outlineLevel="0" collapsed="false">
      <c r="A88" s="2" t="n">
        <v>2023</v>
      </c>
      <c r="B88" s="119" t="n">
        <v>210</v>
      </c>
      <c r="C88" s="1585" t="s">
        <v>2563</v>
      </c>
      <c r="D88" s="1586" t="n">
        <v>2558</v>
      </c>
      <c r="E88" s="1587" t="n">
        <v>2558</v>
      </c>
      <c r="F88" s="1588" t="n">
        <v>480.81</v>
      </c>
      <c r="G88" s="1588" t="n">
        <v>1442.43</v>
      </c>
      <c r="H88" s="1589" t="n">
        <v>1939.8</v>
      </c>
      <c r="I88" s="1590" t="n">
        <v>6000</v>
      </c>
      <c r="J88" s="1591" t="e">
        <f aca="false">F88/(0.7*_xlfn.single(RR))</f>
        <v>#NAME?</v>
      </c>
      <c r="K88" s="1591" t="e">
        <f aca="false">G88/(0.7*_xlfn.single(RR))</f>
        <v>#NAME?</v>
      </c>
      <c r="L88" s="1592"/>
      <c r="M88" s="1592"/>
      <c r="N88" s="1593"/>
      <c r="O88" s="1594"/>
      <c r="P88" s="1595"/>
      <c r="X88" s="1585" t="s">
        <v>2563</v>
      </c>
      <c r="Y88" s="119" t="n">
        <v>210</v>
      </c>
    </row>
    <row r="89" customFormat="false" ht="15" hidden="false" customHeight="false" outlineLevel="0" collapsed="false">
      <c r="A89" s="2" t="n">
        <v>2023</v>
      </c>
      <c r="B89" s="119" t="n">
        <v>204</v>
      </c>
      <c r="C89" s="1585" t="s">
        <v>2564</v>
      </c>
      <c r="D89" s="1586" t="n">
        <v>2558</v>
      </c>
      <c r="E89" s="1587" t="n">
        <v>2558</v>
      </c>
      <c r="F89" s="1588" t="n">
        <v>480.81</v>
      </c>
      <c r="G89" s="1588" t="n">
        <v>1442.43</v>
      </c>
      <c r="H89" s="1589" t="n">
        <v>1939.8</v>
      </c>
      <c r="I89" s="1590" t="n">
        <v>6000</v>
      </c>
      <c r="J89" s="1591" t="e">
        <f aca="false">F89/(0.7*_xlfn.single(RR))</f>
        <v>#NAME?</v>
      </c>
      <c r="K89" s="1591" t="e">
        <f aca="false">G89/(0.7*_xlfn.single(RR))</f>
        <v>#NAME?</v>
      </c>
      <c r="L89" s="1592"/>
      <c r="M89" s="1592"/>
      <c r="N89" s="1593"/>
      <c r="O89" s="1594"/>
      <c r="P89" s="1595"/>
      <c r="X89" s="1585" t="s">
        <v>2564</v>
      </c>
      <c r="Y89" s="119" t="n">
        <v>204</v>
      </c>
    </row>
    <row r="90" customFormat="false" ht="15" hidden="false" customHeight="false" outlineLevel="0" collapsed="false">
      <c r="A90" s="2" t="n">
        <v>2023</v>
      </c>
      <c r="B90" s="119" t="n">
        <v>170</v>
      </c>
      <c r="C90" s="1585" t="s">
        <v>2565</v>
      </c>
      <c r="D90" s="1586" t="n">
        <v>3131</v>
      </c>
      <c r="E90" s="1587" t="n">
        <v>3131</v>
      </c>
      <c r="F90" s="1588" t="n">
        <v>360.61</v>
      </c>
      <c r="G90" s="1588" t="n">
        <v>1352.28</v>
      </c>
      <c r="H90" s="1589" t="n">
        <v>0</v>
      </c>
      <c r="I90" s="1590" t="n">
        <v>5200</v>
      </c>
      <c r="J90" s="1591" t="e">
        <f aca="false">F90/(0.7*_xlfn.single(RR))</f>
        <v>#NAME?</v>
      </c>
      <c r="K90" s="1591" t="e">
        <f aca="false">G90/(0.7*_xlfn.single(RR))</f>
        <v>#NAME?</v>
      </c>
      <c r="L90" s="1592"/>
      <c r="M90" s="1592"/>
      <c r="N90" s="1593"/>
      <c r="O90" s="1594"/>
      <c r="P90" s="1595" t="s">
        <v>2524</v>
      </c>
      <c r="X90" s="1585" t="s">
        <v>2565</v>
      </c>
      <c r="Y90" s="119" t="n">
        <v>170</v>
      </c>
    </row>
    <row r="91" customFormat="false" ht="15" hidden="false" customHeight="false" outlineLevel="0" collapsed="false">
      <c r="A91" s="2" t="n">
        <v>2023</v>
      </c>
      <c r="B91" s="119" t="n">
        <v>304</v>
      </c>
      <c r="C91" s="1585" t="s">
        <v>1340</v>
      </c>
      <c r="D91" s="1586" t="n">
        <v>3131</v>
      </c>
      <c r="E91" s="1587" t="n">
        <v>3131</v>
      </c>
      <c r="F91" s="1588" t="n">
        <v>360.61</v>
      </c>
      <c r="G91" s="1588" t="n">
        <v>1352.28</v>
      </c>
      <c r="H91" s="1589" t="n">
        <v>0</v>
      </c>
      <c r="I91" s="1590" t="n">
        <v>5200</v>
      </c>
      <c r="J91" s="1591" t="e">
        <f aca="false">F91/(0.7*_xlfn.single(RR))</f>
        <v>#NAME?</v>
      </c>
      <c r="K91" s="1591" t="e">
        <f aca="false">G91/(0.7*_xlfn.single(RR))</f>
        <v>#NAME?</v>
      </c>
      <c r="L91" s="1592"/>
      <c r="M91" s="1592"/>
      <c r="N91" s="1593"/>
      <c r="O91" s="1594"/>
      <c r="P91" s="1595" t="s">
        <v>2524</v>
      </c>
      <c r="X91" s="1585" t="s">
        <v>1340</v>
      </c>
      <c r="Y91" s="119" t="n">
        <v>304</v>
      </c>
    </row>
    <row r="92" customFormat="false" ht="15" hidden="false" customHeight="false" outlineLevel="0" collapsed="false">
      <c r="A92" s="2" t="n">
        <v>2023</v>
      </c>
      <c r="B92" s="119" t="n">
        <v>174</v>
      </c>
      <c r="C92" s="1585" t="s">
        <v>2566</v>
      </c>
      <c r="D92" s="1586" t="n">
        <v>3131</v>
      </c>
      <c r="E92" s="1587" t="n">
        <v>3131</v>
      </c>
      <c r="F92" s="1588" t="n">
        <v>360.61</v>
      </c>
      <c r="G92" s="1588" t="n">
        <v>1352.28</v>
      </c>
      <c r="H92" s="1589" t="n">
        <v>0</v>
      </c>
      <c r="I92" s="1590" t="n">
        <v>5200</v>
      </c>
      <c r="J92" s="1591" t="e">
        <f aca="false">F92/(0.7*_xlfn.single(RR))</f>
        <v>#NAME?</v>
      </c>
      <c r="K92" s="1591" t="e">
        <f aca="false">G92/(0.7*_xlfn.single(RR))</f>
        <v>#NAME?</v>
      </c>
      <c r="L92" s="1592"/>
      <c r="M92" s="1592"/>
      <c r="N92" s="1593"/>
      <c r="O92" s="1594"/>
      <c r="P92" s="1595" t="s">
        <v>2524</v>
      </c>
      <c r="X92" s="1585" t="s">
        <v>2566</v>
      </c>
      <c r="Y92" s="119" t="n">
        <v>174</v>
      </c>
    </row>
    <row r="93" customFormat="false" ht="15" hidden="false" customHeight="false" outlineLevel="0" collapsed="false">
      <c r="A93" s="2" t="n">
        <v>2023</v>
      </c>
      <c r="B93" s="119" t="n">
        <v>173</v>
      </c>
      <c r="C93" s="1585" t="s">
        <v>1162</v>
      </c>
      <c r="D93" s="1586" t="n">
        <v>3131</v>
      </c>
      <c r="E93" s="1587" t="n">
        <v>3131</v>
      </c>
      <c r="F93" s="1588" t="n">
        <v>360.61</v>
      </c>
      <c r="G93" s="1588" t="n">
        <v>1352.28</v>
      </c>
      <c r="H93" s="1589" t="n">
        <v>0</v>
      </c>
      <c r="I93" s="1590" t="n">
        <v>5200</v>
      </c>
      <c r="J93" s="1591" t="e">
        <f aca="false">F93/(0.7*_xlfn.single(RR))</f>
        <v>#NAME?</v>
      </c>
      <c r="K93" s="1591" t="e">
        <f aca="false">G93/(0.7*_xlfn.single(RR))</f>
        <v>#NAME?</v>
      </c>
      <c r="L93" s="1592"/>
      <c r="M93" s="1592"/>
      <c r="N93" s="1593"/>
      <c r="O93" s="1594"/>
      <c r="P93" s="1595" t="s">
        <v>2524</v>
      </c>
      <c r="X93" s="1585" t="s">
        <v>1162</v>
      </c>
      <c r="Y93" s="119" t="n">
        <v>173</v>
      </c>
    </row>
    <row r="94" customFormat="false" ht="15" hidden="false" customHeight="false" outlineLevel="0" collapsed="false">
      <c r="A94" s="2" t="n">
        <v>2023</v>
      </c>
      <c r="B94" s="119" t="n">
        <v>176</v>
      </c>
      <c r="C94" s="1585" t="s">
        <v>2567</v>
      </c>
      <c r="D94" s="1586" t="n">
        <v>3131</v>
      </c>
      <c r="E94" s="1587" t="n">
        <v>3131</v>
      </c>
      <c r="F94" s="1588" t="n">
        <v>360.61</v>
      </c>
      <c r="G94" s="1588" t="n">
        <v>1352.28</v>
      </c>
      <c r="H94" s="1589" t="n">
        <v>0</v>
      </c>
      <c r="I94" s="1590" t="n">
        <v>5200</v>
      </c>
      <c r="J94" s="1591" t="e">
        <f aca="false">F94/(0.7*_xlfn.single(RR))</f>
        <v>#NAME?</v>
      </c>
      <c r="K94" s="1591" t="e">
        <f aca="false">G94/(0.7*_xlfn.single(RR))</f>
        <v>#NAME?</v>
      </c>
      <c r="L94" s="1592"/>
      <c r="M94" s="1592"/>
      <c r="N94" s="1593"/>
      <c r="O94" s="1594"/>
      <c r="P94" s="1595" t="s">
        <v>2524</v>
      </c>
      <c r="X94" s="1585" t="s">
        <v>2567</v>
      </c>
      <c r="Y94" s="119" t="n">
        <v>176</v>
      </c>
    </row>
    <row r="95" customFormat="false" ht="15" hidden="false" customHeight="false" outlineLevel="0" collapsed="false">
      <c r="A95" s="2" t="n">
        <v>2023</v>
      </c>
      <c r="B95" s="119" t="n">
        <v>160</v>
      </c>
      <c r="C95" s="1585" t="s">
        <v>1118</v>
      </c>
      <c r="D95" s="1586" t="n">
        <v>3131</v>
      </c>
      <c r="E95" s="1587" t="n">
        <v>3131</v>
      </c>
      <c r="F95" s="1588" t="n">
        <v>360.61</v>
      </c>
      <c r="G95" s="1588" t="n">
        <v>1352.28</v>
      </c>
      <c r="H95" s="1589" t="n">
        <v>0</v>
      </c>
      <c r="I95" s="1590" t="n">
        <v>5200</v>
      </c>
      <c r="J95" s="1591" t="e">
        <f aca="false">F95/(0.7*_xlfn.single(RR))</f>
        <v>#NAME?</v>
      </c>
      <c r="K95" s="1591" t="e">
        <f aca="false">G95/(0.7*_xlfn.single(RR))</f>
        <v>#NAME?</v>
      </c>
      <c r="L95" s="1592"/>
      <c r="M95" s="1592"/>
      <c r="N95" s="1593"/>
      <c r="O95" s="1594"/>
      <c r="P95" s="1595" t="s">
        <v>2524</v>
      </c>
      <c r="X95" s="1585" t="s">
        <v>1118</v>
      </c>
      <c r="Y95" s="119" t="n">
        <v>160</v>
      </c>
    </row>
    <row r="96" customFormat="false" ht="15" hidden="false" customHeight="false" outlineLevel="0" collapsed="false">
      <c r="A96" s="2" t="n">
        <v>2023</v>
      </c>
      <c r="B96" s="119" t="n">
        <v>159</v>
      </c>
      <c r="C96" s="1585" t="s">
        <v>2568</v>
      </c>
      <c r="D96" s="1586" t="n">
        <v>3131</v>
      </c>
      <c r="E96" s="1587" t="n">
        <v>3131</v>
      </c>
      <c r="F96" s="1588" t="n">
        <v>360.61</v>
      </c>
      <c r="G96" s="1588" t="n">
        <v>1352.28</v>
      </c>
      <c r="H96" s="1589" t="n">
        <v>0</v>
      </c>
      <c r="I96" s="1590" t="n">
        <v>5200</v>
      </c>
      <c r="J96" s="1591" t="e">
        <f aca="false">F96/(0.7*_xlfn.single(RR))</f>
        <v>#NAME?</v>
      </c>
      <c r="K96" s="1591" t="e">
        <f aca="false">G96/(0.7*_xlfn.single(RR))</f>
        <v>#NAME?</v>
      </c>
      <c r="L96" s="1592"/>
      <c r="M96" s="1592"/>
      <c r="N96" s="1593"/>
      <c r="O96" s="1594"/>
      <c r="P96" s="1595" t="s">
        <v>2524</v>
      </c>
      <c r="X96" s="1585" t="s">
        <v>2568</v>
      </c>
      <c r="Y96" s="119" t="n">
        <v>159</v>
      </c>
    </row>
    <row r="97" customFormat="false" ht="15" hidden="false" customHeight="false" outlineLevel="0" collapsed="false">
      <c r="A97" s="2" t="n">
        <v>2023</v>
      </c>
      <c r="B97" s="119" t="n">
        <v>35</v>
      </c>
      <c r="C97" s="1585" t="s">
        <v>1012</v>
      </c>
      <c r="D97" s="1586" t="n">
        <v>391</v>
      </c>
      <c r="E97" s="1587" t="n">
        <v>391</v>
      </c>
      <c r="F97" s="1588" t="n">
        <v>114.19</v>
      </c>
      <c r="G97" s="1588" t="n">
        <v>240.4</v>
      </c>
      <c r="H97" s="1589" t="n">
        <v>350</v>
      </c>
      <c r="I97" s="1590" t="n">
        <v>750</v>
      </c>
      <c r="J97" s="1591" t="e">
        <f aca="false">F97/(0.7*_xlfn.single(RR))</f>
        <v>#NAME?</v>
      </c>
      <c r="K97" s="1591" t="e">
        <f aca="false">G97/(0.7*_xlfn.single(RR))</f>
        <v>#NAME?</v>
      </c>
      <c r="L97" s="1592"/>
      <c r="M97" s="1592"/>
      <c r="N97" s="1593"/>
      <c r="O97" s="1594"/>
      <c r="P97" s="1595" t="s">
        <v>2524</v>
      </c>
      <c r="X97" s="1585" t="s">
        <v>1012</v>
      </c>
      <c r="Y97" s="119" t="n">
        <v>35</v>
      </c>
    </row>
    <row r="98" customFormat="false" ht="15" hidden="false" customHeight="false" outlineLevel="0" collapsed="false">
      <c r="A98" s="2" t="n">
        <v>2023</v>
      </c>
      <c r="B98" s="119" t="n">
        <v>273</v>
      </c>
      <c r="C98" s="1585" t="s">
        <v>1318</v>
      </c>
      <c r="D98" s="1586" t="n">
        <v>391</v>
      </c>
      <c r="E98" s="1587" t="n">
        <v>391</v>
      </c>
      <c r="F98" s="1588" t="n">
        <v>114.19</v>
      </c>
      <c r="G98" s="1588" t="n">
        <v>240.4</v>
      </c>
      <c r="H98" s="1589" t="n">
        <v>1000</v>
      </c>
      <c r="I98" s="1590" t="n">
        <v>3800</v>
      </c>
      <c r="J98" s="1591" t="e">
        <f aca="false">F98/(0.7*_xlfn.single(RR))</f>
        <v>#NAME?</v>
      </c>
      <c r="K98" s="1591" t="e">
        <f aca="false">G98/(0.7*_xlfn.single(RR))</f>
        <v>#NAME?</v>
      </c>
      <c r="L98" s="1592"/>
      <c r="M98" s="1592"/>
      <c r="N98" s="1593"/>
      <c r="O98" s="1594"/>
      <c r="P98" s="1595"/>
      <c r="X98" s="1585" t="s">
        <v>1318</v>
      </c>
      <c r="Y98" s="119" t="n">
        <v>273</v>
      </c>
    </row>
    <row r="99" customFormat="false" ht="15" hidden="false" customHeight="false" outlineLevel="0" collapsed="false">
      <c r="A99" s="2" t="n">
        <v>2023</v>
      </c>
      <c r="B99" s="119" t="n">
        <v>904</v>
      </c>
      <c r="C99" s="1585" t="s">
        <v>1409</v>
      </c>
      <c r="D99" s="1586" t="n">
        <v>391</v>
      </c>
      <c r="E99" s="1587" t="n">
        <v>391</v>
      </c>
      <c r="F99" s="1588" t="n">
        <v>114.19</v>
      </c>
      <c r="G99" s="1588" t="n">
        <v>240.4</v>
      </c>
      <c r="H99" s="1589" t="n">
        <v>400</v>
      </c>
      <c r="I99" s="1590" t="n">
        <v>1000</v>
      </c>
      <c r="J99" s="1591" t="e">
        <f aca="false">F99/(0.7*_xlfn.single(RR))</f>
        <v>#NAME?</v>
      </c>
      <c r="K99" s="1591" t="e">
        <f aca="false">G99/(0.7*_xlfn.single(RR))</f>
        <v>#NAME?</v>
      </c>
      <c r="L99" s="1592"/>
      <c r="M99" s="1592"/>
      <c r="N99" s="1593"/>
      <c r="O99" s="1594"/>
      <c r="P99" s="1595"/>
      <c r="X99" s="1585" t="s">
        <v>1409</v>
      </c>
      <c r="Y99" s="119" t="n">
        <v>904</v>
      </c>
    </row>
    <row r="100" customFormat="false" ht="15" hidden="false" customHeight="false" outlineLevel="0" collapsed="false">
      <c r="A100" s="2" t="n">
        <v>2023</v>
      </c>
      <c r="B100" s="119" t="n">
        <v>247</v>
      </c>
      <c r="C100" s="1585" t="s">
        <v>1292</v>
      </c>
      <c r="D100" s="1586" t="n">
        <v>391</v>
      </c>
      <c r="E100" s="1587" t="n">
        <v>391</v>
      </c>
      <c r="F100" s="1588" t="n">
        <v>114.19</v>
      </c>
      <c r="G100" s="1588" t="n">
        <v>270.46</v>
      </c>
      <c r="H100" s="1589" t="n">
        <v>400</v>
      </c>
      <c r="I100" s="1590" t="n">
        <v>1000</v>
      </c>
      <c r="J100" s="1591" t="e">
        <f aca="false">F100/(0.7*_xlfn.single(RR))</f>
        <v>#NAME?</v>
      </c>
      <c r="K100" s="1591" t="e">
        <f aca="false">G100/(0.7*_xlfn.single(RR))</f>
        <v>#NAME?</v>
      </c>
      <c r="L100" s="1592"/>
      <c r="M100" s="1592"/>
      <c r="N100" s="1593"/>
      <c r="O100" s="1594"/>
      <c r="P100" s="1595"/>
      <c r="X100" s="1585" t="s">
        <v>1292</v>
      </c>
      <c r="Y100" s="119" t="n">
        <v>247</v>
      </c>
    </row>
    <row r="101" customFormat="false" ht="15" hidden="false" customHeight="false" outlineLevel="0" collapsed="false">
      <c r="A101" s="2" t="n">
        <v>2023</v>
      </c>
      <c r="B101" s="119" t="n">
        <v>72</v>
      </c>
      <c r="C101" s="1585" t="s">
        <v>1031</v>
      </c>
      <c r="D101" s="1586" t="n">
        <v>391</v>
      </c>
      <c r="E101" s="1587" t="n">
        <v>391</v>
      </c>
      <c r="F101" s="1588" t="n">
        <v>114.19</v>
      </c>
      <c r="G101" s="1588" t="n">
        <v>270.46</v>
      </c>
      <c r="H101" s="1589" t="n">
        <v>700</v>
      </c>
      <c r="I101" s="1590" t="n">
        <v>1800</v>
      </c>
      <c r="J101" s="1591" t="e">
        <f aca="false">F101/(0.7*_xlfn.single(RR))</f>
        <v>#NAME?</v>
      </c>
      <c r="K101" s="1591" t="e">
        <f aca="false">G101/(0.7*_xlfn.single(RR))</f>
        <v>#NAME?</v>
      </c>
      <c r="L101" s="1592"/>
      <c r="M101" s="1592"/>
      <c r="N101" s="1593"/>
      <c r="O101" s="1594"/>
      <c r="P101" s="1595" t="s">
        <v>2524</v>
      </c>
      <c r="X101" s="1585" t="s">
        <v>1031</v>
      </c>
      <c r="Y101" s="119" t="n">
        <v>72</v>
      </c>
    </row>
    <row r="102" customFormat="false" ht="15" hidden="false" customHeight="false" outlineLevel="0" collapsed="false">
      <c r="A102" s="2" t="n">
        <v>2023</v>
      </c>
      <c r="B102" s="119" t="n">
        <v>310</v>
      </c>
      <c r="C102" s="1585" t="s">
        <v>2569</v>
      </c>
      <c r="D102" s="1586" t="n">
        <v>391</v>
      </c>
      <c r="E102" s="1587" t="n">
        <v>391</v>
      </c>
      <c r="F102" s="1588" t="n">
        <v>114.19</v>
      </c>
      <c r="G102" s="1588" t="n">
        <v>240.4</v>
      </c>
      <c r="H102" s="1589" t="n">
        <v>1000</v>
      </c>
      <c r="I102" s="1590" t="n">
        <v>3800</v>
      </c>
      <c r="J102" s="1591" t="e">
        <f aca="false">F102/(0.7*_xlfn.single(RR))</f>
        <v>#NAME?</v>
      </c>
      <c r="K102" s="1591" t="e">
        <f aca="false">G102/(0.7*_xlfn.single(RR))</f>
        <v>#NAME?</v>
      </c>
      <c r="L102" s="1592"/>
      <c r="M102" s="1592"/>
      <c r="N102" s="1593"/>
      <c r="O102" s="1594"/>
      <c r="P102" s="1595"/>
      <c r="X102" s="1585" t="s">
        <v>2569</v>
      </c>
      <c r="Y102" s="119" t="n">
        <v>310</v>
      </c>
    </row>
    <row r="103" customFormat="false" ht="15" hidden="false" customHeight="false" outlineLevel="0" collapsed="false">
      <c r="A103" s="2" t="n">
        <v>2023</v>
      </c>
      <c r="B103" s="119" t="n">
        <v>330</v>
      </c>
      <c r="C103" s="1585" t="s">
        <v>2570</v>
      </c>
      <c r="D103" s="1586" t="n">
        <v>0</v>
      </c>
      <c r="E103" s="1587" t="n">
        <v>0</v>
      </c>
      <c r="F103" s="1599" t="n">
        <v>1E-005</v>
      </c>
      <c r="G103" s="1599" t="n">
        <v>1E-005</v>
      </c>
      <c r="H103" s="1589" t="n">
        <v>0</v>
      </c>
      <c r="I103" s="1590" t="n">
        <v>0</v>
      </c>
      <c r="J103" s="1591" t="e">
        <f aca="false">F103/(0.7*_xlfn.single(RR))</f>
        <v>#NAME?</v>
      </c>
      <c r="K103" s="1591" t="e">
        <f aca="false">G103/(0.7*_xlfn.single(RR))</f>
        <v>#NAME?</v>
      </c>
      <c r="L103" s="1592"/>
      <c r="M103" s="1592"/>
      <c r="N103" s="1593"/>
      <c r="O103" s="1594"/>
      <c r="P103" s="1595"/>
      <c r="X103" s="1585" t="s">
        <v>2570</v>
      </c>
      <c r="Y103" s="119" t="n">
        <v>330</v>
      </c>
    </row>
    <row r="104" customFormat="false" ht="15" hidden="false" customHeight="false" outlineLevel="0" collapsed="false">
      <c r="A104" s="2" t="n">
        <v>2023</v>
      </c>
      <c r="B104" s="119" t="n">
        <v>177</v>
      </c>
      <c r="C104" s="1585" t="s">
        <v>1178</v>
      </c>
      <c r="D104" s="1586" t="n">
        <v>3131</v>
      </c>
      <c r="E104" s="1587" t="n">
        <v>3131</v>
      </c>
      <c r="F104" s="1588" t="n">
        <v>360.61</v>
      </c>
      <c r="G104" s="1588" t="n">
        <v>1352.28</v>
      </c>
      <c r="H104" s="1589" t="n">
        <v>0</v>
      </c>
      <c r="I104" s="1590" t="n">
        <v>5200</v>
      </c>
      <c r="J104" s="1591" t="e">
        <f aca="false">F104/(0.7*_xlfn.single(RR))</f>
        <v>#NAME?</v>
      </c>
      <c r="K104" s="1591" t="e">
        <f aca="false">G104/(0.7*_xlfn.single(RR))</f>
        <v>#NAME?</v>
      </c>
      <c r="L104" s="1592"/>
      <c r="M104" s="1592"/>
      <c r="N104" s="1593"/>
      <c r="O104" s="1594"/>
      <c r="P104" s="1595" t="s">
        <v>2524</v>
      </c>
      <c r="X104" s="1585" t="s">
        <v>1178</v>
      </c>
      <c r="Y104" s="119" t="n">
        <v>177</v>
      </c>
    </row>
    <row r="105" customFormat="false" ht="15" hidden="false" customHeight="false" outlineLevel="0" collapsed="false">
      <c r="A105" s="2" t="n">
        <v>2023</v>
      </c>
      <c r="B105" s="119" t="n">
        <v>203</v>
      </c>
      <c r="C105" s="1585" t="s">
        <v>2571</v>
      </c>
      <c r="D105" s="1586" t="n">
        <v>1196</v>
      </c>
      <c r="E105" s="1587" t="n">
        <v>1196</v>
      </c>
      <c r="F105" s="1588" t="n">
        <v>450.76</v>
      </c>
      <c r="G105" s="1588" t="n">
        <v>721.21</v>
      </c>
      <c r="H105" s="1589" t="n">
        <v>0</v>
      </c>
      <c r="I105" s="1590" t="n">
        <v>3800</v>
      </c>
      <c r="J105" s="1591" t="e">
        <f aca="false">F105/(0.7*_xlfn.single(RR))</f>
        <v>#NAME?</v>
      </c>
      <c r="K105" s="1591" t="e">
        <f aca="false">G105/(0.7*_xlfn.single(RR))</f>
        <v>#NAME?</v>
      </c>
      <c r="L105" s="1592"/>
      <c r="M105" s="1592"/>
      <c r="N105" s="1593"/>
      <c r="O105" s="1594"/>
      <c r="P105" s="1595"/>
      <c r="X105" s="1585" t="s">
        <v>2571</v>
      </c>
      <c r="Y105" s="119" t="n">
        <v>203</v>
      </c>
    </row>
    <row r="106" customFormat="false" ht="15" hidden="false" customHeight="false" outlineLevel="0" collapsed="false">
      <c r="A106" s="2" t="n">
        <v>2023</v>
      </c>
      <c r="B106" s="119" t="n">
        <v>297</v>
      </c>
      <c r="C106" s="1585" t="s">
        <v>2572</v>
      </c>
      <c r="D106" s="1586" t="n">
        <v>0</v>
      </c>
      <c r="E106" s="1587" t="n">
        <v>0</v>
      </c>
      <c r="F106" s="1599" t="n">
        <v>1E-005</v>
      </c>
      <c r="G106" s="1599" t="n">
        <v>1E-005</v>
      </c>
      <c r="H106" s="1589" t="n">
        <v>0</v>
      </c>
      <c r="I106" s="1590" t="n">
        <v>0</v>
      </c>
      <c r="J106" s="1591" t="e">
        <f aca="false">F106/(0.7*_xlfn.single(RR))</f>
        <v>#NAME?</v>
      </c>
      <c r="K106" s="1591" t="e">
        <f aca="false">G106/(0.7*_xlfn.single(RR))</f>
        <v>#NAME?</v>
      </c>
      <c r="L106" s="1592"/>
      <c r="M106" s="1592"/>
      <c r="N106" s="1593"/>
      <c r="O106" s="1594"/>
      <c r="P106" s="1595"/>
      <c r="X106" s="1585" t="s">
        <v>2572</v>
      </c>
      <c r="Y106" s="119" t="n">
        <v>297</v>
      </c>
    </row>
    <row r="107" customFormat="false" ht="15" hidden="false" customHeight="false" outlineLevel="0" collapsed="false">
      <c r="A107" s="2" t="n">
        <v>2023</v>
      </c>
      <c r="B107" s="119" t="n">
        <v>254</v>
      </c>
      <c r="C107" s="1585" t="s">
        <v>1300</v>
      </c>
      <c r="D107" s="1586" t="n">
        <v>391</v>
      </c>
      <c r="E107" s="1587" t="n">
        <v>391</v>
      </c>
      <c r="F107" s="1588" t="n">
        <v>114.19</v>
      </c>
      <c r="G107" s="1588" t="n">
        <v>240.4</v>
      </c>
      <c r="H107" s="1589" t="n">
        <v>1000</v>
      </c>
      <c r="I107" s="1590" t="n">
        <v>3800</v>
      </c>
      <c r="J107" s="1591" t="e">
        <f aca="false">F107/(0.7*_xlfn.single(RR))</f>
        <v>#NAME?</v>
      </c>
      <c r="K107" s="1591" t="e">
        <f aca="false">G107/(0.7*_xlfn.single(RR))</f>
        <v>#NAME?</v>
      </c>
      <c r="L107" s="1592"/>
      <c r="M107" s="1592"/>
      <c r="N107" s="1593"/>
      <c r="O107" s="1594"/>
      <c r="P107" s="1595"/>
      <c r="X107" s="1585" t="s">
        <v>1300</v>
      </c>
      <c r="Y107" s="119" t="n">
        <v>254</v>
      </c>
    </row>
    <row r="108" customFormat="false" ht="15" hidden="false" customHeight="false" outlineLevel="0" collapsed="false">
      <c r="A108" s="2" t="n">
        <v>2023</v>
      </c>
      <c r="B108" s="119" t="n">
        <v>311</v>
      </c>
      <c r="C108" s="1585" t="s">
        <v>2573</v>
      </c>
      <c r="D108" s="1586" t="n">
        <v>391</v>
      </c>
      <c r="E108" s="1587" t="n">
        <v>391</v>
      </c>
      <c r="F108" s="1588" t="n">
        <v>114.19</v>
      </c>
      <c r="G108" s="1588" t="n">
        <v>240.4</v>
      </c>
      <c r="H108" s="1589" t="n">
        <v>1000</v>
      </c>
      <c r="I108" s="1590" t="n">
        <v>3800</v>
      </c>
      <c r="J108" s="1591" t="e">
        <f aca="false">F108/(0.7*_xlfn.single(RR))</f>
        <v>#NAME?</v>
      </c>
      <c r="K108" s="1591" t="e">
        <f aca="false">G108/(0.7*_xlfn.single(RR))</f>
        <v>#NAME?</v>
      </c>
      <c r="L108" s="1592"/>
      <c r="M108" s="1592"/>
      <c r="N108" s="1614"/>
      <c r="O108" s="1594"/>
      <c r="P108" s="1595"/>
      <c r="X108" s="1585" t="s">
        <v>2573</v>
      </c>
      <c r="Y108" s="119" t="n">
        <v>311</v>
      </c>
    </row>
    <row r="109" customFormat="false" ht="15" hidden="false" customHeight="false" outlineLevel="0" collapsed="false">
      <c r="A109" s="2" t="n">
        <v>2023</v>
      </c>
      <c r="B109" s="119" t="n">
        <v>312</v>
      </c>
      <c r="C109" s="1585" t="s">
        <v>2574</v>
      </c>
      <c r="D109" s="1586" t="n">
        <v>391</v>
      </c>
      <c r="E109" s="1587" t="n">
        <v>391</v>
      </c>
      <c r="F109" s="1588" t="n">
        <v>114.19</v>
      </c>
      <c r="G109" s="1588" t="n">
        <v>240.4</v>
      </c>
      <c r="H109" s="1589" t="n">
        <v>1000</v>
      </c>
      <c r="I109" s="1590" t="n">
        <v>3800</v>
      </c>
      <c r="J109" s="1591" t="e">
        <f aca="false">F109/(0.7*_xlfn.single(RR))</f>
        <v>#NAME?</v>
      </c>
      <c r="K109" s="1591" t="e">
        <f aca="false">G109/(0.7*_xlfn.single(RR))</f>
        <v>#NAME?</v>
      </c>
      <c r="L109" s="1592"/>
      <c r="M109" s="1592"/>
      <c r="N109" s="1593"/>
      <c r="O109" s="1594"/>
      <c r="P109" s="1595"/>
      <c r="X109" s="1585" t="s">
        <v>2574</v>
      </c>
      <c r="Y109" s="119" t="n">
        <v>312</v>
      </c>
    </row>
    <row r="110" customFormat="false" ht="15" hidden="false" customHeight="false" outlineLevel="0" collapsed="false">
      <c r="A110" s="2" t="n">
        <v>2023</v>
      </c>
      <c r="B110" s="119" t="n">
        <v>189</v>
      </c>
      <c r="C110" s="1585" t="s">
        <v>1218</v>
      </c>
      <c r="D110" s="1586" t="n">
        <v>3131</v>
      </c>
      <c r="E110" s="1587" t="n">
        <v>3131</v>
      </c>
      <c r="F110" s="1588" t="n">
        <v>360.61</v>
      </c>
      <c r="G110" s="1588" t="n">
        <v>1352.28</v>
      </c>
      <c r="H110" s="1589" t="n">
        <v>0</v>
      </c>
      <c r="I110" s="1590" t="n">
        <v>7200</v>
      </c>
      <c r="J110" s="1591" t="e">
        <f aca="false">F110/(0.7*_xlfn.single(RR))</f>
        <v>#NAME?</v>
      </c>
      <c r="K110" s="1591" t="e">
        <f aca="false">G110/(0.7*_xlfn.single(RR))</f>
        <v>#NAME?</v>
      </c>
      <c r="L110" s="1592"/>
      <c r="M110" s="1592"/>
      <c r="N110" s="1593"/>
      <c r="O110" s="1594"/>
      <c r="P110" s="1595" t="s">
        <v>2524</v>
      </c>
      <c r="X110" s="1585" t="s">
        <v>1218</v>
      </c>
      <c r="Y110" s="119" t="n">
        <v>189</v>
      </c>
    </row>
    <row r="111" customFormat="false" ht="15" hidden="false" customHeight="false" outlineLevel="0" collapsed="false">
      <c r="A111" s="2" t="n">
        <v>2023</v>
      </c>
      <c r="B111" s="119" t="n">
        <v>67</v>
      </c>
      <c r="C111" s="1585" t="s">
        <v>1024</v>
      </c>
      <c r="D111" s="1586" t="n">
        <v>391</v>
      </c>
      <c r="E111" s="1587" t="n">
        <v>391</v>
      </c>
      <c r="F111" s="1588" t="n">
        <v>114.19</v>
      </c>
      <c r="G111" s="1588" t="n">
        <v>240.4</v>
      </c>
      <c r="H111" s="1589" t="n">
        <v>700</v>
      </c>
      <c r="I111" s="1590" t="n">
        <v>1800</v>
      </c>
      <c r="J111" s="1591" t="e">
        <f aca="false">F111/(0.7*_xlfn.single(RR))</f>
        <v>#NAME?</v>
      </c>
      <c r="K111" s="1591" t="e">
        <f aca="false">G111/(0.7*_xlfn.single(RR))</f>
        <v>#NAME?</v>
      </c>
      <c r="L111" s="1592"/>
      <c r="M111" s="1592"/>
      <c r="N111" s="1593"/>
      <c r="O111" s="1594"/>
      <c r="P111" s="1595" t="s">
        <v>2524</v>
      </c>
      <c r="X111" s="1585" t="s">
        <v>1024</v>
      </c>
      <c r="Y111" s="119" t="n">
        <v>67</v>
      </c>
    </row>
    <row r="112" customFormat="false" ht="15" hidden="false" customHeight="false" outlineLevel="0" collapsed="false">
      <c r="A112" s="2" t="n">
        <v>2023</v>
      </c>
      <c r="B112" s="119" t="n">
        <v>279</v>
      </c>
      <c r="C112" s="1585" t="s">
        <v>2575</v>
      </c>
      <c r="D112" s="1586" t="n">
        <v>4105</v>
      </c>
      <c r="E112" s="1587" t="n">
        <v>4105</v>
      </c>
      <c r="F112" s="1588" t="n">
        <v>901.92</v>
      </c>
      <c r="G112" s="1588" t="n">
        <v>2404.05</v>
      </c>
      <c r="H112" s="1589" t="n">
        <v>947.29</v>
      </c>
      <c r="I112" s="1590" t="n">
        <v>7200</v>
      </c>
      <c r="J112" s="1591" t="e">
        <f aca="false">F112/(0.7*_xlfn.single(RR))</f>
        <v>#NAME?</v>
      </c>
      <c r="K112" s="1591" t="e">
        <f aca="false">G112/(0.7*_xlfn.single(RR))</f>
        <v>#NAME?</v>
      </c>
      <c r="L112" s="1592"/>
      <c r="M112" s="1592"/>
      <c r="N112" s="1593"/>
      <c r="O112" s="1594"/>
      <c r="P112" s="1595" t="s">
        <v>2524</v>
      </c>
      <c r="X112" s="1585" t="s">
        <v>2575</v>
      </c>
      <c r="Y112" s="119" t="n">
        <v>279</v>
      </c>
    </row>
    <row r="113" customFormat="false" ht="15" hidden="false" customHeight="false" outlineLevel="0" collapsed="false">
      <c r="A113" s="2" t="n">
        <v>2023</v>
      </c>
      <c r="B113" s="119" t="n">
        <v>96</v>
      </c>
      <c r="C113" s="1585" t="s">
        <v>2576</v>
      </c>
      <c r="D113" s="1586" t="n">
        <v>391</v>
      </c>
      <c r="E113" s="1587" t="n">
        <v>391</v>
      </c>
      <c r="F113" s="1588" t="n">
        <v>114.19</v>
      </c>
      <c r="G113" s="1588" t="n">
        <v>240.4</v>
      </c>
      <c r="H113" s="1589" t="n">
        <v>1000</v>
      </c>
      <c r="I113" s="1590" t="n">
        <v>3800</v>
      </c>
      <c r="J113" s="1591" t="e">
        <f aca="false">F113/(0.7*_xlfn.single(RR))</f>
        <v>#NAME?</v>
      </c>
      <c r="K113" s="1591" t="e">
        <f aca="false">G113/(0.7*_xlfn.single(RR))</f>
        <v>#NAME?</v>
      </c>
      <c r="L113" s="1592"/>
      <c r="M113" s="1592"/>
      <c r="N113" s="1593"/>
      <c r="O113" s="1594"/>
      <c r="P113" s="1595"/>
      <c r="X113" s="1585" t="s">
        <v>2576</v>
      </c>
      <c r="Y113" s="119" t="n">
        <v>96</v>
      </c>
    </row>
    <row r="114" customFormat="false" ht="15" hidden="false" customHeight="false" outlineLevel="0" collapsed="false">
      <c r="A114" s="2" t="n">
        <v>2023</v>
      </c>
      <c r="B114" s="119" t="n">
        <v>118</v>
      </c>
      <c r="C114" s="1585" t="s">
        <v>2577</v>
      </c>
      <c r="D114" s="1586" t="n">
        <v>391</v>
      </c>
      <c r="E114" s="1587" t="n">
        <v>391</v>
      </c>
      <c r="F114" s="1588" t="n">
        <v>114.19</v>
      </c>
      <c r="G114" s="1588" t="n">
        <v>240.4</v>
      </c>
      <c r="H114" s="1589" t="n">
        <v>1000</v>
      </c>
      <c r="I114" s="1590" t="n">
        <v>3800</v>
      </c>
      <c r="J114" s="1591" t="e">
        <f aca="false">F114/(0.7*_xlfn.single(RR))</f>
        <v>#NAME?</v>
      </c>
      <c r="K114" s="1591" t="e">
        <f aca="false">G114/(0.7*_xlfn.single(RR))</f>
        <v>#NAME?</v>
      </c>
      <c r="L114" s="1592"/>
      <c r="M114" s="1592"/>
      <c r="N114" s="1593"/>
      <c r="O114" s="1594"/>
      <c r="P114" s="1595"/>
      <c r="X114" s="1585" t="s">
        <v>2577</v>
      </c>
      <c r="Y114" s="119" t="n">
        <v>118</v>
      </c>
    </row>
    <row r="115" customFormat="false" ht="15" hidden="false" customHeight="false" outlineLevel="0" collapsed="false">
      <c r="A115" s="2" t="n">
        <v>2023</v>
      </c>
      <c r="B115" s="119" t="n">
        <v>183</v>
      </c>
      <c r="C115" s="1585" t="s">
        <v>1198</v>
      </c>
      <c r="D115" s="1586" t="n">
        <v>3131</v>
      </c>
      <c r="E115" s="1587" t="n">
        <v>3131</v>
      </c>
      <c r="F115" s="1588" t="n">
        <v>360.61</v>
      </c>
      <c r="G115" s="1588" t="n">
        <v>1352.28</v>
      </c>
      <c r="H115" s="1589" t="n">
        <v>3525.75</v>
      </c>
      <c r="I115" s="1590" t="n">
        <v>8500</v>
      </c>
      <c r="J115" s="1591" t="e">
        <f aca="false">F115/(0.7*_xlfn.single(RR))</f>
        <v>#NAME?</v>
      </c>
      <c r="K115" s="1591" t="e">
        <f aca="false">G115/(0.7*_xlfn.single(RR))</f>
        <v>#NAME?</v>
      </c>
      <c r="L115" s="1592"/>
      <c r="M115" s="1592"/>
      <c r="N115" s="1593"/>
      <c r="O115" s="1594"/>
      <c r="P115" s="1595" t="s">
        <v>2524</v>
      </c>
      <c r="X115" s="1585" t="s">
        <v>1198</v>
      </c>
      <c r="Y115" s="119" t="n">
        <v>183</v>
      </c>
    </row>
    <row r="116" customFormat="false" ht="15" hidden="false" customHeight="false" outlineLevel="0" collapsed="false">
      <c r="A116" s="2" t="n">
        <v>2023</v>
      </c>
      <c r="B116" s="119" t="n">
        <v>285</v>
      </c>
      <c r="C116" s="1585" t="s">
        <v>1333</v>
      </c>
      <c r="D116" s="1586" t="n">
        <v>391</v>
      </c>
      <c r="E116" s="1587" t="n">
        <v>391</v>
      </c>
      <c r="F116" s="1588" t="n">
        <v>114.19</v>
      </c>
      <c r="G116" s="1588" t="n">
        <v>240.4</v>
      </c>
      <c r="H116" s="1589" t="n">
        <v>1000</v>
      </c>
      <c r="I116" s="1590" t="n">
        <v>3800</v>
      </c>
      <c r="J116" s="1591" t="e">
        <f aca="false">F116/(0.7*_xlfn.single(RR))</f>
        <v>#NAME?</v>
      </c>
      <c r="K116" s="1591" t="e">
        <f aca="false">G116/(0.7*_xlfn.single(RR))</f>
        <v>#NAME?</v>
      </c>
      <c r="L116" s="1592"/>
      <c r="M116" s="1592"/>
      <c r="N116" s="1593"/>
      <c r="O116" s="1594"/>
      <c r="P116" s="1595" t="s">
        <v>2524</v>
      </c>
      <c r="X116" s="1585" t="s">
        <v>1333</v>
      </c>
      <c r="Y116" s="119" t="n">
        <v>285</v>
      </c>
    </row>
    <row r="117" customFormat="false" ht="15" hidden="false" customHeight="false" outlineLevel="0" collapsed="false">
      <c r="A117" s="2" t="n">
        <v>2023</v>
      </c>
      <c r="B117" s="119" t="n">
        <v>274</v>
      </c>
      <c r="C117" s="1585" t="s">
        <v>1319</v>
      </c>
      <c r="D117" s="1586" t="n">
        <v>391</v>
      </c>
      <c r="E117" s="1587" t="n">
        <v>391</v>
      </c>
      <c r="F117" s="1588" t="n">
        <v>114.19</v>
      </c>
      <c r="G117" s="1588" t="n">
        <v>240.4</v>
      </c>
      <c r="H117" s="1589" t="n">
        <v>1000</v>
      </c>
      <c r="I117" s="1590" t="n">
        <v>3800</v>
      </c>
      <c r="J117" s="1591" t="e">
        <f aca="false">F117/(0.7*_xlfn.single(RR))</f>
        <v>#NAME?</v>
      </c>
      <c r="K117" s="1591" t="e">
        <f aca="false">G117/(0.7*_xlfn.single(RR))</f>
        <v>#NAME?</v>
      </c>
      <c r="L117" s="1592"/>
      <c r="M117" s="1592"/>
      <c r="N117" s="1593"/>
      <c r="O117" s="1594"/>
      <c r="P117" s="1595"/>
      <c r="X117" s="1585" t="s">
        <v>1319</v>
      </c>
      <c r="Y117" s="119" t="n">
        <v>274</v>
      </c>
    </row>
    <row r="118" customFormat="false" ht="15" hidden="false" customHeight="false" outlineLevel="0" collapsed="false">
      <c r="A118" s="2" t="n">
        <v>2023</v>
      </c>
      <c r="B118" s="119" t="n">
        <v>270</v>
      </c>
      <c r="C118" s="1585" t="s">
        <v>1315</v>
      </c>
      <c r="D118" s="1586" t="n">
        <v>391</v>
      </c>
      <c r="E118" s="1587" t="n">
        <v>391</v>
      </c>
      <c r="F118" s="1588" t="n">
        <v>114.19</v>
      </c>
      <c r="G118" s="1588" t="n">
        <v>240.4</v>
      </c>
      <c r="H118" s="1589" t="n">
        <v>1000</v>
      </c>
      <c r="I118" s="1590" t="n">
        <v>3800</v>
      </c>
      <c r="J118" s="1591" t="e">
        <f aca="false">F118/(0.7*_xlfn.single(RR))</f>
        <v>#NAME?</v>
      </c>
      <c r="K118" s="1591" t="e">
        <f aca="false">G118/(0.7*_xlfn.single(RR))</f>
        <v>#NAME?</v>
      </c>
      <c r="L118" s="1592"/>
      <c r="M118" s="1592"/>
      <c r="N118" s="1593"/>
      <c r="O118" s="1594"/>
      <c r="P118" s="1595"/>
      <c r="X118" s="1585" t="s">
        <v>1315</v>
      </c>
      <c r="Y118" s="119" t="n">
        <v>270</v>
      </c>
    </row>
    <row r="119" customFormat="false" ht="15" hidden="false" customHeight="false" outlineLevel="0" collapsed="false">
      <c r="A119" s="2" t="n">
        <v>2023</v>
      </c>
      <c r="B119" s="119" t="n">
        <v>225</v>
      </c>
      <c r="C119" s="1585" t="s">
        <v>2578</v>
      </c>
      <c r="D119" s="1586" t="n">
        <v>2692</v>
      </c>
      <c r="E119" s="1587" t="n">
        <v>2692</v>
      </c>
      <c r="F119" s="1588" t="n">
        <v>390.66</v>
      </c>
      <c r="G119" s="1588" t="n">
        <v>390.66</v>
      </c>
      <c r="H119" s="1589" t="n">
        <v>0</v>
      </c>
      <c r="I119" s="1590" t="n">
        <v>0</v>
      </c>
      <c r="J119" s="1591" t="e">
        <f aca="false">F119/(0.7*_xlfn.single(RR))</f>
        <v>#NAME?</v>
      </c>
      <c r="K119" s="1591" t="e">
        <f aca="false">G119/(0.7*_xlfn.single(RR))</f>
        <v>#NAME?</v>
      </c>
      <c r="L119" s="1592"/>
      <c r="M119" s="1592"/>
      <c r="N119" s="1593"/>
      <c r="O119" s="1594"/>
      <c r="P119" s="1595"/>
      <c r="X119" s="1585" t="s">
        <v>2578</v>
      </c>
      <c r="Y119" s="119" t="n">
        <v>225</v>
      </c>
    </row>
    <row r="120" customFormat="false" ht="15" hidden="false" customHeight="false" outlineLevel="0" collapsed="false">
      <c r="A120" s="2" t="n">
        <v>2023</v>
      </c>
      <c r="B120" s="119" t="n">
        <v>68</v>
      </c>
      <c r="C120" s="1585" t="s">
        <v>1026</v>
      </c>
      <c r="D120" s="1586" t="n">
        <v>391</v>
      </c>
      <c r="E120" s="1587" t="n">
        <v>391</v>
      </c>
      <c r="F120" s="1588" t="n">
        <v>114.19</v>
      </c>
      <c r="G120" s="1588" t="n">
        <v>270.46</v>
      </c>
      <c r="H120" s="1589" t="n">
        <v>450</v>
      </c>
      <c r="I120" s="1590" t="n">
        <v>1000</v>
      </c>
      <c r="J120" s="1591" t="e">
        <f aca="false">F120/(0.7*_xlfn.single(RR))</f>
        <v>#NAME?</v>
      </c>
      <c r="K120" s="1591" t="e">
        <f aca="false">G120/(0.7*_xlfn.single(RR))</f>
        <v>#NAME?</v>
      </c>
      <c r="L120" s="1592"/>
      <c r="M120" s="1592"/>
      <c r="N120" s="1593"/>
      <c r="O120" s="1594"/>
      <c r="P120" s="1595" t="s">
        <v>2524</v>
      </c>
      <c r="X120" s="1585" t="s">
        <v>1026</v>
      </c>
      <c r="Y120" s="119" t="n">
        <v>68</v>
      </c>
    </row>
    <row r="121" customFormat="false" ht="15" hidden="false" customHeight="false" outlineLevel="0" collapsed="false">
      <c r="A121" s="2" t="n">
        <v>2023</v>
      </c>
      <c r="B121" s="119" t="n">
        <v>73</v>
      </c>
      <c r="C121" s="1585" t="s">
        <v>1032</v>
      </c>
      <c r="D121" s="1586" t="n">
        <v>391</v>
      </c>
      <c r="E121" s="1587" t="n">
        <v>391</v>
      </c>
      <c r="F121" s="1588" t="n">
        <v>114.19</v>
      </c>
      <c r="G121" s="1588" t="n">
        <v>270.46</v>
      </c>
      <c r="H121" s="1589" t="n">
        <v>700</v>
      </c>
      <c r="I121" s="1590" t="n">
        <v>1800</v>
      </c>
      <c r="J121" s="1591" t="e">
        <f aca="false">F121/(0.7*_xlfn.single(RR))</f>
        <v>#NAME?</v>
      </c>
      <c r="K121" s="1591" t="e">
        <f aca="false">G121/(0.7*_xlfn.single(RR))</f>
        <v>#NAME?</v>
      </c>
      <c r="L121" s="1592"/>
      <c r="M121" s="1592"/>
      <c r="N121" s="1593"/>
      <c r="O121" s="1594"/>
      <c r="P121" s="1595" t="s">
        <v>2524</v>
      </c>
      <c r="X121" s="1585" t="s">
        <v>1032</v>
      </c>
      <c r="Y121" s="119" t="n">
        <v>73</v>
      </c>
    </row>
    <row r="122" customFormat="false" ht="15" hidden="false" customHeight="false" outlineLevel="0" collapsed="false">
      <c r="A122" s="2" t="n">
        <v>2023</v>
      </c>
      <c r="B122" s="119" t="n">
        <v>91</v>
      </c>
      <c r="C122" s="1585" t="s">
        <v>2579</v>
      </c>
      <c r="D122" s="1586" t="n">
        <v>4105</v>
      </c>
      <c r="E122" s="1587" t="n">
        <v>4105</v>
      </c>
      <c r="F122" s="1588" t="n">
        <v>21035.42</v>
      </c>
      <c r="G122" s="1588" t="n">
        <v>21035.42</v>
      </c>
      <c r="H122" s="1615" t="n">
        <v>0</v>
      </c>
      <c r="I122" s="1590" t="n">
        <v>70000</v>
      </c>
      <c r="J122" s="1591" t="e">
        <f aca="false">F122/(0.7*_xlfn.single(RR))</f>
        <v>#NAME?</v>
      </c>
      <c r="K122" s="1591" t="e">
        <f aca="false">G122/(0.7*_xlfn.single(RR))</f>
        <v>#NAME?</v>
      </c>
      <c r="L122" s="1592"/>
      <c r="M122" s="1592"/>
      <c r="N122" s="1593"/>
      <c r="O122" s="1594"/>
      <c r="P122" s="1595"/>
      <c r="X122" s="1585" t="s">
        <v>2579</v>
      </c>
      <c r="Y122" s="119" t="n">
        <v>91</v>
      </c>
    </row>
    <row r="123" customFormat="false" ht="15" hidden="false" customHeight="false" outlineLevel="0" collapsed="false">
      <c r="A123" s="1296" t="n">
        <v>2023</v>
      </c>
      <c r="B123" s="1603" t="n">
        <v>147</v>
      </c>
      <c r="C123" s="1616" t="s">
        <v>1081</v>
      </c>
      <c r="D123" s="1586" t="n">
        <v>0</v>
      </c>
      <c r="E123" s="1587" t="n">
        <v>0</v>
      </c>
      <c r="F123" s="1617" t="n">
        <v>450.76</v>
      </c>
      <c r="G123" s="1617" t="n">
        <v>721.21</v>
      </c>
      <c r="H123" s="1618" t="n">
        <v>2000</v>
      </c>
      <c r="I123" s="1619" t="n">
        <v>6000</v>
      </c>
      <c r="J123" s="1591" t="e">
        <f aca="false">F123/(0.7*_xlfn.single(RR))</f>
        <v>#NAME?</v>
      </c>
      <c r="K123" s="1591" t="e">
        <f aca="false">G123/(0.7*_xlfn.single(RR))</f>
        <v>#NAME?</v>
      </c>
      <c r="L123" s="1592"/>
      <c r="M123" s="1592"/>
      <c r="N123" s="1593"/>
      <c r="O123" s="1594"/>
      <c r="P123" s="1595" t="s">
        <v>2524</v>
      </c>
      <c r="Q123" s="1296"/>
      <c r="R123" s="1296"/>
      <c r="S123" s="1296"/>
      <c r="T123" s="1296"/>
      <c r="U123" s="1296"/>
      <c r="V123" s="1296"/>
      <c r="W123" s="1296"/>
      <c r="X123" s="1616" t="s">
        <v>1081</v>
      </c>
      <c r="Y123" s="1603" t="n">
        <v>147</v>
      </c>
    </row>
    <row r="124" customFormat="false" ht="15" hidden="false" customHeight="false" outlineLevel="0" collapsed="false">
      <c r="A124" s="1296" t="n">
        <v>2023</v>
      </c>
      <c r="B124" s="119" t="n">
        <v>500</v>
      </c>
      <c r="C124" s="1620" t="s">
        <v>2580</v>
      </c>
      <c r="D124" s="1586" t="n">
        <v>0</v>
      </c>
      <c r="E124" s="1587" t="n">
        <v>0</v>
      </c>
      <c r="F124" s="1599" t="n">
        <v>1E-005</v>
      </c>
      <c r="G124" s="1599" t="n">
        <v>1E-005</v>
      </c>
      <c r="H124" s="1589" t="n">
        <v>0</v>
      </c>
      <c r="I124" s="1590" t="n">
        <v>0</v>
      </c>
      <c r="J124" s="1591" t="e">
        <f aca="false">F124/(0.7*_xlfn.single(RR))</f>
        <v>#NAME?</v>
      </c>
      <c r="K124" s="1591" t="e">
        <f aca="false">G124/(0.7*_xlfn.single(RR))</f>
        <v>#NAME?</v>
      </c>
      <c r="L124" s="1592"/>
      <c r="M124" s="1592"/>
      <c r="N124" s="1593"/>
      <c r="O124" s="1594"/>
      <c r="P124" s="1595" t="s">
        <v>2524</v>
      </c>
      <c r="Q124" s="1296"/>
      <c r="R124" s="1296"/>
      <c r="S124" s="1296"/>
      <c r="T124" s="1296"/>
      <c r="U124" s="1296"/>
      <c r="V124" s="1296"/>
      <c r="W124" s="1296"/>
      <c r="X124" s="1620" t="s">
        <v>2580</v>
      </c>
      <c r="Y124" s="119" t="n">
        <v>500</v>
      </c>
    </row>
    <row r="125" customFormat="false" ht="15" hidden="false" customHeight="false" outlineLevel="0" collapsed="false">
      <c r="A125" s="2" t="n">
        <v>2023</v>
      </c>
      <c r="B125" s="119" t="n">
        <v>800</v>
      </c>
      <c r="C125" s="1620" t="s">
        <v>2581</v>
      </c>
      <c r="D125" s="1586" t="n">
        <v>0</v>
      </c>
      <c r="E125" s="1587" t="n">
        <v>0</v>
      </c>
      <c r="F125" s="1599" t="n">
        <v>1E-005</v>
      </c>
      <c r="G125" s="1599" t="n">
        <v>1E-005</v>
      </c>
      <c r="H125" s="1589" t="n">
        <v>0</v>
      </c>
      <c r="I125" s="1590" t="n">
        <v>0</v>
      </c>
      <c r="J125" s="1591" t="e">
        <f aca="false">F125/(0.7*_xlfn.single(RR))</f>
        <v>#NAME?</v>
      </c>
      <c r="K125" s="1591" t="e">
        <f aca="false">G125/(0.7*_xlfn.single(RR))</f>
        <v>#NAME?</v>
      </c>
      <c r="L125" s="1592"/>
      <c r="M125" s="1592"/>
      <c r="N125" s="1593"/>
      <c r="O125" s="1594"/>
      <c r="P125" s="1595" t="s">
        <v>2524</v>
      </c>
      <c r="X125" s="1620" t="s">
        <v>2581</v>
      </c>
      <c r="Y125" s="119" t="n">
        <v>800</v>
      </c>
    </row>
    <row r="126" customFormat="false" ht="15" hidden="false" customHeight="false" outlineLevel="0" collapsed="false">
      <c r="A126" s="2" t="n">
        <v>2023</v>
      </c>
      <c r="B126" s="119" t="n">
        <v>600</v>
      </c>
      <c r="C126" s="1620" t="s">
        <v>2582</v>
      </c>
      <c r="D126" s="1586" t="n">
        <v>0</v>
      </c>
      <c r="E126" s="1587" t="n">
        <v>0</v>
      </c>
      <c r="F126" s="1599" t="n">
        <v>1E-005</v>
      </c>
      <c r="G126" s="1599" t="n">
        <v>1E-005</v>
      </c>
      <c r="H126" s="1589" t="n">
        <v>0</v>
      </c>
      <c r="I126" s="1590" t="n">
        <v>0</v>
      </c>
      <c r="J126" s="1591" t="e">
        <f aca="false">F126/(0.7*_xlfn.single(RR))</f>
        <v>#NAME?</v>
      </c>
      <c r="K126" s="1591" t="e">
        <f aca="false">G126/(0.7*_xlfn.single(RR))</f>
        <v>#NAME?</v>
      </c>
      <c r="L126" s="1592"/>
      <c r="M126" s="1592"/>
      <c r="N126" s="1593"/>
      <c r="O126" s="1594"/>
      <c r="P126" s="1595" t="s">
        <v>2524</v>
      </c>
      <c r="X126" s="1620" t="s">
        <v>2582</v>
      </c>
      <c r="Y126" s="119" t="n">
        <v>600</v>
      </c>
    </row>
    <row r="127" customFormat="false" ht="15" hidden="false" customHeight="false" outlineLevel="0" collapsed="false">
      <c r="A127" s="2" t="n">
        <v>2023</v>
      </c>
      <c r="B127" s="119" t="n">
        <v>192</v>
      </c>
      <c r="C127" s="1585" t="s">
        <v>2583</v>
      </c>
      <c r="D127" s="1586" t="n">
        <v>3131</v>
      </c>
      <c r="E127" s="1587" t="n">
        <v>3131</v>
      </c>
      <c r="F127" s="1588" t="n">
        <v>450.76</v>
      </c>
      <c r="G127" s="1588" t="n">
        <v>721.21</v>
      </c>
      <c r="H127" s="1589" t="n">
        <v>0</v>
      </c>
      <c r="I127" s="1590" t="n">
        <v>3800</v>
      </c>
      <c r="J127" s="1591" t="e">
        <f aca="false">F127/(0.7*_xlfn.single(RR))</f>
        <v>#NAME?</v>
      </c>
      <c r="K127" s="1591" t="e">
        <f aca="false">G127/(0.7*_xlfn.single(RR))</f>
        <v>#NAME?</v>
      </c>
      <c r="L127" s="1592"/>
      <c r="M127" s="1592"/>
      <c r="N127" s="1593"/>
      <c r="O127" s="1594"/>
      <c r="P127" s="1595" t="s">
        <v>2524</v>
      </c>
      <c r="X127" s="1585" t="s">
        <v>2583</v>
      </c>
      <c r="Y127" s="119" t="n">
        <v>192</v>
      </c>
    </row>
    <row r="128" customFormat="false" ht="15" hidden="false" customHeight="false" outlineLevel="0" collapsed="false">
      <c r="A128" s="2" t="n">
        <v>2023</v>
      </c>
      <c r="B128" s="119" t="n">
        <v>219</v>
      </c>
      <c r="C128" s="1585" t="s">
        <v>2584</v>
      </c>
      <c r="D128" s="1586" t="n">
        <v>3131</v>
      </c>
      <c r="E128" s="1587" t="n">
        <v>3131</v>
      </c>
      <c r="F128" s="1588" t="n">
        <v>360.61</v>
      </c>
      <c r="G128" s="1588" t="n">
        <v>1352.28</v>
      </c>
      <c r="H128" s="1589" t="n">
        <v>0</v>
      </c>
      <c r="I128" s="1590" t="n">
        <v>6000</v>
      </c>
      <c r="J128" s="1591" t="e">
        <f aca="false">F128/(0.7*_xlfn.single(RR))</f>
        <v>#NAME?</v>
      </c>
      <c r="K128" s="1591" t="e">
        <f aca="false">G128/(0.7*_xlfn.single(RR))</f>
        <v>#NAME?</v>
      </c>
      <c r="L128" s="1592"/>
      <c r="M128" s="1592"/>
      <c r="N128" s="1593"/>
      <c r="O128" s="1594"/>
      <c r="P128" s="1595" t="s">
        <v>2524</v>
      </c>
      <c r="X128" s="1585" t="s">
        <v>2584</v>
      </c>
      <c r="Y128" s="119" t="n">
        <v>219</v>
      </c>
    </row>
    <row r="129" customFormat="false" ht="15" hidden="false" customHeight="false" outlineLevel="0" collapsed="false">
      <c r="A129" s="2" t="n">
        <v>2023</v>
      </c>
      <c r="B129" s="119" t="n">
        <v>125</v>
      </c>
      <c r="C129" s="1585" t="s">
        <v>1074</v>
      </c>
      <c r="D129" s="1586" t="n">
        <v>1196</v>
      </c>
      <c r="E129" s="1587" t="n">
        <v>1196</v>
      </c>
      <c r="F129" s="1588" t="n">
        <v>450.76</v>
      </c>
      <c r="G129" s="1588" t="n">
        <v>721.21</v>
      </c>
      <c r="H129" s="1589" t="n">
        <v>500</v>
      </c>
      <c r="I129" s="1590" t="n">
        <v>1500</v>
      </c>
      <c r="J129" s="1591" t="e">
        <f aca="false">F129/(0.7*_xlfn.single(RR))</f>
        <v>#NAME?</v>
      </c>
      <c r="K129" s="1591" t="e">
        <f aca="false">G129/(0.7*_xlfn.single(RR))</f>
        <v>#NAME?</v>
      </c>
      <c r="L129" s="1592"/>
      <c r="M129" s="1592"/>
      <c r="N129" s="1593"/>
      <c r="O129" s="1594"/>
      <c r="P129" s="1595"/>
      <c r="X129" s="1585" t="s">
        <v>1074</v>
      </c>
      <c r="Y129" s="119" t="n">
        <v>125</v>
      </c>
    </row>
    <row r="130" customFormat="false" ht="15" hidden="false" customHeight="false" outlineLevel="0" collapsed="false">
      <c r="A130" s="2" t="n">
        <v>2023</v>
      </c>
      <c r="B130" s="119" t="n">
        <v>278</v>
      </c>
      <c r="C130" s="1585" t="s">
        <v>1323</v>
      </c>
      <c r="D130" s="1586" t="n">
        <v>1196</v>
      </c>
      <c r="E130" s="1587" t="n">
        <v>1196</v>
      </c>
      <c r="F130" s="1588" t="n">
        <v>450.76</v>
      </c>
      <c r="G130" s="1588" t="n">
        <v>721.21</v>
      </c>
      <c r="H130" s="1589" t="n">
        <v>0</v>
      </c>
      <c r="I130" s="1590" t="n">
        <v>3800</v>
      </c>
      <c r="J130" s="1591" t="e">
        <f aca="false">F130/(0.7*_xlfn.single(RR))</f>
        <v>#NAME?</v>
      </c>
      <c r="K130" s="1591" t="e">
        <f aca="false">G130/(0.7*_xlfn.single(RR))</f>
        <v>#NAME?</v>
      </c>
      <c r="L130" s="1592"/>
      <c r="M130" s="1592"/>
      <c r="N130" s="1593"/>
      <c r="O130" s="1594"/>
      <c r="P130" s="1595"/>
      <c r="X130" s="1585" t="s">
        <v>1323</v>
      </c>
      <c r="Y130" s="119" t="n">
        <v>278</v>
      </c>
    </row>
    <row r="131" customFormat="false" ht="15" hidden="false" customHeight="false" outlineLevel="0" collapsed="false">
      <c r="A131" s="2" t="n">
        <v>2023</v>
      </c>
      <c r="B131" s="119" t="n">
        <v>50</v>
      </c>
      <c r="C131" s="1585" t="s">
        <v>2585</v>
      </c>
      <c r="D131" s="1586" t="n">
        <v>481</v>
      </c>
      <c r="E131" s="1587" t="n">
        <v>481</v>
      </c>
      <c r="F131" s="1588" t="n">
        <v>114.19</v>
      </c>
      <c r="G131" s="1588" t="n">
        <v>240.4</v>
      </c>
      <c r="H131" s="1589" t="n">
        <v>350</v>
      </c>
      <c r="I131" s="1590" t="n">
        <v>1000</v>
      </c>
      <c r="J131" s="1591" t="e">
        <f aca="false">F131/(0.7*_xlfn.single(RR))</f>
        <v>#NAME?</v>
      </c>
      <c r="K131" s="1591" t="e">
        <f aca="false">G131/(0.7*_xlfn.single(RR))</f>
        <v>#NAME?</v>
      </c>
      <c r="L131" s="1592"/>
      <c r="M131" s="1592"/>
      <c r="N131" s="1593"/>
      <c r="O131" s="1594"/>
      <c r="P131" s="1595" t="s">
        <v>2524</v>
      </c>
      <c r="X131" s="1585" t="s">
        <v>2585</v>
      </c>
      <c r="Y131" s="119" t="n">
        <v>50</v>
      </c>
    </row>
    <row r="132" customFormat="false" ht="15" hidden="false" customHeight="false" outlineLevel="0" collapsed="false">
      <c r="A132" s="2" t="n">
        <v>2023</v>
      </c>
      <c r="B132" s="119" t="n">
        <v>258</v>
      </c>
      <c r="C132" s="1585" t="s">
        <v>1303</v>
      </c>
      <c r="D132" s="1586" t="n">
        <v>391</v>
      </c>
      <c r="E132" s="1587" t="n">
        <v>391</v>
      </c>
      <c r="F132" s="1588" t="n">
        <v>114.19</v>
      </c>
      <c r="G132" s="1588" t="n">
        <v>240.4</v>
      </c>
      <c r="H132" s="1589" t="n">
        <v>1000</v>
      </c>
      <c r="I132" s="1590" t="n">
        <v>3800</v>
      </c>
      <c r="J132" s="1591" t="e">
        <f aca="false">F132/(0.7*_xlfn.single(RR))</f>
        <v>#NAME?</v>
      </c>
      <c r="K132" s="1591" t="e">
        <f aca="false">G132/(0.7*_xlfn.single(RR))</f>
        <v>#NAME?</v>
      </c>
      <c r="L132" s="1592"/>
      <c r="M132" s="1592"/>
      <c r="N132" s="1593"/>
      <c r="O132" s="1594"/>
      <c r="P132" s="1595" t="s">
        <v>2524</v>
      </c>
      <c r="X132" s="1585" t="s">
        <v>1303</v>
      </c>
      <c r="Y132" s="119" t="n">
        <v>258</v>
      </c>
    </row>
    <row r="133" customFormat="false" ht="15" hidden="false" customHeight="false" outlineLevel="0" collapsed="false">
      <c r="A133" s="2" t="n">
        <v>2023</v>
      </c>
      <c r="B133" s="119" t="n">
        <v>313</v>
      </c>
      <c r="C133" s="1585" t="s">
        <v>2586</v>
      </c>
      <c r="D133" s="1586" t="n">
        <v>391</v>
      </c>
      <c r="E133" s="1587" t="n">
        <v>391</v>
      </c>
      <c r="F133" s="1588" t="n">
        <v>114.19</v>
      </c>
      <c r="G133" s="1588" t="n">
        <v>240.4</v>
      </c>
      <c r="H133" s="1589" t="n">
        <v>1000</v>
      </c>
      <c r="I133" s="1590" t="n">
        <v>3800</v>
      </c>
      <c r="J133" s="1591" t="e">
        <f aca="false">F133/(0.7*_xlfn.single(RR))</f>
        <v>#NAME?</v>
      </c>
      <c r="K133" s="1591" t="e">
        <f aca="false">G133/(0.7*_xlfn.single(RR))</f>
        <v>#NAME?</v>
      </c>
      <c r="L133" s="1592"/>
      <c r="M133" s="1592"/>
      <c r="N133" s="1593"/>
      <c r="O133" s="1594"/>
      <c r="P133" s="1595"/>
      <c r="X133" s="1585" t="s">
        <v>2586</v>
      </c>
      <c r="Y133" s="119" t="n">
        <v>313</v>
      </c>
    </row>
    <row r="134" customFormat="false" ht="15" hidden="false" customHeight="false" outlineLevel="0" collapsed="false">
      <c r="A134" s="2" t="n">
        <v>2023</v>
      </c>
      <c r="B134" s="119" t="n">
        <v>33</v>
      </c>
      <c r="C134" s="1585" t="s">
        <v>1010</v>
      </c>
      <c r="D134" s="1586" t="n">
        <v>391</v>
      </c>
      <c r="E134" s="1587" t="n">
        <v>391</v>
      </c>
      <c r="F134" s="1588" t="n">
        <v>114.19</v>
      </c>
      <c r="G134" s="1588" t="n">
        <v>240.4</v>
      </c>
      <c r="H134" s="1589" t="n">
        <v>350</v>
      </c>
      <c r="I134" s="1590" t="n">
        <v>750</v>
      </c>
      <c r="J134" s="1591" t="e">
        <f aca="false">F134/(0.7*_xlfn.single(RR))</f>
        <v>#NAME?</v>
      </c>
      <c r="K134" s="1591" t="e">
        <f aca="false">G134/(0.7*_xlfn.single(RR))</f>
        <v>#NAME?</v>
      </c>
      <c r="L134" s="1592"/>
      <c r="M134" s="1592"/>
      <c r="N134" s="1593"/>
      <c r="O134" s="1594"/>
      <c r="P134" s="1595" t="s">
        <v>2524</v>
      </c>
      <c r="X134" s="1585" t="s">
        <v>1010</v>
      </c>
      <c r="Y134" s="119" t="n">
        <v>33</v>
      </c>
    </row>
    <row r="135" customFormat="false" ht="15" hidden="false" customHeight="false" outlineLevel="0" collapsed="false">
      <c r="A135" s="2" t="n">
        <v>2023</v>
      </c>
      <c r="B135" s="119" t="n">
        <v>231</v>
      </c>
      <c r="C135" s="1585" t="s">
        <v>2587</v>
      </c>
      <c r="D135" s="1586" t="n">
        <v>0</v>
      </c>
      <c r="E135" s="1587" t="n">
        <v>0</v>
      </c>
      <c r="F135" s="1599" t="n">
        <v>1E-005</v>
      </c>
      <c r="G135" s="1599" t="n">
        <v>1E-005</v>
      </c>
      <c r="H135" s="1589" t="n">
        <v>0</v>
      </c>
      <c r="I135" s="1590" t="n">
        <v>0</v>
      </c>
      <c r="J135" s="1591" t="e">
        <f aca="false">F135/(0.7*_xlfn.single(RR))</f>
        <v>#NAME?</v>
      </c>
      <c r="K135" s="1591" t="e">
        <f aca="false">G135/(0.7*_xlfn.single(RR))</f>
        <v>#NAME?</v>
      </c>
      <c r="L135" s="1592"/>
      <c r="M135" s="1592"/>
      <c r="N135" s="1593"/>
      <c r="O135" s="1594"/>
      <c r="P135" s="1595"/>
      <c r="X135" s="1585" t="s">
        <v>2587</v>
      </c>
      <c r="Y135" s="119" t="n">
        <v>231</v>
      </c>
    </row>
    <row r="136" customFormat="false" ht="15" hidden="false" customHeight="false" outlineLevel="0" collapsed="false">
      <c r="A136" s="2" t="n">
        <v>2023</v>
      </c>
      <c r="B136" s="119" t="n">
        <v>217</v>
      </c>
      <c r="C136" s="1585" t="s">
        <v>1266</v>
      </c>
      <c r="D136" s="1586" t="n">
        <v>1196</v>
      </c>
      <c r="E136" s="1587" t="n">
        <v>1196</v>
      </c>
      <c r="F136" s="1588" t="n">
        <v>450.76</v>
      </c>
      <c r="G136" s="1588" t="n">
        <v>721.21</v>
      </c>
      <c r="H136" s="1589" t="n">
        <v>1939.72</v>
      </c>
      <c r="I136" s="1590" t="n">
        <v>6000</v>
      </c>
      <c r="J136" s="1591" t="e">
        <f aca="false">F136/(0.7*_xlfn.single(RR))</f>
        <v>#NAME?</v>
      </c>
      <c r="K136" s="1591" t="e">
        <f aca="false">G136/(0.7*_xlfn.single(RR))</f>
        <v>#NAME?</v>
      </c>
      <c r="L136" s="1592"/>
      <c r="M136" s="1592"/>
      <c r="N136" s="1593"/>
      <c r="O136" s="1594"/>
      <c r="P136" s="1595"/>
      <c r="X136" s="1585" t="s">
        <v>1266</v>
      </c>
      <c r="Y136" s="119" t="n">
        <v>217</v>
      </c>
    </row>
    <row r="137" customFormat="false" ht="15" hidden="false" customHeight="false" outlineLevel="0" collapsed="false">
      <c r="A137" s="2" t="n">
        <v>2023</v>
      </c>
      <c r="B137" s="119" t="n">
        <v>215</v>
      </c>
      <c r="C137" s="1585" t="s">
        <v>2588</v>
      </c>
      <c r="D137" s="1586" t="n">
        <v>1196</v>
      </c>
      <c r="E137" s="1587" t="n">
        <v>1196</v>
      </c>
      <c r="F137" s="1588" t="n">
        <v>450.76</v>
      </c>
      <c r="G137" s="1588" t="n">
        <v>721.21</v>
      </c>
      <c r="H137" s="1589" t="n">
        <v>0</v>
      </c>
      <c r="I137" s="1590" t="n">
        <v>3800</v>
      </c>
      <c r="J137" s="1591" t="e">
        <f aca="false">F137/(0.7*_xlfn.single(RR))</f>
        <v>#NAME?</v>
      </c>
      <c r="K137" s="1591" t="e">
        <f aca="false">G137/(0.7*_xlfn.single(RR))</f>
        <v>#NAME?</v>
      </c>
      <c r="L137" s="1592"/>
      <c r="M137" s="1592"/>
      <c r="N137" s="1593"/>
      <c r="O137" s="1594"/>
      <c r="P137" s="1595"/>
      <c r="X137" s="1585" t="s">
        <v>2588</v>
      </c>
      <c r="Y137" s="119" t="n">
        <v>215</v>
      </c>
    </row>
    <row r="138" customFormat="false" ht="15" hidden="false" customHeight="false" outlineLevel="0" collapsed="false">
      <c r="A138" s="2" t="n">
        <v>2023</v>
      </c>
      <c r="B138" s="119" t="n">
        <v>292</v>
      </c>
      <c r="C138" s="1585" t="s">
        <v>2589</v>
      </c>
      <c r="D138" s="1586" t="n">
        <v>1196</v>
      </c>
      <c r="E138" s="1587" t="n">
        <v>1196</v>
      </c>
      <c r="F138" s="1588" t="n">
        <v>450.76</v>
      </c>
      <c r="G138" s="1588" t="n">
        <v>721.21</v>
      </c>
      <c r="H138" s="1589" t="n">
        <v>0</v>
      </c>
      <c r="I138" s="1590" t="n">
        <v>3800</v>
      </c>
      <c r="J138" s="1591" t="e">
        <f aca="false">F138/(0.7*_xlfn.single(RR))</f>
        <v>#NAME?</v>
      </c>
      <c r="K138" s="1591" t="e">
        <f aca="false">G138/(0.7*_xlfn.single(RR))</f>
        <v>#NAME?</v>
      </c>
      <c r="L138" s="1592"/>
      <c r="M138" s="1592"/>
      <c r="N138" s="1621"/>
      <c r="O138" s="1594"/>
      <c r="P138" s="1595"/>
      <c r="X138" s="1585" t="s">
        <v>2589</v>
      </c>
      <c r="Y138" s="119" t="n">
        <v>292</v>
      </c>
    </row>
    <row r="139" customFormat="false" ht="15" hidden="false" customHeight="false" outlineLevel="0" collapsed="false">
      <c r="A139" s="2" t="n">
        <v>2023</v>
      </c>
      <c r="B139" s="119" t="n">
        <v>182</v>
      </c>
      <c r="C139" s="1585" t="s">
        <v>2590</v>
      </c>
      <c r="D139" s="1586" t="n">
        <v>3131</v>
      </c>
      <c r="E139" s="1587" t="n">
        <v>3131</v>
      </c>
      <c r="F139" s="1588" t="n">
        <v>360.61</v>
      </c>
      <c r="G139" s="1588" t="n">
        <v>1352.28</v>
      </c>
      <c r="H139" s="1589" t="n">
        <v>0</v>
      </c>
      <c r="I139" s="1590" t="n">
        <v>5200</v>
      </c>
      <c r="J139" s="1591" t="e">
        <f aca="false">F139/(0.7*_xlfn.single(RR))</f>
        <v>#NAME?</v>
      </c>
      <c r="K139" s="1591" t="e">
        <f aca="false">G139/(0.7*_xlfn.single(RR))</f>
        <v>#NAME?</v>
      </c>
      <c r="L139" s="1592"/>
      <c r="M139" s="1592"/>
      <c r="N139" s="1593"/>
      <c r="O139" s="1594"/>
      <c r="P139" s="1595" t="s">
        <v>2524</v>
      </c>
      <c r="X139" s="1585" t="s">
        <v>2590</v>
      </c>
      <c r="Y139" s="119" t="n">
        <v>182</v>
      </c>
    </row>
    <row r="140" customFormat="false" ht="15" hidden="false" customHeight="false" outlineLevel="0" collapsed="false">
      <c r="A140" s="2" t="n">
        <v>2023</v>
      </c>
      <c r="B140" s="119" t="n">
        <v>40</v>
      </c>
      <c r="C140" s="1585" t="s">
        <v>2591</v>
      </c>
      <c r="D140" s="1586" t="n">
        <v>391</v>
      </c>
      <c r="E140" s="1587" t="n">
        <v>391</v>
      </c>
      <c r="F140" s="1588" t="n">
        <v>114.19</v>
      </c>
      <c r="G140" s="1588" t="n">
        <v>240.4</v>
      </c>
      <c r="H140" s="1589" t="n">
        <v>300</v>
      </c>
      <c r="I140" s="1590" t="n">
        <v>700</v>
      </c>
      <c r="J140" s="1591" t="e">
        <f aca="false">F140/(0.7*_xlfn.single(RR))</f>
        <v>#NAME?</v>
      </c>
      <c r="K140" s="1591" t="e">
        <f aca="false">G140/(0.7*_xlfn.single(RR))</f>
        <v>#NAME?</v>
      </c>
      <c r="L140" s="1592"/>
      <c r="M140" s="1592"/>
      <c r="N140" s="1593"/>
      <c r="O140" s="1594"/>
      <c r="P140" s="1595" t="s">
        <v>2524</v>
      </c>
      <c r="X140" s="1585" t="s">
        <v>2591</v>
      </c>
      <c r="Y140" s="119" t="n">
        <v>40</v>
      </c>
    </row>
    <row r="141" customFormat="false" ht="15" hidden="false" customHeight="false" outlineLevel="0" collapsed="false">
      <c r="A141" s="2" t="n">
        <v>2023</v>
      </c>
      <c r="B141" s="119" t="n">
        <v>41</v>
      </c>
      <c r="C141" s="1585" t="s">
        <v>2592</v>
      </c>
      <c r="D141" s="1586" t="n">
        <v>391</v>
      </c>
      <c r="E141" s="1587" t="n">
        <v>391</v>
      </c>
      <c r="F141" s="1588" t="n">
        <v>114.19</v>
      </c>
      <c r="G141" s="1588" t="n">
        <v>240.4</v>
      </c>
      <c r="H141" s="1589" t="n">
        <v>350</v>
      </c>
      <c r="I141" s="1590" t="n">
        <v>750</v>
      </c>
      <c r="J141" s="1591" t="e">
        <f aca="false">F141/(0.7*_xlfn.single(RR))</f>
        <v>#NAME?</v>
      </c>
      <c r="K141" s="1591" t="e">
        <f aca="false">G141/(0.7*_xlfn.single(RR))</f>
        <v>#NAME?</v>
      </c>
      <c r="L141" s="1592"/>
      <c r="M141" s="1592"/>
      <c r="N141" s="1593"/>
      <c r="O141" s="1594"/>
      <c r="P141" s="1595" t="s">
        <v>2524</v>
      </c>
      <c r="X141" s="1585" t="s">
        <v>2592</v>
      </c>
      <c r="Y141" s="119" t="n">
        <v>41</v>
      </c>
    </row>
    <row r="142" customFormat="false" ht="15" hidden="false" customHeight="false" outlineLevel="0" collapsed="false">
      <c r="A142" s="2" t="n">
        <v>2023</v>
      </c>
      <c r="B142" s="119" t="n">
        <v>294</v>
      </c>
      <c r="C142" s="1585" t="s">
        <v>2593</v>
      </c>
      <c r="D142" s="1586" t="n">
        <v>0</v>
      </c>
      <c r="E142" s="1587" t="n">
        <v>0</v>
      </c>
      <c r="F142" s="1599" t="n">
        <v>1E-005</v>
      </c>
      <c r="G142" s="1599" t="n">
        <v>1E-005</v>
      </c>
      <c r="H142" s="1589" t="n">
        <v>0</v>
      </c>
      <c r="I142" s="1590" t="n">
        <v>0</v>
      </c>
      <c r="J142" s="1591" t="e">
        <f aca="false">F142/(0.7*_xlfn.single(RR))</f>
        <v>#NAME?</v>
      </c>
      <c r="K142" s="1591" t="e">
        <f aca="false">G142/(0.7*_xlfn.single(RR))</f>
        <v>#NAME?</v>
      </c>
      <c r="L142" s="1592"/>
      <c r="M142" s="1592"/>
      <c r="N142" s="1593"/>
      <c r="O142" s="1594"/>
      <c r="P142" s="1595"/>
      <c r="X142" s="1585" t="s">
        <v>2593</v>
      </c>
      <c r="Y142" s="119" t="n">
        <v>294</v>
      </c>
    </row>
    <row r="143" customFormat="false" ht="15" hidden="false" customHeight="false" outlineLevel="0" collapsed="false">
      <c r="A143" s="2" t="n">
        <v>2023</v>
      </c>
      <c r="B143" s="119" t="n">
        <v>286</v>
      </c>
      <c r="C143" s="1585" t="s">
        <v>1334</v>
      </c>
      <c r="D143" s="1586" t="n">
        <v>391</v>
      </c>
      <c r="E143" s="1587" t="n">
        <v>391</v>
      </c>
      <c r="F143" s="1588" t="n">
        <v>114.19</v>
      </c>
      <c r="G143" s="1588" t="n">
        <v>240.4</v>
      </c>
      <c r="H143" s="1589" t="n">
        <v>1000</v>
      </c>
      <c r="I143" s="1590" t="n">
        <v>3800</v>
      </c>
      <c r="J143" s="1591" t="e">
        <f aca="false">F143/(0.7*_xlfn.single(RR))</f>
        <v>#NAME?</v>
      </c>
      <c r="K143" s="1591" t="e">
        <f aca="false">G143/(0.7*_xlfn.single(RR))</f>
        <v>#NAME?</v>
      </c>
      <c r="L143" s="1592"/>
      <c r="M143" s="1592"/>
      <c r="N143" s="1593"/>
      <c r="O143" s="1594"/>
      <c r="P143" s="1595"/>
      <c r="X143" s="1585" t="s">
        <v>1334</v>
      </c>
      <c r="Y143" s="119" t="n">
        <v>286</v>
      </c>
    </row>
    <row r="144" customFormat="false" ht="15" hidden="false" customHeight="false" outlineLevel="0" collapsed="false">
      <c r="A144" s="2" t="n">
        <v>2023</v>
      </c>
      <c r="B144" s="119" t="n">
        <v>276</v>
      </c>
      <c r="C144" s="1585" t="s">
        <v>1321</v>
      </c>
      <c r="D144" s="1586" t="n">
        <v>391</v>
      </c>
      <c r="E144" s="1587" t="n">
        <v>391</v>
      </c>
      <c r="F144" s="1588" t="n">
        <v>114.19</v>
      </c>
      <c r="G144" s="1588" t="n">
        <v>240.4</v>
      </c>
      <c r="H144" s="1589" t="n">
        <v>1000</v>
      </c>
      <c r="I144" s="1590" t="n">
        <v>3800</v>
      </c>
      <c r="J144" s="1591" t="e">
        <f aca="false">F144/(0.7*_xlfn.single(RR))</f>
        <v>#NAME?</v>
      </c>
      <c r="K144" s="1591" t="e">
        <f aca="false">G144/(0.7*_xlfn.single(RR))</f>
        <v>#NAME?</v>
      </c>
      <c r="L144" s="1592"/>
      <c r="M144" s="1592"/>
      <c r="N144" s="1593"/>
      <c r="O144" s="1594"/>
      <c r="P144" s="1595"/>
      <c r="X144" s="1585" t="s">
        <v>1321</v>
      </c>
      <c r="Y144" s="119" t="n">
        <v>276</v>
      </c>
    </row>
    <row r="145" customFormat="false" ht="15" hidden="false" customHeight="false" outlineLevel="0" collapsed="false">
      <c r="A145" s="2" t="n">
        <v>2023</v>
      </c>
      <c r="B145" s="119" t="n">
        <v>287</v>
      </c>
      <c r="C145" s="1585" t="s">
        <v>1335</v>
      </c>
      <c r="D145" s="1586" t="n">
        <v>391</v>
      </c>
      <c r="E145" s="1587" t="n">
        <v>391</v>
      </c>
      <c r="F145" s="1588" t="n">
        <v>114.19</v>
      </c>
      <c r="G145" s="1588" t="n">
        <v>240.4</v>
      </c>
      <c r="H145" s="1589" t="n">
        <v>1000</v>
      </c>
      <c r="I145" s="1590" t="n">
        <v>3800</v>
      </c>
      <c r="J145" s="1591" t="e">
        <f aca="false">F145/(0.7*_xlfn.single(RR))</f>
        <v>#NAME?</v>
      </c>
      <c r="K145" s="1591" t="e">
        <f aca="false">G145/(0.7*_xlfn.single(RR))</f>
        <v>#NAME?</v>
      </c>
      <c r="L145" s="1592"/>
      <c r="M145" s="1592"/>
      <c r="N145" s="1593"/>
      <c r="O145" s="1594"/>
      <c r="P145" s="1595"/>
      <c r="X145" s="1585" t="s">
        <v>1335</v>
      </c>
      <c r="Y145" s="119" t="n">
        <v>287</v>
      </c>
    </row>
    <row r="146" customFormat="false" ht="15" hidden="false" customHeight="false" outlineLevel="0" collapsed="false">
      <c r="A146" s="2" t="n">
        <v>2023</v>
      </c>
      <c r="B146" s="119" t="n">
        <v>218</v>
      </c>
      <c r="C146" s="1585" t="s">
        <v>1270</v>
      </c>
      <c r="D146" s="1586" t="n">
        <v>1196</v>
      </c>
      <c r="E146" s="1587" t="n">
        <v>1196</v>
      </c>
      <c r="F146" s="1588" t="n">
        <v>450.76</v>
      </c>
      <c r="G146" s="1588" t="n">
        <v>721.21</v>
      </c>
      <c r="H146" s="1589" t="n">
        <v>800</v>
      </c>
      <c r="I146" s="1590" t="n">
        <v>5000</v>
      </c>
      <c r="J146" s="1591" t="e">
        <f aca="false">F146/(0.7*_xlfn.single(RR))</f>
        <v>#NAME?</v>
      </c>
      <c r="K146" s="1591" t="e">
        <f aca="false">G146/(0.7*_xlfn.single(RR))</f>
        <v>#NAME?</v>
      </c>
      <c r="L146" s="1592"/>
      <c r="M146" s="1592"/>
      <c r="N146" s="1593"/>
      <c r="O146" s="1594"/>
      <c r="P146" s="1595" t="s">
        <v>2524</v>
      </c>
      <c r="X146" s="1585" t="s">
        <v>1270</v>
      </c>
      <c r="Y146" s="119" t="n">
        <v>218</v>
      </c>
    </row>
    <row r="147" customFormat="false" ht="15" hidden="false" customHeight="false" outlineLevel="0" collapsed="false">
      <c r="A147" s="2" t="n">
        <v>2023</v>
      </c>
      <c r="B147" s="119" t="n">
        <v>260</v>
      </c>
      <c r="C147" s="1585" t="s">
        <v>1305</v>
      </c>
      <c r="D147" s="1586" t="n">
        <v>391</v>
      </c>
      <c r="E147" s="1587" t="n">
        <v>391</v>
      </c>
      <c r="F147" s="1588" t="n">
        <v>114.19</v>
      </c>
      <c r="G147" s="1588" t="n">
        <v>240.4</v>
      </c>
      <c r="H147" s="1589" t="n">
        <v>1000</v>
      </c>
      <c r="I147" s="1590" t="n">
        <v>3800</v>
      </c>
      <c r="J147" s="1591" t="e">
        <f aca="false">F147/(0.7*_xlfn.single(RR))</f>
        <v>#NAME?</v>
      </c>
      <c r="K147" s="1591" t="e">
        <f aca="false">G147/(0.7*_xlfn.single(RR))</f>
        <v>#NAME?</v>
      </c>
      <c r="L147" s="1592"/>
      <c r="M147" s="1592"/>
      <c r="N147" s="1593"/>
      <c r="O147" s="1594"/>
      <c r="P147" s="1595" t="s">
        <v>2524</v>
      </c>
      <c r="X147" s="1585" t="s">
        <v>1305</v>
      </c>
      <c r="Y147" s="119" t="n">
        <v>260</v>
      </c>
    </row>
    <row r="148" customFormat="false" ht="15" hidden="false" customHeight="false" outlineLevel="0" collapsed="false">
      <c r="A148" s="2" t="n">
        <v>2023</v>
      </c>
      <c r="B148" s="119" t="n">
        <v>275</v>
      </c>
      <c r="C148" s="1585" t="s">
        <v>1320</v>
      </c>
      <c r="D148" s="1586" t="n">
        <v>391</v>
      </c>
      <c r="E148" s="1587" t="n">
        <v>391</v>
      </c>
      <c r="F148" s="1588" t="n">
        <v>114.19</v>
      </c>
      <c r="G148" s="1588" t="n">
        <v>240.4</v>
      </c>
      <c r="H148" s="1589" t="n">
        <v>1000</v>
      </c>
      <c r="I148" s="1590" t="n">
        <v>3800</v>
      </c>
      <c r="J148" s="1591" t="e">
        <f aca="false">F148/(0.7*_xlfn.single(RR))</f>
        <v>#NAME?</v>
      </c>
      <c r="K148" s="1591" t="e">
        <f aca="false">G148/(0.7*_xlfn.single(RR))</f>
        <v>#NAME?</v>
      </c>
      <c r="L148" s="1592"/>
      <c r="M148" s="1592"/>
      <c r="N148" s="1593"/>
      <c r="O148" s="1594"/>
      <c r="P148" s="1595"/>
      <c r="X148" s="1585" t="s">
        <v>1320</v>
      </c>
      <c r="Y148" s="119" t="n">
        <v>275</v>
      </c>
    </row>
    <row r="149" customFormat="false" ht="15" hidden="false" customHeight="false" outlineLevel="0" collapsed="false">
      <c r="A149" s="2" t="n">
        <v>2023</v>
      </c>
      <c r="B149" s="119" t="n">
        <v>259</v>
      </c>
      <c r="C149" s="1585" t="s">
        <v>1304</v>
      </c>
      <c r="D149" s="1586" t="n">
        <v>391</v>
      </c>
      <c r="E149" s="1587" t="n">
        <v>391</v>
      </c>
      <c r="F149" s="1588" t="n">
        <v>114.19</v>
      </c>
      <c r="G149" s="1588" t="n">
        <v>240.4</v>
      </c>
      <c r="H149" s="1589" t="n">
        <v>1000</v>
      </c>
      <c r="I149" s="1590" t="n">
        <v>3800</v>
      </c>
      <c r="J149" s="1591" t="e">
        <f aca="false">F149/(0.7*_xlfn.single(RR))</f>
        <v>#NAME?</v>
      </c>
      <c r="K149" s="1591" t="e">
        <f aca="false">G149/(0.7*_xlfn.single(RR))</f>
        <v>#NAME?</v>
      </c>
      <c r="L149" s="1592"/>
      <c r="M149" s="1592"/>
      <c r="N149" s="1593"/>
      <c r="O149" s="1594"/>
      <c r="P149" s="1595"/>
      <c r="X149" s="1585" t="s">
        <v>1304</v>
      </c>
      <c r="Y149" s="119" t="n">
        <v>259</v>
      </c>
    </row>
    <row r="150" customFormat="false" ht="15" hidden="false" customHeight="false" outlineLevel="0" collapsed="false">
      <c r="A150" s="2" t="n">
        <v>2023</v>
      </c>
      <c r="B150" s="119" t="n">
        <v>193</v>
      </c>
      <c r="C150" s="1585" t="s">
        <v>1234</v>
      </c>
      <c r="D150" s="1586" t="n">
        <v>3131</v>
      </c>
      <c r="E150" s="1587" t="n">
        <v>3131</v>
      </c>
      <c r="F150" s="1588" t="n">
        <v>360.61</v>
      </c>
      <c r="G150" s="1588" t="n">
        <v>1352.28</v>
      </c>
      <c r="H150" s="1589" t="n">
        <v>0</v>
      </c>
      <c r="I150" s="1590" t="n">
        <v>5200</v>
      </c>
      <c r="J150" s="1591" t="e">
        <f aca="false">F150/(0.7*_xlfn.single(RR))</f>
        <v>#NAME?</v>
      </c>
      <c r="K150" s="1591" t="e">
        <f aca="false">G150/(0.7*_xlfn.single(RR))</f>
        <v>#NAME?</v>
      </c>
      <c r="L150" s="1592"/>
      <c r="M150" s="1592"/>
      <c r="N150" s="1593"/>
      <c r="O150" s="1594"/>
      <c r="P150" s="1595" t="s">
        <v>2524</v>
      </c>
      <c r="X150" s="1585" t="s">
        <v>1234</v>
      </c>
      <c r="Y150" s="119" t="n">
        <v>193</v>
      </c>
    </row>
    <row r="151" customFormat="false" ht="15" hidden="false" customHeight="false" outlineLevel="0" collapsed="false">
      <c r="A151" s="2" t="n">
        <v>2023</v>
      </c>
      <c r="B151" s="1622" t="n">
        <v>999</v>
      </c>
      <c r="C151" s="1585" t="s">
        <v>2594</v>
      </c>
      <c r="D151" s="1623"/>
      <c r="E151" s="1624" t="n">
        <v>19000</v>
      </c>
      <c r="F151" s="1625"/>
      <c r="G151" s="1625" t="n">
        <v>36060.73</v>
      </c>
      <c r="H151" s="1626"/>
      <c r="I151" s="1627" t="n">
        <v>80000</v>
      </c>
      <c r="J151" s="1591" t="e">
        <f aca="false">F151/(0.7*_xlfn.single(RR))</f>
        <v>#NAME?</v>
      </c>
      <c r="K151" s="1591" t="e">
        <f aca="false">G151/(0.7*_xlfn.single(RR))</f>
        <v>#NAME?</v>
      </c>
      <c r="L151" s="1592"/>
      <c r="M151" s="1592"/>
      <c r="N151" s="1628"/>
      <c r="O151" s="1594"/>
      <c r="P151" s="1595" t="s">
        <v>2524</v>
      </c>
      <c r="X151" s="1585" t="s">
        <v>2594</v>
      </c>
      <c r="Y151" s="1622" t="n">
        <v>999</v>
      </c>
    </row>
    <row r="152" customFormat="false" ht="15" hidden="false" customHeight="false" outlineLevel="0" collapsed="false">
      <c r="A152" s="2" t="n">
        <v>2023</v>
      </c>
      <c r="B152" s="119" t="n">
        <v>232</v>
      </c>
      <c r="C152" s="1585" t="s">
        <v>2595</v>
      </c>
      <c r="D152" s="1586" t="n">
        <v>0</v>
      </c>
      <c r="E152" s="1587" t="n">
        <v>0</v>
      </c>
      <c r="F152" s="1599" t="n">
        <v>1E-005</v>
      </c>
      <c r="G152" s="1599" t="n">
        <v>1E-005</v>
      </c>
      <c r="H152" s="1589" t="n">
        <v>0</v>
      </c>
      <c r="I152" s="1590" t="n">
        <v>0</v>
      </c>
      <c r="J152" s="1591" t="e">
        <f aca="false">F152/(0.7*_xlfn.single(RR))</f>
        <v>#NAME?</v>
      </c>
      <c r="K152" s="1591" t="e">
        <f aca="false">G152/(0.7*_xlfn.single(RR))</f>
        <v>#NAME?</v>
      </c>
      <c r="L152" s="1592"/>
      <c r="M152" s="1592"/>
      <c r="N152" s="1593"/>
      <c r="O152" s="1594"/>
      <c r="P152" s="1595"/>
      <c r="X152" s="1585" t="s">
        <v>2595</v>
      </c>
      <c r="Y152" s="119" t="n">
        <v>232</v>
      </c>
    </row>
    <row r="153" customFormat="false" ht="15" hidden="false" customHeight="false" outlineLevel="0" collapsed="false">
      <c r="A153" s="2" t="n">
        <v>2023</v>
      </c>
      <c r="B153" s="119" t="n">
        <v>235</v>
      </c>
      <c r="C153" s="1585" t="s">
        <v>2596</v>
      </c>
      <c r="D153" s="1586" t="n">
        <v>391</v>
      </c>
      <c r="E153" s="1587" t="n">
        <v>391</v>
      </c>
      <c r="F153" s="1588" t="n">
        <v>114.19</v>
      </c>
      <c r="G153" s="1588" t="n">
        <v>240.4</v>
      </c>
      <c r="H153" s="1589" t="n">
        <v>0</v>
      </c>
      <c r="I153" s="1590" t="n">
        <v>0</v>
      </c>
      <c r="J153" s="1591" t="e">
        <f aca="false">F153/(0.7*_xlfn.single(RR))</f>
        <v>#NAME?</v>
      </c>
      <c r="K153" s="1591" t="e">
        <f aca="false">G153/(0.7*_xlfn.single(RR))</f>
        <v>#NAME?</v>
      </c>
      <c r="L153" s="1592"/>
      <c r="M153" s="1592"/>
      <c r="N153" s="1593"/>
      <c r="O153" s="1594"/>
      <c r="P153" s="1595"/>
      <c r="X153" s="1585" t="s">
        <v>2596</v>
      </c>
      <c r="Y153" s="119" t="n">
        <v>235</v>
      </c>
    </row>
    <row r="154" customFormat="false" ht="15" hidden="false" customHeight="false" outlineLevel="0" collapsed="false">
      <c r="A154" s="2" t="n">
        <v>2023</v>
      </c>
      <c r="B154" s="119" t="n">
        <v>180</v>
      </c>
      <c r="C154" s="1585" t="s">
        <v>2597</v>
      </c>
      <c r="D154" s="1586" t="n">
        <v>3131</v>
      </c>
      <c r="E154" s="1587" t="n">
        <v>3131</v>
      </c>
      <c r="F154" s="1588" t="n">
        <v>360.61</v>
      </c>
      <c r="G154" s="1588" t="n">
        <v>1352.28</v>
      </c>
      <c r="H154" s="1589" t="n">
        <v>0</v>
      </c>
      <c r="I154" s="1590" t="n">
        <v>5000</v>
      </c>
      <c r="J154" s="1591" t="e">
        <f aca="false">F154/(0.7*_xlfn.single(RR))</f>
        <v>#NAME?</v>
      </c>
      <c r="K154" s="1591" t="e">
        <f aca="false">G154/(0.7*_xlfn.single(RR))</f>
        <v>#NAME?</v>
      </c>
      <c r="L154" s="1592"/>
      <c r="M154" s="1592"/>
      <c r="N154" s="1593"/>
      <c r="O154" s="1594"/>
      <c r="P154" s="1595" t="s">
        <v>2524</v>
      </c>
      <c r="X154" s="1585" t="s">
        <v>2597</v>
      </c>
      <c r="Y154" s="119" t="n">
        <v>180</v>
      </c>
    </row>
    <row r="155" customFormat="false" ht="15" hidden="false" customHeight="false" outlineLevel="0" collapsed="false">
      <c r="A155" s="2" t="n">
        <v>2023</v>
      </c>
      <c r="B155" s="119" t="n">
        <v>212</v>
      </c>
      <c r="C155" s="1585" t="s">
        <v>1256</v>
      </c>
      <c r="D155" s="1586" t="n">
        <v>2558</v>
      </c>
      <c r="E155" s="1587" t="n">
        <v>2558</v>
      </c>
      <c r="F155" s="1588" t="n">
        <v>480.81</v>
      </c>
      <c r="G155" s="1588" t="n">
        <v>1442.43</v>
      </c>
      <c r="H155" s="1589" t="n">
        <v>1939.72</v>
      </c>
      <c r="I155" s="1590" t="n">
        <v>6000</v>
      </c>
      <c r="J155" s="1591" t="e">
        <f aca="false">F155/(0.7*_xlfn.single(RR))</f>
        <v>#NAME?</v>
      </c>
      <c r="K155" s="1591" t="e">
        <f aca="false">G155/(0.7*_xlfn.single(RR))</f>
        <v>#NAME?</v>
      </c>
      <c r="L155" s="1592"/>
      <c r="M155" s="1592"/>
      <c r="N155" s="1593"/>
      <c r="O155" s="1594"/>
      <c r="P155" s="1595"/>
      <c r="X155" s="1585" t="s">
        <v>1256</v>
      </c>
      <c r="Y155" s="119" t="n">
        <v>212</v>
      </c>
    </row>
    <row r="156" customFormat="false" ht="15" hidden="false" customHeight="false" outlineLevel="0" collapsed="false">
      <c r="A156" s="2" t="n">
        <v>2023</v>
      </c>
      <c r="B156" s="119" t="n">
        <v>281</v>
      </c>
      <c r="C156" s="1585" t="s">
        <v>1328</v>
      </c>
      <c r="D156" s="1586" t="n">
        <v>391</v>
      </c>
      <c r="E156" s="1587" t="n">
        <v>391</v>
      </c>
      <c r="F156" s="1588" t="n">
        <v>114.19</v>
      </c>
      <c r="G156" s="1588" t="n">
        <v>240.4</v>
      </c>
      <c r="H156" s="1589" t="n">
        <v>1000</v>
      </c>
      <c r="I156" s="1590" t="n">
        <v>3800</v>
      </c>
      <c r="J156" s="1591" t="e">
        <f aca="false">F156/(0.7*_xlfn.single(RR))</f>
        <v>#NAME?</v>
      </c>
      <c r="K156" s="1591" t="e">
        <f aca="false">G156/(0.7*_xlfn.single(RR))</f>
        <v>#NAME?</v>
      </c>
      <c r="L156" s="1592"/>
      <c r="M156" s="1592"/>
      <c r="N156" s="1593"/>
      <c r="O156" s="1594"/>
      <c r="P156" s="1595" t="s">
        <v>2524</v>
      </c>
      <c r="X156" s="1585" t="s">
        <v>1328</v>
      </c>
      <c r="Y156" s="119" t="n">
        <v>281</v>
      </c>
    </row>
    <row r="157" customFormat="false" ht="15" hidden="false" customHeight="false" outlineLevel="0" collapsed="false">
      <c r="A157" s="2" t="n">
        <v>2023</v>
      </c>
      <c r="B157" s="119" t="n">
        <v>282</v>
      </c>
      <c r="C157" s="1585" t="s">
        <v>1329</v>
      </c>
      <c r="D157" s="1586" t="n">
        <v>391</v>
      </c>
      <c r="E157" s="1587" t="n">
        <v>391</v>
      </c>
      <c r="F157" s="1588" t="n">
        <v>114.19</v>
      </c>
      <c r="G157" s="1588" t="n">
        <v>240.4</v>
      </c>
      <c r="H157" s="1589" t="n">
        <v>1000</v>
      </c>
      <c r="I157" s="1590" t="n">
        <v>3800</v>
      </c>
      <c r="J157" s="1591" t="e">
        <f aca="false">F157/(0.7*_xlfn.single(RR))</f>
        <v>#NAME?</v>
      </c>
      <c r="K157" s="1591" t="e">
        <f aca="false">G157/(0.7*_xlfn.single(RR))</f>
        <v>#NAME?</v>
      </c>
      <c r="L157" s="1592"/>
      <c r="M157" s="1592"/>
      <c r="N157" s="1593"/>
      <c r="O157" s="1594"/>
      <c r="P157" s="1595" t="s">
        <v>2524</v>
      </c>
      <c r="X157" s="1585" t="s">
        <v>1329</v>
      </c>
      <c r="Y157" s="119" t="n">
        <v>282</v>
      </c>
    </row>
    <row r="158" customFormat="false" ht="15" hidden="false" customHeight="false" outlineLevel="0" collapsed="false">
      <c r="A158" s="2" t="n">
        <v>2023</v>
      </c>
      <c r="B158" s="119" t="n">
        <v>155</v>
      </c>
      <c r="C158" s="1585" t="s">
        <v>1098</v>
      </c>
      <c r="D158" s="1586" t="n">
        <v>3131</v>
      </c>
      <c r="E158" s="1587" t="n">
        <v>3131</v>
      </c>
      <c r="F158" s="1588" t="n">
        <v>360.61</v>
      </c>
      <c r="G158" s="1588" t="n">
        <v>1352.28</v>
      </c>
      <c r="H158" s="1589" t="n">
        <v>0</v>
      </c>
      <c r="I158" s="1590" t="n">
        <v>7000</v>
      </c>
      <c r="J158" s="1591" t="e">
        <f aca="false">F158/(0.7*_xlfn.single(RR))</f>
        <v>#NAME?</v>
      </c>
      <c r="K158" s="1591" t="e">
        <f aca="false">G158/(0.7*_xlfn.single(RR))</f>
        <v>#NAME?</v>
      </c>
      <c r="L158" s="1592"/>
      <c r="M158" s="1592"/>
      <c r="N158" s="1593"/>
      <c r="O158" s="1594"/>
      <c r="P158" s="1595" t="s">
        <v>2524</v>
      </c>
      <c r="X158" s="1585" t="s">
        <v>1098</v>
      </c>
      <c r="Y158" s="119" t="n">
        <v>155</v>
      </c>
    </row>
    <row r="159" customFormat="false" ht="15" hidden="false" customHeight="false" outlineLevel="0" collapsed="false">
      <c r="A159" s="2" t="n">
        <v>2023</v>
      </c>
      <c r="B159" s="119" t="n">
        <v>51</v>
      </c>
      <c r="C159" s="1585" t="s">
        <v>2598</v>
      </c>
      <c r="D159" s="1586" t="n">
        <v>391</v>
      </c>
      <c r="E159" s="1587" t="n">
        <v>391</v>
      </c>
      <c r="F159" s="1588" t="n">
        <v>114.19</v>
      </c>
      <c r="G159" s="1588" t="n">
        <v>240.4</v>
      </c>
      <c r="H159" s="1589" t="n">
        <v>350</v>
      </c>
      <c r="I159" s="1590" t="n">
        <v>750</v>
      </c>
      <c r="J159" s="1591" t="e">
        <f aca="false">F159/(0.7*_xlfn.single(RR))</f>
        <v>#NAME?</v>
      </c>
      <c r="K159" s="1591" t="e">
        <f aca="false">G159/(0.7*_xlfn.single(RR))</f>
        <v>#NAME?</v>
      </c>
      <c r="L159" s="1592"/>
      <c r="M159" s="1592"/>
      <c r="N159" s="1593"/>
      <c r="O159" s="1594"/>
      <c r="P159" s="1595" t="s">
        <v>2524</v>
      </c>
      <c r="X159" s="1585" t="s">
        <v>2598</v>
      </c>
      <c r="Y159" s="119" t="n">
        <v>51</v>
      </c>
    </row>
    <row r="160" customFormat="false" ht="15" hidden="false" customHeight="false" outlineLevel="0" collapsed="false">
      <c r="A160" s="2" t="n">
        <v>2023</v>
      </c>
      <c r="B160" s="119" t="n">
        <v>224</v>
      </c>
      <c r="C160" s="1585" t="s">
        <v>2599</v>
      </c>
      <c r="D160" s="1586" t="n">
        <v>391</v>
      </c>
      <c r="E160" s="1587" t="n">
        <v>391</v>
      </c>
      <c r="F160" s="1588" t="n">
        <v>114.19</v>
      </c>
      <c r="G160" s="1588" t="n">
        <v>240.4</v>
      </c>
      <c r="H160" s="1589" t="n">
        <v>700</v>
      </c>
      <c r="I160" s="1590" t="n">
        <v>1800</v>
      </c>
      <c r="J160" s="1591" t="e">
        <f aca="false">F160/(0.7*_xlfn.single(RR))</f>
        <v>#NAME?</v>
      </c>
      <c r="K160" s="1591" t="e">
        <f aca="false">G160/(0.7*_xlfn.single(RR))</f>
        <v>#NAME?</v>
      </c>
      <c r="L160" s="1592"/>
      <c r="M160" s="1592"/>
      <c r="N160" s="1593"/>
      <c r="O160" s="1594"/>
      <c r="P160" s="1595"/>
      <c r="X160" s="1585" t="s">
        <v>2599</v>
      </c>
      <c r="Y160" s="119" t="n">
        <v>224</v>
      </c>
    </row>
    <row r="161" customFormat="false" ht="15" hidden="false" customHeight="false" outlineLevel="0" collapsed="false">
      <c r="A161" s="2" t="n">
        <v>2023</v>
      </c>
      <c r="B161" s="119" t="n">
        <v>207</v>
      </c>
      <c r="C161" s="1585" t="s">
        <v>1251</v>
      </c>
      <c r="D161" s="1586" t="n">
        <v>2558</v>
      </c>
      <c r="E161" s="1587" t="n">
        <v>2558</v>
      </c>
      <c r="F161" s="1588" t="n">
        <v>480.81</v>
      </c>
      <c r="G161" s="1588" t="n">
        <v>1442.43</v>
      </c>
      <c r="H161" s="1589" t="n">
        <v>1939.8</v>
      </c>
      <c r="I161" s="1590" t="n">
        <v>6000</v>
      </c>
      <c r="J161" s="1591" t="e">
        <f aca="false">F161/(0.7*_xlfn.single(RR))</f>
        <v>#NAME?</v>
      </c>
      <c r="K161" s="1591" t="e">
        <f aca="false">G161/(0.7*_xlfn.single(RR))</f>
        <v>#NAME?</v>
      </c>
      <c r="L161" s="1592"/>
      <c r="M161" s="1592"/>
      <c r="N161" s="1593"/>
      <c r="O161" s="1594"/>
      <c r="P161" s="1595" t="n">
        <f aca="false">G161/(0.705*30622.23)</f>
        <v>0.0668142065421101</v>
      </c>
      <c r="X161" s="1585" t="s">
        <v>1251</v>
      </c>
      <c r="Y161" s="119" t="n">
        <v>207</v>
      </c>
    </row>
    <row r="162" customFormat="false" ht="15" hidden="false" customHeight="false" outlineLevel="0" collapsed="false">
      <c r="A162" s="2" t="n">
        <v>2023</v>
      </c>
      <c r="B162" s="119" t="n">
        <v>93</v>
      </c>
      <c r="C162" s="1585" t="s">
        <v>2600</v>
      </c>
      <c r="D162" s="1586" t="n">
        <v>391</v>
      </c>
      <c r="E162" s="1587" t="n">
        <v>391</v>
      </c>
      <c r="F162" s="1588" t="n">
        <v>114.19</v>
      </c>
      <c r="G162" s="1588" t="n">
        <v>240.4</v>
      </c>
      <c r="H162" s="1589" t="n">
        <v>186.91</v>
      </c>
      <c r="I162" s="1590" t="n">
        <v>540.36</v>
      </c>
      <c r="J162" s="1591" t="e">
        <f aca="false">F162/(0.7*_xlfn.single(RR))</f>
        <v>#NAME?</v>
      </c>
      <c r="K162" s="1591" t="e">
        <f aca="false">G162/(0.7*_xlfn.single(RR))</f>
        <v>#NAME?</v>
      </c>
      <c r="L162" s="1592"/>
      <c r="M162" s="1592"/>
      <c r="N162" s="1593"/>
      <c r="O162" s="1594"/>
      <c r="P162" s="1595" t="s">
        <v>2524</v>
      </c>
      <c r="X162" s="1585" t="s">
        <v>2600</v>
      </c>
      <c r="Y162" s="119" t="n">
        <v>93</v>
      </c>
    </row>
    <row r="163" customFormat="false" ht="15" hidden="false" customHeight="false" outlineLevel="0" collapsed="false">
      <c r="A163" s="2" t="n">
        <v>2023</v>
      </c>
      <c r="B163" s="119" t="n">
        <v>85</v>
      </c>
      <c r="C163" s="1585" t="s">
        <v>2601</v>
      </c>
      <c r="D163" s="1586" t="n">
        <v>413</v>
      </c>
      <c r="E163" s="1587" t="n">
        <v>413</v>
      </c>
      <c r="F163" s="1613" t="n">
        <v>270.46</v>
      </c>
      <c r="G163" s="1613" t="n">
        <v>330.56</v>
      </c>
      <c r="H163" s="1589" t="n">
        <v>270.46</v>
      </c>
      <c r="I163" s="1590" t="n">
        <v>600</v>
      </c>
      <c r="J163" s="1591" t="e">
        <f aca="false">F163/(0.7*_xlfn.single(RR))</f>
        <v>#NAME?</v>
      </c>
      <c r="K163" s="1591" t="e">
        <f aca="false">G163/(0.7*_xlfn.single(RR))</f>
        <v>#NAME?</v>
      </c>
      <c r="L163" s="1592"/>
      <c r="M163" s="1592"/>
      <c r="N163" s="1593"/>
      <c r="O163" s="1594"/>
      <c r="P163" s="1595" t="s">
        <v>2524</v>
      </c>
      <c r="X163" s="1585" t="s">
        <v>2601</v>
      </c>
      <c r="Y163" s="119" t="n">
        <v>85</v>
      </c>
    </row>
    <row r="164" customFormat="false" ht="15" hidden="false" customHeight="false" outlineLevel="0" collapsed="false">
      <c r="A164" s="2" t="n">
        <v>2023</v>
      </c>
      <c r="B164" s="119" t="n">
        <v>315</v>
      </c>
      <c r="C164" s="1585" t="s">
        <v>2602</v>
      </c>
      <c r="D164" s="1586" t="n">
        <v>391</v>
      </c>
      <c r="E164" s="1587" t="n">
        <v>391</v>
      </c>
      <c r="F164" s="1588" t="n">
        <v>114.19</v>
      </c>
      <c r="G164" s="1588" t="n">
        <v>240.4</v>
      </c>
      <c r="H164" s="1589" t="n">
        <v>1000</v>
      </c>
      <c r="I164" s="1590" t="n">
        <v>3800</v>
      </c>
      <c r="J164" s="1591" t="e">
        <f aca="false">F164/(0.7*_xlfn.single(RR))</f>
        <v>#NAME?</v>
      </c>
      <c r="K164" s="1591" t="e">
        <f aca="false">G164/(0.7*_xlfn.single(RR))</f>
        <v>#NAME?</v>
      </c>
      <c r="L164" s="1592"/>
      <c r="M164" s="1592"/>
      <c r="N164" s="1593"/>
      <c r="O164" s="1594"/>
      <c r="P164" s="1595"/>
      <c r="X164" s="1585" t="s">
        <v>2602</v>
      </c>
      <c r="Y164" s="119" t="n">
        <v>315</v>
      </c>
    </row>
    <row r="165" customFormat="false" ht="15" hidden="false" customHeight="false" outlineLevel="0" collapsed="false">
      <c r="A165" s="2" t="n">
        <v>2023</v>
      </c>
      <c r="B165" s="119" t="n">
        <v>84</v>
      </c>
      <c r="C165" s="1585" t="s">
        <v>2603</v>
      </c>
      <c r="D165" s="1586" t="n">
        <v>0</v>
      </c>
      <c r="E165" s="1587" t="n">
        <v>0</v>
      </c>
      <c r="F165" s="1599" t="n">
        <v>1E-005</v>
      </c>
      <c r="G165" s="1599" t="n">
        <v>1E-005</v>
      </c>
      <c r="H165" s="1589" t="n">
        <v>270.46</v>
      </c>
      <c r="I165" s="1590" t="n">
        <v>600</v>
      </c>
      <c r="J165" s="1591" t="e">
        <f aca="false">F165/(0.7*_xlfn.single(RR))</f>
        <v>#NAME?</v>
      </c>
      <c r="K165" s="1591" t="e">
        <f aca="false">G165/(0.7*_xlfn.single(RR))</f>
        <v>#NAME?</v>
      </c>
      <c r="L165" s="1592"/>
      <c r="M165" s="1592"/>
      <c r="N165" s="1593"/>
      <c r="O165" s="1594"/>
      <c r="P165" s="1595" t="s">
        <v>2524</v>
      </c>
      <c r="X165" s="1585" t="s">
        <v>2603</v>
      </c>
      <c r="Y165" s="119" t="n">
        <v>84</v>
      </c>
    </row>
    <row r="166" customFormat="false" ht="15" hidden="false" customHeight="false" outlineLevel="0" collapsed="false">
      <c r="A166" s="2" t="n">
        <v>2023</v>
      </c>
      <c r="B166" s="119" t="n">
        <v>4</v>
      </c>
      <c r="C166" s="1585" t="s">
        <v>2604</v>
      </c>
      <c r="D166" s="1586" t="n">
        <v>1403</v>
      </c>
      <c r="E166" s="1587" t="n">
        <v>1403</v>
      </c>
      <c r="F166" s="1588" t="n">
        <v>114.19</v>
      </c>
      <c r="G166" s="1588" t="n">
        <v>480.81</v>
      </c>
      <c r="H166" s="1589" t="n">
        <v>951.75</v>
      </c>
      <c r="I166" s="1590" t="n">
        <v>2400</v>
      </c>
      <c r="J166" s="1591" t="e">
        <f aca="false">F166/(0.7*_xlfn.single(RR))</f>
        <v>#NAME?</v>
      </c>
      <c r="K166" s="1591" t="e">
        <f aca="false">G166/(0.7*_xlfn.single(RR))</f>
        <v>#NAME?</v>
      </c>
      <c r="L166" s="1592"/>
      <c r="M166" s="1592"/>
      <c r="N166" s="1593"/>
      <c r="O166" s="1594"/>
      <c r="P166" s="1595" t="s">
        <v>2524</v>
      </c>
      <c r="X166" s="1585" t="s">
        <v>2604</v>
      </c>
      <c r="Y166" s="119" t="n">
        <v>4</v>
      </c>
    </row>
    <row r="167" customFormat="false" ht="15" hidden="false" customHeight="false" outlineLevel="0" collapsed="false">
      <c r="A167" s="2" t="n">
        <v>2023</v>
      </c>
      <c r="B167" s="119" t="n">
        <v>326</v>
      </c>
      <c r="C167" s="1585" t="s">
        <v>2605</v>
      </c>
      <c r="D167" s="1586" t="n">
        <v>1403</v>
      </c>
      <c r="E167" s="1587" t="n">
        <v>1403</v>
      </c>
      <c r="F167" s="1588" t="n">
        <v>114.19</v>
      </c>
      <c r="G167" s="1588" t="n">
        <v>480.81</v>
      </c>
      <c r="H167" s="1589" t="n">
        <v>951.75</v>
      </c>
      <c r="I167" s="1590" t="n">
        <v>2400</v>
      </c>
      <c r="J167" s="1591" t="e">
        <f aca="false">F167/(0.7*_xlfn.single(RR))</f>
        <v>#NAME?</v>
      </c>
      <c r="K167" s="1591" t="e">
        <f aca="false">G167/(0.7*_xlfn.single(RR))</f>
        <v>#NAME?</v>
      </c>
      <c r="L167" s="1592"/>
      <c r="M167" s="1592"/>
      <c r="N167" s="1593"/>
      <c r="O167" s="1594"/>
      <c r="P167" s="1595"/>
      <c r="X167" s="1585" t="s">
        <v>2605</v>
      </c>
      <c r="Y167" s="119" t="n">
        <v>326</v>
      </c>
    </row>
    <row r="168" customFormat="false" ht="15" hidden="false" customHeight="false" outlineLevel="0" collapsed="false">
      <c r="A168" s="2" t="n">
        <v>2023</v>
      </c>
      <c r="B168" s="119" t="n">
        <v>316</v>
      </c>
      <c r="C168" s="1585" t="s">
        <v>1346</v>
      </c>
      <c r="D168" s="1586" t="n">
        <v>391</v>
      </c>
      <c r="E168" s="1587" t="n">
        <v>391</v>
      </c>
      <c r="F168" s="1588" t="n">
        <v>114.19</v>
      </c>
      <c r="G168" s="1588" t="n">
        <v>240.4</v>
      </c>
      <c r="H168" s="1589" t="n">
        <v>1000</v>
      </c>
      <c r="I168" s="1590" t="n">
        <v>3800</v>
      </c>
      <c r="J168" s="1591" t="e">
        <f aca="false">F168/(0.7*_xlfn.single(RR))</f>
        <v>#NAME?</v>
      </c>
      <c r="K168" s="1591" t="e">
        <f aca="false">G168/(0.7*_xlfn.single(RR))</f>
        <v>#NAME?</v>
      </c>
      <c r="L168" s="1592"/>
      <c r="M168" s="1592"/>
      <c r="N168" s="1593"/>
      <c r="O168" s="1594"/>
      <c r="P168" s="1595"/>
      <c r="X168" s="1585" t="s">
        <v>1346</v>
      </c>
      <c r="Y168" s="119" t="n">
        <v>316</v>
      </c>
    </row>
    <row r="169" customFormat="false" ht="15" hidden="false" customHeight="false" outlineLevel="0" collapsed="false">
      <c r="A169" s="2" t="n">
        <v>2023</v>
      </c>
      <c r="B169" s="119" t="n">
        <v>209</v>
      </c>
      <c r="C169" s="1585" t="s">
        <v>1253</v>
      </c>
      <c r="D169" s="1586" t="n">
        <v>2558</v>
      </c>
      <c r="E169" s="1587" t="n">
        <v>2558</v>
      </c>
      <c r="F169" s="1588" t="n">
        <v>480.81</v>
      </c>
      <c r="G169" s="1588" t="n">
        <v>1442.43</v>
      </c>
      <c r="H169" s="1589" t="n">
        <v>1939.8</v>
      </c>
      <c r="I169" s="1590" t="n">
        <v>6000</v>
      </c>
      <c r="J169" s="1591" t="e">
        <f aca="false">F169/(0.7*_xlfn.single(RR))</f>
        <v>#NAME?</v>
      </c>
      <c r="K169" s="1591" t="e">
        <f aca="false">G169/(0.7*_xlfn.single(RR))</f>
        <v>#NAME?</v>
      </c>
      <c r="L169" s="1592"/>
      <c r="M169" s="1592"/>
      <c r="N169" s="1593"/>
      <c r="O169" s="1594"/>
      <c r="P169" s="1595"/>
      <c r="X169" s="1585" t="s">
        <v>1253</v>
      </c>
      <c r="Y169" s="119" t="n">
        <v>209</v>
      </c>
    </row>
    <row r="170" customFormat="false" ht="15" hidden="false" customHeight="false" outlineLevel="0" collapsed="false">
      <c r="A170" s="2" t="n">
        <v>2023</v>
      </c>
      <c r="B170" s="119" t="n">
        <v>255</v>
      </c>
      <c r="C170" s="1585" t="s">
        <v>2606</v>
      </c>
      <c r="D170" s="1586" t="n">
        <v>391</v>
      </c>
      <c r="E170" s="1587" t="n">
        <v>391</v>
      </c>
      <c r="F170" s="1588" t="n">
        <v>114.19</v>
      </c>
      <c r="G170" s="1588" t="n">
        <v>240.4</v>
      </c>
      <c r="H170" s="1589" t="n">
        <v>1000</v>
      </c>
      <c r="I170" s="1590" t="n">
        <v>3800</v>
      </c>
      <c r="J170" s="1591" t="e">
        <f aca="false">F170/(0.7*_xlfn.single(RR))</f>
        <v>#NAME?</v>
      </c>
      <c r="K170" s="1591" t="e">
        <f aca="false">G170/(0.7*_xlfn.single(RR))</f>
        <v>#NAME?</v>
      </c>
      <c r="L170" s="1592"/>
      <c r="M170" s="1592"/>
      <c r="N170" s="1593"/>
      <c r="O170" s="1594"/>
      <c r="P170" s="1595"/>
      <c r="X170" s="1585" t="s">
        <v>2606</v>
      </c>
      <c r="Y170" s="119" t="n">
        <v>255</v>
      </c>
    </row>
    <row r="171" customFormat="false" ht="15" hidden="false" customHeight="false" outlineLevel="0" collapsed="false">
      <c r="A171" s="2" t="n">
        <v>2023</v>
      </c>
      <c r="B171" s="119" t="n">
        <v>317</v>
      </c>
      <c r="C171" s="1585" t="s">
        <v>1347</v>
      </c>
      <c r="D171" s="1586" t="n">
        <v>391</v>
      </c>
      <c r="E171" s="1587" t="n">
        <v>391</v>
      </c>
      <c r="F171" s="1588" t="n">
        <v>114.19</v>
      </c>
      <c r="G171" s="1588" t="n">
        <v>240.4</v>
      </c>
      <c r="H171" s="1589" t="n">
        <v>1000</v>
      </c>
      <c r="I171" s="1590" t="n">
        <v>3800</v>
      </c>
      <c r="J171" s="1591" t="e">
        <f aca="false">F171/(0.7*_xlfn.single(RR))</f>
        <v>#NAME?</v>
      </c>
      <c r="K171" s="1591" t="e">
        <f aca="false">G171/(0.7*_xlfn.single(RR))</f>
        <v>#NAME?</v>
      </c>
      <c r="L171" s="1592"/>
      <c r="M171" s="1592"/>
      <c r="N171" s="1593"/>
      <c r="O171" s="1594"/>
      <c r="P171" s="1595"/>
      <c r="X171" s="1585" t="s">
        <v>1347</v>
      </c>
      <c r="Y171" s="119" t="n">
        <v>317</v>
      </c>
    </row>
    <row r="172" customFormat="false" ht="15" hidden="false" customHeight="false" outlineLevel="0" collapsed="false">
      <c r="A172" s="2" t="n">
        <v>2023</v>
      </c>
      <c r="B172" s="119" t="n">
        <v>318</v>
      </c>
      <c r="C172" s="1585" t="s">
        <v>1348</v>
      </c>
      <c r="D172" s="1586" t="n">
        <v>391</v>
      </c>
      <c r="E172" s="1587" t="n">
        <v>391</v>
      </c>
      <c r="F172" s="1588" t="n">
        <v>114.19</v>
      </c>
      <c r="G172" s="1588" t="n">
        <v>240.4</v>
      </c>
      <c r="H172" s="1589" t="n">
        <v>1000</v>
      </c>
      <c r="I172" s="1590" t="n">
        <v>3800</v>
      </c>
      <c r="J172" s="1591" t="e">
        <f aca="false">F172/(0.7*_xlfn.single(RR))</f>
        <v>#NAME?</v>
      </c>
      <c r="K172" s="1591" t="e">
        <f aca="false">G172/(0.7*_xlfn.single(RR))</f>
        <v>#NAME?</v>
      </c>
      <c r="L172" s="1592"/>
      <c r="M172" s="1592"/>
      <c r="N172" s="1593"/>
      <c r="O172" s="1594"/>
      <c r="P172" s="1595"/>
      <c r="X172" s="1585" t="s">
        <v>1348</v>
      </c>
      <c r="Y172" s="119" t="n">
        <v>318</v>
      </c>
    </row>
    <row r="173" customFormat="false" ht="15" hidden="false" customHeight="false" outlineLevel="0" collapsed="false">
      <c r="A173" s="2" t="n">
        <v>2023</v>
      </c>
      <c r="B173" s="119" t="n">
        <v>109</v>
      </c>
      <c r="C173" s="1585" t="s">
        <v>2607</v>
      </c>
      <c r="D173" s="1586" t="n">
        <v>2558</v>
      </c>
      <c r="E173" s="1587" t="n">
        <v>2558</v>
      </c>
      <c r="F173" s="1588" t="n">
        <v>480.81</v>
      </c>
      <c r="G173" s="1588" t="n">
        <v>1442.43</v>
      </c>
      <c r="H173" s="1589" t="n">
        <v>1939.8</v>
      </c>
      <c r="I173" s="1590" t="n">
        <v>8000</v>
      </c>
      <c r="J173" s="1591" t="e">
        <f aca="false">F173/(0.7*_xlfn.single(RR))</f>
        <v>#NAME?</v>
      </c>
      <c r="K173" s="1591" t="e">
        <f aca="false">G173/(0.7*_xlfn.single(RR))</f>
        <v>#NAME?</v>
      </c>
      <c r="L173" s="1592"/>
      <c r="M173" s="1592"/>
      <c r="N173" s="1593"/>
      <c r="O173" s="1594"/>
      <c r="P173" s="1595" t="s">
        <v>2524</v>
      </c>
      <c r="X173" s="1585" t="s">
        <v>2607</v>
      </c>
      <c r="Y173" s="119" t="n">
        <v>109</v>
      </c>
    </row>
    <row r="174" customFormat="false" ht="15" hidden="false" customHeight="false" outlineLevel="0" collapsed="false">
      <c r="A174" s="2" t="n">
        <v>2023</v>
      </c>
      <c r="B174" s="119" t="n">
        <v>271</v>
      </c>
      <c r="C174" s="1585" t="s">
        <v>1316</v>
      </c>
      <c r="D174" s="1586" t="n">
        <v>391</v>
      </c>
      <c r="E174" s="1587" t="n">
        <v>391</v>
      </c>
      <c r="F174" s="1588" t="n">
        <v>114.19</v>
      </c>
      <c r="G174" s="1588" t="n">
        <v>240.4</v>
      </c>
      <c r="H174" s="1589" t="n">
        <v>1000</v>
      </c>
      <c r="I174" s="1590" t="n">
        <v>3800</v>
      </c>
      <c r="J174" s="1591" t="e">
        <f aca="false">F174/(0.7*_xlfn.single(RR))</f>
        <v>#NAME?</v>
      </c>
      <c r="K174" s="1591" t="e">
        <f aca="false">G174/(0.7*_xlfn.single(RR))</f>
        <v>#NAME?</v>
      </c>
      <c r="L174" s="1592"/>
      <c r="M174" s="1592"/>
      <c r="N174" s="1593"/>
      <c r="O174" s="1594"/>
      <c r="P174" s="1595"/>
      <c r="X174" s="1585" t="s">
        <v>1316</v>
      </c>
      <c r="Y174" s="119" t="n">
        <v>271</v>
      </c>
    </row>
    <row r="175" customFormat="false" ht="15" hidden="false" customHeight="false" outlineLevel="0" collapsed="false">
      <c r="A175" s="2" t="n">
        <v>2023</v>
      </c>
      <c r="B175" s="119" t="n">
        <v>265</v>
      </c>
      <c r="C175" s="1585" t="s">
        <v>1310</v>
      </c>
      <c r="D175" s="1586" t="n">
        <v>391</v>
      </c>
      <c r="E175" s="1587" t="n">
        <v>391</v>
      </c>
      <c r="F175" s="1588" t="n">
        <v>114.19</v>
      </c>
      <c r="G175" s="1588" t="n">
        <v>240.4</v>
      </c>
      <c r="H175" s="1589" t="n">
        <v>1000</v>
      </c>
      <c r="I175" s="1590" t="n">
        <v>3800</v>
      </c>
      <c r="J175" s="1591" t="e">
        <f aca="false">F175/(0.7*_xlfn.single(RR))</f>
        <v>#NAME?</v>
      </c>
      <c r="K175" s="1591" t="e">
        <f aca="false">G175/(0.7*_xlfn.single(RR))</f>
        <v>#NAME?</v>
      </c>
      <c r="L175" s="1592"/>
      <c r="M175" s="1592"/>
      <c r="N175" s="1593"/>
      <c r="O175" s="1594"/>
      <c r="P175" s="1595"/>
      <c r="X175" s="1585" t="s">
        <v>1310</v>
      </c>
      <c r="Y175" s="119" t="n">
        <v>265</v>
      </c>
    </row>
    <row r="176" customFormat="false" ht="15" hidden="false" customHeight="false" outlineLevel="0" collapsed="false">
      <c r="A176" s="2" t="n">
        <v>2023</v>
      </c>
      <c r="B176" s="119" t="n">
        <v>105</v>
      </c>
      <c r="C176" s="1585" t="s">
        <v>2608</v>
      </c>
      <c r="D176" s="1586" t="n">
        <v>2558</v>
      </c>
      <c r="E176" s="1587" t="n">
        <v>2558</v>
      </c>
      <c r="F176" s="1588" t="n">
        <v>480.81</v>
      </c>
      <c r="G176" s="1588" t="n">
        <v>1442.43</v>
      </c>
      <c r="H176" s="1589" t="n">
        <v>1939.8</v>
      </c>
      <c r="I176" s="1590" t="n">
        <v>9500</v>
      </c>
      <c r="J176" s="1591" t="e">
        <f aca="false">F176/(0.7*_xlfn.single(RR))</f>
        <v>#NAME?</v>
      </c>
      <c r="K176" s="1591" t="e">
        <f aca="false">G176/(0.7*_xlfn.single(RR))</f>
        <v>#NAME?</v>
      </c>
      <c r="L176" s="1592"/>
      <c r="M176" s="1592"/>
      <c r="N176" s="1593"/>
      <c r="O176" s="1594"/>
      <c r="P176" s="1595" t="s">
        <v>2524</v>
      </c>
      <c r="X176" s="1585" t="s">
        <v>2608</v>
      </c>
      <c r="Y176" s="119" t="n">
        <v>105</v>
      </c>
    </row>
    <row r="177" customFormat="false" ht="15" hidden="false" customHeight="false" outlineLevel="0" collapsed="false">
      <c r="A177" s="2" t="n">
        <v>2023</v>
      </c>
      <c r="B177" s="119" t="n">
        <v>153</v>
      </c>
      <c r="C177" s="1585" t="s">
        <v>1090</v>
      </c>
      <c r="D177" s="1586" t="n">
        <v>3131</v>
      </c>
      <c r="E177" s="1587" t="n">
        <v>3131</v>
      </c>
      <c r="F177" s="1588" t="n">
        <v>360.61</v>
      </c>
      <c r="G177" s="1588" t="n">
        <v>1352.28</v>
      </c>
      <c r="H177" s="1589" t="n">
        <v>0</v>
      </c>
      <c r="I177" s="1590" t="n">
        <v>5200</v>
      </c>
      <c r="J177" s="1591" t="e">
        <f aca="false">F177/(0.7*_xlfn.single(RR))</f>
        <v>#NAME?</v>
      </c>
      <c r="K177" s="1591" t="e">
        <f aca="false">G177/(0.7*_xlfn.single(RR))</f>
        <v>#NAME?</v>
      </c>
      <c r="L177" s="1592"/>
      <c r="M177" s="1592"/>
      <c r="N177" s="1593"/>
      <c r="O177" s="1594"/>
      <c r="P177" s="1595" t="s">
        <v>2524</v>
      </c>
      <c r="X177" s="1585" t="s">
        <v>1090</v>
      </c>
      <c r="Y177" s="119" t="n">
        <v>153</v>
      </c>
    </row>
    <row r="178" customFormat="false" ht="15" hidden="false" customHeight="false" outlineLevel="0" collapsed="false">
      <c r="A178" s="2" t="n">
        <v>2023</v>
      </c>
      <c r="B178" s="119" t="n">
        <v>211</v>
      </c>
      <c r="C178" s="1585" t="s">
        <v>1255</v>
      </c>
      <c r="D178" s="1586" t="n">
        <v>2558</v>
      </c>
      <c r="E178" s="1587" t="n">
        <v>2558</v>
      </c>
      <c r="F178" s="1588" t="n">
        <v>480.81</v>
      </c>
      <c r="G178" s="1588" t="n">
        <v>1442.43</v>
      </c>
      <c r="H178" s="1589" t="n">
        <v>1939.72</v>
      </c>
      <c r="I178" s="1590" t="n">
        <v>6000</v>
      </c>
      <c r="J178" s="1591" t="e">
        <f aca="false">F178/(0.7*_xlfn.single(RR))</f>
        <v>#NAME?</v>
      </c>
      <c r="K178" s="1591" t="e">
        <f aca="false">G178/(0.7*_xlfn.single(RR))</f>
        <v>#NAME?</v>
      </c>
      <c r="L178" s="1592"/>
      <c r="M178" s="1592"/>
      <c r="N178" s="1593"/>
      <c r="O178" s="1594"/>
      <c r="P178" s="1595" t="s">
        <v>2524</v>
      </c>
      <c r="X178" s="1585" t="s">
        <v>1255</v>
      </c>
      <c r="Y178" s="119" t="n">
        <v>211</v>
      </c>
    </row>
    <row r="179" customFormat="false" ht="15" hidden="false" customHeight="false" outlineLevel="0" collapsed="false">
      <c r="A179" s="2" t="n">
        <v>2023</v>
      </c>
      <c r="B179" s="119" t="n">
        <v>266</v>
      </c>
      <c r="C179" s="1585" t="s">
        <v>1311</v>
      </c>
      <c r="D179" s="1586" t="n">
        <v>391</v>
      </c>
      <c r="E179" s="1587" t="n">
        <v>391</v>
      </c>
      <c r="F179" s="1588" t="n">
        <v>114.19</v>
      </c>
      <c r="G179" s="1588" t="n">
        <v>240.4</v>
      </c>
      <c r="H179" s="1589" t="n">
        <v>1000</v>
      </c>
      <c r="I179" s="1590" t="n">
        <v>3800</v>
      </c>
      <c r="J179" s="1591" t="e">
        <f aca="false">F179/(0.7*_xlfn.single(RR))</f>
        <v>#NAME?</v>
      </c>
      <c r="K179" s="1591" t="e">
        <f aca="false">G179/(0.7*_xlfn.single(RR))</f>
        <v>#NAME?</v>
      </c>
      <c r="L179" s="1592"/>
      <c r="M179" s="1592"/>
      <c r="N179" s="1593"/>
      <c r="O179" s="1594"/>
      <c r="P179" s="1595"/>
      <c r="X179" s="1585" t="s">
        <v>1311</v>
      </c>
      <c r="Y179" s="119" t="n">
        <v>266</v>
      </c>
    </row>
    <row r="180" customFormat="false" ht="15" hidden="false" customHeight="false" outlineLevel="0" collapsed="false">
      <c r="A180" s="2" t="n">
        <v>2023</v>
      </c>
      <c r="B180" s="119" t="n">
        <v>336</v>
      </c>
      <c r="C180" s="1585" t="s">
        <v>2609</v>
      </c>
      <c r="D180" s="1586" t="n">
        <v>391</v>
      </c>
      <c r="E180" s="1587" t="n">
        <v>391</v>
      </c>
      <c r="F180" s="1588" t="n">
        <v>114.19</v>
      </c>
      <c r="G180" s="1588" t="n">
        <v>240.4</v>
      </c>
      <c r="H180" s="1589" t="n">
        <v>400</v>
      </c>
      <c r="I180" s="1590" t="n">
        <v>1000</v>
      </c>
      <c r="J180" s="1591" t="e">
        <f aca="false">F180/(0.7*_xlfn.single(RR))</f>
        <v>#NAME?</v>
      </c>
      <c r="K180" s="1591" t="e">
        <f aca="false">G180/(0.7*_xlfn.single(RR))</f>
        <v>#NAME?</v>
      </c>
      <c r="L180" s="1592"/>
      <c r="M180" s="1592"/>
      <c r="N180" s="1593"/>
      <c r="O180" s="1594"/>
      <c r="P180" s="1595"/>
      <c r="X180" s="1585" t="s">
        <v>2609</v>
      </c>
      <c r="Y180" s="119" t="n">
        <v>336</v>
      </c>
    </row>
    <row r="181" customFormat="false" ht="15" hidden="false" customHeight="false" outlineLevel="0" collapsed="false">
      <c r="A181" s="2" t="n">
        <v>2023</v>
      </c>
      <c r="B181" s="119" t="n">
        <v>337</v>
      </c>
      <c r="C181" s="1585" t="s">
        <v>2610</v>
      </c>
      <c r="D181" s="1586" t="n">
        <v>391</v>
      </c>
      <c r="E181" s="1587" t="n">
        <v>391</v>
      </c>
      <c r="F181" s="1588" t="n">
        <v>114.19</v>
      </c>
      <c r="G181" s="1588" t="n">
        <v>240.4</v>
      </c>
      <c r="H181" s="1589" t="n">
        <v>400</v>
      </c>
      <c r="I181" s="1590" t="n">
        <v>1000</v>
      </c>
      <c r="J181" s="1591" t="e">
        <f aca="false">F181/(0.7*_xlfn.single(RR))</f>
        <v>#NAME?</v>
      </c>
      <c r="K181" s="1591" t="e">
        <f aca="false">G181/(0.7*_xlfn.single(RR))</f>
        <v>#NAME?</v>
      </c>
      <c r="L181" s="1592"/>
      <c r="M181" s="1592"/>
      <c r="N181" s="1593"/>
      <c r="O181" s="1594"/>
      <c r="P181" s="1595"/>
      <c r="X181" s="1585" t="s">
        <v>2610</v>
      </c>
      <c r="Y181" s="119" t="n">
        <v>337</v>
      </c>
    </row>
    <row r="182" customFormat="false" ht="15" hidden="false" customHeight="false" outlineLevel="0" collapsed="false">
      <c r="A182" s="2" t="n">
        <v>2023</v>
      </c>
      <c r="B182" s="119" t="n">
        <v>306</v>
      </c>
      <c r="C182" s="1585" t="s">
        <v>1344</v>
      </c>
      <c r="D182" s="1586" t="n">
        <v>391</v>
      </c>
      <c r="E182" s="1587" t="n">
        <v>391</v>
      </c>
      <c r="F182" s="1588" t="n">
        <v>114.19</v>
      </c>
      <c r="G182" s="1588" t="n">
        <v>240.4</v>
      </c>
      <c r="H182" s="1589" t="n">
        <v>400</v>
      </c>
      <c r="I182" s="1590" t="n">
        <v>1000</v>
      </c>
      <c r="J182" s="1591" t="e">
        <f aca="false">F182/(0.7*_xlfn.single(RR))</f>
        <v>#NAME?</v>
      </c>
      <c r="K182" s="1591" t="e">
        <f aca="false">G182/(0.7*_xlfn.single(RR))</f>
        <v>#NAME?</v>
      </c>
      <c r="L182" s="1592"/>
      <c r="M182" s="1592"/>
      <c r="N182" s="1593"/>
      <c r="O182" s="1594"/>
      <c r="P182" s="1595"/>
      <c r="X182" s="1585" t="s">
        <v>1344</v>
      </c>
      <c r="Y182" s="119" t="n">
        <v>306</v>
      </c>
    </row>
    <row r="183" customFormat="false" ht="15" hidden="false" customHeight="false" outlineLevel="0" collapsed="false">
      <c r="A183" s="2" t="n">
        <v>2023</v>
      </c>
      <c r="B183" s="119" t="n">
        <v>305</v>
      </c>
      <c r="C183" s="1585" t="s">
        <v>1343</v>
      </c>
      <c r="D183" s="1586" t="n">
        <v>391</v>
      </c>
      <c r="E183" s="1587" t="n">
        <v>391</v>
      </c>
      <c r="F183" s="1588" t="n">
        <v>114.19</v>
      </c>
      <c r="G183" s="1588" t="n">
        <v>240.4</v>
      </c>
      <c r="H183" s="1589" t="n">
        <v>400</v>
      </c>
      <c r="I183" s="1590" t="n">
        <v>1000</v>
      </c>
      <c r="J183" s="1591" t="e">
        <f aca="false">F183/(0.7*_xlfn.single(RR))</f>
        <v>#NAME?</v>
      </c>
      <c r="K183" s="1591" t="e">
        <f aca="false">G183/(0.7*_xlfn.single(RR))</f>
        <v>#NAME?</v>
      </c>
      <c r="L183" s="1592"/>
      <c r="M183" s="1592"/>
      <c r="N183" s="1593"/>
      <c r="O183" s="1594"/>
      <c r="P183" s="1595"/>
      <c r="X183" s="1585" t="s">
        <v>1343</v>
      </c>
      <c r="Y183" s="119" t="n">
        <v>305</v>
      </c>
    </row>
    <row r="184" customFormat="false" ht="15" hidden="false" customHeight="false" outlineLevel="0" collapsed="false">
      <c r="A184" s="2" t="n">
        <v>2023</v>
      </c>
      <c r="B184" s="119" t="n">
        <v>307</v>
      </c>
      <c r="C184" s="1585" t="s">
        <v>1345</v>
      </c>
      <c r="D184" s="1586" t="n">
        <v>391</v>
      </c>
      <c r="E184" s="1587" t="n">
        <v>391</v>
      </c>
      <c r="F184" s="1588" t="n">
        <v>114.19</v>
      </c>
      <c r="G184" s="1588" t="n">
        <v>240.4</v>
      </c>
      <c r="H184" s="1589" t="n">
        <v>400</v>
      </c>
      <c r="I184" s="1590" t="n">
        <v>1000</v>
      </c>
      <c r="J184" s="1591" t="e">
        <f aca="false">F184/(0.7*_xlfn.single(RR))</f>
        <v>#NAME?</v>
      </c>
      <c r="K184" s="1591" t="e">
        <f aca="false">G184/(0.7*_xlfn.single(RR))</f>
        <v>#NAME?</v>
      </c>
      <c r="L184" s="1592"/>
      <c r="M184" s="1592"/>
      <c r="N184" s="1593"/>
      <c r="O184" s="1594"/>
      <c r="P184" s="1595"/>
      <c r="X184" s="1585" t="s">
        <v>1345</v>
      </c>
      <c r="Y184" s="119" t="n">
        <v>307</v>
      </c>
    </row>
    <row r="185" customFormat="false" ht="15" hidden="false" customHeight="false" outlineLevel="0" collapsed="false">
      <c r="A185" s="2" t="n">
        <v>2023</v>
      </c>
      <c r="B185" s="119" t="n">
        <v>303</v>
      </c>
      <c r="C185" s="1585" t="s">
        <v>2611</v>
      </c>
      <c r="D185" s="1586" t="n">
        <v>0</v>
      </c>
      <c r="E185" s="1587" t="n">
        <v>0</v>
      </c>
      <c r="F185" s="1599" t="n">
        <v>1E-005</v>
      </c>
      <c r="G185" s="1599" t="n">
        <v>1E-005</v>
      </c>
      <c r="H185" s="1589" t="n">
        <v>0</v>
      </c>
      <c r="I185" s="1590" t="n">
        <v>0</v>
      </c>
      <c r="J185" s="1591" t="e">
        <f aca="false">F185/(0.7*_xlfn.single(RR))</f>
        <v>#NAME?</v>
      </c>
      <c r="K185" s="1591" t="e">
        <f aca="false">G185/(0.7*_xlfn.single(RR))</f>
        <v>#NAME?</v>
      </c>
      <c r="L185" s="1592"/>
      <c r="M185" s="1592"/>
      <c r="N185" s="1593"/>
      <c r="O185" s="1594"/>
      <c r="P185" s="1595"/>
      <c r="X185" s="1585" t="s">
        <v>2611</v>
      </c>
      <c r="Y185" s="119" t="n">
        <v>303</v>
      </c>
    </row>
    <row r="186" customFormat="false" ht="15" hidden="false" customHeight="false" outlineLevel="0" collapsed="false">
      <c r="A186" s="2" t="n">
        <v>2023</v>
      </c>
      <c r="B186" s="119" t="n">
        <v>302</v>
      </c>
      <c r="C186" s="1585" t="s">
        <v>2612</v>
      </c>
      <c r="D186" s="1586" t="n">
        <v>0</v>
      </c>
      <c r="E186" s="1587" t="n">
        <v>0</v>
      </c>
      <c r="F186" s="1599" t="n">
        <v>1E-005</v>
      </c>
      <c r="G186" s="1599" t="n">
        <v>1E-005</v>
      </c>
      <c r="H186" s="1589" t="n">
        <v>0</v>
      </c>
      <c r="I186" s="1590" t="n">
        <v>0</v>
      </c>
      <c r="J186" s="1591" t="e">
        <f aca="false">F186/(0.7*_xlfn.single(RR))</f>
        <v>#NAME?</v>
      </c>
      <c r="K186" s="1591" t="e">
        <f aca="false">G186/(0.7*_xlfn.single(RR))</f>
        <v>#NAME?</v>
      </c>
      <c r="L186" s="1592"/>
      <c r="M186" s="1592"/>
      <c r="N186" s="1593"/>
      <c r="O186" s="1594"/>
      <c r="P186" s="1595"/>
      <c r="X186" s="1585" t="s">
        <v>2612</v>
      </c>
      <c r="Y186" s="119" t="n">
        <v>302</v>
      </c>
    </row>
    <row r="187" customFormat="false" ht="15" hidden="false" customHeight="false" outlineLevel="0" collapsed="false">
      <c r="A187" s="2" t="n">
        <v>2023</v>
      </c>
      <c r="B187" s="119" t="n">
        <v>299</v>
      </c>
      <c r="C187" s="1585" t="s">
        <v>2613</v>
      </c>
      <c r="D187" s="1586" t="n">
        <v>391</v>
      </c>
      <c r="E187" s="1587" t="n">
        <v>391</v>
      </c>
      <c r="F187" s="1588" t="n">
        <v>114.19</v>
      </c>
      <c r="G187" s="1588" t="n">
        <v>240.4</v>
      </c>
      <c r="H187" s="1589" t="n">
        <v>400</v>
      </c>
      <c r="I187" s="1590" t="n">
        <v>1000</v>
      </c>
      <c r="J187" s="1591" t="e">
        <f aca="false">F187/(0.7*_xlfn.single(RR))</f>
        <v>#NAME?</v>
      </c>
      <c r="K187" s="1591" t="e">
        <f aca="false">G187/(0.7*_xlfn.single(RR))</f>
        <v>#NAME?</v>
      </c>
      <c r="L187" s="1592"/>
      <c r="M187" s="1592"/>
      <c r="N187" s="1593"/>
      <c r="O187" s="1594"/>
      <c r="P187" s="1595"/>
      <c r="X187" s="1585" t="s">
        <v>2613</v>
      </c>
      <c r="Y187" s="119" t="n">
        <v>299</v>
      </c>
    </row>
    <row r="188" customFormat="false" ht="15" hidden="false" customHeight="false" outlineLevel="0" collapsed="false">
      <c r="A188" s="2" t="n">
        <v>2023</v>
      </c>
      <c r="B188" s="119" t="n">
        <v>298</v>
      </c>
      <c r="C188" s="1585" t="s">
        <v>2614</v>
      </c>
      <c r="D188" s="1586" t="n">
        <v>391</v>
      </c>
      <c r="E188" s="1587" t="n">
        <v>391</v>
      </c>
      <c r="F188" s="1588" t="n">
        <v>114.19</v>
      </c>
      <c r="G188" s="1588" t="n">
        <v>240.4</v>
      </c>
      <c r="H188" s="1589" t="n">
        <v>400</v>
      </c>
      <c r="I188" s="1590" t="n">
        <v>1000</v>
      </c>
      <c r="J188" s="1591" t="e">
        <f aca="false">F188/(0.7*_xlfn.single(RR))</f>
        <v>#NAME?</v>
      </c>
      <c r="K188" s="1591" t="e">
        <f aca="false">G188/(0.7*_xlfn.single(RR))</f>
        <v>#NAME?</v>
      </c>
      <c r="L188" s="1592"/>
      <c r="M188" s="1592"/>
      <c r="N188" s="1593"/>
      <c r="O188" s="1594"/>
      <c r="P188" s="1595"/>
      <c r="X188" s="1585" t="s">
        <v>2614</v>
      </c>
      <c r="Y188" s="119" t="n">
        <v>298</v>
      </c>
    </row>
    <row r="189" customFormat="false" ht="15" hidden="false" customHeight="false" outlineLevel="0" collapsed="false">
      <c r="A189" s="2" t="n">
        <v>2023</v>
      </c>
      <c r="B189" s="119" t="n">
        <v>241</v>
      </c>
      <c r="C189" s="1585" t="s">
        <v>2615</v>
      </c>
      <c r="D189" s="1586" t="n">
        <v>391</v>
      </c>
      <c r="E189" s="1587" t="n">
        <v>391</v>
      </c>
      <c r="F189" s="1588" t="n">
        <v>114.19</v>
      </c>
      <c r="G189" s="1588" t="n">
        <v>240.4</v>
      </c>
      <c r="H189" s="1589" t="n">
        <v>400</v>
      </c>
      <c r="I189" s="1590" t="n">
        <v>1000</v>
      </c>
      <c r="J189" s="1591" t="e">
        <f aca="false">F189/(0.7*_xlfn.single(RR))</f>
        <v>#NAME?</v>
      </c>
      <c r="K189" s="1591" t="e">
        <f aca="false">G189/(0.7*_xlfn.single(RR))</f>
        <v>#NAME?</v>
      </c>
      <c r="L189" s="1592"/>
      <c r="M189" s="1592"/>
      <c r="N189" s="1593"/>
      <c r="O189" s="1594"/>
      <c r="P189" s="1595"/>
      <c r="X189" s="1585" t="s">
        <v>2615</v>
      </c>
      <c r="Y189" s="119" t="n">
        <v>241</v>
      </c>
    </row>
    <row r="190" customFormat="false" ht="15" hidden="false" customHeight="false" outlineLevel="0" collapsed="false">
      <c r="A190" s="2" t="n">
        <v>2023</v>
      </c>
      <c r="B190" s="119" t="n">
        <v>244</v>
      </c>
      <c r="C190" s="1585" t="s">
        <v>2616</v>
      </c>
      <c r="D190" s="1586" t="n">
        <v>391</v>
      </c>
      <c r="E190" s="1587" t="n">
        <v>391</v>
      </c>
      <c r="F190" s="1588" t="n">
        <v>114.19</v>
      </c>
      <c r="G190" s="1588" t="n">
        <v>240.4</v>
      </c>
      <c r="H190" s="1589" t="n">
        <v>400</v>
      </c>
      <c r="I190" s="1590" t="n">
        <v>1000</v>
      </c>
      <c r="J190" s="1591" t="e">
        <f aca="false">F190/(0.7*_xlfn.single(RR))</f>
        <v>#NAME?</v>
      </c>
      <c r="K190" s="1591" t="e">
        <f aca="false">G190/(0.7*_xlfn.single(RR))</f>
        <v>#NAME?</v>
      </c>
      <c r="L190" s="1592"/>
      <c r="M190" s="1592"/>
      <c r="N190" s="1593"/>
      <c r="O190" s="1594"/>
      <c r="P190" s="1595"/>
      <c r="X190" s="1585" t="s">
        <v>2616</v>
      </c>
      <c r="Y190" s="119" t="n">
        <v>244</v>
      </c>
    </row>
    <row r="191" customFormat="false" ht="15" hidden="false" customHeight="false" outlineLevel="0" collapsed="false">
      <c r="A191" s="2" t="n">
        <v>2023</v>
      </c>
      <c r="B191" s="119" t="n">
        <v>338</v>
      </c>
      <c r="C191" s="1585" t="s">
        <v>2617</v>
      </c>
      <c r="D191" s="1586" t="n">
        <v>391</v>
      </c>
      <c r="E191" s="1587" t="n">
        <v>391</v>
      </c>
      <c r="F191" s="1588" t="n">
        <v>114.19</v>
      </c>
      <c r="G191" s="1588" t="n">
        <v>240.4</v>
      </c>
      <c r="H191" s="1589" t="n">
        <v>400</v>
      </c>
      <c r="I191" s="1590" t="n">
        <v>1000</v>
      </c>
      <c r="J191" s="1591" t="e">
        <f aca="false">F191/(0.7*_xlfn.single(RR))</f>
        <v>#NAME?</v>
      </c>
      <c r="K191" s="1591" t="e">
        <f aca="false">G191/(0.7*_xlfn.single(RR))</f>
        <v>#NAME?</v>
      </c>
      <c r="L191" s="1592"/>
      <c r="M191" s="1592"/>
      <c r="N191" s="1593"/>
      <c r="O191" s="1594"/>
      <c r="P191" s="1595"/>
      <c r="X191" s="1585" t="s">
        <v>2617</v>
      </c>
      <c r="Y191" s="119" t="n">
        <v>338</v>
      </c>
    </row>
    <row r="192" customFormat="false" ht="15" hidden="false" customHeight="false" outlineLevel="0" collapsed="false">
      <c r="A192" s="2" t="n">
        <v>2023</v>
      </c>
      <c r="B192" s="119" t="n">
        <v>243</v>
      </c>
      <c r="C192" s="1585" t="s">
        <v>2618</v>
      </c>
      <c r="D192" s="1586" t="n">
        <v>391</v>
      </c>
      <c r="E192" s="1587" t="n">
        <v>391</v>
      </c>
      <c r="F192" s="1588" t="n">
        <v>114.19</v>
      </c>
      <c r="G192" s="1588" t="n">
        <v>240.4</v>
      </c>
      <c r="H192" s="1589" t="n">
        <v>400</v>
      </c>
      <c r="I192" s="1590" t="n">
        <v>1000</v>
      </c>
      <c r="J192" s="1591" t="e">
        <f aca="false">F192/(0.7*_xlfn.single(RR))</f>
        <v>#NAME?</v>
      </c>
      <c r="K192" s="1591" t="e">
        <f aca="false">G192/(0.7*_xlfn.single(RR))</f>
        <v>#NAME?</v>
      </c>
      <c r="L192" s="1592"/>
      <c r="M192" s="1592"/>
      <c r="N192" s="1593"/>
      <c r="O192" s="1594"/>
      <c r="P192" s="1595"/>
      <c r="X192" s="1585" t="s">
        <v>2618</v>
      </c>
      <c r="Y192" s="119" t="n">
        <v>243</v>
      </c>
    </row>
    <row r="193" customFormat="false" ht="15" hidden="false" customHeight="false" outlineLevel="0" collapsed="false">
      <c r="A193" s="2" t="n">
        <v>2023</v>
      </c>
      <c r="B193" s="119" t="n">
        <v>242</v>
      </c>
      <c r="C193" s="1585" t="s">
        <v>2619</v>
      </c>
      <c r="D193" s="1586" t="n">
        <v>391</v>
      </c>
      <c r="E193" s="1587" t="n">
        <v>391</v>
      </c>
      <c r="F193" s="1588" t="n">
        <v>114.19</v>
      </c>
      <c r="G193" s="1588" t="n">
        <v>240.4</v>
      </c>
      <c r="H193" s="1589" t="n">
        <v>400</v>
      </c>
      <c r="I193" s="1590" t="n">
        <v>1000</v>
      </c>
      <c r="J193" s="1591" t="e">
        <f aca="false">F193/(0.7*_xlfn.single(RR))</f>
        <v>#NAME?</v>
      </c>
      <c r="K193" s="1591" t="e">
        <f aca="false">G193/(0.7*_xlfn.single(RR))</f>
        <v>#NAME?</v>
      </c>
      <c r="L193" s="1592"/>
      <c r="M193" s="1592"/>
      <c r="N193" s="1593"/>
      <c r="O193" s="1594"/>
      <c r="P193" s="1595"/>
      <c r="X193" s="1585" t="s">
        <v>2619</v>
      </c>
      <c r="Y193" s="119" t="n">
        <v>242</v>
      </c>
    </row>
    <row r="194" customFormat="false" ht="15" hidden="false" customHeight="false" outlineLevel="0" collapsed="false">
      <c r="A194" s="2" t="n">
        <v>2023</v>
      </c>
      <c r="B194" s="119" t="n">
        <v>339</v>
      </c>
      <c r="C194" s="1585" t="s">
        <v>2620</v>
      </c>
      <c r="D194" s="1586" t="n">
        <v>391</v>
      </c>
      <c r="E194" s="1587" t="n">
        <v>391</v>
      </c>
      <c r="F194" s="1588" t="n">
        <v>114.19</v>
      </c>
      <c r="G194" s="1588" t="n">
        <v>240.4</v>
      </c>
      <c r="H194" s="1589" t="n">
        <v>400</v>
      </c>
      <c r="I194" s="1590" t="n">
        <v>1000</v>
      </c>
      <c r="J194" s="1591" t="e">
        <f aca="false">F194/(0.7*_xlfn.single(RR))</f>
        <v>#NAME?</v>
      </c>
      <c r="K194" s="1591" t="e">
        <f aca="false">G194/(0.7*_xlfn.single(RR))</f>
        <v>#NAME?</v>
      </c>
      <c r="L194" s="1592"/>
      <c r="M194" s="1592"/>
      <c r="N194" s="1593"/>
      <c r="O194" s="1594"/>
      <c r="P194" s="1595"/>
      <c r="X194" s="1585" t="s">
        <v>2620</v>
      </c>
      <c r="Y194" s="119" t="n">
        <v>339</v>
      </c>
    </row>
    <row r="195" customFormat="false" ht="15" hidden="false" customHeight="false" outlineLevel="0" collapsed="false">
      <c r="A195" s="2" t="n">
        <v>2023</v>
      </c>
      <c r="B195" s="119" t="n">
        <v>340</v>
      </c>
      <c r="C195" s="1585" t="s">
        <v>2621</v>
      </c>
      <c r="D195" s="1586" t="n">
        <v>391</v>
      </c>
      <c r="E195" s="1587" t="n">
        <v>391</v>
      </c>
      <c r="F195" s="1588" t="n">
        <v>114.19</v>
      </c>
      <c r="G195" s="1588" t="n">
        <v>240.4</v>
      </c>
      <c r="H195" s="1589" t="n">
        <v>400</v>
      </c>
      <c r="I195" s="1590" t="n">
        <v>1000</v>
      </c>
      <c r="J195" s="1591" t="e">
        <f aca="false">F195/(0.7*_xlfn.single(RR))</f>
        <v>#NAME?</v>
      </c>
      <c r="K195" s="1591" t="e">
        <f aca="false">G195/(0.7*_xlfn.single(RR))</f>
        <v>#NAME?</v>
      </c>
      <c r="L195" s="1592"/>
      <c r="M195" s="1592"/>
      <c r="N195" s="1593"/>
      <c r="O195" s="1594"/>
      <c r="P195" s="1595"/>
      <c r="X195" s="1585" t="s">
        <v>2621</v>
      </c>
      <c r="Y195" s="119" t="n">
        <v>340</v>
      </c>
    </row>
    <row r="196" customFormat="false" ht="15" hidden="false" customHeight="false" outlineLevel="0" collapsed="false">
      <c r="A196" s="2" t="n">
        <v>2023</v>
      </c>
      <c r="B196" s="119" t="n">
        <v>245</v>
      </c>
      <c r="C196" s="1585" t="s">
        <v>2622</v>
      </c>
      <c r="D196" s="1586" t="n">
        <v>391</v>
      </c>
      <c r="E196" s="1587" t="n">
        <v>391</v>
      </c>
      <c r="F196" s="1588" t="n">
        <v>114.19</v>
      </c>
      <c r="G196" s="1588" t="n">
        <v>240.4</v>
      </c>
      <c r="H196" s="1589" t="n">
        <v>400</v>
      </c>
      <c r="I196" s="1590" t="n">
        <v>1000</v>
      </c>
      <c r="J196" s="1591" t="e">
        <f aca="false">F196/(0.7*_xlfn.single(RR))</f>
        <v>#NAME?</v>
      </c>
      <c r="K196" s="1591" t="e">
        <f aca="false">G196/(0.7*_xlfn.single(RR))</f>
        <v>#NAME?</v>
      </c>
      <c r="L196" s="1592"/>
      <c r="M196" s="1592"/>
      <c r="N196" s="1593"/>
      <c r="O196" s="1594"/>
      <c r="P196" s="1595"/>
      <c r="X196" s="1585" t="s">
        <v>2622</v>
      </c>
      <c r="Y196" s="119" t="n">
        <v>245</v>
      </c>
    </row>
    <row r="197" customFormat="false" ht="15" hidden="false" customHeight="false" outlineLevel="0" collapsed="false">
      <c r="A197" s="2" t="n">
        <v>2023</v>
      </c>
      <c r="B197" s="119" t="n">
        <v>246</v>
      </c>
      <c r="C197" s="1585" t="s">
        <v>2623</v>
      </c>
      <c r="D197" s="1586" t="n">
        <v>391</v>
      </c>
      <c r="E197" s="1587" t="n">
        <v>391</v>
      </c>
      <c r="F197" s="1588" t="n">
        <v>114.19</v>
      </c>
      <c r="G197" s="1588" t="n">
        <v>240.4</v>
      </c>
      <c r="H197" s="1589" t="n">
        <v>400</v>
      </c>
      <c r="I197" s="1590" t="n">
        <v>1000</v>
      </c>
      <c r="J197" s="1591" t="e">
        <f aca="false">F197/(0.7*_xlfn.single(RR))</f>
        <v>#NAME?</v>
      </c>
      <c r="K197" s="1591" t="e">
        <f aca="false">G197/(0.7*_xlfn.single(RR))</f>
        <v>#NAME?</v>
      </c>
      <c r="L197" s="1592"/>
      <c r="M197" s="1592"/>
      <c r="N197" s="1593"/>
      <c r="O197" s="1594"/>
      <c r="P197" s="1595"/>
      <c r="X197" s="1585" t="s">
        <v>2623</v>
      </c>
      <c r="Y197" s="119" t="n">
        <v>246</v>
      </c>
    </row>
    <row r="198" customFormat="false" ht="15" hidden="false" customHeight="false" outlineLevel="0" collapsed="false">
      <c r="A198" s="2" t="n">
        <v>2023</v>
      </c>
      <c r="B198" s="119" t="n">
        <v>10</v>
      </c>
      <c r="C198" s="1585" t="s">
        <v>1002</v>
      </c>
      <c r="D198" s="1586" t="n">
        <v>391</v>
      </c>
      <c r="E198" s="1587" t="n">
        <v>391</v>
      </c>
      <c r="F198" s="1588" t="n">
        <v>114.19</v>
      </c>
      <c r="G198" s="1588" t="n">
        <v>240.4</v>
      </c>
      <c r="H198" s="1589" t="n">
        <v>365.73</v>
      </c>
      <c r="I198" s="1590" t="n">
        <v>600</v>
      </c>
      <c r="J198" s="1591" t="e">
        <f aca="false">F198/(0.7*_xlfn.single(RR))</f>
        <v>#NAME?</v>
      </c>
      <c r="K198" s="1591" t="e">
        <f aca="false">G198/(0.7*_xlfn.single(RR))</f>
        <v>#NAME?</v>
      </c>
      <c r="L198" s="1592"/>
      <c r="M198" s="1592"/>
      <c r="N198" s="1593"/>
      <c r="O198" s="1594"/>
      <c r="P198" s="1595" t="s">
        <v>2524</v>
      </c>
      <c r="X198" s="1585" t="s">
        <v>1002</v>
      </c>
      <c r="Y198" s="119" t="n">
        <v>10</v>
      </c>
    </row>
    <row r="199" customFormat="false" ht="15" hidden="false" customHeight="false" outlineLevel="0" collapsed="false">
      <c r="A199" s="2" t="n">
        <v>2023</v>
      </c>
      <c r="B199" s="119" t="n">
        <v>319</v>
      </c>
      <c r="C199" s="1585" t="s">
        <v>1350</v>
      </c>
      <c r="D199" s="1586" t="n">
        <v>391</v>
      </c>
      <c r="E199" s="1587" t="n">
        <v>391</v>
      </c>
      <c r="F199" s="1588" t="n">
        <v>114.19</v>
      </c>
      <c r="G199" s="1588" t="n">
        <v>240.4</v>
      </c>
      <c r="H199" s="1589" t="n">
        <v>1000</v>
      </c>
      <c r="I199" s="1590" t="n">
        <v>3800</v>
      </c>
      <c r="J199" s="1591" t="e">
        <f aca="false">F199/(0.7*_xlfn.single(RR))</f>
        <v>#NAME?</v>
      </c>
      <c r="K199" s="1591" t="e">
        <f aca="false">G199/(0.7*_xlfn.single(RR))</f>
        <v>#NAME?</v>
      </c>
      <c r="L199" s="1592"/>
      <c r="M199" s="1592"/>
      <c r="N199" s="1593"/>
      <c r="O199" s="1594"/>
      <c r="P199" s="1595"/>
      <c r="X199" s="1585" t="s">
        <v>1350</v>
      </c>
      <c r="Y199" s="119" t="n">
        <v>319</v>
      </c>
    </row>
    <row r="200" customFormat="false" ht="15" hidden="false" customHeight="false" outlineLevel="0" collapsed="false">
      <c r="A200" s="2" t="n">
        <v>2023</v>
      </c>
      <c r="B200" s="119" t="n">
        <v>223</v>
      </c>
      <c r="C200" s="1585" t="s">
        <v>1280</v>
      </c>
      <c r="D200" s="1586" t="n">
        <v>391</v>
      </c>
      <c r="E200" s="1587" t="n">
        <v>391</v>
      </c>
      <c r="F200" s="1588" t="n">
        <v>114.19</v>
      </c>
      <c r="G200" s="1588" t="n">
        <v>270.46</v>
      </c>
      <c r="H200" s="1589" t="n">
        <v>700</v>
      </c>
      <c r="I200" s="1590" t="n">
        <v>1800</v>
      </c>
      <c r="J200" s="1591" t="e">
        <f aca="false">F200/(0.7*_xlfn.single(RR))</f>
        <v>#NAME?</v>
      </c>
      <c r="K200" s="1591" t="e">
        <f aca="false">G200/(0.7*_xlfn.single(RR))</f>
        <v>#NAME?</v>
      </c>
      <c r="L200" s="1592"/>
      <c r="M200" s="1592"/>
      <c r="N200" s="1593"/>
      <c r="O200" s="1594"/>
      <c r="P200" s="1595"/>
      <c r="X200" s="1585" t="s">
        <v>1280</v>
      </c>
      <c r="Y200" s="119" t="n">
        <v>223</v>
      </c>
    </row>
    <row r="201" customFormat="false" ht="15" hidden="false" customHeight="false" outlineLevel="0" collapsed="false">
      <c r="A201" s="1296" t="n">
        <v>2023</v>
      </c>
      <c r="B201" s="1629" t="n">
        <v>331</v>
      </c>
      <c r="C201" s="1630" t="s">
        <v>1355</v>
      </c>
      <c r="D201" s="1631" t="n">
        <v>391</v>
      </c>
      <c r="E201" s="1632" t="n">
        <v>391</v>
      </c>
      <c r="F201" s="1588" t="n">
        <v>114.19</v>
      </c>
      <c r="G201" s="1588" t="n">
        <v>240.4</v>
      </c>
      <c r="H201" s="1589" t="n">
        <v>0</v>
      </c>
      <c r="I201" s="1590" t="n">
        <v>1200</v>
      </c>
      <c r="J201" s="1591" t="e">
        <f aca="false">F201/(0.7*_xlfn.single(RR))</f>
        <v>#NAME?</v>
      </c>
      <c r="K201" s="1591" t="e">
        <f aca="false">G201/(0.7*_xlfn.single(RR))</f>
        <v>#NAME?</v>
      </c>
      <c r="L201" s="1592"/>
      <c r="M201" s="1592"/>
      <c r="N201" s="1593"/>
      <c r="O201" s="1594"/>
      <c r="P201" s="1633"/>
      <c r="Q201" s="1296"/>
      <c r="R201" s="1296"/>
      <c r="S201" s="1296"/>
      <c r="T201" s="1296"/>
      <c r="U201" s="1296"/>
      <c r="V201" s="1296"/>
      <c r="W201" s="1296"/>
      <c r="X201" s="1630" t="s">
        <v>1355</v>
      </c>
      <c r="Y201" s="1629" t="n">
        <v>331</v>
      </c>
    </row>
    <row r="202" customFormat="false" ht="15" hidden="false" customHeight="false" outlineLevel="0" collapsed="false">
      <c r="A202" s="2" t="n">
        <v>2023</v>
      </c>
      <c r="B202" s="119" t="n">
        <v>332</v>
      </c>
      <c r="C202" s="1585" t="s">
        <v>1356</v>
      </c>
      <c r="D202" s="1586" t="n">
        <v>391</v>
      </c>
      <c r="E202" s="1587" t="n">
        <v>391</v>
      </c>
      <c r="F202" s="1588" t="n">
        <v>114.19</v>
      </c>
      <c r="G202" s="1588" t="n">
        <v>240.4</v>
      </c>
      <c r="H202" s="1589" t="n">
        <v>1000</v>
      </c>
      <c r="I202" s="1590" t="n">
        <v>3800</v>
      </c>
      <c r="J202" s="1591" t="e">
        <f aca="false">F202/(0.7*_xlfn.single(RR))</f>
        <v>#NAME?</v>
      </c>
      <c r="K202" s="1591" t="e">
        <f aca="false">G202/(0.7*_xlfn.single(RR))</f>
        <v>#NAME?</v>
      </c>
      <c r="L202" s="1592"/>
      <c r="M202" s="1592"/>
      <c r="N202" s="1593"/>
      <c r="O202" s="1594"/>
      <c r="P202" s="1595"/>
      <c r="X202" s="1585" t="s">
        <v>1356</v>
      </c>
      <c r="Y202" s="119" t="n">
        <v>332</v>
      </c>
    </row>
    <row r="203" customFormat="false" ht="15" hidden="false" customHeight="false" outlineLevel="0" collapsed="false">
      <c r="A203" s="2" t="n">
        <v>2023</v>
      </c>
      <c r="B203" s="119" t="n">
        <v>179</v>
      </c>
      <c r="C203" s="1585" t="s">
        <v>1186</v>
      </c>
      <c r="D203" s="1586" t="n">
        <v>2558</v>
      </c>
      <c r="E203" s="1587" t="n">
        <v>2558</v>
      </c>
      <c r="F203" s="1588" t="n">
        <v>360.61</v>
      </c>
      <c r="G203" s="1588" t="n">
        <v>1352.28</v>
      </c>
      <c r="H203" s="1589" t="n">
        <v>0</v>
      </c>
      <c r="I203" s="1590" t="n">
        <v>5200</v>
      </c>
      <c r="J203" s="1591" t="e">
        <f aca="false">F203/(0.7*_xlfn.single(RR))</f>
        <v>#NAME?</v>
      </c>
      <c r="K203" s="1591" t="e">
        <f aca="false">G203/(0.7*_xlfn.single(RR))</f>
        <v>#NAME?</v>
      </c>
      <c r="L203" s="1592"/>
      <c r="M203" s="1592"/>
      <c r="N203" s="1593"/>
      <c r="O203" s="1594"/>
      <c r="P203" s="1595" t="s">
        <v>2524</v>
      </c>
      <c r="X203" s="1585" t="s">
        <v>1186</v>
      </c>
      <c r="Y203" s="119" t="n">
        <v>179</v>
      </c>
    </row>
    <row r="204" customFormat="false" ht="15" hidden="false" customHeight="false" outlineLevel="0" collapsed="false">
      <c r="A204" s="2" t="n">
        <v>2023</v>
      </c>
      <c r="B204" s="119" t="n">
        <v>206</v>
      </c>
      <c r="C204" s="1585" t="s">
        <v>1250</v>
      </c>
      <c r="D204" s="1586" t="n">
        <v>2558</v>
      </c>
      <c r="E204" s="1587" t="n">
        <v>2558</v>
      </c>
      <c r="F204" s="1588" t="n">
        <v>480.81</v>
      </c>
      <c r="G204" s="1588" t="n">
        <v>1442.43</v>
      </c>
      <c r="H204" s="1589" t="n">
        <v>1939.8</v>
      </c>
      <c r="I204" s="1590" t="n">
        <v>6000</v>
      </c>
      <c r="J204" s="1591" t="e">
        <f aca="false">F204/(0.7*_xlfn.single(RR))</f>
        <v>#NAME?</v>
      </c>
      <c r="K204" s="1591" t="e">
        <f aca="false">G204/(0.7*_xlfn.single(RR))</f>
        <v>#NAME?</v>
      </c>
      <c r="L204" s="1592"/>
      <c r="M204" s="1592"/>
      <c r="N204" s="1593"/>
      <c r="O204" s="1594"/>
      <c r="P204" s="1595"/>
      <c r="X204" s="1585" t="s">
        <v>1250</v>
      </c>
      <c r="Y204" s="119" t="n">
        <v>206</v>
      </c>
    </row>
    <row r="205" customFormat="false" ht="15" hidden="false" customHeight="false" outlineLevel="0" collapsed="false">
      <c r="A205" s="2" t="n">
        <v>2023</v>
      </c>
      <c r="B205" s="119" t="n">
        <v>909</v>
      </c>
      <c r="C205" s="1585" t="s">
        <v>2624</v>
      </c>
      <c r="D205" s="1586" t="n">
        <v>2558</v>
      </c>
      <c r="E205" s="1587" t="n">
        <v>2558</v>
      </c>
      <c r="F205" s="1588" t="n">
        <v>480.81</v>
      </c>
      <c r="G205" s="1588" t="n">
        <v>1442.43</v>
      </c>
      <c r="H205" s="1589" t="n">
        <v>1939.72</v>
      </c>
      <c r="I205" s="1590" t="n">
        <v>6000</v>
      </c>
      <c r="J205" s="1591" t="e">
        <f aca="false">F205/(0.7*_xlfn.single(RR))</f>
        <v>#NAME?</v>
      </c>
      <c r="K205" s="1591" t="e">
        <f aca="false">G205/(0.7*_xlfn.single(RR))</f>
        <v>#NAME?</v>
      </c>
      <c r="L205" s="1592"/>
      <c r="M205" s="1592"/>
      <c r="N205" s="1593"/>
      <c r="O205" s="1594"/>
      <c r="P205" s="1595"/>
      <c r="X205" s="1585" t="s">
        <v>2624</v>
      </c>
      <c r="Y205" s="119" t="n">
        <v>909</v>
      </c>
    </row>
    <row r="206" customFormat="false" ht="15" hidden="false" customHeight="false" outlineLevel="0" collapsed="false">
      <c r="A206" s="2" t="n">
        <v>2023</v>
      </c>
      <c r="B206" s="119" t="n">
        <v>106</v>
      </c>
      <c r="C206" s="1585" t="s">
        <v>2625</v>
      </c>
      <c r="D206" s="1586" t="n">
        <v>2558</v>
      </c>
      <c r="E206" s="1587" t="n">
        <v>2558</v>
      </c>
      <c r="F206" s="1588" t="n">
        <v>480.81</v>
      </c>
      <c r="G206" s="1588" t="n">
        <v>1442.43</v>
      </c>
      <c r="H206" s="1589" t="n">
        <v>1939.72</v>
      </c>
      <c r="I206" s="1590" t="n">
        <v>9500</v>
      </c>
      <c r="J206" s="1591" t="e">
        <f aca="false">F206/(0.7*_xlfn.single(RR))</f>
        <v>#NAME?</v>
      </c>
      <c r="K206" s="1591" t="e">
        <f aca="false">G206/(0.7*_xlfn.single(RR))</f>
        <v>#NAME?</v>
      </c>
      <c r="L206" s="1592"/>
      <c r="M206" s="1592"/>
      <c r="N206" s="1593"/>
      <c r="O206" s="1594"/>
      <c r="P206" s="1595"/>
      <c r="X206" s="1585" t="s">
        <v>2625</v>
      </c>
      <c r="Y206" s="119" t="n">
        <v>106</v>
      </c>
    </row>
    <row r="207" customFormat="false" ht="15" hidden="false" customHeight="false" outlineLevel="0" collapsed="false">
      <c r="A207" s="2" t="n">
        <v>2023</v>
      </c>
      <c r="B207" s="119" t="n">
        <v>214</v>
      </c>
      <c r="C207" s="1585" t="s">
        <v>2626</v>
      </c>
      <c r="D207" s="1586" t="n">
        <v>2558</v>
      </c>
      <c r="E207" s="1587" t="n">
        <v>2558</v>
      </c>
      <c r="F207" s="1588" t="n">
        <v>480.81</v>
      </c>
      <c r="G207" s="1588" t="n">
        <v>1442.43</v>
      </c>
      <c r="H207" s="1589" t="n">
        <v>1939.72</v>
      </c>
      <c r="I207" s="1590" t="n">
        <v>6000</v>
      </c>
      <c r="J207" s="1591" t="e">
        <f aca="false">F207/(0.7*_xlfn.single(RR))</f>
        <v>#NAME?</v>
      </c>
      <c r="K207" s="1591" t="e">
        <f aca="false">G207/(0.7*_xlfn.single(RR))</f>
        <v>#NAME?</v>
      </c>
      <c r="L207" s="1592"/>
      <c r="M207" s="1592"/>
      <c r="N207" s="1593"/>
      <c r="O207" s="1594"/>
      <c r="P207" s="1595"/>
      <c r="X207" s="1585" t="s">
        <v>2626</v>
      </c>
      <c r="Y207" s="119" t="n">
        <v>214</v>
      </c>
    </row>
    <row r="208" customFormat="false" ht="15" hidden="false" customHeight="false" outlineLevel="0" collapsed="false">
      <c r="A208" s="2" t="n">
        <v>2023</v>
      </c>
      <c r="B208" s="119" t="n">
        <v>112</v>
      </c>
      <c r="C208" s="1585" t="s">
        <v>2627</v>
      </c>
      <c r="D208" s="1586" t="n">
        <v>471</v>
      </c>
      <c r="E208" s="1587" t="n">
        <v>471</v>
      </c>
      <c r="F208" s="1588" t="n">
        <v>450.76</v>
      </c>
      <c r="G208" s="1588" t="n">
        <v>721.21</v>
      </c>
      <c r="H208" s="1589" t="n">
        <v>1000</v>
      </c>
      <c r="I208" s="1590" t="n">
        <v>5500</v>
      </c>
      <c r="J208" s="1591" t="e">
        <f aca="false">F208/(0.7*_xlfn.single(RR))</f>
        <v>#NAME?</v>
      </c>
      <c r="K208" s="1591" t="e">
        <f aca="false">G208/(0.7*_xlfn.single(RR))</f>
        <v>#NAME?</v>
      </c>
      <c r="L208" s="1592"/>
      <c r="M208" s="1592"/>
      <c r="N208" s="1593"/>
      <c r="O208" s="1594"/>
      <c r="P208" s="1595" t="s">
        <v>2524</v>
      </c>
      <c r="X208" s="1585" t="s">
        <v>2627</v>
      </c>
      <c r="Y208" s="119" t="n">
        <v>112</v>
      </c>
    </row>
    <row r="209" customFormat="false" ht="15" hidden="false" customHeight="false" outlineLevel="0" collapsed="false">
      <c r="A209" s="2" t="n">
        <v>2023</v>
      </c>
      <c r="B209" s="119" t="n">
        <v>101</v>
      </c>
      <c r="C209" s="1585" t="s">
        <v>2628</v>
      </c>
      <c r="D209" s="1586" t="n">
        <v>508</v>
      </c>
      <c r="E209" s="1587" t="n">
        <v>508</v>
      </c>
      <c r="F209" s="1588" t="n">
        <v>405.68</v>
      </c>
      <c r="G209" s="1588" t="n">
        <v>649.09</v>
      </c>
      <c r="H209" s="1589" t="n">
        <v>600</v>
      </c>
      <c r="I209" s="1590" t="n">
        <v>1800</v>
      </c>
      <c r="J209" s="1591" t="e">
        <f aca="false">F209/(0.7*_xlfn.single(RR))</f>
        <v>#NAME?</v>
      </c>
      <c r="K209" s="1591" t="e">
        <f aca="false">G209/(0.7*_xlfn.single(RR))</f>
        <v>#NAME?</v>
      </c>
      <c r="L209" s="1592"/>
      <c r="M209" s="1592"/>
      <c r="N209" s="1593"/>
      <c r="O209" s="1594"/>
      <c r="P209" s="1595" t="s">
        <v>2524</v>
      </c>
      <c r="X209" s="1585" t="s">
        <v>2628</v>
      </c>
      <c r="Y209" s="119" t="n">
        <v>101</v>
      </c>
    </row>
    <row r="210" customFormat="false" ht="15" hidden="false" customHeight="false" outlineLevel="0" collapsed="false">
      <c r="A210" s="2" t="n">
        <v>2023</v>
      </c>
      <c r="B210" s="119" t="n">
        <v>226</v>
      </c>
      <c r="C210" s="1585" t="s">
        <v>2629</v>
      </c>
      <c r="D210" s="1586" t="n">
        <v>471</v>
      </c>
      <c r="E210" s="1587" t="n">
        <v>471</v>
      </c>
      <c r="F210" s="1588" t="n">
        <v>450.76</v>
      </c>
      <c r="G210" s="1588" t="n">
        <v>721.21</v>
      </c>
      <c r="H210" s="1589" t="n">
        <v>0</v>
      </c>
      <c r="I210" s="1590" t="n">
        <v>0</v>
      </c>
      <c r="J210" s="1591" t="e">
        <f aca="false">F210/(0.7*_xlfn.single(RR))</f>
        <v>#NAME?</v>
      </c>
      <c r="K210" s="1591" t="e">
        <f aca="false">G210/(0.7*_xlfn.single(RR))</f>
        <v>#NAME?</v>
      </c>
      <c r="L210" s="1592"/>
      <c r="M210" s="1592"/>
      <c r="N210" s="1593"/>
      <c r="O210" s="1594"/>
      <c r="P210" s="1595"/>
      <c r="X210" s="1585" t="s">
        <v>2629</v>
      </c>
      <c r="Y210" s="119" t="n">
        <v>226</v>
      </c>
    </row>
    <row r="211" customFormat="false" ht="15" hidden="false" customHeight="false" outlineLevel="0" collapsed="false">
      <c r="A211" s="2" t="n">
        <v>2023</v>
      </c>
      <c r="B211" s="119" t="n">
        <v>267</v>
      </c>
      <c r="C211" s="1585" t="s">
        <v>1312</v>
      </c>
      <c r="D211" s="1586" t="n">
        <v>391</v>
      </c>
      <c r="E211" s="1587" t="n">
        <v>391</v>
      </c>
      <c r="F211" s="1588" t="n">
        <v>114.19</v>
      </c>
      <c r="G211" s="1588" t="n">
        <v>240.4</v>
      </c>
      <c r="H211" s="1589" t="n">
        <v>1000</v>
      </c>
      <c r="I211" s="1590" t="n">
        <v>3800</v>
      </c>
      <c r="J211" s="1591" t="e">
        <f aca="false">F211/(0.7*_xlfn.single(RR))</f>
        <v>#NAME?</v>
      </c>
      <c r="K211" s="1591" t="e">
        <f aca="false">G211/(0.7*_xlfn.single(RR))</f>
        <v>#NAME?</v>
      </c>
      <c r="L211" s="1592"/>
      <c r="M211" s="1592"/>
      <c r="N211" s="1593"/>
      <c r="O211" s="1594"/>
      <c r="P211" s="1595"/>
      <c r="X211" s="1585" t="s">
        <v>1312</v>
      </c>
      <c r="Y211" s="119" t="n">
        <v>267</v>
      </c>
    </row>
    <row r="212" customFormat="false" ht="15" hidden="false" customHeight="false" outlineLevel="0" collapsed="false">
      <c r="A212" s="2" t="n">
        <v>2023</v>
      </c>
      <c r="B212" s="119" t="n">
        <v>903</v>
      </c>
      <c r="C212" s="1585" t="s">
        <v>2630</v>
      </c>
      <c r="D212" s="1586" t="n">
        <v>3131</v>
      </c>
      <c r="E212" s="1587" t="n">
        <v>3131</v>
      </c>
      <c r="F212" s="1588" t="n">
        <v>360.61</v>
      </c>
      <c r="G212" s="1588" t="n">
        <v>1352.28</v>
      </c>
      <c r="H212" s="1589" t="n">
        <v>0</v>
      </c>
      <c r="I212" s="1590" t="n">
        <v>5200</v>
      </c>
      <c r="J212" s="1591" t="e">
        <f aca="false">F212/(0.7*_xlfn.single(RR))</f>
        <v>#NAME?</v>
      </c>
      <c r="K212" s="1591" t="e">
        <f aca="false">G212/(0.7*_xlfn.single(RR))</f>
        <v>#NAME?</v>
      </c>
      <c r="L212" s="1592"/>
      <c r="M212" s="1592"/>
      <c r="N212" s="1593"/>
      <c r="O212" s="1594"/>
      <c r="P212" s="1595"/>
      <c r="X212" s="1585" t="s">
        <v>2630</v>
      </c>
      <c r="Y212" s="119" t="n">
        <v>903</v>
      </c>
    </row>
    <row r="213" customFormat="false" ht="15" hidden="false" customHeight="false" outlineLevel="0" collapsed="false">
      <c r="A213" s="2" t="n">
        <v>2023</v>
      </c>
      <c r="B213" s="1622" t="n">
        <v>342</v>
      </c>
      <c r="C213" s="1634" t="s">
        <v>2631</v>
      </c>
      <c r="D213" s="1586" t="n">
        <v>391</v>
      </c>
      <c r="E213" s="1587" t="n">
        <v>391</v>
      </c>
      <c r="F213" s="1588" t="n">
        <v>114.19</v>
      </c>
      <c r="G213" s="1588" t="n">
        <v>240.4</v>
      </c>
      <c r="H213" s="1589" t="n">
        <v>1000</v>
      </c>
      <c r="I213" s="1590" t="n">
        <v>3800</v>
      </c>
      <c r="J213" s="1591" t="e">
        <f aca="false">F213/(0.7*_xlfn.single(RR))</f>
        <v>#NAME?</v>
      </c>
      <c r="K213" s="1591" t="e">
        <f aca="false">G213/(0.7*_xlfn.single(RR))</f>
        <v>#NAME?</v>
      </c>
      <c r="L213" s="1592"/>
      <c r="M213" s="1592"/>
      <c r="N213" s="1593"/>
      <c r="O213" s="1594"/>
      <c r="P213" s="1595" t="s">
        <v>2524</v>
      </c>
      <c r="X213" s="1634" t="s">
        <v>2631</v>
      </c>
      <c r="Y213" s="1622" t="n">
        <v>342</v>
      </c>
    </row>
    <row r="214" customFormat="false" ht="15" hidden="false" customHeight="false" outlineLevel="0" collapsed="false">
      <c r="A214" s="2" t="n">
        <v>2023</v>
      </c>
      <c r="B214" s="119" t="n">
        <v>115</v>
      </c>
      <c r="C214" s="1585" t="s">
        <v>2632</v>
      </c>
      <c r="D214" s="1586" t="n">
        <v>0</v>
      </c>
      <c r="E214" s="1587" t="n">
        <v>0</v>
      </c>
      <c r="F214" s="1599" t="n">
        <v>1E-005</v>
      </c>
      <c r="G214" s="1599" t="n">
        <v>1E-005</v>
      </c>
      <c r="H214" s="1589" t="n">
        <v>0</v>
      </c>
      <c r="I214" s="1590" t="n">
        <v>0</v>
      </c>
      <c r="J214" s="1591" t="e">
        <f aca="false">F214/(0.7*_xlfn.single(RR))</f>
        <v>#NAME?</v>
      </c>
      <c r="K214" s="1591" t="e">
        <f aca="false">G214/(0.7*_xlfn.single(RR))</f>
        <v>#NAME?</v>
      </c>
      <c r="L214" s="1592"/>
      <c r="M214" s="1592"/>
      <c r="N214" s="1593"/>
      <c r="O214" s="1594"/>
      <c r="P214" s="1595" t="s">
        <v>2524</v>
      </c>
      <c r="X214" s="1585" t="s">
        <v>2632</v>
      </c>
      <c r="Y214" s="119" t="n">
        <v>115</v>
      </c>
    </row>
    <row r="215" customFormat="false" ht="15" hidden="false" customHeight="false" outlineLevel="0" collapsed="false">
      <c r="A215" s="2" t="n">
        <v>2023</v>
      </c>
      <c r="B215" s="119" t="n">
        <v>850</v>
      </c>
      <c r="C215" s="1585" t="s">
        <v>2633</v>
      </c>
      <c r="D215" s="1586" t="n">
        <v>0</v>
      </c>
      <c r="E215" s="1587" t="n">
        <v>0</v>
      </c>
      <c r="F215" s="1599" t="n">
        <v>1E-005</v>
      </c>
      <c r="G215" s="1599" t="n">
        <v>1E-005</v>
      </c>
      <c r="H215" s="1589" t="n">
        <v>0</v>
      </c>
      <c r="I215" s="1590" t="n">
        <v>0</v>
      </c>
      <c r="J215" s="1591" t="e">
        <f aca="false">F215/(0.7*_xlfn.single(RR))</f>
        <v>#NAME?</v>
      </c>
      <c r="K215" s="1591" t="e">
        <f aca="false">G215/(0.7*_xlfn.single(RR))</f>
        <v>#NAME?</v>
      </c>
      <c r="L215" s="1592"/>
      <c r="M215" s="1592"/>
      <c r="N215" s="1593"/>
      <c r="O215" s="1594"/>
      <c r="P215" s="1595" t="s">
        <v>2524</v>
      </c>
      <c r="X215" s="1585" t="s">
        <v>2633</v>
      </c>
      <c r="Y215" s="119" t="n">
        <v>850</v>
      </c>
    </row>
    <row r="216" customFormat="false" ht="15" hidden="false" customHeight="false" outlineLevel="0" collapsed="false">
      <c r="A216" s="2" t="n">
        <v>2023</v>
      </c>
      <c r="B216" s="119" t="n">
        <v>150</v>
      </c>
      <c r="C216" s="1585" t="s">
        <v>2634</v>
      </c>
      <c r="D216" s="1586" t="n">
        <v>0</v>
      </c>
      <c r="E216" s="1587" t="n">
        <v>0</v>
      </c>
      <c r="F216" s="1599" t="n">
        <v>1E-005</v>
      </c>
      <c r="G216" s="1599" t="n">
        <v>1E-005</v>
      </c>
      <c r="H216" s="1589" t="n">
        <v>0</v>
      </c>
      <c r="I216" s="1590" t="n">
        <v>0</v>
      </c>
      <c r="J216" s="1591" t="e">
        <f aca="false">F216/(0.7*_xlfn.single(RR))</f>
        <v>#NAME?</v>
      </c>
      <c r="K216" s="1591" t="e">
        <f aca="false">G216/(0.7*_xlfn.single(RR))</f>
        <v>#NAME?</v>
      </c>
      <c r="L216" s="1592"/>
      <c r="M216" s="1592"/>
      <c r="N216" s="1593"/>
      <c r="O216" s="1594"/>
      <c r="P216" s="1595" t="s">
        <v>2524</v>
      </c>
      <c r="X216" s="1585" t="s">
        <v>2634</v>
      </c>
      <c r="Y216" s="119" t="n">
        <v>150</v>
      </c>
    </row>
    <row r="217" customFormat="false" ht="15" hidden="false" customHeight="false" outlineLevel="0" collapsed="false">
      <c r="A217" s="2" t="n">
        <v>2023</v>
      </c>
      <c r="B217" s="119" t="n">
        <v>113</v>
      </c>
      <c r="C217" s="1585" t="s">
        <v>1061</v>
      </c>
      <c r="D217" s="1586" t="n">
        <v>471</v>
      </c>
      <c r="E217" s="1587" t="n">
        <v>471</v>
      </c>
      <c r="F217" s="1588" t="n">
        <v>450.76</v>
      </c>
      <c r="G217" s="1588" t="n">
        <v>721.21</v>
      </c>
      <c r="H217" s="1589" t="n">
        <v>500</v>
      </c>
      <c r="I217" s="1590" t="n">
        <v>1500</v>
      </c>
      <c r="J217" s="1591" t="e">
        <f aca="false">F217/(0.7*_xlfn.single(RR))</f>
        <v>#NAME?</v>
      </c>
      <c r="K217" s="1591" t="e">
        <f aca="false">G217/(0.7*_xlfn.single(RR))</f>
        <v>#NAME?</v>
      </c>
      <c r="L217" s="1592"/>
      <c r="M217" s="1592"/>
      <c r="N217" s="1593"/>
      <c r="O217" s="1594"/>
      <c r="P217" s="1595" t="s">
        <v>2524</v>
      </c>
      <c r="X217" s="1585" t="s">
        <v>1061</v>
      </c>
      <c r="Y217" s="119" t="n">
        <v>113</v>
      </c>
    </row>
    <row r="218" customFormat="false" ht="15" hidden="false" customHeight="false" outlineLevel="0" collapsed="false">
      <c r="A218" s="2" t="n">
        <v>2023</v>
      </c>
      <c r="B218" s="119" t="n">
        <v>202</v>
      </c>
      <c r="C218" s="1585" t="s">
        <v>1245</v>
      </c>
      <c r="D218" s="1586" t="n">
        <v>2558</v>
      </c>
      <c r="E218" s="1587" t="n">
        <v>2558</v>
      </c>
      <c r="F218" s="1588" t="n">
        <v>480.81</v>
      </c>
      <c r="G218" s="1588" t="n">
        <v>1442.43</v>
      </c>
      <c r="H218" s="1589" t="n">
        <v>1939.72</v>
      </c>
      <c r="I218" s="1590" t="n">
        <v>6000</v>
      </c>
      <c r="J218" s="1591" t="e">
        <f aca="false">F218/(0.7*_xlfn.single(RR))</f>
        <v>#NAME?</v>
      </c>
      <c r="K218" s="1591" t="e">
        <f aca="false">G218/(0.7*_xlfn.single(RR))</f>
        <v>#NAME?</v>
      </c>
      <c r="L218" s="1592"/>
      <c r="M218" s="1592"/>
      <c r="N218" s="1593"/>
      <c r="O218" s="1594"/>
      <c r="P218" s="1595" t="s">
        <v>2524</v>
      </c>
      <c r="X218" s="1585" t="s">
        <v>1245</v>
      </c>
      <c r="Y218" s="119" t="n">
        <v>202</v>
      </c>
    </row>
    <row r="219" customFormat="false" ht="15" hidden="false" customHeight="false" outlineLevel="0" collapsed="false">
      <c r="A219" s="2" t="n">
        <v>2023</v>
      </c>
      <c r="B219" s="119" t="n">
        <v>64</v>
      </c>
      <c r="C219" s="1585" t="s">
        <v>2635</v>
      </c>
      <c r="D219" s="1586" t="n">
        <v>0</v>
      </c>
      <c r="E219" s="1587" t="n">
        <v>0</v>
      </c>
      <c r="F219" s="1599" t="n">
        <v>1E-005</v>
      </c>
      <c r="G219" s="1599" t="n">
        <v>1E-005</v>
      </c>
      <c r="H219" s="1589" t="n">
        <v>0</v>
      </c>
      <c r="I219" s="1590" t="n">
        <v>0</v>
      </c>
      <c r="J219" s="1591" t="e">
        <f aca="false">F219/(0.7*_xlfn.single(RR))</f>
        <v>#NAME?</v>
      </c>
      <c r="K219" s="1591" t="e">
        <f aca="false">G219/(0.7*_xlfn.single(RR))</f>
        <v>#NAME?</v>
      </c>
      <c r="L219" s="1592"/>
      <c r="M219" s="1592"/>
      <c r="N219" s="1593"/>
      <c r="O219" s="1594"/>
      <c r="P219" s="1595"/>
      <c r="X219" s="1585" t="s">
        <v>2635</v>
      </c>
      <c r="Y219" s="119" t="n">
        <v>64</v>
      </c>
    </row>
    <row r="220" customFormat="false" ht="15" hidden="false" customHeight="false" outlineLevel="0" collapsed="false">
      <c r="A220" s="2" t="n">
        <v>2023</v>
      </c>
      <c r="B220" s="119" t="n">
        <v>66</v>
      </c>
      <c r="C220" s="1585" t="s">
        <v>2636</v>
      </c>
      <c r="D220" s="1586" t="n">
        <v>0</v>
      </c>
      <c r="E220" s="1587" t="n">
        <v>0</v>
      </c>
      <c r="F220" s="1599" t="n">
        <v>1E-005</v>
      </c>
      <c r="G220" s="1599" t="n">
        <v>1E-005</v>
      </c>
      <c r="H220" s="1589" t="n">
        <v>0</v>
      </c>
      <c r="I220" s="1590" t="n">
        <v>0</v>
      </c>
      <c r="J220" s="1591" t="e">
        <f aca="false">F220/(0.7*_xlfn.single(RR))</f>
        <v>#NAME?</v>
      </c>
      <c r="K220" s="1591" t="e">
        <f aca="false">G220/(0.7*_xlfn.single(RR))</f>
        <v>#NAME?</v>
      </c>
      <c r="L220" s="1592"/>
      <c r="M220" s="1592"/>
      <c r="N220" s="1593"/>
      <c r="O220" s="1594"/>
      <c r="P220" s="1595"/>
      <c r="X220" s="1585" t="s">
        <v>2636</v>
      </c>
      <c r="Y220" s="119" t="n">
        <v>66</v>
      </c>
    </row>
    <row r="221" customFormat="false" ht="15" hidden="false" customHeight="false" outlineLevel="0" collapsed="false">
      <c r="A221" s="2" t="n">
        <v>2023</v>
      </c>
      <c r="B221" s="119" t="n">
        <v>65</v>
      </c>
      <c r="C221" s="1585" t="s">
        <v>2637</v>
      </c>
      <c r="D221" s="1586" t="n">
        <v>0</v>
      </c>
      <c r="E221" s="1587" t="n">
        <v>0</v>
      </c>
      <c r="F221" s="1599" t="n">
        <v>1E-005</v>
      </c>
      <c r="G221" s="1599" t="n">
        <v>1E-005</v>
      </c>
      <c r="H221" s="1589" t="n">
        <v>0</v>
      </c>
      <c r="I221" s="1590" t="n">
        <v>0</v>
      </c>
      <c r="J221" s="1591" t="e">
        <f aca="false">F221/(0.7*_xlfn.single(RR))</f>
        <v>#NAME?</v>
      </c>
      <c r="K221" s="1591" t="e">
        <f aca="false">G221/(0.7*_xlfn.single(RR))</f>
        <v>#NAME?</v>
      </c>
      <c r="L221" s="1592"/>
      <c r="M221" s="1592"/>
      <c r="N221" s="1593"/>
      <c r="O221" s="1594"/>
      <c r="P221" s="1595"/>
      <c r="X221" s="1585" t="s">
        <v>2637</v>
      </c>
      <c r="Y221" s="119" t="n">
        <v>65</v>
      </c>
    </row>
    <row r="222" customFormat="false" ht="15" hidden="false" customHeight="false" outlineLevel="0" collapsed="false">
      <c r="A222" s="2" t="n">
        <v>2023</v>
      </c>
      <c r="B222" s="119" t="n">
        <v>328</v>
      </c>
      <c r="C222" s="1585" t="s">
        <v>1353</v>
      </c>
      <c r="D222" s="1586" t="n">
        <v>391</v>
      </c>
      <c r="E222" s="1587" t="n">
        <v>391</v>
      </c>
      <c r="F222" s="1588" t="n">
        <v>114.19</v>
      </c>
      <c r="G222" s="1588" t="n">
        <v>240.4</v>
      </c>
      <c r="H222" s="1589" t="n">
        <v>400</v>
      </c>
      <c r="I222" s="1590" t="n">
        <v>800</v>
      </c>
      <c r="J222" s="1591" t="e">
        <f aca="false">F222/(0.7*_xlfn.single(RR))</f>
        <v>#NAME?</v>
      </c>
      <c r="K222" s="1591" t="e">
        <f aca="false">G222/(0.7*_xlfn.single(RR))</f>
        <v>#NAME?</v>
      </c>
      <c r="L222" s="1592"/>
      <c r="M222" s="1592"/>
      <c r="N222" s="1593"/>
      <c r="O222" s="1594"/>
      <c r="P222" s="1595"/>
      <c r="X222" s="1585" t="s">
        <v>1353</v>
      </c>
      <c r="Y222" s="119" t="n">
        <v>328</v>
      </c>
    </row>
    <row r="223" customFormat="false" ht="15" hidden="false" customHeight="false" outlineLevel="0" collapsed="false">
      <c r="A223" s="2" t="n">
        <v>2023</v>
      </c>
      <c r="B223" s="119" t="n">
        <v>63</v>
      </c>
      <c r="C223" s="1585" t="s">
        <v>2638</v>
      </c>
      <c r="D223" s="1586" t="n">
        <v>0</v>
      </c>
      <c r="E223" s="1587" t="n">
        <v>0</v>
      </c>
      <c r="F223" s="1599" t="n">
        <v>1E-005</v>
      </c>
      <c r="G223" s="1599" t="n">
        <v>1E-005</v>
      </c>
      <c r="H223" s="1589" t="n">
        <v>0</v>
      </c>
      <c r="I223" s="1590" t="n">
        <v>0</v>
      </c>
      <c r="J223" s="1591" t="e">
        <f aca="false">F223/(0.7*_xlfn.single(RR))</f>
        <v>#NAME?</v>
      </c>
      <c r="K223" s="1591" t="e">
        <f aca="false">G223/(0.7*_xlfn.single(RR))</f>
        <v>#NAME?</v>
      </c>
      <c r="L223" s="1592"/>
      <c r="M223" s="1592"/>
      <c r="N223" s="1593"/>
      <c r="O223" s="1594"/>
      <c r="P223" s="1595"/>
      <c r="X223" s="1585" t="s">
        <v>2638</v>
      </c>
      <c r="Y223" s="119" t="n">
        <v>63</v>
      </c>
    </row>
    <row r="224" customFormat="false" ht="15" hidden="false" customHeight="false" outlineLevel="0" collapsed="false">
      <c r="A224" s="2" t="n">
        <v>2023</v>
      </c>
      <c r="B224" s="119" t="n">
        <v>62</v>
      </c>
      <c r="C224" s="1585" t="s">
        <v>1025</v>
      </c>
      <c r="D224" s="1586" t="n">
        <v>0</v>
      </c>
      <c r="E224" s="1587" t="n">
        <v>0</v>
      </c>
      <c r="F224" s="1599" t="n">
        <v>1E-005</v>
      </c>
      <c r="G224" s="1599" t="n">
        <v>1E-005</v>
      </c>
      <c r="H224" s="1589" t="n">
        <v>0</v>
      </c>
      <c r="I224" s="1590" t="n">
        <v>0</v>
      </c>
      <c r="J224" s="1591" t="e">
        <f aca="false">F224/(0.7*_xlfn.single(RR))</f>
        <v>#NAME?</v>
      </c>
      <c r="K224" s="1591" t="e">
        <f aca="false">G224/(0.7*_xlfn.single(RR))</f>
        <v>#NAME?</v>
      </c>
      <c r="L224" s="1592"/>
      <c r="M224" s="1592"/>
      <c r="N224" s="1593"/>
      <c r="O224" s="1594"/>
      <c r="P224" s="1595"/>
      <c r="X224" s="1585" t="s">
        <v>1025</v>
      </c>
      <c r="Y224" s="119" t="n">
        <v>62</v>
      </c>
    </row>
    <row r="225" customFormat="false" ht="15" hidden="false" customHeight="false" outlineLevel="0" collapsed="false">
      <c r="A225" s="2" t="n">
        <v>2023</v>
      </c>
      <c r="B225" s="119" t="n">
        <v>99</v>
      </c>
      <c r="C225" s="1585" t="s">
        <v>1048</v>
      </c>
      <c r="D225" s="1586" t="n">
        <v>1851</v>
      </c>
      <c r="E225" s="1587" t="n">
        <v>1851</v>
      </c>
      <c r="F225" s="1588" t="n">
        <v>450.76</v>
      </c>
      <c r="G225" s="1588" t="n">
        <v>1202.02</v>
      </c>
      <c r="H225" s="1589" t="n">
        <v>1739.31</v>
      </c>
      <c r="I225" s="1590" t="n">
        <v>7000</v>
      </c>
      <c r="J225" s="1591" t="e">
        <f aca="false">F225/(0.7*_xlfn.single(RR))</f>
        <v>#NAME?</v>
      </c>
      <c r="K225" s="1591" t="e">
        <f aca="false">G225/(0.7*_xlfn.single(RR))</f>
        <v>#NAME?</v>
      </c>
      <c r="L225" s="1592"/>
      <c r="M225" s="1592"/>
      <c r="N225" s="1593"/>
      <c r="O225" s="1594"/>
      <c r="P225" s="1595" t="s">
        <v>2524</v>
      </c>
      <c r="X225" s="1585" t="s">
        <v>1048</v>
      </c>
      <c r="Y225" s="119" t="n">
        <v>99</v>
      </c>
    </row>
    <row r="226" customFormat="false" ht="15" hidden="false" customHeight="false" outlineLevel="0" collapsed="false">
      <c r="A226" s="2" t="n">
        <v>2023</v>
      </c>
      <c r="B226" s="119" t="n">
        <v>200</v>
      </c>
      <c r="C226" s="1585" t="s">
        <v>2639</v>
      </c>
      <c r="D226" s="1586" t="n">
        <v>391</v>
      </c>
      <c r="E226" s="1587" t="n">
        <v>391</v>
      </c>
      <c r="F226" s="1588" t="n">
        <v>114.19</v>
      </c>
      <c r="G226" s="1588" t="n">
        <v>240.4</v>
      </c>
      <c r="H226" s="1589" t="n">
        <v>0</v>
      </c>
      <c r="I226" s="1590" t="n">
        <v>1200</v>
      </c>
      <c r="J226" s="1591" t="e">
        <f aca="false">F226/(0.7*_xlfn.single(RR))</f>
        <v>#NAME?</v>
      </c>
      <c r="K226" s="1591" t="e">
        <f aca="false">G226/(0.7*_xlfn.single(RR))</f>
        <v>#NAME?</v>
      </c>
      <c r="L226" s="1592"/>
      <c r="M226" s="1592"/>
      <c r="N226" s="1593"/>
      <c r="O226" s="1594"/>
      <c r="P226" s="1595" t="s">
        <v>2524</v>
      </c>
      <c r="X226" s="1585" t="s">
        <v>2639</v>
      </c>
      <c r="Y226" s="119" t="n">
        <v>200</v>
      </c>
    </row>
    <row r="227" customFormat="false" ht="15" hidden="false" customHeight="false" outlineLevel="0" collapsed="false">
      <c r="A227" s="2" t="n">
        <v>2023</v>
      </c>
      <c r="B227" s="119" t="n">
        <v>188</v>
      </c>
      <c r="C227" s="1585" t="s">
        <v>2640</v>
      </c>
      <c r="D227" s="1586" t="n">
        <v>3131</v>
      </c>
      <c r="E227" s="1587" t="n">
        <v>3131</v>
      </c>
      <c r="F227" s="1588" t="n">
        <v>360.61</v>
      </c>
      <c r="G227" s="1588" t="n">
        <v>1352.28</v>
      </c>
      <c r="H227" s="1589" t="n">
        <v>0</v>
      </c>
      <c r="I227" s="1590" t="n">
        <v>5200</v>
      </c>
      <c r="J227" s="1591" t="e">
        <f aca="false">F227/(0.7*_xlfn.single(RR))</f>
        <v>#NAME?</v>
      </c>
      <c r="K227" s="1591" t="e">
        <f aca="false">G227/(0.7*_xlfn.single(RR))</f>
        <v>#NAME?</v>
      </c>
      <c r="L227" s="1592"/>
      <c r="M227" s="1592"/>
      <c r="N227" s="1593"/>
      <c r="O227" s="1594"/>
      <c r="P227" s="1595" t="s">
        <v>2524</v>
      </c>
      <c r="X227" s="1585" t="s">
        <v>2640</v>
      </c>
      <c r="Y227" s="119" t="n">
        <v>188</v>
      </c>
    </row>
    <row r="228" customFormat="false" ht="15" hidden="false" customHeight="false" outlineLevel="0" collapsed="false">
      <c r="A228" s="2" t="n">
        <v>2023</v>
      </c>
      <c r="B228" s="119" t="n">
        <v>165</v>
      </c>
      <c r="C228" s="1585" t="s">
        <v>1134</v>
      </c>
      <c r="D228" s="1586" t="n">
        <v>3131</v>
      </c>
      <c r="E228" s="1587" t="n">
        <v>3131</v>
      </c>
      <c r="F228" s="1588" t="n">
        <v>360.61</v>
      </c>
      <c r="G228" s="1588" t="n">
        <v>1352.28</v>
      </c>
      <c r="H228" s="1589" t="n">
        <v>0</v>
      </c>
      <c r="I228" s="1590" t="n">
        <v>7000</v>
      </c>
      <c r="J228" s="1591" t="e">
        <f aca="false">F228/(0.7*_xlfn.single(RR))</f>
        <v>#NAME?</v>
      </c>
      <c r="K228" s="1591" t="e">
        <f aca="false">G228/(0.7*_xlfn.single(RR))</f>
        <v>#NAME?</v>
      </c>
      <c r="L228" s="1592"/>
      <c r="M228" s="1592"/>
      <c r="N228" s="1593"/>
      <c r="O228" s="1594"/>
      <c r="P228" s="1595" t="s">
        <v>2524</v>
      </c>
      <c r="X228" s="1585" t="s">
        <v>1134</v>
      </c>
      <c r="Y228" s="119" t="n">
        <v>165</v>
      </c>
    </row>
    <row r="229" customFormat="false" ht="15" hidden="false" customHeight="false" outlineLevel="0" collapsed="false">
      <c r="A229" s="2" t="n">
        <v>2023</v>
      </c>
      <c r="B229" s="119" t="n">
        <v>108</v>
      </c>
      <c r="C229" s="1585" t="s">
        <v>2641</v>
      </c>
      <c r="D229" s="1586" t="n">
        <v>2558</v>
      </c>
      <c r="E229" s="1587" t="n">
        <v>2558</v>
      </c>
      <c r="F229" s="1588" t="n">
        <v>480.81</v>
      </c>
      <c r="G229" s="1588" t="n">
        <v>1442.43</v>
      </c>
      <c r="H229" s="1589" t="n">
        <v>1939.72</v>
      </c>
      <c r="I229" s="1590" t="n">
        <v>8500</v>
      </c>
      <c r="J229" s="1591" t="e">
        <f aca="false">F229/(0.7*_xlfn.single(RR))</f>
        <v>#NAME?</v>
      </c>
      <c r="K229" s="1591" t="e">
        <f aca="false">G229/(0.7*_xlfn.single(RR))</f>
        <v>#NAME?</v>
      </c>
      <c r="L229" s="1592"/>
      <c r="M229" s="1592"/>
      <c r="N229" s="1593"/>
      <c r="O229" s="1594"/>
      <c r="P229" s="1595" t="s">
        <v>2524</v>
      </c>
      <c r="X229" s="1585" t="s">
        <v>2641</v>
      </c>
      <c r="Y229" s="119" t="n">
        <v>108</v>
      </c>
    </row>
    <row r="230" customFormat="false" ht="15" hidden="false" customHeight="false" outlineLevel="0" collapsed="false">
      <c r="A230" s="2" t="n">
        <v>2023</v>
      </c>
      <c r="B230" s="119" t="n">
        <v>261</v>
      </c>
      <c r="C230" s="1585" t="s">
        <v>1306</v>
      </c>
      <c r="D230" s="1586" t="n">
        <v>391</v>
      </c>
      <c r="E230" s="1587" t="n">
        <v>391</v>
      </c>
      <c r="F230" s="1588" t="n">
        <v>114.19</v>
      </c>
      <c r="G230" s="1588" t="n">
        <v>240.4</v>
      </c>
      <c r="H230" s="1589" t="n">
        <v>1000</v>
      </c>
      <c r="I230" s="1590" t="n">
        <v>3800</v>
      </c>
      <c r="J230" s="1591" t="e">
        <f aca="false">F230/(0.7*_xlfn.single(RR))</f>
        <v>#NAME?</v>
      </c>
      <c r="K230" s="1591" t="e">
        <f aca="false">G230/(0.7*_xlfn.single(RR))</f>
        <v>#NAME?</v>
      </c>
      <c r="L230" s="1592"/>
      <c r="M230" s="1592"/>
      <c r="N230" s="1593"/>
      <c r="O230" s="1594"/>
      <c r="P230" s="1595" t="s">
        <v>2524</v>
      </c>
      <c r="X230" s="1585" t="s">
        <v>1306</v>
      </c>
      <c r="Y230" s="119" t="n">
        <v>261</v>
      </c>
    </row>
    <row r="231" customFormat="false" ht="15" hidden="false" customHeight="false" outlineLevel="0" collapsed="false">
      <c r="A231" s="2" t="n">
        <v>2023</v>
      </c>
      <c r="B231" s="119" t="n">
        <v>269</v>
      </c>
      <c r="C231" s="1585" t="s">
        <v>1314</v>
      </c>
      <c r="D231" s="1586" t="n">
        <v>391</v>
      </c>
      <c r="E231" s="1587" t="n">
        <v>391</v>
      </c>
      <c r="F231" s="1588" t="n">
        <v>114.19</v>
      </c>
      <c r="G231" s="1588" t="n">
        <v>240.4</v>
      </c>
      <c r="H231" s="1589" t="n">
        <v>1000</v>
      </c>
      <c r="I231" s="1590" t="n">
        <v>3800</v>
      </c>
      <c r="J231" s="1591" t="e">
        <f aca="false">F231/(0.7*_xlfn.single(RR))</f>
        <v>#NAME?</v>
      </c>
      <c r="K231" s="1591" t="e">
        <f aca="false">G231/(0.7*_xlfn.single(RR))</f>
        <v>#NAME?</v>
      </c>
      <c r="L231" s="1592"/>
      <c r="M231" s="1592"/>
      <c r="N231" s="1593"/>
      <c r="O231" s="1594"/>
      <c r="P231" s="1595"/>
      <c r="X231" s="1585" t="s">
        <v>1314</v>
      </c>
      <c r="Y231" s="119" t="n">
        <v>269</v>
      </c>
    </row>
    <row r="232" customFormat="false" ht="15" hidden="false" customHeight="false" outlineLevel="0" collapsed="false">
      <c r="A232" s="2" t="n">
        <v>2023</v>
      </c>
      <c r="B232" s="119" t="n">
        <v>233</v>
      </c>
      <c r="C232" s="1585" t="s">
        <v>2642</v>
      </c>
      <c r="D232" s="1586" t="n">
        <v>0</v>
      </c>
      <c r="E232" s="1587" t="n">
        <v>0</v>
      </c>
      <c r="F232" s="1599" t="n">
        <v>1E-005</v>
      </c>
      <c r="G232" s="1599" t="n">
        <v>1E-005</v>
      </c>
      <c r="H232" s="1589" t="n">
        <v>0</v>
      </c>
      <c r="I232" s="1590" t="n">
        <v>0</v>
      </c>
      <c r="J232" s="1591" t="e">
        <f aca="false">F232/(0.7*_xlfn.single(RR))</f>
        <v>#NAME?</v>
      </c>
      <c r="K232" s="1591" t="e">
        <f aca="false">G232/(0.7*_xlfn.single(RR))</f>
        <v>#NAME?</v>
      </c>
      <c r="L232" s="1592"/>
      <c r="M232" s="1592"/>
      <c r="N232" s="1593"/>
      <c r="O232" s="1594"/>
      <c r="P232" s="1595"/>
      <c r="X232" s="1585" t="s">
        <v>2642</v>
      </c>
      <c r="Y232" s="119" t="n">
        <v>233</v>
      </c>
    </row>
    <row r="233" customFormat="false" ht="15" hidden="false" customHeight="false" outlineLevel="0" collapsed="false">
      <c r="A233" s="2" t="n">
        <v>2023</v>
      </c>
      <c r="B233" s="119" t="n">
        <v>152</v>
      </c>
      <c r="C233" s="1585" t="s">
        <v>1086</v>
      </c>
      <c r="D233" s="1586" t="n">
        <v>3131</v>
      </c>
      <c r="E233" s="1587" t="n">
        <v>3131</v>
      </c>
      <c r="F233" s="1588" t="n">
        <v>360.61</v>
      </c>
      <c r="G233" s="1588" t="n">
        <v>1352.28</v>
      </c>
      <c r="H233" s="1589" t="n">
        <v>0</v>
      </c>
      <c r="I233" s="1590" t="n">
        <v>8000</v>
      </c>
      <c r="J233" s="1591" t="e">
        <f aca="false">F233/(0.7*_xlfn.single(RR))</f>
        <v>#NAME?</v>
      </c>
      <c r="K233" s="1591" t="e">
        <f aca="false">G233/(0.7*_xlfn.single(RR))</f>
        <v>#NAME?</v>
      </c>
      <c r="L233" s="1592"/>
      <c r="M233" s="1592"/>
      <c r="N233" s="1593"/>
      <c r="O233" s="1594"/>
      <c r="P233" s="1595" t="s">
        <v>2524</v>
      </c>
      <c r="X233" s="1585" t="s">
        <v>1086</v>
      </c>
      <c r="Y233" s="119" t="n">
        <v>152</v>
      </c>
    </row>
    <row r="234" customFormat="false" ht="15" hidden="false" customHeight="false" outlineLevel="0" collapsed="false">
      <c r="A234" s="2" t="n">
        <v>2023</v>
      </c>
      <c r="B234" s="119" t="n">
        <v>98</v>
      </c>
      <c r="C234" s="1585" t="s">
        <v>2643</v>
      </c>
      <c r="D234" s="1586" t="n">
        <v>3131</v>
      </c>
      <c r="E234" s="1587" t="n">
        <v>3131</v>
      </c>
      <c r="F234" s="1588" t="n">
        <v>360.61</v>
      </c>
      <c r="G234" s="1588" t="n">
        <v>1352.28</v>
      </c>
      <c r="H234" s="1589" t="n">
        <v>0</v>
      </c>
      <c r="I234" s="1590" t="n">
        <v>5200</v>
      </c>
      <c r="J234" s="1591" t="e">
        <f aca="false">F234/(0.7*_xlfn.single(RR))</f>
        <v>#NAME?</v>
      </c>
      <c r="K234" s="1591" t="e">
        <f aca="false">G234/(0.7*_xlfn.single(RR))</f>
        <v>#NAME?</v>
      </c>
      <c r="L234" s="1592"/>
      <c r="M234" s="1592"/>
      <c r="N234" s="1593"/>
      <c r="O234" s="1594"/>
      <c r="P234" s="1595" t="s">
        <v>2524</v>
      </c>
      <c r="X234" s="1585" t="s">
        <v>2643</v>
      </c>
      <c r="Y234" s="119" t="n">
        <v>98</v>
      </c>
    </row>
    <row r="235" customFormat="false" ht="15" hidden="false" customHeight="false" outlineLevel="0" collapsed="false">
      <c r="A235" s="2" t="n">
        <v>2023</v>
      </c>
      <c r="B235" s="119" t="n">
        <v>199</v>
      </c>
      <c r="C235" s="1585" t="s">
        <v>2644</v>
      </c>
      <c r="D235" s="1586" t="n">
        <v>0</v>
      </c>
      <c r="E235" s="1587" t="n">
        <v>0</v>
      </c>
      <c r="F235" s="1599" t="n">
        <v>1E-005</v>
      </c>
      <c r="G235" s="1599" t="n">
        <v>1E-005</v>
      </c>
      <c r="H235" s="1589" t="n">
        <v>0</v>
      </c>
      <c r="I235" s="1590" t="n">
        <v>0</v>
      </c>
      <c r="J235" s="1591" t="e">
        <f aca="false">F235/(0.7*_xlfn.single(RR))</f>
        <v>#NAME?</v>
      </c>
      <c r="K235" s="1591" t="e">
        <f aca="false">G235/(0.7*_xlfn.single(RR))</f>
        <v>#NAME?</v>
      </c>
      <c r="L235" s="1592"/>
      <c r="M235" s="1592"/>
      <c r="N235" s="1593"/>
      <c r="O235" s="1594"/>
      <c r="P235" s="1595"/>
      <c r="X235" s="1585" t="s">
        <v>2644</v>
      </c>
      <c r="Y235" s="119" t="n">
        <v>199</v>
      </c>
    </row>
    <row r="236" customFormat="false" ht="15" hidden="false" customHeight="false" outlineLevel="0" collapsed="false">
      <c r="A236" s="2" t="n">
        <v>2023</v>
      </c>
      <c r="B236" s="119" t="n">
        <v>301</v>
      </c>
      <c r="C236" s="1585" t="s">
        <v>2645</v>
      </c>
      <c r="D236" s="1586" t="n">
        <v>0</v>
      </c>
      <c r="E236" s="1587" t="n">
        <v>0</v>
      </c>
      <c r="F236" s="1599" t="n">
        <v>1E-005</v>
      </c>
      <c r="G236" s="1599" t="n">
        <v>1E-005</v>
      </c>
      <c r="H236" s="1589" t="n">
        <v>0</v>
      </c>
      <c r="I236" s="1590" t="n">
        <v>0</v>
      </c>
      <c r="J236" s="1591" t="e">
        <f aca="false">F236/(0.7*_xlfn.single(RR))</f>
        <v>#NAME?</v>
      </c>
      <c r="K236" s="1591" t="e">
        <f aca="false">G236/(0.7*_xlfn.single(RR))</f>
        <v>#NAME?</v>
      </c>
      <c r="L236" s="1592"/>
      <c r="M236" s="1592"/>
      <c r="N236" s="1593"/>
      <c r="O236" s="1594"/>
      <c r="P236" s="1595"/>
      <c r="X236" s="1585" t="s">
        <v>2645</v>
      </c>
      <c r="Y236" s="119" t="n">
        <v>301</v>
      </c>
    </row>
    <row r="237" customFormat="false" ht="15" hidden="false" customHeight="false" outlineLevel="0" collapsed="false">
      <c r="A237" s="2" t="n">
        <v>2023</v>
      </c>
      <c r="B237" s="119" t="n">
        <v>124</v>
      </c>
      <c r="C237" s="1585" t="s">
        <v>1072</v>
      </c>
      <c r="D237" s="1586" t="n">
        <v>508</v>
      </c>
      <c r="E237" s="1587" t="n">
        <v>508</v>
      </c>
      <c r="F237" s="1588" t="n">
        <v>450.76</v>
      </c>
      <c r="G237" s="1588" t="n">
        <v>721.21</v>
      </c>
      <c r="H237" s="1589" t="n">
        <v>500</v>
      </c>
      <c r="I237" s="1590" t="n">
        <v>1500</v>
      </c>
      <c r="J237" s="1591" t="e">
        <f aca="false">F237/(0.7*_xlfn.single(RR))</f>
        <v>#NAME?</v>
      </c>
      <c r="K237" s="1591" t="e">
        <f aca="false">G237/(0.7*_xlfn.single(RR))</f>
        <v>#NAME?</v>
      </c>
      <c r="L237" s="1592"/>
      <c r="M237" s="1592"/>
      <c r="N237" s="1593"/>
      <c r="O237" s="1594"/>
      <c r="P237" s="1595" t="s">
        <v>2524</v>
      </c>
      <c r="X237" s="1585" t="s">
        <v>1072</v>
      </c>
      <c r="Y237" s="119" t="n">
        <v>124</v>
      </c>
    </row>
    <row r="238" customFormat="false" ht="15" hidden="false" customHeight="false" outlineLevel="0" collapsed="false">
      <c r="A238" s="2" t="n">
        <v>2023</v>
      </c>
      <c r="B238" s="119" t="n">
        <v>201</v>
      </c>
      <c r="C238" s="1585" t="s">
        <v>1244</v>
      </c>
      <c r="D238" s="1586" t="n">
        <v>2558</v>
      </c>
      <c r="E238" s="1587" t="n">
        <v>2558</v>
      </c>
      <c r="F238" s="1588" t="n">
        <v>480.81</v>
      </c>
      <c r="G238" s="1588" t="n">
        <v>1442.43</v>
      </c>
      <c r="H238" s="1589" t="n">
        <v>1939.72</v>
      </c>
      <c r="I238" s="1590" t="n">
        <v>8500</v>
      </c>
      <c r="J238" s="1591" t="e">
        <f aca="false">F238/(0.7*_xlfn.single(RR))</f>
        <v>#NAME?</v>
      </c>
      <c r="K238" s="1591" t="e">
        <f aca="false">G238/(0.7*_xlfn.single(RR))</f>
        <v>#NAME?</v>
      </c>
      <c r="L238" s="1592"/>
      <c r="M238" s="1592"/>
      <c r="N238" s="1593"/>
      <c r="O238" s="1594"/>
      <c r="P238" s="1595" t="s">
        <v>2524</v>
      </c>
      <c r="X238" s="1585" t="s">
        <v>1244</v>
      </c>
      <c r="Y238" s="119" t="n">
        <v>201</v>
      </c>
    </row>
    <row r="239" customFormat="false" ht="15" hidden="false" customHeight="false" outlineLevel="0" collapsed="false">
      <c r="A239" s="2" t="n">
        <v>2023</v>
      </c>
      <c r="B239" s="119" t="n">
        <v>74</v>
      </c>
      <c r="C239" s="1585" t="s">
        <v>1033</v>
      </c>
      <c r="D239" s="1586" t="n">
        <v>391</v>
      </c>
      <c r="E239" s="1587" t="n">
        <v>391</v>
      </c>
      <c r="F239" s="1588" t="n">
        <v>114.19</v>
      </c>
      <c r="G239" s="1588" t="n">
        <v>270.46</v>
      </c>
      <c r="H239" s="1589" t="n">
        <v>700</v>
      </c>
      <c r="I239" s="1590" t="n">
        <v>1800</v>
      </c>
      <c r="J239" s="1591" t="e">
        <f aca="false">F239/(0.7*_xlfn.single(RR))</f>
        <v>#NAME?</v>
      </c>
      <c r="K239" s="1591" t="e">
        <f aca="false">G239/(0.7*_xlfn.single(RR))</f>
        <v>#NAME?</v>
      </c>
      <c r="L239" s="1592"/>
      <c r="M239" s="1592"/>
      <c r="N239" s="1593"/>
      <c r="O239" s="1594"/>
      <c r="P239" s="1595" t="s">
        <v>2524</v>
      </c>
      <c r="X239" s="1585" t="s">
        <v>1033</v>
      </c>
      <c r="Y239" s="119" t="n">
        <v>74</v>
      </c>
    </row>
    <row r="240" customFormat="false" ht="15" hidden="false" customHeight="false" outlineLevel="0" collapsed="false">
      <c r="A240" s="2" t="n">
        <v>2023</v>
      </c>
      <c r="B240" s="119" t="n">
        <v>320</v>
      </c>
      <c r="C240" s="1585" t="s">
        <v>1351</v>
      </c>
      <c r="D240" s="1586" t="n">
        <v>391</v>
      </c>
      <c r="E240" s="1587" t="n">
        <v>391</v>
      </c>
      <c r="F240" s="1588" t="n">
        <v>114.19</v>
      </c>
      <c r="G240" s="1588" t="n">
        <v>240.4</v>
      </c>
      <c r="H240" s="1589" t="n">
        <v>1000</v>
      </c>
      <c r="I240" s="1590" t="n">
        <v>3800</v>
      </c>
      <c r="J240" s="1591" t="e">
        <f aca="false">F240/(0.7*_xlfn.single(RR))</f>
        <v>#NAME?</v>
      </c>
      <c r="K240" s="1591" t="e">
        <f aca="false">G240/(0.7*_xlfn.single(RR))</f>
        <v>#NAME?</v>
      </c>
      <c r="L240" s="1592"/>
      <c r="M240" s="1592"/>
      <c r="N240" s="1593"/>
      <c r="O240" s="1594"/>
      <c r="P240" s="1595"/>
      <c r="X240" s="1585" t="s">
        <v>1351</v>
      </c>
      <c r="Y240" s="119" t="n">
        <v>320</v>
      </c>
    </row>
    <row r="241" customFormat="false" ht="15" hidden="false" customHeight="false" outlineLevel="0" collapsed="false">
      <c r="A241" s="2" t="n">
        <v>2023</v>
      </c>
      <c r="B241" s="119" t="n">
        <v>208</v>
      </c>
      <c r="C241" s="1585" t="s">
        <v>2646</v>
      </c>
      <c r="D241" s="1586" t="n">
        <v>2558</v>
      </c>
      <c r="E241" s="1587" t="n">
        <v>2558</v>
      </c>
      <c r="F241" s="1588" t="n">
        <v>480.81</v>
      </c>
      <c r="G241" s="1588" t="n">
        <v>1442.43</v>
      </c>
      <c r="H241" s="1589" t="n">
        <v>1939.8</v>
      </c>
      <c r="I241" s="1590" t="n">
        <v>6000</v>
      </c>
      <c r="J241" s="1591" t="e">
        <f aca="false">F241/(0.7*_xlfn.single(RR))</f>
        <v>#NAME?</v>
      </c>
      <c r="K241" s="1591" t="e">
        <f aca="false">G241/(0.7*_xlfn.single(RR))</f>
        <v>#NAME?</v>
      </c>
      <c r="L241" s="1592"/>
      <c r="M241" s="1592"/>
      <c r="N241" s="1593"/>
      <c r="O241" s="1594"/>
      <c r="P241" s="1595"/>
      <c r="X241" s="1585" t="s">
        <v>2646</v>
      </c>
      <c r="Y241" s="119" t="n">
        <v>208</v>
      </c>
    </row>
    <row r="242" customFormat="false" ht="15" hidden="false" customHeight="false" outlineLevel="0" collapsed="false">
      <c r="A242" s="2" t="n">
        <v>2023</v>
      </c>
      <c r="B242" s="119" t="n">
        <v>333</v>
      </c>
      <c r="C242" s="1585" t="s">
        <v>2647</v>
      </c>
      <c r="D242" s="1586" t="n">
        <v>0</v>
      </c>
      <c r="E242" s="1587" t="n">
        <v>0</v>
      </c>
      <c r="F242" s="1599" t="n">
        <v>1E-005</v>
      </c>
      <c r="G242" s="1599" t="n">
        <v>1E-005</v>
      </c>
      <c r="H242" s="1589" t="n">
        <v>0</v>
      </c>
      <c r="I242" s="1590" t="n">
        <v>0</v>
      </c>
      <c r="J242" s="1591" t="e">
        <f aca="false">F242/(0.7*_xlfn.single(RR))</f>
        <v>#NAME?</v>
      </c>
      <c r="K242" s="1591" t="e">
        <f aca="false">G242/(0.7*_xlfn.single(RR))</f>
        <v>#NAME?</v>
      </c>
      <c r="L242" s="1592"/>
      <c r="M242" s="1592"/>
      <c r="N242" s="1593"/>
      <c r="O242" s="1594"/>
      <c r="P242" s="1595"/>
      <c r="X242" s="1585" t="s">
        <v>2647</v>
      </c>
      <c r="Y242" s="119" t="n">
        <v>333</v>
      </c>
    </row>
    <row r="243" customFormat="false" ht="15" hidden="false" customHeight="false" outlineLevel="0" collapsed="false">
      <c r="A243" s="2" t="n">
        <v>2023</v>
      </c>
      <c r="B243" s="119" t="n">
        <v>151</v>
      </c>
      <c r="C243" s="1585" t="s">
        <v>2648</v>
      </c>
      <c r="D243" s="1586" t="n">
        <v>3131</v>
      </c>
      <c r="E243" s="1587" t="n">
        <v>3131</v>
      </c>
      <c r="F243" s="1588" t="n">
        <v>360.61</v>
      </c>
      <c r="G243" s="1588" t="n">
        <v>1352.28</v>
      </c>
      <c r="H243" s="1589" t="n">
        <v>175</v>
      </c>
      <c r="I243" s="1590" t="n">
        <v>8500</v>
      </c>
      <c r="J243" s="1591" t="e">
        <f aca="false">F243/(0.7*_xlfn.single(RR))</f>
        <v>#NAME?</v>
      </c>
      <c r="K243" s="1591" t="e">
        <f aca="false">G243/(0.7*_xlfn.single(RR))</f>
        <v>#NAME?</v>
      </c>
      <c r="L243" s="1592"/>
      <c r="M243" s="1592"/>
      <c r="N243" s="1593"/>
      <c r="O243" s="1594"/>
      <c r="P243" s="1595" t="s">
        <v>2524</v>
      </c>
      <c r="X243" s="1585" t="s">
        <v>2648</v>
      </c>
      <c r="Y243" s="119" t="n">
        <v>151</v>
      </c>
    </row>
    <row r="244" customFormat="false" ht="15" hidden="false" customHeight="false" outlineLevel="0" collapsed="false">
      <c r="A244" s="2" t="n">
        <v>2023</v>
      </c>
      <c r="B244" s="119" t="n">
        <v>69</v>
      </c>
      <c r="C244" s="1585" t="s">
        <v>2649</v>
      </c>
      <c r="D244" s="1586" t="n">
        <v>391</v>
      </c>
      <c r="E244" s="1587" t="n">
        <v>391</v>
      </c>
      <c r="F244" s="1588" t="n">
        <v>114.19</v>
      </c>
      <c r="G244" s="1588" t="n">
        <v>270.46</v>
      </c>
      <c r="H244" s="1589" t="n">
        <v>700</v>
      </c>
      <c r="I244" s="1590" t="n">
        <v>2000</v>
      </c>
      <c r="J244" s="1591" t="e">
        <f aca="false">F244/(0.7*_xlfn.single(RR))</f>
        <v>#NAME?</v>
      </c>
      <c r="K244" s="1591" t="e">
        <f aca="false">G244/(0.7*_xlfn.single(RR))</f>
        <v>#NAME?</v>
      </c>
      <c r="L244" s="1592"/>
      <c r="M244" s="1592"/>
      <c r="N244" s="1593"/>
      <c r="O244" s="1594"/>
      <c r="P244" s="1595"/>
      <c r="X244" s="1585" t="s">
        <v>2649</v>
      </c>
      <c r="Y244" s="119" t="n">
        <v>69</v>
      </c>
    </row>
    <row r="245" customFormat="false" ht="15" hidden="false" customHeight="false" outlineLevel="0" collapsed="false">
      <c r="A245" s="2" t="n">
        <v>2023</v>
      </c>
      <c r="B245" s="119" t="n">
        <v>190</v>
      </c>
      <c r="C245" s="1585" t="s">
        <v>2650</v>
      </c>
      <c r="D245" s="1586" t="n">
        <v>3131</v>
      </c>
      <c r="E245" s="1587" t="n">
        <v>3131</v>
      </c>
      <c r="F245" s="1588" t="n">
        <v>360.61</v>
      </c>
      <c r="G245" s="1588" t="n">
        <v>1352.28</v>
      </c>
      <c r="H245" s="1589" t="n">
        <v>0</v>
      </c>
      <c r="I245" s="1590" t="n">
        <v>5200</v>
      </c>
      <c r="J245" s="1591" t="e">
        <f aca="false">F245/(0.7*_xlfn.single(RR))</f>
        <v>#NAME?</v>
      </c>
      <c r="K245" s="1591" t="e">
        <f aca="false">G245/(0.7*_xlfn.single(RR))</f>
        <v>#NAME?</v>
      </c>
      <c r="L245" s="1592"/>
      <c r="M245" s="1592"/>
      <c r="N245" s="1593"/>
      <c r="O245" s="1594"/>
      <c r="P245" s="1595" t="s">
        <v>2524</v>
      </c>
      <c r="X245" s="1585" t="s">
        <v>2650</v>
      </c>
      <c r="Y245" s="119" t="n">
        <v>190</v>
      </c>
    </row>
    <row r="246" customFormat="false" ht="15" hidden="false" customHeight="false" outlineLevel="0" collapsed="false">
      <c r="A246" s="2" t="n">
        <v>2023</v>
      </c>
      <c r="B246" s="119" t="n">
        <v>321</v>
      </c>
      <c r="C246" s="1585" t="s">
        <v>2651</v>
      </c>
      <c r="D246" s="1586" t="n">
        <v>3131</v>
      </c>
      <c r="E246" s="1587" t="n">
        <v>3131</v>
      </c>
      <c r="F246" s="1588" t="n">
        <v>360.61</v>
      </c>
      <c r="G246" s="1588" t="n">
        <v>1352.28</v>
      </c>
      <c r="H246" s="1589" t="n">
        <v>0</v>
      </c>
      <c r="I246" s="1590" t="n">
        <v>5200</v>
      </c>
      <c r="J246" s="1591" t="e">
        <f aca="false">F246/(0.7*_xlfn.single(RR))</f>
        <v>#NAME?</v>
      </c>
      <c r="K246" s="1591" t="e">
        <f aca="false">G246/(0.7*_xlfn.single(RR))</f>
        <v>#NAME?</v>
      </c>
      <c r="L246" s="1592"/>
      <c r="M246" s="1592"/>
      <c r="N246" s="1593"/>
      <c r="O246" s="1594"/>
      <c r="P246" s="1595"/>
      <c r="X246" s="1585" t="s">
        <v>2651</v>
      </c>
      <c r="Y246" s="119" t="n">
        <v>321</v>
      </c>
    </row>
    <row r="247" customFormat="false" ht="15" hidden="false" customHeight="false" outlineLevel="0" collapsed="false">
      <c r="A247" s="2" t="n">
        <v>2023</v>
      </c>
      <c r="B247" s="119" t="n">
        <v>350</v>
      </c>
      <c r="C247" s="1585" t="s">
        <v>2652</v>
      </c>
      <c r="D247" s="1586" t="n">
        <v>0</v>
      </c>
      <c r="E247" s="1587" t="n">
        <v>0</v>
      </c>
      <c r="F247" s="1599" t="n">
        <v>1E-005</v>
      </c>
      <c r="G247" s="1599" t="n">
        <v>1E-005</v>
      </c>
      <c r="H247" s="1589" t="n">
        <v>0</v>
      </c>
      <c r="I247" s="1590" t="n">
        <v>0</v>
      </c>
      <c r="J247" s="1591" t="e">
        <f aca="false">F247/(0.7*_xlfn.single(RR))</f>
        <v>#NAME?</v>
      </c>
      <c r="K247" s="1591" t="e">
        <f aca="false">G247/(0.7*_xlfn.single(RR))</f>
        <v>#NAME?</v>
      </c>
      <c r="L247" s="1592"/>
      <c r="M247" s="1592"/>
      <c r="N247" s="1593"/>
      <c r="O247" s="1594"/>
      <c r="P247" s="1595"/>
      <c r="X247" s="1585" t="s">
        <v>2652</v>
      </c>
      <c r="Y247" s="119" t="n">
        <v>350</v>
      </c>
    </row>
    <row r="248" customFormat="false" ht="15" hidden="false" customHeight="false" outlineLevel="0" collapsed="false">
      <c r="A248" s="2" t="n">
        <v>2023</v>
      </c>
      <c r="B248" s="119" t="n">
        <v>78</v>
      </c>
      <c r="C248" s="1585" t="s">
        <v>2653</v>
      </c>
      <c r="D248" s="1586" t="n">
        <v>391</v>
      </c>
      <c r="E248" s="1587" t="n">
        <v>391</v>
      </c>
      <c r="F248" s="1588" t="n">
        <v>114.19</v>
      </c>
      <c r="G248" s="1588" t="n">
        <v>270.46</v>
      </c>
      <c r="H248" s="1589" t="n">
        <v>700</v>
      </c>
      <c r="I248" s="1590" t="n">
        <v>2000</v>
      </c>
      <c r="J248" s="1591" t="e">
        <f aca="false">F248/(0.7*_xlfn.single(RR))</f>
        <v>#NAME?</v>
      </c>
      <c r="K248" s="1591" t="e">
        <f aca="false">G248/(0.7*_xlfn.single(RR))</f>
        <v>#NAME?</v>
      </c>
      <c r="L248" s="1592"/>
      <c r="M248" s="1592"/>
      <c r="N248" s="1593"/>
      <c r="O248" s="1594"/>
      <c r="P248" s="1595" t="s">
        <v>2524</v>
      </c>
      <c r="X248" s="1585" t="s">
        <v>2653</v>
      </c>
      <c r="Y248" s="119" t="n">
        <v>78</v>
      </c>
    </row>
    <row r="249" customFormat="false" ht="15" hidden="false" customHeight="false" outlineLevel="0" collapsed="false">
      <c r="A249" s="2" t="n">
        <v>2023</v>
      </c>
      <c r="B249" s="119" t="n">
        <v>90</v>
      </c>
      <c r="C249" s="1585" t="s">
        <v>1044</v>
      </c>
      <c r="D249" s="1586" t="n">
        <v>391</v>
      </c>
      <c r="E249" s="1587" t="n">
        <v>391</v>
      </c>
      <c r="F249" s="1588" t="n">
        <v>114.19</v>
      </c>
      <c r="G249" s="1588" t="n">
        <v>240.4</v>
      </c>
      <c r="H249" s="1589" t="n">
        <v>186.91</v>
      </c>
      <c r="I249" s="1590" t="n">
        <v>540.36</v>
      </c>
      <c r="J249" s="1591" t="e">
        <f aca="false">F249/(0.7*_xlfn.single(RR))</f>
        <v>#NAME?</v>
      </c>
      <c r="K249" s="1591" t="e">
        <f aca="false">G249/(0.7*_xlfn.single(RR))</f>
        <v>#NAME?</v>
      </c>
      <c r="L249" s="1592"/>
      <c r="M249" s="1592"/>
      <c r="N249" s="1593"/>
      <c r="O249" s="1594"/>
      <c r="P249" s="1595" t="s">
        <v>2524</v>
      </c>
      <c r="X249" s="1585" t="s">
        <v>1044</v>
      </c>
      <c r="Y249" s="119" t="n">
        <v>90</v>
      </c>
    </row>
    <row r="250" customFormat="false" ht="15" hidden="false" customHeight="false" outlineLevel="0" collapsed="false">
      <c r="A250" s="2" t="n">
        <v>2023</v>
      </c>
      <c r="B250" s="119" t="n">
        <v>82</v>
      </c>
      <c r="C250" s="1585" t="s">
        <v>1038</v>
      </c>
      <c r="D250" s="1586" t="n">
        <v>1964</v>
      </c>
      <c r="E250" s="1587" t="n">
        <v>1964</v>
      </c>
      <c r="F250" s="1588" t="n">
        <v>300.51</v>
      </c>
      <c r="G250" s="1588" t="n">
        <v>901.52</v>
      </c>
      <c r="H250" s="1589" t="n">
        <v>500</v>
      </c>
      <c r="I250" s="1590" t="n">
        <v>1300</v>
      </c>
      <c r="J250" s="1591" t="e">
        <f aca="false">F250/(0.7*_xlfn.single(RR))</f>
        <v>#NAME?</v>
      </c>
      <c r="K250" s="1591" t="e">
        <f aca="false">G250/(0.7*_xlfn.single(RR))</f>
        <v>#NAME?</v>
      </c>
      <c r="L250" s="1592"/>
      <c r="M250" s="1592"/>
      <c r="N250" s="1593"/>
      <c r="O250" s="1594"/>
      <c r="P250" s="1595" t="s">
        <v>2524</v>
      </c>
      <c r="X250" s="1585" t="s">
        <v>1038</v>
      </c>
      <c r="Y250" s="119" t="n">
        <v>82</v>
      </c>
    </row>
    <row r="251" customFormat="false" ht="15" hidden="false" customHeight="false" outlineLevel="0" collapsed="false">
      <c r="A251" s="2" t="n">
        <v>2023</v>
      </c>
      <c r="B251" s="119" t="n">
        <v>327</v>
      </c>
      <c r="C251" s="1585" t="s">
        <v>2654</v>
      </c>
      <c r="D251" s="1586" t="n">
        <v>3131</v>
      </c>
      <c r="E251" s="1587" t="n">
        <v>3131</v>
      </c>
      <c r="F251" s="1588" t="n">
        <v>360.61</v>
      </c>
      <c r="G251" s="1588" t="n">
        <v>1352.28</v>
      </c>
      <c r="H251" s="1589" t="n">
        <v>0</v>
      </c>
      <c r="I251" s="1590" t="n">
        <v>5200</v>
      </c>
      <c r="J251" s="1591" t="e">
        <f aca="false">F251/(0.7*_xlfn.single(RR))</f>
        <v>#NAME?</v>
      </c>
      <c r="K251" s="1591" t="e">
        <f aca="false">G251/(0.7*_xlfn.single(RR))</f>
        <v>#NAME?</v>
      </c>
      <c r="L251" s="1592"/>
      <c r="M251" s="1592"/>
      <c r="N251" s="1593"/>
      <c r="O251" s="1594"/>
      <c r="P251" s="1595"/>
      <c r="X251" s="1585" t="s">
        <v>2654</v>
      </c>
      <c r="Y251" s="119" t="n">
        <v>327</v>
      </c>
    </row>
    <row r="252" customFormat="false" ht="15" hidden="false" customHeight="false" outlineLevel="0" collapsed="false">
      <c r="A252" s="2" t="n">
        <v>2023</v>
      </c>
      <c r="B252" s="119" t="n">
        <v>172</v>
      </c>
      <c r="C252" s="1585" t="s">
        <v>1158</v>
      </c>
      <c r="D252" s="1586" t="n">
        <v>3131</v>
      </c>
      <c r="E252" s="1587" t="n">
        <v>3131</v>
      </c>
      <c r="F252" s="1588" t="n">
        <v>360.61</v>
      </c>
      <c r="G252" s="1588" t="n">
        <v>1352.28</v>
      </c>
      <c r="H252" s="1589" t="n">
        <v>0</v>
      </c>
      <c r="I252" s="1590" t="n">
        <v>5200</v>
      </c>
      <c r="J252" s="1591" t="e">
        <f aca="false">F252/(0.7*_xlfn.single(RR))</f>
        <v>#NAME?</v>
      </c>
      <c r="K252" s="1591" t="e">
        <f aca="false">G252/(0.7*_xlfn.single(RR))</f>
        <v>#NAME?</v>
      </c>
      <c r="L252" s="1592"/>
      <c r="M252" s="1592"/>
      <c r="N252" s="1593"/>
      <c r="O252" s="1594"/>
      <c r="P252" s="1595" t="s">
        <v>2524</v>
      </c>
      <c r="X252" s="1585" t="s">
        <v>1158</v>
      </c>
      <c r="Y252" s="119" t="n">
        <v>172</v>
      </c>
    </row>
    <row r="253" customFormat="false" ht="15" hidden="false" customHeight="false" outlineLevel="0" collapsed="false">
      <c r="A253" s="2" t="n">
        <v>2023</v>
      </c>
      <c r="B253" s="119" t="n">
        <v>28</v>
      </c>
      <c r="C253" s="1585" t="s">
        <v>2655</v>
      </c>
      <c r="D253" s="1586" t="n">
        <v>119</v>
      </c>
      <c r="E253" s="1587" t="n">
        <v>119</v>
      </c>
      <c r="F253" s="1588" t="n">
        <v>48.08</v>
      </c>
      <c r="G253" s="1588" t="n">
        <v>150.25</v>
      </c>
      <c r="H253" s="1589" t="n">
        <v>0</v>
      </c>
      <c r="I253" s="1590" t="n">
        <v>0</v>
      </c>
      <c r="J253" s="1591" t="e">
        <f aca="false">F253/(0.7*_xlfn.single(RR))</f>
        <v>#NAME?</v>
      </c>
      <c r="K253" s="1591" t="e">
        <f aca="false">G253/(0.7*_xlfn.single(RR))</f>
        <v>#NAME?</v>
      </c>
      <c r="L253" s="1592"/>
      <c r="M253" s="1592"/>
      <c r="N253" s="1593"/>
      <c r="O253" s="1594"/>
      <c r="P253" s="1595" t="s">
        <v>2524</v>
      </c>
      <c r="X253" s="1585" t="s">
        <v>2655</v>
      </c>
      <c r="Y253" s="119" t="n">
        <v>28</v>
      </c>
    </row>
    <row r="254" customFormat="false" ht="15" hidden="false" customHeight="false" outlineLevel="0" collapsed="false">
      <c r="A254" s="2" t="n">
        <v>2023</v>
      </c>
      <c r="B254" s="119" t="n">
        <v>230</v>
      </c>
      <c r="C254" s="1585" t="s">
        <v>2656</v>
      </c>
      <c r="D254" s="1586" t="n">
        <v>0</v>
      </c>
      <c r="E254" s="1587" t="n">
        <v>0</v>
      </c>
      <c r="F254" s="1599" t="n">
        <v>1E-005</v>
      </c>
      <c r="G254" s="1599" t="n">
        <v>1E-005</v>
      </c>
      <c r="H254" s="1589" t="n">
        <v>0</v>
      </c>
      <c r="I254" s="1590" t="n">
        <v>0</v>
      </c>
      <c r="J254" s="1591" t="e">
        <f aca="false">F254/(0.7*_xlfn.single(RR))</f>
        <v>#NAME?</v>
      </c>
      <c r="K254" s="1591" t="e">
        <f aca="false">G254/(0.7*_xlfn.single(RR))</f>
        <v>#NAME?</v>
      </c>
      <c r="L254" s="1592"/>
      <c r="M254" s="1592"/>
      <c r="N254" s="1593"/>
      <c r="O254" s="1594"/>
      <c r="P254" s="1595"/>
      <c r="X254" s="1585" t="s">
        <v>2656</v>
      </c>
      <c r="Y254" s="119" t="n">
        <v>230</v>
      </c>
    </row>
    <row r="255" customFormat="false" ht="15" hidden="false" customHeight="false" outlineLevel="0" collapsed="false">
      <c r="A255" s="2" t="n">
        <v>2023</v>
      </c>
      <c r="B255" s="119" t="n">
        <v>293</v>
      </c>
      <c r="C255" s="1585" t="s">
        <v>2657</v>
      </c>
      <c r="D255" s="1586" t="n">
        <v>0</v>
      </c>
      <c r="E255" s="1587" t="n">
        <v>0</v>
      </c>
      <c r="F255" s="1599" t="n">
        <v>1E-005</v>
      </c>
      <c r="G255" s="1599" t="n">
        <v>1E-005</v>
      </c>
      <c r="H255" s="1589" t="n">
        <v>0</v>
      </c>
      <c r="I255" s="1590" t="n">
        <v>0</v>
      </c>
      <c r="J255" s="1591" t="e">
        <f aca="false">F255/(0.7*_xlfn.single(RR))</f>
        <v>#NAME?</v>
      </c>
      <c r="K255" s="1591" t="e">
        <f aca="false">G255/(0.7*_xlfn.single(RR))</f>
        <v>#NAME?</v>
      </c>
      <c r="L255" s="1592"/>
      <c r="M255" s="1592"/>
      <c r="N255" s="1593"/>
      <c r="O255" s="1594"/>
      <c r="P255" s="1595"/>
      <c r="X255" s="1585" t="s">
        <v>2657</v>
      </c>
      <c r="Y255" s="119" t="n">
        <v>293</v>
      </c>
    </row>
    <row r="256" customFormat="false" ht="15" hidden="false" customHeight="false" outlineLevel="0" collapsed="false">
      <c r="A256" s="2" t="n">
        <v>2023</v>
      </c>
      <c r="B256" s="119" t="n">
        <v>92</v>
      </c>
      <c r="C256" s="1585" t="s">
        <v>1045</v>
      </c>
      <c r="D256" s="1586" t="n">
        <v>3131</v>
      </c>
      <c r="E256" s="1587" t="n">
        <v>3131</v>
      </c>
      <c r="F256" s="1588" t="n">
        <v>360.61</v>
      </c>
      <c r="G256" s="1588" t="n">
        <v>1352.28</v>
      </c>
      <c r="H256" s="1589" t="n">
        <v>0</v>
      </c>
      <c r="I256" s="1590" t="n">
        <v>5200</v>
      </c>
      <c r="J256" s="1591" t="e">
        <f aca="false">F256/(0.7*_xlfn.single(RR))</f>
        <v>#NAME?</v>
      </c>
      <c r="K256" s="1591" t="e">
        <f aca="false">G256/(0.7*_xlfn.single(RR))</f>
        <v>#NAME?</v>
      </c>
      <c r="L256" s="1592"/>
      <c r="M256" s="1592"/>
      <c r="N256" s="1593"/>
      <c r="O256" s="1594"/>
      <c r="P256" s="1595" t="s">
        <v>2524</v>
      </c>
      <c r="X256" s="1585" t="s">
        <v>1045</v>
      </c>
      <c r="Y256" s="119" t="n">
        <v>92</v>
      </c>
    </row>
    <row r="257" customFormat="false" ht="15" hidden="false" customHeight="false" outlineLevel="0" collapsed="false">
      <c r="A257" s="2" t="n">
        <v>2023</v>
      </c>
      <c r="B257" s="119" t="n">
        <v>288</v>
      </c>
      <c r="C257" s="1585" t="s">
        <v>1336</v>
      </c>
      <c r="D257" s="1586" t="n">
        <v>391</v>
      </c>
      <c r="E257" s="1587" t="n">
        <v>391</v>
      </c>
      <c r="F257" s="1588" t="n">
        <v>114.19</v>
      </c>
      <c r="G257" s="1588" t="n">
        <v>240.4</v>
      </c>
      <c r="H257" s="1589" t="n">
        <v>1000</v>
      </c>
      <c r="I257" s="1590" t="n">
        <v>3800</v>
      </c>
      <c r="J257" s="1591" t="e">
        <f aca="false">F257/(0.7*_xlfn.single(RR))</f>
        <v>#NAME?</v>
      </c>
      <c r="K257" s="1591" t="e">
        <f aca="false">G257/(0.7*_xlfn.single(RR))</f>
        <v>#NAME?</v>
      </c>
      <c r="L257" s="1592"/>
      <c r="M257" s="1592"/>
      <c r="N257" s="1593"/>
      <c r="O257" s="1594"/>
      <c r="P257" s="1595"/>
      <c r="X257" s="1585" t="s">
        <v>1336</v>
      </c>
      <c r="Y257" s="119" t="n">
        <v>288</v>
      </c>
    </row>
    <row r="258" customFormat="false" ht="15" hidden="false" customHeight="false" outlineLevel="0" collapsed="false">
      <c r="A258" s="2" t="n">
        <v>2023</v>
      </c>
      <c r="B258" s="119" t="n">
        <v>322</v>
      </c>
      <c r="C258" s="1585" t="s">
        <v>2658</v>
      </c>
      <c r="D258" s="1586" t="n">
        <v>391</v>
      </c>
      <c r="E258" s="1587" t="n">
        <v>391</v>
      </c>
      <c r="F258" s="1588" t="n">
        <v>114.19</v>
      </c>
      <c r="G258" s="1588" t="n">
        <v>240.4</v>
      </c>
      <c r="H258" s="1589" t="n">
        <v>1000</v>
      </c>
      <c r="I258" s="1590" t="n">
        <v>3800</v>
      </c>
      <c r="J258" s="1591" t="e">
        <f aca="false">F258/(0.7*_xlfn.single(RR))</f>
        <v>#NAME?</v>
      </c>
      <c r="K258" s="1591" t="e">
        <f aca="false">G258/(0.7*_xlfn.single(RR))</f>
        <v>#NAME?</v>
      </c>
      <c r="L258" s="1592"/>
      <c r="M258" s="1592"/>
      <c r="N258" s="1593"/>
      <c r="O258" s="1594"/>
      <c r="P258" s="1635" t="n">
        <v>1</v>
      </c>
      <c r="X258" s="1585" t="s">
        <v>2658</v>
      </c>
      <c r="Y258" s="119" t="n">
        <v>322</v>
      </c>
    </row>
    <row r="259" customFormat="false" ht="15" hidden="false" customHeight="false" outlineLevel="0" collapsed="false">
      <c r="A259" s="2" t="n">
        <v>2023</v>
      </c>
      <c r="B259" s="119" t="n">
        <v>300</v>
      </c>
      <c r="C259" s="1585" t="s">
        <v>2659</v>
      </c>
      <c r="D259" s="1586" t="n">
        <v>0</v>
      </c>
      <c r="E259" s="1587" t="n">
        <v>0</v>
      </c>
      <c r="F259" s="1599" t="n">
        <v>1E-005</v>
      </c>
      <c r="G259" s="1599" t="n">
        <v>1E-005</v>
      </c>
      <c r="H259" s="1589" t="n">
        <v>0</v>
      </c>
      <c r="I259" s="1590" t="n">
        <v>0</v>
      </c>
      <c r="J259" s="1591" t="e">
        <f aca="false">F259/(0.7*_xlfn.single(RR))</f>
        <v>#NAME?</v>
      </c>
      <c r="K259" s="1591" t="e">
        <f aca="false">G259/(0.7*_xlfn.single(RR))</f>
        <v>#NAME?</v>
      </c>
      <c r="L259" s="1592"/>
      <c r="M259" s="1592"/>
      <c r="N259" s="1593"/>
      <c r="O259" s="1594"/>
      <c r="P259" s="1635" t="n">
        <v>1</v>
      </c>
      <c r="X259" s="1585" t="s">
        <v>2659</v>
      </c>
      <c r="Y259" s="119" t="n">
        <v>300</v>
      </c>
    </row>
    <row r="260" customFormat="false" ht="15" hidden="false" customHeight="false" outlineLevel="0" collapsed="false">
      <c r="A260" s="2" t="n">
        <v>2023</v>
      </c>
      <c r="B260" s="119" t="n">
        <v>227</v>
      </c>
      <c r="C260" s="1585" t="s">
        <v>2660</v>
      </c>
      <c r="D260" s="1586" t="n">
        <v>391</v>
      </c>
      <c r="E260" s="1587" t="n">
        <v>391</v>
      </c>
      <c r="F260" s="1588" t="n">
        <v>114.19</v>
      </c>
      <c r="G260" s="1588" t="n">
        <v>240.4</v>
      </c>
      <c r="H260" s="1589" t="n">
        <v>0</v>
      </c>
      <c r="I260" s="1590" t="n">
        <v>0</v>
      </c>
      <c r="J260" s="1591" t="e">
        <f aca="false">F260/(0.7*_xlfn.single(RR))</f>
        <v>#NAME?</v>
      </c>
      <c r="K260" s="1591" t="e">
        <f aca="false">G260/(0.7*_xlfn.single(RR))</f>
        <v>#NAME?</v>
      </c>
      <c r="L260" s="1592"/>
      <c r="M260" s="1592"/>
      <c r="N260" s="1593"/>
      <c r="O260" s="1594"/>
      <c r="P260" s="1635" t="n">
        <v>1</v>
      </c>
      <c r="X260" s="1585" t="s">
        <v>2660</v>
      </c>
      <c r="Y260" s="119" t="n">
        <v>227</v>
      </c>
    </row>
    <row r="261" customFormat="false" ht="15" hidden="false" customHeight="false" outlineLevel="0" collapsed="false">
      <c r="A261" s="2" t="n">
        <v>2023</v>
      </c>
      <c r="B261" s="119" t="n">
        <v>268</v>
      </c>
      <c r="C261" s="1585" t="s">
        <v>1313</v>
      </c>
      <c r="D261" s="1586" t="n">
        <v>391</v>
      </c>
      <c r="E261" s="1587" t="n">
        <v>391</v>
      </c>
      <c r="F261" s="1588" t="n">
        <v>114.19</v>
      </c>
      <c r="G261" s="1588" t="n">
        <v>240.4</v>
      </c>
      <c r="H261" s="1589" t="n">
        <v>1000</v>
      </c>
      <c r="I261" s="1590" t="n">
        <v>3800</v>
      </c>
      <c r="J261" s="1591" t="e">
        <f aca="false">F261/(0.7*_xlfn.single(RR))</f>
        <v>#NAME?</v>
      </c>
      <c r="K261" s="1591" t="e">
        <f aca="false">G261/(0.7*_xlfn.single(RR))</f>
        <v>#NAME?</v>
      </c>
      <c r="L261" s="1592"/>
      <c r="M261" s="1592"/>
      <c r="N261" s="1593"/>
      <c r="O261" s="1594"/>
      <c r="P261" s="1635" t="n">
        <v>1</v>
      </c>
      <c r="X261" s="1585" t="s">
        <v>1313</v>
      </c>
      <c r="Y261" s="119" t="n">
        <v>268</v>
      </c>
    </row>
    <row r="262" customFormat="false" ht="15" hidden="false" customHeight="false" outlineLevel="0" collapsed="false">
      <c r="A262" s="2" t="n">
        <v>2023</v>
      </c>
      <c r="B262" s="119" t="n">
        <v>156</v>
      </c>
      <c r="C262" s="1585" t="s">
        <v>2661</v>
      </c>
      <c r="D262" s="1586" t="n">
        <v>3131</v>
      </c>
      <c r="E262" s="1587" t="n">
        <v>3131</v>
      </c>
      <c r="F262" s="1588" t="n">
        <v>360.61</v>
      </c>
      <c r="G262" s="1588" t="n">
        <v>1352.28</v>
      </c>
      <c r="H262" s="1589" t="n">
        <v>0</v>
      </c>
      <c r="I262" s="1590" t="n">
        <v>8500</v>
      </c>
      <c r="J262" s="1591" t="e">
        <f aca="false">F262/(0.7*_xlfn.single(RR))</f>
        <v>#NAME?</v>
      </c>
      <c r="K262" s="1591" t="e">
        <f aca="false">G262/(0.7*_xlfn.single(RR))</f>
        <v>#NAME?</v>
      </c>
      <c r="L262" s="1592"/>
      <c r="M262" s="1592"/>
      <c r="N262" s="1593"/>
      <c r="O262" s="1594"/>
      <c r="P262" s="1635" t="s">
        <v>2524</v>
      </c>
      <c r="X262" s="1585" t="s">
        <v>2661</v>
      </c>
      <c r="Y262" s="119" t="n">
        <v>156</v>
      </c>
    </row>
    <row r="263" customFormat="false" ht="15" hidden="false" customHeight="false" outlineLevel="0" collapsed="false">
      <c r="A263" s="2" t="n">
        <v>2023</v>
      </c>
      <c r="B263" s="119" t="n">
        <v>289</v>
      </c>
      <c r="C263" s="1585" t="s">
        <v>1337</v>
      </c>
      <c r="D263" s="1586" t="n">
        <v>391</v>
      </c>
      <c r="E263" s="1587" t="n">
        <v>391</v>
      </c>
      <c r="F263" s="1588" t="n">
        <v>114.19</v>
      </c>
      <c r="G263" s="1588" t="n">
        <v>240.4</v>
      </c>
      <c r="H263" s="1589" t="n">
        <v>1000</v>
      </c>
      <c r="I263" s="1590" t="n">
        <v>3800</v>
      </c>
      <c r="J263" s="1591" t="e">
        <f aca="false">F263/(0.7*_xlfn.single(RR))</f>
        <v>#NAME?</v>
      </c>
      <c r="K263" s="1591" t="e">
        <f aca="false">G263/(0.7*_xlfn.single(RR))</f>
        <v>#NAME?</v>
      </c>
      <c r="L263" s="1592"/>
      <c r="M263" s="1592"/>
      <c r="N263" s="1593"/>
      <c r="O263" s="1594"/>
      <c r="P263" s="1635"/>
      <c r="X263" s="1585" t="s">
        <v>1337</v>
      </c>
      <c r="Y263" s="119" t="n">
        <v>289</v>
      </c>
    </row>
    <row r="264" customFormat="false" ht="15" hidden="false" customHeight="false" outlineLevel="0" collapsed="false">
      <c r="A264" s="2" t="n">
        <v>2023</v>
      </c>
      <c r="B264" s="119" t="n">
        <v>205</v>
      </c>
      <c r="C264" s="1585" t="s">
        <v>2662</v>
      </c>
      <c r="D264" s="1586" t="n">
        <v>2558</v>
      </c>
      <c r="E264" s="1587" t="n">
        <v>2558</v>
      </c>
      <c r="F264" s="1588" t="n">
        <v>480.81</v>
      </c>
      <c r="G264" s="1588" t="n">
        <v>1442.43</v>
      </c>
      <c r="H264" s="1589" t="n">
        <v>1939.8</v>
      </c>
      <c r="I264" s="1590" t="n">
        <v>6000</v>
      </c>
      <c r="J264" s="1591" t="e">
        <f aca="false">F264/(0.7*_xlfn.single(RR))</f>
        <v>#NAME?</v>
      </c>
      <c r="K264" s="1591" t="e">
        <f aca="false">G264/(0.7*_xlfn.single(RR))</f>
        <v>#NAME?</v>
      </c>
      <c r="L264" s="1592"/>
      <c r="M264" s="1592"/>
      <c r="N264" s="1593"/>
      <c r="O264" s="1594"/>
      <c r="P264" s="1635"/>
      <c r="X264" s="1585" t="s">
        <v>2662</v>
      </c>
      <c r="Y264" s="119" t="n">
        <v>205</v>
      </c>
    </row>
    <row r="265" customFormat="false" ht="15" hidden="false" customHeight="false" outlineLevel="0" collapsed="false">
      <c r="A265" s="2" t="n">
        <v>2023</v>
      </c>
      <c r="B265" s="119" t="n">
        <v>97</v>
      </c>
      <c r="C265" s="1585" t="s">
        <v>2663</v>
      </c>
      <c r="D265" s="1586" t="n">
        <v>0</v>
      </c>
      <c r="E265" s="1587" t="n">
        <v>180000</v>
      </c>
      <c r="F265" s="1599" t="n">
        <v>1E-005</v>
      </c>
      <c r="G265" s="1588" t="n">
        <v>100000</v>
      </c>
      <c r="H265" s="1589" t="n">
        <v>0</v>
      </c>
      <c r="I265" s="1590" t="n">
        <v>180000</v>
      </c>
      <c r="J265" s="1591" t="e">
        <f aca="false">F265/(0.7*_xlfn.single(RR))</f>
        <v>#NAME?</v>
      </c>
      <c r="K265" s="1591" t="e">
        <f aca="false">G265/(0.7*_xlfn.single(RR))</f>
        <v>#NAME?</v>
      </c>
      <c r="L265" s="1592"/>
      <c r="M265" s="1592"/>
      <c r="N265" s="1593"/>
      <c r="O265" s="1594"/>
      <c r="P265" s="1635" t="s">
        <v>2524</v>
      </c>
      <c r="X265" s="1585" t="s">
        <v>2663</v>
      </c>
      <c r="Y265" s="119" t="n">
        <v>97</v>
      </c>
    </row>
    <row r="266" customFormat="false" ht="15" hidden="false" customHeight="false" outlineLevel="0" collapsed="false">
      <c r="A266" s="2" t="n">
        <v>2023</v>
      </c>
      <c r="B266" s="119" t="n">
        <v>341</v>
      </c>
      <c r="C266" s="1585" t="s">
        <v>1362</v>
      </c>
      <c r="D266" s="1586" t="n">
        <v>391</v>
      </c>
      <c r="E266" s="1587" t="n">
        <v>391</v>
      </c>
      <c r="F266" s="1588" t="n">
        <v>114.19</v>
      </c>
      <c r="G266" s="1588" t="n">
        <v>240.4</v>
      </c>
      <c r="H266" s="1589" t="n">
        <v>1000</v>
      </c>
      <c r="I266" s="1590" t="n">
        <v>3800</v>
      </c>
      <c r="J266" s="1591" t="e">
        <f aca="false">F266/(0.7*_xlfn.single(RR))</f>
        <v>#NAME?</v>
      </c>
      <c r="K266" s="1591" t="e">
        <f aca="false">G266/(0.7*_xlfn.single(RR))</f>
        <v>#NAME?</v>
      </c>
      <c r="L266" s="1592"/>
      <c r="M266" s="1592"/>
      <c r="N266" s="1593"/>
      <c r="O266" s="1594"/>
      <c r="P266" s="1635"/>
      <c r="X266" s="1585" t="s">
        <v>1362</v>
      </c>
      <c r="Y266" s="119" t="n">
        <v>341</v>
      </c>
    </row>
    <row r="267" customFormat="false" ht="15" hidden="false" customHeight="false" outlineLevel="0" collapsed="false">
      <c r="A267" s="2" t="n">
        <v>2023</v>
      </c>
      <c r="B267" s="119" t="n">
        <v>900</v>
      </c>
      <c r="C267" s="1585" t="s">
        <v>2664</v>
      </c>
      <c r="D267" s="1586" t="n">
        <v>391</v>
      </c>
      <c r="E267" s="1587" t="n">
        <v>391</v>
      </c>
      <c r="F267" s="1588" t="n">
        <v>114.19</v>
      </c>
      <c r="G267" s="1588" t="n">
        <v>240.4</v>
      </c>
      <c r="H267" s="1589" t="n">
        <v>1000</v>
      </c>
      <c r="I267" s="1590" t="n">
        <v>3800</v>
      </c>
      <c r="J267" s="1591" t="e">
        <f aca="false">F267/(0.7*_xlfn.single(RR))</f>
        <v>#NAME?</v>
      </c>
      <c r="K267" s="1591" t="e">
        <f aca="false">G267/(0.7*_xlfn.single(RR))</f>
        <v>#NAME?</v>
      </c>
      <c r="L267" s="1592"/>
      <c r="M267" s="1592"/>
      <c r="N267" s="1593"/>
      <c r="O267" s="1594"/>
      <c r="P267" s="1635"/>
      <c r="X267" s="1585" t="s">
        <v>2664</v>
      </c>
      <c r="Y267" s="119" t="n">
        <v>900</v>
      </c>
    </row>
    <row r="268" customFormat="false" ht="15" hidden="false" customHeight="false" outlineLevel="0" collapsed="false">
      <c r="A268" s="2" t="n">
        <v>2023</v>
      </c>
      <c r="B268" s="119" t="n">
        <v>34</v>
      </c>
      <c r="C268" s="1585" t="s">
        <v>1011</v>
      </c>
      <c r="D268" s="1586" t="n">
        <v>391</v>
      </c>
      <c r="E268" s="1587" t="n">
        <v>391</v>
      </c>
      <c r="F268" s="1588" t="n">
        <v>114.19</v>
      </c>
      <c r="G268" s="1588" t="n">
        <v>240.4</v>
      </c>
      <c r="H268" s="1589" t="n">
        <v>350</v>
      </c>
      <c r="I268" s="1590" t="n">
        <v>850</v>
      </c>
      <c r="J268" s="1591" t="e">
        <f aca="false">F268/(0.7*_xlfn.single(RR))</f>
        <v>#NAME?</v>
      </c>
      <c r="K268" s="1591" t="e">
        <f aca="false">G268/(0.7*_xlfn.single(RR))</f>
        <v>#NAME?</v>
      </c>
      <c r="L268" s="1592"/>
      <c r="M268" s="1592"/>
      <c r="N268" s="1593"/>
      <c r="O268" s="1594"/>
      <c r="P268" s="1635" t="s">
        <v>2524</v>
      </c>
      <c r="X268" s="1585" t="s">
        <v>1011</v>
      </c>
      <c r="Y268" s="119" t="n">
        <v>34</v>
      </c>
    </row>
    <row r="269" customFormat="false" ht="15" hidden="false" customHeight="false" outlineLevel="0" collapsed="false">
      <c r="A269" s="2" t="n">
        <v>2023</v>
      </c>
      <c r="B269" s="119" t="n">
        <v>7</v>
      </c>
      <c r="C269" s="1585" t="s">
        <v>999</v>
      </c>
      <c r="D269" s="1586" t="n">
        <v>391</v>
      </c>
      <c r="E269" s="1587" t="n">
        <v>391</v>
      </c>
      <c r="F269" s="1588" t="n">
        <v>114.19</v>
      </c>
      <c r="G269" s="1588" t="n">
        <v>240.4</v>
      </c>
      <c r="H269" s="1589" t="n">
        <v>400</v>
      </c>
      <c r="I269" s="1590" t="n">
        <v>800</v>
      </c>
      <c r="J269" s="1591" t="e">
        <f aca="false">F269/(0.7*_xlfn.single(RR))</f>
        <v>#NAME?</v>
      </c>
      <c r="K269" s="1591" t="e">
        <f aca="false">G269/(0.7*_xlfn.single(RR))</f>
        <v>#NAME?</v>
      </c>
      <c r="L269" s="1592"/>
      <c r="M269" s="1592"/>
      <c r="N269" s="1593"/>
      <c r="O269" s="1594"/>
      <c r="P269" s="1635" t="s">
        <v>2524</v>
      </c>
      <c r="X269" s="1585" t="s">
        <v>999</v>
      </c>
      <c r="Y269" s="119" t="n">
        <v>7</v>
      </c>
    </row>
    <row r="270" customFormat="false" ht="15" hidden="false" customHeight="false" outlineLevel="0" collapsed="false">
      <c r="A270" s="2" t="n">
        <v>2023</v>
      </c>
      <c r="B270" s="119" t="n">
        <v>700</v>
      </c>
      <c r="C270" s="1636" t="s">
        <v>2665</v>
      </c>
      <c r="D270" s="1586" t="n">
        <v>0</v>
      </c>
      <c r="E270" s="1587" t="n">
        <v>0</v>
      </c>
      <c r="F270" s="1599" t="n">
        <v>1E-005</v>
      </c>
      <c r="G270" s="1599" t="n">
        <v>1E-005</v>
      </c>
      <c r="H270" s="1589" t="n">
        <v>0</v>
      </c>
      <c r="I270" s="1590" t="n">
        <v>0</v>
      </c>
      <c r="J270" s="1591" t="e">
        <f aca="false">F270/(0.7*_xlfn.single(RR))</f>
        <v>#NAME?</v>
      </c>
      <c r="K270" s="1591" t="e">
        <f aca="false">G270/(0.7*_xlfn.single(RR))</f>
        <v>#NAME?</v>
      </c>
      <c r="L270" s="1592"/>
      <c r="M270" s="1592"/>
      <c r="N270" s="1593"/>
      <c r="O270" s="1594"/>
      <c r="P270" s="1635"/>
      <c r="X270" s="1636" t="s">
        <v>2665</v>
      </c>
      <c r="Y270" s="119" t="n">
        <v>700</v>
      </c>
    </row>
    <row r="271" customFormat="false" ht="15" hidden="false" customHeight="false" outlineLevel="0" collapsed="false">
      <c r="A271" s="2" t="n">
        <v>2023</v>
      </c>
      <c r="B271" s="119" t="n">
        <v>237</v>
      </c>
      <c r="C271" s="1585" t="s">
        <v>2666</v>
      </c>
      <c r="D271" s="1586" t="n">
        <v>508</v>
      </c>
      <c r="E271" s="1587" t="n">
        <v>508</v>
      </c>
      <c r="F271" s="1588" t="n">
        <v>390.66</v>
      </c>
      <c r="G271" s="1588" t="n">
        <v>390.66</v>
      </c>
      <c r="H271" s="1589" t="n">
        <v>0</v>
      </c>
      <c r="I271" s="1590" t="n">
        <v>1000</v>
      </c>
      <c r="J271" s="1591" t="e">
        <f aca="false">F271/(0.7*_xlfn.single(RR))</f>
        <v>#NAME?</v>
      </c>
      <c r="K271" s="1591" t="e">
        <f aca="false">G271/(0.7*_xlfn.single(RR))</f>
        <v>#NAME?</v>
      </c>
      <c r="L271" s="1592"/>
      <c r="M271" s="1592"/>
      <c r="N271" s="1593"/>
      <c r="O271" s="1594"/>
      <c r="P271" s="1635" t="s">
        <v>2524</v>
      </c>
      <c r="X271" s="1585" t="s">
        <v>2666</v>
      </c>
      <c r="Y271" s="119" t="n">
        <v>237</v>
      </c>
    </row>
    <row r="272" customFormat="false" ht="15" hidden="false" customHeight="false" outlineLevel="0" collapsed="false">
      <c r="A272" s="2" t="n">
        <v>2023</v>
      </c>
      <c r="B272" s="119" t="n">
        <v>114</v>
      </c>
      <c r="C272" s="1585" t="s">
        <v>2667</v>
      </c>
      <c r="D272" s="1586" t="n">
        <v>0</v>
      </c>
      <c r="E272" s="1587" t="n">
        <v>0</v>
      </c>
      <c r="F272" s="1599" t="n">
        <v>1E-005</v>
      </c>
      <c r="G272" s="1599" t="n">
        <v>1E-005</v>
      </c>
      <c r="H272" s="1589" t="n">
        <v>0</v>
      </c>
      <c r="I272" s="1590" t="n">
        <v>0</v>
      </c>
      <c r="J272" s="1591" t="e">
        <f aca="false">F272/(0.7*_xlfn.single(RR))</f>
        <v>#NAME?</v>
      </c>
      <c r="K272" s="1591" t="e">
        <f aca="false">G272/(0.7*_xlfn.single(RR))</f>
        <v>#NAME?</v>
      </c>
      <c r="L272" s="1592"/>
      <c r="M272" s="1592"/>
      <c r="N272" s="1593"/>
      <c r="O272" s="1594"/>
      <c r="P272" s="1635"/>
      <c r="X272" s="1585" t="s">
        <v>2667</v>
      </c>
      <c r="Y272" s="119" t="n">
        <v>114</v>
      </c>
    </row>
    <row r="273" customFormat="false" ht="15" hidden="false" customHeight="false" outlineLevel="0" collapsed="false">
      <c r="A273" s="2" t="n">
        <v>2023</v>
      </c>
      <c r="B273" s="119" t="n">
        <v>83</v>
      </c>
      <c r="C273" s="1585" t="s">
        <v>2668</v>
      </c>
      <c r="D273" s="1586" t="n">
        <v>0</v>
      </c>
      <c r="E273" s="1587" t="n">
        <v>0</v>
      </c>
      <c r="F273" s="1599" t="n">
        <v>1E-005</v>
      </c>
      <c r="G273" s="1599" t="n">
        <v>1E-005</v>
      </c>
      <c r="H273" s="1589" t="n">
        <v>270.46</v>
      </c>
      <c r="I273" s="1590" t="n">
        <v>600</v>
      </c>
      <c r="J273" s="1591" t="e">
        <f aca="false">F273/(0.7*_xlfn.single(RR))</f>
        <v>#NAME?</v>
      </c>
      <c r="K273" s="1591" t="e">
        <f aca="false">G273/(0.7*_xlfn.single(RR))</f>
        <v>#NAME?</v>
      </c>
      <c r="L273" s="1592"/>
      <c r="M273" s="1592"/>
      <c r="N273" s="1593"/>
      <c r="O273" s="1594"/>
      <c r="P273" s="1635"/>
      <c r="X273" s="1585" t="s">
        <v>2668</v>
      </c>
      <c r="Y273" s="119" t="n">
        <v>83</v>
      </c>
    </row>
    <row r="274" customFormat="false" ht="15" hidden="false" customHeight="false" outlineLevel="0" collapsed="false">
      <c r="A274" s="2" t="n">
        <v>2023</v>
      </c>
      <c r="B274" s="119" t="n">
        <v>19</v>
      </c>
      <c r="C274" s="1585" t="s">
        <v>1007</v>
      </c>
      <c r="D274" s="1586" t="n">
        <v>391</v>
      </c>
      <c r="E274" s="1587" t="n">
        <v>391</v>
      </c>
      <c r="F274" s="1588" t="n">
        <v>114.19</v>
      </c>
      <c r="G274" s="1588" t="n">
        <v>240.4</v>
      </c>
      <c r="H274" s="1589" t="n">
        <v>365.73</v>
      </c>
      <c r="I274" s="1590" t="n">
        <v>600</v>
      </c>
      <c r="J274" s="1591" t="e">
        <f aca="false">F274/(0.7*_xlfn.single(RR))</f>
        <v>#NAME?</v>
      </c>
      <c r="K274" s="1591" t="e">
        <f aca="false">G274/(0.7*_xlfn.single(RR))</f>
        <v>#NAME?</v>
      </c>
      <c r="L274" s="1592"/>
      <c r="M274" s="1592"/>
      <c r="N274" s="1593"/>
      <c r="O274" s="1594"/>
      <c r="P274" s="1635"/>
      <c r="X274" s="1585" t="s">
        <v>1007</v>
      </c>
      <c r="Y274" s="119" t="n">
        <v>19</v>
      </c>
    </row>
    <row r="275" customFormat="false" ht="15" hidden="false" customHeight="false" outlineLevel="0" collapsed="false">
      <c r="A275" s="2" t="n">
        <v>2023</v>
      </c>
      <c r="B275" s="119" t="n">
        <v>240</v>
      </c>
      <c r="C275" s="1585" t="s">
        <v>1285</v>
      </c>
      <c r="D275" s="1586" t="n">
        <v>391</v>
      </c>
      <c r="E275" s="1587" t="n">
        <v>391</v>
      </c>
      <c r="F275" s="1588" t="n">
        <v>114.19</v>
      </c>
      <c r="G275" s="1588" t="n">
        <v>240.4</v>
      </c>
      <c r="H275" s="1589" t="n">
        <v>186.91</v>
      </c>
      <c r="I275" s="1590" t="n">
        <v>540.36</v>
      </c>
      <c r="J275" s="1591" t="e">
        <f aca="false">F275/(0.7*_xlfn.single(RR))</f>
        <v>#NAME?</v>
      </c>
      <c r="K275" s="1591" t="e">
        <f aca="false">G275/(0.7*_xlfn.single(RR))</f>
        <v>#NAME?</v>
      </c>
      <c r="L275" s="1592"/>
      <c r="M275" s="1592"/>
      <c r="N275" s="1593"/>
      <c r="O275" s="1594"/>
      <c r="P275" s="1635" t="s">
        <v>2524</v>
      </c>
      <c r="X275" s="1585" t="s">
        <v>1285</v>
      </c>
      <c r="Y275" s="119" t="n">
        <v>240</v>
      </c>
    </row>
    <row r="276" customFormat="false" ht="15" hidden="false" customHeight="false" outlineLevel="0" collapsed="false">
      <c r="A276" s="2" t="n">
        <v>2023</v>
      </c>
      <c r="B276" s="119" t="n">
        <v>197</v>
      </c>
      <c r="C276" s="1585" t="s">
        <v>1239</v>
      </c>
      <c r="D276" s="1586" t="n">
        <v>3131</v>
      </c>
      <c r="E276" s="1587" t="n">
        <v>3131</v>
      </c>
      <c r="F276" s="1588" t="n">
        <v>360.61</v>
      </c>
      <c r="G276" s="1588" t="n">
        <v>1352.28</v>
      </c>
      <c r="H276" s="1589" t="n">
        <v>0</v>
      </c>
      <c r="I276" s="1590" t="n">
        <v>12000</v>
      </c>
      <c r="J276" s="1591" t="e">
        <f aca="false">F276/(0.7*_xlfn.single(RR))</f>
        <v>#NAME?</v>
      </c>
      <c r="K276" s="1591" t="e">
        <f aca="false">G276/(0.7*_xlfn.single(RR))</f>
        <v>#NAME?</v>
      </c>
      <c r="L276" s="1592"/>
      <c r="M276" s="1592"/>
      <c r="N276" s="1593"/>
      <c r="O276" s="1594"/>
      <c r="P276" s="1635" t="s">
        <v>2524</v>
      </c>
      <c r="X276" s="1585" t="s">
        <v>1239</v>
      </c>
      <c r="Y276" s="119" t="n">
        <v>197</v>
      </c>
    </row>
    <row r="277" customFormat="false" ht="15" hidden="false" customHeight="false" outlineLevel="0" collapsed="false">
      <c r="A277" s="2" t="n">
        <v>2023</v>
      </c>
      <c r="B277" s="119" t="n">
        <v>198</v>
      </c>
      <c r="C277" s="1585" t="s">
        <v>2669</v>
      </c>
      <c r="D277" s="1586" t="n">
        <v>3131</v>
      </c>
      <c r="E277" s="1587" t="n">
        <v>3131</v>
      </c>
      <c r="F277" s="1588" t="n">
        <v>360.61</v>
      </c>
      <c r="G277" s="1588" t="n">
        <v>1352.28</v>
      </c>
      <c r="H277" s="1589" t="n">
        <v>0</v>
      </c>
      <c r="I277" s="1590" t="n">
        <v>6000</v>
      </c>
      <c r="J277" s="1591" t="e">
        <f aca="false">F277/(0.7*_xlfn.single(RR))</f>
        <v>#NAME?</v>
      </c>
      <c r="K277" s="1591" t="e">
        <f aca="false">G277/(0.7*_xlfn.single(RR))</f>
        <v>#NAME?</v>
      </c>
      <c r="L277" s="1592"/>
      <c r="M277" s="1592"/>
      <c r="N277" s="1593"/>
      <c r="O277" s="1594"/>
      <c r="P277" s="1635" t="s">
        <v>2524</v>
      </c>
      <c r="X277" s="1585" t="s">
        <v>2669</v>
      </c>
      <c r="Y277" s="119" t="n">
        <v>198</v>
      </c>
    </row>
    <row r="278" customFormat="false" ht="15" hidden="false" customHeight="false" outlineLevel="0" collapsed="false">
      <c r="A278" s="2" t="n">
        <v>2023</v>
      </c>
      <c r="B278" s="119" t="n">
        <v>263</v>
      </c>
      <c r="C278" s="1585" t="s">
        <v>1308</v>
      </c>
      <c r="D278" s="1586" t="n">
        <v>391</v>
      </c>
      <c r="E278" s="1587" t="n">
        <v>391</v>
      </c>
      <c r="F278" s="1588" t="n">
        <v>114.19</v>
      </c>
      <c r="G278" s="1588" t="n">
        <v>240.4</v>
      </c>
      <c r="H278" s="1589" t="n">
        <v>1000</v>
      </c>
      <c r="I278" s="1590" t="n">
        <v>3800</v>
      </c>
      <c r="J278" s="1591" t="e">
        <f aca="false">F278/(0.7*_xlfn.single(RR))</f>
        <v>#NAME?</v>
      </c>
      <c r="K278" s="1591" t="e">
        <f aca="false">G278/(0.7*_xlfn.single(RR))</f>
        <v>#NAME?</v>
      </c>
      <c r="L278" s="1592"/>
      <c r="M278" s="1592"/>
      <c r="N278" s="1593"/>
      <c r="O278" s="1594"/>
      <c r="P278" s="1635"/>
      <c r="X278" s="1585" t="s">
        <v>1308</v>
      </c>
      <c r="Y278" s="119" t="n">
        <v>263</v>
      </c>
    </row>
    <row r="279" customFormat="false" ht="15" hidden="false" customHeight="false" outlineLevel="0" collapsed="false">
      <c r="A279" s="2" t="n">
        <v>2023</v>
      </c>
      <c r="B279" s="119" t="n">
        <v>12</v>
      </c>
      <c r="C279" s="1585" t="s">
        <v>2670</v>
      </c>
      <c r="D279" s="1586" t="n">
        <v>391</v>
      </c>
      <c r="E279" s="1587" t="n">
        <v>391</v>
      </c>
      <c r="F279" s="1588" t="n">
        <v>114.19</v>
      </c>
      <c r="G279" s="1588" t="n">
        <v>240.4</v>
      </c>
      <c r="H279" s="1589" t="n">
        <v>365.73</v>
      </c>
      <c r="I279" s="1590" t="n">
        <v>600</v>
      </c>
      <c r="J279" s="1591" t="e">
        <f aca="false">F279/(0.7*_xlfn.single(RR))</f>
        <v>#NAME?</v>
      </c>
      <c r="K279" s="1591" t="e">
        <f aca="false">G279/(0.7*_xlfn.single(RR))</f>
        <v>#NAME?</v>
      </c>
      <c r="L279" s="1592"/>
      <c r="M279" s="1592"/>
      <c r="N279" s="1593"/>
      <c r="O279" s="1594"/>
      <c r="P279" s="1635"/>
      <c r="X279" s="1585" t="s">
        <v>2670</v>
      </c>
      <c r="Y279" s="119" t="n">
        <v>12</v>
      </c>
    </row>
    <row r="280" customFormat="false" ht="15" hidden="false" customHeight="false" outlineLevel="0" collapsed="false">
      <c r="A280" s="2" t="n">
        <v>2023</v>
      </c>
      <c r="B280" s="119" t="n">
        <v>323</v>
      </c>
      <c r="C280" s="1585" t="s">
        <v>2671</v>
      </c>
      <c r="D280" s="1586" t="n">
        <v>391</v>
      </c>
      <c r="E280" s="1587" t="n">
        <v>391</v>
      </c>
      <c r="F280" s="1588" t="n">
        <v>114.19</v>
      </c>
      <c r="G280" s="1588" t="n">
        <v>240.4</v>
      </c>
      <c r="H280" s="1589" t="n">
        <v>1000</v>
      </c>
      <c r="I280" s="1590" t="n">
        <v>3800</v>
      </c>
      <c r="J280" s="1591" t="e">
        <f aca="false">F280/(0.7*_xlfn.single(RR))</f>
        <v>#NAME?</v>
      </c>
      <c r="K280" s="1591" t="e">
        <f aca="false">G280/(0.7*_xlfn.single(RR))</f>
        <v>#NAME?</v>
      </c>
      <c r="L280" s="1592"/>
      <c r="M280" s="1592"/>
      <c r="N280" s="1593"/>
      <c r="O280" s="1594"/>
      <c r="P280" s="1635"/>
      <c r="X280" s="1585" t="s">
        <v>2671</v>
      </c>
      <c r="Y280" s="119" t="n">
        <v>323</v>
      </c>
    </row>
    <row r="281" customFormat="false" ht="15" hidden="false" customHeight="false" outlineLevel="0" collapsed="false">
      <c r="A281" s="2" t="n">
        <v>2023</v>
      </c>
      <c r="B281" s="119" t="n">
        <v>77</v>
      </c>
      <c r="C281" s="1585" t="s">
        <v>1035</v>
      </c>
      <c r="D281" s="1586" t="n">
        <v>391</v>
      </c>
      <c r="E281" s="1587" t="n">
        <v>391</v>
      </c>
      <c r="F281" s="1588" t="n">
        <v>114.19</v>
      </c>
      <c r="G281" s="1588" t="n">
        <v>270.46</v>
      </c>
      <c r="H281" s="1589" t="n">
        <v>500</v>
      </c>
      <c r="I281" s="1590" t="n">
        <v>1000</v>
      </c>
      <c r="J281" s="1591" t="e">
        <f aca="false">F281/(0.7*_xlfn.single(RR))</f>
        <v>#NAME?</v>
      </c>
      <c r="K281" s="1591" t="e">
        <f aca="false">G281/(0.7*_xlfn.single(RR))</f>
        <v>#NAME?</v>
      </c>
      <c r="L281" s="1592"/>
      <c r="M281" s="1592"/>
      <c r="N281" s="1593"/>
      <c r="O281" s="1594"/>
      <c r="P281" s="1635" t="s">
        <v>2524</v>
      </c>
      <c r="X281" s="1585" t="s">
        <v>1035</v>
      </c>
      <c r="Y281" s="119" t="n">
        <v>77</v>
      </c>
    </row>
    <row r="282" customFormat="false" ht="15" hidden="false" customHeight="false" outlineLevel="0" collapsed="false">
      <c r="A282" s="2" t="n">
        <v>2023</v>
      </c>
      <c r="B282" s="119" t="n">
        <v>1</v>
      </c>
      <c r="C282" s="1585" t="s">
        <v>993</v>
      </c>
      <c r="D282" s="1586" t="n">
        <v>391</v>
      </c>
      <c r="E282" s="1587" t="n">
        <v>391</v>
      </c>
      <c r="F282" s="1588" t="n">
        <v>114.19</v>
      </c>
      <c r="G282" s="1588" t="n">
        <v>240.4</v>
      </c>
      <c r="H282" s="1589" t="n">
        <v>522.73</v>
      </c>
      <c r="I282" s="1590" t="n">
        <v>1000</v>
      </c>
      <c r="J282" s="1591" t="e">
        <f aca="false">F282/(0.7*_xlfn.single(RR))</f>
        <v>#NAME?</v>
      </c>
      <c r="K282" s="1591" t="e">
        <f aca="false">G282/(0.7*_xlfn.single(RR))</f>
        <v>#NAME?</v>
      </c>
      <c r="L282" s="1592"/>
      <c r="M282" s="1592"/>
      <c r="N282" s="1593"/>
      <c r="O282" s="1594"/>
      <c r="P282" s="1635" t="s">
        <v>2524</v>
      </c>
      <c r="X282" s="1585" t="s">
        <v>993</v>
      </c>
      <c r="Y282" s="119" t="n">
        <v>1</v>
      </c>
    </row>
    <row r="283" customFormat="false" ht="15" hidden="false" customHeight="false" outlineLevel="0" collapsed="false">
      <c r="A283" s="2" t="n">
        <v>2023</v>
      </c>
      <c r="B283" s="119" t="n">
        <v>3</v>
      </c>
      <c r="C283" s="1585" t="s">
        <v>995</v>
      </c>
      <c r="D283" s="1586" t="n">
        <v>391</v>
      </c>
      <c r="E283" s="1587" t="n">
        <v>391</v>
      </c>
      <c r="F283" s="1588" t="n">
        <v>114.19</v>
      </c>
      <c r="G283" s="1588" t="n">
        <v>240.4</v>
      </c>
      <c r="H283" s="1589" t="n">
        <v>358.58</v>
      </c>
      <c r="I283" s="1590" t="n">
        <v>1000</v>
      </c>
      <c r="J283" s="1591" t="e">
        <f aca="false">F283/(0.7*_xlfn.single(RR))</f>
        <v>#NAME?</v>
      </c>
      <c r="K283" s="1591" t="e">
        <f aca="false">G283/(0.7*_xlfn.single(RR))</f>
        <v>#NAME?</v>
      </c>
      <c r="L283" s="1592"/>
      <c r="M283" s="1592"/>
      <c r="N283" s="1593"/>
      <c r="O283" s="1594"/>
      <c r="P283" s="1635" t="s">
        <v>2524</v>
      </c>
      <c r="X283" s="1585" t="s">
        <v>995</v>
      </c>
      <c r="Y283" s="119" t="n">
        <v>3</v>
      </c>
    </row>
    <row r="284" customFormat="false" ht="15" hidden="false" customHeight="false" outlineLevel="0" collapsed="false">
      <c r="A284" s="2" t="n">
        <v>2023</v>
      </c>
      <c r="B284" s="119" t="n">
        <v>325</v>
      </c>
      <c r="C284" s="1585" t="s">
        <v>1352</v>
      </c>
      <c r="D284" s="1586" t="n">
        <v>391</v>
      </c>
      <c r="E284" s="1587" t="n">
        <v>391</v>
      </c>
      <c r="F284" s="1588" t="n">
        <v>114.19</v>
      </c>
      <c r="G284" s="1588" t="n">
        <v>240.4</v>
      </c>
      <c r="H284" s="1589" t="n">
        <v>365.73</v>
      </c>
      <c r="I284" s="1590" t="n">
        <v>600</v>
      </c>
      <c r="J284" s="1591" t="e">
        <f aca="false">F284/(0.7*_xlfn.single(RR))</f>
        <v>#NAME?</v>
      </c>
      <c r="K284" s="1591" t="e">
        <f aca="false">G284/(0.7*_xlfn.single(RR))</f>
        <v>#NAME?</v>
      </c>
      <c r="L284" s="1592"/>
      <c r="M284" s="1592"/>
      <c r="N284" s="1593"/>
      <c r="O284" s="1594"/>
      <c r="P284" s="1635"/>
      <c r="X284" s="1585" t="s">
        <v>1352</v>
      </c>
      <c r="Y284" s="119" t="n">
        <v>325</v>
      </c>
    </row>
    <row r="285" customFormat="false" ht="15" hidden="false" customHeight="false" outlineLevel="0" collapsed="false">
      <c r="A285" s="2" t="n">
        <v>2023</v>
      </c>
      <c r="B285" s="119" t="n">
        <v>13</v>
      </c>
      <c r="C285" s="1585" t="s">
        <v>1005</v>
      </c>
      <c r="D285" s="1586" t="n">
        <v>391</v>
      </c>
      <c r="E285" s="1587" t="n">
        <v>391</v>
      </c>
      <c r="F285" s="1588" t="n">
        <v>114.19</v>
      </c>
      <c r="G285" s="1588" t="n">
        <v>240.4</v>
      </c>
      <c r="H285" s="1589" t="n">
        <v>365.73</v>
      </c>
      <c r="I285" s="1590" t="n">
        <v>700</v>
      </c>
      <c r="J285" s="1591" t="e">
        <f aca="false">F285/(0.7*_xlfn.single(RR))</f>
        <v>#NAME?</v>
      </c>
      <c r="K285" s="1591" t="e">
        <f aca="false">G285/(0.7*_xlfn.single(RR))</f>
        <v>#NAME?</v>
      </c>
      <c r="L285" s="1592"/>
      <c r="M285" s="1592"/>
      <c r="N285" s="1593"/>
      <c r="O285" s="1594"/>
      <c r="P285" s="1635" t="s">
        <v>2524</v>
      </c>
      <c r="X285" s="1585" t="s">
        <v>1005</v>
      </c>
      <c r="Y285" s="119" t="n">
        <v>13</v>
      </c>
    </row>
    <row r="286" customFormat="false" ht="15" hidden="false" customHeight="false" outlineLevel="0" collapsed="false">
      <c r="A286" s="2" t="n">
        <v>2023</v>
      </c>
      <c r="B286" s="119" t="n">
        <v>2</v>
      </c>
      <c r="C286" s="1585" t="s">
        <v>2672</v>
      </c>
      <c r="D286" s="1586" t="n">
        <v>391</v>
      </c>
      <c r="E286" s="1587" t="n">
        <v>391</v>
      </c>
      <c r="F286" s="1588" t="n">
        <v>114.19</v>
      </c>
      <c r="G286" s="1588" t="n">
        <v>240.4</v>
      </c>
      <c r="H286" s="1589" t="n">
        <v>365.73</v>
      </c>
      <c r="I286" s="1590" t="n">
        <v>700</v>
      </c>
      <c r="J286" s="1591" t="e">
        <f aca="false">F286/(0.7*_xlfn.single(RR))</f>
        <v>#NAME?</v>
      </c>
      <c r="K286" s="1591" t="e">
        <f aca="false">G286/(0.7*_xlfn.single(RR))</f>
        <v>#NAME?</v>
      </c>
      <c r="L286" s="1592"/>
      <c r="M286" s="1592"/>
      <c r="N286" s="1593"/>
      <c r="O286" s="1594"/>
      <c r="P286" s="1635" t="s">
        <v>2524</v>
      </c>
      <c r="X286" s="1585" t="s">
        <v>2672</v>
      </c>
      <c r="Y286" s="119" t="n">
        <v>2</v>
      </c>
    </row>
    <row r="287" customFormat="false" ht="15" hidden="false" customHeight="false" outlineLevel="0" collapsed="false">
      <c r="A287" s="2" t="n">
        <v>2023</v>
      </c>
      <c r="B287" s="119" t="n">
        <v>14</v>
      </c>
      <c r="C287" s="1585" t="s">
        <v>1006</v>
      </c>
      <c r="D287" s="1586" t="n">
        <v>391</v>
      </c>
      <c r="E287" s="1587" t="n">
        <v>391</v>
      </c>
      <c r="F287" s="1588" t="n">
        <v>114.19</v>
      </c>
      <c r="G287" s="1588" t="n">
        <v>240.4</v>
      </c>
      <c r="H287" s="1589" t="n">
        <v>365.73</v>
      </c>
      <c r="I287" s="1590" t="n">
        <v>700</v>
      </c>
      <c r="J287" s="1591" t="e">
        <f aca="false">F287/(0.7*_xlfn.single(RR))</f>
        <v>#NAME?</v>
      </c>
      <c r="K287" s="1591" t="e">
        <f aca="false">G287/(0.7*_xlfn.single(RR))</f>
        <v>#NAME?</v>
      </c>
      <c r="L287" s="1592"/>
      <c r="M287" s="1592"/>
      <c r="N287" s="1593"/>
      <c r="O287" s="1594"/>
      <c r="P287" s="1635"/>
      <c r="X287" s="1585" t="s">
        <v>1006</v>
      </c>
      <c r="Y287" s="119" t="n">
        <v>14</v>
      </c>
    </row>
    <row r="288" customFormat="false" ht="15" hidden="false" customHeight="false" outlineLevel="0" collapsed="false">
      <c r="A288" s="2" t="n">
        <v>2023</v>
      </c>
      <c r="B288" s="119" t="n">
        <v>280</v>
      </c>
      <c r="C288" s="1585" t="s">
        <v>1327</v>
      </c>
      <c r="D288" s="1586" t="n">
        <v>2676</v>
      </c>
      <c r="E288" s="1587" t="n">
        <v>2676</v>
      </c>
      <c r="F288" s="1588" t="n">
        <v>450.76</v>
      </c>
      <c r="G288" s="1588" t="n">
        <v>721.21</v>
      </c>
      <c r="H288" s="1589" t="n">
        <v>2000</v>
      </c>
      <c r="I288" s="1590" t="n">
        <v>6000</v>
      </c>
      <c r="J288" s="1591" t="e">
        <f aca="false">F288/(0.7*_xlfn.single(RR))</f>
        <v>#NAME?</v>
      </c>
      <c r="K288" s="1591" t="e">
        <f aca="false">G288/(0.7*_xlfn.single(RR))</f>
        <v>#NAME?</v>
      </c>
      <c r="L288" s="1592"/>
      <c r="M288" s="1592"/>
      <c r="N288" s="1593"/>
      <c r="O288" s="1594"/>
      <c r="P288" s="1635" t="s">
        <v>2524</v>
      </c>
      <c r="X288" s="1585" t="s">
        <v>1327</v>
      </c>
      <c r="Y288" s="119" t="n">
        <v>280</v>
      </c>
    </row>
    <row r="289" customFormat="false" ht="15" hidden="false" customHeight="false" outlineLevel="0" collapsed="false">
      <c r="A289" s="2" t="n">
        <v>2023</v>
      </c>
      <c r="B289" s="119" t="n">
        <v>103</v>
      </c>
      <c r="C289" s="1585" t="s">
        <v>2673</v>
      </c>
      <c r="D289" s="1586" t="n">
        <v>1130</v>
      </c>
      <c r="E289" s="1587" t="n">
        <v>1130</v>
      </c>
      <c r="F289" s="1588" t="n">
        <v>450.76</v>
      </c>
      <c r="G289" s="1588" t="n">
        <v>721.21</v>
      </c>
      <c r="H289" s="1589" t="n">
        <v>1614.25</v>
      </c>
      <c r="I289" s="1590" t="n">
        <v>5200</v>
      </c>
      <c r="J289" s="1591" t="e">
        <f aca="false">F289/(0.7*_xlfn.single(RR))</f>
        <v>#NAME?</v>
      </c>
      <c r="K289" s="1591" t="e">
        <f aca="false">G289/(0.7*_xlfn.single(RR))</f>
        <v>#NAME?</v>
      </c>
      <c r="L289" s="1592"/>
      <c r="M289" s="1592"/>
      <c r="N289" s="1593"/>
      <c r="O289" s="1594"/>
      <c r="P289" s="1635" t="s">
        <v>2524</v>
      </c>
      <c r="X289" s="1585" t="s">
        <v>2673</v>
      </c>
      <c r="Y289" s="119" t="n">
        <v>103</v>
      </c>
    </row>
    <row r="290" customFormat="false" ht="15" hidden="false" customHeight="false" outlineLevel="0" collapsed="false">
      <c r="A290" s="2" t="n">
        <v>2023</v>
      </c>
      <c r="B290" s="119" t="n">
        <v>221</v>
      </c>
      <c r="C290" s="1585" t="s">
        <v>2674</v>
      </c>
      <c r="D290" s="1586" t="n">
        <v>1130</v>
      </c>
      <c r="E290" s="1587" t="n">
        <v>1130</v>
      </c>
      <c r="F290" s="1588" t="n">
        <v>450.76</v>
      </c>
      <c r="G290" s="1588" t="n">
        <v>721.21</v>
      </c>
      <c r="H290" s="1589" t="n">
        <v>614.25</v>
      </c>
      <c r="I290" s="1590" t="n">
        <v>2400</v>
      </c>
      <c r="J290" s="1591" t="e">
        <f aca="false">F290/(0.7*_xlfn.single(RR))</f>
        <v>#NAME?</v>
      </c>
      <c r="K290" s="1591" t="e">
        <f aca="false">G290/(0.7*_xlfn.single(RR))</f>
        <v>#NAME?</v>
      </c>
      <c r="L290" s="1592"/>
      <c r="M290" s="1592"/>
      <c r="N290" s="1593"/>
      <c r="O290" s="1594"/>
      <c r="P290" s="1635" t="s">
        <v>2524</v>
      </c>
      <c r="X290" s="1585" t="s">
        <v>2674</v>
      </c>
      <c r="Y290" s="119" t="n">
        <v>221</v>
      </c>
    </row>
    <row r="291" customFormat="false" ht="15" hidden="false" customHeight="false" outlineLevel="0" collapsed="false">
      <c r="A291" s="2" t="n">
        <v>2023</v>
      </c>
      <c r="B291" s="119" t="n">
        <v>256</v>
      </c>
      <c r="C291" s="1585" t="s">
        <v>1301</v>
      </c>
      <c r="D291" s="1586" t="n">
        <v>391</v>
      </c>
      <c r="E291" s="1587" t="n">
        <v>391</v>
      </c>
      <c r="F291" s="1588" t="n">
        <v>114.19</v>
      </c>
      <c r="G291" s="1588" t="n">
        <v>240.4</v>
      </c>
      <c r="H291" s="1589" t="n">
        <v>1000</v>
      </c>
      <c r="I291" s="1590" t="n">
        <v>3800</v>
      </c>
      <c r="J291" s="1591" t="e">
        <f aca="false">F291/(0.7*_xlfn.single(RR))</f>
        <v>#NAME?</v>
      </c>
      <c r="K291" s="1591" t="e">
        <f aca="false">G291/(0.7*_xlfn.single(RR))</f>
        <v>#NAME?</v>
      </c>
      <c r="L291" s="1592"/>
      <c r="M291" s="1592"/>
      <c r="N291" s="1593"/>
      <c r="O291" s="1594"/>
      <c r="P291" s="1635"/>
      <c r="X291" s="1585" t="s">
        <v>1301</v>
      </c>
      <c r="Y291" s="119" t="n">
        <v>256</v>
      </c>
    </row>
    <row r="292" customFormat="false" ht="15" hidden="false" customHeight="false" outlineLevel="0" collapsed="false">
      <c r="A292" s="2" t="n">
        <v>2023</v>
      </c>
      <c r="B292" s="119" t="n">
        <v>324</v>
      </c>
      <c r="C292" s="1585" t="s">
        <v>2675</v>
      </c>
      <c r="D292" s="1586" t="n">
        <v>391</v>
      </c>
      <c r="E292" s="1587" t="n">
        <v>391</v>
      </c>
      <c r="F292" s="1588" t="n">
        <v>114.19</v>
      </c>
      <c r="G292" s="1588" t="n">
        <v>240.4</v>
      </c>
      <c r="H292" s="1589" t="n">
        <v>1000</v>
      </c>
      <c r="I292" s="1590" t="n">
        <v>3800</v>
      </c>
      <c r="J292" s="1591" t="e">
        <f aca="false">F292/(0.7*_xlfn.single(RR))</f>
        <v>#NAME?</v>
      </c>
      <c r="K292" s="1591" t="e">
        <f aca="false">G292/(0.7*_xlfn.single(RR))</f>
        <v>#NAME?</v>
      </c>
      <c r="L292" s="1592"/>
      <c r="M292" s="1592"/>
      <c r="N292" s="1593"/>
      <c r="O292" s="1594"/>
      <c r="P292" s="1635"/>
      <c r="X292" s="1585" t="s">
        <v>2675</v>
      </c>
      <c r="Y292" s="119" t="n">
        <v>324</v>
      </c>
    </row>
    <row r="293" customFormat="false" ht="15" hidden="false" customHeight="false" outlineLevel="0" collapsed="false">
      <c r="A293" s="2" t="n">
        <v>2023</v>
      </c>
      <c r="B293" s="119" t="n">
        <v>277</v>
      </c>
      <c r="C293" s="1585" t="s">
        <v>1322</v>
      </c>
      <c r="D293" s="1586" t="n">
        <v>391</v>
      </c>
      <c r="E293" s="1587" t="n">
        <v>391</v>
      </c>
      <c r="F293" s="1588" t="n">
        <v>114.19</v>
      </c>
      <c r="G293" s="1588" t="n">
        <v>240.4</v>
      </c>
      <c r="H293" s="1589" t="n">
        <v>1000</v>
      </c>
      <c r="I293" s="1590" t="n">
        <v>3800</v>
      </c>
      <c r="J293" s="1591" t="e">
        <f aca="false">F293/(0.7*_xlfn.single(RR))</f>
        <v>#NAME?</v>
      </c>
      <c r="K293" s="1591" t="e">
        <f aca="false">G293/(0.7*_xlfn.single(RR))</f>
        <v>#NAME?</v>
      </c>
      <c r="L293" s="1592"/>
      <c r="M293" s="1592"/>
      <c r="N293" s="1593"/>
      <c r="O293" s="1594"/>
      <c r="P293" s="1635"/>
      <c r="X293" s="1585" t="s">
        <v>1322</v>
      </c>
      <c r="Y293" s="119" t="n">
        <v>277</v>
      </c>
    </row>
    <row r="294" customFormat="false" ht="15" hidden="false" customHeight="false" outlineLevel="0" collapsed="false">
      <c r="A294" s="2" t="n">
        <v>2023</v>
      </c>
      <c r="B294" s="119" t="n">
        <v>52</v>
      </c>
      <c r="C294" s="1585" t="s">
        <v>2676</v>
      </c>
      <c r="D294" s="1586" t="n">
        <v>391</v>
      </c>
      <c r="E294" s="1587" t="n">
        <v>391</v>
      </c>
      <c r="F294" s="1588" t="n">
        <v>114.19</v>
      </c>
      <c r="G294" s="1588" t="n">
        <v>240.4</v>
      </c>
      <c r="H294" s="1589" t="n">
        <v>350</v>
      </c>
      <c r="I294" s="1590" t="n">
        <v>750</v>
      </c>
      <c r="J294" s="1591" t="e">
        <f aca="false">F294/(0.7*_xlfn.single(RR))</f>
        <v>#NAME?</v>
      </c>
      <c r="K294" s="1591" t="e">
        <f aca="false">G294/(0.7*_xlfn.single(RR))</f>
        <v>#NAME?</v>
      </c>
      <c r="L294" s="1592"/>
      <c r="M294" s="1592"/>
      <c r="N294" s="1593"/>
      <c r="O294" s="1594"/>
      <c r="P294" s="1635" t="s">
        <v>2524</v>
      </c>
      <c r="X294" s="1585" t="s">
        <v>2676</v>
      </c>
      <c r="Y294" s="119" t="n">
        <v>52</v>
      </c>
    </row>
    <row r="295" customFormat="false" ht="15" hidden="false" customHeight="false" outlineLevel="0" collapsed="false">
      <c r="A295" s="2" t="n">
        <v>2023</v>
      </c>
      <c r="B295" s="119" t="n">
        <v>120</v>
      </c>
      <c r="C295" s="1585" t="s">
        <v>2677</v>
      </c>
      <c r="D295" s="1586" t="n">
        <v>896</v>
      </c>
      <c r="E295" s="1587" t="n">
        <v>896</v>
      </c>
      <c r="F295" s="1588" t="n">
        <v>450.76</v>
      </c>
      <c r="G295" s="1588" t="n">
        <v>721.21</v>
      </c>
      <c r="H295" s="1589" t="n">
        <v>500</v>
      </c>
      <c r="I295" s="1590" t="n">
        <v>1500</v>
      </c>
      <c r="J295" s="1591" t="e">
        <f aca="false">F295/(0.7*_xlfn.single(RR))</f>
        <v>#NAME?</v>
      </c>
      <c r="K295" s="1591" t="e">
        <f aca="false">G295/(0.7*_xlfn.single(RR))</f>
        <v>#NAME?</v>
      </c>
      <c r="L295" s="1592"/>
      <c r="M295" s="1592"/>
      <c r="N295" s="1593"/>
      <c r="O295" s="1594"/>
      <c r="P295" s="1635" t="s">
        <v>2524</v>
      </c>
      <c r="X295" s="1585" t="s">
        <v>2677</v>
      </c>
      <c r="Y295" s="119" t="n">
        <v>120</v>
      </c>
    </row>
    <row r="296" customFormat="false" ht="15" hidden="false" customHeight="false" outlineLevel="0" collapsed="false">
      <c r="A296" s="2" t="n">
        <v>2023</v>
      </c>
      <c r="B296" s="119" t="n">
        <v>102</v>
      </c>
      <c r="C296" s="1585" t="s">
        <v>2678</v>
      </c>
      <c r="D296" s="1586" t="n">
        <v>896</v>
      </c>
      <c r="E296" s="1587" t="n">
        <v>896</v>
      </c>
      <c r="F296" s="1588" t="n">
        <v>450.76</v>
      </c>
      <c r="G296" s="1588" t="n">
        <v>721.21</v>
      </c>
      <c r="H296" s="1589" t="n">
        <v>800</v>
      </c>
      <c r="I296" s="1590" t="n">
        <v>1800</v>
      </c>
      <c r="J296" s="1591" t="e">
        <f aca="false">F296/(0.7*_xlfn.single(RR))</f>
        <v>#NAME?</v>
      </c>
      <c r="K296" s="1591" t="e">
        <f aca="false">G296/(0.7*_xlfn.single(RR))</f>
        <v>#NAME?</v>
      </c>
      <c r="L296" s="1592"/>
      <c r="M296" s="1592"/>
      <c r="N296" s="1593"/>
      <c r="O296" s="1594"/>
      <c r="P296" s="1635" t="s">
        <v>2524</v>
      </c>
      <c r="X296" s="1585" t="s">
        <v>2678</v>
      </c>
      <c r="Y296" s="119" t="n">
        <v>102</v>
      </c>
    </row>
    <row r="297" customFormat="false" ht="15" hidden="false" customHeight="false" outlineLevel="0" collapsed="false">
      <c r="A297" s="2" t="n">
        <v>2023</v>
      </c>
      <c r="B297" s="119" t="n">
        <v>119</v>
      </c>
      <c r="C297" s="1585" t="s">
        <v>2679</v>
      </c>
      <c r="D297" s="1586" t="n">
        <v>16200</v>
      </c>
      <c r="E297" s="1587" t="n">
        <v>16200</v>
      </c>
      <c r="F297" s="1588" t="n">
        <v>3005.06</v>
      </c>
      <c r="G297" s="1588" t="n">
        <v>15025.3</v>
      </c>
      <c r="H297" s="1589" t="n">
        <v>0</v>
      </c>
      <c r="I297" s="1590" t="n">
        <v>50000</v>
      </c>
      <c r="J297" s="1591" t="e">
        <f aca="false">F297/(0.7*_xlfn.single(RR))</f>
        <v>#NAME?</v>
      </c>
      <c r="K297" s="1591" t="e">
        <f aca="false">G297/(0.7*_xlfn.single(RR))</f>
        <v>#NAME?</v>
      </c>
      <c r="L297" s="1592"/>
      <c r="M297" s="1592"/>
      <c r="N297" s="1593"/>
      <c r="O297" s="1594"/>
      <c r="P297" s="1635" t="s">
        <v>2524</v>
      </c>
      <c r="X297" s="1585" t="s">
        <v>2679</v>
      </c>
      <c r="Y297" s="119" t="n">
        <v>119</v>
      </c>
    </row>
    <row r="298" customFormat="false" ht="15" hidden="false" customHeight="false" outlineLevel="0" collapsed="false">
      <c r="A298" s="2" t="n">
        <v>2023</v>
      </c>
      <c r="B298" s="119" t="n">
        <v>53</v>
      </c>
      <c r="C298" s="1585" t="s">
        <v>1021</v>
      </c>
      <c r="D298" s="1586" t="n">
        <v>391</v>
      </c>
      <c r="E298" s="1587" t="n">
        <v>391</v>
      </c>
      <c r="F298" s="1588" t="n">
        <v>114.19</v>
      </c>
      <c r="G298" s="1588" t="n">
        <v>240.4</v>
      </c>
      <c r="H298" s="1589" t="n">
        <v>350</v>
      </c>
      <c r="I298" s="1590" t="n">
        <v>750</v>
      </c>
      <c r="J298" s="1591" t="e">
        <f aca="false">F298/(0.7*_xlfn.single(RR))</f>
        <v>#NAME?</v>
      </c>
      <c r="K298" s="1591" t="e">
        <f aca="false">G298/(0.7*_xlfn.single(RR))</f>
        <v>#NAME?</v>
      </c>
      <c r="L298" s="1592"/>
      <c r="M298" s="1592"/>
      <c r="N298" s="1593"/>
      <c r="O298" s="1594"/>
      <c r="P298" s="1635" t="s">
        <v>2524</v>
      </c>
      <c r="X298" s="1585" t="s">
        <v>1021</v>
      </c>
      <c r="Y298" s="119" t="n">
        <v>53</v>
      </c>
    </row>
    <row r="299" customFormat="false" ht="15" hidden="false" customHeight="false" outlineLevel="0" collapsed="false">
      <c r="A299" s="2" t="n">
        <v>2023</v>
      </c>
      <c r="B299" s="119" t="n">
        <v>178</v>
      </c>
      <c r="C299" s="1585" t="s">
        <v>1182</v>
      </c>
      <c r="D299" s="1586" t="n">
        <v>3131</v>
      </c>
      <c r="E299" s="1587" t="n">
        <v>3131</v>
      </c>
      <c r="F299" s="1588" t="n">
        <v>360.61</v>
      </c>
      <c r="G299" s="1588" t="n">
        <v>1352.28</v>
      </c>
      <c r="H299" s="1589" t="n">
        <v>0</v>
      </c>
      <c r="I299" s="1590" t="n">
        <v>5200</v>
      </c>
      <c r="J299" s="1591" t="e">
        <f aca="false">F299/(0.7*_xlfn.single(RR))</f>
        <v>#NAME?</v>
      </c>
      <c r="K299" s="1591" t="e">
        <f aca="false">G299/(0.7*_xlfn.single(RR))</f>
        <v>#NAME?</v>
      </c>
      <c r="L299" s="1592"/>
      <c r="M299" s="1592"/>
      <c r="N299" s="1593"/>
      <c r="O299" s="1594"/>
      <c r="P299" s="1635" t="s">
        <v>2524</v>
      </c>
      <c r="X299" s="1585" t="s">
        <v>1182</v>
      </c>
      <c r="Y299" s="119" t="n">
        <v>178</v>
      </c>
    </row>
    <row r="300" customFormat="false" ht="15" hidden="false" customHeight="false" outlineLevel="0" collapsed="false">
      <c r="A300" s="2" t="n">
        <v>2023</v>
      </c>
      <c r="B300" s="119" t="n">
        <v>76</v>
      </c>
      <c r="C300" s="1585" t="s">
        <v>1034</v>
      </c>
      <c r="D300" s="1586" t="n">
        <v>391</v>
      </c>
      <c r="E300" s="1587" t="n">
        <v>391</v>
      </c>
      <c r="F300" s="1588" t="n">
        <v>114.19</v>
      </c>
      <c r="G300" s="1588" t="n">
        <v>240.4</v>
      </c>
      <c r="H300" s="1589" t="n">
        <v>700</v>
      </c>
      <c r="I300" s="1590" t="n">
        <v>1800</v>
      </c>
      <c r="J300" s="1591" t="e">
        <f aca="false">F300/(0.7*_xlfn.single(RR))</f>
        <v>#NAME?</v>
      </c>
      <c r="K300" s="1591" t="e">
        <f aca="false">G300/(0.7*_xlfn.single(RR))</f>
        <v>#NAME?</v>
      </c>
      <c r="L300" s="1592"/>
      <c r="M300" s="1592"/>
      <c r="N300" s="1637"/>
      <c r="O300" s="1594"/>
      <c r="P300" s="1635" t="s">
        <v>2524</v>
      </c>
      <c r="X300" s="1585" t="s">
        <v>1034</v>
      </c>
      <c r="Y300" s="119" t="n">
        <v>76</v>
      </c>
    </row>
    <row r="301" customFormat="false" ht="15" hidden="false" customHeight="false" outlineLevel="0" collapsed="false">
      <c r="B301" s="1638" t="n">
        <v>0</v>
      </c>
      <c r="C301" s="2" t="str">
        <f aca="false">""</f>
        <v/>
      </c>
      <c r="D301" s="2" t="str">
        <f aca="false">""</f>
        <v/>
      </c>
      <c r="E301" s="2" t="str">
        <f aca="false">""</f>
        <v/>
      </c>
      <c r="F301" s="1639" t="str">
        <f aca="false">""</f>
        <v/>
      </c>
      <c r="G301" s="1639" t="str">
        <f aca="false">""</f>
        <v/>
      </c>
      <c r="H301" s="1296" t="str">
        <f aca="false">""</f>
        <v/>
      </c>
      <c r="I301" s="1296" t="str">
        <f aca="false">""</f>
        <v/>
      </c>
      <c r="J301" s="2" t="str">
        <f aca="false">""</f>
        <v/>
      </c>
      <c r="K301" s="2" t="str">
        <f aca="false">""</f>
        <v/>
      </c>
      <c r="N301" s="1640"/>
      <c r="O301" s="1640"/>
      <c r="P301" s="1595"/>
    </row>
  </sheetData>
  <sheetProtection sheet="true" password="cc9e" objects="true" scenarios="true"/>
  <printOptions headings="true" gridLines="false" gridLinesSet="true" horizontalCentered="false" verticalCentered="false"/>
  <pageMargins left="0.708333333333333" right="0.708333333333333" top="1.14166666666667" bottom="1.1416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1289</TotalTime>
  <Application>LibreOffice/24.8.4.2$Windows_X86_64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2021-04-16T08:30:08Z</dcterms:created>
  <dc:creator>EDUARDO CALLEJA JIMENEZ</dc:creator>
  <dc:description/>
  <dc:language>es-ES</dc:language>
  <cp:lastModifiedBy/>
  <cp:lastPrinted>2025-01-20T12:50:14Z</cp:lastPrinted>
  <dcterms:modified xsi:type="dcterms:W3CDTF">2025-01-21T09:31:34Z</dcterms:modified>
  <cp:revision>48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EAP_MOD_RUT_MN_UTA_UGM_ acs__31072024_PJUR_Vlibreoffice_V12.1__.xlsx</vt:lpwstr>
  </property>
</Properties>
</file>